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ЭтаКнига" defaultThemeVersion="124226"/>
  <bookViews>
    <workbookView xWindow="0" yWindow="420" windowWidth="15570" windowHeight="7335" tabRatio="595" firstSheet="5" activeTab="5"/>
  </bookViews>
  <sheets>
    <sheet name="БА в тыс. руб." sheetId="11" state="hidden" r:id="rId1"/>
    <sheet name="БА в рублях" sheetId="29" state="hidden" r:id="rId2"/>
    <sheet name="БА в рублях (ред)" sheetId="30" state="hidden" r:id="rId3"/>
    <sheet name="БА в рублях (ред) (2)" sheetId="31" state="hidden" r:id="rId4"/>
    <sheet name="прил 1 БА в рублях (ред) (3)" sheetId="32" state="hidden" r:id="rId5"/>
    <sheet name="прил 1 БА по расх (2017)" sheetId="35" r:id="rId6"/>
    <sheet name="БА по источн (2017)" sheetId="33" r:id="rId7"/>
    <sheet name="КВР" sheetId="27" state="hidden" r:id="rId8"/>
    <sheet name="аппарат" sheetId="28" state="hidden" r:id="rId9"/>
    <sheet name="прил 2 БА по расх (2018-2019)" sheetId="38" r:id="rId10"/>
    <sheet name="БА источники (2018-2019" sheetId="39" r:id="rId11"/>
    <sheet name="исх АС БЮДЖЕТ" sheetId="36" state="hidden" r:id="rId12"/>
    <sheet name="Лист1" sheetId="37" state="hidden" r:id="rId13"/>
  </sheets>
  <externalReferences>
    <externalReference r:id="rId14"/>
    <externalReference r:id="rId15"/>
  </externalReferences>
  <definedNames>
    <definedName name="_xlnm._FilterDatabase" localSheetId="1" hidden="1">'БА в рублях'!$A$3:$O$1706</definedName>
    <definedName name="_xlnm._FilterDatabase" localSheetId="2" hidden="1">'БА в рублях (ред)'!$A$3:$O$1706</definedName>
    <definedName name="_xlnm._FilterDatabase" localSheetId="3" hidden="1">'БА в рублях (ред) (2)'!$A$3:$O$1706</definedName>
    <definedName name="_xlnm._FilterDatabase" localSheetId="0" hidden="1">'БА в тыс. руб.'!$A$1:$I$1717</definedName>
    <definedName name="_xlnm._FilterDatabase" localSheetId="11" hidden="1">'исх АС БЮДЖЕТ'!$A$8:$H$569</definedName>
    <definedName name="_xlnm._FilterDatabase" localSheetId="4" hidden="1">'прил 1 БА в рублях (ред) (3)'!$A$1:$G$1700</definedName>
    <definedName name="_xlnm._FilterDatabase" localSheetId="5" hidden="1">'прил 1 БА по расх (2017)'!$A$9:$G$1951</definedName>
    <definedName name="_xlnm._FilterDatabase" localSheetId="9" hidden="1">'прил 2 БА по расх (2018-2019)'!$A$211:$K$211</definedName>
    <definedName name="_xlnm.Print_Titles" localSheetId="1">'БА в рублях'!$4:$4</definedName>
    <definedName name="_xlnm.Print_Titles" localSheetId="2">'БА в рублях (ред)'!$4:$4</definedName>
    <definedName name="_xlnm.Print_Titles" localSheetId="3">'БА в рублях (ред) (2)'!$4:$4</definedName>
    <definedName name="_xlnm.Print_Titles" localSheetId="0">'БА в тыс. руб.'!$4:$4</definedName>
    <definedName name="_xlnm.Print_Titles" localSheetId="4">'прил 1 БА в рублях (ред) (3)'!$16:$16</definedName>
    <definedName name="_xlnm.Print_Titles" localSheetId="5">'прил 1 БА по расх (2017)'!$9:$9</definedName>
    <definedName name="_xlnm.Print_Titles" localSheetId="9">'прил 2 БА по расх (2018-2019)'!$9:$9</definedName>
    <definedName name="_xlnm.Print_Area" localSheetId="1">'БА в рублях'!$A$1:$I$1706</definedName>
    <definedName name="_xlnm.Print_Area" localSheetId="2">'БА в рублях (ред)'!$A$1:$I$1706</definedName>
    <definedName name="_xlnm.Print_Area" localSheetId="3">'БА в рублях (ред) (2)'!$A$1:$I$1706</definedName>
    <definedName name="_xlnm.Print_Area" localSheetId="0">'БА в тыс. руб.'!$A$1:$I$1706</definedName>
    <definedName name="_xlnm.Print_Area" localSheetId="10">'БА источники (2018-2019'!$A$1:$E$19</definedName>
    <definedName name="_xlnm.Print_Area" localSheetId="6">'БА по источн (2017)'!$A$1:$D$20</definedName>
    <definedName name="_xlnm.Print_Area" localSheetId="4">'прил 1 БА в рублях (ред) (3)'!$A$1:$G$1700</definedName>
    <definedName name="_xlnm.Print_Area" localSheetId="5">'прил 1 БА по расх (2017)'!$A$1:$G$1939</definedName>
    <definedName name="_xlnm.Print_Area" localSheetId="9">'прил 2 БА по расх (2018-2019)'!$A$1:$H$1629</definedName>
  </definedNames>
  <calcPr calcId="125725"/>
</workbook>
</file>

<file path=xl/calcChain.xml><?xml version="1.0" encoding="utf-8"?>
<calcChain xmlns="http://schemas.openxmlformats.org/spreadsheetml/2006/main">
  <c r="E17" i="39"/>
  <c r="D17"/>
  <c r="E16"/>
  <c r="D16"/>
  <c r="E11"/>
  <c r="D11"/>
  <c r="E10"/>
  <c r="D10"/>
  <c r="H1633" i="38"/>
  <c r="G1633"/>
  <c r="H1413"/>
  <c r="G1413"/>
  <c r="H1376"/>
  <c r="H1375" s="1"/>
  <c r="H1374" s="1"/>
  <c r="G1376"/>
  <c r="G1375" s="1"/>
  <c r="G1374" s="1"/>
  <c r="H1366"/>
  <c r="H1365" s="1"/>
  <c r="H1364" s="1"/>
  <c r="G1366"/>
  <c r="G1365" s="1"/>
  <c r="G1364" s="1"/>
  <c r="H1363"/>
  <c r="H1362" s="1"/>
  <c r="H1361" s="1"/>
  <c r="G1363"/>
  <c r="G1362" s="1"/>
  <c r="G1361" s="1"/>
  <c r="G1332" l="1"/>
  <c r="G1331" s="1"/>
  <c r="G1330" s="1"/>
  <c r="G1329" s="1"/>
  <c r="G1328" s="1"/>
  <c r="G1327" s="1"/>
  <c r="H1344"/>
  <c r="H1343" s="1"/>
  <c r="H1342" s="1"/>
  <c r="G1344"/>
  <c r="G1343" s="1"/>
  <c r="G1342" s="1"/>
  <c r="H1051"/>
  <c r="G1051"/>
  <c r="H863"/>
  <c r="H862" s="1"/>
  <c r="G863"/>
  <c r="G862" s="1"/>
  <c r="H861"/>
  <c r="H860" s="1"/>
  <c r="G861"/>
  <c r="G860" s="1"/>
  <c r="H752"/>
  <c r="H751" s="1"/>
  <c r="H750" s="1"/>
  <c r="H749" s="1"/>
  <c r="G751"/>
  <c r="G750" s="1"/>
  <c r="G749" s="1"/>
  <c r="H458"/>
  <c r="H457" s="1"/>
  <c r="H456" s="1"/>
  <c r="H455" s="1"/>
  <c r="H454" s="1"/>
  <c r="G458"/>
  <c r="G457" s="1"/>
  <c r="G456" s="1"/>
  <c r="G455" s="1"/>
  <c r="G454" s="1"/>
  <c r="H1624"/>
  <c r="G1624"/>
  <c r="H859" l="1"/>
  <c r="G859"/>
  <c r="L1624"/>
  <c r="H1332" l="1"/>
  <c r="H1331" s="1"/>
  <c r="H1330" s="1"/>
  <c r="H1329" s="1"/>
  <c r="H1328" s="1"/>
  <c r="H1327" s="1"/>
  <c r="J1533" l="1"/>
  <c r="K1533" s="1"/>
  <c r="J1622" l="1"/>
  <c r="K1622" s="1"/>
  <c r="J1621"/>
  <c r="K1621" s="1"/>
  <c r="J1620"/>
  <c r="K1620" s="1"/>
  <c r="J1619"/>
  <c r="K1619" s="1"/>
  <c r="J1618"/>
  <c r="K1618" s="1"/>
  <c r="J1617"/>
  <c r="K1617" s="1"/>
  <c r="J1616"/>
  <c r="K1616" s="1"/>
  <c r="J1615"/>
  <c r="K1615" s="1"/>
  <c r="J1614"/>
  <c r="K1614" s="1"/>
  <c r="J1613"/>
  <c r="K1613" s="1"/>
  <c r="J1612"/>
  <c r="K1612" s="1"/>
  <c r="J1611"/>
  <c r="K1611" s="1"/>
  <c r="J1610"/>
  <c r="K1610" s="1"/>
  <c r="J1609"/>
  <c r="K1609" s="1"/>
  <c r="J1608"/>
  <c r="K1608" s="1"/>
  <c r="J1607"/>
  <c r="K1607" s="1"/>
  <c r="J1606"/>
  <c r="K1606" s="1"/>
  <c r="J1604"/>
  <c r="K1604" s="1"/>
  <c r="J1603"/>
  <c r="K1603" s="1"/>
  <c r="J1602"/>
  <c r="K1602" s="1"/>
  <c r="J1601"/>
  <c r="K1601" s="1"/>
  <c r="J1600"/>
  <c r="K1600" s="1"/>
  <c r="J1599"/>
  <c r="K1599" s="1"/>
  <c r="J1598"/>
  <c r="K1598" s="1"/>
  <c r="J1597"/>
  <c r="K1597" s="1"/>
  <c r="J1596"/>
  <c r="K1596" s="1"/>
  <c r="J1595"/>
  <c r="K1595" s="1"/>
  <c r="J1594"/>
  <c r="K1594" s="1"/>
  <c r="J1593"/>
  <c r="K1593" s="1"/>
  <c r="J1592"/>
  <c r="K1592" s="1"/>
  <c r="J1591"/>
  <c r="K1591" s="1"/>
  <c r="J1590"/>
  <c r="K1590" s="1"/>
  <c r="J1589"/>
  <c r="K1589" s="1"/>
  <c r="J1588"/>
  <c r="K1588" s="1"/>
  <c r="J1587"/>
  <c r="K1587" s="1"/>
  <c r="J1586"/>
  <c r="K1586" s="1"/>
  <c r="J1585"/>
  <c r="K1585" s="1"/>
  <c r="J1584"/>
  <c r="K1584" s="1"/>
  <c r="J1583"/>
  <c r="K1583" s="1"/>
  <c r="J1582"/>
  <c r="K1582" s="1"/>
  <c r="J1581"/>
  <c r="K1581" s="1"/>
  <c r="J1580"/>
  <c r="K1580" s="1"/>
  <c r="J1579"/>
  <c r="K1579" s="1"/>
  <c r="J1578"/>
  <c r="K1578" s="1"/>
  <c r="J1577"/>
  <c r="K1577" s="1"/>
  <c r="J1576"/>
  <c r="K1576" s="1"/>
  <c r="J1575"/>
  <c r="K1575" s="1"/>
  <c r="J1574"/>
  <c r="K1574" s="1"/>
  <c r="J1573"/>
  <c r="K1573" s="1"/>
  <c r="J1572"/>
  <c r="K1572" s="1"/>
  <c r="J1571"/>
  <c r="K1571" s="1"/>
  <c r="J1570"/>
  <c r="K1570" s="1"/>
  <c r="J1569"/>
  <c r="K1569" s="1"/>
  <c r="J1568"/>
  <c r="K1568" s="1"/>
  <c r="J1567"/>
  <c r="K1567" s="1"/>
  <c r="J1566"/>
  <c r="K1566" s="1"/>
  <c r="J1565"/>
  <c r="K1565" s="1"/>
  <c r="J1564"/>
  <c r="K1564" s="1"/>
  <c r="J1563"/>
  <c r="K1563" s="1"/>
  <c r="J1562"/>
  <c r="K1562" s="1"/>
  <c r="J1561"/>
  <c r="K1561" s="1"/>
  <c r="J1560"/>
  <c r="K1560" s="1"/>
  <c r="J1559"/>
  <c r="K1559" s="1"/>
  <c r="J1558"/>
  <c r="K1558" s="1"/>
  <c r="J1557"/>
  <c r="K1557" s="1"/>
  <c r="J1556"/>
  <c r="K1556" s="1"/>
  <c r="J1555"/>
  <c r="K1555" s="1"/>
  <c r="J1554"/>
  <c r="K1554" s="1"/>
  <c r="J1553"/>
  <c r="K1553" s="1"/>
  <c r="J1552"/>
  <c r="K1552" s="1"/>
  <c r="J1551"/>
  <c r="K1551" s="1"/>
  <c r="J1550"/>
  <c r="K1550" s="1"/>
  <c r="J1549"/>
  <c r="K1549" s="1"/>
  <c r="J1548"/>
  <c r="K1548" s="1"/>
  <c r="J1547"/>
  <c r="K1547" s="1"/>
  <c r="J1546"/>
  <c r="K1546" s="1"/>
  <c r="J1545"/>
  <c r="K1545" s="1"/>
  <c r="J1544"/>
  <c r="K1544" s="1"/>
  <c r="J1543"/>
  <c r="K1543" s="1"/>
  <c r="J1542"/>
  <c r="K1542" s="1"/>
  <c r="J1541"/>
  <c r="K1541" s="1"/>
  <c r="J1540"/>
  <c r="K1540" s="1"/>
  <c r="J1539"/>
  <c r="K1539" s="1"/>
  <c r="J1538"/>
  <c r="K1538" s="1"/>
  <c r="J1537"/>
  <c r="K1537" s="1"/>
  <c r="J1536"/>
  <c r="K1536" s="1"/>
  <c r="J1535"/>
  <c r="K1535" s="1"/>
  <c r="J1534"/>
  <c r="K1534" s="1"/>
  <c r="J1531"/>
  <c r="K1531" s="1"/>
  <c r="J1530"/>
  <c r="K1530" s="1"/>
  <c r="J1529"/>
  <c r="K1529" s="1"/>
  <c r="J1528"/>
  <c r="K1528" s="1"/>
  <c r="J1527"/>
  <c r="K1527" s="1"/>
  <c r="J1526"/>
  <c r="K1526" s="1"/>
  <c r="J1525"/>
  <c r="K1525" s="1"/>
  <c r="J1524"/>
  <c r="K1524" s="1"/>
  <c r="J1523"/>
  <c r="K1523" s="1"/>
  <c r="J1522"/>
  <c r="K1522" s="1"/>
  <c r="J1521"/>
  <c r="K1521" s="1"/>
  <c r="J1520"/>
  <c r="K1520" s="1"/>
  <c r="J1519"/>
  <c r="K1519" s="1"/>
  <c r="J1518"/>
  <c r="K1518" s="1"/>
  <c r="J1517"/>
  <c r="K1517" s="1"/>
  <c r="J1516"/>
  <c r="K1516" s="1"/>
  <c r="J1515"/>
  <c r="K1515" s="1"/>
  <c r="J1514"/>
  <c r="K1514" s="1"/>
  <c r="J1513"/>
  <c r="K1513" s="1"/>
  <c r="J1512"/>
  <c r="K1512" s="1"/>
  <c r="J1511"/>
  <c r="K1511" s="1"/>
  <c r="J1510"/>
  <c r="K1510" s="1"/>
  <c r="J1509"/>
  <c r="K1509" s="1"/>
  <c r="J1508"/>
  <c r="K1508" s="1"/>
  <c r="J1507"/>
  <c r="K1507" s="1"/>
  <c r="J1506"/>
  <c r="K1506" s="1"/>
  <c r="J1505"/>
  <c r="K1505" s="1"/>
  <c r="J1504"/>
  <c r="K1504" s="1"/>
  <c r="J1503"/>
  <c r="K1503" s="1"/>
  <c r="J1502"/>
  <c r="K1502" s="1"/>
  <c r="J1501"/>
  <c r="K1501" s="1"/>
  <c r="J1500"/>
  <c r="K1500" s="1"/>
  <c r="J1499"/>
  <c r="K1499" s="1"/>
  <c r="J1498"/>
  <c r="K1498" s="1"/>
  <c r="J1497"/>
  <c r="K1497" s="1"/>
  <c r="J1496"/>
  <c r="K1496" s="1"/>
  <c r="J1495"/>
  <c r="K1495" s="1"/>
  <c r="J1494"/>
  <c r="K1494" s="1"/>
  <c r="J1493"/>
  <c r="K1493" s="1"/>
  <c r="J1492"/>
  <c r="K1492" s="1"/>
  <c r="J1491"/>
  <c r="K1491" s="1"/>
  <c r="J1490"/>
  <c r="K1490" s="1"/>
  <c r="J1489"/>
  <c r="K1489" s="1"/>
  <c r="J1488"/>
  <c r="K1488" s="1"/>
  <c r="J1487"/>
  <c r="K1487" s="1"/>
  <c r="J1486"/>
  <c r="K1486" s="1"/>
  <c r="J1484"/>
  <c r="K1484" s="1"/>
  <c r="J1483"/>
  <c r="K1483" s="1"/>
  <c r="J1482"/>
  <c r="K1482" s="1"/>
  <c r="J1481"/>
  <c r="K1481" s="1"/>
  <c r="J1480"/>
  <c r="K1480" s="1"/>
  <c r="J1479"/>
  <c r="K1479" s="1"/>
  <c r="J1478"/>
  <c r="K1478" s="1"/>
  <c r="J1477"/>
  <c r="K1477" s="1"/>
  <c r="J1476"/>
  <c r="K1476" s="1"/>
  <c r="J1475"/>
  <c r="K1475" s="1"/>
  <c r="J1474"/>
  <c r="K1474" s="1"/>
  <c r="J1473"/>
  <c r="K1473" s="1"/>
  <c r="J1472"/>
  <c r="K1472" s="1"/>
  <c r="J1471"/>
  <c r="K1471" s="1"/>
  <c r="J1470"/>
  <c r="K1470" s="1"/>
  <c r="J1469"/>
  <c r="K1469" s="1"/>
  <c r="J1468"/>
  <c r="K1468" s="1"/>
  <c r="J1467"/>
  <c r="K1467" s="1"/>
  <c r="J1466"/>
  <c r="K1466" s="1"/>
  <c r="J1465"/>
  <c r="K1465" s="1"/>
  <c r="J1464"/>
  <c r="K1464" s="1"/>
  <c r="J1463"/>
  <c r="K1463" s="1"/>
  <c r="J1462"/>
  <c r="K1462" s="1"/>
  <c r="J1461"/>
  <c r="K1461" s="1"/>
  <c r="J1459"/>
  <c r="K1459" s="1"/>
  <c r="J1458"/>
  <c r="K1458" s="1"/>
  <c r="J1457"/>
  <c r="K1457" s="1"/>
  <c r="J1456"/>
  <c r="K1456" s="1"/>
  <c r="J1455"/>
  <c r="K1455" s="1"/>
  <c r="J1454"/>
  <c r="K1454" s="1"/>
  <c r="J1453"/>
  <c r="K1453" s="1"/>
  <c r="J1452"/>
  <c r="K1452" s="1"/>
  <c r="J1451"/>
  <c r="K1451" s="1"/>
  <c r="J1450"/>
  <c r="K1450" s="1"/>
  <c r="J1449"/>
  <c r="K1449" s="1"/>
  <c r="J1448"/>
  <c r="K1448" s="1"/>
  <c r="J1447"/>
  <c r="K1447" s="1"/>
  <c r="J1446"/>
  <c r="K1446" s="1"/>
  <c r="J1445"/>
  <c r="K1445" s="1"/>
  <c r="J1444"/>
  <c r="K1444" s="1"/>
  <c r="J1443"/>
  <c r="K1443" s="1"/>
  <c r="J1442"/>
  <c r="K1442" s="1"/>
  <c r="J1441"/>
  <c r="K1441" s="1"/>
  <c r="J1440"/>
  <c r="K1440" s="1"/>
  <c r="J1439"/>
  <c r="K1439" s="1"/>
  <c r="J1438"/>
  <c r="K1438" s="1"/>
  <c r="J1437"/>
  <c r="K1437" s="1"/>
  <c r="J1436"/>
  <c r="K1436" s="1"/>
  <c r="J1435"/>
  <c r="K1435" s="1"/>
  <c r="J1434"/>
  <c r="K1434" s="1"/>
  <c r="J1433"/>
  <c r="K1433" s="1"/>
  <c r="J1432"/>
  <c r="K1432" s="1"/>
  <c r="J1431"/>
  <c r="K1431" s="1"/>
  <c r="J1430"/>
  <c r="K1430" s="1"/>
  <c r="J1429"/>
  <c r="K1429" s="1"/>
  <c r="J1428"/>
  <c r="K1428" s="1"/>
  <c r="J1427"/>
  <c r="K1427" s="1"/>
  <c r="J1426"/>
  <c r="K1426" s="1"/>
  <c r="J1425"/>
  <c r="K1425" s="1"/>
  <c r="J1424"/>
  <c r="K1424" s="1"/>
  <c r="J1423"/>
  <c r="K1423" s="1"/>
  <c r="J1422"/>
  <c r="K1422" s="1"/>
  <c r="J1421"/>
  <c r="K1421" s="1"/>
  <c r="J1420"/>
  <c r="K1420" s="1"/>
  <c r="J1419"/>
  <c r="K1419" s="1"/>
  <c r="J1418"/>
  <c r="K1418" s="1"/>
  <c r="J1417"/>
  <c r="K1417" s="1"/>
  <c r="J1416"/>
  <c r="K1416" s="1"/>
  <c r="J1415"/>
  <c r="K1415" s="1"/>
  <c r="J1414"/>
  <c r="K1414" s="1"/>
  <c r="J1412"/>
  <c r="K1412" s="1"/>
  <c r="J1411"/>
  <c r="K1411" s="1"/>
  <c r="J1410"/>
  <c r="K1410" s="1"/>
  <c r="J1409"/>
  <c r="K1409" s="1"/>
  <c r="J1408"/>
  <c r="K1408" s="1"/>
  <c r="J1407"/>
  <c r="K1407" s="1"/>
  <c r="J1406"/>
  <c r="K1406" s="1"/>
  <c r="J1405"/>
  <c r="K1405" s="1"/>
  <c r="J1404"/>
  <c r="K1404" s="1"/>
  <c r="J1403"/>
  <c r="K1403" s="1"/>
  <c r="J1402"/>
  <c r="K1402" s="1"/>
  <c r="J1401"/>
  <c r="K1401" s="1"/>
  <c r="J1400"/>
  <c r="K1400" s="1"/>
  <c r="J1399"/>
  <c r="K1399" s="1"/>
  <c r="J1398"/>
  <c r="K1398" s="1"/>
  <c r="J1397"/>
  <c r="K1397" s="1"/>
  <c r="J1396"/>
  <c r="K1396" s="1"/>
  <c r="J1395"/>
  <c r="K1395" s="1"/>
  <c r="J1394"/>
  <c r="K1394" s="1"/>
  <c r="J1393"/>
  <c r="K1393" s="1"/>
  <c r="J1392"/>
  <c r="K1392" s="1"/>
  <c r="J1391"/>
  <c r="K1391" s="1"/>
  <c r="J1390"/>
  <c r="K1390" s="1"/>
  <c r="J1389"/>
  <c r="K1389" s="1"/>
  <c r="J1388"/>
  <c r="K1388" s="1"/>
  <c r="J1387"/>
  <c r="K1387" s="1"/>
  <c r="J1386"/>
  <c r="K1386" s="1"/>
  <c r="J1385"/>
  <c r="K1385" s="1"/>
  <c r="J1384"/>
  <c r="K1384" s="1"/>
  <c r="J1383"/>
  <c r="K1383" s="1"/>
  <c r="J1382"/>
  <c r="K1382" s="1"/>
  <c r="J1381"/>
  <c r="K1381" s="1"/>
  <c r="J1380"/>
  <c r="K1380" s="1"/>
  <c r="J1379"/>
  <c r="K1379" s="1"/>
  <c r="J1378"/>
  <c r="K1378" s="1"/>
  <c r="J1377"/>
  <c r="K1377" s="1"/>
  <c r="J1373"/>
  <c r="K1373" s="1"/>
  <c r="J1372"/>
  <c r="K1372" s="1"/>
  <c r="J1371"/>
  <c r="K1371" s="1"/>
  <c r="J1370"/>
  <c r="K1370" s="1"/>
  <c r="J1369"/>
  <c r="K1369" s="1"/>
  <c r="J1368"/>
  <c r="K1368" s="1"/>
  <c r="J1367"/>
  <c r="K1367" s="1"/>
  <c r="J1360"/>
  <c r="K1360" s="1"/>
  <c r="J1359"/>
  <c r="K1359" s="1"/>
  <c r="J1358"/>
  <c r="K1358" s="1"/>
  <c r="J1357"/>
  <c r="K1357" s="1"/>
  <c r="J1356"/>
  <c r="K1356" s="1"/>
  <c r="J1355"/>
  <c r="K1355" s="1"/>
  <c r="J1354"/>
  <c r="K1354" s="1"/>
  <c r="J1353"/>
  <c r="K1353" s="1"/>
  <c r="J1352"/>
  <c r="K1352" s="1"/>
  <c r="J1351"/>
  <c r="K1351" s="1"/>
  <c r="J1350"/>
  <c r="K1350" s="1"/>
  <c r="J1349"/>
  <c r="K1349" s="1"/>
  <c r="J1348"/>
  <c r="K1348" s="1"/>
  <c r="J1347"/>
  <c r="K1347" s="1"/>
  <c r="J1346"/>
  <c r="K1346" s="1"/>
  <c r="J1345"/>
  <c r="K1345" s="1"/>
  <c r="J1341"/>
  <c r="K1341" s="1"/>
  <c r="J1340"/>
  <c r="K1340" s="1"/>
  <c r="J1339"/>
  <c r="K1339" s="1"/>
  <c r="J1338"/>
  <c r="K1338" s="1"/>
  <c r="J1337"/>
  <c r="K1337" s="1"/>
  <c r="J1336"/>
  <c r="K1336" s="1"/>
  <c r="J1335"/>
  <c r="K1335" s="1"/>
  <c r="J1334"/>
  <c r="K1334" s="1"/>
  <c r="J1333"/>
  <c r="K1333" s="1"/>
  <c r="J1326"/>
  <c r="K1326" s="1"/>
  <c r="J1325"/>
  <c r="K1325" s="1"/>
  <c r="J1324"/>
  <c r="K1324" s="1"/>
  <c r="J1323"/>
  <c r="K1323" s="1"/>
  <c r="J1322"/>
  <c r="K1322" s="1"/>
  <c r="J1321"/>
  <c r="K1321" s="1"/>
  <c r="J1320"/>
  <c r="K1320" s="1"/>
  <c r="J1319"/>
  <c r="K1319" s="1"/>
  <c r="J1318"/>
  <c r="K1318" s="1"/>
  <c r="J1317"/>
  <c r="K1317" s="1"/>
  <c r="J1316"/>
  <c r="K1316" s="1"/>
  <c r="J1315"/>
  <c r="K1315" s="1"/>
  <c r="J1314"/>
  <c r="K1314" s="1"/>
  <c r="J1313"/>
  <c r="K1313" s="1"/>
  <c r="J1312"/>
  <c r="K1312" s="1"/>
  <c r="J1311"/>
  <c r="K1311" s="1"/>
  <c r="J1310"/>
  <c r="K1310" s="1"/>
  <c r="J1309"/>
  <c r="K1309" s="1"/>
  <c r="J1308"/>
  <c r="K1308" s="1"/>
  <c r="J1307"/>
  <c r="K1307" s="1"/>
  <c r="J1306"/>
  <c r="K1306" s="1"/>
  <c r="J1305"/>
  <c r="K1305" s="1"/>
  <c r="J1304"/>
  <c r="K1304" s="1"/>
  <c r="J1303"/>
  <c r="K1303" s="1"/>
  <c r="J1302"/>
  <c r="K1302" s="1"/>
  <c r="J1301"/>
  <c r="K1301" s="1"/>
  <c r="J1300"/>
  <c r="K1300" s="1"/>
  <c r="J1298"/>
  <c r="K1298" s="1"/>
  <c r="J1297"/>
  <c r="K1297" s="1"/>
  <c r="J1296"/>
  <c r="K1296" s="1"/>
  <c r="J1295"/>
  <c r="K1295" s="1"/>
  <c r="J1294"/>
  <c r="K1294" s="1"/>
  <c r="J1293"/>
  <c r="K1293" s="1"/>
  <c r="J1292"/>
  <c r="K1292" s="1"/>
  <c r="J1291"/>
  <c r="K1291" s="1"/>
  <c r="J1290"/>
  <c r="K1290" s="1"/>
  <c r="J1289"/>
  <c r="K1289" s="1"/>
  <c r="J1288"/>
  <c r="K1288" s="1"/>
  <c r="J1287"/>
  <c r="K1287" s="1"/>
  <c r="J1286"/>
  <c r="K1286" s="1"/>
  <c r="J1285"/>
  <c r="K1285" s="1"/>
  <c r="J1284"/>
  <c r="K1284" s="1"/>
  <c r="J1283"/>
  <c r="K1283" s="1"/>
  <c r="J1282"/>
  <c r="K1282" s="1"/>
  <c r="J1281"/>
  <c r="K1281" s="1"/>
  <c r="J1280"/>
  <c r="K1280" s="1"/>
  <c r="J1279"/>
  <c r="K1279" s="1"/>
  <c r="J1278"/>
  <c r="K1278" s="1"/>
  <c r="J1277"/>
  <c r="K1277" s="1"/>
  <c r="J1276"/>
  <c r="K1276" s="1"/>
  <c r="J1275"/>
  <c r="K1275" s="1"/>
  <c r="J1274"/>
  <c r="K1274" s="1"/>
  <c r="J1273"/>
  <c r="K1273" s="1"/>
  <c r="J1272"/>
  <c r="K1272" s="1"/>
  <c r="J1271"/>
  <c r="K1271" s="1"/>
  <c r="J1270"/>
  <c r="K1270" s="1"/>
  <c r="J1269"/>
  <c r="K1269" s="1"/>
  <c r="J1268"/>
  <c r="K1268" s="1"/>
  <c r="J1267"/>
  <c r="K1267" s="1"/>
  <c r="J1266"/>
  <c r="K1266" s="1"/>
  <c r="J1265"/>
  <c r="K1265" s="1"/>
  <c r="J1264"/>
  <c r="K1264" s="1"/>
  <c r="J1263"/>
  <c r="K1263" s="1"/>
  <c r="J1262"/>
  <c r="K1262" s="1"/>
  <c r="J1261"/>
  <c r="K1261" s="1"/>
  <c r="J1260"/>
  <c r="K1260" s="1"/>
  <c r="J1259"/>
  <c r="K1259" s="1"/>
  <c r="J1258"/>
  <c r="K1258" s="1"/>
  <c r="J1257"/>
  <c r="K1257" s="1"/>
  <c r="J1256"/>
  <c r="K1256" s="1"/>
  <c r="J1255"/>
  <c r="K1255" s="1"/>
  <c r="J1254"/>
  <c r="K1254" s="1"/>
  <c r="J1253"/>
  <c r="K1253" s="1"/>
  <c r="J1252"/>
  <c r="K1252" s="1"/>
  <c r="J1251"/>
  <c r="K1251" s="1"/>
  <c r="J1250"/>
  <c r="K1250" s="1"/>
  <c r="J1249"/>
  <c r="K1249" s="1"/>
  <c r="J1248"/>
  <c r="K1248" s="1"/>
  <c r="J1247"/>
  <c r="K1247" s="1"/>
  <c r="J1246"/>
  <c r="K1246" s="1"/>
  <c r="J1245"/>
  <c r="K1245" s="1"/>
  <c r="J1244"/>
  <c r="K1244" s="1"/>
  <c r="J1243"/>
  <c r="K1243" s="1"/>
  <c r="J1242"/>
  <c r="K1242" s="1"/>
  <c r="J1241"/>
  <c r="K1241" s="1"/>
  <c r="J1240"/>
  <c r="K1240" s="1"/>
  <c r="J1239"/>
  <c r="K1239" s="1"/>
  <c r="J1238"/>
  <c r="K1238" s="1"/>
  <c r="J1237"/>
  <c r="K1237" s="1"/>
  <c r="J1236"/>
  <c r="K1236" s="1"/>
  <c r="J1235"/>
  <c r="K1235" s="1"/>
  <c r="J1234"/>
  <c r="K1234" s="1"/>
  <c r="J1233"/>
  <c r="K1233" s="1"/>
  <c r="J1232"/>
  <c r="K1232" s="1"/>
  <c r="J1231"/>
  <c r="K1231" s="1"/>
  <c r="J1230"/>
  <c r="K1230" s="1"/>
  <c r="J1229"/>
  <c r="K1229" s="1"/>
  <c r="J1228"/>
  <c r="K1228" s="1"/>
  <c r="J1227"/>
  <c r="K1227" s="1"/>
  <c r="J1226"/>
  <c r="K1226" s="1"/>
  <c r="J1225"/>
  <c r="K1225" s="1"/>
  <c r="J1224"/>
  <c r="K1224" s="1"/>
  <c r="J1223"/>
  <c r="K1223" s="1"/>
  <c r="J1222"/>
  <c r="K1222" s="1"/>
  <c r="J1221"/>
  <c r="K1221" s="1"/>
  <c r="J1220"/>
  <c r="K1220" s="1"/>
  <c r="J1218"/>
  <c r="K1218" s="1"/>
  <c r="J1217"/>
  <c r="K1217" s="1"/>
  <c r="J1216"/>
  <c r="K1216" s="1"/>
  <c r="J1215"/>
  <c r="K1215" s="1"/>
  <c r="J1214"/>
  <c r="K1214" s="1"/>
  <c r="J1213"/>
  <c r="K1213" s="1"/>
  <c r="J1212"/>
  <c r="K1212" s="1"/>
  <c r="J1211"/>
  <c r="K1211" s="1"/>
  <c r="J1210"/>
  <c r="K1210" s="1"/>
  <c r="J1209"/>
  <c r="K1209" s="1"/>
  <c r="J1208"/>
  <c r="K1208" s="1"/>
  <c r="J1207"/>
  <c r="K1207" s="1"/>
  <c r="J1206"/>
  <c r="K1206" s="1"/>
  <c r="J1205"/>
  <c r="K1205" s="1"/>
  <c r="J1204"/>
  <c r="K1204" s="1"/>
  <c r="J1203"/>
  <c r="K1203" s="1"/>
  <c r="J1202"/>
  <c r="K1202" s="1"/>
  <c r="J1201"/>
  <c r="K1201" s="1"/>
  <c r="J1200"/>
  <c r="K1200" s="1"/>
  <c r="J1199"/>
  <c r="K1199" s="1"/>
  <c r="J1198"/>
  <c r="K1198" s="1"/>
  <c r="J1197"/>
  <c r="K1197" s="1"/>
  <c r="J1196"/>
  <c r="K1196" s="1"/>
  <c r="J1195"/>
  <c r="K1195" s="1"/>
  <c r="J1194"/>
  <c r="K1194" s="1"/>
  <c r="J1193"/>
  <c r="K1193" s="1"/>
  <c r="J1192"/>
  <c r="K1192" s="1"/>
  <c r="J1191"/>
  <c r="K1191" s="1"/>
  <c r="J1190"/>
  <c r="K1190" s="1"/>
  <c r="J1189"/>
  <c r="K1189" s="1"/>
  <c r="J1188"/>
  <c r="K1188" s="1"/>
  <c r="J1187"/>
  <c r="K1187" s="1"/>
  <c r="J1186"/>
  <c r="K1186" s="1"/>
  <c r="J1185"/>
  <c r="K1185" s="1"/>
  <c r="J1184"/>
  <c r="K1184" s="1"/>
  <c r="J1183"/>
  <c r="K1183" s="1"/>
  <c r="J1182"/>
  <c r="K1182" s="1"/>
  <c r="J1181"/>
  <c r="K1181" s="1"/>
  <c r="J1180"/>
  <c r="K1180" s="1"/>
  <c r="J1179"/>
  <c r="K1179" s="1"/>
  <c r="J1178"/>
  <c r="K1178" s="1"/>
  <c r="J1177"/>
  <c r="K1177" s="1"/>
  <c r="J1176"/>
  <c r="K1176" s="1"/>
  <c r="J1175"/>
  <c r="K1175" s="1"/>
  <c r="J1174"/>
  <c r="K1174" s="1"/>
  <c r="J1173"/>
  <c r="K1173" s="1"/>
  <c r="J1172"/>
  <c r="K1172" s="1"/>
  <c r="J1171"/>
  <c r="K1171" s="1"/>
  <c r="J1170"/>
  <c r="K1170" s="1"/>
  <c r="J1169"/>
  <c r="K1169" s="1"/>
  <c r="J1168"/>
  <c r="K1168" s="1"/>
  <c r="J1167"/>
  <c r="D1167"/>
  <c r="C1167"/>
  <c r="B1167"/>
  <c r="J1166"/>
  <c r="D1166"/>
  <c r="C1166"/>
  <c r="B1166"/>
  <c r="J1165"/>
  <c r="D1165"/>
  <c r="C1165"/>
  <c r="B1165"/>
  <c r="J1164"/>
  <c r="K1164" s="1"/>
  <c r="J1163"/>
  <c r="K1163" s="1"/>
  <c r="J1162"/>
  <c r="K1162" s="1"/>
  <c r="J1161"/>
  <c r="K1161" s="1"/>
  <c r="J1160"/>
  <c r="K1160" s="1"/>
  <c r="J1159"/>
  <c r="K1159" s="1"/>
  <c r="J1158"/>
  <c r="K1158" s="1"/>
  <c r="J1157"/>
  <c r="K1157" s="1"/>
  <c r="J1156"/>
  <c r="K1156" s="1"/>
  <c r="J1155"/>
  <c r="K1155" s="1"/>
  <c r="J1154"/>
  <c r="K1154" s="1"/>
  <c r="J1153"/>
  <c r="K1153" s="1"/>
  <c r="J1152"/>
  <c r="K1152" s="1"/>
  <c r="J1151"/>
  <c r="K1151" s="1"/>
  <c r="J1150"/>
  <c r="K1150" s="1"/>
  <c r="J1149"/>
  <c r="K1149" s="1"/>
  <c r="J1148"/>
  <c r="K1148" s="1"/>
  <c r="J1147"/>
  <c r="K1147" s="1"/>
  <c r="J1146"/>
  <c r="K1146" s="1"/>
  <c r="J1145"/>
  <c r="K1145" s="1"/>
  <c r="J1144"/>
  <c r="K1144" s="1"/>
  <c r="J1143"/>
  <c r="K1143" s="1"/>
  <c r="J1142"/>
  <c r="K1142" s="1"/>
  <c r="J1141"/>
  <c r="K1141" s="1"/>
  <c r="J1140"/>
  <c r="K1140" s="1"/>
  <c r="J1138"/>
  <c r="K1138" s="1"/>
  <c r="J1137"/>
  <c r="K1137" s="1"/>
  <c r="J1136"/>
  <c r="K1136" s="1"/>
  <c r="J1135"/>
  <c r="K1135" s="1"/>
  <c r="J1134"/>
  <c r="K1134" s="1"/>
  <c r="J1133"/>
  <c r="K1133" s="1"/>
  <c r="J1132"/>
  <c r="K1132" s="1"/>
  <c r="J1131"/>
  <c r="K1131" s="1"/>
  <c r="J1130"/>
  <c r="K1130" s="1"/>
  <c r="J1129"/>
  <c r="K1129" s="1"/>
  <c r="J1128"/>
  <c r="K1128" s="1"/>
  <c r="J1127"/>
  <c r="K1127" s="1"/>
  <c r="J1126"/>
  <c r="K1126" s="1"/>
  <c r="J1125"/>
  <c r="K1125" s="1"/>
  <c r="J1124"/>
  <c r="K1124" s="1"/>
  <c r="J1123"/>
  <c r="K1123" s="1"/>
  <c r="J1122"/>
  <c r="K1122" s="1"/>
  <c r="J1121"/>
  <c r="K1121" s="1"/>
  <c r="J1120"/>
  <c r="K1120" s="1"/>
  <c r="J1119"/>
  <c r="K1119" s="1"/>
  <c r="J1118"/>
  <c r="K1118" s="1"/>
  <c r="J1117"/>
  <c r="K1117" s="1"/>
  <c r="J1116"/>
  <c r="K1116" s="1"/>
  <c r="J1115"/>
  <c r="K1115" s="1"/>
  <c r="J1114"/>
  <c r="K1114" s="1"/>
  <c r="J1113"/>
  <c r="K1113" s="1"/>
  <c r="J1112"/>
  <c r="K1112" s="1"/>
  <c r="J1111"/>
  <c r="K1111" s="1"/>
  <c r="J1110"/>
  <c r="K1110" s="1"/>
  <c r="J1109"/>
  <c r="K1109" s="1"/>
  <c r="J1108"/>
  <c r="K1108" s="1"/>
  <c r="J1107"/>
  <c r="K1107" s="1"/>
  <c r="J1106"/>
  <c r="K1106" s="1"/>
  <c r="J1105"/>
  <c r="K1105" s="1"/>
  <c r="J1104"/>
  <c r="K1104" s="1"/>
  <c r="J1103"/>
  <c r="K1103" s="1"/>
  <c r="J1102"/>
  <c r="K1102" s="1"/>
  <c r="J1101"/>
  <c r="K1101" s="1"/>
  <c r="J1100"/>
  <c r="K1100" s="1"/>
  <c r="J1099"/>
  <c r="K1099" s="1"/>
  <c r="J1098"/>
  <c r="K1098" s="1"/>
  <c r="J1097"/>
  <c r="K1097" s="1"/>
  <c r="J1096"/>
  <c r="K1096" s="1"/>
  <c r="J1095"/>
  <c r="K1095" s="1"/>
  <c r="J1094"/>
  <c r="K1094" s="1"/>
  <c r="J1093"/>
  <c r="K1093" s="1"/>
  <c r="J1092"/>
  <c r="K1092" s="1"/>
  <c r="J1091"/>
  <c r="K1091" s="1"/>
  <c r="J1090"/>
  <c r="K1090" s="1"/>
  <c r="J1089"/>
  <c r="K1089" s="1"/>
  <c r="J1088"/>
  <c r="K1088" s="1"/>
  <c r="J1087"/>
  <c r="K1087" s="1"/>
  <c r="J1086"/>
  <c r="K1086" s="1"/>
  <c r="J1085"/>
  <c r="K1085" s="1"/>
  <c r="J1084"/>
  <c r="K1084" s="1"/>
  <c r="J1083"/>
  <c r="K1083" s="1"/>
  <c r="J1082"/>
  <c r="K1082" s="1"/>
  <c r="J1081"/>
  <c r="K1081" s="1"/>
  <c r="J1080"/>
  <c r="K1080" s="1"/>
  <c r="J1079"/>
  <c r="K1079" s="1"/>
  <c r="J1078"/>
  <c r="K1078" s="1"/>
  <c r="J1077"/>
  <c r="K1077" s="1"/>
  <c r="J1076"/>
  <c r="K1076" s="1"/>
  <c r="J1075"/>
  <c r="K1075" s="1"/>
  <c r="J1074"/>
  <c r="K1074" s="1"/>
  <c r="J1073"/>
  <c r="K1073" s="1"/>
  <c r="J1072"/>
  <c r="K1072" s="1"/>
  <c r="J1071"/>
  <c r="K1071" s="1"/>
  <c r="J1070"/>
  <c r="K1070" s="1"/>
  <c r="J1069"/>
  <c r="K1069" s="1"/>
  <c r="J1068"/>
  <c r="K1068" s="1"/>
  <c r="J1067"/>
  <c r="K1067" s="1"/>
  <c r="J1066"/>
  <c r="K1066" s="1"/>
  <c r="J1065"/>
  <c r="K1065" s="1"/>
  <c r="J1064"/>
  <c r="K1064" s="1"/>
  <c r="J1063"/>
  <c r="K1063" s="1"/>
  <c r="J1062"/>
  <c r="K1062" s="1"/>
  <c r="J1061"/>
  <c r="K1061" s="1"/>
  <c r="J1060"/>
  <c r="K1060" s="1"/>
  <c r="J1059"/>
  <c r="K1059" s="1"/>
  <c r="J1058"/>
  <c r="K1058" s="1"/>
  <c r="J1057"/>
  <c r="K1057" s="1"/>
  <c r="J1055"/>
  <c r="K1055" s="1"/>
  <c r="J1054"/>
  <c r="K1054" s="1"/>
  <c r="J1053"/>
  <c r="K1053" s="1"/>
  <c r="J1052"/>
  <c r="K1052" s="1"/>
  <c r="J1050"/>
  <c r="K1050" s="1"/>
  <c r="J1049"/>
  <c r="K1049" s="1"/>
  <c r="J1048"/>
  <c r="K1048" s="1"/>
  <c r="J1047"/>
  <c r="K1047" s="1"/>
  <c r="J1046"/>
  <c r="K1046" s="1"/>
  <c r="J1045"/>
  <c r="K1045" s="1"/>
  <c r="J1044"/>
  <c r="K1044" s="1"/>
  <c r="J1043"/>
  <c r="K1043" s="1"/>
  <c r="J1042"/>
  <c r="K1042" s="1"/>
  <c r="J1041"/>
  <c r="K1041" s="1"/>
  <c r="J1040"/>
  <c r="K1040" s="1"/>
  <c r="J1039"/>
  <c r="K1039" s="1"/>
  <c r="J1038"/>
  <c r="K1038" s="1"/>
  <c r="J1037"/>
  <c r="K1037" s="1"/>
  <c r="J1036"/>
  <c r="K1036" s="1"/>
  <c r="J1035"/>
  <c r="K1035" s="1"/>
  <c r="J1034"/>
  <c r="K1034" s="1"/>
  <c r="J1033"/>
  <c r="K1033" s="1"/>
  <c r="J1032"/>
  <c r="K1032" s="1"/>
  <c r="J1031"/>
  <c r="K1031" s="1"/>
  <c r="J1030"/>
  <c r="K1030" s="1"/>
  <c r="J1029"/>
  <c r="K1029" s="1"/>
  <c r="J1028"/>
  <c r="K1028" s="1"/>
  <c r="J1027"/>
  <c r="K1027" s="1"/>
  <c r="J1026"/>
  <c r="K1026" s="1"/>
  <c r="J1025"/>
  <c r="K1025" s="1"/>
  <c r="J1024"/>
  <c r="K1024" s="1"/>
  <c r="J1023"/>
  <c r="K1023" s="1"/>
  <c r="J1022"/>
  <c r="K1022" s="1"/>
  <c r="J1021"/>
  <c r="K1021" s="1"/>
  <c r="J1020"/>
  <c r="K1020" s="1"/>
  <c r="J1019"/>
  <c r="K1019" s="1"/>
  <c r="J1018"/>
  <c r="K1018" s="1"/>
  <c r="J1017"/>
  <c r="K1017" s="1"/>
  <c r="J1016"/>
  <c r="K1016" s="1"/>
  <c r="J1015"/>
  <c r="K1015" s="1"/>
  <c r="J1014"/>
  <c r="K1014" s="1"/>
  <c r="J1013"/>
  <c r="K1013" s="1"/>
  <c r="J1012"/>
  <c r="K1012" s="1"/>
  <c r="J1011"/>
  <c r="K1011" s="1"/>
  <c r="J1010"/>
  <c r="K1010" s="1"/>
  <c r="J1009"/>
  <c r="K1009" s="1"/>
  <c r="J1008"/>
  <c r="K1008" s="1"/>
  <c r="J1007"/>
  <c r="K1007" s="1"/>
  <c r="J1006"/>
  <c r="K1006" s="1"/>
  <c r="J1005"/>
  <c r="K1005" s="1"/>
  <c r="J1004"/>
  <c r="K1004" s="1"/>
  <c r="J1003"/>
  <c r="K1003" s="1"/>
  <c r="J1002"/>
  <c r="K1002" s="1"/>
  <c r="J1001"/>
  <c r="K1001" s="1"/>
  <c r="J1000"/>
  <c r="K1000" s="1"/>
  <c r="J999"/>
  <c r="K999" s="1"/>
  <c r="J998"/>
  <c r="K998" s="1"/>
  <c r="J997"/>
  <c r="K997" s="1"/>
  <c r="J996"/>
  <c r="K996" s="1"/>
  <c r="J995"/>
  <c r="K995" s="1"/>
  <c r="J993"/>
  <c r="K993" s="1"/>
  <c r="J992"/>
  <c r="K992" s="1"/>
  <c r="J991"/>
  <c r="K991" s="1"/>
  <c r="J990"/>
  <c r="K990" s="1"/>
  <c r="J989"/>
  <c r="K989" s="1"/>
  <c r="J988"/>
  <c r="K988" s="1"/>
  <c r="J987"/>
  <c r="K987" s="1"/>
  <c r="J986"/>
  <c r="K986" s="1"/>
  <c r="J985"/>
  <c r="K985" s="1"/>
  <c r="J984"/>
  <c r="K984" s="1"/>
  <c r="J983"/>
  <c r="K983" s="1"/>
  <c r="J982"/>
  <c r="K982" s="1"/>
  <c r="J981"/>
  <c r="K981" s="1"/>
  <c r="J980"/>
  <c r="K980" s="1"/>
  <c r="J979"/>
  <c r="K979" s="1"/>
  <c r="J978"/>
  <c r="K978" s="1"/>
  <c r="J977"/>
  <c r="K977" s="1"/>
  <c r="J976"/>
  <c r="K976" s="1"/>
  <c r="J975"/>
  <c r="K975" s="1"/>
  <c r="J974"/>
  <c r="K974" s="1"/>
  <c r="J973"/>
  <c r="K973" s="1"/>
  <c r="J972"/>
  <c r="K972" s="1"/>
  <c r="J971"/>
  <c r="K971" s="1"/>
  <c r="J970"/>
  <c r="K970" s="1"/>
  <c r="J969"/>
  <c r="K969" s="1"/>
  <c r="J968"/>
  <c r="K968" s="1"/>
  <c r="J967"/>
  <c r="K967" s="1"/>
  <c r="J966"/>
  <c r="K966" s="1"/>
  <c r="J965"/>
  <c r="K965" s="1"/>
  <c r="J964"/>
  <c r="K964" s="1"/>
  <c r="J963"/>
  <c r="K963" s="1"/>
  <c r="J962"/>
  <c r="K962" s="1"/>
  <c r="J961"/>
  <c r="K961" s="1"/>
  <c r="J960"/>
  <c r="K960" s="1"/>
  <c r="J959"/>
  <c r="K959" s="1"/>
  <c r="J958"/>
  <c r="K958" s="1"/>
  <c r="J957"/>
  <c r="K957" s="1"/>
  <c r="J956"/>
  <c r="K956" s="1"/>
  <c r="J955"/>
  <c r="K955" s="1"/>
  <c r="J954"/>
  <c r="K954" s="1"/>
  <c r="J953"/>
  <c r="K953" s="1"/>
  <c r="J952"/>
  <c r="K952" s="1"/>
  <c r="J951"/>
  <c r="K951" s="1"/>
  <c r="J950"/>
  <c r="K950" s="1"/>
  <c r="J949"/>
  <c r="K949" s="1"/>
  <c r="J948"/>
  <c r="K948" s="1"/>
  <c r="J947"/>
  <c r="K947" s="1"/>
  <c r="J946"/>
  <c r="K946" s="1"/>
  <c r="J945"/>
  <c r="K945" s="1"/>
  <c r="J944"/>
  <c r="K944" s="1"/>
  <c r="J943"/>
  <c r="K943" s="1"/>
  <c r="J942"/>
  <c r="K942" s="1"/>
  <c r="J941"/>
  <c r="K941" s="1"/>
  <c r="J940"/>
  <c r="K940" s="1"/>
  <c r="J939"/>
  <c r="K939" s="1"/>
  <c r="J938"/>
  <c r="K938" s="1"/>
  <c r="J937"/>
  <c r="K937" s="1"/>
  <c r="J936"/>
  <c r="K936" s="1"/>
  <c r="J935"/>
  <c r="K935" s="1"/>
  <c r="J934"/>
  <c r="K934" s="1"/>
  <c r="J933"/>
  <c r="K933" s="1"/>
  <c r="J932"/>
  <c r="K932" s="1"/>
  <c r="J931"/>
  <c r="K931" s="1"/>
  <c r="J930"/>
  <c r="K930" s="1"/>
  <c r="J929"/>
  <c r="K929" s="1"/>
  <c r="J928"/>
  <c r="K928" s="1"/>
  <c r="J927"/>
  <c r="K927" s="1"/>
  <c r="J926"/>
  <c r="K926" s="1"/>
  <c r="J925"/>
  <c r="K925" s="1"/>
  <c r="J924"/>
  <c r="K924" s="1"/>
  <c r="J923"/>
  <c r="K923" s="1"/>
  <c r="J922"/>
  <c r="K922" s="1"/>
  <c r="J921"/>
  <c r="K921" s="1"/>
  <c r="J920"/>
  <c r="K920" s="1"/>
  <c r="J919"/>
  <c r="K919" s="1"/>
  <c r="J918"/>
  <c r="K918" s="1"/>
  <c r="J917"/>
  <c r="K917" s="1"/>
  <c r="J916"/>
  <c r="K916" s="1"/>
  <c r="J915"/>
  <c r="K915" s="1"/>
  <c r="J914"/>
  <c r="K914" s="1"/>
  <c r="J913"/>
  <c r="K913" s="1"/>
  <c r="J912"/>
  <c r="K912" s="1"/>
  <c r="J911"/>
  <c r="K911" s="1"/>
  <c r="J910"/>
  <c r="K910" s="1"/>
  <c r="J909"/>
  <c r="K909" s="1"/>
  <c r="J908"/>
  <c r="K908" s="1"/>
  <c r="J907"/>
  <c r="K907" s="1"/>
  <c r="J906"/>
  <c r="K906" s="1"/>
  <c r="J905"/>
  <c r="K905" s="1"/>
  <c r="J904"/>
  <c r="K904" s="1"/>
  <c r="J903"/>
  <c r="K903" s="1"/>
  <c r="J902"/>
  <c r="K902" s="1"/>
  <c r="J901"/>
  <c r="K901" s="1"/>
  <c r="J900"/>
  <c r="K900" s="1"/>
  <c r="J899"/>
  <c r="K899" s="1"/>
  <c r="J898"/>
  <c r="K898" s="1"/>
  <c r="J897"/>
  <c r="K897" s="1"/>
  <c r="J896"/>
  <c r="K896" s="1"/>
  <c r="J895"/>
  <c r="K895" s="1"/>
  <c r="J894"/>
  <c r="K894" s="1"/>
  <c r="J893"/>
  <c r="K893" s="1"/>
  <c r="J892"/>
  <c r="K892" s="1"/>
  <c r="J891"/>
  <c r="K891" s="1"/>
  <c r="J890"/>
  <c r="K890" s="1"/>
  <c r="J889"/>
  <c r="K889" s="1"/>
  <c r="J888"/>
  <c r="K888" s="1"/>
  <c r="J887"/>
  <c r="K887" s="1"/>
  <c r="J886"/>
  <c r="K886" s="1"/>
  <c r="J885"/>
  <c r="K885" s="1"/>
  <c r="J884"/>
  <c r="K884" s="1"/>
  <c r="J883"/>
  <c r="K883" s="1"/>
  <c r="J882"/>
  <c r="K882" s="1"/>
  <c r="J881"/>
  <c r="K881" s="1"/>
  <c r="J880"/>
  <c r="K880" s="1"/>
  <c r="J879"/>
  <c r="K879" s="1"/>
  <c r="J878"/>
  <c r="K878" s="1"/>
  <c r="J877"/>
  <c r="K877" s="1"/>
  <c r="J876"/>
  <c r="K876" s="1"/>
  <c r="J875"/>
  <c r="K875" s="1"/>
  <c r="J874"/>
  <c r="K874" s="1"/>
  <c r="J873"/>
  <c r="K873" s="1"/>
  <c r="J872"/>
  <c r="K872" s="1"/>
  <c r="J871"/>
  <c r="K871" s="1"/>
  <c r="J870"/>
  <c r="K870" s="1"/>
  <c r="J869"/>
  <c r="K869" s="1"/>
  <c r="J868"/>
  <c r="K868" s="1"/>
  <c r="J867"/>
  <c r="K867" s="1"/>
  <c r="J866"/>
  <c r="K866" s="1"/>
  <c r="J865"/>
  <c r="K865" s="1"/>
  <c r="J864"/>
  <c r="K864" s="1"/>
  <c r="J858"/>
  <c r="K858" s="1"/>
  <c r="J857"/>
  <c r="K857" s="1"/>
  <c r="J856"/>
  <c r="K856" s="1"/>
  <c r="J855"/>
  <c r="K855" s="1"/>
  <c r="J854"/>
  <c r="K854" s="1"/>
  <c r="J853"/>
  <c r="K853" s="1"/>
  <c r="J852"/>
  <c r="K852" s="1"/>
  <c r="J851"/>
  <c r="K851" s="1"/>
  <c r="J850"/>
  <c r="K850" s="1"/>
  <c r="J849"/>
  <c r="K849" s="1"/>
  <c r="J848"/>
  <c r="K848" s="1"/>
  <c r="J847"/>
  <c r="K847" s="1"/>
  <c r="J846"/>
  <c r="K846" s="1"/>
  <c r="J845"/>
  <c r="K845" s="1"/>
  <c r="J844"/>
  <c r="K844" s="1"/>
  <c r="J843"/>
  <c r="K843" s="1"/>
  <c r="J842"/>
  <c r="K842" s="1"/>
  <c r="J841"/>
  <c r="K841" s="1"/>
  <c r="J840"/>
  <c r="K840" s="1"/>
  <c r="J839"/>
  <c r="K839" s="1"/>
  <c r="J838"/>
  <c r="K838" s="1"/>
  <c r="J837"/>
  <c r="K837" s="1"/>
  <c r="J836"/>
  <c r="K836" s="1"/>
  <c r="J835"/>
  <c r="K835" s="1"/>
  <c r="J834"/>
  <c r="K834" s="1"/>
  <c r="J833"/>
  <c r="K833" s="1"/>
  <c r="J832"/>
  <c r="K832" s="1"/>
  <c r="J831"/>
  <c r="K831" s="1"/>
  <c r="J830"/>
  <c r="K830" s="1"/>
  <c r="J829"/>
  <c r="K829" s="1"/>
  <c r="J828"/>
  <c r="K828" s="1"/>
  <c r="J827"/>
  <c r="K827" s="1"/>
  <c r="J826"/>
  <c r="K826" s="1"/>
  <c r="J825"/>
  <c r="K825" s="1"/>
  <c r="J824"/>
  <c r="K824" s="1"/>
  <c r="J823"/>
  <c r="K823" s="1"/>
  <c r="J822"/>
  <c r="K822" s="1"/>
  <c r="J821"/>
  <c r="K821" s="1"/>
  <c r="J820"/>
  <c r="K820" s="1"/>
  <c r="J819"/>
  <c r="K819" s="1"/>
  <c r="J818"/>
  <c r="K818" s="1"/>
  <c r="J817"/>
  <c r="K817" s="1"/>
  <c r="J816"/>
  <c r="K816" s="1"/>
  <c r="J815"/>
  <c r="K815" s="1"/>
  <c r="J814"/>
  <c r="K814" s="1"/>
  <c r="J813"/>
  <c r="K813" s="1"/>
  <c r="J812"/>
  <c r="K812" s="1"/>
  <c r="J811"/>
  <c r="K811" s="1"/>
  <c r="J810"/>
  <c r="K810" s="1"/>
  <c r="J809"/>
  <c r="K809" s="1"/>
  <c r="J808"/>
  <c r="K808" s="1"/>
  <c r="J807"/>
  <c r="K807" s="1"/>
  <c r="J806"/>
  <c r="K806" s="1"/>
  <c r="J805"/>
  <c r="K805" s="1"/>
  <c r="J804"/>
  <c r="K804" s="1"/>
  <c r="J803"/>
  <c r="K803" s="1"/>
  <c r="J802"/>
  <c r="K802" s="1"/>
  <c r="J801"/>
  <c r="K801" s="1"/>
  <c r="J800"/>
  <c r="K800" s="1"/>
  <c r="J799"/>
  <c r="K799" s="1"/>
  <c r="J798"/>
  <c r="K798" s="1"/>
  <c r="J797"/>
  <c r="K797" s="1"/>
  <c r="J796"/>
  <c r="K796" s="1"/>
  <c r="J795"/>
  <c r="K795" s="1"/>
  <c r="J794"/>
  <c r="K794" s="1"/>
  <c r="J792"/>
  <c r="K792" s="1"/>
  <c r="J791"/>
  <c r="K791" s="1"/>
  <c r="J790"/>
  <c r="K790" s="1"/>
  <c r="J789"/>
  <c r="K789" s="1"/>
  <c r="J788"/>
  <c r="K788" s="1"/>
  <c r="J787"/>
  <c r="K787" s="1"/>
  <c r="J786"/>
  <c r="K786" s="1"/>
  <c r="J785"/>
  <c r="K785" s="1"/>
  <c r="J784"/>
  <c r="K784" s="1"/>
  <c r="J783"/>
  <c r="K783" s="1"/>
  <c r="J782"/>
  <c r="K782" s="1"/>
  <c r="J781"/>
  <c r="K781" s="1"/>
  <c r="J780"/>
  <c r="K780" s="1"/>
  <c r="J779"/>
  <c r="K779" s="1"/>
  <c r="J778"/>
  <c r="K778" s="1"/>
  <c r="J777"/>
  <c r="K777" s="1"/>
  <c r="J776"/>
  <c r="K776" s="1"/>
  <c r="J775"/>
  <c r="K775" s="1"/>
  <c r="J774"/>
  <c r="K774" s="1"/>
  <c r="J773"/>
  <c r="K773" s="1"/>
  <c r="J772"/>
  <c r="K772" s="1"/>
  <c r="J771"/>
  <c r="K771" s="1"/>
  <c r="J770"/>
  <c r="K770" s="1"/>
  <c r="J769"/>
  <c r="K769" s="1"/>
  <c r="J768"/>
  <c r="K768" s="1"/>
  <c r="J767"/>
  <c r="K767" s="1"/>
  <c r="J766"/>
  <c r="K766" s="1"/>
  <c r="J765"/>
  <c r="K765" s="1"/>
  <c r="J764"/>
  <c r="K764" s="1"/>
  <c r="J763"/>
  <c r="K763" s="1"/>
  <c r="J762"/>
  <c r="K762" s="1"/>
  <c r="J761"/>
  <c r="K761" s="1"/>
  <c r="J760"/>
  <c r="K760" s="1"/>
  <c r="J759"/>
  <c r="K759" s="1"/>
  <c r="J758"/>
  <c r="K758" s="1"/>
  <c r="J757"/>
  <c r="K757" s="1"/>
  <c r="J756"/>
  <c r="K756" s="1"/>
  <c r="J755"/>
  <c r="K755" s="1"/>
  <c r="J754"/>
  <c r="K754" s="1"/>
  <c r="J753"/>
  <c r="K753" s="1"/>
  <c r="J748"/>
  <c r="K748" s="1"/>
  <c r="J747"/>
  <c r="K747" s="1"/>
  <c r="J746"/>
  <c r="K746" s="1"/>
  <c r="J745"/>
  <c r="K745" s="1"/>
  <c r="J744"/>
  <c r="K744" s="1"/>
  <c r="J743"/>
  <c r="K743" s="1"/>
  <c r="J742"/>
  <c r="K742" s="1"/>
  <c r="J741"/>
  <c r="K741" s="1"/>
  <c r="J740"/>
  <c r="K740" s="1"/>
  <c r="J739"/>
  <c r="K739" s="1"/>
  <c r="J738"/>
  <c r="K738" s="1"/>
  <c r="J737"/>
  <c r="K737" s="1"/>
  <c r="J736"/>
  <c r="K736" s="1"/>
  <c r="J735"/>
  <c r="K735" s="1"/>
  <c r="J734"/>
  <c r="K734" s="1"/>
  <c r="J733"/>
  <c r="K733" s="1"/>
  <c r="J732"/>
  <c r="K732" s="1"/>
  <c r="J731"/>
  <c r="K731" s="1"/>
  <c r="J730"/>
  <c r="K730" s="1"/>
  <c r="J729"/>
  <c r="K729" s="1"/>
  <c r="J728"/>
  <c r="K728" s="1"/>
  <c r="J727"/>
  <c r="K727" s="1"/>
  <c r="J726"/>
  <c r="K726" s="1"/>
  <c r="J725"/>
  <c r="K725" s="1"/>
  <c r="J724"/>
  <c r="K724" s="1"/>
  <c r="J723"/>
  <c r="K723" s="1"/>
  <c r="J722"/>
  <c r="K722" s="1"/>
  <c r="J721"/>
  <c r="K721" s="1"/>
  <c r="J720"/>
  <c r="K720" s="1"/>
  <c r="J719"/>
  <c r="K719" s="1"/>
  <c r="J718"/>
  <c r="K718" s="1"/>
  <c r="J717"/>
  <c r="K717" s="1"/>
  <c r="J716"/>
  <c r="K716" s="1"/>
  <c r="J715"/>
  <c r="K715" s="1"/>
  <c r="J714"/>
  <c r="K714" s="1"/>
  <c r="J713"/>
  <c r="K713" s="1"/>
  <c r="J712"/>
  <c r="K712" s="1"/>
  <c r="J711"/>
  <c r="K711" s="1"/>
  <c r="J710"/>
  <c r="K710" s="1"/>
  <c r="J709"/>
  <c r="K709" s="1"/>
  <c r="J708"/>
  <c r="K708" s="1"/>
  <c r="J707"/>
  <c r="K707" s="1"/>
  <c r="J706"/>
  <c r="K706" s="1"/>
  <c r="J705"/>
  <c r="K705" s="1"/>
  <c r="J704"/>
  <c r="K704" s="1"/>
  <c r="J703"/>
  <c r="K703" s="1"/>
  <c r="J702"/>
  <c r="K702" s="1"/>
  <c r="J701"/>
  <c r="K701" s="1"/>
  <c r="J700"/>
  <c r="K700" s="1"/>
  <c r="J699"/>
  <c r="K699" s="1"/>
  <c r="J698"/>
  <c r="K698" s="1"/>
  <c r="J697"/>
  <c r="K697" s="1"/>
  <c r="J696"/>
  <c r="K696" s="1"/>
  <c r="J695"/>
  <c r="K695" s="1"/>
  <c r="J694"/>
  <c r="K694" s="1"/>
  <c r="J693"/>
  <c r="K693" s="1"/>
  <c r="J692"/>
  <c r="K692" s="1"/>
  <c r="J691"/>
  <c r="K691" s="1"/>
  <c r="J690"/>
  <c r="K690" s="1"/>
  <c r="J689"/>
  <c r="K689" s="1"/>
  <c r="J688"/>
  <c r="K688" s="1"/>
  <c r="J687"/>
  <c r="K687" s="1"/>
  <c r="J686"/>
  <c r="K686" s="1"/>
  <c r="J685"/>
  <c r="K685" s="1"/>
  <c r="J684"/>
  <c r="K684" s="1"/>
  <c r="J683"/>
  <c r="K683" s="1"/>
  <c r="J682"/>
  <c r="K682" s="1"/>
  <c r="J681"/>
  <c r="K681" s="1"/>
  <c r="J680"/>
  <c r="K680" s="1"/>
  <c r="J679"/>
  <c r="K679" s="1"/>
  <c r="J678"/>
  <c r="K678" s="1"/>
  <c r="J677"/>
  <c r="K677" s="1"/>
  <c r="J676"/>
  <c r="K676" s="1"/>
  <c r="J675"/>
  <c r="K675" s="1"/>
  <c r="J674"/>
  <c r="K674" s="1"/>
  <c r="J673"/>
  <c r="K673" s="1"/>
  <c r="J672"/>
  <c r="K672" s="1"/>
  <c r="J671"/>
  <c r="K671" s="1"/>
  <c r="J670"/>
  <c r="K670" s="1"/>
  <c r="J669"/>
  <c r="K669" s="1"/>
  <c r="J668"/>
  <c r="K668" s="1"/>
  <c r="J667"/>
  <c r="K667" s="1"/>
  <c r="J666"/>
  <c r="K666" s="1"/>
  <c r="J665"/>
  <c r="K665" s="1"/>
  <c r="J664"/>
  <c r="K664" s="1"/>
  <c r="J663"/>
  <c r="K663" s="1"/>
  <c r="J662"/>
  <c r="K662" s="1"/>
  <c r="J661"/>
  <c r="K661" s="1"/>
  <c r="J660"/>
  <c r="K660" s="1"/>
  <c r="J659"/>
  <c r="K659" s="1"/>
  <c r="J658"/>
  <c r="K658" s="1"/>
  <c r="J657"/>
  <c r="K657" s="1"/>
  <c r="J656"/>
  <c r="K656" s="1"/>
  <c r="J655"/>
  <c r="K655" s="1"/>
  <c r="J654"/>
  <c r="K654" s="1"/>
  <c r="J653"/>
  <c r="K653" s="1"/>
  <c r="J652"/>
  <c r="K652" s="1"/>
  <c r="J651"/>
  <c r="K651" s="1"/>
  <c r="J650"/>
  <c r="K650" s="1"/>
  <c r="J649"/>
  <c r="K649" s="1"/>
  <c r="J648"/>
  <c r="K648" s="1"/>
  <c r="J647"/>
  <c r="K647" s="1"/>
  <c r="J646"/>
  <c r="K646" s="1"/>
  <c r="J645"/>
  <c r="K645" s="1"/>
  <c r="J644"/>
  <c r="K644" s="1"/>
  <c r="J643"/>
  <c r="K643" s="1"/>
  <c r="J642"/>
  <c r="K642" s="1"/>
  <c r="J641"/>
  <c r="K641" s="1"/>
  <c r="J640"/>
  <c r="K640" s="1"/>
  <c r="J639"/>
  <c r="K639" s="1"/>
  <c r="J638"/>
  <c r="K638" s="1"/>
  <c r="J637"/>
  <c r="K637" s="1"/>
  <c r="J636"/>
  <c r="K636" s="1"/>
  <c r="J635"/>
  <c r="K635" s="1"/>
  <c r="J634"/>
  <c r="K634" s="1"/>
  <c r="J633"/>
  <c r="K633" s="1"/>
  <c r="J632"/>
  <c r="K632" s="1"/>
  <c r="J631"/>
  <c r="K631" s="1"/>
  <c r="J630"/>
  <c r="K630" s="1"/>
  <c r="J629"/>
  <c r="K629" s="1"/>
  <c r="J628"/>
  <c r="K628" s="1"/>
  <c r="J627"/>
  <c r="K627" s="1"/>
  <c r="J626"/>
  <c r="K626" s="1"/>
  <c r="J625"/>
  <c r="K625" s="1"/>
  <c r="J624"/>
  <c r="K624" s="1"/>
  <c r="J623"/>
  <c r="K623" s="1"/>
  <c r="J622"/>
  <c r="K622" s="1"/>
  <c r="J621"/>
  <c r="K621" s="1"/>
  <c r="J620"/>
  <c r="K620" s="1"/>
  <c r="J618"/>
  <c r="K618" s="1"/>
  <c r="J617"/>
  <c r="K617" s="1"/>
  <c r="J616"/>
  <c r="K616" s="1"/>
  <c r="J615"/>
  <c r="K615" s="1"/>
  <c r="J614"/>
  <c r="K614" s="1"/>
  <c r="J613"/>
  <c r="K613" s="1"/>
  <c r="J612"/>
  <c r="K612" s="1"/>
  <c r="J611"/>
  <c r="K611" s="1"/>
  <c r="J610"/>
  <c r="K610" s="1"/>
  <c r="J609"/>
  <c r="K609" s="1"/>
  <c r="J608"/>
  <c r="K608" s="1"/>
  <c r="J607"/>
  <c r="K607" s="1"/>
  <c r="J606"/>
  <c r="K606" s="1"/>
  <c r="J605"/>
  <c r="K605" s="1"/>
  <c r="J604"/>
  <c r="K604" s="1"/>
  <c r="J603"/>
  <c r="K603" s="1"/>
  <c r="J602"/>
  <c r="K602" s="1"/>
  <c r="J601"/>
  <c r="K601" s="1"/>
  <c r="J600"/>
  <c r="K600" s="1"/>
  <c r="J599"/>
  <c r="K599" s="1"/>
  <c r="J598"/>
  <c r="K598" s="1"/>
  <c r="J597"/>
  <c r="K597" s="1"/>
  <c r="J596"/>
  <c r="K596" s="1"/>
  <c r="J595"/>
  <c r="K595" s="1"/>
  <c r="J594"/>
  <c r="K594" s="1"/>
  <c r="J593"/>
  <c r="K593" s="1"/>
  <c r="J592"/>
  <c r="K592" s="1"/>
  <c r="J591"/>
  <c r="K591" s="1"/>
  <c r="J590"/>
  <c r="K590" s="1"/>
  <c r="J589"/>
  <c r="K589" s="1"/>
  <c r="J588"/>
  <c r="K588" s="1"/>
  <c r="J587"/>
  <c r="K587" s="1"/>
  <c r="J586"/>
  <c r="K586" s="1"/>
  <c r="J585"/>
  <c r="K585" s="1"/>
  <c r="J584"/>
  <c r="K584" s="1"/>
  <c r="J583"/>
  <c r="K583" s="1"/>
  <c r="J582"/>
  <c r="K582" s="1"/>
  <c r="J581"/>
  <c r="K581" s="1"/>
  <c r="J580"/>
  <c r="K580" s="1"/>
  <c r="J579"/>
  <c r="K579" s="1"/>
  <c r="J578"/>
  <c r="K578" s="1"/>
  <c r="J577"/>
  <c r="K577" s="1"/>
  <c r="J576"/>
  <c r="K576" s="1"/>
  <c r="J575"/>
  <c r="K575" s="1"/>
  <c r="J574"/>
  <c r="K574" s="1"/>
  <c r="J573"/>
  <c r="K573" s="1"/>
  <c r="J572"/>
  <c r="K572" s="1"/>
  <c r="J571"/>
  <c r="K571" s="1"/>
  <c r="J570"/>
  <c r="K570" s="1"/>
  <c r="J569"/>
  <c r="K569" s="1"/>
  <c r="J568"/>
  <c r="K568" s="1"/>
  <c r="J567"/>
  <c r="K567" s="1"/>
  <c r="J566"/>
  <c r="K566" s="1"/>
  <c r="J565"/>
  <c r="K565" s="1"/>
  <c r="J564"/>
  <c r="K564" s="1"/>
  <c r="J563"/>
  <c r="K563" s="1"/>
  <c r="J562"/>
  <c r="K562" s="1"/>
  <c r="J561"/>
  <c r="K561" s="1"/>
  <c r="J560"/>
  <c r="K560" s="1"/>
  <c r="J559"/>
  <c r="K559" s="1"/>
  <c r="J558"/>
  <c r="K558" s="1"/>
  <c r="J557"/>
  <c r="K557" s="1"/>
  <c r="J556"/>
  <c r="K556" s="1"/>
  <c r="J555"/>
  <c r="K555" s="1"/>
  <c r="J554"/>
  <c r="K554" s="1"/>
  <c r="J553"/>
  <c r="K553" s="1"/>
  <c r="J552"/>
  <c r="K552" s="1"/>
  <c r="J551"/>
  <c r="K551" s="1"/>
  <c r="J550"/>
  <c r="K550" s="1"/>
  <c r="J549"/>
  <c r="K549" s="1"/>
  <c r="J548"/>
  <c r="K548" s="1"/>
  <c r="J547"/>
  <c r="K547" s="1"/>
  <c r="J546"/>
  <c r="K546" s="1"/>
  <c r="J545"/>
  <c r="K545" s="1"/>
  <c r="J544"/>
  <c r="K544" s="1"/>
  <c r="J543"/>
  <c r="K543" s="1"/>
  <c r="J542"/>
  <c r="K542" s="1"/>
  <c r="J541"/>
  <c r="K541" s="1"/>
  <c r="J540"/>
  <c r="K540" s="1"/>
  <c r="J539"/>
  <c r="K539" s="1"/>
  <c r="J538"/>
  <c r="K538" s="1"/>
  <c r="J537"/>
  <c r="K537" s="1"/>
  <c r="J536"/>
  <c r="K536" s="1"/>
  <c r="J535"/>
  <c r="K535" s="1"/>
  <c r="J534"/>
  <c r="K534" s="1"/>
  <c r="J533"/>
  <c r="K533" s="1"/>
  <c r="J532"/>
  <c r="K532" s="1"/>
  <c r="J531"/>
  <c r="K531" s="1"/>
  <c r="J530"/>
  <c r="K530" s="1"/>
  <c r="J529"/>
  <c r="K529" s="1"/>
  <c r="J528"/>
  <c r="K528" s="1"/>
  <c r="J527"/>
  <c r="K527" s="1"/>
  <c r="J526"/>
  <c r="K526" s="1"/>
  <c r="J525"/>
  <c r="K525" s="1"/>
  <c r="J524"/>
  <c r="K524" s="1"/>
  <c r="J523"/>
  <c r="K523" s="1"/>
  <c r="J522"/>
  <c r="K522" s="1"/>
  <c r="J521"/>
  <c r="K521" s="1"/>
  <c r="J520"/>
  <c r="K520" s="1"/>
  <c r="J519"/>
  <c r="K519" s="1"/>
  <c r="J518"/>
  <c r="K518" s="1"/>
  <c r="J517"/>
  <c r="K517" s="1"/>
  <c r="J516"/>
  <c r="K516" s="1"/>
  <c r="J515"/>
  <c r="K515" s="1"/>
  <c r="J514"/>
  <c r="K514" s="1"/>
  <c r="J513"/>
  <c r="K513" s="1"/>
  <c r="J512"/>
  <c r="K512" s="1"/>
  <c r="J511"/>
  <c r="K511" s="1"/>
  <c r="J510"/>
  <c r="K510" s="1"/>
  <c r="J509"/>
  <c r="K509" s="1"/>
  <c r="J508"/>
  <c r="K508" s="1"/>
  <c r="J507"/>
  <c r="K507" s="1"/>
  <c r="J506"/>
  <c r="K506" s="1"/>
  <c r="J505"/>
  <c r="K505" s="1"/>
  <c r="J504"/>
  <c r="K504" s="1"/>
  <c r="J503"/>
  <c r="K503" s="1"/>
  <c r="J502"/>
  <c r="K502" s="1"/>
  <c r="J501"/>
  <c r="K501" s="1"/>
  <c r="J500"/>
  <c r="K500" s="1"/>
  <c r="J499"/>
  <c r="K499" s="1"/>
  <c r="J498"/>
  <c r="K498" s="1"/>
  <c r="J497"/>
  <c r="K497" s="1"/>
  <c r="J496"/>
  <c r="K496" s="1"/>
  <c r="J495"/>
  <c r="K495" s="1"/>
  <c r="J494"/>
  <c r="K494" s="1"/>
  <c r="J493"/>
  <c r="K493" s="1"/>
  <c r="J492"/>
  <c r="K492" s="1"/>
  <c r="J491"/>
  <c r="K491" s="1"/>
  <c r="J490"/>
  <c r="K490" s="1"/>
  <c r="J489"/>
  <c r="K489" s="1"/>
  <c r="J488"/>
  <c r="K488" s="1"/>
  <c r="J487"/>
  <c r="K487" s="1"/>
  <c r="J486"/>
  <c r="K486" s="1"/>
  <c r="J485"/>
  <c r="K485" s="1"/>
  <c r="J484"/>
  <c r="K484" s="1"/>
  <c r="J483"/>
  <c r="K483" s="1"/>
  <c r="J482"/>
  <c r="K482" s="1"/>
  <c r="J481"/>
  <c r="K481" s="1"/>
  <c r="J480"/>
  <c r="K480" s="1"/>
  <c r="J479"/>
  <c r="K479" s="1"/>
  <c r="J478"/>
  <c r="K478" s="1"/>
  <c r="J477"/>
  <c r="K477" s="1"/>
  <c r="J476"/>
  <c r="K476" s="1"/>
  <c r="J475"/>
  <c r="K475" s="1"/>
  <c r="J474"/>
  <c r="K474" s="1"/>
  <c r="J473"/>
  <c r="K473" s="1"/>
  <c r="J472"/>
  <c r="K472" s="1"/>
  <c r="J471"/>
  <c r="K471" s="1"/>
  <c r="J470"/>
  <c r="K470" s="1"/>
  <c r="J469"/>
  <c r="K469" s="1"/>
  <c r="J468"/>
  <c r="K468" s="1"/>
  <c r="J467"/>
  <c r="K467" s="1"/>
  <c r="J466"/>
  <c r="K466" s="1"/>
  <c r="J465"/>
  <c r="K465" s="1"/>
  <c r="J464"/>
  <c r="K464" s="1"/>
  <c r="J463"/>
  <c r="K463" s="1"/>
  <c r="J462"/>
  <c r="K462" s="1"/>
  <c r="J461"/>
  <c r="K461" s="1"/>
  <c r="J460"/>
  <c r="K460" s="1"/>
  <c r="J459"/>
  <c r="K459" s="1"/>
  <c r="J453"/>
  <c r="K453" s="1"/>
  <c r="J452"/>
  <c r="K452" s="1"/>
  <c r="J451"/>
  <c r="K451" s="1"/>
  <c r="J450"/>
  <c r="K450" s="1"/>
  <c r="J449"/>
  <c r="K449" s="1"/>
  <c r="J448"/>
  <c r="K448" s="1"/>
  <c r="J447"/>
  <c r="K447" s="1"/>
  <c r="J446"/>
  <c r="K446" s="1"/>
  <c r="J445"/>
  <c r="K445" s="1"/>
  <c r="J444"/>
  <c r="K444" s="1"/>
  <c r="J443"/>
  <c r="K443" s="1"/>
  <c r="J442"/>
  <c r="K442" s="1"/>
  <c r="J441"/>
  <c r="K441" s="1"/>
  <c r="J440"/>
  <c r="K440" s="1"/>
  <c r="J439"/>
  <c r="K439" s="1"/>
  <c r="J438"/>
  <c r="K438" s="1"/>
  <c r="J437"/>
  <c r="K437" s="1"/>
  <c r="J436"/>
  <c r="K436" s="1"/>
  <c r="J435"/>
  <c r="K435" s="1"/>
  <c r="J434"/>
  <c r="K434" s="1"/>
  <c r="J433"/>
  <c r="K433" s="1"/>
  <c r="J432"/>
  <c r="K432" s="1"/>
  <c r="J431"/>
  <c r="K431" s="1"/>
  <c r="J430"/>
  <c r="K430" s="1"/>
  <c r="J429"/>
  <c r="K429" s="1"/>
  <c r="J428"/>
  <c r="K428" s="1"/>
  <c r="J427"/>
  <c r="K427" s="1"/>
  <c r="J426"/>
  <c r="K426" s="1"/>
  <c r="J425"/>
  <c r="K425" s="1"/>
  <c r="J424"/>
  <c r="K424" s="1"/>
  <c r="J423"/>
  <c r="K423" s="1"/>
  <c r="J421"/>
  <c r="K421" s="1"/>
  <c r="J420"/>
  <c r="K420" s="1"/>
  <c r="J419"/>
  <c r="K419" s="1"/>
  <c r="J418"/>
  <c r="K418" s="1"/>
  <c r="J417"/>
  <c r="K417" s="1"/>
  <c r="J416"/>
  <c r="K416" s="1"/>
  <c r="J415"/>
  <c r="K415" s="1"/>
  <c r="J414"/>
  <c r="K414" s="1"/>
  <c r="J413"/>
  <c r="K413" s="1"/>
  <c r="J412"/>
  <c r="K412" s="1"/>
  <c r="J411"/>
  <c r="K411" s="1"/>
  <c r="J410"/>
  <c r="K410" s="1"/>
  <c r="J409"/>
  <c r="K409" s="1"/>
  <c r="J408"/>
  <c r="K408" s="1"/>
  <c r="J407"/>
  <c r="K407" s="1"/>
  <c r="J406"/>
  <c r="K406" s="1"/>
  <c r="J405"/>
  <c r="K405" s="1"/>
  <c r="J404"/>
  <c r="K404" s="1"/>
  <c r="J403"/>
  <c r="K403" s="1"/>
  <c r="J402"/>
  <c r="K402" s="1"/>
  <c r="J401"/>
  <c r="K401" s="1"/>
  <c r="J400"/>
  <c r="K400" s="1"/>
  <c r="J399"/>
  <c r="K399" s="1"/>
  <c r="J398"/>
  <c r="K398" s="1"/>
  <c r="J397"/>
  <c r="K397" s="1"/>
  <c r="J396"/>
  <c r="K396" s="1"/>
  <c r="J395"/>
  <c r="K395" s="1"/>
  <c r="J394"/>
  <c r="K394" s="1"/>
  <c r="J393"/>
  <c r="K393" s="1"/>
  <c r="J392"/>
  <c r="K392" s="1"/>
  <c r="J391"/>
  <c r="K391" s="1"/>
  <c r="J390"/>
  <c r="K390" s="1"/>
  <c r="J389"/>
  <c r="K389" s="1"/>
  <c r="J388"/>
  <c r="K388" s="1"/>
  <c r="J387"/>
  <c r="K387" s="1"/>
  <c r="J386"/>
  <c r="K386" s="1"/>
  <c r="J385"/>
  <c r="K385" s="1"/>
  <c r="J384"/>
  <c r="K384" s="1"/>
  <c r="J383"/>
  <c r="K383" s="1"/>
  <c r="J382"/>
  <c r="K382" s="1"/>
  <c r="J380"/>
  <c r="K380" s="1"/>
  <c r="J379"/>
  <c r="K379" s="1"/>
  <c r="J378"/>
  <c r="K378" s="1"/>
  <c r="J377"/>
  <c r="K377" s="1"/>
  <c r="J376"/>
  <c r="K376" s="1"/>
  <c r="J375"/>
  <c r="K375" s="1"/>
  <c r="J374"/>
  <c r="K374" s="1"/>
  <c r="J373"/>
  <c r="K373" s="1"/>
  <c r="J372"/>
  <c r="K372" s="1"/>
  <c r="J371"/>
  <c r="K371" s="1"/>
  <c r="J370"/>
  <c r="K370" s="1"/>
  <c r="J369"/>
  <c r="K369" s="1"/>
  <c r="J368"/>
  <c r="K368" s="1"/>
  <c r="J367"/>
  <c r="K367" s="1"/>
  <c r="J366"/>
  <c r="K366" s="1"/>
  <c r="J365"/>
  <c r="K365" s="1"/>
  <c r="J364"/>
  <c r="K364" s="1"/>
  <c r="J363"/>
  <c r="K363" s="1"/>
  <c r="J362"/>
  <c r="K362" s="1"/>
  <c r="J361"/>
  <c r="K361" s="1"/>
  <c r="J360"/>
  <c r="K360" s="1"/>
  <c r="J359"/>
  <c r="K359" s="1"/>
  <c r="J358"/>
  <c r="K358" s="1"/>
  <c r="J357"/>
  <c r="K357" s="1"/>
  <c r="J356"/>
  <c r="K356" s="1"/>
  <c r="J355"/>
  <c r="K355" s="1"/>
  <c r="J354"/>
  <c r="K354" s="1"/>
  <c r="J353"/>
  <c r="K353" s="1"/>
  <c r="J352"/>
  <c r="K352" s="1"/>
  <c r="J351"/>
  <c r="K351" s="1"/>
  <c r="J350"/>
  <c r="K350" s="1"/>
  <c r="J349"/>
  <c r="K349" s="1"/>
  <c r="J348"/>
  <c r="K348" s="1"/>
  <c r="J347"/>
  <c r="K347" s="1"/>
  <c r="J346"/>
  <c r="K346" s="1"/>
  <c r="J345"/>
  <c r="K345" s="1"/>
  <c r="J344"/>
  <c r="K344" s="1"/>
  <c r="J343"/>
  <c r="K343" s="1"/>
  <c r="J342"/>
  <c r="K342" s="1"/>
  <c r="J341"/>
  <c r="K341" s="1"/>
  <c r="J340"/>
  <c r="K340" s="1"/>
  <c r="J339"/>
  <c r="K339" s="1"/>
  <c r="J338"/>
  <c r="K338" s="1"/>
  <c r="J337"/>
  <c r="K337" s="1"/>
  <c r="J336"/>
  <c r="K336" s="1"/>
  <c r="J334"/>
  <c r="K334" s="1"/>
  <c r="J333"/>
  <c r="K333" s="1"/>
  <c r="J332"/>
  <c r="K332" s="1"/>
  <c r="J331"/>
  <c r="K331" s="1"/>
  <c r="J330"/>
  <c r="K330" s="1"/>
  <c r="J329"/>
  <c r="K329" s="1"/>
  <c r="J328"/>
  <c r="K328" s="1"/>
  <c r="J327"/>
  <c r="K327" s="1"/>
  <c r="J326"/>
  <c r="K326" s="1"/>
  <c r="J325"/>
  <c r="K325" s="1"/>
  <c r="J324"/>
  <c r="K324" s="1"/>
  <c r="J323"/>
  <c r="K323" s="1"/>
  <c r="J322"/>
  <c r="K322" s="1"/>
  <c r="J321"/>
  <c r="K321" s="1"/>
  <c r="J320"/>
  <c r="K320" s="1"/>
  <c r="J319"/>
  <c r="K319" s="1"/>
  <c r="J318"/>
  <c r="K318" s="1"/>
  <c r="J317"/>
  <c r="K317" s="1"/>
  <c r="J316"/>
  <c r="K316" s="1"/>
  <c r="J315"/>
  <c r="K315" s="1"/>
  <c r="J314"/>
  <c r="K314" s="1"/>
  <c r="J313"/>
  <c r="K313" s="1"/>
  <c r="J312"/>
  <c r="K312" s="1"/>
  <c r="J311"/>
  <c r="K311" s="1"/>
  <c r="J310"/>
  <c r="K310" s="1"/>
  <c r="J309"/>
  <c r="K309" s="1"/>
  <c r="J308"/>
  <c r="K308" s="1"/>
  <c r="J307"/>
  <c r="K307" s="1"/>
  <c r="J306"/>
  <c r="K306" s="1"/>
  <c r="J305"/>
  <c r="K305" s="1"/>
  <c r="J304"/>
  <c r="K304" s="1"/>
  <c r="J303"/>
  <c r="K303" s="1"/>
  <c r="J302"/>
  <c r="K302" s="1"/>
  <c r="J301"/>
  <c r="K301" s="1"/>
  <c r="J300"/>
  <c r="K300" s="1"/>
  <c r="J299"/>
  <c r="K299" s="1"/>
  <c r="J298"/>
  <c r="K298" s="1"/>
  <c r="J297"/>
  <c r="K297" s="1"/>
  <c r="J296"/>
  <c r="K296" s="1"/>
  <c r="J295"/>
  <c r="K295" s="1"/>
  <c r="J294"/>
  <c r="K294" s="1"/>
  <c r="J293"/>
  <c r="K293" s="1"/>
  <c r="J292"/>
  <c r="K292" s="1"/>
  <c r="J291"/>
  <c r="K291" s="1"/>
  <c r="J290"/>
  <c r="K290" s="1"/>
  <c r="J289"/>
  <c r="K289" s="1"/>
  <c r="J288"/>
  <c r="K288" s="1"/>
  <c r="J287"/>
  <c r="K287" s="1"/>
  <c r="J286"/>
  <c r="K286" s="1"/>
  <c r="J285"/>
  <c r="K285" s="1"/>
  <c r="J284"/>
  <c r="K284" s="1"/>
  <c r="J283"/>
  <c r="K283" s="1"/>
  <c r="J282"/>
  <c r="K282" s="1"/>
  <c r="J281"/>
  <c r="K281" s="1"/>
  <c r="J280"/>
  <c r="K280" s="1"/>
  <c r="J279"/>
  <c r="K279" s="1"/>
  <c r="J277"/>
  <c r="K277" s="1"/>
  <c r="J276"/>
  <c r="K276" s="1"/>
  <c r="J275"/>
  <c r="K275" s="1"/>
  <c r="J274"/>
  <c r="K274" s="1"/>
  <c r="J273"/>
  <c r="K273" s="1"/>
  <c r="J272"/>
  <c r="K272" s="1"/>
  <c r="J271"/>
  <c r="K271" s="1"/>
  <c r="J270"/>
  <c r="K270" s="1"/>
  <c r="J269"/>
  <c r="K269" s="1"/>
  <c r="J268"/>
  <c r="K268" s="1"/>
  <c r="J267"/>
  <c r="K267" s="1"/>
  <c r="J266"/>
  <c r="K266" s="1"/>
  <c r="J265"/>
  <c r="K265" s="1"/>
  <c r="J264"/>
  <c r="K264" s="1"/>
  <c r="J263"/>
  <c r="K263" s="1"/>
  <c r="J262"/>
  <c r="K262" s="1"/>
  <c r="J261"/>
  <c r="K261" s="1"/>
  <c r="J260"/>
  <c r="K260" s="1"/>
  <c r="J259"/>
  <c r="K259" s="1"/>
  <c r="J258"/>
  <c r="K258" s="1"/>
  <c r="J257"/>
  <c r="K257" s="1"/>
  <c r="J256"/>
  <c r="K256" s="1"/>
  <c r="J255"/>
  <c r="K255" s="1"/>
  <c r="J254"/>
  <c r="K254" s="1"/>
  <c r="J253"/>
  <c r="K253" s="1"/>
  <c r="J252"/>
  <c r="K252" s="1"/>
  <c r="J251"/>
  <c r="K251" s="1"/>
  <c r="J250"/>
  <c r="K250" s="1"/>
  <c r="J249"/>
  <c r="K249" s="1"/>
  <c r="J248"/>
  <c r="K248" s="1"/>
  <c r="J247"/>
  <c r="K247" s="1"/>
  <c r="J246"/>
  <c r="K246" s="1"/>
  <c r="J245"/>
  <c r="K245" s="1"/>
  <c r="J244"/>
  <c r="K244" s="1"/>
  <c r="J243"/>
  <c r="K243" s="1"/>
  <c r="J242"/>
  <c r="K242" s="1"/>
  <c r="J241"/>
  <c r="K241" s="1"/>
  <c r="J240"/>
  <c r="K240" s="1"/>
  <c r="J239"/>
  <c r="K239" s="1"/>
  <c r="J238"/>
  <c r="K238" s="1"/>
  <c r="J237"/>
  <c r="K237" s="1"/>
  <c r="J236"/>
  <c r="K236" s="1"/>
  <c r="J235"/>
  <c r="K235" s="1"/>
  <c r="J234"/>
  <c r="K234" s="1"/>
  <c r="J233"/>
  <c r="K233" s="1"/>
  <c r="J232"/>
  <c r="K232" s="1"/>
  <c r="J231"/>
  <c r="K231" s="1"/>
  <c r="J230"/>
  <c r="K230" s="1"/>
  <c r="J229"/>
  <c r="K229" s="1"/>
  <c r="J228"/>
  <c r="K228" s="1"/>
  <c r="J227"/>
  <c r="K227" s="1"/>
  <c r="J226"/>
  <c r="K226" s="1"/>
  <c r="J225"/>
  <c r="K225" s="1"/>
  <c r="J224"/>
  <c r="K224" s="1"/>
  <c r="J223"/>
  <c r="K223" s="1"/>
  <c r="J222"/>
  <c r="K222" s="1"/>
  <c r="J221"/>
  <c r="K221" s="1"/>
  <c r="J220"/>
  <c r="K220" s="1"/>
  <c r="J219"/>
  <c r="K219" s="1"/>
  <c r="J218"/>
  <c r="K218" s="1"/>
  <c r="J217"/>
  <c r="K217" s="1"/>
  <c r="J216"/>
  <c r="K216" s="1"/>
  <c r="J215"/>
  <c r="K215" s="1"/>
  <c r="J214"/>
  <c r="K214" s="1"/>
  <c r="J213"/>
  <c r="K213" s="1"/>
  <c r="J212"/>
  <c r="K212" s="1"/>
  <c r="J211"/>
  <c r="K211" s="1"/>
  <c r="J210"/>
  <c r="K210" s="1"/>
  <c r="J209"/>
  <c r="K209" s="1"/>
  <c r="J208"/>
  <c r="K208" s="1"/>
  <c r="J207"/>
  <c r="K207" s="1"/>
  <c r="J206"/>
  <c r="K206" s="1"/>
  <c r="J205"/>
  <c r="K205" s="1"/>
  <c r="J204"/>
  <c r="K204" s="1"/>
  <c r="J203"/>
  <c r="K203" s="1"/>
  <c r="J202"/>
  <c r="K202" s="1"/>
  <c r="J201"/>
  <c r="K201" s="1"/>
  <c r="J200"/>
  <c r="K200" s="1"/>
  <c r="J199"/>
  <c r="K199" s="1"/>
  <c r="J198"/>
  <c r="K198" s="1"/>
  <c r="J197"/>
  <c r="K197" s="1"/>
  <c r="J196"/>
  <c r="K196" s="1"/>
  <c r="J195"/>
  <c r="K195" s="1"/>
  <c r="J194"/>
  <c r="K194" s="1"/>
  <c r="J193"/>
  <c r="K193" s="1"/>
  <c r="J192"/>
  <c r="K192" s="1"/>
  <c r="J191"/>
  <c r="K191" s="1"/>
  <c r="J190"/>
  <c r="K190" s="1"/>
  <c r="J189"/>
  <c r="K189" s="1"/>
  <c r="J188"/>
  <c r="K188" s="1"/>
  <c r="J187"/>
  <c r="K187" s="1"/>
  <c r="J186"/>
  <c r="K186" s="1"/>
  <c r="J185"/>
  <c r="K185" s="1"/>
  <c r="J184"/>
  <c r="K184" s="1"/>
  <c r="J183"/>
  <c r="K183" s="1"/>
  <c r="J182"/>
  <c r="K182" s="1"/>
  <c r="J181"/>
  <c r="K181" s="1"/>
  <c r="J180"/>
  <c r="K180" s="1"/>
  <c r="J179"/>
  <c r="K179" s="1"/>
  <c r="J178"/>
  <c r="K178" s="1"/>
  <c r="J177"/>
  <c r="K177" s="1"/>
  <c r="J176"/>
  <c r="K176" s="1"/>
  <c r="J175"/>
  <c r="K175" s="1"/>
  <c r="J174"/>
  <c r="K174" s="1"/>
  <c r="J173"/>
  <c r="K173" s="1"/>
  <c r="J172"/>
  <c r="K172" s="1"/>
  <c r="J171"/>
  <c r="K171" s="1"/>
  <c r="J170"/>
  <c r="K170" s="1"/>
  <c r="J169"/>
  <c r="K169" s="1"/>
  <c r="J168"/>
  <c r="K168" s="1"/>
  <c r="J167"/>
  <c r="K167" s="1"/>
  <c r="J166"/>
  <c r="K166" s="1"/>
  <c r="J165"/>
  <c r="K165" s="1"/>
  <c r="J164"/>
  <c r="K164" s="1"/>
  <c r="J163"/>
  <c r="K163" s="1"/>
  <c r="J162"/>
  <c r="K162" s="1"/>
  <c r="J161"/>
  <c r="K161" s="1"/>
  <c r="J160"/>
  <c r="K160" s="1"/>
  <c r="J159"/>
  <c r="K159" s="1"/>
  <c r="J158"/>
  <c r="K158" s="1"/>
  <c r="J157"/>
  <c r="K157" s="1"/>
  <c r="J156"/>
  <c r="K156" s="1"/>
  <c r="J155"/>
  <c r="K155" s="1"/>
  <c r="J154"/>
  <c r="K154" s="1"/>
  <c r="J153"/>
  <c r="K153" s="1"/>
  <c r="J152"/>
  <c r="K152" s="1"/>
  <c r="J151"/>
  <c r="K151" s="1"/>
  <c r="J150"/>
  <c r="K150" s="1"/>
  <c r="J149"/>
  <c r="K149" s="1"/>
  <c r="J148"/>
  <c r="K148" s="1"/>
  <c r="J147"/>
  <c r="K147" s="1"/>
  <c r="J146"/>
  <c r="K146" s="1"/>
  <c r="J145"/>
  <c r="K145" s="1"/>
  <c r="J144"/>
  <c r="K144" s="1"/>
  <c r="J143"/>
  <c r="K143" s="1"/>
  <c r="J142"/>
  <c r="K142" s="1"/>
  <c r="J141"/>
  <c r="K141" s="1"/>
  <c r="J140"/>
  <c r="K140" s="1"/>
  <c r="J139"/>
  <c r="K139" s="1"/>
  <c r="J138"/>
  <c r="K138" s="1"/>
  <c r="J137"/>
  <c r="K137" s="1"/>
  <c r="J136"/>
  <c r="K136" s="1"/>
  <c r="J135"/>
  <c r="K135" s="1"/>
  <c r="J134"/>
  <c r="K134" s="1"/>
  <c r="J133"/>
  <c r="K133" s="1"/>
  <c r="J132"/>
  <c r="K132" s="1"/>
  <c r="J131"/>
  <c r="K131" s="1"/>
  <c r="J130"/>
  <c r="K130" s="1"/>
  <c r="J129"/>
  <c r="K129" s="1"/>
  <c r="J128"/>
  <c r="K128" s="1"/>
  <c r="J127"/>
  <c r="K127" s="1"/>
  <c r="J126"/>
  <c r="K126" s="1"/>
  <c r="J125"/>
  <c r="K125" s="1"/>
  <c r="J124"/>
  <c r="K124" s="1"/>
  <c r="J123"/>
  <c r="K123" s="1"/>
  <c r="J122"/>
  <c r="K122" s="1"/>
  <c r="J121"/>
  <c r="K121" s="1"/>
  <c r="J120"/>
  <c r="K120" s="1"/>
  <c r="J119"/>
  <c r="K119" s="1"/>
  <c r="J118"/>
  <c r="K118" s="1"/>
  <c r="J117"/>
  <c r="K117" s="1"/>
  <c r="J116"/>
  <c r="K116" s="1"/>
  <c r="J115"/>
  <c r="K115" s="1"/>
  <c r="J114"/>
  <c r="K114" s="1"/>
  <c r="J113"/>
  <c r="K113" s="1"/>
  <c r="J112"/>
  <c r="K112" s="1"/>
  <c r="J111"/>
  <c r="K111" s="1"/>
  <c r="J110"/>
  <c r="K110" s="1"/>
  <c r="J109"/>
  <c r="K109" s="1"/>
  <c r="J108"/>
  <c r="K108" s="1"/>
  <c r="J107"/>
  <c r="K107" s="1"/>
  <c r="J106"/>
  <c r="K106" s="1"/>
  <c r="J105"/>
  <c r="K105" s="1"/>
  <c r="J104"/>
  <c r="K104" s="1"/>
  <c r="J103"/>
  <c r="K103" s="1"/>
  <c r="J102"/>
  <c r="K102" s="1"/>
  <c r="J101"/>
  <c r="K101" s="1"/>
  <c r="J100"/>
  <c r="K100" s="1"/>
  <c r="J99"/>
  <c r="K99" s="1"/>
  <c r="J98"/>
  <c r="K98" s="1"/>
  <c r="J97"/>
  <c r="K97" s="1"/>
  <c r="J96"/>
  <c r="K96" s="1"/>
  <c r="J95"/>
  <c r="K95" s="1"/>
  <c r="J94"/>
  <c r="K94" s="1"/>
  <c r="J93"/>
  <c r="K93" s="1"/>
  <c r="J92"/>
  <c r="K92" s="1"/>
  <c r="J91"/>
  <c r="K91" s="1"/>
  <c r="J90"/>
  <c r="K90" s="1"/>
  <c r="J89"/>
  <c r="K89" s="1"/>
  <c r="J88"/>
  <c r="K88" s="1"/>
  <c r="J87"/>
  <c r="K87" s="1"/>
  <c r="J86"/>
  <c r="K86" s="1"/>
  <c r="J85"/>
  <c r="K85" s="1"/>
  <c r="J84"/>
  <c r="K84" s="1"/>
  <c r="J83"/>
  <c r="K83" s="1"/>
  <c r="J82"/>
  <c r="K82" s="1"/>
  <c r="J81"/>
  <c r="K81" s="1"/>
  <c r="J80"/>
  <c r="K80" s="1"/>
  <c r="J79"/>
  <c r="K79" s="1"/>
  <c r="J78"/>
  <c r="K78" s="1"/>
  <c r="J77"/>
  <c r="K77" s="1"/>
  <c r="J76"/>
  <c r="K76" s="1"/>
  <c r="J75"/>
  <c r="K75" s="1"/>
  <c r="J74"/>
  <c r="K74" s="1"/>
  <c r="J73"/>
  <c r="K73" s="1"/>
  <c r="J72"/>
  <c r="K72" s="1"/>
  <c r="J71"/>
  <c r="K71" s="1"/>
  <c r="J70"/>
  <c r="K70" s="1"/>
  <c r="J69"/>
  <c r="K69" s="1"/>
  <c r="J68"/>
  <c r="K68" s="1"/>
  <c r="J67"/>
  <c r="K67" s="1"/>
  <c r="J65"/>
  <c r="K65" s="1"/>
  <c r="J64"/>
  <c r="K64" s="1"/>
  <c r="J63"/>
  <c r="K63" s="1"/>
  <c r="J62"/>
  <c r="K62" s="1"/>
  <c r="J61"/>
  <c r="K61" s="1"/>
  <c r="J60"/>
  <c r="K60" s="1"/>
  <c r="J59"/>
  <c r="K59" s="1"/>
  <c r="J58"/>
  <c r="K58" s="1"/>
  <c r="J57"/>
  <c r="K57" s="1"/>
  <c r="J56"/>
  <c r="K56" s="1"/>
  <c r="J55"/>
  <c r="K55" s="1"/>
  <c r="J54"/>
  <c r="K54" s="1"/>
  <c r="J53"/>
  <c r="K53" s="1"/>
  <c r="J52"/>
  <c r="K52" s="1"/>
  <c r="J51"/>
  <c r="K51" s="1"/>
  <c r="J50"/>
  <c r="K50" s="1"/>
  <c r="J49"/>
  <c r="K49" s="1"/>
  <c r="J48"/>
  <c r="K48" s="1"/>
  <c r="J47"/>
  <c r="K47" s="1"/>
  <c r="J46"/>
  <c r="K46" s="1"/>
  <c r="J45"/>
  <c r="K45" s="1"/>
  <c r="J44"/>
  <c r="K44" s="1"/>
  <c r="J43"/>
  <c r="K43" s="1"/>
  <c r="J42"/>
  <c r="K42" s="1"/>
  <c r="J41"/>
  <c r="K41" s="1"/>
  <c r="J40"/>
  <c r="K40" s="1"/>
  <c r="J39"/>
  <c r="K39" s="1"/>
  <c r="J38"/>
  <c r="K38" s="1"/>
  <c r="J37"/>
  <c r="K37" s="1"/>
  <c r="J36"/>
  <c r="K36" s="1"/>
  <c r="J35"/>
  <c r="K35" s="1"/>
  <c r="J34"/>
  <c r="K34" s="1"/>
  <c r="J33"/>
  <c r="K33" s="1"/>
  <c r="J32"/>
  <c r="K32" s="1"/>
  <c r="J31"/>
  <c r="K31" s="1"/>
  <c r="J30"/>
  <c r="K30" s="1"/>
  <c r="J29"/>
  <c r="K29" s="1"/>
  <c r="J28"/>
  <c r="K28" s="1"/>
  <c r="J27"/>
  <c r="K27" s="1"/>
  <c r="J26"/>
  <c r="K26" s="1"/>
  <c r="J25"/>
  <c r="K25" s="1"/>
  <c r="J24"/>
  <c r="K24" s="1"/>
  <c r="J23"/>
  <c r="K23" s="1"/>
  <c r="J22"/>
  <c r="K22" s="1"/>
  <c r="J21"/>
  <c r="K21" s="1"/>
  <c r="J20"/>
  <c r="K20" s="1"/>
  <c r="J19"/>
  <c r="K19" s="1"/>
  <c r="J18"/>
  <c r="K18" s="1"/>
  <c r="J17"/>
  <c r="K17" s="1"/>
  <c r="J16"/>
  <c r="K16" s="1"/>
  <c r="J15"/>
  <c r="K15" s="1"/>
  <c r="J14"/>
  <c r="K14" s="1"/>
  <c r="J13"/>
  <c r="K13" s="1"/>
  <c r="J12"/>
  <c r="K12" s="1"/>
  <c r="J11"/>
  <c r="K11" s="1"/>
  <c r="J10"/>
  <c r="K10" s="1"/>
  <c r="K1165" l="1"/>
  <c r="K1166"/>
  <c r="K1167"/>
  <c r="D26" i="33"/>
  <c r="D25"/>
  <c r="D18"/>
  <c r="D16" s="1"/>
  <c r="D17"/>
  <c r="D11"/>
  <c r="D10"/>
  <c r="D27" l="1"/>
  <c r="G1943" i="35"/>
  <c r="I1914"/>
  <c r="J1914" s="1"/>
  <c r="I1890"/>
  <c r="J1890" s="1"/>
  <c r="G1744"/>
  <c r="G1743" s="1"/>
  <c r="G1742" s="1"/>
  <c r="G1780"/>
  <c r="G1779" s="1"/>
  <c r="G1778" s="1"/>
  <c r="G1773"/>
  <c r="G1772" s="1"/>
  <c r="G1771" s="1"/>
  <c r="G1770" s="1"/>
  <c r="G1769" s="1"/>
  <c r="G1768" s="1"/>
  <c r="I1672" l="1"/>
  <c r="J1672" s="1"/>
  <c r="G1637"/>
  <c r="G1636" s="1"/>
  <c r="G1635" s="1"/>
  <c r="G1634" s="1"/>
  <c r="G1633" s="1"/>
  <c r="G1571" l="1"/>
  <c r="G1570" s="1"/>
  <c r="G1569" s="1"/>
  <c r="G1568" s="1"/>
  <c r="G1567" s="1"/>
  <c r="G1529" l="1"/>
  <c r="G1528" s="1"/>
  <c r="G1527" s="1"/>
  <c r="G1507" l="1"/>
  <c r="G1506" s="1"/>
  <c r="G1505" s="1"/>
  <c r="G1441" l="1"/>
  <c r="G1440" s="1"/>
  <c r="G1439" s="1"/>
  <c r="G1438" s="1"/>
  <c r="G1437" s="1"/>
  <c r="I1384" l="1"/>
  <c r="J1384" s="1"/>
  <c r="I1199"/>
  <c r="J1199" s="1"/>
  <c r="G922"/>
  <c r="G921" s="1"/>
  <c r="G920" s="1"/>
  <c r="G957"/>
  <c r="G956" s="1"/>
  <c r="G955"/>
  <c r="G954" s="1"/>
  <c r="G953" l="1"/>
  <c r="G839" l="1"/>
  <c r="G838"/>
  <c r="G837" s="1"/>
  <c r="G836" s="1"/>
  <c r="I548" l="1"/>
  <c r="J548" s="1"/>
  <c r="I549"/>
  <c r="J549" s="1"/>
  <c r="I507"/>
  <c r="J507" s="1"/>
  <c r="I508"/>
  <c r="J508" s="1"/>
  <c r="I509"/>
  <c r="J509" s="1"/>
  <c r="I431" l="1"/>
  <c r="J431" s="1"/>
  <c r="I329"/>
  <c r="J329" s="1"/>
  <c r="I164"/>
  <c r="J164" s="1"/>
  <c r="I91"/>
  <c r="J91" s="1"/>
  <c r="J11" i="36" l="1"/>
  <c r="A11" s="1"/>
  <c r="K11"/>
  <c r="J12"/>
  <c r="A12" s="1"/>
  <c r="K12"/>
  <c r="J13"/>
  <c r="A13" s="1"/>
  <c r="K13"/>
  <c r="J14"/>
  <c r="A14" s="1"/>
  <c r="K14"/>
  <c r="J15"/>
  <c r="A15" s="1"/>
  <c r="K15"/>
  <c r="J16"/>
  <c r="A16" s="1"/>
  <c r="K16"/>
  <c r="J17"/>
  <c r="K17"/>
  <c r="J18"/>
  <c r="K18"/>
  <c r="J19"/>
  <c r="K19"/>
  <c r="J20"/>
  <c r="K20"/>
  <c r="J21"/>
  <c r="K21"/>
  <c r="J22"/>
  <c r="K22"/>
  <c r="J23"/>
  <c r="K23"/>
  <c r="J24"/>
  <c r="K24"/>
  <c r="J25"/>
  <c r="K25"/>
  <c r="J26"/>
  <c r="K26"/>
  <c r="J27"/>
  <c r="K27"/>
  <c r="J28"/>
  <c r="K28"/>
  <c r="J29"/>
  <c r="K29"/>
  <c r="J30"/>
  <c r="K30"/>
  <c r="J31"/>
  <c r="K31"/>
  <c r="J32"/>
  <c r="K32"/>
  <c r="J33"/>
  <c r="K33"/>
  <c r="J34"/>
  <c r="K34"/>
  <c r="J35"/>
  <c r="K35"/>
  <c r="J36"/>
  <c r="K36"/>
  <c r="J37"/>
  <c r="K37"/>
  <c r="J38"/>
  <c r="K38"/>
  <c r="J39"/>
  <c r="K39"/>
  <c r="J40"/>
  <c r="K40"/>
  <c r="J41"/>
  <c r="K41"/>
  <c r="J42"/>
  <c r="K42"/>
  <c r="J43"/>
  <c r="K43"/>
  <c r="J44"/>
  <c r="K44"/>
  <c r="J45"/>
  <c r="K45"/>
  <c r="J46"/>
  <c r="K46"/>
  <c r="J47"/>
  <c r="K47"/>
  <c r="J48"/>
  <c r="K48"/>
  <c r="J49"/>
  <c r="K49"/>
  <c r="J50"/>
  <c r="K50"/>
  <c r="J51"/>
  <c r="K51"/>
  <c r="J52"/>
  <c r="K52"/>
  <c r="J53"/>
  <c r="K53"/>
  <c r="J54"/>
  <c r="K54"/>
  <c r="J55"/>
  <c r="K55"/>
  <c r="J56"/>
  <c r="K56"/>
  <c r="J57"/>
  <c r="K57"/>
  <c r="J58"/>
  <c r="K58"/>
  <c r="J59"/>
  <c r="K59"/>
  <c r="J60"/>
  <c r="K60"/>
  <c r="J61"/>
  <c r="K61"/>
  <c r="J62"/>
  <c r="K62"/>
  <c r="J63"/>
  <c r="K63"/>
  <c r="J64"/>
  <c r="K64"/>
  <c r="J65"/>
  <c r="K65"/>
  <c r="J66"/>
  <c r="K66"/>
  <c r="J67"/>
  <c r="K67"/>
  <c r="J68"/>
  <c r="K68"/>
  <c r="J69"/>
  <c r="K69"/>
  <c r="J70"/>
  <c r="K70"/>
  <c r="J71"/>
  <c r="K71"/>
  <c r="J72"/>
  <c r="K72"/>
  <c r="J73"/>
  <c r="K73"/>
  <c r="J74"/>
  <c r="K74"/>
  <c r="J75"/>
  <c r="K75"/>
  <c r="J76"/>
  <c r="K76"/>
  <c r="J77"/>
  <c r="K77"/>
  <c r="J78"/>
  <c r="K78"/>
  <c r="J79"/>
  <c r="K79"/>
  <c r="J80"/>
  <c r="K80"/>
  <c r="J81"/>
  <c r="K81"/>
  <c r="J82"/>
  <c r="K82"/>
  <c r="J83"/>
  <c r="K83"/>
  <c r="J84"/>
  <c r="K84"/>
  <c r="J85"/>
  <c r="K85"/>
  <c r="J86"/>
  <c r="K86"/>
  <c r="J87"/>
  <c r="K87"/>
  <c r="J88"/>
  <c r="K88"/>
  <c r="J89"/>
  <c r="K89"/>
  <c r="J90"/>
  <c r="K90"/>
  <c r="J91"/>
  <c r="K91"/>
  <c r="J92"/>
  <c r="K92"/>
  <c r="J93"/>
  <c r="K93"/>
  <c r="J94"/>
  <c r="K94"/>
  <c r="J95"/>
  <c r="K95"/>
  <c r="J96"/>
  <c r="K96"/>
  <c r="J97"/>
  <c r="K97"/>
  <c r="J98"/>
  <c r="K98"/>
  <c r="J99"/>
  <c r="K99"/>
  <c r="J100"/>
  <c r="K100"/>
  <c r="J101"/>
  <c r="K101"/>
  <c r="J102"/>
  <c r="K102"/>
  <c r="J103"/>
  <c r="K103"/>
  <c r="J104"/>
  <c r="K104"/>
  <c r="J105"/>
  <c r="K105"/>
  <c r="J106"/>
  <c r="K106"/>
  <c r="J107"/>
  <c r="K107"/>
  <c r="J108"/>
  <c r="K108"/>
  <c r="J109"/>
  <c r="K109"/>
  <c r="J110"/>
  <c r="K110"/>
  <c r="J111"/>
  <c r="K111"/>
  <c r="J112"/>
  <c r="K112"/>
  <c r="J113"/>
  <c r="K113"/>
  <c r="J114"/>
  <c r="K114"/>
  <c r="J115"/>
  <c r="K115"/>
  <c r="J116"/>
  <c r="K116"/>
  <c r="J117"/>
  <c r="K117"/>
  <c r="J118"/>
  <c r="K118"/>
  <c r="J119"/>
  <c r="K119"/>
  <c r="J120"/>
  <c r="K120"/>
  <c r="J121"/>
  <c r="K121"/>
  <c r="J122"/>
  <c r="K122"/>
  <c r="J123"/>
  <c r="K123"/>
  <c r="J124"/>
  <c r="K124"/>
  <c r="J125"/>
  <c r="K125"/>
  <c r="J126"/>
  <c r="K126"/>
  <c r="J127"/>
  <c r="K127"/>
  <c r="J128"/>
  <c r="K128"/>
  <c r="J129"/>
  <c r="K129"/>
  <c r="J130"/>
  <c r="K130"/>
  <c r="J131"/>
  <c r="K131"/>
  <c r="J132"/>
  <c r="K132"/>
  <c r="J133"/>
  <c r="K133"/>
  <c r="J134"/>
  <c r="K134"/>
  <c r="J135"/>
  <c r="K135"/>
  <c r="J136"/>
  <c r="K136"/>
  <c r="J137"/>
  <c r="K137"/>
  <c r="J138"/>
  <c r="K138"/>
  <c r="J139"/>
  <c r="K139"/>
  <c r="J140"/>
  <c r="K140"/>
  <c r="J141"/>
  <c r="K141"/>
  <c r="J142"/>
  <c r="K142"/>
  <c r="J143"/>
  <c r="K143"/>
  <c r="J144"/>
  <c r="K144"/>
  <c r="J145"/>
  <c r="K145"/>
  <c r="J146"/>
  <c r="K146"/>
  <c r="J147"/>
  <c r="K147"/>
  <c r="J148"/>
  <c r="K148"/>
  <c r="J149"/>
  <c r="K149"/>
  <c r="J150"/>
  <c r="K150"/>
  <c r="J151"/>
  <c r="K151"/>
  <c r="J152"/>
  <c r="K152"/>
  <c r="J153"/>
  <c r="K153"/>
  <c r="J154"/>
  <c r="K154"/>
  <c r="J155"/>
  <c r="K155"/>
  <c r="J156"/>
  <c r="K156"/>
  <c r="J157"/>
  <c r="K157"/>
  <c r="J158"/>
  <c r="K158"/>
  <c r="J159"/>
  <c r="K159"/>
  <c r="J160"/>
  <c r="K160"/>
  <c r="J161"/>
  <c r="K161"/>
  <c r="J162"/>
  <c r="K162"/>
  <c r="J163"/>
  <c r="K163"/>
  <c r="J164"/>
  <c r="K164"/>
  <c r="J165"/>
  <c r="K165"/>
  <c r="J166"/>
  <c r="K166"/>
  <c r="J167"/>
  <c r="K167"/>
  <c r="J168"/>
  <c r="K168"/>
  <c r="J169"/>
  <c r="K169"/>
  <c r="J170"/>
  <c r="K170"/>
  <c r="J171"/>
  <c r="K171"/>
  <c r="J172"/>
  <c r="K172"/>
  <c r="J173"/>
  <c r="K173"/>
  <c r="J174"/>
  <c r="K174"/>
  <c r="J175"/>
  <c r="K175"/>
  <c r="J176"/>
  <c r="K176"/>
  <c r="J177"/>
  <c r="K177"/>
  <c r="J178"/>
  <c r="K178"/>
  <c r="J179"/>
  <c r="K179"/>
  <c r="J180"/>
  <c r="K180"/>
  <c r="J181"/>
  <c r="K181"/>
  <c r="J182"/>
  <c r="K182"/>
  <c r="J183"/>
  <c r="K183"/>
  <c r="J184"/>
  <c r="K184"/>
  <c r="J185"/>
  <c r="K185"/>
  <c r="J186"/>
  <c r="K186"/>
  <c r="J187"/>
  <c r="K187"/>
  <c r="J188"/>
  <c r="K188"/>
  <c r="J189"/>
  <c r="K189"/>
  <c r="J190"/>
  <c r="K190"/>
  <c r="J191"/>
  <c r="K191"/>
  <c r="J192"/>
  <c r="K192"/>
  <c r="J193"/>
  <c r="K193"/>
  <c r="J194"/>
  <c r="K194"/>
  <c r="J195"/>
  <c r="K195"/>
  <c r="J196"/>
  <c r="K196"/>
  <c r="J197"/>
  <c r="K197"/>
  <c r="J198"/>
  <c r="K198"/>
  <c r="J199"/>
  <c r="K199"/>
  <c r="J200"/>
  <c r="K200"/>
  <c r="J201"/>
  <c r="K201"/>
  <c r="J202"/>
  <c r="K202"/>
  <c r="J203"/>
  <c r="K203"/>
  <c r="J204"/>
  <c r="K204"/>
  <c r="J205"/>
  <c r="K205"/>
  <c r="J206"/>
  <c r="K206"/>
  <c r="J207"/>
  <c r="K207"/>
  <c r="J208"/>
  <c r="K208"/>
  <c r="J209"/>
  <c r="K209"/>
  <c r="J210"/>
  <c r="K210"/>
  <c r="J211"/>
  <c r="K211"/>
  <c r="J212"/>
  <c r="K212"/>
  <c r="J213"/>
  <c r="K213"/>
  <c r="J214"/>
  <c r="K214"/>
  <c r="J215"/>
  <c r="K215"/>
  <c r="J216"/>
  <c r="K216"/>
  <c r="J217"/>
  <c r="K217"/>
  <c r="J218"/>
  <c r="K218"/>
  <c r="J219"/>
  <c r="K219"/>
  <c r="J220"/>
  <c r="K220"/>
  <c r="J221"/>
  <c r="K221"/>
  <c r="J222"/>
  <c r="K222"/>
  <c r="J223"/>
  <c r="K223"/>
  <c r="J224"/>
  <c r="K224"/>
  <c r="J225"/>
  <c r="K225"/>
  <c r="J226"/>
  <c r="K226"/>
  <c r="J227"/>
  <c r="K227"/>
  <c r="J228"/>
  <c r="K228"/>
  <c r="J229"/>
  <c r="K229"/>
  <c r="J230"/>
  <c r="K230"/>
  <c r="J231"/>
  <c r="K231"/>
  <c r="J232"/>
  <c r="K232"/>
  <c r="J233"/>
  <c r="K233"/>
  <c r="J234"/>
  <c r="K234"/>
  <c r="J235"/>
  <c r="K235"/>
  <c r="J236"/>
  <c r="K236"/>
  <c r="J237"/>
  <c r="K237"/>
  <c r="J238"/>
  <c r="K238"/>
  <c r="J239"/>
  <c r="K239"/>
  <c r="J240"/>
  <c r="K240"/>
  <c r="J241"/>
  <c r="K241"/>
  <c r="J242"/>
  <c r="K242"/>
  <c r="J243"/>
  <c r="K243"/>
  <c r="J244"/>
  <c r="K244"/>
  <c r="J245"/>
  <c r="K245"/>
  <c r="J246"/>
  <c r="K246"/>
  <c r="J247"/>
  <c r="K247"/>
  <c r="J248"/>
  <c r="K248"/>
  <c r="J249"/>
  <c r="K249"/>
  <c r="J250"/>
  <c r="K250"/>
  <c r="J251"/>
  <c r="K251"/>
  <c r="J252"/>
  <c r="K252"/>
  <c r="J253"/>
  <c r="K253"/>
  <c r="J254"/>
  <c r="K254"/>
  <c r="J255"/>
  <c r="K255"/>
  <c r="J256"/>
  <c r="K256"/>
  <c r="J257"/>
  <c r="K257"/>
  <c r="J258"/>
  <c r="K258"/>
  <c r="J259"/>
  <c r="K259"/>
  <c r="J260"/>
  <c r="K260"/>
  <c r="J261"/>
  <c r="K261"/>
  <c r="J262"/>
  <c r="K262"/>
  <c r="J263"/>
  <c r="K263"/>
  <c r="J264"/>
  <c r="K264"/>
  <c r="J265"/>
  <c r="K265"/>
  <c r="J266"/>
  <c r="K266"/>
  <c r="J267"/>
  <c r="K267"/>
  <c r="J268"/>
  <c r="K268"/>
  <c r="J269"/>
  <c r="K269"/>
  <c r="J270"/>
  <c r="K270"/>
  <c r="J271"/>
  <c r="K271"/>
  <c r="J272"/>
  <c r="K272"/>
  <c r="J273"/>
  <c r="K273"/>
  <c r="J274"/>
  <c r="K274"/>
  <c r="J275"/>
  <c r="K275"/>
  <c r="J276"/>
  <c r="K276"/>
  <c r="J277"/>
  <c r="K277"/>
  <c r="J278"/>
  <c r="K278"/>
  <c r="J279"/>
  <c r="K279"/>
  <c r="J280"/>
  <c r="K280"/>
  <c r="J281"/>
  <c r="K281"/>
  <c r="J282"/>
  <c r="K282"/>
  <c r="J283"/>
  <c r="K283"/>
  <c r="J284"/>
  <c r="K284"/>
  <c r="J285"/>
  <c r="K285"/>
  <c r="J286"/>
  <c r="K286"/>
  <c r="J287"/>
  <c r="K287"/>
  <c r="J288"/>
  <c r="K288"/>
  <c r="J289"/>
  <c r="K289"/>
  <c r="J290"/>
  <c r="K290"/>
  <c r="J291"/>
  <c r="K291"/>
  <c r="J292"/>
  <c r="K292"/>
  <c r="J293"/>
  <c r="K293"/>
  <c r="J294"/>
  <c r="K294"/>
  <c r="J295"/>
  <c r="K295"/>
  <c r="J296"/>
  <c r="K296"/>
  <c r="J297"/>
  <c r="K297"/>
  <c r="J298"/>
  <c r="K298"/>
  <c r="J299"/>
  <c r="K299"/>
  <c r="J300"/>
  <c r="K300"/>
  <c r="J301"/>
  <c r="K301"/>
  <c r="J302"/>
  <c r="K302"/>
  <c r="J303"/>
  <c r="K303"/>
  <c r="J304"/>
  <c r="K304"/>
  <c r="J305"/>
  <c r="K305"/>
  <c r="J306"/>
  <c r="K306"/>
  <c r="J307"/>
  <c r="K307"/>
  <c r="J308"/>
  <c r="K308"/>
  <c r="J309"/>
  <c r="K309"/>
  <c r="J310"/>
  <c r="K310"/>
  <c r="J311"/>
  <c r="K311"/>
  <c r="J312"/>
  <c r="K312"/>
  <c r="J313"/>
  <c r="K313"/>
  <c r="J314"/>
  <c r="K314"/>
  <c r="J315"/>
  <c r="K315"/>
  <c r="J316"/>
  <c r="K316"/>
  <c r="J317"/>
  <c r="K317"/>
  <c r="J318"/>
  <c r="K318"/>
  <c r="J319"/>
  <c r="K319"/>
  <c r="J320"/>
  <c r="K320"/>
  <c r="J321"/>
  <c r="K321"/>
  <c r="J322"/>
  <c r="K322"/>
  <c r="J323"/>
  <c r="K323"/>
  <c r="J324"/>
  <c r="K324"/>
  <c r="J325"/>
  <c r="K325"/>
  <c r="J326"/>
  <c r="K326"/>
  <c r="J327"/>
  <c r="K327"/>
  <c r="J328"/>
  <c r="K328"/>
  <c r="J329"/>
  <c r="K329"/>
  <c r="J330"/>
  <c r="K330"/>
  <c r="J331"/>
  <c r="K331"/>
  <c r="J332"/>
  <c r="K332"/>
  <c r="J333"/>
  <c r="K333"/>
  <c r="J334"/>
  <c r="K334"/>
  <c r="J335"/>
  <c r="K335"/>
  <c r="J336"/>
  <c r="K336"/>
  <c r="J337"/>
  <c r="K337"/>
  <c r="J338"/>
  <c r="K338"/>
  <c r="J339"/>
  <c r="K339"/>
  <c r="J340"/>
  <c r="K340"/>
  <c r="J341"/>
  <c r="K341"/>
  <c r="J342"/>
  <c r="K342"/>
  <c r="J343"/>
  <c r="K343"/>
  <c r="J344"/>
  <c r="K344"/>
  <c r="J345"/>
  <c r="K345"/>
  <c r="J346"/>
  <c r="K346"/>
  <c r="J347"/>
  <c r="K347"/>
  <c r="J348"/>
  <c r="K348"/>
  <c r="J349"/>
  <c r="K349"/>
  <c r="J350"/>
  <c r="K350"/>
  <c r="J351"/>
  <c r="K351"/>
  <c r="J352"/>
  <c r="K352"/>
  <c r="J353"/>
  <c r="K353"/>
  <c r="J354"/>
  <c r="K354"/>
  <c r="J355"/>
  <c r="K355"/>
  <c r="J356"/>
  <c r="K356"/>
  <c r="J357"/>
  <c r="K357"/>
  <c r="J358"/>
  <c r="K358"/>
  <c r="J359"/>
  <c r="K359"/>
  <c r="J360"/>
  <c r="K360"/>
  <c r="J361"/>
  <c r="K361"/>
  <c r="J362"/>
  <c r="K362"/>
  <c r="J363"/>
  <c r="K363"/>
  <c r="J364"/>
  <c r="K364"/>
  <c r="J365"/>
  <c r="K365"/>
  <c r="J366"/>
  <c r="K366"/>
  <c r="J367"/>
  <c r="K367"/>
  <c r="J368"/>
  <c r="K368"/>
  <c r="J369"/>
  <c r="K369"/>
  <c r="J370"/>
  <c r="K370"/>
  <c r="J371"/>
  <c r="K371"/>
  <c r="J372"/>
  <c r="K372"/>
  <c r="J373"/>
  <c r="K373"/>
  <c r="J374"/>
  <c r="K374"/>
  <c r="J375"/>
  <c r="K375"/>
  <c r="J376"/>
  <c r="K376"/>
  <c r="J377"/>
  <c r="K377"/>
  <c r="J378"/>
  <c r="K378"/>
  <c r="J379"/>
  <c r="K379"/>
  <c r="J380"/>
  <c r="K380"/>
  <c r="J381"/>
  <c r="K381"/>
  <c r="J382"/>
  <c r="K382"/>
  <c r="J383"/>
  <c r="K383"/>
  <c r="J384"/>
  <c r="K384"/>
  <c r="J385"/>
  <c r="K385"/>
  <c r="J386"/>
  <c r="K386"/>
  <c r="J387"/>
  <c r="K387"/>
  <c r="J388"/>
  <c r="K388"/>
  <c r="J389"/>
  <c r="K389"/>
  <c r="J390"/>
  <c r="K390"/>
  <c r="J391"/>
  <c r="K391"/>
  <c r="J392"/>
  <c r="K392"/>
  <c r="J393"/>
  <c r="K393"/>
  <c r="J394"/>
  <c r="K394"/>
  <c r="J395"/>
  <c r="K395"/>
  <c r="J396"/>
  <c r="K396"/>
  <c r="J397"/>
  <c r="K397"/>
  <c r="J398"/>
  <c r="K398"/>
  <c r="J399"/>
  <c r="K399"/>
  <c r="J400"/>
  <c r="K400"/>
  <c r="J401"/>
  <c r="K401"/>
  <c r="J402"/>
  <c r="K402"/>
  <c r="J403"/>
  <c r="K403"/>
  <c r="J404"/>
  <c r="K404"/>
  <c r="J405"/>
  <c r="K405"/>
  <c r="J406"/>
  <c r="K406"/>
  <c r="J407"/>
  <c r="K407"/>
  <c r="J408"/>
  <c r="K408"/>
  <c r="J409"/>
  <c r="K409"/>
  <c r="J410"/>
  <c r="K410"/>
  <c r="J411"/>
  <c r="K411"/>
  <c r="J412"/>
  <c r="K412"/>
  <c r="J413"/>
  <c r="K413"/>
  <c r="J414"/>
  <c r="K414"/>
  <c r="J415"/>
  <c r="K415"/>
  <c r="J416"/>
  <c r="K416"/>
  <c r="J417"/>
  <c r="K417"/>
  <c r="J418"/>
  <c r="K418"/>
  <c r="J419"/>
  <c r="K419"/>
  <c r="J420"/>
  <c r="K420"/>
  <c r="J421"/>
  <c r="K421"/>
  <c r="J422"/>
  <c r="K422"/>
  <c r="J423"/>
  <c r="K423"/>
  <c r="J424"/>
  <c r="K424"/>
  <c r="J425"/>
  <c r="K425"/>
  <c r="J426"/>
  <c r="K426"/>
  <c r="J427"/>
  <c r="K427"/>
  <c r="J428"/>
  <c r="K428"/>
  <c r="J429"/>
  <c r="K429"/>
  <c r="J430"/>
  <c r="K430"/>
  <c r="J431"/>
  <c r="K431"/>
  <c r="J432"/>
  <c r="K432"/>
  <c r="J433"/>
  <c r="K433"/>
  <c r="J434"/>
  <c r="K434"/>
  <c r="J435"/>
  <c r="K435"/>
  <c r="J436"/>
  <c r="K436"/>
  <c r="J437"/>
  <c r="K437"/>
  <c r="J438"/>
  <c r="K438"/>
  <c r="J439"/>
  <c r="K439"/>
  <c r="J440"/>
  <c r="K440"/>
  <c r="J441"/>
  <c r="K441"/>
  <c r="J442"/>
  <c r="K442"/>
  <c r="J443"/>
  <c r="K443"/>
  <c r="J444"/>
  <c r="K444"/>
  <c r="J445"/>
  <c r="K445"/>
  <c r="J446"/>
  <c r="K446"/>
  <c r="J447"/>
  <c r="K447"/>
  <c r="J448"/>
  <c r="K448"/>
  <c r="J449"/>
  <c r="K449"/>
  <c r="J450"/>
  <c r="K450"/>
  <c r="J451"/>
  <c r="K451"/>
  <c r="J452"/>
  <c r="K452"/>
  <c r="J453"/>
  <c r="K453"/>
  <c r="J454"/>
  <c r="K454"/>
  <c r="J455"/>
  <c r="K455"/>
  <c r="J456"/>
  <c r="K456"/>
  <c r="J457"/>
  <c r="K457"/>
  <c r="J458"/>
  <c r="K458"/>
  <c r="J459"/>
  <c r="K459"/>
  <c r="J460"/>
  <c r="K460"/>
  <c r="J461"/>
  <c r="K461"/>
  <c r="J462"/>
  <c r="K462"/>
  <c r="J463"/>
  <c r="K463"/>
  <c r="J464"/>
  <c r="K464"/>
  <c r="J465"/>
  <c r="K465"/>
  <c r="J466"/>
  <c r="K466"/>
  <c r="J467"/>
  <c r="K467"/>
  <c r="J468"/>
  <c r="K468"/>
  <c r="J469"/>
  <c r="K469"/>
  <c r="J470"/>
  <c r="K470"/>
  <c r="J471"/>
  <c r="K471"/>
  <c r="J472"/>
  <c r="K472"/>
  <c r="J473"/>
  <c r="K473"/>
  <c r="J474"/>
  <c r="K474"/>
  <c r="J475"/>
  <c r="K475"/>
  <c r="J476"/>
  <c r="K476"/>
  <c r="J477"/>
  <c r="K477"/>
  <c r="J478"/>
  <c r="K478"/>
  <c r="J479"/>
  <c r="K479"/>
  <c r="J480"/>
  <c r="K480"/>
  <c r="J481"/>
  <c r="K481"/>
  <c r="J482"/>
  <c r="K482"/>
  <c r="J483"/>
  <c r="K483"/>
  <c r="J484"/>
  <c r="K484"/>
  <c r="J485"/>
  <c r="K485"/>
  <c r="J486"/>
  <c r="K486"/>
  <c r="J487"/>
  <c r="K487"/>
  <c r="J488"/>
  <c r="K488"/>
  <c r="J489"/>
  <c r="K489"/>
  <c r="J490"/>
  <c r="K490"/>
  <c r="J491"/>
  <c r="K491"/>
  <c r="J492"/>
  <c r="K492"/>
  <c r="J493"/>
  <c r="K493"/>
  <c r="J494"/>
  <c r="K494"/>
  <c r="J495"/>
  <c r="K495"/>
  <c r="J496"/>
  <c r="K496"/>
  <c r="J497"/>
  <c r="K497"/>
  <c r="J498"/>
  <c r="K498"/>
  <c r="J499"/>
  <c r="K499"/>
  <c r="J500"/>
  <c r="K500"/>
  <c r="J501"/>
  <c r="K501"/>
  <c r="J502"/>
  <c r="K502"/>
  <c r="J503"/>
  <c r="K503"/>
  <c r="J504"/>
  <c r="K504"/>
  <c r="J505"/>
  <c r="K505"/>
  <c r="J506"/>
  <c r="K506"/>
  <c r="J507"/>
  <c r="K507"/>
  <c r="J508"/>
  <c r="K508"/>
  <c r="J509"/>
  <c r="K509"/>
  <c r="J510"/>
  <c r="K510"/>
  <c r="J511"/>
  <c r="K511"/>
  <c r="J512"/>
  <c r="K512"/>
  <c r="J513"/>
  <c r="K513"/>
  <c r="J514"/>
  <c r="K514"/>
  <c r="J515"/>
  <c r="K515"/>
  <c r="J516"/>
  <c r="K516"/>
  <c r="J517"/>
  <c r="K517"/>
  <c r="J518"/>
  <c r="K518"/>
  <c r="J519"/>
  <c r="K519"/>
  <c r="J520"/>
  <c r="K520"/>
  <c r="J521"/>
  <c r="K521"/>
  <c r="J522"/>
  <c r="K522"/>
  <c r="J523"/>
  <c r="K523"/>
  <c r="J524"/>
  <c r="K524"/>
  <c r="J525"/>
  <c r="K525"/>
  <c r="J526"/>
  <c r="K526"/>
  <c r="J527"/>
  <c r="K527"/>
  <c r="J528"/>
  <c r="K528"/>
  <c r="J529"/>
  <c r="K529"/>
  <c r="J530"/>
  <c r="K530"/>
  <c r="J531"/>
  <c r="K531"/>
  <c r="J532"/>
  <c r="K532"/>
  <c r="J533"/>
  <c r="K533"/>
  <c r="J534"/>
  <c r="K534"/>
  <c r="J535"/>
  <c r="K535"/>
  <c r="J536"/>
  <c r="K536"/>
  <c r="J537"/>
  <c r="K537"/>
  <c r="J538"/>
  <c r="K538"/>
  <c r="J539"/>
  <c r="K539"/>
  <c r="J540"/>
  <c r="K540"/>
  <c r="J541"/>
  <c r="K541"/>
  <c r="J542"/>
  <c r="K542"/>
  <c r="J543"/>
  <c r="K543"/>
  <c r="J544"/>
  <c r="K544"/>
  <c r="J545"/>
  <c r="K545"/>
  <c r="J546"/>
  <c r="K546"/>
  <c r="J547"/>
  <c r="K547"/>
  <c r="J548"/>
  <c r="K548"/>
  <c r="J549"/>
  <c r="K549"/>
  <c r="J550"/>
  <c r="K550"/>
  <c r="J551"/>
  <c r="K551"/>
  <c r="J552"/>
  <c r="K552"/>
  <c r="J553"/>
  <c r="K553"/>
  <c r="J554"/>
  <c r="K554"/>
  <c r="J555"/>
  <c r="K555"/>
  <c r="J556"/>
  <c r="K556"/>
  <c r="J557"/>
  <c r="K557"/>
  <c r="J558"/>
  <c r="K558"/>
  <c r="J559"/>
  <c r="K559"/>
  <c r="J560"/>
  <c r="K560"/>
  <c r="J561"/>
  <c r="K561"/>
  <c r="J562"/>
  <c r="K562"/>
  <c r="J563"/>
  <c r="K563"/>
  <c r="J564"/>
  <c r="K564"/>
  <c r="J565"/>
  <c r="K565"/>
  <c r="J566"/>
  <c r="K566"/>
  <c r="J567"/>
  <c r="K567"/>
  <c r="J568"/>
  <c r="K568"/>
  <c r="K10"/>
  <c r="J10"/>
  <c r="A10" s="1"/>
  <c r="I11" i="35"/>
  <c r="J11" s="1"/>
  <c r="I12"/>
  <c r="J12" s="1"/>
  <c r="I13"/>
  <c r="J13" s="1"/>
  <c r="I14"/>
  <c r="J14" s="1"/>
  <c r="I15"/>
  <c r="J15" s="1"/>
  <c r="I16"/>
  <c r="J16" s="1"/>
  <c r="I17"/>
  <c r="J17" s="1"/>
  <c r="I18"/>
  <c r="J18" s="1"/>
  <c r="I19"/>
  <c r="J19" s="1"/>
  <c r="I20"/>
  <c r="J20" s="1"/>
  <c r="I21"/>
  <c r="J21" s="1"/>
  <c r="I22"/>
  <c r="J22" s="1"/>
  <c r="I23"/>
  <c r="J23" s="1"/>
  <c r="I24"/>
  <c r="J24" s="1"/>
  <c r="I25"/>
  <c r="J25" s="1"/>
  <c r="I26"/>
  <c r="J26" s="1"/>
  <c r="I27"/>
  <c r="J27" s="1"/>
  <c r="I28"/>
  <c r="J28" s="1"/>
  <c r="I29"/>
  <c r="J29" s="1"/>
  <c r="I30"/>
  <c r="J30" s="1"/>
  <c r="I31"/>
  <c r="J31" s="1"/>
  <c r="I32"/>
  <c r="J32" s="1"/>
  <c r="I33"/>
  <c r="J33" s="1"/>
  <c r="I34"/>
  <c r="J34" s="1"/>
  <c r="I35"/>
  <c r="J35" s="1"/>
  <c r="I36"/>
  <c r="J36" s="1"/>
  <c r="I37"/>
  <c r="J37" s="1"/>
  <c r="I38"/>
  <c r="J38" s="1"/>
  <c r="I39"/>
  <c r="J39" s="1"/>
  <c r="I40"/>
  <c r="J40" s="1"/>
  <c r="I41"/>
  <c r="J41" s="1"/>
  <c r="I42"/>
  <c r="J42" s="1"/>
  <c r="I43"/>
  <c r="J43" s="1"/>
  <c r="I44"/>
  <c r="J44" s="1"/>
  <c r="I45"/>
  <c r="J45" s="1"/>
  <c r="I46"/>
  <c r="J46" s="1"/>
  <c r="I47"/>
  <c r="J47" s="1"/>
  <c r="I48"/>
  <c r="J48" s="1"/>
  <c r="I49"/>
  <c r="J49" s="1"/>
  <c r="I50"/>
  <c r="J50" s="1"/>
  <c r="I51"/>
  <c r="J51" s="1"/>
  <c r="I52"/>
  <c r="J52" s="1"/>
  <c r="I53"/>
  <c r="J53" s="1"/>
  <c r="I54"/>
  <c r="J54" s="1"/>
  <c r="I55"/>
  <c r="J55" s="1"/>
  <c r="I56"/>
  <c r="J56" s="1"/>
  <c r="I57"/>
  <c r="J57" s="1"/>
  <c r="I58"/>
  <c r="J58" s="1"/>
  <c r="I59"/>
  <c r="J59" s="1"/>
  <c r="I60"/>
  <c r="J60" s="1"/>
  <c r="I61"/>
  <c r="J61" s="1"/>
  <c r="I62"/>
  <c r="J62" s="1"/>
  <c r="I63"/>
  <c r="J63" s="1"/>
  <c r="I64"/>
  <c r="J64" s="1"/>
  <c r="I65"/>
  <c r="J65" s="1"/>
  <c r="I66"/>
  <c r="J66" s="1"/>
  <c r="I67"/>
  <c r="J67" s="1"/>
  <c r="I68"/>
  <c r="J68" s="1"/>
  <c r="I69"/>
  <c r="J69" s="1"/>
  <c r="I70"/>
  <c r="J70" s="1"/>
  <c r="I71"/>
  <c r="J71" s="1"/>
  <c r="I72"/>
  <c r="J72" s="1"/>
  <c r="I73"/>
  <c r="J73" s="1"/>
  <c r="I74"/>
  <c r="J74" s="1"/>
  <c r="I75"/>
  <c r="J75" s="1"/>
  <c r="I76"/>
  <c r="J76" s="1"/>
  <c r="I77"/>
  <c r="J77" s="1"/>
  <c r="I78"/>
  <c r="J78" s="1"/>
  <c r="I79"/>
  <c r="J79" s="1"/>
  <c r="I80"/>
  <c r="J80" s="1"/>
  <c r="I81"/>
  <c r="J81" s="1"/>
  <c r="I82"/>
  <c r="J82" s="1"/>
  <c r="I83"/>
  <c r="J83" s="1"/>
  <c r="I84"/>
  <c r="J84" s="1"/>
  <c r="I85"/>
  <c r="J85" s="1"/>
  <c r="I86"/>
  <c r="J86" s="1"/>
  <c r="I87"/>
  <c r="J87" s="1"/>
  <c r="I88"/>
  <c r="J88" s="1"/>
  <c r="I89"/>
  <c r="J89" s="1"/>
  <c r="I90"/>
  <c r="J90" s="1"/>
  <c r="I92"/>
  <c r="J92" s="1"/>
  <c r="I93"/>
  <c r="J93" s="1"/>
  <c r="I94"/>
  <c r="J94" s="1"/>
  <c r="I95"/>
  <c r="J95" s="1"/>
  <c r="I96"/>
  <c r="J96" s="1"/>
  <c r="I97"/>
  <c r="J97" s="1"/>
  <c r="I98"/>
  <c r="J98" s="1"/>
  <c r="I99"/>
  <c r="J99" s="1"/>
  <c r="I100"/>
  <c r="J100" s="1"/>
  <c r="I101"/>
  <c r="J101" s="1"/>
  <c r="I102"/>
  <c r="J102" s="1"/>
  <c r="I103"/>
  <c r="J103" s="1"/>
  <c r="I104"/>
  <c r="J104" s="1"/>
  <c r="I105"/>
  <c r="J105" s="1"/>
  <c r="I106"/>
  <c r="J106" s="1"/>
  <c r="I107"/>
  <c r="J107" s="1"/>
  <c r="I108"/>
  <c r="J108" s="1"/>
  <c r="I109"/>
  <c r="J109" s="1"/>
  <c r="I110"/>
  <c r="J110" s="1"/>
  <c r="I111"/>
  <c r="J111" s="1"/>
  <c r="I112"/>
  <c r="J112" s="1"/>
  <c r="I113"/>
  <c r="J113" s="1"/>
  <c r="I114"/>
  <c r="J114" s="1"/>
  <c r="I115"/>
  <c r="J115" s="1"/>
  <c r="I116"/>
  <c r="J116" s="1"/>
  <c r="I117"/>
  <c r="J117" s="1"/>
  <c r="I118"/>
  <c r="J118" s="1"/>
  <c r="I119"/>
  <c r="J119" s="1"/>
  <c r="I120"/>
  <c r="J120" s="1"/>
  <c r="I121"/>
  <c r="J121" s="1"/>
  <c r="I122"/>
  <c r="J122" s="1"/>
  <c r="I123"/>
  <c r="J123" s="1"/>
  <c r="I124"/>
  <c r="J124" s="1"/>
  <c r="I125"/>
  <c r="J125" s="1"/>
  <c r="I126"/>
  <c r="J126" s="1"/>
  <c r="I127"/>
  <c r="J127" s="1"/>
  <c r="I128"/>
  <c r="J128" s="1"/>
  <c r="I129"/>
  <c r="J129" s="1"/>
  <c r="I130"/>
  <c r="J130" s="1"/>
  <c r="I131"/>
  <c r="J131" s="1"/>
  <c r="I132"/>
  <c r="J132" s="1"/>
  <c r="I133"/>
  <c r="J133" s="1"/>
  <c r="I134"/>
  <c r="J134" s="1"/>
  <c r="I135"/>
  <c r="J135" s="1"/>
  <c r="I136"/>
  <c r="J136" s="1"/>
  <c r="I137"/>
  <c r="J137" s="1"/>
  <c r="I138"/>
  <c r="J138" s="1"/>
  <c r="I139"/>
  <c r="J139" s="1"/>
  <c r="I140"/>
  <c r="J140" s="1"/>
  <c r="I141"/>
  <c r="J141" s="1"/>
  <c r="I142"/>
  <c r="J142" s="1"/>
  <c r="I143"/>
  <c r="J143" s="1"/>
  <c r="I144"/>
  <c r="J144" s="1"/>
  <c r="I145"/>
  <c r="J145" s="1"/>
  <c r="I146"/>
  <c r="J146" s="1"/>
  <c r="I147"/>
  <c r="J147" s="1"/>
  <c r="I148"/>
  <c r="J148" s="1"/>
  <c r="I149"/>
  <c r="J149" s="1"/>
  <c r="I150"/>
  <c r="J150" s="1"/>
  <c r="I151"/>
  <c r="J151" s="1"/>
  <c r="I152"/>
  <c r="J152" s="1"/>
  <c r="I153"/>
  <c r="J153" s="1"/>
  <c r="I154"/>
  <c r="J154" s="1"/>
  <c r="I155"/>
  <c r="J155" s="1"/>
  <c r="I156"/>
  <c r="J156" s="1"/>
  <c r="I157"/>
  <c r="J157" s="1"/>
  <c r="I158"/>
  <c r="J158" s="1"/>
  <c r="I159"/>
  <c r="J159" s="1"/>
  <c r="I160"/>
  <c r="J160" s="1"/>
  <c r="I161"/>
  <c r="J161" s="1"/>
  <c r="I162"/>
  <c r="J162" s="1"/>
  <c r="I163"/>
  <c r="J163" s="1"/>
  <c r="I165"/>
  <c r="J165" s="1"/>
  <c r="I166"/>
  <c r="J166" s="1"/>
  <c r="I167"/>
  <c r="J167" s="1"/>
  <c r="I168"/>
  <c r="J168" s="1"/>
  <c r="I169"/>
  <c r="J169" s="1"/>
  <c r="I170"/>
  <c r="J170" s="1"/>
  <c r="I171"/>
  <c r="J171" s="1"/>
  <c r="I172"/>
  <c r="J172" s="1"/>
  <c r="I173"/>
  <c r="J173" s="1"/>
  <c r="I174"/>
  <c r="J174" s="1"/>
  <c r="I175"/>
  <c r="J175" s="1"/>
  <c r="I176"/>
  <c r="J176" s="1"/>
  <c r="I177"/>
  <c r="J177" s="1"/>
  <c r="I178"/>
  <c r="J178" s="1"/>
  <c r="I179"/>
  <c r="J179" s="1"/>
  <c r="I180"/>
  <c r="J180" s="1"/>
  <c r="I181"/>
  <c r="J181" s="1"/>
  <c r="I182"/>
  <c r="J182" s="1"/>
  <c r="I183"/>
  <c r="J183" s="1"/>
  <c r="I184"/>
  <c r="J184" s="1"/>
  <c r="I185"/>
  <c r="J185" s="1"/>
  <c r="I186"/>
  <c r="J186" s="1"/>
  <c r="I187"/>
  <c r="J187" s="1"/>
  <c r="I188"/>
  <c r="J188" s="1"/>
  <c r="I189"/>
  <c r="J189" s="1"/>
  <c r="I190"/>
  <c r="J190" s="1"/>
  <c r="I191"/>
  <c r="J191" s="1"/>
  <c r="I192"/>
  <c r="J192" s="1"/>
  <c r="I193"/>
  <c r="J193" s="1"/>
  <c r="I194"/>
  <c r="J194" s="1"/>
  <c r="I195"/>
  <c r="J195" s="1"/>
  <c r="I196"/>
  <c r="J196" s="1"/>
  <c r="I197"/>
  <c r="J197" s="1"/>
  <c r="I198"/>
  <c r="J198" s="1"/>
  <c r="I199"/>
  <c r="J199" s="1"/>
  <c r="I200"/>
  <c r="J200" s="1"/>
  <c r="I201"/>
  <c r="J201" s="1"/>
  <c r="I202"/>
  <c r="J202" s="1"/>
  <c r="I203"/>
  <c r="J203" s="1"/>
  <c r="I204"/>
  <c r="J204" s="1"/>
  <c r="I205"/>
  <c r="J205" s="1"/>
  <c r="I206"/>
  <c r="J206" s="1"/>
  <c r="I207"/>
  <c r="J207" s="1"/>
  <c r="I208"/>
  <c r="J208" s="1"/>
  <c r="I209"/>
  <c r="J209" s="1"/>
  <c r="I210"/>
  <c r="J210" s="1"/>
  <c r="I211"/>
  <c r="J211" s="1"/>
  <c r="I212"/>
  <c r="J212" s="1"/>
  <c r="I213"/>
  <c r="J213" s="1"/>
  <c r="I214"/>
  <c r="J214" s="1"/>
  <c r="I215"/>
  <c r="J215" s="1"/>
  <c r="I216"/>
  <c r="J216" s="1"/>
  <c r="I217"/>
  <c r="J217" s="1"/>
  <c r="I218"/>
  <c r="J218" s="1"/>
  <c r="I219"/>
  <c r="J219" s="1"/>
  <c r="I220"/>
  <c r="J220" s="1"/>
  <c r="I221"/>
  <c r="J221" s="1"/>
  <c r="I222"/>
  <c r="J222" s="1"/>
  <c r="I223"/>
  <c r="J223" s="1"/>
  <c r="I224"/>
  <c r="J224" s="1"/>
  <c r="I225"/>
  <c r="J225" s="1"/>
  <c r="I226"/>
  <c r="J226" s="1"/>
  <c r="I227"/>
  <c r="J227" s="1"/>
  <c r="I228"/>
  <c r="J228" s="1"/>
  <c r="I229"/>
  <c r="J229" s="1"/>
  <c r="I230"/>
  <c r="J230" s="1"/>
  <c r="I231"/>
  <c r="J231" s="1"/>
  <c r="I232"/>
  <c r="J232" s="1"/>
  <c r="I233"/>
  <c r="J233" s="1"/>
  <c r="I234"/>
  <c r="J234" s="1"/>
  <c r="I235"/>
  <c r="J235" s="1"/>
  <c r="I236"/>
  <c r="J236" s="1"/>
  <c r="I237"/>
  <c r="J237" s="1"/>
  <c r="I238"/>
  <c r="J238" s="1"/>
  <c r="I239"/>
  <c r="J239" s="1"/>
  <c r="I240"/>
  <c r="J240" s="1"/>
  <c r="I241"/>
  <c r="J241" s="1"/>
  <c r="I242"/>
  <c r="J242" s="1"/>
  <c r="I243"/>
  <c r="J243" s="1"/>
  <c r="I244"/>
  <c r="J244" s="1"/>
  <c r="I245"/>
  <c r="J245" s="1"/>
  <c r="I246"/>
  <c r="J246" s="1"/>
  <c r="I247"/>
  <c r="J247" s="1"/>
  <c r="I248"/>
  <c r="J248" s="1"/>
  <c r="I249"/>
  <c r="J249" s="1"/>
  <c r="I250"/>
  <c r="J250" s="1"/>
  <c r="I251"/>
  <c r="J251" s="1"/>
  <c r="I252"/>
  <c r="J252" s="1"/>
  <c r="I253"/>
  <c r="J253" s="1"/>
  <c r="I254"/>
  <c r="J254" s="1"/>
  <c r="I255"/>
  <c r="J255" s="1"/>
  <c r="I256"/>
  <c r="J256" s="1"/>
  <c r="I257"/>
  <c r="J257" s="1"/>
  <c r="I258"/>
  <c r="J258" s="1"/>
  <c r="I259"/>
  <c r="J259" s="1"/>
  <c r="I260"/>
  <c r="J260" s="1"/>
  <c r="I261"/>
  <c r="J261" s="1"/>
  <c r="I262"/>
  <c r="J262" s="1"/>
  <c r="I263"/>
  <c r="J263" s="1"/>
  <c r="I264"/>
  <c r="J264" s="1"/>
  <c r="I265"/>
  <c r="J265" s="1"/>
  <c r="I266"/>
  <c r="J266" s="1"/>
  <c r="I267"/>
  <c r="J267" s="1"/>
  <c r="I268"/>
  <c r="J268" s="1"/>
  <c r="I269"/>
  <c r="J269" s="1"/>
  <c r="I270"/>
  <c r="J270" s="1"/>
  <c r="I271"/>
  <c r="J271" s="1"/>
  <c r="I272"/>
  <c r="J272" s="1"/>
  <c r="I273"/>
  <c r="J273" s="1"/>
  <c r="I274"/>
  <c r="J274" s="1"/>
  <c r="I275"/>
  <c r="J275" s="1"/>
  <c r="I276"/>
  <c r="J276" s="1"/>
  <c r="I277"/>
  <c r="J277" s="1"/>
  <c r="I278"/>
  <c r="J278" s="1"/>
  <c r="I279"/>
  <c r="J279" s="1"/>
  <c r="I280"/>
  <c r="J280" s="1"/>
  <c r="I281"/>
  <c r="J281" s="1"/>
  <c r="I282"/>
  <c r="J282" s="1"/>
  <c r="I283"/>
  <c r="J283" s="1"/>
  <c r="I284"/>
  <c r="J284" s="1"/>
  <c r="I285"/>
  <c r="J285" s="1"/>
  <c r="I286"/>
  <c r="J286" s="1"/>
  <c r="I287"/>
  <c r="J287" s="1"/>
  <c r="I288"/>
  <c r="J288" s="1"/>
  <c r="I289"/>
  <c r="J289" s="1"/>
  <c r="I290"/>
  <c r="J290" s="1"/>
  <c r="I291"/>
  <c r="J291" s="1"/>
  <c r="I292"/>
  <c r="J292" s="1"/>
  <c r="I293"/>
  <c r="J293" s="1"/>
  <c r="I294"/>
  <c r="J294" s="1"/>
  <c r="I295"/>
  <c r="J295" s="1"/>
  <c r="I296"/>
  <c r="J296" s="1"/>
  <c r="I297"/>
  <c r="J297" s="1"/>
  <c r="I298"/>
  <c r="J298" s="1"/>
  <c r="I299"/>
  <c r="J299" s="1"/>
  <c r="I300"/>
  <c r="J300" s="1"/>
  <c r="I301"/>
  <c r="J301" s="1"/>
  <c r="I302"/>
  <c r="J302" s="1"/>
  <c r="I303"/>
  <c r="J303" s="1"/>
  <c r="I304"/>
  <c r="J304" s="1"/>
  <c r="I305"/>
  <c r="J305" s="1"/>
  <c r="I306"/>
  <c r="J306" s="1"/>
  <c r="I307"/>
  <c r="J307" s="1"/>
  <c r="I308"/>
  <c r="J308" s="1"/>
  <c r="I309"/>
  <c r="J309" s="1"/>
  <c r="I310"/>
  <c r="J310" s="1"/>
  <c r="I311"/>
  <c r="J311" s="1"/>
  <c r="I312"/>
  <c r="J312" s="1"/>
  <c r="I313"/>
  <c r="J313" s="1"/>
  <c r="I314"/>
  <c r="J314" s="1"/>
  <c r="I315"/>
  <c r="J315" s="1"/>
  <c r="I316"/>
  <c r="J316" s="1"/>
  <c r="I317"/>
  <c r="J317" s="1"/>
  <c r="I318"/>
  <c r="J318" s="1"/>
  <c r="I319"/>
  <c r="J319" s="1"/>
  <c r="I320"/>
  <c r="J320" s="1"/>
  <c r="I321"/>
  <c r="J321" s="1"/>
  <c r="I322"/>
  <c r="J322" s="1"/>
  <c r="I323"/>
  <c r="J323" s="1"/>
  <c r="I324"/>
  <c r="J324" s="1"/>
  <c r="I325"/>
  <c r="J325" s="1"/>
  <c r="I326"/>
  <c r="J326" s="1"/>
  <c r="I327"/>
  <c r="J327" s="1"/>
  <c r="I328"/>
  <c r="J328" s="1"/>
  <c r="I330"/>
  <c r="J330" s="1"/>
  <c r="I331"/>
  <c r="J331" s="1"/>
  <c r="I332"/>
  <c r="J332" s="1"/>
  <c r="I333"/>
  <c r="J333" s="1"/>
  <c r="I334"/>
  <c r="J334" s="1"/>
  <c r="I335"/>
  <c r="J335" s="1"/>
  <c r="I336"/>
  <c r="J336" s="1"/>
  <c r="I337"/>
  <c r="J337" s="1"/>
  <c r="I338"/>
  <c r="J338" s="1"/>
  <c r="I339"/>
  <c r="J339" s="1"/>
  <c r="I340"/>
  <c r="J340" s="1"/>
  <c r="I341"/>
  <c r="J341" s="1"/>
  <c r="I342"/>
  <c r="J342" s="1"/>
  <c r="I343"/>
  <c r="J343" s="1"/>
  <c r="I344"/>
  <c r="J344" s="1"/>
  <c r="I345"/>
  <c r="J345" s="1"/>
  <c r="I346"/>
  <c r="J346" s="1"/>
  <c r="I347"/>
  <c r="J347" s="1"/>
  <c r="I348"/>
  <c r="J348" s="1"/>
  <c r="I349"/>
  <c r="J349" s="1"/>
  <c r="I350"/>
  <c r="J350" s="1"/>
  <c r="I351"/>
  <c r="J351" s="1"/>
  <c r="I352"/>
  <c r="J352" s="1"/>
  <c r="I353"/>
  <c r="J353" s="1"/>
  <c r="I354"/>
  <c r="J354" s="1"/>
  <c r="I355"/>
  <c r="J355" s="1"/>
  <c r="I356"/>
  <c r="J356" s="1"/>
  <c r="I357"/>
  <c r="J357" s="1"/>
  <c r="I358"/>
  <c r="J358" s="1"/>
  <c r="I359"/>
  <c r="J359" s="1"/>
  <c r="I360"/>
  <c r="J360" s="1"/>
  <c r="I361"/>
  <c r="J361" s="1"/>
  <c r="I362"/>
  <c r="J362" s="1"/>
  <c r="I363"/>
  <c r="J363" s="1"/>
  <c r="I364"/>
  <c r="J364" s="1"/>
  <c r="I365"/>
  <c r="J365" s="1"/>
  <c r="I366"/>
  <c r="J366" s="1"/>
  <c r="I367"/>
  <c r="J367" s="1"/>
  <c r="I368"/>
  <c r="J368" s="1"/>
  <c r="I369"/>
  <c r="J369" s="1"/>
  <c r="I370"/>
  <c r="J370" s="1"/>
  <c r="I371"/>
  <c r="J371" s="1"/>
  <c r="I372"/>
  <c r="J372" s="1"/>
  <c r="I373"/>
  <c r="J373" s="1"/>
  <c r="I374"/>
  <c r="J374" s="1"/>
  <c r="I375"/>
  <c r="J375" s="1"/>
  <c r="I376"/>
  <c r="J376" s="1"/>
  <c r="I377"/>
  <c r="J377" s="1"/>
  <c r="I378"/>
  <c r="J378" s="1"/>
  <c r="I379"/>
  <c r="J379" s="1"/>
  <c r="I380"/>
  <c r="J380" s="1"/>
  <c r="I381"/>
  <c r="J381" s="1"/>
  <c r="I382"/>
  <c r="J382" s="1"/>
  <c r="I383"/>
  <c r="J383" s="1"/>
  <c r="I384"/>
  <c r="J384" s="1"/>
  <c r="I385"/>
  <c r="J385" s="1"/>
  <c r="I386"/>
  <c r="J386" s="1"/>
  <c r="I387"/>
  <c r="J387" s="1"/>
  <c r="I388"/>
  <c r="J388" s="1"/>
  <c r="I389"/>
  <c r="J389" s="1"/>
  <c r="I390"/>
  <c r="J390" s="1"/>
  <c r="I391"/>
  <c r="J391" s="1"/>
  <c r="I392"/>
  <c r="J392" s="1"/>
  <c r="I393"/>
  <c r="J393" s="1"/>
  <c r="I394"/>
  <c r="J394" s="1"/>
  <c r="I395"/>
  <c r="J395" s="1"/>
  <c r="I396"/>
  <c r="J396" s="1"/>
  <c r="I397"/>
  <c r="J397" s="1"/>
  <c r="I398"/>
  <c r="J398" s="1"/>
  <c r="I399"/>
  <c r="J399" s="1"/>
  <c r="I400"/>
  <c r="J400" s="1"/>
  <c r="I401"/>
  <c r="J401" s="1"/>
  <c r="I402"/>
  <c r="J402" s="1"/>
  <c r="I403"/>
  <c r="J403" s="1"/>
  <c r="I404"/>
  <c r="J404" s="1"/>
  <c r="I405"/>
  <c r="J405" s="1"/>
  <c r="I406"/>
  <c r="J406" s="1"/>
  <c r="I407"/>
  <c r="J407" s="1"/>
  <c r="I408"/>
  <c r="J408" s="1"/>
  <c r="I409"/>
  <c r="J409" s="1"/>
  <c r="I410"/>
  <c r="J410" s="1"/>
  <c r="I411"/>
  <c r="J411" s="1"/>
  <c r="I412"/>
  <c r="J412" s="1"/>
  <c r="I413"/>
  <c r="J413" s="1"/>
  <c r="I414"/>
  <c r="J414" s="1"/>
  <c r="I415"/>
  <c r="J415" s="1"/>
  <c r="I416"/>
  <c r="J416" s="1"/>
  <c r="I417"/>
  <c r="J417" s="1"/>
  <c r="I418"/>
  <c r="J418" s="1"/>
  <c r="I419"/>
  <c r="J419" s="1"/>
  <c r="I420"/>
  <c r="J420" s="1"/>
  <c r="I421"/>
  <c r="J421" s="1"/>
  <c r="I422"/>
  <c r="J422" s="1"/>
  <c r="I423"/>
  <c r="J423" s="1"/>
  <c r="I424"/>
  <c r="J424" s="1"/>
  <c r="I425"/>
  <c r="J425" s="1"/>
  <c r="I426"/>
  <c r="J426" s="1"/>
  <c r="I427"/>
  <c r="J427" s="1"/>
  <c r="I428"/>
  <c r="J428" s="1"/>
  <c r="I429"/>
  <c r="J429" s="1"/>
  <c r="I430"/>
  <c r="J430" s="1"/>
  <c r="I432"/>
  <c r="J432" s="1"/>
  <c r="I433"/>
  <c r="J433" s="1"/>
  <c r="I434"/>
  <c r="J434" s="1"/>
  <c r="I435"/>
  <c r="J435" s="1"/>
  <c r="I436"/>
  <c r="J436" s="1"/>
  <c r="I437"/>
  <c r="J437" s="1"/>
  <c r="I438"/>
  <c r="J438" s="1"/>
  <c r="I439"/>
  <c r="J439" s="1"/>
  <c r="I440"/>
  <c r="J440" s="1"/>
  <c r="I441"/>
  <c r="J441" s="1"/>
  <c r="I442"/>
  <c r="J442" s="1"/>
  <c r="I443"/>
  <c r="J443" s="1"/>
  <c r="I444"/>
  <c r="J444" s="1"/>
  <c r="I445"/>
  <c r="J445" s="1"/>
  <c r="I446"/>
  <c r="J446" s="1"/>
  <c r="I447"/>
  <c r="J447" s="1"/>
  <c r="I448"/>
  <c r="J448" s="1"/>
  <c r="I449"/>
  <c r="J449" s="1"/>
  <c r="I450"/>
  <c r="J450" s="1"/>
  <c r="I451"/>
  <c r="J451" s="1"/>
  <c r="I452"/>
  <c r="J452" s="1"/>
  <c r="I453"/>
  <c r="J453" s="1"/>
  <c r="I454"/>
  <c r="J454" s="1"/>
  <c r="I455"/>
  <c r="J455" s="1"/>
  <c r="I456"/>
  <c r="J456" s="1"/>
  <c r="I457"/>
  <c r="J457" s="1"/>
  <c r="I458"/>
  <c r="J458" s="1"/>
  <c r="I459"/>
  <c r="J459" s="1"/>
  <c r="I460"/>
  <c r="J460" s="1"/>
  <c r="I461"/>
  <c r="J461" s="1"/>
  <c r="I462"/>
  <c r="J462" s="1"/>
  <c r="I463"/>
  <c r="J463" s="1"/>
  <c r="I464"/>
  <c r="J464" s="1"/>
  <c r="I465"/>
  <c r="J465" s="1"/>
  <c r="I466"/>
  <c r="J466" s="1"/>
  <c r="I467"/>
  <c r="J467" s="1"/>
  <c r="I468"/>
  <c r="J468" s="1"/>
  <c r="I469"/>
  <c r="J469" s="1"/>
  <c r="I470"/>
  <c r="J470" s="1"/>
  <c r="I471"/>
  <c r="J471" s="1"/>
  <c r="I472"/>
  <c r="J472" s="1"/>
  <c r="I473"/>
  <c r="J473" s="1"/>
  <c r="I474"/>
  <c r="J474" s="1"/>
  <c r="I475"/>
  <c r="J475" s="1"/>
  <c r="I476"/>
  <c r="J476" s="1"/>
  <c r="I477"/>
  <c r="J477" s="1"/>
  <c r="I478"/>
  <c r="J478" s="1"/>
  <c r="I479"/>
  <c r="J479" s="1"/>
  <c r="I480"/>
  <c r="J480" s="1"/>
  <c r="I481"/>
  <c r="J481" s="1"/>
  <c r="I482"/>
  <c r="J482" s="1"/>
  <c r="I483"/>
  <c r="J483" s="1"/>
  <c r="I484"/>
  <c r="J484" s="1"/>
  <c r="I485"/>
  <c r="J485" s="1"/>
  <c r="I486"/>
  <c r="J486" s="1"/>
  <c r="I487"/>
  <c r="J487" s="1"/>
  <c r="I488"/>
  <c r="J488" s="1"/>
  <c r="I489"/>
  <c r="J489" s="1"/>
  <c r="I490"/>
  <c r="J490" s="1"/>
  <c r="I491"/>
  <c r="J491" s="1"/>
  <c r="I492"/>
  <c r="J492" s="1"/>
  <c r="I493"/>
  <c r="J493" s="1"/>
  <c r="I494"/>
  <c r="J494" s="1"/>
  <c r="I495"/>
  <c r="J495" s="1"/>
  <c r="I496"/>
  <c r="J496" s="1"/>
  <c r="I497"/>
  <c r="J497" s="1"/>
  <c r="I498"/>
  <c r="J498" s="1"/>
  <c r="I499"/>
  <c r="J499" s="1"/>
  <c r="I500"/>
  <c r="J500" s="1"/>
  <c r="I501"/>
  <c r="J501" s="1"/>
  <c r="I502"/>
  <c r="J502" s="1"/>
  <c r="I503"/>
  <c r="J503" s="1"/>
  <c r="I504"/>
  <c r="J504" s="1"/>
  <c r="I505"/>
  <c r="J505" s="1"/>
  <c r="I506"/>
  <c r="J506" s="1"/>
  <c r="I510"/>
  <c r="J510" s="1"/>
  <c r="I511"/>
  <c r="J511" s="1"/>
  <c r="I512"/>
  <c r="J512" s="1"/>
  <c r="I513"/>
  <c r="J513" s="1"/>
  <c r="I514"/>
  <c r="J514" s="1"/>
  <c r="I515"/>
  <c r="J515" s="1"/>
  <c r="I516"/>
  <c r="J516" s="1"/>
  <c r="I517"/>
  <c r="J517" s="1"/>
  <c r="I518"/>
  <c r="J518" s="1"/>
  <c r="I519"/>
  <c r="J519" s="1"/>
  <c r="I520"/>
  <c r="J520" s="1"/>
  <c r="I521"/>
  <c r="J521" s="1"/>
  <c r="I522"/>
  <c r="J522" s="1"/>
  <c r="I523"/>
  <c r="J523" s="1"/>
  <c r="I524"/>
  <c r="J524" s="1"/>
  <c r="I525"/>
  <c r="J525" s="1"/>
  <c r="I526"/>
  <c r="J526" s="1"/>
  <c r="I527"/>
  <c r="J527" s="1"/>
  <c r="I528"/>
  <c r="J528" s="1"/>
  <c r="I529"/>
  <c r="J529" s="1"/>
  <c r="I530"/>
  <c r="J530" s="1"/>
  <c r="I531"/>
  <c r="J531" s="1"/>
  <c r="I532"/>
  <c r="J532" s="1"/>
  <c r="I533"/>
  <c r="J533" s="1"/>
  <c r="I534"/>
  <c r="J534" s="1"/>
  <c r="I535"/>
  <c r="J535" s="1"/>
  <c r="I536"/>
  <c r="J536" s="1"/>
  <c r="I537"/>
  <c r="J537" s="1"/>
  <c r="I538"/>
  <c r="J538" s="1"/>
  <c r="I539"/>
  <c r="J539" s="1"/>
  <c r="I540"/>
  <c r="J540" s="1"/>
  <c r="I541"/>
  <c r="J541" s="1"/>
  <c r="I542"/>
  <c r="J542" s="1"/>
  <c r="I543"/>
  <c r="J543" s="1"/>
  <c r="I544"/>
  <c r="J544" s="1"/>
  <c r="I545"/>
  <c r="J545" s="1"/>
  <c r="I546"/>
  <c r="J546" s="1"/>
  <c r="I547"/>
  <c r="J547" s="1"/>
  <c r="I550"/>
  <c r="J550" s="1"/>
  <c r="I551"/>
  <c r="J551" s="1"/>
  <c r="I552"/>
  <c r="J552" s="1"/>
  <c r="I553"/>
  <c r="J553" s="1"/>
  <c r="I554"/>
  <c r="J554" s="1"/>
  <c r="I555"/>
  <c r="J555" s="1"/>
  <c r="I556"/>
  <c r="J556" s="1"/>
  <c r="I557"/>
  <c r="J557" s="1"/>
  <c r="I558"/>
  <c r="J558" s="1"/>
  <c r="I559"/>
  <c r="J559" s="1"/>
  <c r="I560"/>
  <c r="J560" s="1"/>
  <c r="I561"/>
  <c r="J561" s="1"/>
  <c r="I562"/>
  <c r="J562" s="1"/>
  <c r="I563"/>
  <c r="J563" s="1"/>
  <c r="I564"/>
  <c r="J564" s="1"/>
  <c r="I565"/>
  <c r="J565" s="1"/>
  <c r="I566"/>
  <c r="J566" s="1"/>
  <c r="I567"/>
  <c r="J567" s="1"/>
  <c r="I568"/>
  <c r="J568" s="1"/>
  <c r="I569"/>
  <c r="J569" s="1"/>
  <c r="I570"/>
  <c r="J570" s="1"/>
  <c r="I571"/>
  <c r="J571" s="1"/>
  <c r="I572"/>
  <c r="J572" s="1"/>
  <c r="I573"/>
  <c r="J573" s="1"/>
  <c r="I574"/>
  <c r="J574" s="1"/>
  <c r="I575"/>
  <c r="J575" s="1"/>
  <c r="I576"/>
  <c r="J576" s="1"/>
  <c r="I577"/>
  <c r="J577" s="1"/>
  <c r="I578"/>
  <c r="J578" s="1"/>
  <c r="I579"/>
  <c r="J579" s="1"/>
  <c r="I580"/>
  <c r="J580" s="1"/>
  <c r="I581"/>
  <c r="J581" s="1"/>
  <c r="I582"/>
  <c r="J582" s="1"/>
  <c r="I583"/>
  <c r="J583" s="1"/>
  <c r="I584"/>
  <c r="J584" s="1"/>
  <c r="I585"/>
  <c r="J585" s="1"/>
  <c r="I586"/>
  <c r="J586" s="1"/>
  <c r="I587"/>
  <c r="J587" s="1"/>
  <c r="I588"/>
  <c r="J588" s="1"/>
  <c r="I589"/>
  <c r="J589" s="1"/>
  <c r="I590"/>
  <c r="J590" s="1"/>
  <c r="I591"/>
  <c r="J591" s="1"/>
  <c r="I592"/>
  <c r="J592" s="1"/>
  <c r="I593"/>
  <c r="J593" s="1"/>
  <c r="I594"/>
  <c r="J594" s="1"/>
  <c r="I595"/>
  <c r="J595" s="1"/>
  <c r="I596"/>
  <c r="J596" s="1"/>
  <c r="I597"/>
  <c r="J597" s="1"/>
  <c r="I598"/>
  <c r="J598" s="1"/>
  <c r="I599"/>
  <c r="J599" s="1"/>
  <c r="I600"/>
  <c r="J600" s="1"/>
  <c r="I601"/>
  <c r="J601" s="1"/>
  <c r="I602"/>
  <c r="J602" s="1"/>
  <c r="I603"/>
  <c r="J603" s="1"/>
  <c r="I604"/>
  <c r="J604" s="1"/>
  <c r="I605"/>
  <c r="J605" s="1"/>
  <c r="I606"/>
  <c r="J606" s="1"/>
  <c r="I607"/>
  <c r="J607" s="1"/>
  <c r="I608"/>
  <c r="J608" s="1"/>
  <c r="I609"/>
  <c r="J609" s="1"/>
  <c r="I610"/>
  <c r="J610" s="1"/>
  <c r="I611"/>
  <c r="J611" s="1"/>
  <c r="I612"/>
  <c r="J612" s="1"/>
  <c r="I613"/>
  <c r="J613" s="1"/>
  <c r="I614"/>
  <c r="J614" s="1"/>
  <c r="I615"/>
  <c r="J615" s="1"/>
  <c r="I616"/>
  <c r="J616" s="1"/>
  <c r="I617"/>
  <c r="J617" s="1"/>
  <c r="I618"/>
  <c r="J618" s="1"/>
  <c r="I619"/>
  <c r="J619" s="1"/>
  <c r="I620"/>
  <c r="J620" s="1"/>
  <c r="I621"/>
  <c r="J621" s="1"/>
  <c r="I622"/>
  <c r="J622" s="1"/>
  <c r="I623"/>
  <c r="J623" s="1"/>
  <c r="I624"/>
  <c r="J624" s="1"/>
  <c r="I625"/>
  <c r="J625" s="1"/>
  <c r="I626"/>
  <c r="J626" s="1"/>
  <c r="I627"/>
  <c r="J627" s="1"/>
  <c r="I628"/>
  <c r="J628" s="1"/>
  <c r="I629"/>
  <c r="J629" s="1"/>
  <c r="I630"/>
  <c r="J630" s="1"/>
  <c r="I631"/>
  <c r="J631" s="1"/>
  <c r="I632"/>
  <c r="J632" s="1"/>
  <c r="I633"/>
  <c r="J633" s="1"/>
  <c r="I634"/>
  <c r="J634" s="1"/>
  <c r="I635"/>
  <c r="J635" s="1"/>
  <c r="I636"/>
  <c r="J636" s="1"/>
  <c r="I637"/>
  <c r="J637" s="1"/>
  <c r="I638"/>
  <c r="J638" s="1"/>
  <c r="I639"/>
  <c r="J639" s="1"/>
  <c r="I640"/>
  <c r="J640" s="1"/>
  <c r="I641"/>
  <c r="J641" s="1"/>
  <c r="I642"/>
  <c r="J642" s="1"/>
  <c r="I643"/>
  <c r="J643" s="1"/>
  <c r="I644"/>
  <c r="J644" s="1"/>
  <c r="I645"/>
  <c r="J645" s="1"/>
  <c r="I646"/>
  <c r="J646" s="1"/>
  <c r="I647"/>
  <c r="J647" s="1"/>
  <c r="I648"/>
  <c r="J648" s="1"/>
  <c r="I649"/>
  <c r="J649" s="1"/>
  <c r="I650"/>
  <c r="J650" s="1"/>
  <c r="I651"/>
  <c r="J651" s="1"/>
  <c r="I652"/>
  <c r="J652" s="1"/>
  <c r="I653"/>
  <c r="J653" s="1"/>
  <c r="I654"/>
  <c r="J654" s="1"/>
  <c r="I655"/>
  <c r="J655" s="1"/>
  <c r="I656"/>
  <c r="J656" s="1"/>
  <c r="I657"/>
  <c r="J657" s="1"/>
  <c r="I658"/>
  <c r="J658" s="1"/>
  <c r="I659"/>
  <c r="J659" s="1"/>
  <c r="I660"/>
  <c r="J660" s="1"/>
  <c r="I661"/>
  <c r="J661" s="1"/>
  <c r="I662"/>
  <c r="J662" s="1"/>
  <c r="I663"/>
  <c r="J663" s="1"/>
  <c r="I664"/>
  <c r="J664" s="1"/>
  <c r="I665"/>
  <c r="J665" s="1"/>
  <c r="I666"/>
  <c r="J666" s="1"/>
  <c r="I667"/>
  <c r="J667" s="1"/>
  <c r="I668"/>
  <c r="J668" s="1"/>
  <c r="I669"/>
  <c r="J669" s="1"/>
  <c r="I670"/>
  <c r="J670" s="1"/>
  <c r="I671"/>
  <c r="J671" s="1"/>
  <c r="I672"/>
  <c r="J672" s="1"/>
  <c r="I673"/>
  <c r="J673" s="1"/>
  <c r="I674"/>
  <c r="J674" s="1"/>
  <c r="I675"/>
  <c r="J675" s="1"/>
  <c r="I676"/>
  <c r="J676" s="1"/>
  <c r="I677"/>
  <c r="J677" s="1"/>
  <c r="I678"/>
  <c r="J678" s="1"/>
  <c r="I679"/>
  <c r="J679" s="1"/>
  <c r="I680"/>
  <c r="J680" s="1"/>
  <c r="I681"/>
  <c r="J681" s="1"/>
  <c r="I682"/>
  <c r="J682" s="1"/>
  <c r="I683"/>
  <c r="J683" s="1"/>
  <c r="I684"/>
  <c r="J684" s="1"/>
  <c r="I685"/>
  <c r="J685" s="1"/>
  <c r="I686"/>
  <c r="J686" s="1"/>
  <c r="I687"/>
  <c r="J687" s="1"/>
  <c r="I688"/>
  <c r="J688" s="1"/>
  <c r="I689"/>
  <c r="J689" s="1"/>
  <c r="I690"/>
  <c r="J690" s="1"/>
  <c r="I691"/>
  <c r="J691" s="1"/>
  <c r="I692"/>
  <c r="J692" s="1"/>
  <c r="I693"/>
  <c r="J693" s="1"/>
  <c r="I694"/>
  <c r="J694" s="1"/>
  <c r="I695"/>
  <c r="J695" s="1"/>
  <c r="I696"/>
  <c r="J696" s="1"/>
  <c r="I697"/>
  <c r="J697" s="1"/>
  <c r="I698"/>
  <c r="J698" s="1"/>
  <c r="I699"/>
  <c r="J699" s="1"/>
  <c r="I700"/>
  <c r="J700" s="1"/>
  <c r="I701"/>
  <c r="J701" s="1"/>
  <c r="I702"/>
  <c r="J702" s="1"/>
  <c r="I703"/>
  <c r="J703" s="1"/>
  <c r="I704"/>
  <c r="J704" s="1"/>
  <c r="I705"/>
  <c r="J705" s="1"/>
  <c r="I706"/>
  <c r="J706" s="1"/>
  <c r="I707"/>
  <c r="J707" s="1"/>
  <c r="I708"/>
  <c r="J708" s="1"/>
  <c r="I709"/>
  <c r="J709" s="1"/>
  <c r="I710"/>
  <c r="J710" s="1"/>
  <c r="I711"/>
  <c r="J711" s="1"/>
  <c r="I712"/>
  <c r="J712" s="1"/>
  <c r="I713"/>
  <c r="J713" s="1"/>
  <c r="I714"/>
  <c r="J714" s="1"/>
  <c r="I715"/>
  <c r="J715" s="1"/>
  <c r="I716"/>
  <c r="J716" s="1"/>
  <c r="I717"/>
  <c r="J717" s="1"/>
  <c r="I718"/>
  <c r="J718" s="1"/>
  <c r="I719"/>
  <c r="J719" s="1"/>
  <c r="I720"/>
  <c r="J720" s="1"/>
  <c r="I721"/>
  <c r="J721" s="1"/>
  <c r="I722"/>
  <c r="J722" s="1"/>
  <c r="I723"/>
  <c r="J723" s="1"/>
  <c r="I724"/>
  <c r="J724" s="1"/>
  <c r="I725"/>
  <c r="J725" s="1"/>
  <c r="I726"/>
  <c r="J726" s="1"/>
  <c r="I727"/>
  <c r="J727" s="1"/>
  <c r="I728"/>
  <c r="J728" s="1"/>
  <c r="I729"/>
  <c r="J729" s="1"/>
  <c r="I730"/>
  <c r="J730" s="1"/>
  <c r="I731"/>
  <c r="J731" s="1"/>
  <c r="I732"/>
  <c r="J732" s="1"/>
  <c r="I733"/>
  <c r="J733" s="1"/>
  <c r="I734"/>
  <c r="J734" s="1"/>
  <c r="I735"/>
  <c r="J735" s="1"/>
  <c r="I736"/>
  <c r="J736" s="1"/>
  <c r="I737"/>
  <c r="J737" s="1"/>
  <c r="I738"/>
  <c r="J738" s="1"/>
  <c r="I739"/>
  <c r="J739" s="1"/>
  <c r="I740"/>
  <c r="J740" s="1"/>
  <c r="I741"/>
  <c r="J741" s="1"/>
  <c r="I742"/>
  <c r="J742" s="1"/>
  <c r="I743"/>
  <c r="J743" s="1"/>
  <c r="I744"/>
  <c r="J744" s="1"/>
  <c r="I745"/>
  <c r="J745" s="1"/>
  <c r="I746"/>
  <c r="J746" s="1"/>
  <c r="I747"/>
  <c r="J747" s="1"/>
  <c r="I748"/>
  <c r="J748" s="1"/>
  <c r="I749"/>
  <c r="J749" s="1"/>
  <c r="I750"/>
  <c r="J750" s="1"/>
  <c r="I751"/>
  <c r="J751" s="1"/>
  <c r="I752"/>
  <c r="J752" s="1"/>
  <c r="I753"/>
  <c r="J753" s="1"/>
  <c r="I754"/>
  <c r="J754" s="1"/>
  <c r="I755"/>
  <c r="J755" s="1"/>
  <c r="I756"/>
  <c r="J756" s="1"/>
  <c r="I757"/>
  <c r="J757" s="1"/>
  <c r="I758"/>
  <c r="J758" s="1"/>
  <c r="I759"/>
  <c r="J759" s="1"/>
  <c r="I760"/>
  <c r="J760" s="1"/>
  <c r="I761"/>
  <c r="J761" s="1"/>
  <c r="I762"/>
  <c r="J762" s="1"/>
  <c r="I763"/>
  <c r="J763" s="1"/>
  <c r="I764"/>
  <c r="J764" s="1"/>
  <c r="I765"/>
  <c r="J765" s="1"/>
  <c r="I766"/>
  <c r="J766" s="1"/>
  <c r="I767"/>
  <c r="J767" s="1"/>
  <c r="I768"/>
  <c r="J768" s="1"/>
  <c r="I769"/>
  <c r="J769" s="1"/>
  <c r="I770"/>
  <c r="J770" s="1"/>
  <c r="I771"/>
  <c r="J771" s="1"/>
  <c r="I772"/>
  <c r="J772" s="1"/>
  <c r="I773"/>
  <c r="J773" s="1"/>
  <c r="I774"/>
  <c r="J774" s="1"/>
  <c r="I775"/>
  <c r="J775" s="1"/>
  <c r="I776"/>
  <c r="J776" s="1"/>
  <c r="I777"/>
  <c r="J777" s="1"/>
  <c r="I778"/>
  <c r="J778" s="1"/>
  <c r="I779"/>
  <c r="J779" s="1"/>
  <c r="I780"/>
  <c r="J780" s="1"/>
  <c r="I781"/>
  <c r="J781" s="1"/>
  <c r="I782"/>
  <c r="J782" s="1"/>
  <c r="I783"/>
  <c r="J783" s="1"/>
  <c r="I784"/>
  <c r="J784" s="1"/>
  <c r="I785"/>
  <c r="J785" s="1"/>
  <c r="I786"/>
  <c r="J786" s="1"/>
  <c r="I787"/>
  <c r="J787" s="1"/>
  <c r="I788"/>
  <c r="J788" s="1"/>
  <c r="I789"/>
  <c r="J789" s="1"/>
  <c r="I790"/>
  <c r="J790" s="1"/>
  <c r="I791"/>
  <c r="J791" s="1"/>
  <c r="I792"/>
  <c r="J792" s="1"/>
  <c r="I793"/>
  <c r="J793" s="1"/>
  <c r="I794"/>
  <c r="J794" s="1"/>
  <c r="I795"/>
  <c r="J795" s="1"/>
  <c r="I796"/>
  <c r="J796" s="1"/>
  <c r="I797"/>
  <c r="J797" s="1"/>
  <c r="I798"/>
  <c r="J798" s="1"/>
  <c r="I799"/>
  <c r="J799" s="1"/>
  <c r="I800"/>
  <c r="J800" s="1"/>
  <c r="I801"/>
  <c r="J801" s="1"/>
  <c r="I802"/>
  <c r="J802" s="1"/>
  <c r="I803"/>
  <c r="J803" s="1"/>
  <c r="I804"/>
  <c r="J804" s="1"/>
  <c r="I805"/>
  <c r="J805" s="1"/>
  <c r="I806"/>
  <c r="J806" s="1"/>
  <c r="I807"/>
  <c r="J807" s="1"/>
  <c r="I808"/>
  <c r="J808" s="1"/>
  <c r="I809"/>
  <c r="J809" s="1"/>
  <c r="I810"/>
  <c r="J810" s="1"/>
  <c r="I811"/>
  <c r="J811" s="1"/>
  <c r="I812"/>
  <c r="J812" s="1"/>
  <c r="I813"/>
  <c r="J813" s="1"/>
  <c r="I814"/>
  <c r="J814" s="1"/>
  <c r="I815"/>
  <c r="J815" s="1"/>
  <c r="I816"/>
  <c r="J816" s="1"/>
  <c r="I817"/>
  <c r="J817" s="1"/>
  <c r="I818"/>
  <c r="J818" s="1"/>
  <c r="I819"/>
  <c r="J819" s="1"/>
  <c r="I820"/>
  <c r="J820" s="1"/>
  <c r="I821"/>
  <c r="J821" s="1"/>
  <c r="I822"/>
  <c r="J822" s="1"/>
  <c r="I823"/>
  <c r="J823" s="1"/>
  <c r="I824"/>
  <c r="J824" s="1"/>
  <c r="I825"/>
  <c r="J825" s="1"/>
  <c r="I826"/>
  <c r="J826" s="1"/>
  <c r="I827"/>
  <c r="J827" s="1"/>
  <c r="I828"/>
  <c r="J828" s="1"/>
  <c r="I829"/>
  <c r="J829" s="1"/>
  <c r="I830"/>
  <c r="J830" s="1"/>
  <c r="I831"/>
  <c r="J831" s="1"/>
  <c r="I832"/>
  <c r="J832" s="1"/>
  <c r="I833"/>
  <c r="J833" s="1"/>
  <c r="I834"/>
  <c r="J834" s="1"/>
  <c r="I835"/>
  <c r="J835" s="1"/>
  <c r="I840"/>
  <c r="J840" s="1"/>
  <c r="I841"/>
  <c r="J841" s="1"/>
  <c r="I842"/>
  <c r="J842" s="1"/>
  <c r="I843"/>
  <c r="J843" s="1"/>
  <c r="I844"/>
  <c r="J844" s="1"/>
  <c r="I845"/>
  <c r="J845" s="1"/>
  <c r="I846"/>
  <c r="J846" s="1"/>
  <c r="I847"/>
  <c r="J847" s="1"/>
  <c r="I848"/>
  <c r="J848" s="1"/>
  <c r="I849"/>
  <c r="J849" s="1"/>
  <c r="I850"/>
  <c r="J850" s="1"/>
  <c r="I851"/>
  <c r="J851" s="1"/>
  <c r="I852"/>
  <c r="J852" s="1"/>
  <c r="I853"/>
  <c r="J853" s="1"/>
  <c r="I854"/>
  <c r="J854" s="1"/>
  <c r="I855"/>
  <c r="J855" s="1"/>
  <c r="I856"/>
  <c r="J856" s="1"/>
  <c r="I857"/>
  <c r="J857" s="1"/>
  <c r="I858"/>
  <c r="J858" s="1"/>
  <c r="I859"/>
  <c r="J859" s="1"/>
  <c r="I860"/>
  <c r="J860" s="1"/>
  <c r="I861"/>
  <c r="J861" s="1"/>
  <c r="I862"/>
  <c r="J862" s="1"/>
  <c r="I863"/>
  <c r="J863" s="1"/>
  <c r="I864"/>
  <c r="J864" s="1"/>
  <c r="I865"/>
  <c r="J865" s="1"/>
  <c r="I866"/>
  <c r="J866" s="1"/>
  <c r="I867"/>
  <c r="J867" s="1"/>
  <c r="I868"/>
  <c r="J868" s="1"/>
  <c r="I869"/>
  <c r="J869" s="1"/>
  <c r="I870"/>
  <c r="J870" s="1"/>
  <c r="I871"/>
  <c r="J871" s="1"/>
  <c r="I872"/>
  <c r="J872" s="1"/>
  <c r="I873"/>
  <c r="J873" s="1"/>
  <c r="I874"/>
  <c r="J874" s="1"/>
  <c r="I875"/>
  <c r="J875" s="1"/>
  <c r="I876"/>
  <c r="J876" s="1"/>
  <c r="I877"/>
  <c r="J877" s="1"/>
  <c r="I878"/>
  <c r="J878" s="1"/>
  <c r="I879"/>
  <c r="J879" s="1"/>
  <c r="I880"/>
  <c r="J880" s="1"/>
  <c r="I881"/>
  <c r="J881" s="1"/>
  <c r="I882"/>
  <c r="J882" s="1"/>
  <c r="I883"/>
  <c r="J883" s="1"/>
  <c r="I884"/>
  <c r="J884" s="1"/>
  <c r="I885"/>
  <c r="J885" s="1"/>
  <c r="I886"/>
  <c r="J886" s="1"/>
  <c r="I887"/>
  <c r="J887" s="1"/>
  <c r="I888"/>
  <c r="J888" s="1"/>
  <c r="I889"/>
  <c r="J889" s="1"/>
  <c r="I890"/>
  <c r="J890" s="1"/>
  <c r="I891"/>
  <c r="J891" s="1"/>
  <c r="I892"/>
  <c r="J892" s="1"/>
  <c r="I893"/>
  <c r="J893" s="1"/>
  <c r="I894"/>
  <c r="J894" s="1"/>
  <c r="I895"/>
  <c r="J895" s="1"/>
  <c r="I896"/>
  <c r="J896" s="1"/>
  <c r="I897"/>
  <c r="J897" s="1"/>
  <c r="I898"/>
  <c r="J898" s="1"/>
  <c r="I899"/>
  <c r="J899" s="1"/>
  <c r="I900"/>
  <c r="J900" s="1"/>
  <c r="I901"/>
  <c r="J901" s="1"/>
  <c r="I902"/>
  <c r="J902" s="1"/>
  <c r="I903"/>
  <c r="J903" s="1"/>
  <c r="I904"/>
  <c r="J904" s="1"/>
  <c r="I905"/>
  <c r="J905" s="1"/>
  <c r="I906"/>
  <c r="J906" s="1"/>
  <c r="I907"/>
  <c r="J907" s="1"/>
  <c r="I908"/>
  <c r="J908" s="1"/>
  <c r="I909"/>
  <c r="J909" s="1"/>
  <c r="I910"/>
  <c r="J910" s="1"/>
  <c r="I911"/>
  <c r="J911" s="1"/>
  <c r="I912"/>
  <c r="J912" s="1"/>
  <c r="I913"/>
  <c r="J913" s="1"/>
  <c r="I914"/>
  <c r="J914" s="1"/>
  <c r="I915"/>
  <c r="J915" s="1"/>
  <c r="I916"/>
  <c r="J916" s="1"/>
  <c r="I917"/>
  <c r="J917" s="1"/>
  <c r="I918"/>
  <c r="J918" s="1"/>
  <c r="I919"/>
  <c r="J919" s="1"/>
  <c r="I923"/>
  <c r="J923" s="1"/>
  <c r="I924"/>
  <c r="J924" s="1"/>
  <c r="I925"/>
  <c r="J925" s="1"/>
  <c r="I926"/>
  <c r="J926" s="1"/>
  <c r="I927"/>
  <c r="J927" s="1"/>
  <c r="I928"/>
  <c r="J928" s="1"/>
  <c r="I929"/>
  <c r="J929" s="1"/>
  <c r="I930"/>
  <c r="J930" s="1"/>
  <c r="I931"/>
  <c r="J931" s="1"/>
  <c r="I932"/>
  <c r="J932" s="1"/>
  <c r="I933"/>
  <c r="J933" s="1"/>
  <c r="I934"/>
  <c r="J934" s="1"/>
  <c r="I935"/>
  <c r="J935" s="1"/>
  <c r="I936"/>
  <c r="J936" s="1"/>
  <c r="I937"/>
  <c r="J937" s="1"/>
  <c r="I938"/>
  <c r="J938" s="1"/>
  <c r="I939"/>
  <c r="J939" s="1"/>
  <c r="I940"/>
  <c r="J940" s="1"/>
  <c r="I941"/>
  <c r="J941" s="1"/>
  <c r="I942"/>
  <c r="J942" s="1"/>
  <c r="I943"/>
  <c r="J943" s="1"/>
  <c r="I944"/>
  <c r="J944" s="1"/>
  <c r="I945"/>
  <c r="J945" s="1"/>
  <c r="I946"/>
  <c r="J946" s="1"/>
  <c r="I947"/>
  <c r="J947" s="1"/>
  <c r="I948"/>
  <c r="J948" s="1"/>
  <c r="I949"/>
  <c r="J949" s="1"/>
  <c r="I950"/>
  <c r="J950" s="1"/>
  <c r="I951"/>
  <c r="J951" s="1"/>
  <c r="I952"/>
  <c r="J952" s="1"/>
  <c r="I958"/>
  <c r="J958" s="1"/>
  <c r="I959"/>
  <c r="J959" s="1"/>
  <c r="I960"/>
  <c r="J960" s="1"/>
  <c r="I961"/>
  <c r="J961" s="1"/>
  <c r="I962"/>
  <c r="J962" s="1"/>
  <c r="I963"/>
  <c r="J963" s="1"/>
  <c r="I964"/>
  <c r="J964" s="1"/>
  <c r="I965"/>
  <c r="J965" s="1"/>
  <c r="I966"/>
  <c r="J966" s="1"/>
  <c r="I967"/>
  <c r="J967" s="1"/>
  <c r="I968"/>
  <c r="J968" s="1"/>
  <c r="I969"/>
  <c r="J969" s="1"/>
  <c r="I970"/>
  <c r="J970" s="1"/>
  <c r="I971"/>
  <c r="J971" s="1"/>
  <c r="I972"/>
  <c r="J972" s="1"/>
  <c r="I973"/>
  <c r="J973" s="1"/>
  <c r="I974"/>
  <c r="J974" s="1"/>
  <c r="I975"/>
  <c r="J975" s="1"/>
  <c r="I976"/>
  <c r="J976" s="1"/>
  <c r="I977"/>
  <c r="J977" s="1"/>
  <c r="I978"/>
  <c r="J978" s="1"/>
  <c r="I979"/>
  <c r="J979" s="1"/>
  <c r="I980"/>
  <c r="J980" s="1"/>
  <c r="I981"/>
  <c r="J981" s="1"/>
  <c r="I982"/>
  <c r="J982" s="1"/>
  <c r="I983"/>
  <c r="J983" s="1"/>
  <c r="I984"/>
  <c r="J984" s="1"/>
  <c r="I985"/>
  <c r="J985" s="1"/>
  <c r="I986"/>
  <c r="J986" s="1"/>
  <c r="I987"/>
  <c r="J987" s="1"/>
  <c r="I988"/>
  <c r="J988" s="1"/>
  <c r="I989"/>
  <c r="J989" s="1"/>
  <c r="I990"/>
  <c r="J990" s="1"/>
  <c r="I991"/>
  <c r="J991" s="1"/>
  <c r="I992"/>
  <c r="J992" s="1"/>
  <c r="I993"/>
  <c r="J993" s="1"/>
  <c r="I994"/>
  <c r="J994" s="1"/>
  <c r="I995"/>
  <c r="J995" s="1"/>
  <c r="I996"/>
  <c r="J996" s="1"/>
  <c r="I997"/>
  <c r="J997" s="1"/>
  <c r="I998"/>
  <c r="J998" s="1"/>
  <c r="I999"/>
  <c r="J999" s="1"/>
  <c r="I1000"/>
  <c r="J1000" s="1"/>
  <c r="I1001"/>
  <c r="J1001" s="1"/>
  <c r="I1002"/>
  <c r="J1002" s="1"/>
  <c r="I1003"/>
  <c r="J1003" s="1"/>
  <c r="I1004"/>
  <c r="J1004" s="1"/>
  <c r="I1005"/>
  <c r="J1005" s="1"/>
  <c r="I1006"/>
  <c r="J1006" s="1"/>
  <c r="I1007"/>
  <c r="J1007" s="1"/>
  <c r="I1008"/>
  <c r="J1008" s="1"/>
  <c r="I1009"/>
  <c r="J1009" s="1"/>
  <c r="I1010"/>
  <c r="J1010" s="1"/>
  <c r="I1011"/>
  <c r="J1011" s="1"/>
  <c r="I1012"/>
  <c r="J1012" s="1"/>
  <c r="I1013"/>
  <c r="J1013" s="1"/>
  <c r="I1014"/>
  <c r="J1014" s="1"/>
  <c r="I1015"/>
  <c r="J1015" s="1"/>
  <c r="I1016"/>
  <c r="J1016" s="1"/>
  <c r="I1017"/>
  <c r="J1017" s="1"/>
  <c r="I1018"/>
  <c r="J1018" s="1"/>
  <c r="I1019"/>
  <c r="J1019" s="1"/>
  <c r="I1020"/>
  <c r="J1020" s="1"/>
  <c r="I1021"/>
  <c r="J1021" s="1"/>
  <c r="I1022"/>
  <c r="J1022" s="1"/>
  <c r="I1023"/>
  <c r="J1023" s="1"/>
  <c r="I1024"/>
  <c r="J1024" s="1"/>
  <c r="I1025"/>
  <c r="J1025" s="1"/>
  <c r="I1026"/>
  <c r="J1026" s="1"/>
  <c r="I1027"/>
  <c r="J1027" s="1"/>
  <c r="I1028"/>
  <c r="J1028" s="1"/>
  <c r="I1029"/>
  <c r="J1029" s="1"/>
  <c r="I1030"/>
  <c r="J1030" s="1"/>
  <c r="I1031"/>
  <c r="J1031" s="1"/>
  <c r="I1032"/>
  <c r="J1032" s="1"/>
  <c r="I1033"/>
  <c r="J1033" s="1"/>
  <c r="I1034"/>
  <c r="J1034" s="1"/>
  <c r="I1035"/>
  <c r="J1035" s="1"/>
  <c r="I1036"/>
  <c r="J1036" s="1"/>
  <c r="I1037"/>
  <c r="J1037" s="1"/>
  <c r="I1038"/>
  <c r="J1038" s="1"/>
  <c r="I1039"/>
  <c r="J1039" s="1"/>
  <c r="I1040"/>
  <c r="J1040" s="1"/>
  <c r="I1041"/>
  <c r="J1041" s="1"/>
  <c r="I1042"/>
  <c r="J1042" s="1"/>
  <c r="I1043"/>
  <c r="J1043" s="1"/>
  <c r="I1044"/>
  <c r="J1044" s="1"/>
  <c r="I1045"/>
  <c r="J1045" s="1"/>
  <c r="I1046"/>
  <c r="J1046" s="1"/>
  <c r="I1047"/>
  <c r="J1047" s="1"/>
  <c r="I1048"/>
  <c r="J1048" s="1"/>
  <c r="I1049"/>
  <c r="J1049" s="1"/>
  <c r="I1050"/>
  <c r="J1050" s="1"/>
  <c r="I1051"/>
  <c r="J1051" s="1"/>
  <c r="I1052"/>
  <c r="J1052" s="1"/>
  <c r="I1053"/>
  <c r="J1053" s="1"/>
  <c r="I1054"/>
  <c r="J1054" s="1"/>
  <c r="I1055"/>
  <c r="J1055" s="1"/>
  <c r="I1056"/>
  <c r="J1056" s="1"/>
  <c r="I1057"/>
  <c r="J1057" s="1"/>
  <c r="I1058"/>
  <c r="J1058" s="1"/>
  <c r="I1059"/>
  <c r="J1059" s="1"/>
  <c r="I1060"/>
  <c r="J1060" s="1"/>
  <c r="I1061"/>
  <c r="J1061" s="1"/>
  <c r="I1062"/>
  <c r="J1062" s="1"/>
  <c r="I1063"/>
  <c r="J1063" s="1"/>
  <c r="I1064"/>
  <c r="J1064" s="1"/>
  <c r="I1065"/>
  <c r="J1065" s="1"/>
  <c r="I1066"/>
  <c r="J1066" s="1"/>
  <c r="I1067"/>
  <c r="J1067" s="1"/>
  <c r="I1068"/>
  <c r="J1068" s="1"/>
  <c r="I1069"/>
  <c r="J1069" s="1"/>
  <c r="I1070"/>
  <c r="J1070" s="1"/>
  <c r="I1071"/>
  <c r="J1071" s="1"/>
  <c r="I1072"/>
  <c r="J1072" s="1"/>
  <c r="I1073"/>
  <c r="J1073" s="1"/>
  <c r="I1074"/>
  <c r="J1074" s="1"/>
  <c r="I1075"/>
  <c r="J1075" s="1"/>
  <c r="I1076"/>
  <c r="J1076" s="1"/>
  <c r="I1077"/>
  <c r="J1077" s="1"/>
  <c r="I1078"/>
  <c r="J1078" s="1"/>
  <c r="I1079"/>
  <c r="J1079" s="1"/>
  <c r="I1080"/>
  <c r="J1080" s="1"/>
  <c r="I1081"/>
  <c r="J1081" s="1"/>
  <c r="I1082"/>
  <c r="J1082" s="1"/>
  <c r="I1083"/>
  <c r="J1083" s="1"/>
  <c r="I1084"/>
  <c r="J1084" s="1"/>
  <c r="I1085"/>
  <c r="J1085" s="1"/>
  <c r="I1086"/>
  <c r="J1086" s="1"/>
  <c r="I1087"/>
  <c r="J1087" s="1"/>
  <c r="I1088"/>
  <c r="J1088" s="1"/>
  <c r="I1089"/>
  <c r="J1089" s="1"/>
  <c r="I1090"/>
  <c r="J1090" s="1"/>
  <c r="I1091"/>
  <c r="J1091" s="1"/>
  <c r="I1092"/>
  <c r="J1092" s="1"/>
  <c r="I1093"/>
  <c r="J1093" s="1"/>
  <c r="I1094"/>
  <c r="J1094" s="1"/>
  <c r="I1095"/>
  <c r="J1095" s="1"/>
  <c r="I1096"/>
  <c r="J1096" s="1"/>
  <c r="I1097"/>
  <c r="J1097" s="1"/>
  <c r="I1098"/>
  <c r="J1098" s="1"/>
  <c r="I1099"/>
  <c r="J1099" s="1"/>
  <c r="I1100"/>
  <c r="J1100" s="1"/>
  <c r="I1101"/>
  <c r="J1101" s="1"/>
  <c r="I1102"/>
  <c r="J1102" s="1"/>
  <c r="I1103"/>
  <c r="J1103" s="1"/>
  <c r="I1104"/>
  <c r="J1104" s="1"/>
  <c r="I1105"/>
  <c r="J1105" s="1"/>
  <c r="I1106"/>
  <c r="J1106" s="1"/>
  <c r="I1107"/>
  <c r="J1107" s="1"/>
  <c r="I1108"/>
  <c r="J1108" s="1"/>
  <c r="I1109"/>
  <c r="J1109" s="1"/>
  <c r="I1110"/>
  <c r="J1110" s="1"/>
  <c r="I1111"/>
  <c r="J1111" s="1"/>
  <c r="I1112"/>
  <c r="J1112" s="1"/>
  <c r="I1113"/>
  <c r="J1113" s="1"/>
  <c r="I1114"/>
  <c r="J1114" s="1"/>
  <c r="I1115"/>
  <c r="J1115" s="1"/>
  <c r="I1116"/>
  <c r="J1116" s="1"/>
  <c r="I1117"/>
  <c r="J1117" s="1"/>
  <c r="I1118"/>
  <c r="J1118" s="1"/>
  <c r="I1119"/>
  <c r="J1119" s="1"/>
  <c r="I1120"/>
  <c r="J1120" s="1"/>
  <c r="I1121"/>
  <c r="J1121" s="1"/>
  <c r="I1122"/>
  <c r="J1122" s="1"/>
  <c r="I1123"/>
  <c r="J1123" s="1"/>
  <c r="I1124"/>
  <c r="J1124" s="1"/>
  <c r="I1125"/>
  <c r="J1125" s="1"/>
  <c r="I1126"/>
  <c r="J1126" s="1"/>
  <c r="I1127"/>
  <c r="J1127" s="1"/>
  <c r="I1128"/>
  <c r="J1128" s="1"/>
  <c r="I1129"/>
  <c r="J1129" s="1"/>
  <c r="I1130"/>
  <c r="J1130" s="1"/>
  <c r="I1131"/>
  <c r="J1131" s="1"/>
  <c r="I1132"/>
  <c r="J1132" s="1"/>
  <c r="I1133"/>
  <c r="J1133" s="1"/>
  <c r="I1134"/>
  <c r="J1134" s="1"/>
  <c r="I1135"/>
  <c r="J1135" s="1"/>
  <c r="I1136"/>
  <c r="J1136" s="1"/>
  <c r="I1137"/>
  <c r="J1137" s="1"/>
  <c r="I1138"/>
  <c r="J1138" s="1"/>
  <c r="I1139"/>
  <c r="J1139" s="1"/>
  <c r="I1140"/>
  <c r="J1140" s="1"/>
  <c r="I1141"/>
  <c r="J1141" s="1"/>
  <c r="I1142"/>
  <c r="J1142" s="1"/>
  <c r="I1143"/>
  <c r="J1143" s="1"/>
  <c r="I1144"/>
  <c r="J1144" s="1"/>
  <c r="I1145"/>
  <c r="J1145" s="1"/>
  <c r="I1146"/>
  <c r="J1146" s="1"/>
  <c r="I1147"/>
  <c r="J1147" s="1"/>
  <c r="I1148"/>
  <c r="J1148" s="1"/>
  <c r="I1149"/>
  <c r="J1149" s="1"/>
  <c r="I1150"/>
  <c r="J1150" s="1"/>
  <c r="I1151"/>
  <c r="J1151" s="1"/>
  <c r="I1152"/>
  <c r="J1152" s="1"/>
  <c r="I1153"/>
  <c r="J1153" s="1"/>
  <c r="I1154"/>
  <c r="J1154" s="1"/>
  <c r="I1155"/>
  <c r="J1155" s="1"/>
  <c r="I1156"/>
  <c r="J1156" s="1"/>
  <c r="I1157"/>
  <c r="J1157" s="1"/>
  <c r="I1158"/>
  <c r="J1158" s="1"/>
  <c r="I1159"/>
  <c r="J1159" s="1"/>
  <c r="I1160"/>
  <c r="J1160" s="1"/>
  <c r="I1161"/>
  <c r="J1161" s="1"/>
  <c r="I1162"/>
  <c r="J1162" s="1"/>
  <c r="I1163"/>
  <c r="J1163" s="1"/>
  <c r="I1164"/>
  <c r="J1164" s="1"/>
  <c r="I1165"/>
  <c r="J1165" s="1"/>
  <c r="I1166"/>
  <c r="J1166" s="1"/>
  <c r="I1167"/>
  <c r="J1167" s="1"/>
  <c r="I1168"/>
  <c r="J1168" s="1"/>
  <c r="I1169"/>
  <c r="J1169" s="1"/>
  <c r="I1170"/>
  <c r="J1170" s="1"/>
  <c r="I1171"/>
  <c r="J1171" s="1"/>
  <c r="I1172"/>
  <c r="J1172" s="1"/>
  <c r="I1173"/>
  <c r="J1173" s="1"/>
  <c r="I1174"/>
  <c r="J1174" s="1"/>
  <c r="I1175"/>
  <c r="J1175" s="1"/>
  <c r="I1176"/>
  <c r="J1176" s="1"/>
  <c r="I1177"/>
  <c r="J1177" s="1"/>
  <c r="I1178"/>
  <c r="J1178" s="1"/>
  <c r="I1179"/>
  <c r="J1179" s="1"/>
  <c r="I1180"/>
  <c r="J1180" s="1"/>
  <c r="I1181"/>
  <c r="J1181" s="1"/>
  <c r="I1182"/>
  <c r="J1182" s="1"/>
  <c r="I1183"/>
  <c r="J1183" s="1"/>
  <c r="I1184"/>
  <c r="J1184" s="1"/>
  <c r="I1185"/>
  <c r="J1185" s="1"/>
  <c r="I1186"/>
  <c r="J1186" s="1"/>
  <c r="I1187"/>
  <c r="J1187" s="1"/>
  <c r="I1188"/>
  <c r="J1188" s="1"/>
  <c r="I1189"/>
  <c r="J1189" s="1"/>
  <c r="I1190"/>
  <c r="J1190" s="1"/>
  <c r="I1191"/>
  <c r="J1191" s="1"/>
  <c r="I1192"/>
  <c r="J1192" s="1"/>
  <c r="I1193"/>
  <c r="J1193" s="1"/>
  <c r="I1194"/>
  <c r="J1194" s="1"/>
  <c r="I1195"/>
  <c r="J1195" s="1"/>
  <c r="I1196"/>
  <c r="J1196" s="1"/>
  <c r="I1197"/>
  <c r="J1197" s="1"/>
  <c r="I1198"/>
  <c r="J1198" s="1"/>
  <c r="I1200"/>
  <c r="J1200" s="1"/>
  <c r="I1201"/>
  <c r="J1201" s="1"/>
  <c r="I1202"/>
  <c r="J1202" s="1"/>
  <c r="I1203"/>
  <c r="J1203" s="1"/>
  <c r="I1204"/>
  <c r="J1204" s="1"/>
  <c r="I1205"/>
  <c r="J1205" s="1"/>
  <c r="I1206"/>
  <c r="J1206" s="1"/>
  <c r="I1207"/>
  <c r="J1207" s="1"/>
  <c r="I1208"/>
  <c r="J1208" s="1"/>
  <c r="I1209"/>
  <c r="J1209" s="1"/>
  <c r="I1210"/>
  <c r="J1210" s="1"/>
  <c r="I1211"/>
  <c r="J1211" s="1"/>
  <c r="I1212"/>
  <c r="J1212" s="1"/>
  <c r="I1213"/>
  <c r="J1213" s="1"/>
  <c r="I1214"/>
  <c r="J1214" s="1"/>
  <c r="I1215"/>
  <c r="J1215" s="1"/>
  <c r="I1216"/>
  <c r="J1216" s="1"/>
  <c r="I1217"/>
  <c r="J1217" s="1"/>
  <c r="I1218"/>
  <c r="J1218" s="1"/>
  <c r="I1219"/>
  <c r="J1219" s="1"/>
  <c r="I1220"/>
  <c r="J1220" s="1"/>
  <c r="I1221"/>
  <c r="J1221" s="1"/>
  <c r="I1222"/>
  <c r="J1222" s="1"/>
  <c r="I1223"/>
  <c r="J1223" s="1"/>
  <c r="I1224"/>
  <c r="J1224" s="1"/>
  <c r="I1225"/>
  <c r="J1225" s="1"/>
  <c r="I1226"/>
  <c r="J1226" s="1"/>
  <c r="I1227"/>
  <c r="J1227" s="1"/>
  <c r="I1228"/>
  <c r="J1228" s="1"/>
  <c r="I1229"/>
  <c r="J1229" s="1"/>
  <c r="I1230"/>
  <c r="J1230" s="1"/>
  <c r="I1231"/>
  <c r="J1231" s="1"/>
  <c r="I1232"/>
  <c r="J1232" s="1"/>
  <c r="I1233"/>
  <c r="J1233" s="1"/>
  <c r="I1234"/>
  <c r="J1234" s="1"/>
  <c r="I1235"/>
  <c r="J1235" s="1"/>
  <c r="I1236"/>
  <c r="J1236" s="1"/>
  <c r="I1237"/>
  <c r="J1237" s="1"/>
  <c r="I1238"/>
  <c r="J1238" s="1"/>
  <c r="I1239"/>
  <c r="J1239" s="1"/>
  <c r="I1240"/>
  <c r="J1240" s="1"/>
  <c r="I1241"/>
  <c r="J1241" s="1"/>
  <c r="I1242"/>
  <c r="J1242" s="1"/>
  <c r="I1243"/>
  <c r="J1243" s="1"/>
  <c r="I1244"/>
  <c r="J1244" s="1"/>
  <c r="I1245"/>
  <c r="J1245" s="1"/>
  <c r="I1246"/>
  <c r="J1246" s="1"/>
  <c r="I1247"/>
  <c r="J1247" s="1"/>
  <c r="I1248"/>
  <c r="J1248" s="1"/>
  <c r="I1249"/>
  <c r="J1249" s="1"/>
  <c r="I1250"/>
  <c r="J1250" s="1"/>
  <c r="I1251"/>
  <c r="J1251" s="1"/>
  <c r="I1252"/>
  <c r="J1252" s="1"/>
  <c r="I1253"/>
  <c r="J1253" s="1"/>
  <c r="I1254"/>
  <c r="J1254" s="1"/>
  <c r="I1255"/>
  <c r="J1255" s="1"/>
  <c r="I1256"/>
  <c r="J1256" s="1"/>
  <c r="I1257"/>
  <c r="J1257" s="1"/>
  <c r="I1258"/>
  <c r="J1258" s="1"/>
  <c r="I1259"/>
  <c r="J1259" s="1"/>
  <c r="I1260"/>
  <c r="J1260" s="1"/>
  <c r="I1261"/>
  <c r="J1261" s="1"/>
  <c r="I1262"/>
  <c r="J1262" s="1"/>
  <c r="I1263"/>
  <c r="J1263" s="1"/>
  <c r="I1264"/>
  <c r="J1264" s="1"/>
  <c r="I1265"/>
  <c r="J1265" s="1"/>
  <c r="I1266"/>
  <c r="J1266" s="1"/>
  <c r="I1267"/>
  <c r="J1267" s="1"/>
  <c r="I1268"/>
  <c r="J1268" s="1"/>
  <c r="I1269"/>
  <c r="J1269" s="1"/>
  <c r="I1270"/>
  <c r="J1270" s="1"/>
  <c r="I1271"/>
  <c r="J1271" s="1"/>
  <c r="I1272"/>
  <c r="J1272" s="1"/>
  <c r="I1273"/>
  <c r="J1273" s="1"/>
  <c r="I1274"/>
  <c r="J1274" s="1"/>
  <c r="I1275"/>
  <c r="J1275" s="1"/>
  <c r="I1276"/>
  <c r="J1276" s="1"/>
  <c r="I1277"/>
  <c r="J1277" s="1"/>
  <c r="I1278"/>
  <c r="J1278" s="1"/>
  <c r="I1279"/>
  <c r="J1279" s="1"/>
  <c r="I1280"/>
  <c r="J1280" s="1"/>
  <c r="I1281"/>
  <c r="J1281" s="1"/>
  <c r="I1282"/>
  <c r="J1282" s="1"/>
  <c r="I1283"/>
  <c r="J1283" s="1"/>
  <c r="I1284"/>
  <c r="J1284" s="1"/>
  <c r="I1285"/>
  <c r="J1285" s="1"/>
  <c r="I1286"/>
  <c r="J1286" s="1"/>
  <c r="I1287"/>
  <c r="J1287" s="1"/>
  <c r="I1288"/>
  <c r="J1288" s="1"/>
  <c r="I1289"/>
  <c r="J1289" s="1"/>
  <c r="I1290"/>
  <c r="J1290" s="1"/>
  <c r="I1291"/>
  <c r="J1291" s="1"/>
  <c r="I1292"/>
  <c r="J1292" s="1"/>
  <c r="I1293"/>
  <c r="J1293" s="1"/>
  <c r="I1294"/>
  <c r="J1294" s="1"/>
  <c r="I1295"/>
  <c r="J1295" s="1"/>
  <c r="I1296"/>
  <c r="J1296" s="1"/>
  <c r="I1297"/>
  <c r="J1297" s="1"/>
  <c r="I1298"/>
  <c r="J1298" s="1"/>
  <c r="I1299"/>
  <c r="J1299" s="1"/>
  <c r="I1300"/>
  <c r="J1300" s="1"/>
  <c r="I1301"/>
  <c r="J1301" s="1"/>
  <c r="I1302"/>
  <c r="J1302" s="1"/>
  <c r="I1303"/>
  <c r="J1303" s="1"/>
  <c r="I1304"/>
  <c r="J1304" s="1"/>
  <c r="I1305"/>
  <c r="J1305" s="1"/>
  <c r="I1306"/>
  <c r="J1306" s="1"/>
  <c r="I1307"/>
  <c r="I1308"/>
  <c r="I1309"/>
  <c r="I1310"/>
  <c r="J1310" s="1"/>
  <c r="I1311"/>
  <c r="J1311" s="1"/>
  <c r="I1312"/>
  <c r="J1312" s="1"/>
  <c r="I1313"/>
  <c r="J1313" s="1"/>
  <c r="I1314"/>
  <c r="J1314" s="1"/>
  <c r="I1315"/>
  <c r="J1315" s="1"/>
  <c r="I1316"/>
  <c r="J1316" s="1"/>
  <c r="I1317"/>
  <c r="J1317" s="1"/>
  <c r="I1318"/>
  <c r="J1318" s="1"/>
  <c r="I1319"/>
  <c r="J1319" s="1"/>
  <c r="I1320"/>
  <c r="J1320" s="1"/>
  <c r="I1321"/>
  <c r="J1321" s="1"/>
  <c r="I1322"/>
  <c r="J1322" s="1"/>
  <c r="I1323"/>
  <c r="J1323" s="1"/>
  <c r="I1324"/>
  <c r="J1324" s="1"/>
  <c r="I1325"/>
  <c r="J1325" s="1"/>
  <c r="I1326"/>
  <c r="J1326" s="1"/>
  <c r="I1327"/>
  <c r="J1327" s="1"/>
  <c r="I1328"/>
  <c r="J1328" s="1"/>
  <c r="I1329"/>
  <c r="J1329" s="1"/>
  <c r="I1330"/>
  <c r="J1330" s="1"/>
  <c r="I1331"/>
  <c r="J1331" s="1"/>
  <c r="I1332"/>
  <c r="J1332" s="1"/>
  <c r="I1333"/>
  <c r="J1333" s="1"/>
  <c r="I1334"/>
  <c r="J1334" s="1"/>
  <c r="I1335"/>
  <c r="J1335" s="1"/>
  <c r="I1336"/>
  <c r="J1336" s="1"/>
  <c r="I1337"/>
  <c r="J1337" s="1"/>
  <c r="I1338"/>
  <c r="J1338" s="1"/>
  <c r="I1339"/>
  <c r="J1339" s="1"/>
  <c r="I1340"/>
  <c r="J1340" s="1"/>
  <c r="I1341"/>
  <c r="J1341" s="1"/>
  <c r="I1342"/>
  <c r="J1342" s="1"/>
  <c r="I1343"/>
  <c r="J1343" s="1"/>
  <c r="I1344"/>
  <c r="J1344" s="1"/>
  <c r="I1345"/>
  <c r="J1345" s="1"/>
  <c r="I1346"/>
  <c r="J1346" s="1"/>
  <c r="I1347"/>
  <c r="J1347" s="1"/>
  <c r="I1348"/>
  <c r="J1348" s="1"/>
  <c r="I1349"/>
  <c r="J1349" s="1"/>
  <c r="I1350"/>
  <c r="J1350" s="1"/>
  <c r="I1351"/>
  <c r="J1351" s="1"/>
  <c r="I1352"/>
  <c r="J1352" s="1"/>
  <c r="I1353"/>
  <c r="J1353" s="1"/>
  <c r="I1354"/>
  <c r="J1354" s="1"/>
  <c r="I1355"/>
  <c r="J1355" s="1"/>
  <c r="I1356"/>
  <c r="J1356" s="1"/>
  <c r="I1357"/>
  <c r="J1357" s="1"/>
  <c r="I1358"/>
  <c r="J1358" s="1"/>
  <c r="I1359"/>
  <c r="J1359" s="1"/>
  <c r="I1360"/>
  <c r="J1360" s="1"/>
  <c r="I1361"/>
  <c r="J1361" s="1"/>
  <c r="I1362"/>
  <c r="J1362" s="1"/>
  <c r="I1363"/>
  <c r="J1363" s="1"/>
  <c r="I1364"/>
  <c r="J1364" s="1"/>
  <c r="I1365"/>
  <c r="J1365" s="1"/>
  <c r="I1366"/>
  <c r="J1366" s="1"/>
  <c r="I1367"/>
  <c r="J1367" s="1"/>
  <c r="I1368"/>
  <c r="J1368" s="1"/>
  <c r="I1369"/>
  <c r="J1369" s="1"/>
  <c r="I1370"/>
  <c r="J1370" s="1"/>
  <c r="I1371"/>
  <c r="J1371" s="1"/>
  <c r="I1372"/>
  <c r="J1372" s="1"/>
  <c r="I1373"/>
  <c r="J1373" s="1"/>
  <c r="I1374"/>
  <c r="J1374" s="1"/>
  <c r="I1375"/>
  <c r="J1375" s="1"/>
  <c r="I1376"/>
  <c r="J1376" s="1"/>
  <c r="I1377"/>
  <c r="J1377" s="1"/>
  <c r="I1378"/>
  <c r="J1378" s="1"/>
  <c r="I1379"/>
  <c r="J1379" s="1"/>
  <c r="I1380"/>
  <c r="J1380" s="1"/>
  <c r="I1381"/>
  <c r="J1381" s="1"/>
  <c r="I1382"/>
  <c r="J1382" s="1"/>
  <c r="I1383"/>
  <c r="J1383" s="1"/>
  <c r="I1385"/>
  <c r="J1385" s="1"/>
  <c r="I1386"/>
  <c r="J1386" s="1"/>
  <c r="I1387"/>
  <c r="J1387" s="1"/>
  <c r="I1388"/>
  <c r="J1388" s="1"/>
  <c r="I1389"/>
  <c r="J1389" s="1"/>
  <c r="I1390"/>
  <c r="J1390" s="1"/>
  <c r="I1391"/>
  <c r="J1391" s="1"/>
  <c r="I1392"/>
  <c r="J1392" s="1"/>
  <c r="I1393"/>
  <c r="J1393" s="1"/>
  <c r="I1394"/>
  <c r="J1394" s="1"/>
  <c r="I1395"/>
  <c r="J1395" s="1"/>
  <c r="I1396"/>
  <c r="J1396" s="1"/>
  <c r="I1397"/>
  <c r="J1397" s="1"/>
  <c r="I1398"/>
  <c r="J1398" s="1"/>
  <c r="I1399"/>
  <c r="J1399" s="1"/>
  <c r="I1400"/>
  <c r="J1400" s="1"/>
  <c r="I1401"/>
  <c r="J1401" s="1"/>
  <c r="I1402"/>
  <c r="J1402" s="1"/>
  <c r="I1403"/>
  <c r="J1403" s="1"/>
  <c r="I1404"/>
  <c r="J1404" s="1"/>
  <c r="I1405"/>
  <c r="J1405" s="1"/>
  <c r="I1406"/>
  <c r="J1406" s="1"/>
  <c r="I1407"/>
  <c r="J1407" s="1"/>
  <c r="I1408"/>
  <c r="J1408" s="1"/>
  <c r="I1409"/>
  <c r="J1409" s="1"/>
  <c r="I1410"/>
  <c r="J1410" s="1"/>
  <c r="I1411"/>
  <c r="J1411" s="1"/>
  <c r="I1412"/>
  <c r="J1412" s="1"/>
  <c r="I1413"/>
  <c r="J1413" s="1"/>
  <c r="I1414"/>
  <c r="J1414" s="1"/>
  <c r="I1415"/>
  <c r="J1415" s="1"/>
  <c r="I1416"/>
  <c r="J1416" s="1"/>
  <c r="I1417"/>
  <c r="J1417" s="1"/>
  <c r="I1418"/>
  <c r="J1418" s="1"/>
  <c r="I1419"/>
  <c r="J1419" s="1"/>
  <c r="I1420"/>
  <c r="J1420" s="1"/>
  <c r="I1421"/>
  <c r="J1421" s="1"/>
  <c r="I1422"/>
  <c r="J1422" s="1"/>
  <c r="I1423"/>
  <c r="J1423" s="1"/>
  <c r="I1424"/>
  <c r="J1424" s="1"/>
  <c r="I1425"/>
  <c r="J1425" s="1"/>
  <c r="I1426"/>
  <c r="J1426" s="1"/>
  <c r="I1427"/>
  <c r="J1427" s="1"/>
  <c r="I1428"/>
  <c r="J1428" s="1"/>
  <c r="I1429"/>
  <c r="J1429" s="1"/>
  <c r="I1430"/>
  <c r="J1430" s="1"/>
  <c r="I1431"/>
  <c r="J1431" s="1"/>
  <c r="I1432"/>
  <c r="J1432" s="1"/>
  <c r="I1433"/>
  <c r="J1433" s="1"/>
  <c r="I1434"/>
  <c r="J1434" s="1"/>
  <c r="I1435"/>
  <c r="J1435" s="1"/>
  <c r="I1436"/>
  <c r="J1436" s="1"/>
  <c r="I1442"/>
  <c r="J1442" s="1"/>
  <c r="I1443"/>
  <c r="J1443" s="1"/>
  <c r="I1444"/>
  <c r="J1444" s="1"/>
  <c r="I1445"/>
  <c r="J1445" s="1"/>
  <c r="I1446"/>
  <c r="J1446" s="1"/>
  <c r="I1447"/>
  <c r="J1447" s="1"/>
  <c r="I1448"/>
  <c r="J1448" s="1"/>
  <c r="I1449"/>
  <c r="J1449" s="1"/>
  <c r="I1450"/>
  <c r="J1450" s="1"/>
  <c r="I1451"/>
  <c r="J1451" s="1"/>
  <c r="I1452"/>
  <c r="J1452" s="1"/>
  <c r="I1453"/>
  <c r="J1453" s="1"/>
  <c r="I1454"/>
  <c r="J1454" s="1"/>
  <c r="I1455"/>
  <c r="J1455" s="1"/>
  <c r="I1456"/>
  <c r="J1456" s="1"/>
  <c r="I1457"/>
  <c r="J1457" s="1"/>
  <c r="I1458"/>
  <c r="J1458" s="1"/>
  <c r="I1459"/>
  <c r="J1459" s="1"/>
  <c r="I1460"/>
  <c r="J1460" s="1"/>
  <c r="I1461"/>
  <c r="J1461" s="1"/>
  <c r="I1462"/>
  <c r="J1462" s="1"/>
  <c r="I1463"/>
  <c r="J1463" s="1"/>
  <c r="I1464"/>
  <c r="J1464" s="1"/>
  <c r="I1465"/>
  <c r="J1465" s="1"/>
  <c r="I1466"/>
  <c r="J1466" s="1"/>
  <c r="I1467"/>
  <c r="J1467" s="1"/>
  <c r="I1468"/>
  <c r="J1468" s="1"/>
  <c r="I1469"/>
  <c r="J1469" s="1"/>
  <c r="I1470"/>
  <c r="J1470" s="1"/>
  <c r="I1471"/>
  <c r="J1471" s="1"/>
  <c r="I1472"/>
  <c r="J1472" s="1"/>
  <c r="I1473"/>
  <c r="J1473" s="1"/>
  <c r="I1474"/>
  <c r="J1474" s="1"/>
  <c r="I1475"/>
  <c r="J1475" s="1"/>
  <c r="I1476"/>
  <c r="J1476" s="1"/>
  <c r="I1477"/>
  <c r="J1477" s="1"/>
  <c r="I1478"/>
  <c r="J1478" s="1"/>
  <c r="I1479"/>
  <c r="J1479" s="1"/>
  <c r="I1480"/>
  <c r="J1480" s="1"/>
  <c r="I1481"/>
  <c r="J1481" s="1"/>
  <c r="I1482"/>
  <c r="J1482" s="1"/>
  <c r="I1483"/>
  <c r="J1483" s="1"/>
  <c r="I1484"/>
  <c r="J1484" s="1"/>
  <c r="I1485"/>
  <c r="J1485" s="1"/>
  <c r="I1486"/>
  <c r="J1486" s="1"/>
  <c r="I1487"/>
  <c r="J1487" s="1"/>
  <c r="I1488"/>
  <c r="J1488" s="1"/>
  <c r="I1489"/>
  <c r="J1489" s="1"/>
  <c r="I1490"/>
  <c r="J1490" s="1"/>
  <c r="I1491"/>
  <c r="J1491" s="1"/>
  <c r="I1492"/>
  <c r="J1492" s="1"/>
  <c r="I1493"/>
  <c r="J1493" s="1"/>
  <c r="I1494"/>
  <c r="J1494" s="1"/>
  <c r="I1495"/>
  <c r="J1495" s="1"/>
  <c r="I1496"/>
  <c r="J1496" s="1"/>
  <c r="I1497"/>
  <c r="J1497" s="1"/>
  <c r="I1498"/>
  <c r="J1498" s="1"/>
  <c r="I1499"/>
  <c r="J1499" s="1"/>
  <c r="I1500"/>
  <c r="J1500" s="1"/>
  <c r="I1501"/>
  <c r="J1501" s="1"/>
  <c r="I1502"/>
  <c r="J1502" s="1"/>
  <c r="I1503"/>
  <c r="J1503" s="1"/>
  <c r="I1504"/>
  <c r="J1504" s="1"/>
  <c r="I1508"/>
  <c r="J1508" s="1"/>
  <c r="I1509"/>
  <c r="J1509" s="1"/>
  <c r="I1510"/>
  <c r="J1510" s="1"/>
  <c r="I1511"/>
  <c r="J1511" s="1"/>
  <c r="I1512"/>
  <c r="J1512" s="1"/>
  <c r="I1513"/>
  <c r="J1513" s="1"/>
  <c r="I1514"/>
  <c r="J1514" s="1"/>
  <c r="I1515"/>
  <c r="J1515" s="1"/>
  <c r="I1516"/>
  <c r="J1516" s="1"/>
  <c r="I1517"/>
  <c r="J1517" s="1"/>
  <c r="I1518"/>
  <c r="J1518" s="1"/>
  <c r="I1519"/>
  <c r="J1519" s="1"/>
  <c r="I1520"/>
  <c r="J1520" s="1"/>
  <c r="I1521"/>
  <c r="J1521" s="1"/>
  <c r="I1522"/>
  <c r="J1522" s="1"/>
  <c r="I1523"/>
  <c r="J1523" s="1"/>
  <c r="I1524"/>
  <c r="J1524" s="1"/>
  <c r="I1525"/>
  <c r="J1525" s="1"/>
  <c r="I1526"/>
  <c r="J1526" s="1"/>
  <c r="I1530"/>
  <c r="J1530" s="1"/>
  <c r="I1531"/>
  <c r="J1531" s="1"/>
  <c r="I1532"/>
  <c r="J1532" s="1"/>
  <c r="I1533"/>
  <c r="J1533" s="1"/>
  <c r="I1534"/>
  <c r="J1534" s="1"/>
  <c r="I1535"/>
  <c r="J1535" s="1"/>
  <c r="I1536"/>
  <c r="J1536" s="1"/>
  <c r="I1537"/>
  <c r="J1537" s="1"/>
  <c r="I1538"/>
  <c r="J1538" s="1"/>
  <c r="I1539"/>
  <c r="J1539" s="1"/>
  <c r="I1540"/>
  <c r="J1540" s="1"/>
  <c r="I1541"/>
  <c r="J1541" s="1"/>
  <c r="I1542"/>
  <c r="J1542" s="1"/>
  <c r="I1543"/>
  <c r="J1543" s="1"/>
  <c r="I1544"/>
  <c r="J1544" s="1"/>
  <c r="I1545"/>
  <c r="J1545" s="1"/>
  <c r="I1546"/>
  <c r="J1546" s="1"/>
  <c r="I1547"/>
  <c r="J1547" s="1"/>
  <c r="I1548"/>
  <c r="J1548" s="1"/>
  <c r="I1549"/>
  <c r="J1549" s="1"/>
  <c r="I1550"/>
  <c r="J1550" s="1"/>
  <c r="I1551"/>
  <c r="J1551" s="1"/>
  <c r="I1552"/>
  <c r="J1552" s="1"/>
  <c r="I1553"/>
  <c r="J1553" s="1"/>
  <c r="I1554"/>
  <c r="J1554" s="1"/>
  <c r="I1555"/>
  <c r="J1555" s="1"/>
  <c r="I1556"/>
  <c r="J1556" s="1"/>
  <c r="I1557"/>
  <c r="J1557" s="1"/>
  <c r="I1558"/>
  <c r="J1558" s="1"/>
  <c r="I1559"/>
  <c r="J1559" s="1"/>
  <c r="I1560"/>
  <c r="J1560" s="1"/>
  <c r="I1561"/>
  <c r="J1561" s="1"/>
  <c r="I1562"/>
  <c r="J1562" s="1"/>
  <c r="I1563"/>
  <c r="J1563" s="1"/>
  <c r="I1564"/>
  <c r="J1564" s="1"/>
  <c r="I1565"/>
  <c r="J1565" s="1"/>
  <c r="I1566"/>
  <c r="J1566" s="1"/>
  <c r="I1572"/>
  <c r="J1572" s="1"/>
  <c r="I1573"/>
  <c r="J1573" s="1"/>
  <c r="I1574"/>
  <c r="J1574" s="1"/>
  <c r="I1575"/>
  <c r="J1575" s="1"/>
  <c r="I1576"/>
  <c r="I1577"/>
  <c r="J1577" s="1"/>
  <c r="I1578"/>
  <c r="J1578" s="1"/>
  <c r="I1579"/>
  <c r="J1579" s="1"/>
  <c r="I1580"/>
  <c r="J1580" s="1"/>
  <c r="I1581"/>
  <c r="J1581" s="1"/>
  <c r="I1582"/>
  <c r="J1582" s="1"/>
  <c r="I1583"/>
  <c r="J1583" s="1"/>
  <c r="I1584"/>
  <c r="J1584" s="1"/>
  <c r="I1585"/>
  <c r="J1585" s="1"/>
  <c r="I1586"/>
  <c r="J1586" s="1"/>
  <c r="I1587"/>
  <c r="J1587" s="1"/>
  <c r="I1588"/>
  <c r="J1588" s="1"/>
  <c r="I1589"/>
  <c r="J1589" s="1"/>
  <c r="I1590"/>
  <c r="J1590" s="1"/>
  <c r="I1591"/>
  <c r="J1591" s="1"/>
  <c r="I1592"/>
  <c r="J1592" s="1"/>
  <c r="I1593"/>
  <c r="J1593" s="1"/>
  <c r="I1594"/>
  <c r="J1594" s="1"/>
  <c r="I1595"/>
  <c r="J1595" s="1"/>
  <c r="I1596"/>
  <c r="J1596" s="1"/>
  <c r="I1597"/>
  <c r="J1597" s="1"/>
  <c r="I1598"/>
  <c r="J1598" s="1"/>
  <c r="I1599"/>
  <c r="J1599" s="1"/>
  <c r="I1600"/>
  <c r="J1600" s="1"/>
  <c r="I1601"/>
  <c r="J1601" s="1"/>
  <c r="I1602"/>
  <c r="J1602" s="1"/>
  <c r="I1603"/>
  <c r="J1603" s="1"/>
  <c r="I1604"/>
  <c r="J1604" s="1"/>
  <c r="I1605"/>
  <c r="J1605" s="1"/>
  <c r="I1606"/>
  <c r="J1606" s="1"/>
  <c r="I1607"/>
  <c r="J1607" s="1"/>
  <c r="I1608"/>
  <c r="J1608" s="1"/>
  <c r="I1609"/>
  <c r="J1609" s="1"/>
  <c r="I1610"/>
  <c r="J1610" s="1"/>
  <c r="I1611"/>
  <c r="J1611" s="1"/>
  <c r="I1612"/>
  <c r="J1612" s="1"/>
  <c r="I1613"/>
  <c r="J1613" s="1"/>
  <c r="I1614"/>
  <c r="J1614" s="1"/>
  <c r="I1615"/>
  <c r="J1615" s="1"/>
  <c r="I1616"/>
  <c r="J1616" s="1"/>
  <c r="I1617"/>
  <c r="J1617" s="1"/>
  <c r="I1618"/>
  <c r="J1618" s="1"/>
  <c r="I1619"/>
  <c r="J1619" s="1"/>
  <c r="I1620"/>
  <c r="J1620" s="1"/>
  <c r="I1621"/>
  <c r="J1621" s="1"/>
  <c r="I1622"/>
  <c r="J1622" s="1"/>
  <c r="I1623"/>
  <c r="J1623" s="1"/>
  <c r="I1624"/>
  <c r="J1624" s="1"/>
  <c r="I1625"/>
  <c r="J1625" s="1"/>
  <c r="I1626"/>
  <c r="J1626" s="1"/>
  <c r="I1627"/>
  <c r="J1627" s="1"/>
  <c r="I1628"/>
  <c r="J1628" s="1"/>
  <c r="I1629"/>
  <c r="J1629" s="1"/>
  <c r="I1630"/>
  <c r="J1630" s="1"/>
  <c r="I1631"/>
  <c r="J1631" s="1"/>
  <c r="I1632"/>
  <c r="J1632" s="1"/>
  <c r="I1638"/>
  <c r="J1638" s="1"/>
  <c r="I1639"/>
  <c r="J1639" s="1"/>
  <c r="I1640"/>
  <c r="J1640" s="1"/>
  <c r="I1641"/>
  <c r="J1641" s="1"/>
  <c r="I1642"/>
  <c r="J1642" s="1"/>
  <c r="I1643"/>
  <c r="J1643" s="1"/>
  <c r="I1644"/>
  <c r="J1644" s="1"/>
  <c r="I1645"/>
  <c r="J1645" s="1"/>
  <c r="I1646"/>
  <c r="J1646" s="1"/>
  <c r="I1647"/>
  <c r="J1647" s="1"/>
  <c r="I1648"/>
  <c r="J1648" s="1"/>
  <c r="I1649"/>
  <c r="J1649" s="1"/>
  <c r="I1650"/>
  <c r="J1650" s="1"/>
  <c r="I1651"/>
  <c r="J1651" s="1"/>
  <c r="I1652"/>
  <c r="J1652" s="1"/>
  <c r="I1653"/>
  <c r="J1653" s="1"/>
  <c r="I1654"/>
  <c r="J1654" s="1"/>
  <c r="I1655"/>
  <c r="J1655" s="1"/>
  <c r="I1656"/>
  <c r="J1656" s="1"/>
  <c r="I1657"/>
  <c r="J1657" s="1"/>
  <c r="I1658"/>
  <c r="J1658" s="1"/>
  <c r="I1659"/>
  <c r="J1659" s="1"/>
  <c r="I1660"/>
  <c r="J1660" s="1"/>
  <c r="I1661"/>
  <c r="J1661" s="1"/>
  <c r="I1662"/>
  <c r="J1662" s="1"/>
  <c r="I1663"/>
  <c r="J1663" s="1"/>
  <c r="I1664"/>
  <c r="J1664" s="1"/>
  <c r="I1665"/>
  <c r="J1665" s="1"/>
  <c r="I1666"/>
  <c r="J1666" s="1"/>
  <c r="I1667"/>
  <c r="J1667" s="1"/>
  <c r="I1668"/>
  <c r="J1668" s="1"/>
  <c r="I1669"/>
  <c r="J1669" s="1"/>
  <c r="I1670"/>
  <c r="J1670" s="1"/>
  <c r="I1671"/>
  <c r="J1671" s="1"/>
  <c r="I1673"/>
  <c r="J1673" s="1"/>
  <c r="I1674"/>
  <c r="J1674" s="1"/>
  <c r="I1675"/>
  <c r="J1675" s="1"/>
  <c r="I1676"/>
  <c r="J1676" s="1"/>
  <c r="I1677"/>
  <c r="J1677" s="1"/>
  <c r="I1678"/>
  <c r="J1678" s="1"/>
  <c r="I1679"/>
  <c r="J1679" s="1"/>
  <c r="I1680"/>
  <c r="J1680" s="1"/>
  <c r="I1681"/>
  <c r="J1681" s="1"/>
  <c r="I1682"/>
  <c r="J1682" s="1"/>
  <c r="I1683"/>
  <c r="J1683" s="1"/>
  <c r="I1684"/>
  <c r="J1684" s="1"/>
  <c r="I1685"/>
  <c r="J1685" s="1"/>
  <c r="I1686"/>
  <c r="J1686" s="1"/>
  <c r="I1687"/>
  <c r="J1687" s="1"/>
  <c r="I1688"/>
  <c r="J1688" s="1"/>
  <c r="I1689"/>
  <c r="J1689" s="1"/>
  <c r="I1690"/>
  <c r="J1690" s="1"/>
  <c r="I1691"/>
  <c r="J1691" s="1"/>
  <c r="I1692"/>
  <c r="J1692" s="1"/>
  <c r="I1693"/>
  <c r="J1693" s="1"/>
  <c r="I1694"/>
  <c r="J1694" s="1"/>
  <c r="I1695"/>
  <c r="J1695" s="1"/>
  <c r="I1696"/>
  <c r="J1696" s="1"/>
  <c r="I1697"/>
  <c r="J1697" s="1"/>
  <c r="I1698"/>
  <c r="J1698" s="1"/>
  <c r="I1699"/>
  <c r="J1699" s="1"/>
  <c r="I1700"/>
  <c r="J1700" s="1"/>
  <c r="I1701"/>
  <c r="J1701" s="1"/>
  <c r="I1702"/>
  <c r="J1702" s="1"/>
  <c r="I1703"/>
  <c r="J1703" s="1"/>
  <c r="I1704"/>
  <c r="J1704" s="1"/>
  <c r="I1705"/>
  <c r="J1705" s="1"/>
  <c r="I1706"/>
  <c r="J1706" s="1"/>
  <c r="I1707"/>
  <c r="J1707" s="1"/>
  <c r="I1708"/>
  <c r="J1708" s="1"/>
  <c r="I1709"/>
  <c r="J1709" s="1"/>
  <c r="I1710"/>
  <c r="J1710" s="1"/>
  <c r="I1711"/>
  <c r="J1711" s="1"/>
  <c r="I1712"/>
  <c r="J1712" s="1"/>
  <c r="I1713"/>
  <c r="J1713" s="1"/>
  <c r="I1714"/>
  <c r="J1714" s="1"/>
  <c r="I1715"/>
  <c r="J1715" s="1"/>
  <c r="I1716"/>
  <c r="J1716" s="1"/>
  <c r="I1717"/>
  <c r="J1717" s="1"/>
  <c r="I1718"/>
  <c r="J1718" s="1"/>
  <c r="I1719"/>
  <c r="J1719" s="1"/>
  <c r="I1720"/>
  <c r="J1720" s="1"/>
  <c r="I1721"/>
  <c r="J1721" s="1"/>
  <c r="I1722"/>
  <c r="J1722" s="1"/>
  <c r="I1723"/>
  <c r="J1723" s="1"/>
  <c r="I1724"/>
  <c r="J1724" s="1"/>
  <c r="I1725"/>
  <c r="J1725" s="1"/>
  <c r="I1726"/>
  <c r="J1726" s="1"/>
  <c r="I1727"/>
  <c r="J1727" s="1"/>
  <c r="I1728"/>
  <c r="J1728" s="1"/>
  <c r="I1729"/>
  <c r="J1729" s="1"/>
  <c r="I1730"/>
  <c r="J1730" s="1"/>
  <c r="I1731"/>
  <c r="J1731" s="1"/>
  <c r="I1732"/>
  <c r="J1732" s="1"/>
  <c r="I1733"/>
  <c r="J1733" s="1"/>
  <c r="I1734"/>
  <c r="J1734" s="1"/>
  <c r="I1735"/>
  <c r="J1735" s="1"/>
  <c r="I1736"/>
  <c r="J1736" s="1"/>
  <c r="I1737"/>
  <c r="J1737" s="1"/>
  <c r="I1738"/>
  <c r="J1738" s="1"/>
  <c r="I1739"/>
  <c r="J1739" s="1"/>
  <c r="I1740"/>
  <c r="J1740" s="1"/>
  <c r="I1741"/>
  <c r="J1741" s="1"/>
  <c r="I1745"/>
  <c r="J1745" s="1"/>
  <c r="I1746"/>
  <c r="J1746" s="1"/>
  <c r="I1747"/>
  <c r="J1747" s="1"/>
  <c r="I1748"/>
  <c r="J1748" s="1"/>
  <c r="I1749"/>
  <c r="J1749" s="1"/>
  <c r="I1750"/>
  <c r="J1750" s="1"/>
  <c r="I1751"/>
  <c r="J1751" s="1"/>
  <c r="I1752"/>
  <c r="J1752" s="1"/>
  <c r="I1753"/>
  <c r="J1753" s="1"/>
  <c r="I1754"/>
  <c r="J1754" s="1"/>
  <c r="I1755"/>
  <c r="J1755" s="1"/>
  <c r="I1756"/>
  <c r="J1756" s="1"/>
  <c r="I1757"/>
  <c r="J1757" s="1"/>
  <c r="I1758"/>
  <c r="J1758" s="1"/>
  <c r="I1759"/>
  <c r="J1759" s="1"/>
  <c r="I1760"/>
  <c r="J1760" s="1"/>
  <c r="I1761"/>
  <c r="J1761" s="1"/>
  <c r="I1762"/>
  <c r="J1762" s="1"/>
  <c r="I1763"/>
  <c r="J1763" s="1"/>
  <c r="I1764"/>
  <c r="J1764" s="1"/>
  <c r="I1765"/>
  <c r="J1765" s="1"/>
  <c r="I1766"/>
  <c r="J1766" s="1"/>
  <c r="I1767"/>
  <c r="J1767" s="1"/>
  <c r="I1774"/>
  <c r="J1774" s="1"/>
  <c r="I1775"/>
  <c r="J1775" s="1"/>
  <c r="I1776"/>
  <c r="J1776" s="1"/>
  <c r="I1777"/>
  <c r="J1777" s="1"/>
  <c r="I1781"/>
  <c r="J1781" s="1"/>
  <c r="I1782"/>
  <c r="J1782" s="1"/>
  <c r="I1783"/>
  <c r="J1783" s="1"/>
  <c r="I1784"/>
  <c r="J1784" s="1"/>
  <c r="I1785"/>
  <c r="J1785" s="1"/>
  <c r="I1786"/>
  <c r="J1786" s="1"/>
  <c r="I1787"/>
  <c r="J1787" s="1"/>
  <c r="I1788"/>
  <c r="J1788" s="1"/>
  <c r="I1789"/>
  <c r="J1789" s="1"/>
  <c r="I1790"/>
  <c r="J1790" s="1"/>
  <c r="I1791"/>
  <c r="J1791" s="1"/>
  <c r="I1792"/>
  <c r="J1792" s="1"/>
  <c r="I1793"/>
  <c r="J1793" s="1"/>
  <c r="I1794"/>
  <c r="J1794" s="1"/>
  <c r="I1795"/>
  <c r="J1795" s="1"/>
  <c r="I1796"/>
  <c r="J1796" s="1"/>
  <c r="I1797"/>
  <c r="J1797" s="1"/>
  <c r="I1798"/>
  <c r="J1798" s="1"/>
  <c r="I1799"/>
  <c r="J1799" s="1"/>
  <c r="I1800"/>
  <c r="J1800" s="1"/>
  <c r="I1801"/>
  <c r="J1801" s="1"/>
  <c r="I1802"/>
  <c r="J1802" s="1"/>
  <c r="I1803"/>
  <c r="J1803" s="1"/>
  <c r="I1804"/>
  <c r="J1804" s="1"/>
  <c r="I1805"/>
  <c r="J1805" s="1"/>
  <c r="I1806"/>
  <c r="J1806" s="1"/>
  <c r="I1807"/>
  <c r="J1807" s="1"/>
  <c r="I1808"/>
  <c r="J1808" s="1"/>
  <c r="I1809"/>
  <c r="J1809" s="1"/>
  <c r="I1810"/>
  <c r="J1810" s="1"/>
  <c r="I1811"/>
  <c r="J1811" s="1"/>
  <c r="I1812"/>
  <c r="J1812" s="1"/>
  <c r="I1813"/>
  <c r="J1813" s="1"/>
  <c r="I1814"/>
  <c r="J1814" s="1"/>
  <c r="I1815"/>
  <c r="J1815" s="1"/>
  <c r="I1816"/>
  <c r="J1816" s="1"/>
  <c r="I1817"/>
  <c r="J1817" s="1"/>
  <c r="I1818"/>
  <c r="J1818" s="1"/>
  <c r="I1819"/>
  <c r="J1819" s="1"/>
  <c r="I1820"/>
  <c r="J1820" s="1"/>
  <c r="I1821"/>
  <c r="J1821" s="1"/>
  <c r="I1822"/>
  <c r="J1822" s="1"/>
  <c r="I1823"/>
  <c r="J1823" s="1"/>
  <c r="I1824"/>
  <c r="J1824" s="1"/>
  <c r="I1825"/>
  <c r="J1825" s="1"/>
  <c r="I1826"/>
  <c r="J1826" s="1"/>
  <c r="I1827"/>
  <c r="J1827" s="1"/>
  <c r="I1828"/>
  <c r="J1828" s="1"/>
  <c r="I1829"/>
  <c r="J1829" s="1"/>
  <c r="I1830"/>
  <c r="J1830" s="1"/>
  <c r="I1831"/>
  <c r="J1831" s="1"/>
  <c r="I1832"/>
  <c r="J1832" s="1"/>
  <c r="I1833"/>
  <c r="J1833" s="1"/>
  <c r="I1834"/>
  <c r="J1834" s="1"/>
  <c r="I1835"/>
  <c r="J1835" s="1"/>
  <c r="I1836"/>
  <c r="J1836" s="1"/>
  <c r="I1837"/>
  <c r="J1837" s="1"/>
  <c r="I1838"/>
  <c r="J1838" s="1"/>
  <c r="I1839"/>
  <c r="J1839" s="1"/>
  <c r="I1840"/>
  <c r="J1840" s="1"/>
  <c r="I1841"/>
  <c r="J1841" s="1"/>
  <c r="I1842"/>
  <c r="J1842" s="1"/>
  <c r="I1843"/>
  <c r="J1843" s="1"/>
  <c r="I1844"/>
  <c r="J1844" s="1"/>
  <c r="I1845"/>
  <c r="J1845" s="1"/>
  <c r="I1846"/>
  <c r="J1846" s="1"/>
  <c r="I1847"/>
  <c r="J1847" s="1"/>
  <c r="I1848"/>
  <c r="J1848" s="1"/>
  <c r="I1849"/>
  <c r="J1849" s="1"/>
  <c r="I1850"/>
  <c r="J1850" s="1"/>
  <c r="I1851"/>
  <c r="J1851" s="1"/>
  <c r="I1852"/>
  <c r="J1852" s="1"/>
  <c r="I1853"/>
  <c r="J1853" s="1"/>
  <c r="I1854"/>
  <c r="J1854" s="1"/>
  <c r="I1855"/>
  <c r="J1855" s="1"/>
  <c r="I1856"/>
  <c r="J1856" s="1"/>
  <c r="I1857"/>
  <c r="J1857" s="1"/>
  <c r="I1858"/>
  <c r="J1858" s="1"/>
  <c r="I1859"/>
  <c r="J1859" s="1"/>
  <c r="I1860"/>
  <c r="J1860" s="1"/>
  <c r="I1861"/>
  <c r="J1861" s="1"/>
  <c r="I1862"/>
  <c r="J1862" s="1"/>
  <c r="I1863"/>
  <c r="J1863" s="1"/>
  <c r="I1864"/>
  <c r="J1864" s="1"/>
  <c r="I1865"/>
  <c r="J1865" s="1"/>
  <c r="I1866"/>
  <c r="J1866" s="1"/>
  <c r="I1867"/>
  <c r="J1867" s="1"/>
  <c r="I1868"/>
  <c r="J1868" s="1"/>
  <c r="I1869"/>
  <c r="J1869" s="1"/>
  <c r="I1870"/>
  <c r="J1870" s="1"/>
  <c r="I1871"/>
  <c r="J1871" s="1"/>
  <c r="I1872"/>
  <c r="J1872" s="1"/>
  <c r="I1873"/>
  <c r="J1873" s="1"/>
  <c r="I1874"/>
  <c r="J1874" s="1"/>
  <c r="I1875"/>
  <c r="J1875" s="1"/>
  <c r="I1876"/>
  <c r="J1876" s="1"/>
  <c r="I1877"/>
  <c r="J1877" s="1"/>
  <c r="I1878"/>
  <c r="J1878" s="1"/>
  <c r="I1879"/>
  <c r="J1879" s="1"/>
  <c r="I1880"/>
  <c r="J1880" s="1"/>
  <c r="I1881"/>
  <c r="J1881" s="1"/>
  <c r="I1882"/>
  <c r="J1882" s="1"/>
  <c r="I1883"/>
  <c r="J1883" s="1"/>
  <c r="I1884"/>
  <c r="J1884" s="1"/>
  <c r="I1885"/>
  <c r="J1885" s="1"/>
  <c r="I1886"/>
  <c r="J1886" s="1"/>
  <c r="I1887"/>
  <c r="J1887" s="1"/>
  <c r="I1888"/>
  <c r="J1888" s="1"/>
  <c r="I1889"/>
  <c r="J1889" s="1"/>
  <c r="I1891"/>
  <c r="J1891" s="1"/>
  <c r="I1892"/>
  <c r="J1892" s="1"/>
  <c r="I1893"/>
  <c r="J1893" s="1"/>
  <c r="I1894"/>
  <c r="J1894" s="1"/>
  <c r="I1895"/>
  <c r="J1895" s="1"/>
  <c r="I1896"/>
  <c r="J1896" s="1"/>
  <c r="I1897"/>
  <c r="J1897" s="1"/>
  <c r="I1898"/>
  <c r="J1898" s="1"/>
  <c r="I1899"/>
  <c r="J1899" s="1"/>
  <c r="I1900"/>
  <c r="J1900" s="1"/>
  <c r="I1901"/>
  <c r="J1901" s="1"/>
  <c r="I1902"/>
  <c r="J1902" s="1"/>
  <c r="I1903"/>
  <c r="J1903" s="1"/>
  <c r="I1904"/>
  <c r="J1904" s="1"/>
  <c r="I1905"/>
  <c r="J1905" s="1"/>
  <c r="I1906"/>
  <c r="J1906" s="1"/>
  <c r="I1907"/>
  <c r="J1907" s="1"/>
  <c r="I1908"/>
  <c r="J1908" s="1"/>
  <c r="I1909"/>
  <c r="J1909" s="1"/>
  <c r="I1910"/>
  <c r="J1910" s="1"/>
  <c r="I1911"/>
  <c r="J1911" s="1"/>
  <c r="I1912"/>
  <c r="J1912" s="1"/>
  <c r="I1913"/>
  <c r="J1913" s="1"/>
  <c r="I1915"/>
  <c r="J1915" s="1"/>
  <c r="I1916"/>
  <c r="J1916" s="1"/>
  <c r="I1917"/>
  <c r="J1917" s="1"/>
  <c r="I1918"/>
  <c r="J1918" s="1"/>
  <c r="I1919"/>
  <c r="J1919" s="1"/>
  <c r="I1920"/>
  <c r="J1920" s="1"/>
  <c r="I1921"/>
  <c r="J1921" s="1"/>
  <c r="I1922"/>
  <c r="J1922" s="1"/>
  <c r="I1923"/>
  <c r="J1923" s="1"/>
  <c r="I1924"/>
  <c r="J1924" s="1"/>
  <c r="I1925"/>
  <c r="J1925" s="1"/>
  <c r="I1926"/>
  <c r="J1926" s="1"/>
  <c r="I1927"/>
  <c r="J1927" s="1"/>
  <c r="I1928"/>
  <c r="J1928" s="1"/>
  <c r="I1929"/>
  <c r="J1929" s="1"/>
  <c r="I1930"/>
  <c r="J1930" s="1"/>
  <c r="I1931"/>
  <c r="J1931" s="1"/>
  <c r="I1932"/>
  <c r="J1932" s="1"/>
  <c r="I1933"/>
  <c r="J1933" s="1"/>
  <c r="I1934"/>
  <c r="J1934" s="1"/>
  <c r="I1935"/>
  <c r="J1935" s="1"/>
  <c r="I1936"/>
  <c r="J1936" s="1"/>
  <c r="I10"/>
  <c r="J10" s="1"/>
  <c r="A337" i="36" l="1"/>
  <c r="A335"/>
  <c r="A333"/>
  <c r="A331"/>
  <c r="A329"/>
  <c r="A327"/>
  <c r="A325"/>
  <c r="A323"/>
  <c r="A321"/>
  <c r="A319"/>
  <c r="A317"/>
  <c r="A315"/>
  <c r="A313"/>
  <c r="A311"/>
  <c r="A309"/>
  <c r="A307"/>
  <c r="A305"/>
  <c r="A303"/>
  <c r="A301"/>
  <c r="A299"/>
  <c r="A297"/>
  <c r="A295"/>
  <c r="A293"/>
  <c r="A291"/>
  <c r="A289"/>
  <c r="A287"/>
  <c r="A285"/>
  <c r="A283"/>
  <c r="A281"/>
  <c r="A279"/>
  <c r="A277"/>
  <c r="A275"/>
  <c r="A273"/>
  <c r="A271"/>
  <c r="A269"/>
  <c r="A267"/>
  <c r="A265"/>
  <c r="A263"/>
  <c r="A261"/>
  <c r="A259"/>
  <c r="A257"/>
  <c r="A255"/>
  <c r="A253"/>
  <c r="A251"/>
  <c r="A249"/>
  <c r="A247"/>
  <c r="A245"/>
  <c r="A243"/>
  <c r="A241"/>
  <c r="A239"/>
  <c r="A237"/>
  <c r="A235"/>
  <c r="A233"/>
  <c r="A231"/>
  <c r="A229"/>
  <c r="A227"/>
  <c r="A225"/>
  <c r="A223"/>
  <c r="A221"/>
  <c r="A219"/>
  <c r="A217"/>
  <c r="A215"/>
  <c r="A213"/>
  <c r="A211"/>
  <c r="A209"/>
  <c r="A207"/>
  <c r="A205"/>
  <c r="A203"/>
  <c r="A201"/>
  <c r="A199"/>
  <c r="A197"/>
  <c r="A195"/>
  <c r="A193"/>
  <c r="A191"/>
  <c r="A189"/>
  <c r="A187"/>
  <c r="A185"/>
  <c r="A183"/>
  <c r="A181"/>
  <c r="A179"/>
  <c r="A177"/>
  <c r="A175"/>
  <c r="A173"/>
  <c r="A171"/>
  <c r="A169"/>
  <c r="A167"/>
  <c r="A165"/>
  <c r="A163"/>
  <c r="A161"/>
  <c r="A159"/>
  <c r="A157"/>
  <c r="A155"/>
  <c r="A153"/>
  <c r="A151"/>
  <c r="A149"/>
  <c r="A147"/>
  <c r="A145"/>
  <c r="A143"/>
  <c r="A141"/>
  <c r="A139"/>
  <c r="A137"/>
  <c r="A135"/>
  <c r="A133"/>
  <c r="A131"/>
  <c r="A129"/>
  <c r="A127"/>
  <c r="A125"/>
  <c r="A123"/>
  <c r="A121"/>
  <c r="A119"/>
  <c r="A117"/>
  <c r="A115"/>
  <c r="A113"/>
  <c r="A111"/>
  <c r="A109"/>
  <c r="A107"/>
  <c r="A105"/>
  <c r="A103"/>
  <c r="A101"/>
  <c r="A99"/>
  <c r="A97"/>
  <c r="A95"/>
  <c r="A93"/>
  <c r="A91"/>
  <c r="A89"/>
  <c r="A87"/>
  <c r="A85"/>
  <c r="A83"/>
  <c r="A81"/>
  <c r="A79"/>
  <c r="A77"/>
  <c r="A75"/>
  <c r="A73"/>
  <c r="A71"/>
  <c r="A69"/>
  <c r="A67"/>
  <c r="A65"/>
  <c r="A63"/>
  <c r="A61"/>
  <c r="A59"/>
  <c r="A57"/>
  <c r="A55"/>
  <c r="A53"/>
  <c r="A51"/>
  <c r="A49"/>
  <c r="A47"/>
  <c r="A45"/>
  <c r="A43"/>
  <c r="A41"/>
  <c r="A39"/>
  <c r="A37"/>
  <c r="A35"/>
  <c r="A33"/>
  <c r="A31"/>
  <c r="A29"/>
  <c r="A27"/>
  <c r="A25"/>
  <c r="A23"/>
  <c r="A21"/>
  <c r="A19"/>
  <c r="A17"/>
  <c r="G911" i="35" s="1"/>
  <c r="G18"/>
  <c r="A336" i="36"/>
  <c r="A334"/>
  <c r="A332"/>
  <c r="A330"/>
  <c r="A328"/>
  <c r="A326"/>
  <c r="A324"/>
  <c r="A322"/>
  <c r="A320"/>
  <c r="A318"/>
  <c r="A316"/>
  <c r="A314"/>
  <c r="A312"/>
  <c r="A310"/>
  <c r="A308"/>
  <c r="A306"/>
  <c r="A304"/>
  <c r="A302"/>
  <c r="A300"/>
  <c r="A298"/>
  <c r="A296"/>
  <c r="A294"/>
  <c r="A292"/>
  <c r="A290"/>
  <c r="A288"/>
  <c r="A286"/>
  <c r="A284"/>
  <c r="A282"/>
  <c r="A280"/>
  <c r="A278"/>
  <c r="A276"/>
  <c r="A274"/>
  <c r="A272"/>
  <c r="A270"/>
  <c r="A268"/>
  <c r="A266"/>
  <c r="A264"/>
  <c r="A262"/>
  <c r="A260"/>
  <c r="A258"/>
  <c r="A256"/>
  <c r="A254"/>
  <c r="A252"/>
  <c r="A250"/>
  <c r="A248"/>
  <c r="A246"/>
  <c r="A244"/>
  <c r="A242"/>
  <c r="A240"/>
  <c r="A238"/>
  <c r="A236"/>
  <c r="A234"/>
  <c r="A232"/>
  <c r="A230"/>
  <c r="A228"/>
  <c r="A226"/>
  <c r="A224"/>
  <c r="A222"/>
  <c r="A220"/>
  <c r="A218"/>
  <c r="A216"/>
  <c r="A214"/>
  <c r="A212"/>
  <c r="A210"/>
  <c r="A208"/>
  <c r="A206"/>
  <c r="A204"/>
  <c r="A202"/>
  <c r="A200"/>
  <c r="A198"/>
  <c r="A196"/>
  <c r="A194"/>
  <c r="A192"/>
  <c r="A190"/>
  <c r="A188"/>
  <c r="A186"/>
  <c r="A184"/>
  <c r="A182"/>
  <c r="A180"/>
  <c r="A178"/>
  <c r="A176"/>
  <c r="A174"/>
  <c r="A172"/>
  <c r="A170"/>
  <c r="A168"/>
  <c r="A166"/>
  <c r="A164"/>
  <c r="A162"/>
  <c r="A160"/>
  <c r="A158"/>
  <c r="A156"/>
  <c r="A154"/>
  <c r="A152"/>
  <c r="A150"/>
  <c r="A148"/>
  <c r="A146"/>
  <c r="A144"/>
  <c r="A142"/>
  <c r="A140"/>
  <c r="A138"/>
  <c r="A136"/>
  <c r="A134"/>
  <c r="A132"/>
  <c r="A130"/>
  <c r="A128"/>
  <c r="A126"/>
  <c r="A124"/>
  <c r="A122"/>
  <c r="A120"/>
  <c r="A118"/>
  <c r="A116"/>
  <c r="A114"/>
  <c r="A112"/>
  <c r="A110"/>
  <c r="A108"/>
  <c r="A106"/>
  <c r="A104"/>
  <c r="A102"/>
  <c r="A100"/>
  <c r="A98"/>
  <c r="A96"/>
  <c r="A94"/>
  <c r="A92"/>
  <c r="A90"/>
  <c r="A88"/>
  <c r="A86"/>
  <c r="A84"/>
  <c r="A82"/>
  <c r="A80"/>
  <c r="A78"/>
  <c r="A76"/>
  <c r="A74"/>
  <c r="A72"/>
  <c r="A70"/>
  <c r="A68"/>
  <c r="A66"/>
  <c r="A64"/>
  <c r="A62"/>
  <c r="A60"/>
  <c r="A58"/>
  <c r="A56"/>
  <c r="A54"/>
  <c r="A52"/>
  <c r="A50"/>
  <c r="A48"/>
  <c r="A46"/>
  <c r="A44"/>
  <c r="A42"/>
  <c r="A40"/>
  <c r="A38"/>
  <c r="A36"/>
  <c r="A34"/>
  <c r="A32"/>
  <c r="A30"/>
  <c r="A28"/>
  <c r="A26"/>
  <c r="A24"/>
  <c r="A22"/>
  <c r="A20"/>
  <c r="A18"/>
  <c r="G942" i="35" s="1"/>
  <c r="G950"/>
  <c r="G903"/>
  <c r="G863"/>
  <c r="G827"/>
  <c r="G783"/>
  <c r="G767"/>
  <c r="G687"/>
  <c r="G663"/>
  <c r="G635"/>
  <c r="G575"/>
  <c r="G517"/>
  <c r="G474"/>
  <c r="G425"/>
  <c r="G333"/>
  <c r="G1085"/>
  <c r="G1045"/>
  <c r="G993"/>
  <c r="G969"/>
  <c r="G952"/>
  <c r="G932"/>
  <c r="G909"/>
  <c r="G901"/>
  <c r="G877"/>
  <c r="G873"/>
  <c r="G857"/>
  <c r="G817"/>
  <c r="G765"/>
  <c r="G669"/>
  <c r="G653"/>
  <c r="G645"/>
  <c r="G629"/>
  <c r="G585"/>
  <c r="G557"/>
  <c r="G531"/>
  <c r="G523"/>
  <c r="G515"/>
  <c r="G476"/>
  <c r="G427"/>
  <c r="G399"/>
  <c r="G379"/>
  <c r="G322"/>
  <c r="G298"/>
  <c r="G234"/>
  <c r="G210"/>
  <c r="G174"/>
  <c r="G157"/>
  <c r="G129"/>
  <c r="G101"/>
  <c r="G88"/>
  <c r="G36"/>
  <c r="G32"/>
  <c r="G24"/>
  <c r="A567" i="36"/>
  <c r="A565"/>
  <c r="A563"/>
  <c r="A561"/>
  <c r="A559"/>
  <c r="A557"/>
  <c r="A555"/>
  <c r="A553"/>
  <c r="A551"/>
  <c r="A549"/>
  <c r="A547"/>
  <c r="A545"/>
  <c r="A543"/>
  <c r="A541"/>
  <c r="A539"/>
  <c r="A537"/>
  <c r="A535"/>
  <c r="A533"/>
  <c r="A531"/>
  <c r="A529"/>
  <c r="A527"/>
  <c r="A525"/>
  <c r="A523"/>
  <c r="A521"/>
  <c r="A519"/>
  <c r="A517"/>
  <c r="A515"/>
  <c r="A513"/>
  <c r="A511"/>
  <c r="A509"/>
  <c r="A507"/>
  <c r="A505"/>
  <c r="A503"/>
  <c r="A501"/>
  <c r="A499"/>
  <c r="A497"/>
  <c r="A495"/>
  <c r="A493"/>
  <c r="A491"/>
  <c r="A489"/>
  <c r="A487"/>
  <c r="A485"/>
  <c r="A483"/>
  <c r="A481"/>
  <c r="A479"/>
  <c r="A477"/>
  <c r="A475"/>
  <c r="A473"/>
  <c r="A471"/>
  <c r="A469"/>
  <c r="A467"/>
  <c r="A465"/>
  <c r="A463"/>
  <c r="A461"/>
  <c r="A459"/>
  <c r="A457"/>
  <c r="A455"/>
  <c r="A453"/>
  <c r="A451"/>
  <c r="A449"/>
  <c r="A447"/>
  <c r="A445"/>
  <c r="A443"/>
  <c r="A441"/>
  <c r="A439"/>
  <c r="A437"/>
  <c r="A435"/>
  <c r="A433"/>
  <c r="A431"/>
  <c r="A429"/>
  <c r="A427"/>
  <c r="A425"/>
  <c r="A423"/>
  <c r="A421"/>
  <c r="A419"/>
  <c r="A417"/>
  <c r="A415"/>
  <c r="A413"/>
  <c r="A411"/>
  <c r="A409"/>
  <c r="A407"/>
  <c r="A405"/>
  <c r="A403"/>
  <c r="A401"/>
  <c r="A399"/>
  <c r="A397"/>
  <c r="A395"/>
  <c r="A393"/>
  <c r="A391"/>
  <c r="A389"/>
  <c r="A387"/>
  <c r="A385"/>
  <c r="A383"/>
  <c r="A381"/>
  <c r="A379"/>
  <c r="A377"/>
  <c r="A375"/>
  <c r="A373"/>
  <c r="A371"/>
  <c r="A369"/>
  <c r="A367"/>
  <c r="A365"/>
  <c r="A363"/>
  <c r="A361"/>
  <c r="A359"/>
  <c r="A357"/>
  <c r="A355"/>
  <c r="A353"/>
  <c r="A351"/>
  <c r="A349"/>
  <c r="A347"/>
  <c r="A345"/>
  <c r="A343"/>
  <c r="A341"/>
  <c r="A339"/>
  <c r="G79" i="38"/>
  <c r="G320"/>
  <c r="G373"/>
  <c r="G372" s="1"/>
  <c r="G439"/>
  <c r="G438" s="1"/>
  <c r="G492"/>
  <c r="G491" s="1"/>
  <c r="G490" s="1"/>
  <c r="G489" s="1"/>
  <c r="G488" s="1"/>
  <c r="G580"/>
  <c r="G657"/>
  <c r="G656" s="1"/>
  <c r="G655" s="1"/>
  <c r="G654" s="1"/>
  <c r="G729"/>
  <c r="G728" s="1"/>
  <c r="G818"/>
  <c r="G817" s="1"/>
  <c r="G867"/>
  <c r="G866" s="1"/>
  <c r="G865" s="1"/>
  <c r="G911"/>
  <c r="G910" s="1"/>
  <c r="G909" s="1"/>
  <c r="G943"/>
  <c r="G942" s="1"/>
  <c r="G941" s="1"/>
  <c r="G65"/>
  <c r="G64" s="1"/>
  <c r="G63" s="1"/>
  <c r="G62" s="1"/>
  <c r="G61" s="1"/>
  <c r="G60" s="1"/>
  <c r="G90"/>
  <c r="G89" s="1"/>
  <c r="G258"/>
  <c r="G257" s="1"/>
  <c r="G256" s="1"/>
  <c r="G255" s="1"/>
  <c r="G254" s="1"/>
  <c r="G253" s="1"/>
  <c r="G252" s="1"/>
  <c r="G251" s="1"/>
  <c r="G299"/>
  <c r="G298" s="1"/>
  <c r="G297" s="1"/>
  <c r="G296" s="1"/>
  <c r="G344"/>
  <c r="G401"/>
  <c r="G434"/>
  <c r="G433" s="1"/>
  <c r="G487"/>
  <c r="G486" s="1"/>
  <c r="G485" s="1"/>
  <c r="G484" s="1"/>
  <c r="G575"/>
  <c r="G574" s="1"/>
  <c r="G573" s="1"/>
  <c r="G572" s="1"/>
  <c r="G571" s="1"/>
  <c r="G570" s="1"/>
  <c r="G615"/>
  <c r="G614" s="1"/>
  <c r="G613" s="1"/>
  <c r="G684"/>
  <c r="G683" s="1"/>
  <c r="G682" s="1"/>
  <c r="G681" s="1"/>
  <c r="G680" s="1"/>
  <c r="G679" s="1"/>
  <c r="G756"/>
  <c r="G755" s="1"/>
  <c r="G754" s="1"/>
  <c r="G753" s="1"/>
  <c r="G788"/>
  <c r="G841"/>
  <c r="G840" s="1"/>
  <c r="G890"/>
  <c r="G889" s="1"/>
  <c r="G888" s="1"/>
  <c r="G958"/>
  <c r="G957" s="1"/>
  <c r="G982"/>
  <c r="G32"/>
  <c r="G101"/>
  <c r="G334"/>
  <c r="G333" s="1"/>
  <c r="G332" s="1"/>
  <c r="G331" s="1"/>
  <c r="G330" s="1"/>
  <c r="G329" s="1"/>
  <c r="G396"/>
  <c r="G441"/>
  <c r="G440" s="1"/>
  <c r="G470"/>
  <c r="G550"/>
  <c r="G549" s="1"/>
  <c r="G548" s="1"/>
  <c r="G547" s="1"/>
  <c r="G546" s="1"/>
  <c r="G545" s="1"/>
  <c r="G618"/>
  <c r="G617" s="1"/>
  <c r="G616" s="1"/>
  <c r="G671"/>
  <c r="G670" s="1"/>
  <c r="G739"/>
  <c r="G738" s="1"/>
  <c r="G737" s="1"/>
  <c r="G812"/>
  <c r="G811" s="1"/>
  <c r="G836"/>
  <c r="G835" s="1"/>
  <c r="G893"/>
  <c r="G892" s="1"/>
  <c r="G891" s="1"/>
  <c r="G953"/>
  <c r="G952" s="1"/>
  <c r="G951" s="1"/>
  <c r="G950" s="1"/>
  <c r="G949" s="1"/>
  <c r="G981"/>
  <c r="G100"/>
  <c r="G99" s="1"/>
  <c r="G313"/>
  <c r="G312" s="1"/>
  <c r="G395"/>
  <c r="G394" s="1"/>
  <c r="G477"/>
  <c r="G541"/>
  <c r="G540" s="1"/>
  <c r="G539" s="1"/>
  <c r="G569"/>
  <c r="G568" s="1"/>
  <c r="G567" s="1"/>
  <c r="G566" s="1"/>
  <c r="G593"/>
  <c r="G642"/>
  <c r="G641" s="1"/>
  <c r="G702"/>
  <c r="G701" s="1"/>
  <c r="G700" s="1"/>
  <c r="G699" s="1"/>
  <c r="G722"/>
  <c r="G721" s="1"/>
  <c r="G778"/>
  <c r="G843"/>
  <c r="G842" s="1"/>
  <c r="G896"/>
  <c r="G895" s="1"/>
  <c r="G894" s="1"/>
  <c r="G964"/>
  <c r="G963" s="1"/>
  <c r="G962" s="1"/>
  <c r="H33"/>
  <c r="H970"/>
  <c r="H511"/>
  <c r="H510" s="1"/>
  <c r="H27"/>
  <c r="H191"/>
  <c r="H190" s="1"/>
  <c r="H189" s="1"/>
  <c r="H188" s="1"/>
  <c r="H710"/>
  <c r="H709" s="1"/>
  <c r="H708" s="1"/>
  <c r="H707" s="1"/>
  <c r="H93"/>
  <c r="H612"/>
  <c r="H611" s="1"/>
  <c r="H610" s="1"/>
  <c r="H151"/>
  <c r="H150" s="1"/>
  <c r="H149" s="1"/>
  <c r="H148" s="1"/>
  <c r="H197"/>
  <c r="H196" s="1"/>
  <c r="H195" s="1"/>
  <c r="H194" s="1"/>
  <c r="H193" s="1"/>
  <c r="H192" s="1"/>
  <c r="H216"/>
  <c r="H238"/>
  <c r="H237" s="1"/>
  <c r="H236" s="1"/>
  <c r="H235" s="1"/>
  <c r="H316"/>
  <c r="H367"/>
  <c r="H366" s="1"/>
  <c r="H365" s="1"/>
  <c r="H364" s="1"/>
  <c r="H363" s="1"/>
  <c r="H362" s="1"/>
  <c r="H439"/>
  <c r="H438" s="1"/>
  <c r="H487"/>
  <c r="H486" s="1"/>
  <c r="H485" s="1"/>
  <c r="H484" s="1"/>
  <c r="H563"/>
  <c r="H562" s="1"/>
  <c r="H586"/>
  <c r="H628"/>
  <c r="H714"/>
  <c r="H713" s="1"/>
  <c r="H712" s="1"/>
  <c r="H711" s="1"/>
  <c r="H788"/>
  <c r="H846"/>
  <c r="H845" s="1"/>
  <c r="H911"/>
  <c r="H910" s="1"/>
  <c r="H909" s="1"/>
  <c r="H32"/>
  <c r="H65"/>
  <c r="H64" s="1"/>
  <c r="H63" s="1"/>
  <c r="H62" s="1"/>
  <c r="H61" s="1"/>
  <c r="H60" s="1"/>
  <c r="H88"/>
  <c r="H87" s="1"/>
  <c r="H122"/>
  <c r="H121" s="1"/>
  <c r="H120" s="1"/>
  <c r="H143"/>
  <c r="H142" s="1"/>
  <c r="H141" s="1"/>
  <c r="H140" s="1"/>
  <c r="H182"/>
  <c r="H203"/>
  <c r="H273"/>
  <c r="H272" s="1"/>
  <c r="H271" s="1"/>
  <c r="H270" s="1"/>
  <c r="H373"/>
  <c r="H372" s="1"/>
  <c r="H413"/>
  <c r="H412" s="1"/>
  <c r="H411" s="1"/>
  <c r="H410" s="1"/>
  <c r="H409" s="1"/>
  <c r="H408" s="1"/>
  <c r="H407" s="1"/>
  <c r="H406" s="1"/>
  <c r="G75"/>
  <c r="G316"/>
  <c r="G353"/>
  <c r="G431"/>
  <c r="G476"/>
  <c r="G475" s="1"/>
  <c r="G544"/>
  <c r="G543" s="1"/>
  <c r="G542" s="1"/>
  <c r="G653"/>
  <c r="G652" s="1"/>
  <c r="G651" s="1"/>
  <c r="G650" s="1"/>
  <c r="G677"/>
  <c r="G676" s="1"/>
  <c r="G675" s="1"/>
  <c r="G674" s="1"/>
  <c r="G673" s="1"/>
  <c r="G672" s="1"/>
  <c r="G810"/>
  <c r="G809" s="1"/>
  <c r="G808" s="1"/>
  <c r="G858"/>
  <c r="G857" s="1"/>
  <c r="G899"/>
  <c r="G898" s="1"/>
  <c r="G897" s="1"/>
  <c r="G931"/>
  <c r="G930" s="1"/>
  <c r="G929" s="1"/>
  <c r="G928" s="1"/>
  <c r="G41"/>
  <c r="G86"/>
  <c r="G250"/>
  <c r="G249" s="1"/>
  <c r="G248" s="1"/>
  <c r="G247" s="1"/>
  <c r="G246" s="1"/>
  <c r="G245" s="1"/>
  <c r="G244" s="1"/>
  <c r="G243" s="1"/>
  <c r="G295"/>
  <c r="G294" s="1"/>
  <c r="G293" s="1"/>
  <c r="G319"/>
  <c r="G318" s="1"/>
  <c r="G317" s="1"/>
  <c r="G380"/>
  <c r="G379" s="1"/>
  <c r="G378" s="1"/>
  <c r="G377" s="1"/>
  <c r="G376" s="1"/>
  <c r="G375" s="1"/>
  <c r="G374" s="1"/>
  <c r="G421"/>
  <c r="G420" s="1"/>
  <c r="G419" s="1"/>
  <c r="G418" s="1"/>
  <c r="G417" s="1"/>
  <c r="G416" s="1"/>
  <c r="G415" s="1"/>
  <c r="G414" s="1"/>
  <c r="G483"/>
  <c r="G482" s="1"/>
  <c r="G563"/>
  <c r="G562" s="1"/>
  <c r="G603"/>
  <c r="G602" s="1"/>
  <c r="G640"/>
  <c r="G639" s="1"/>
  <c r="G638" s="1"/>
  <c r="G637" s="1"/>
  <c r="G636" s="1"/>
  <c r="G748"/>
  <c r="G747" s="1"/>
  <c r="G784"/>
  <c r="G833"/>
  <c r="G832" s="1"/>
  <c r="G878"/>
  <c r="G877" s="1"/>
  <c r="G946"/>
  <c r="G945" s="1"/>
  <c r="G944" s="1"/>
  <c r="G978"/>
  <c r="G28"/>
  <c r="H97"/>
  <c r="H96" s="1"/>
  <c r="H95" s="1"/>
  <c r="G310"/>
  <c r="G371"/>
  <c r="G370" s="1"/>
  <c r="G369" s="1"/>
  <c r="G368" s="1"/>
  <c r="G437"/>
  <c r="G436" s="1"/>
  <c r="G435" s="1"/>
  <c r="G466"/>
  <c r="G534"/>
  <c r="G533" s="1"/>
  <c r="G594"/>
  <c r="G663"/>
  <c r="G662" s="1"/>
  <c r="G735"/>
  <c r="G734" s="1"/>
  <c r="G733" s="1"/>
  <c r="G732" s="1"/>
  <c r="G787"/>
  <c r="G786" s="1"/>
  <c r="G785" s="1"/>
  <c r="G828"/>
  <c r="G827" s="1"/>
  <c r="G826" s="1"/>
  <c r="G885"/>
  <c r="G884" s="1"/>
  <c r="G921"/>
  <c r="G920" s="1"/>
  <c r="G977"/>
  <c r="H59"/>
  <c r="H58" s="1"/>
  <c r="H57" s="1"/>
  <c r="H56" s="1"/>
  <c r="H55" s="1"/>
  <c r="H54" s="1"/>
  <c r="G305"/>
  <c r="G304" s="1"/>
  <c r="G303" s="1"/>
  <c r="G302" s="1"/>
  <c r="G301" s="1"/>
  <c r="G300" s="1"/>
  <c r="G354"/>
  <c r="G473"/>
  <c r="G472" s="1"/>
  <c r="G517"/>
  <c r="G516" s="1"/>
  <c r="G515" s="1"/>
  <c r="G514" s="1"/>
  <c r="G513" s="1"/>
  <c r="G512" s="1"/>
  <c r="G565"/>
  <c r="G564" s="1"/>
  <c r="G589"/>
  <c r="G630"/>
  <c r="G629" s="1"/>
  <c r="G698"/>
  <c r="G697" s="1"/>
  <c r="G714"/>
  <c r="G713" s="1"/>
  <c r="G712" s="1"/>
  <c r="G711" s="1"/>
  <c r="G766"/>
  <c r="G765" s="1"/>
  <c r="G764" s="1"/>
  <c r="G763" s="1"/>
  <c r="G762" s="1"/>
  <c r="G761" s="1"/>
  <c r="G831"/>
  <c r="G830" s="1"/>
  <c r="G829" s="1"/>
  <c r="G880"/>
  <c r="G879" s="1"/>
  <c r="G876" s="1"/>
  <c r="G960"/>
  <c r="G33"/>
  <c r="G31" s="1"/>
  <c r="G30" s="1"/>
  <c r="H649"/>
  <c r="H648" s="1"/>
  <c r="H328"/>
  <c r="H327" s="1"/>
  <c r="H326" s="1"/>
  <c r="H325" s="1"/>
  <c r="H324" s="1"/>
  <c r="H323" s="1"/>
  <c r="H921"/>
  <c r="H920" s="1"/>
  <c r="G27"/>
  <c r="G191"/>
  <c r="G190" s="1"/>
  <c r="G189" s="1"/>
  <c r="G188" s="1"/>
  <c r="H431"/>
  <c r="G93"/>
  <c r="H354"/>
  <c r="G151"/>
  <c r="G150" s="1"/>
  <c r="G149" s="1"/>
  <c r="G148" s="1"/>
  <c r="G197"/>
  <c r="G196" s="1"/>
  <c r="G195" s="1"/>
  <c r="G194" s="1"/>
  <c r="G193" s="1"/>
  <c r="G192" s="1"/>
  <c r="G216"/>
  <c r="G238"/>
  <c r="G237" s="1"/>
  <c r="G236" s="1"/>
  <c r="G235" s="1"/>
  <c r="H295"/>
  <c r="H294" s="1"/>
  <c r="H293" s="1"/>
  <c r="H360"/>
  <c r="H359" s="1"/>
  <c r="H358" s="1"/>
  <c r="H357" s="1"/>
  <c r="H356" s="1"/>
  <c r="H355" s="1"/>
  <c r="H421"/>
  <c r="H420" s="1"/>
  <c r="H419" s="1"/>
  <c r="H418" s="1"/>
  <c r="H417" s="1"/>
  <c r="H416" s="1"/>
  <c r="H415" s="1"/>
  <c r="H414" s="1"/>
  <c r="H470"/>
  <c r="H544"/>
  <c r="H543" s="1"/>
  <c r="H542" s="1"/>
  <c r="H583"/>
  <c r="H582" s="1"/>
  <c r="H603"/>
  <c r="H602" s="1"/>
  <c r="H696"/>
  <c r="H784"/>
  <c r="H843"/>
  <c r="H842" s="1"/>
  <c r="H899"/>
  <c r="H898" s="1"/>
  <c r="H897" s="1"/>
  <c r="H987"/>
  <c r="H23"/>
  <c r="H52"/>
  <c r="H51" s="1"/>
  <c r="H50" s="1"/>
  <c r="H49" s="1"/>
  <c r="H48" s="1"/>
  <c r="H47" s="1"/>
  <c r="H85"/>
  <c r="H103"/>
  <c r="H102" s="1"/>
  <c r="G143"/>
  <c r="G142" s="1"/>
  <c r="G141" s="1"/>
  <c r="G140" s="1"/>
  <c r="G182"/>
  <c r="G203"/>
  <c r="H258"/>
  <c r="H257" s="1"/>
  <c r="H256" s="1"/>
  <c r="H255" s="1"/>
  <c r="H254" s="1"/>
  <c r="H253" s="1"/>
  <c r="H252" s="1"/>
  <c r="H251" s="1"/>
  <c r="H346"/>
  <c r="H345" s="1"/>
  <c r="H405"/>
  <c r="H465"/>
  <c r="H498"/>
  <c r="H497" s="1"/>
  <c r="H496" s="1"/>
  <c r="H495" s="1"/>
  <c r="H494" s="1"/>
  <c r="H585"/>
  <c r="H584" s="1"/>
  <c r="H630"/>
  <c r="H629" s="1"/>
  <c r="H695"/>
  <c r="H746"/>
  <c r="H745" s="1"/>
  <c r="H783"/>
  <c r="H782" s="1"/>
  <c r="H815"/>
  <c r="H872"/>
  <c r="H871" s="1"/>
  <c r="H917"/>
  <c r="H916" s="1"/>
  <c r="H915" s="1"/>
  <c r="H969"/>
  <c r="H968" s="1"/>
  <c r="H986"/>
  <c r="G112"/>
  <c r="G111" s="1"/>
  <c r="G110" s="1"/>
  <c r="G109" s="1"/>
  <c r="G108" s="1"/>
  <c r="G107" s="1"/>
  <c r="G159"/>
  <c r="G158" s="1"/>
  <c r="G177"/>
  <c r="G176" s="1"/>
  <c r="G175" s="1"/>
  <c r="G174" s="1"/>
  <c r="G202"/>
  <c r="G209"/>
  <c r="H310"/>
  <c r="H390"/>
  <c r="H389" s="1"/>
  <c r="H388" s="1"/>
  <c r="H387" s="1"/>
  <c r="H386" s="1"/>
  <c r="H385" s="1"/>
  <c r="H453"/>
  <c r="H452" s="1"/>
  <c r="H517"/>
  <c r="H516" s="1"/>
  <c r="H515" s="1"/>
  <c r="H514" s="1"/>
  <c r="H513" s="1"/>
  <c r="H512" s="1"/>
  <c r="H565"/>
  <c r="H564" s="1"/>
  <c r="H640"/>
  <c r="H639" s="1"/>
  <c r="H694"/>
  <c r="H693" s="1"/>
  <c r="H724"/>
  <c r="H723" s="1"/>
  <c r="H823"/>
  <c r="H822" s="1"/>
  <c r="H885"/>
  <c r="H884" s="1"/>
  <c r="H953"/>
  <c r="H952" s="1"/>
  <c r="H951" s="1"/>
  <c r="H950" s="1"/>
  <c r="H949" s="1"/>
  <c r="H28"/>
  <c r="H79"/>
  <c r="H106"/>
  <c r="H105" s="1"/>
  <c r="H104" s="1"/>
  <c r="G138"/>
  <c r="G137" s="1"/>
  <c r="G136" s="1"/>
  <c r="G135" s="1"/>
  <c r="G161"/>
  <c r="G172"/>
  <c r="G171" s="1"/>
  <c r="G170" s="1"/>
  <c r="G169" s="1"/>
  <c r="G225"/>
  <c r="G233"/>
  <c r="G232" s="1"/>
  <c r="G231" s="1"/>
  <c r="G230" s="1"/>
  <c r="H277"/>
  <c r="H276" s="1"/>
  <c r="H275" s="1"/>
  <c r="H274" s="1"/>
  <c r="H269" s="1"/>
  <c r="H268" s="1"/>
  <c r="H267" s="1"/>
  <c r="H344"/>
  <c r="H445"/>
  <c r="H444" s="1"/>
  <c r="H443" s="1"/>
  <c r="H442" s="1"/>
  <c r="H509"/>
  <c r="H508" s="1"/>
  <c r="H507" s="1"/>
  <c r="H506" s="1"/>
  <c r="H505" s="1"/>
  <c r="H504" s="1"/>
  <c r="H594"/>
  <c r="H690"/>
  <c r="H689" s="1"/>
  <c r="H688" s="1"/>
  <c r="H687" s="1"/>
  <c r="H781"/>
  <c r="H780" s="1"/>
  <c r="H838"/>
  <c r="H837" s="1"/>
  <c r="H878"/>
  <c r="H877" s="1"/>
  <c r="H960"/>
  <c r="H988"/>
  <c r="G21"/>
  <c r="G20" s="1"/>
  <c r="G106"/>
  <c r="G105" s="1"/>
  <c r="G104" s="1"/>
  <c r="H46"/>
  <c r="G292"/>
  <c r="G291" s="1"/>
  <c r="G290" s="1"/>
  <c r="G349"/>
  <c r="G398"/>
  <c r="G397" s="1"/>
  <c r="G468"/>
  <c r="G467" s="1"/>
  <c r="G532"/>
  <c r="G531" s="1"/>
  <c r="G530" s="1"/>
  <c r="G529" s="1"/>
  <c r="G528" s="1"/>
  <c r="G527" s="1"/>
  <c r="G649"/>
  <c r="G648" s="1"/>
  <c r="G669"/>
  <c r="G668" s="1"/>
  <c r="G667" s="1"/>
  <c r="G666" s="1"/>
  <c r="G665" s="1"/>
  <c r="G664" s="1"/>
  <c r="G802"/>
  <c r="G801" s="1"/>
  <c r="G800" s="1"/>
  <c r="G799" s="1"/>
  <c r="G798" s="1"/>
  <c r="G797" s="1"/>
  <c r="G796" s="1"/>
  <c r="G795" s="1"/>
  <c r="G846"/>
  <c r="G845" s="1"/>
  <c r="G883"/>
  <c r="G882" s="1"/>
  <c r="G927"/>
  <c r="G926" s="1"/>
  <c r="G925" s="1"/>
  <c r="G924" s="1"/>
  <c r="G987"/>
  <c r="G37"/>
  <c r="G78"/>
  <c r="G77" s="1"/>
  <c r="G76" s="1"/>
  <c r="G242"/>
  <c r="G241" s="1"/>
  <c r="G240" s="1"/>
  <c r="G239" s="1"/>
  <c r="G234" s="1"/>
  <c r="G287"/>
  <c r="G286" s="1"/>
  <c r="G315"/>
  <c r="G314" s="1"/>
  <c r="G360"/>
  <c r="G359" s="1"/>
  <c r="G358" s="1"/>
  <c r="G357" s="1"/>
  <c r="G356" s="1"/>
  <c r="G355" s="1"/>
  <c r="G413"/>
  <c r="G412" s="1"/>
  <c r="G411" s="1"/>
  <c r="G410" s="1"/>
  <c r="G409" s="1"/>
  <c r="G408" s="1"/>
  <c r="G407" s="1"/>
  <c r="G406" s="1"/>
  <c r="G479"/>
  <c r="G478" s="1"/>
  <c r="G511"/>
  <c r="G510" s="1"/>
  <c r="G595"/>
  <c r="G632"/>
  <c r="G631" s="1"/>
  <c r="G724"/>
  <c r="G723" s="1"/>
  <c r="G772"/>
  <c r="G771" s="1"/>
  <c r="G770" s="1"/>
  <c r="G769" s="1"/>
  <c r="G768" s="1"/>
  <c r="G767" s="1"/>
  <c r="G825"/>
  <c r="G824" s="1"/>
  <c r="G870"/>
  <c r="G869" s="1"/>
  <c r="G914"/>
  <c r="G913" s="1"/>
  <c r="G912" s="1"/>
  <c r="G974"/>
  <c r="G973" s="1"/>
  <c r="G24"/>
  <c r="G85"/>
  <c r="G84" s="1"/>
  <c r="G277"/>
  <c r="G276" s="1"/>
  <c r="G275" s="1"/>
  <c r="G274" s="1"/>
  <c r="G367"/>
  <c r="G366" s="1"/>
  <c r="G365" s="1"/>
  <c r="G364" s="1"/>
  <c r="G363" s="1"/>
  <c r="G362" s="1"/>
  <c r="G404"/>
  <c r="G453"/>
  <c r="G452" s="1"/>
  <c r="G526"/>
  <c r="G525" s="1"/>
  <c r="G590"/>
  <c r="G647"/>
  <c r="G646" s="1"/>
  <c r="G645" s="1"/>
  <c r="G644" s="1"/>
  <c r="G731"/>
  <c r="G730" s="1"/>
  <c r="G783"/>
  <c r="G782" s="1"/>
  <c r="G820"/>
  <c r="G819" s="1"/>
  <c r="G856"/>
  <c r="G855" s="1"/>
  <c r="G854" s="1"/>
  <c r="G917"/>
  <c r="G916" s="1"/>
  <c r="G915" s="1"/>
  <c r="G969"/>
  <c r="G23"/>
  <c r="G289"/>
  <c r="G288" s="1"/>
  <c r="G350"/>
  <c r="G465"/>
  <c r="G464" s="1"/>
  <c r="G509"/>
  <c r="G508" s="1"/>
  <c r="G507" s="1"/>
  <c r="G506" s="1"/>
  <c r="G505" s="1"/>
  <c r="G504" s="1"/>
  <c r="G561"/>
  <c r="G560" s="1"/>
  <c r="G559" s="1"/>
  <c r="G558" s="1"/>
  <c r="G585"/>
  <c r="G609"/>
  <c r="G608" s="1"/>
  <c r="G607" s="1"/>
  <c r="G694"/>
  <c r="G693" s="1"/>
  <c r="G710"/>
  <c r="G709" s="1"/>
  <c r="G708" s="1"/>
  <c r="G707" s="1"/>
  <c r="G746"/>
  <c r="G745" s="1"/>
  <c r="G744" s="1"/>
  <c r="G743" s="1"/>
  <c r="G823"/>
  <c r="G822" s="1"/>
  <c r="G872"/>
  <c r="G871" s="1"/>
  <c r="G936"/>
  <c r="G935" s="1"/>
  <c r="G934" s="1"/>
  <c r="G933" s="1"/>
  <c r="G932" s="1"/>
  <c r="G988"/>
  <c r="H18"/>
  <c r="H524"/>
  <c r="H523" s="1"/>
  <c r="H299"/>
  <c r="H298" s="1"/>
  <c r="H297" s="1"/>
  <c r="H296" s="1"/>
  <c r="H902"/>
  <c r="H901" s="1"/>
  <c r="H900" s="1"/>
  <c r="H45"/>
  <c r="H44" s="1"/>
  <c r="H43" s="1"/>
  <c r="H210"/>
  <c r="H350"/>
  <c r="H927"/>
  <c r="H926" s="1"/>
  <c r="H925" s="1"/>
  <c r="H924" s="1"/>
  <c r="H147"/>
  <c r="H146" s="1"/>
  <c r="H145" s="1"/>
  <c r="H144" s="1"/>
  <c r="H187"/>
  <c r="H204"/>
  <c r="H224"/>
  <c r="H287"/>
  <c r="H286" s="1"/>
  <c r="H343"/>
  <c r="H342" s="1"/>
  <c r="H396"/>
  <c r="H466"/>
  <c r="H526"/>
  <c r="H525" s="1"/>
  <c r="H581"/>
  <c r="H593"/>
  <c r="H663"/>
  <c r="H662" s="1"/>
  <c r="H772"/>
  <c r="H771" s="1"/>
  <c r="H770" s="1"/>
  <c r="H769" s="1"/>
  <c r="H768" s="1"/>
  <c r="H767" s="1"/>
  <c r="H828"/>
  <c r="H827" s="1"/>
  <c r="H826" s="1"/>
  <c r="H883"/>
  <c r="H882" s="1"/>
  <c r="H881" s="1"/>
  <c r="H983"/>
  <c r="H19"/>
  <c r="H41"/>
  <c r="H78"/>
  <c r="H77" s="1"/>
  <c r="H76" s="1"/>
  <c r="H100"/>
  <c r="H128"/>
  <c r="H127" s="1"/>
  <c r="H126" s="1"/>
  <c r="H125" s="1"/>
  <c r="H124" s="1"/>
  <c r="H123" s="1"/>
  <c r="H157"/>
  <c r="H186"/>
  <c r="H185" s="1"/>
  <c r="G42"/>
  <c r="G103"/>
  <c r="G102" s="1"/>
  <c r="G328"/>
  <c r="G327" s="1"/>
  <c r="G326" s="1"/>
  <c r="G325" s="1"/>
  <c r="G324" s="1"/>
  <c r="G323" s="1"/>
  <c r="G322" s="1"/>
  <c r="G321" s="1"/>
  <c r="G390"/>
  <c r="G389" s="1"/>
  <c r="G388" s="1"/>
  <c r="G387" s="1"/>
  <c r="G386" s="1"/>
  <c r="G385" s="1"/>
  <c r="G451"/>
  <c r="G450" s="1"/>
  <c r="G449" s="1"/>
  <c r="G448" s="1"/>
  <c r="G447" s="1"/>
  <c r="G446" s="1"/>
  <c r="G524"/>
  <c r="G523" s="1"/>
  <c r="G522" s="1"/>
  <c r="G521" s="1"/>
  <c r="G520" s="1"/>
  <c r="G519" s="1"/>
  <c r="G612"/>
  <c r="G611" s="1"/>
  <c r="G610" s="1"/>
  <c r="G661"/>
  <c r="G660" s="1"/>
  <c r="G659" s="1"/>
  <c r="G658" s="1"/>
  <c r="G781"/>
  <c r="G780" s="1"/>
  <c r="G838"/>
  <c r="G837" s="1"/>
  <c r="G875"/>
  <c r="G874" s="1"/>
  <c r="G873" s="1"/>
  <c r="G923"/>
  <c r="G922" s="1"/>
  <c r="G983"/>
  <c r="G17"/>
  <c r="G74"/>
  <c r="G73" s="1"/>
  <c r="G72" s="1"/>
  <c r="G94"/>
  <c r="G266"/>
  <c r="G265" s="1"/>
  <c r="G264" s="1"/>
  <c r="G263" s="1"/>
  <c r="G262" s="1"/>
  <c r="G261" s="1"/>
  <c r="G260" s="1"/>
  <c r="G311"/>
  <c r="G348"/>
  <c r="G405"/>
  <c r="G471"/>
  <c r="G503"/>
  <c r="G502" s="1"/>
  <c r="G501" s="1"/>
  <c r="G500" s="1"/>
  <c r="G499" s="1"/>
  <c r="G583"/>
  <c r="G582" s="1"/>
  <c r="G628"/>
  <c r="G696"/>
  <c r="G760"/>
  <c r="G759" s="1"/>
  <c r="G758" s="1"/>
  <c r="G757" s="1"/>
  <c r="G792"/>
  <c r="G791" s="1"/>
  <c r="G790" s="1"/>
  <c r="G789" s="1"/>
  <c r="G853"/>
  <c r="G852" s="1"/>
  <c r="G902"/>
  <c r="G901" s="1"/>
  <c r="G900" s="1"/>
  <c r="G970"/>
  <c r="G986"/>
  <c r="G985" s="1"/>
  <c r="G36"/>
  <c r="G35" s="1"/>
  <c r="G34" s="1"/>
  <c r="G29" s="1"/>
  <c r="G273"/>
  <c r="G272" s="1"/>
  <c r="G271" s="1"/>
  <c r="G270" s="1"/>
  <c r="G343"/>
  <c r="G342" s="1"/>
  <c r="G400"/>
  <c r="G399" s="1"/>
  <c r="G445"/>
  <c r="G444" s="1"/>
  <c r="G443" s="1"/>
  <c r="G442" s="1"/>
  <c r="G498"/>
  <c r="G497" s="1"/>
  <c r="G496" s="1"/>
  <c r="G495" s="1"/>
  <c r="G494" s="1"/>
  <c r="G586"/>
  <c r="G627"/>
  <c r="G626" s="1"/>
  <c r="G695"/>
  <c r="G779"/>
  <c r="G816"/>
  <c r="G848"/>
  <c r="G847" s="1"/>
  <c r="G905"/>
  <c r="G904" s="1"/>
  <c r="G903" s="1"/>
  <c r="G961"/>
  <c r="G19"/>
  <c r="H112"/>
  <c r="H111" s="1"/>
  <c r="H110" s="1"/>
  <c r="H109" s="1"/>
  <c r="H108" s="1"/>
  <c r="H107" s="1"/>
  <c r="G346"/>
  <c r="G345" s="1"/>
  <c r="G432"/>
  <c r="G481"/>
  <c r="G480" s="1"/>
  <c r="G557"/>
  <c r="G556" s="1"/>
  <c r="G555" s="1"/>
  <c r="G554" s="1"/>
  <c r="G581"/>
  <c r="G605"/>
  <c r="G604" s="1"/>
  <c r="G690"/>
  <c r="G689" s="1"/>
  <c r="G688" s="1"/>
  <c r="G687" s="1"/>
  <c r="G706"/>
  <c r="G705" s="1"/>
  <c r="G704" s="1"/>
  <c r="G703" s="1"/>
  <c r="G742"/>
  <c r="G741" s="1"/>
  <c r="G740" s="1"/>
  <c r="G815"/>
  <c r="G851"/>
  <c r="G850" s="1"/>
  <c r="G908"/>
  <c r="G907" s="1"/>
  <c r="G906" s="1"/>
  <c r="G972"/>
  <c r="G971" s="1"/>
  <c r="G18"/>
  <c r="H353"/>
  <c r="H352" s="1"/>
  <c r="H351" s="1"/>
  <c r="H856"/>
  <c r="H855" s="1"/>
  <c r="G45"/>
  <c r="G210"/>
  <c r="H816"/>
  <c r="H305"/>
  <c r="H304" s="1"/>
  <c r="H303" s="1"/>
  <c r="H302" s="1"/>
  <c r="H301" s="1"/>
  <c r="H300" s="1"/>
  <c r="H858"/>
  <c r="H857" s="1"/>
  <c r="G147"/>
  <c r="G146" s="1"/>
  <c r="G145" s="1"/>
  <c r="G144" s="1"/>
  <c r="G187"/>
  <c r="G204"/>
  <c r="G224"/>
  <c r="H266"/>
  <c r="H265" s="1"/>
  <c r="H264" s="1"/>
  <c r="H263" s="1"/>
  <c r="H262" s="1"/>
  <c r="H261" s="1"/>
  <c r="H260" s="1"/>
  <c r="H319"/>
  <c r="H371"/>
  <c r="H370" s="1"/>
  <c r="H369" s="1"/>
  <c r="H368" s="1"/>
  <c r="H361" s="1"/>
  <c r="H451"/>
  <c r="H450" s="1"/>
  <c r="H449" s="1"/>
  <c r="H448" s="1"/>
  <c r="H447" s="1"/>
  <c r="H446" s="1"/>
  <c r="H503"/>
  <c r="H502" s="1"/>
  <c r="H501" s="1"/>
  <c r="H500" s="1"/>
  <c r="H499" s="1"/>
  <c r="H493" s="1"/>
  <c r="H575"/>
  <c r="H574" s="1"/>
  <c r="H573" s="1"/>
  <c r="H572" s="1"/>
  <c r="H571" s="1"/>
  <c r="H570" s="1"/>
  <c r="H589"/>
  <c r="H642"/>
  <c r="H641" s="1"/>
  <c r="H722"/>
  <c r="H721" s="1"/>
  <c r="H792"/>
  <c r="H791" s="1"/>
  <c r="H790" s="1"/>
  <c r="H789" s="1"/>
  <c r="H848"/>
  <c r="H847" s="1"/>
  <c r="H914"/>
  <c r="H913" s="1"/>
  <c r="H912" s="1"/>
  <c r="H17"/>
  <c r="H36"/>
  <c r="H74"/>
  <c r="H94"/>
  <c r="G128"/>
  <c r="G127" s="1"/>
  <c r="G126" s="1"/>
  <c r="G125" s="1"/>
  <c r="G124" s="1"/>
  <c r="G123" s="1"/>
  <c r="G157"/>
  <c r="G186"/>
  <c r="G185" s="1"/>
  <c r="G215"/>
  <c r="G214" s="1"/>
  <c r="G213" s="1"/>
  <c r="G212" s="1"/>
  <c r="G211" s="1"/>
  <c r="H311"/>
  <c r="H395"/>
  <c r="H434"/>
  <c r="H433" s="1"/>
  <c r="H477"/>
  <c r="H569"/>
  <c r="H568" s="1"/>
  <c r="H567" s="1"/>
  <c r="H566" s="1"/>
  <c r="H615"/>
  <c r="H614" s="1"/>
  <c r="H613" s="1"/>
  <c r="H677"/>
  <c r="H676" s="1"/>
  <c r="H675" s="1"/>
  <c r="H674" s="1"/>
  <c r="H673" s="1"/>
  <c r="H672" s="1"/>
  <c r="H739"/>
  <c r="H738" s="1"/>
  <c r="H737" s="1"/>
  <c r="H760"/>
  <c r="H759" s="1"/>
  <c r="H758" s="1"/>
  <c r="H757" s="1"/>
  <c r="H802"/>
  <c r="H801" s="1"/>
  <c r="H800" s="1"/>
  <c r="H799" s="1"/>
  <c r="H798" s="1"/>
  <c r="H797" s="1"/>
  <c r="H796" s="1"/>
  <c r="H795" s="1"/>
  <c r="H833"/>
  <c r="H832" s="1"/>
  <c r="H890"/>
  <c r="H889" s="1"/>
  <c r="H888" s="1"/>
  <c r="H946"/>
  <c r="H945" s="1"/>
  <c r="H944" s="1"/>
  <c r="H978"/>
  <c r="G52"/>
  <c r="G51" s="1"/>
  <c r="G50" s="1"/>
  <c r="G49" s="1"/>
  <c r="G48" s="1"/>
  <c r="G47" s="1"/>
  <c r="G156"/>
  <c r="G162"/>
  <c r="G181"/>
  <c r="G180" s="1"/>
  <c r="G179" s="1"/>
  <c r="G178" s="1"/>
  <c r="G206"/>
  <c r="G205" s="1"/>
  <c r="H250"/>
  <c r="H249" s="1"/>
  <c r="H248" s="1"/>
  <c r="H247" s="1"/>
  <c r="H246" s="1"/>
  <c r="H245" s="1"/>
  <c r="H244" s="1"/>
  <c r="H243" s="1"/>
  <c r="H349"/>
  <c r="H404"/>
  <c r="H403" s="1"/>
  <c r="H402" s="1"/>
  <c r="H476"/>
  <c r="H550"/>
  <c r="H549" s="1"/>
  <c r="H548" s="1"/>
  <c r="H547" s="1"/>
  <c r="H546" s="1"/>
  <c r="H545" s="1"/>
  <c r="H605"/>
  <c r="H604" s="1"/>
  <c r="H657"/>
  <c r="H656" s="1"/>
  <c r="H655" s="1"/>
  <c r="H654" s="1"/>
  <c r="H702"/>
  <c r="H701" s="1"/>
  <c r="H700" s="1"/>
  <c r="H699" s="1"/>
  <c r="H766"/>
  <c r="H765" s="1"/>
  <c r="H764" s="1"/>
  <c r="H763" s="1"/>
  <c r="H762" s="1"/>
  <c r="H761" s="1"/>
  <c r="H867"/>
  <c r="H866" s="1"/>
  <c r="H865" s="1"/>
  <c r="H936"/>
  <c r="H935" s="1"/>
  <c r="H934" s="1"/>
  <c r="H933" s="1"/>
  <c r="H932" s="1"/>
  <c r="H981"/>
  <c r="H21"/>
  <c r="H20" s="1"/>
  <c r="H42"/>
  <c r="H90"/>
  <c r="H89" s="1"/>
  <c r="G134"/>
  <c r="G133" s="1"/>
  <c r="G132" s="1"/>
  <c r="G131" s="1"/>
  <c r="G130" s="1"/>
  <c r="G155"/>
  <c r="G168"/>
  <c r="G167" s="1"/>
  <c r="G166" s="1"/>
  <c r="G165" s="1"/>
  <c r="G164" s="1"/>
  <c r="G208"/>
  <c r="G229"/>
  <c r="G228" s="1"/>
  <c r="G227" s="1"/>
  <c r="G226" s="1"/>
  <c r="H313"/>
  <c r="H312" s="1"/>
  <c r="H400"/>
  <c r="H479"/>
  <c r="H478" s="1"/>
  <c r="H557"/>
  <c r="H556" s="1"/>
  <c r="H555" s="1"/>
  <c r="H554" s="1"/>
  <c r="H647"/>
  <c r="H646" s="1"/>
  <c r="H645" s="1"/>
  <c r="H644" s="1"/>
  <c r="H748"/>
  <c r="H747" s="1"/>
  <c r="H825"/>
  <c r="H824" s="1"/>
  <c r="H853"/>
  <c r="H852" s="1"/>
  <c r="H908"/>
  <c r="H907" s="1"/>
  <c r="H906" s="1"/>
  <c r="H974"/>
  <c r="H973" s="1"/>
  <c r="H483"/>
  <c r="H482" s="1"/>
  <c r="H24"/>
  <c r="H208"/>
  <c r="H432"/>
  <c r="H778"/>
  <c r="H977"/>
  <c r="H398"/>
  <c r="H397" s="1"/>
  <c r="H532"/>
  <c r="H531" s="1"/>
  <c r="H669"/>
  <c r="H668" s="1"/>
  <c r="H756"/>
  <c r="H755" s="1"/>
  <c r="H754" s="1"/>
  <c r="H753" s="1"/>
  <c r="H818"/>
  <c r="H817" s="1"/>
  <c r="H923"/>
  <c r="H922" s="1"/>
  <c r="H159"/>
  <c r="H158" s="1"/>
  <c r="H202"/>
  <c r="H201" s="1"/>
  <c r="H334"/>
  <c r="H333" s="1"/>
  <c r="H332" s="1"/>
  <c r="H331" s="1"/>
  <c r="H330" s="1"/>
  <c r="H329" s="1"/>
  <c r="H468"/>
  <c r="H467" s="1"/>
  <c r="H595"/>
  <c r="H698"/>
  <c r="H697" s="1"/>
  <c r="H836"/>
  <c r="H835" s="1"/>
  <c r="H961"/>
  <c r="H86"/>
  <c r="H138"/>
  <c r="H137" s="1"/>
  <c r="H136" s="1"/>
  <c r="H135" s="1"/>
  <c r="H172"/>
  <c r="H171" s="1"/>
  <c r="H170" s="1"/>
  <c r="H169" s="1"/>
  <c r="H233"/>
  <c r="H232" s="1"/>
  <c r="H231" s="1"/>
  <c r="H230" s="1"/>
  <c r="H348"/>
  <c r="H541"/>
  <c r="H540" s="1"/>
  <c r="H539" s="1"/>
  <c r="H538" s="1"/>
  <c r="H537" s="1"/>
  <c r="H536" s="1"/>
  <c r="H731"/>
  <c r="H730" s="1"/>
  <c r="H841"/>
  <c r="H840" s="1"/>
  <c r="H839" s="1"/>
  <c r="H964"/>
  <c r="H963" s="1"/>
  <c r="H962" s="1"/>
  <c r="G119"/>
  <c r="G118" s="1"/>
  <c r="G117" s="1"/>
  <c r="H315"/>
  <c r="H314" s="1"/>
  <c r="H481"/>
  <c r="H480" s="1"/>
  <c r="H627"/>
  <c r="H626" s="1"/>
  <c r="H742"/>
  <c r="H741" s="1"/>
  <c r="H740" s="1"/>
  <c r="H812"/>
  <c r="H811" s="1"/>
  <c r="H905"/>
  <c r="H904" s="1"/>
  <c r="H903" s="1"/>
  <c r="H982"/>
  <c r="H156"/>
  <c r="H181"/>
  <c r="H180" s="1"/>
  <c r="H179" s="1"/>
  <c r="H178" s="1"/>
  <c r="H289"/>
  <c r="H288" s="1"/>
  <c r="H437"/>
  <c r="H436" s="1"/>
  <c r="H561"/>
  <c r="H560" s="1"/>
  <c r="H559" s="1"/>
  <c r="H558" s="1"/>
  <c r="H661"/>
  <c r="H660" s="1"/>
  <c r="H659" s="1"/>
  <c r="H658" s="1"/>
  <c r="H820"/>
  <c r="H819" s="1"/>
  <c r="H943"/>
  <c r="H942" s="1"/>
  <c r="H941" s="1"/>
  <c r="H75"/>
  <c r="H134"/>
  <c r="H133" s="1"/>
  <c r="H132" s="1"/>
  <c r="H131" s="1"/>
  <c r="H168"/>
  <c r="H167" s="1"/>
  <c r="H166" s="1"/>
  <c r="H165" s="1"/>
  <c r="H229"/>
  <c r="H228" s="1"/>
  <c r="H227" s="1"/>
  <c r="H226" s="1"/>
  <c r="H320"/>
  <c r="H492"/>
  <c r="H491" s="1"/>
  <c r="H490" s="1"/>
  <c r="H489" s="1"/>
  <c r="H488" s="1"/>
  <c r="H831"/>
  <c r="H830" s="1"/>
  <c r="H829" s="1"/>
  <c r="H931"/>
  <c r="H930" s="1"/>
  <c r="H929" s="1"/>
  <c r="H928" s="1"/>
  <c r="H671"/>
  <c r="H670" s="1"/>
  <c r="G97"/>
  <c r="G96" s="1"/>
  <c r="G95" s="1"/>
  <c r="H215"/>
  <c r="H214" s="1"/>
  <c r="H213" s="1"/>
  <c r="H212" s="1"/>
  <c r="H211" s="1"/>
  <c r="H473"/>
  <c r="H472" s="1"/>
  <c r="H609"/>
  <c r="H608" s="1"/>
  <c r="H607" s="1"/>
  <c r="H729"/>
  <c r="H728" s="1"/>
  <c r="H727" s="1"/>
  <c r="H726" s="1"/>
  <c r="H787"/>
  <c r="H786" s="1"/>
  <c r="H785" s="1"/>
  <c r="H880"/>
  <c r="H879" s="1"/>
  <c r="H972"/>
  <c r="H971" s="1"/>
  <c r="G122"/>
  <c r="G121" s="1"/>
  <c r="G120" s="1"/>
  <c r="H177"/>
  <c r="H176" s="1"/>
  <c r="H175" s="1"/>
  <c r="H174" s="1"/>
  <c r="H209"/>
  <c r="H401"/>
  <c r="H534"/>
  <c r="H533" s="1"/>
  <c r="H653"/>
  <c r="H652" s="1"/>
  <c r="H651" s="1"/>
  <c r="H650" s="1"/>
  <c r="H735"/>
  <c r="H734" s="1"/>
  <c r="H733" s="1"/>
  <c r="H732" s="1"/>
  <c r="H893"/>
  <c r="H892" s="1"/>
  <c r="H891" s="1"/>
  <c r="H37"/>
  <c r="H119"/>
  <c r="H118" s="1"/>
  <c r="H117" s="1"/>
  <c r="H116" s="1"/>
  <c r="H115" s="1"/>
  <c r="H114" s="1"/>
  <c r="H161"/>
  <c r="H225"/>
  <c r="H292"/>
  <c r="H291" s="1"/>
  <c r="H290" s="1"/>
  <c r="H471"/>
  <c r="H632"/>
  <c r="H631" s="1"/>
  <c r="H625" s="1"/>
  <c r="H624" s="1"/>
  <c r="H623" s="1"/>
  <c r="H622" s="1"/>
  <c r="H621" s="1"/>
  <c r="H810"/>
  <c r="H809" s="1"/>
  <c r="H896"/>
  <c r="H895" s="1"/>
  <c r="H894" s="1"/>
  <c r="G59"/>
  <c r="G58" s="1"/>
  <c r="G57" s="1"/>
  <c r="G56" s="1"/>
  <c r="G55" s="1"/>
  <c r="G54" s="1"/>
  <c r="H441"/>
  <c r="H440" s="1"/>
  <c r="H580"/>
  <c r="H579" s="1"/>
  <c r="H578" s="1"/>
  <c r="H684"/>
  <c r="H683" s="1"/>
  <c r="H682" s="1"/>
  <c r="H681" s="1"/>
  <c r="H680" s="1"/>
  <c r="H679" s="1"/>
  <c r="H779"/>
  <c r="H851"/>
  <c r="H850" s="1"/>
  <c r="H958"/>
  <c r="H957" s="1"/>
  <c r="G88"/>
  <c r="G87" s="1"/>
  <c r="H162"/>
  <c r="H206"/>
  <c r="H205" s="1"/>
  <c r="H380"/>
  <c r="H379" s="1"/>
  <c r="H378" s="1"/>
  <c r="H377" s="1"/>
  <c r="H376" s="1"/>
  <c r="H375" s="1"/>
  <c r="H374" s="1"/>
  <c r="H618"/>
  <c r="H617" s="1"/>
  <c r="H616" s="1"/>
  <c r="H706"/>
  <c r="H705" s="1"/>
  <c r="H704" s="1"/>
  <c r="H703" s="1"/>
  <c r="H875"/>
  <c r="H874" s="1"/>
  <c r="H873" s="1"/>
  <c r="H101"/>
  <c r="H155"/>
  <c r="H242"/>
  <c r="H241" s="1"/>
  <c r="H240" s="1"/>
  <c r="H239" s="1"/>
  <c r="H234" s="1"/>
  <c r="H590"/>
  <c r="H870"/>
  <c r="H869" s="1"/>
  <c r="H868" s="1"/>
  <c r="G46"/>
  <c r="G44" s="1"/>
  <c r="G43" s="1"/>
  <c r="G507" i="35"/>
  <c r="G549"/>
  <c r="G548" s="1"/>
  <c r="G509"/>
  <c r="G508" s="1"/>
  <c r="G91"/>
  <c r="G164"/>
  <c r="G329"/>
  <c r="G431"/>
  <c r="A568" i="36"/>
  <c r="A566"/>
  <c r="A564"/>
  <c r="A562"/>
  <c r="A560"/>
  <c r="A558"/>
  <c r="A556"/>
  <c r="A554"/>
  <c r="A552"/>
  <c r="A550"/>
  <c r="A548"/>
  <c r="A546"/>
  <c r="A544"/>
  <c r="A542"/>
  <c r="A540"/>
  <c r="A538"/>
  <c r="A536"/>
  <c r="A534"/>
  <c r="A532"/>
  <c r="A530"/>
  <c r="A528"/>
  <c r="A526"/>
  <c r="A524"/>
  <c r="A522"/>
  <c r="A520"/>
  <c r="A518"/>
  <c r="A516"/>
  <c r="A514"/>
  <c r="A512"/>
  <c r="A510"/>
  <c r="A508"/>
  <c r="A506"/>
  <c r="A504"/>
  <c r="A502"/>
  <c r="A500"/>
  <c r="A498"/>
  <c r="A496"/>
  <c r="A494"/>
  <c r="A492"/>
  <c r="A490"/>
  <c r="A488"/>
  <c r="A486"/>
  <c r="A484"/>
  <c r="A482"/>
  <c r="A480"/>
  <c r="A478"/>
  <c r="A476"/>
  <c r="A474"/>
  <c r="A472"/>
  <c r="A470"/>
  <c r="A468"/>
  <c r="A466"/>
  <c r="A464"/>
  <c r="A462"/>
  <c r="A460"/>
  <c r="A458"/>
  <c r="A456"/>
  <c r="A454"/>
  <c r="A452"/>
  <c r="A450"/>
  <c r="A448"/>
  <c r="A446"/>
  <c r="A444"/>
  <c r="A442"/>
  <c r="A440"/>
  <c r="A438"/>
  <c r="A436"/>
  <c r="A434"/>
  <c r="A432"/>
  <c r="A430"/>
  <c r="A428"/>
  <c r="A426"/>
  <c r="A424"/>
  <c r="A422"/>
  <c r="A420"/>
  <c r="A418"/>
  <c r="A416"/>
  <c r="A414"/>
  <c r="A412"/>
  <c r="A410"/>
  <c r="A408"/>
  <c r="A406"/>
  <c r="A404"/>
  <c r="A402"/>
  <c r="A400"/>
  <c r="A398"/>
  <c r="A396"/>
  <c r="A394"/>
  <c r="A392"/>
  <c r="A390"/>
  <c r="A388"/>
  <c r="A386"/>
  <c r="A384"/>
  <c r="A382"/>
  <c r="A380"/>
  <c r="A378"/>
  <c r="A376"/>
  <c r="A374"/>
  <c r="A372"/>
  <c r="A370"/>
  <c r="A368"/>
  <c r="A366"/>
  <c r="A364"/>
  <c r="A362"/>
  <c r="A360"/>
  <c r="A358"/>
  <c r="A356"/>
  <c r="A354"/>
  <c r="A352"/>
  <c r="A350"/>
  <c r="A348"/>
  <c r="A346"/>
  <c r="A344"/>
  <c r="G1863" i="35" s="1"/>
  <c r="A342" i="36"/>
  <c r="A340"/>
  <c r="A338"/>
  <c r="G1783" i="35" s="1"/>
  <c r="G1912"/>
  <c r="G1691"/>
  <c r="G1701"/>
  <c r="G1579"/>
  <c r="G1448"/>
  <c r="G1338"/>
  <c r="G1250"/>
  <c r="G1210"/>
  <c r="G1165"/>
  <c r="G1125"/>
  <c r="G480"/>
  <c r="G464"/>
  <c r="G419"/>
  <c r="G375"/>
  <c r="G238"/>
  <c r="G230"/>
  <c r="G206"/>
  <c r="G170"/>
  <c r="G113"/>
  <c r="G52"/>
  <c r="G28"/>
  <c r="G1626"/>
  <c r="G1582"/>
  <c r="G1549"/>
  <c r="G1526"/>
  <c r="G1514"/>
  <c r="G1483"/>
  <c r="G1459"/>
  <c r="G1451"/>
  <c r="G1450" s="1"/>
  <c r="G1449" s="1"/>
  <c r="G1398"/>
  <c r="G1377"/>
  <c r="G1365"/>
  <c r="G1357"/>
  <c r="G1289"/>
  <c r="G1277"/>
  <c r="G1269"/>
  <c r="G1213"/>
  <c r="G1192"/>
  <c r="G1168"/>
  <c r="G1148"/>
  <c r="G1136"/>
  <c r="G1100"/>
  <c r="G1092"/>
  <c r="G1088"/>
  <c r="G1084"/>
  <c r="G1080"/>
  <c r="G1076"/>
  <c r="G1072"/>
  <c r="G1060"/>
  <c r="G1048"/>
  <c r="G1028"/>
  <c r="G1024"/>
  <c r="G1020"/>
  <c r="G1008"/>
  <c r="G996"/>
  <c r="G984"/>
  <c r="G972"/>
  <c r="G964"/>
  <c r="G947"/>
  <c r="G935"/>
  <c r="G927"/>
  <c r="G916"/>
  <c r="G892"/>
  <c r="G872"/>
  <c r="G868"/>
  <c r="G864"/>
  <c r="G804"/>
  <c r="G764"/>
  <c r="G740"/>
  <c r="G732"/>
  <c r="G728"/>
  <c r="G712"/>
  <c r="G700"/>
  <c r="G692"/>
  <c r="G688"/>
  <c r="G672"/>
  <c r="G640"/>
  <c r="G620"/>
  <c r="G604"/>
  <c r="G592"/>
  <c r="G572"/>
  <c r="G542"/>
  <c r="G522"/>
  <c r="G503"/>
  <c r="G499"/>
  <c r="G491"/>
  <c r="G483"/>
  <c r="G471"/>
  <c r="G467"/>
  <c r="G451"/>
  <c r="G443"/>
  <c r="G435"/>
  <c r="G430"/>
  <c r="G402"/>
  <c r="G386"/>
  <c r="G374"/>
  <c r="G370"/>
  <c r="G354"/>
  <c r="G325"/>
  <c r="G317"/>
  <c r="G305"/>
  <c r="G301"/>
  <c r="G293"/>
  <c r="G229"/>
  <c r="G221"/>
  <c r="G205"/>
  <c r="G193"/>
  <c r="G189"/>
  <c r="G160"/>
  <c r="G156"/>
  <c r="G152"/>
  <c r="G148"/>
  <c r="G144"/>
  <c r="G120"/>
  <c r="G104"/>
  <c r="G79"/>
  <c r="G75"/>
  <c r="G59"/>
  <c r="G27"/>
  <c r="G23"/>
  <c r="G19"/>
  <c r="G1620"/>
  <c r="G1612"/>
  <c r="G1592"/>
  <c r="G1555"/>
  <c r="G1539"/>
  <c r="G1535"/>
  <c r="G1520"/>
  <c r="G1501"/>
  <c r="G1493"/>
  <c r="G1485"/>
  <c r="G1477"/>
  <c r="G1436"/>
  <c r="G1424"/>
  <c r="G1408"/>
  <c r="G1392"/>
  <c r="G1388"/>
  <c r="G1383"/>
  <c r="G1351"/>
  <c r="G1339"/>
  <c r="G1327"/>
  <c r="G1303"/>
  <c r="G1299"/>
  <c r="G1295"/>
  <c r="G1263"/>
  <c r="G1251"/>
  <c r="G1239"/>
  <c r="G1223"/>
  <c r="G1207"/>
  <c r="G1203"/>
  <c r="G1198"/>
  <c r="G1182"/>
  <c r="G1174"/>
  <c r="G1158"/>
  <c r="G1154"/>
  <c r="G1150"/>
  <c r="G1110"/>
  <c r="G1094"/>
  <c r="G1090"/>
  <c r="G1074"/>
  <c r="G1066"/>
  <c r="G1062"/>
  <c r="G1038"/>
  <c r="G1018"/>
  <c r="G1014"/>
  <c r="G1002"/>
  <c r="G990"/>
  <c r="G974"/>
  <c r="G966"/>
  <c r="G945"/>
  <c r="G937"/>
  <c r="G925"/>
  <c r="G914"/>
  <c r="G906"/>
  <c r="G866"/>
  <c r="G814"/>
  <c r="G810"/>
  <c r="G806"/>
  <c r="G746"/>
  <c r="G738"/>
  <c r="G726"/>
  <c r="G722"/>
  <c r="G718"/>
  <c r="G714"/>
  <c r="G702"/>
  <c r="G690"/>
  <c r="G678"/>
  <c r="G654"/>
  <c r="G650"/>
  <c r="G646"/>
  <c r="G626"/>
  <c r="G622"/>
  <c r="G618"/>
  <c r="G614"/>
  <c r="G598"/>
  <c r="G570"/>
  <c r="G536"/>
  <c r="G512"/>
  <c r="G501"/>
  <c r="G489"/>
  <c r="G469"/>
  <c r="G461"/>
  <c r="G424"/>
  <c r="G380"/>
  <c r="G376"/>
  <c r="G372"/>
  <c r="G360"/>
  <c r="G348"/>
  <c r="G340"/>
  <c r="G336"/>
  <c r="G332"/>
  <c r="G327"/>
  <c r="G323"/>
  <c r="G311"/>
  <c r="G295"/>
  <c r="G283"/>
  <c r="G279"/>
  <c r="G247"/>
  <c r="G243"/>
  <c r="G215"/>
  <c r="G211"/>
  <c r="G199"/>
  <c r="G183"/>
  <c r="G179"/>
  <c r="G162"/>
  <c r="G158"/>
  <c r="G102"/>
  <c r="G98"/>
  <c r="G94"/>
  <c r="G85"/>
  <c r="G65"/>
  <c r="G45"/>
  <c r="G41"/>
  <c r="G37"/>
  <c r="G33"/>
  <c r="G21"/>
  <c r="G17"/>
  <c r="J1576"/>
  <c r="G1576" s="1"/>
  <c r="H808" i="38" l="1"/>
  <c r="G347"/>
  <c r="G71"/>
  <c r="G70" s="1"/>
  <c r="G69" s="1"/>
  <c r="G154"/>
  <c r="H667"/>
  <c r="H666" s="1"/>
  <c r="H665" s="1"/>
  <c r="H664" s="1"/>
  <c r="H16"/>
  <c r="G814"/>
  <c r="G813" s="1"/>
  <c r="H976"/>
  <c r="H975" s="1"/>
  <c r="G184"/>
  <c r="G183" s="1"/>
  <c r="H394"/>
  <c r="H535"/>
  <c r="G881"/>
  <c r="H940"/>
  <c r="H939" s="1"/>
  <c r="H938" s="1"/>
  <c r="H937" s="1"/>
  <c r="H347"/>
  <c r="G207"/>
  <c r="G518"/>
  <c r="G821"/>
  <c r="G26"/>
  <c r="G25" s="1"/>
  <c r="H154"/>
  <c r="H530"/>
  <c r="H529" s="1"/>
  <c r="H528" s="1"/>
  <c r="H527" s="1"/>
  <c r="H184"/>
  <c r="H183" s="1"/>
  <c r="H31"/>
  <c r="H30" s="1"/>
  <c r="G987" i="35"/>
  <c r="G42"/>
  <c r="G95"/>
  <c r="G188"/>
  <c r="G264"/>
  <c r="G506"/>
  <c r="G505" s="1"/>
  <c r="G707"/>
  <c r="G887"/>
  <c r="G78"/>
  <c r="G184"/>
  <c r="G272"/>
  <c r="G498"/>
  <c r="G759"/>
  <c r="G907"/>
  <c r="G547"/>
  <c r="G665"/>
  <c r="G821"/>
  <c r="G940"/>
  <c r="G1033"/>
  <c r="G462"/>
  <c r="G675"/>
  <c r="G851"/>
  <c r="G1079"/>
  <c r="G86"/>
  <c r="G163"/>
  <c r="G256"/>
  <c r="G255" s="1"/>
  <c r="G429"/>
  <c r="G428" s="1"/>
  <c r="G655"/>
  <c r="G831"/>
  <c r="G1063"/>
  <c r="G135"/>
  <c r="G248"/>
  <c r="G434"/>
  <c r="G643"/>
  <c r="G835"/>
  <c r="G1071"/>
  <c r="G527"/>
  <c r="G649"/>
  <c r="G797"/>
  <c r="G893"/>
  <c r="G1005"/>
  <c r="G409"/>
  <c r="G611"/>
  <c r="G823"/>
  <c r="G1011"/>
  <c r="G161"/>
  <c r="G1083"/>
  <c r="G74"/>
  <c r="G139"/>
  <c r="G220"/>
  <c r="G393"/>
  <c r="G583"/>
  <c r="G791"/>
  <c r="G979"/>
  <c r="G107"/>
  <c r="G212"/>
  <c r="G397"/>
  <c r="G595"/>
  <c r="G799"/>
  <c r="G999"/>
  <c r="G519"/>
  <c r="G641"/>
  <c r="G753"/>
  <c r="G869"/>
  <c r="G977"/>
  <c r="G328"/>
  <c r="G326" s="1"/>
  <c r="G563"/>
  <c r="G779"/>
  <c r="G930"/>
  <c r="G1873"/>
  <c r="G1680"/>
  <c r="G1055"/>
  <c r="G46"/>
  <c r="G123"/>
  <c r="G122" s="1"/>
  <c r="G208"/>
  <c r="G337"/>
  <c r="G525"/>
  <c r="G771"/>
  <c r="G919"/>
  <c r="G90"/>
  <c r="G89" s="1"/>
  <c r="G204"/>
  <c r="G369"/>
  <c r="G555"/>
  <c r="G775"/>
  <c r="G504"/>
  <c r="G577"/>
  <c r="G709"/>
  <c r="G845"/>
  <c r="G961"/>
  <c r="G1089"/>
  <c r="G513"/>
  <c r="G763"/>
  <c r="G173" i="38"/>
  <c r="G163" s="1"/>
  <c r="G976"/>
  <c r="G975" s="1"/>
  <c r="H164"/>
  <c r="G849"/>
  <c r="H475"/>
  <c r="G625"/>
  <c r="G624" s="1"/>
  <c r="G623" s="1"/>
  <c r="G622" s="1"/>
  <c r="G621" s="1"/>
  <c r="G22"/>
  <c r="H854"/>
  <c r="G1202" i="35"/>
  <c r="G1298"/>
  <c r="G1391"/>
  <c r="G1523"/>
  <c r="G1648"/>
  <c r="G1756"/>
  <c r="G1902"/>
  <c r="G1827"/>
  <c r="G1676"/>
  <c r="G1788"/>
  <c r="G1787" s="1"/>
  <c r="G1786" s="1"/>
  <c r="G1785" s="1"/>
  <c r="G1784" s="1"/>
  <c r="G1868"/>
  <c r="G1918"/>
  <c r="G1183"/>
  <c r="G1292"/>
  <c r="G1421"/>
  <c r="G1605"/>
  <c r="G1675"/>
  <c r="G1195"/>
  <c r="G1316"/>
  <c r="G1405"/>
  <c r="G1585"/>
  <c r="G1670"/>
  <c r="G1883"/>
  <c r="G1890"/>
  <c r="H1547" i="38"/>
  <c r="H1546" s="1"/>
  <c r="H1545" s="1"/>
  <c r="H1544" s="1"/>
  <c r="H993"/>
  <c r="H1571"/>
  <c r="H1105"/>
  <c r="H1104" s="1"/>
  <c r="H1103" s="1"/>
  <c r="H1201"/>
  <c r="H1200" s="1"/>
  <c r="H1199" s="1"/>
  <c r="H160"/>
  <c r="H1449"/>
  <c r="H1448" s="1"/>
  <c r="H1447" s="1"/>
  <c r="H1446" s="1"/>
  <c r="H1585"/>
  <c r="H1584" s="1"/>
  <c r="H1583" s="1"/>
  <c r="H1582" s="1"/>
  <c r="H1127"/>
  <c r="H1126" s="1"/>
  <c r="H1125" s="1"/>
  <c r="H1073"/>
  <c r="H1039"/>
  <c r="H1038" s="1"/>
  <c r="H1037" s="1"/>
  <c r="H1036" s="1"/>
  <c r="H1228"/>
  <c r="H1240"/>
  <c r="H1479"/>
  <c r="H1523"/>
  <c r="H1522" s="1"/>
  <c r="H1521" s="1"/>
  <c r="H1520" s="1"/>
  <c r="H1519" s="1"/>
  <c r="H1518" s="1"/>
  <c r="H1517" s="1"/>
  <c r="H1616"/>
  <c r="H1615" s="1"/>
  <c r="H1160"/>
  <c r="H777"/>
  <c r="H776" s="1"/>
  <c r="H775" s="1"/>
  <c r="H774" s="1"/>
  <c r="H773" s="1"/>
  <c r="H1121"/>
  <c r="H1120" s="1"/>
  <c r="H1119" s="1"/>
  <c r="H849"/>
  <c r="H553"/>
  <c r="H552" s="1"/>
  <c r="H1574"/>
  <c r="H1573" s="1"/>
  <c r="H1338"/>
  <c r="H1337" s="1"/>
  <c r="H1336" s="1"/>
  <c r="H1070"/>
  <c r="H1480"/>
  <c r="H1236"/>
  <c r="H1054"/>
  <c r="H887"/>
  <c r="H736"/>
  <c r="H1576"/>
  <c r="H1215"/>
  <c r="H1214" s="1"/>
  <c r="H1213" s="1"/>
  <c r="H1017"/>
  <c r="H1016" s="1"/>
  <c r="H1015" s="1"/>
  <c r="H1014" s="1"/>
  <c r="H1013" s="1"/>
  <c r="H1012" s="1"/>
  <c r="H1011" s="1"/>
  <c r="H1453"/>
  <c r="H1452" s="1"/>
  <c r="H1451" s="1"/>
  <c r="H1450" s="1"/>
  <c r="G1576"/>
  <c r="G1244"/>
  <c r="G1243" s="1"/>
  <c r="G1067"/>
  <c r="G1066" s="1"/>
  <c r="G1491"/>
  <c r="G1490" s="1"/>
  <c r="G1489" s="1"/>
  <c r="G1237"/>
  <c r="G1479"/>
  <c r="G1113"/>
  <c r="G493"/>
  <c r="G16"/>
  <c r="G15" s="1"/>
  <c r="G14" s="1"/>
  <c r="G1357"/>
  <c r="G1356" s="1"/>
  <c r="G1355" s="1"/>
  <c r="G1102"/>
  <c r="G1101" s="1"/>
  <c r="G1100" s="1"/>
  <c r="H40"/>
  <c r="H39" s="1"/>
  <c r="H38" s="1"/>
  <c r="H1440"/>
  <c r="H1135"/>
  <c r="H1134" s="1"/>
  <c r="H1133" s="1"/>
  <c r="H592"/>
  <c r="H591" s="1"/>
  <c r="H1308"/>
  <c r="H1307" s="1"/>
  <c r="H1306" s="1"/>
  <c r="H1305" s="1"/>
  <c r="H1304" s="1"/>
  <c r="H1303" s="1"/>
  <c r="G1325"/>
  <c r="G1148"/>
  <c r="G553"/>
  <c r="G552" s="1"/>
  <c r="G1541"/>
  <c r="G1540" s="1"/>
  <c r="G1539" s="1"/>
  <c r="G1538" s="1"/>
  <c r="G1537" s="1"/>
  <c r="G1536" s="1"/>
  <c r="G1351"/>
  <c r="G1350" s="1"/>
  <c r="G1349" s="1"/>
  <c r="G1348" s="1"/>
  <c r="G1347" s="1"/>
  <c r="G1346" s="1"/>
  <c r="G1046"/>
  <c r="G1554"/>
  <c r="G1553" s="1"/>
  <c r="G1193"/>
  <c r="G990"/>
  <c r="G989" s="1"/>
  <c r="G1431"/>
  <c r="G1182"/>
  <c r="G1181" s="1"/>
  <c r="G1180" s="1"/>
  <c r="H1475"/>
  <c r="H1067"/>
  <c r="H1066" s="1"/>
  <c r="H834"/>
  <c r="H1603"/>
  <c r="H1398"/>
  <c r="H1397" s="1"/>
  <c r="H1396" s="1"/>
  <c r="H1395" s="1"/>
  <c r="H1077"/>
  <c r="H821"/>
  <c r="H309"/>
  <c r="H1488"/>
  <c r="H1487" s="1"/>
  <c r="H1486" s="1"/>
  <c r="H1254"/>
  <c r="H1253" s="1"/>
  <c r="H1252" s="1"/>
  <c r="H1074"/>
  <c r="H744"/>
  <c r="H743" s="1"/>
  <c r="H1613"/>
  <c r="H1237"/>
  <c r="H1046"/>
  <c r="H430"/>
  <c r="H429" s="1"/>
  <c r="H322"/>
  <c r="H321" s="1"/>
  <c r="G1556"/>
  <c r="G1236"/>
  <c r="G1235" s="1"/>
  <c r="G1234" s="1"/>
  <c r="G1045"/>
  <c r="G1618"/>
  <c r="G1617" s="1"/>
  <c r="G1453"/>
  <c r="G1452" s="1"/>
  <c r="G1451" s="1"/>
  <c r="G1450" s="1"/>
  <c r="G1204"/>
  <c r="G1203" s="1"/>
  <c r="G1202" s="1"/>
  <c r="G919"/>
  <c r="G918" s="1"/>
  <c r="G1434"/>
  <c r="G1433" s="1"/>
  <c r="G1081"/>
  <c r="G1080" s="1"/>
  <c r="G1603"/>
  <c r="G1324"/>
  <c r="G1078"/>
  <c r="H1621"/>
  <c r="H1241"/>
  <c r="H1050"/>
  <c r="H1049" s="1"/>
  <c r="G1572"/>
  <c r="G1240"/>
  <c r="G1054"/>
  <c r="G1622"/>
  <c r="G1474"/>
  <c r="G1233"/>
  <c r="G736"/>
  <c r="G469"/>
  <c r="G1475"/>
  <c r="G1105"/>
  <c r="G1104" s="1"/>
  <c r="G1103" s="1"/>
  <c r="G1099" s="1"/>
  <c r="G1098" s="1"/>
  <c r="G1097" s="1"/>
  <c r="G1096" s="1"/>
  <c r="G1095" s="1"/>
  <c r="G1616"/>
  <c r="G1615" s="1"/>
  <c r="G1338"/>
  <c r="G1337" s="1"/>
  <c r="G1336" s="1"/>
  <c r="G1094"/>
  <c r="G1093" s="1"/>
  <c r="G1092" s="1"/>
  <c r="G579"/>
  <c r="G1665" i="35"/>
  <c r="G1730"/>
  <c r="G1806"/>
  <c r="G1878"/>
  <c r="G1932"/>
  <c r="G1177"/>
  <c r="G1266"/>
  <c r="G1354"/>
  <c r="G1435"/>
  <c r="G1566"/>
  <c r="G1721"/>
  <c r="G1889"/>
  <c r="G1695"/>
  <c r="G1908"/>
  <c r="G1193"/>
  <c r="G1290"/>
  <c r="G1378"/>
  <c r="G1480"/>
  <c r="G1599"/>
  <c r="G1741"/>
  <c r="G1898"/>
  <c r="G1727"/>
  <c r="G1671"/>
  <c r="G1724"/>
  <c r="G1864"/>
  <c r="G1913"/>
  <c r="G1175"/>
  <c r="G1256"/>
  <c r="G1393"/>
  <c r="G1552"/>
  <c r="G1666"/>
  <c r="G1179"/>
  <c r="G1280"/>
  <c r="G1380"/>
  <c r="G1532"/>
  <c r="G1642"/>
  <c r="G1831"/>
  <c r="G1672"/>
  <c r="H1167" i="38"/>
  <c r="H1166" s="1"/>
  <c r="H1165" s="1"/>
  <c r="H1094"/>
  <c r="H1093" s="1"/>
  <c r="H1092" s="1"/>
  <c r="H1207"/>
  <c r="H1206" s="1"/>
  <c r="H1205" s="1"/>
  <c r="H1384"/>
  <c r="H1383" s="1"/>
  <c r="H1382" s="1"/>
  <c r="H1381" s="1"/>
  <c r="H1380" s="1"/>
  <c r="H1379" s="1"/>
  <c r="H1378" s="1"/>
  <c r="H1566"/>
  <c r="H1565" s="1"/>
  <c r="H1564" s="1"/>
  <c r="H1563" s="1"/>
  <c r="H1562" s="1"/>
  <c r="H1064"/>
  <c r="H1233"/>
  <c r="H1434"/>
  <c r="H1433" s="1"/>
  <c r="H130"/>
  <c r="H1360"/>
  <c r="H1359" s="1"/>
  <c r="H1358" s="1"/>
  <c r="H173"/>
  <c r="H1391"/>
  <c r="H1390" s="1"/>
  <c r="H1389" s="1"/>
  <c r="H1388" s="1"/>
  <c r="H1387" s="1"/>
  <c r="H1386" s="1"/>
  <c r="H1385" s="1"/>
  <c r="H1595"/>
  <c r="H1081"/>
  <c r="H1080" s="1"/>
  <c r="H1284"/>
  <c r="H1283" s="1"/>
  <c r="H1282" s="1"/>
  <c r="H1227"/>
  <c r="H1226" s="1"/>
  <c r="H643"/>
  <c r="H1419"/>
  <c r="H1418" s="1"/>
  <c r="H1417" s="1"/>
  <c r="H1084"/>
  <c r="H1083" s="1"/>
  <c r="H1082" s="1"/>
  <c r="H1556"/>
  <c r="H1295"/>
  <c r="H1294" s="1"/>
  <c r="H1293" s="1"/>
  <c r="H1091"/>
  <c r="H1090" s="1"/>
  <c r="H1089" s="1"/>
  <c r="H1088" s="1"/>
  <c r="H1087" s="1"/>
  <c r="H1086" s="1"/>
  <c r="H1085" s="1"/>
  <c r="H1247"/>
  <c r="H1246" s="1"/>
  <c r="H1245" s="1"/>
  <c r="H1055"/>
  <c r="H318"/>
  <c r="H317" s="1"/>
  <c r="G1621"/>
  <c r="G1620" s="1"/>
  <c r="G1619" s="1"/>
  <c r="G1313"/>
  <c r="G1312" s="1"/>
  <c r="G1311" s="1"/>
  <c r="G1135"/>
  <c r="G1134" s="1"/>
  <c r="G1133" s="1"/>
  <c r="G1531"/>
  <c r="G1530" s="1"/>
  <c r="G1529" s="1"/>
  <c r="G1528" s="1"/>
  <c r="G1527" s="1"/>
  <c r="G1526" s="1"/>
  <c r="G1525" s="1"/>
  <c r="G1524" s="1"/>
  <c r="G1277"/>
  <c r="G993"/>
  <c r="G341"/>
  <c r="G1516"/>
  <c r="G1515" s="1"/>
  <c r="G1514" s="1"/>
  <c r="G1513" s="1"/>
  <c r="G1512" s="1"/>
  <c r="G1511" s="1"/>
  <c r="G1510" s="1"/>
  <c r="G1185"/>
  <c r="G1184" s="1"/>
  <c r="G1183" s="1"/>
  <c r="G1179" s="1"/>
  <c r="G1178" s="1"/>
  <c r="G1177" s="1"/>
  <c r="G1176" s="1"/>
  <c r="G1175" s="1"/>
  <c r="G1419"/>
  <c r="G1418" s="1"/>
  <c r="G1417" s="1"/>
  <c r="G1174"/>
  <c r="G1173" s="1"/>
  <c r="G1172" s="1"/>
  <c r="G1171" s="1"/>
  <c r="G1170" s="1"/>
  <c r="G1169" s="1"/>
  <c r="G1168" s="1"/>
  <c r="H1557"/>
  <c r="H1164"/>
  <c r="H1163" s="1"/>
  <c r="H223"/>
  <c r="H222" s="1"/>
  <c r="H221" s="1"/>
  <c r="H220" s="1"/>
  <c r="H219" s="1"/>
  <c r="H218" s="1"/>
  <c r="H217" s="1"/>
  <c r="H522"/>
  <c r="H521" s="1"/>
  <c r="H520" s="1"/>
  <c r="H519" s="1"/>
  <c r="H518" s="1"/>
  <c r="G1436"/>
  <c r="G1164"/>
  <c r="G1163" s="1"/>
  <c r="G584"/>
  <c r="G1581"/>
  <c r="G1580" s="1"/>
  <c r="G1579" s="1"/>
  <c r="G1578" s="1"/>
  <c r="G1412"/>
  <c r="G1411" s="1"/>
  <c r="G1410" s="1"/>
  <c r="G1084"/>
  <c r="G1083" s="1"/>
  <c r="G1082" s="1"/>
  <c r="G643"/>
  <c r="G635" s="1"/>
  <c r="G634" s="1"/>
  <c r="G403"/>
  <c r="G402" s="1"/>
  <c r="G1254"/>
  <c r="G1253" s="1"/>
  <c r="G1252" s="1"/>
  <c r="G1039"/>
  <c r="G1038" s="1"/>
  <c r="G1037" s="1"/>
  <c r="G1036" s="1"/>
  <c r="G868"/>
  <c r="G864" s="1"/>
  <c r="G1547"/>
  <c r="G1546" s="1"/>
  <c r="G1545" s="1"/>
  <c r="G1544" s="1"/>
  <c r="G1247"/>
  <c r="G1246" s="1"/>
  <c r="G1245" s="1"/>
  <c r="H1554"/>
  <c r="H1553" s="1"/>
  <c r="H1162"/>
  <c r="H876"/>
  <c r="H864" s="1"/>
  <c r="H259"/>
  <c r="G160"/>
  <c r="G153" s="1"/>
  <c r="G152" s="1"/>
  <c r="G139" s="1"/>
  <c r="G129" s="1"/>
  <c r="H1441"/>
  <c r="H1148"/>
  <c r="H638"/>
  <c r="H637" s="1"/>
  <c r="H636" s="1"/>
  <c r="H1581"/>
  <c r="H1580" s="1"/>
  <c r="H1579" s="1"/>
  <c r="H1578" s="1"/>
  <c r="H1324"/>
  <c r="H1113"/>
  <c r="H22"/>
  <c r="H15" s="1"/>
  <c r="H1402"/>
  <c r="H1401" s="1"/>
  <c r="H1400" s="1"/>
  <c r="H1399" s="1"/>
  <c r="H1079"/>
  <c r="G92"/>
  <c r="G91" s="1"/>
  <c r="H919"/>
  <c r="H918" s="1"/>
  <c r="G1604"/>
  <c r="G1276"/>
  <c r="G1091"/>
  <c r="G1090" s="1"/>
  <c r="G1089" s="1"/>
  <c r="G1503"/>
  <c r="G1502" s="1"/>
  <c r="G1501" s="1"/>
  <c r="G1500" s="1"/>
  <c r="G1257"/>
  <c r="G1256" s="1"/>
  <c r="G1255" s="1"/>
  <c r="G309"/>
  <c r="G308" s="1"/>
  <c r="G307" s="1"/>
  <c r="G306" s="1"/>
  <c r="G1488"/>
  <c r="G1487" s="1"/>
  <c r="G1486" s="1"/>
  <c r="G1485" s="1"/>
  <c r="G1150"/>
  <c r="G1149" s="1"/>
  <c r="G40"/>
  <c r="G39" s="1"/>
  <c r="G38" s="1"/>
  <c r="G1402"/>
  <c r="G1401" s="1"/>
  <c r="G1400" s="1"/>
  <c r="G1399" s="1"/>
  <c r="G1138"/>
  <c r="G1137" s="1"/>
  <c r="G1136" s="1"/>
  <c r="G352"/>
  <c r="G351" s="1"/>
  <c r="H1406"/>
  <c r="H1405" s="1"/>
  <c r="H1404" s="1"/>
  <c r="H1114"/>
  <c r="H844"/>
  <c r="H92"/>
  <c r="H91" s="1"/>
  <c r="H1174"/>
  <c r="H1173" s="1"/>
  <c r="H1172" s="1"/>
  <c r="H1171" s="1"/>
  <c r="H1170" s="1"/>
  <c r="H1169" s="1"/>
  <c r="H1168" s="1"/>
  <c r="G1613"/>
  <c r="G1284"/>
  <c r="G1283" s="1"/>
  <c r="G1282" s="1"/>
  <c r="G1127"/>
  <c r="G1126" s="1"/>
  <c r="G1125" s="1"/>
  <c r="G538"/>
  <c r="G537" s="1"/>
  <c r="G536" s="1"/>
  <c r="G535" s="1"/>
  <c r="G98"/>
  <c r="G1523"/>
  <c r="G1522" s="1"/>
  <c r="G1521" s="1"/>
  <c r="G1520" s="1"/>
  <c r="G1519" s="1"/>
  <c r="G1518" s="1"/>
  <c r="G1517" s="1"/>
  <c r="G1265"/>
  <c r="G1264" s="1"/>
  <c r="G1263" s="1"/>
  <c r="G980"/>
  <c r="G979" s="1"/>
  <c r="G1508"/>
  <c r="G1507" s="1"/>
  <c r="G1506" s="1"/>
  <c r="G1505" s="1"/>
  <c r="G1504" s="1"/>
  <c r="G1162"/>
  <c r="G53"/>
  <c r="G1406"/>
  <c r="G1405" s="1"/>
  <c r="G1404" s="1"/>
  <c r="G1147"/>
  <c r="G1146" s="1"/>
  <c r="G1653" i="35"/>
  <c r="G1726"/>
  <c r="G1761"/>
  <c r="G1866"/>
  <c r="G1928"/>
  <c r="G1133"/>
  <c r="G1242"/>
  <c r="G1330"/>
  <c r="G1427"/>
  <c r="G1558"/>
  <c r="G1660"/>
  <c r="G1869"/>
  <c r="G1935"/>
  <c r="G1859"/>
  <c r="G1716"/>
  <c r="G1836"/>
  <c r="G1888"/>
  <c r="G1119"/>
  <c r="G1228"/>
  <c r="G1368"/>
  <c r="G1544"/>
  <c r="G1650"/>
  <c r="G1803"/>
  <c r="G1143"/>
  <c r="G1236"/>
  <c r="G1344"/>
  <c r="G1494"/>
  <c r="G1609"/>
  <c r="G1731"/>
  <c r="G1199"/>
  <c r="G1167" i="38"/>
  <c r="G1166" s="1"/>
  <c r="G1165" s="1"/>
  <c r="H1150"/>
  <c r="H1149" s="1"/>
  <c r="H1287"/>
  <c r="H1286" s="1"/>
  <c r="H1285" s="1"/>
  <c r="H1313"/>
  <c r="H1312" s="1"/>
  <c r="H1311" s="1"/>
  <c r="H1516"/>
  <c r="H1515" s="1"/>
  <c r="H1514" s="1"/>
  <c r="H1513" s="1"/>
  <c r="H1512" s="1"/>
  <c r="H1511" s="1"/>
  <c r="H1510" s="1"/>
  <c r="H1185"/>
  <c r="H1184" s="1"/>
  <c r="H1183" s="1"/>
  <c r="H1357"/>
  <c r="H1356" s="1"/>
  <c r="H1355" s="1"/>
  <c r="H606"/>
  <c r="H1242"/>
  <c r="H1577"/>
  <c r="H163"/>
  <c r="H1491"/>
  <c r="H1490" s="1"/>
  <c r="H1489" s="1"/>
  <c r="H1483"/>
  <c r="H1065"/>
  <c r="G116"/>
  <c r="G115" s="1"/>
  <c r="G114" s="1"/>
  <c r="H1102"/>
  <c r="H1101" s="1"/>
  <c r="H1100" s="1"/>
  <c r="H1257"/>
  <c r="H1256" s="1"/>
  <c r="H1255" s="1"/>
  <c r="H1416"/>
  <c r="H1415" s="1"/>
  <c r="H1414" s="1"/>
  <c r="H990"/>
  <c r="H989" s="1"/>
  <c r="H1351"/>
  <c r="H1350" s="1"/>
  <c r="H1349" s="1"/>
  <c r="H1348" s="1"/>
  <c r="H1347" s="1"/>
  <c r="H1346" s="1"/>
  <c r="H207"/>
  <c r="H200" s="1"/>
  <c r="H199" s="1"/>
  <c r="H198" s="1"/>
  <c r="H1341"/>
  <c r="H1340" s="1"/>
  <c r="H1339" s="1"/>
  <c r="H967"/>
  <c r="H399"/>
  <c r="H393" s="1"/>
  <c r="H392" s="1"/>
  <c r="H391" s="1"/>
  <c r="H384" s="1"/>
  <c r="H383" s="1"/>
  <c r="H382" s="1"/>
  <c r="H1459"/>
  <c r="H1458" s="1"/>
  <c r="H1457" s="1"/>
  <c r="H1456" s="1"/>
  <c r="H1455" s="1"/>
  <c r="H1454" s="1"/>
  <c r="H1193"/>
  <c r="H1589"/>
  <c r="H1588" s="1"/>
  <c r="H1587" s="1"/>
  <c r="H1586" s="1"/>
  <c r="H1373"/>
  <c r="H1372" s="1"/>
  <c r="H1371" s="1"/>
  <c r="H1370" s="1"/>
  <c r="H1138"/>
  <c r="H1137" s="1"/>
  <c r="H1136" s="1"/>
  <c r="H35"/>
  <c r="H34" s="1"/>
  <c r="H29" s="1"/>
  <c r="H1437"/>
  <c r="H1124"/>
  <c r="H1123" s="1"/>
  <c r="H1122" s="1"/>
  <c r="H588"/>
  <c r="H587" s="1"/>
  <c r="H577" s="1"/>
  <c r="H576" s="1"/>
  <c r="H551" s="1"/>
  <c r="H1244"/>
  <c r="H1243" s="1"/>
  <c r="G1432"/>
  <c r="G1160"/>
  <c r="G1577"/>
  <c r="G1384"/>
  <c r="G1383" s="1"/>
  <c r="G1382" s="1"/>
  <c r="G1381" s="1"/>
  <c r="G1380" s="1"/>
  <c r="G1379" s="1"/>
  <c r="G1378" s="1"/>
  <c r="G1064"/>
  <c r="G1594"/>
  <c r="G1242"/>
  <c r="G1035"/>
  <c r="G1034" s="1"/>
  <c r="G1033" s="1"/>
  <c r="G1032" s="1"/>
  <c r="G1484"/>
  <c r="G1227"/>
  <c r="H99"/>
  <c r="H98" s="1"/>
  <c r="H1594"/>
  <c r="H1593" s="1"/>
  <c r="H1230"/>
  <c r="H1229" s="1"/>
  <c r="H1024"/>
  <c r="H1023" s="1"/>
  <c r="H1022" s="1"/>
  <c r="H1021" s="1"/>
  <c r="H1020" s="1"/>
  <c r="H1019" s="1"/>
  <c r="H285"/>
  <c r="H284" s="1"/>
  <c r="H283" s="1"/>
  <c r="H282" s="1"/>
  <c r="G1552"/>
  <c r="G1232"/>
  <c r="G1029"/>
  <c r="G1028" s="1"/>
  <c r="G606"/>
  <c r="G463"/>
  <c r="G1614"/>
  <c r="G1449"/>
  <c r="G1448" s="1"/>
  <c r="G1447" s="1"/>
  <c r="G1446" s="1"/>
  <c r="G1161"/>
  <c r="G83"/>
  <c r="G82" s="1"/>
  <c r="G81" s="1"/>
  <c r="G80" s="1"/>
  <c r="G1409"/>
  <c r="G1408" s="1"/>
  <c r="G1407" s="1"/>
  <c r="G1077"/>
  <c r="G285"/>
  <c r="G284" s="1"/>
  <c r="G283" s="1"/>
  <c r="G282" s="1"/>
  <c r="G281" s="1"/>
  <c r="G280" s="1"/>
  <c r="G279" s="1"/>
  <c r="G1599"/>
  <c r="G1316"/>
  <c r="G1315" s="1"/>
  <c r="G1314" s="1"/>
  <c r="G1310" s="1"/>
  <c r="G1309" s="1"/>
  <c r="G1074"/>
  <c r="G844"/>
  <c r="H1614"/>
  <c r="H1265"/>
  <c r="H1264" s="1"/>
  <c r="H1263" s="1"/>
  <c r="H959"/>
  <c r="H956" s="1"/>
  <c r="H955" s="1"/>
  <c r="H954" s="1"/>
  <c r="H948" s="1"/>
  <c r="H1508"/>
  <c r="H1507" s="1"/>
  <c r="H1506" s="1"/>
  <c r="H1505" s="1"/>
  <c r="H1504" s="1"/>
  <c r="H1232"/>
  <c r="H1231" s="1"/>
  <c r="H692"/>
  <c r="H691" s="1"/>
  <c r="H686" s="1"/>
  <c r="H685" s="1"/>
  <c r="H678" s="1"/>
  <c r="G201"/>
  <c r="G200" s="1"/>
  <c r="G199" s="1"/>
  <c r="G198" s="1"/>
  <c r="H1604"/>
  <c r="H1409"/>
  <c r="H1408" s="1"/>
  <c r="H1407" s="1"/>
  <c r="H1156"/>
  <c r="H985"/>
  <c r="H814"/>
  <c r="H813" s="1"/>
  <c r="H807" s="1"/>
  <c r="H1474"/>
  <c r="H1473" s="1"/>
  <c r="H1153"/>
  <c r="H601"/>
  <c r="H600" s="1"/>
  <c r="H599" s="1"/>
  <c r="H598" s="1"/>
  <c r="H597" s="1"/>
  <c r="H596" s="1"/>
  <c r="G1391"/>
  <c r="G1390" s="1"/>
  <c r="G1389" s="1"/>
  <c r="G1388" s="1"/>
  <c r="G1387" s="1"/>
  <c r="G1386" s="1"/>
  <c r="G1385" s="1"/>
  <c r="G1152"/>
  <c r="G959"/>
  <c r="G956" s="1"/>
  <c r="G955" s="1"/>
  <c r="G954" s="1"/>
  <c r="G948" s="1"/>
  <c r="G1557"/>
  <c r="G1369"/>
  <c r="G1368" s="1"/>
  <c r="G1367" s="1"/>
  <c r="G1050"/>
  <c r="G1049" s="1"/>
  <c r="G361"/>
  <c r="G1566"/>
  <c r="G1565" s="1"/>
  <c r="G1564" s="1"/>
  <c r="G1563" s="1"/>
  <c r="G1562" s="1"/>
  <c r="G1201"/>
  <c r="G1200" s="1"/>
  <c r="G1199" s="1"/>
  <c r="G1003"/>
  <c r="G1002" s="1"/>
  <c r="G1001" s="1"/>
  <c r="G1000" s="1"/>
  <c r="G999" s="1"/>
  <c r="G998" s="1"/>
  <c r="G601"/>
  <c r="G600" s="1"/>
  <c r="G1459"/>
  <c r="G1458" s="1"/>
  <c r="G1457" s="1"/>
  <c r="G1456" s="1"/>
  <c r="G1455" s="1"/>
  <c r="G1454" s="1"/>
  <c r="G1194"/>
  <c r="G430"/>
  <c r="G429" s="1"/>
  <c r="G428" s="1"/>
  <c r="G427" s="1"/>
  <c r="G426" s="1"/>
  <c r="G425" s="1"/>
  <c r="H53"/>
  <c r="H1484"/>
  <c r="H1157"/>
  <c r="H26"/>
  <c r="H25" s="1"/>
  <c r="G1416"/>
  <c r="G1415" s="1"/>
  <c r="G1414" s="1"/>
  <c r="G1156"/>
  <c r="G720"/>
  <c r="G719" s="1"/>
  <c r="G718" s="1"/>
  <c r="G1561"/>
  <c r="G1560" s="1"/>
  <c r="G1559" s="1"/>
  <c r="G1558" s="1"/>
  <c r="G1373"/>
  <c r="G1372" s="1"/>
  <c r="G1371" s="1"/>
  <c r="G1370" s="1"/>
  <c r="G1055"/>
  <c r="G834"/>
  <c r="G1574"/>
  <c r="G1573" s="1"/>
  <c r="G1230"/>
  <c r="G1229" s="1"/>
  <c r="G1031"/>
  <c r="G1030" s="1"/>
  <c r="G1027" s="1"/>
  <c r="G1026" s="1"/>
  <c r="G839"/>
  <c r="G1480"/>
  <c r="G1218"/>
  <c r="G1217" s="1"/>
  <c r="G1216" s="1"/>
  <c r="G940"/>
  <c r="G939" s="1"/>
  <c r="G938" s="1"/>
  <c r="G937" s="1"/>
  <c r="G727"/>
  <c r="G726" s="1"/>
  <c r="G1645" i="35"/>
  <c r="G1722"/>
  <c r="G1738"/>
  <c r="G1822"/>
  <c r="G1907"/>
  <c r="G1113"/>
  <c r="G1206"/>
  <c r="G1302"/>
  <c r="G1387"/>
  <c r="G1504"/>
  <c r="G1623"/>
  <c r="G1809"/>
  <c r="G1910"/>
  <c r="G1843"/>
  <c r="G1306"/>
  <c r="G1395"/>
  <c r="G1546"/>
  <c r="G1668"/>
  <c r="G1853"/>
  <c r="G1927"/>
  <c r="G1796"/>
  <c r="G1884"/>
  <c r="G1930"/>
  <c r="G1208"/>
  <c r="G1304"/>
  <c r="G1462"/>
  <c r="G1617"/>
  <c r="G1766"/>
  <c r="G1095"/>
  <c r="G1220"/>
  <c r="G1324"/>
  <c r="G1413"/>
  <c r="G1601"/>
  <c r="G1683"/>
  <c r="G1917"/>
  <c r="G1384"/>
  <c r="G1914"/>
  <c r="G1911" s="1"/>
  <c r="H1503" i="38"/>
  <c r="H1502" s="1"/>
  <c r="H1501" s="1"/>
  <c r="H1500" s="1"/>
  <c r="H1431"/>
  <c r="H1436"/>
  <c r="H1435" s="1"/>
  <c r="H1031"/>
  <c r="H1030" s="1"/>
  <c r="H1618"/>
  <c r="H1617" s="1"/>
  <c r="H992"/>
  <c r="H991" s="1"/>
  <c r="H1316"/>
  <c r="H1315" s="1"/>
  <c r="H1314" s="1"/>
  <c r="H1310" s="1"/>
  <c r="H1309" s="1"/>
  <c r="H1302" s="1"/>
  <c r="H1301" s="1"/>
  <c r="H1477"/>
  <c r="H1476" s="1"/>
  <c r="H1045"/>
  <c r="H1044" s="1"/>
  <c r="H1622"/>
  <c r="H1600"/>
  <c r="H435"/>
  <c r="H1597"/>
  <c r="H1596" s="1"/>
  <c r="H1152"/>
  <c r="H308"/>
  <c r="H1276"/>
  <c r="H1412"/>
  <c r="H1411" s="1"/>
  <c r="H1410" s="1"/>
  <c r="H1552"/>
  <c r="H1078"/>
  <c r="H1599"/>
  <c r="H1425"/>
  <c r="H1424" s="1"/>
  <c r="H1423" s="1"/>
  <c r="H1422" s="1"/>
  <c r="H1421" s="1"/>
  <c r="H1420" s="1"/>
  <c r="H1029"/>
  <c r="H1028" s="1"/>
  <c r="H1531"/>
  <c r="H1530" s="1"/>
  <c r="H1529" s="1"/>
  <c r="H1528" s="1"/>
  <c r="H1527" s="1"/>
  <c r="H1526" s="1"/>
  <c r="H1525" s="1"/>
  <c r="H1524" s="1"/>
  <c r="H1277"/>
  <c r="H980"/>
  <c r="H979" s="1"/>
  <c r="H474"/>
  <c r="H1432"/>
  <c r="H1194"/>
  <c r="H1003"/>
  <c r="H1002" s="1"/>
  <c r="H1001" s="1"/>
  <c r="H1000" s="1"/>
  <c r="H999" s="1"/>
  <c r="H998" s="1"/>
  <c r="H73"/>
  <c r="H72" s="1"/>
  <c r="H71" s="1"/>
  <c r="H70" s="1"/>
  <c r="H69" s="1"/>
  <c r="H1541"/>
  <c r="H1540" s="1"/>
  <c r="H1539" s="1"/>
  <c r="H1538" s="1"/>
  <c r="H1537" s="1"/>
  <c r="H1536" s="1"/>
  <c r="H1161"/>
  <c r="G1477"/>
  <c r="G1476" s="1"/>
  <c r="G1228"/>
  <c r="G1017"/>
  <c r="G1016" s="1"/>
  <c r="G1015" s="1"/>
  <c r="G1014" s="1"/>
  <c r="G1013" s="1"/>
  <c r="G1012" s="1"/>
  <c r="G1011" s="1"/>
  <c r="G1597"/>
  <c r="G1596" s="1"/>
  <c r="G1441"/>
  <c r="G1157"/>
  <c r="G1360"/>
  <c r="G1359" s="1"/>
  <c r="G1358" s="1"/>
  <c r="G1073"/>
  <c r="G1072" s="1"/>
  <c r="G1071" s="1"/>
  <c r="G1595"/>
  <c r="G1308"/>
  <c r="G1307" s="1"/>
  <c r="G1306" s="1"/>
  <c r="G1305" s="1"/>
  <c r="G1304" s="1"/>
  <c r="G1303" s="1"/>
  <c r="G1070"/>
  <c r="H1268"/>
  <c r="H1267" s="1"/>
  <c r="H1266" s="1"/>
  <c r="H1262" s="1"/>
  <c r="H1261" s="1"/>
  <c r="H1260" s="1"/>
  <c r="H1259" s="1"/>
  <c r="H1258" s="1"/>
  <c r="H1069"/>
  <c r="H1068" s="1"/>
  <c r="H341"/>
  <c r="H340" s="1"/>
  <c r="H339" s="1"/>
  <c r="H338" s="1"/>
  <c r="H337" s="1"/>
  <c r="H336" s="1"/>
  <c r="H1147"/>
  <c r="H1146" s="1"/>
  <c r="G1600"/>
  <c r="G1268"/>
  <c r="G1267" s="1"/>
  <c r="G1266" s="1"/>
  <c r="G1262" s="1"/>
  <c r="G1261" s="1"/>
  <c r="G1260" s="1"/>
  <c r="G1259" s="1"/>
  <c r="G1258" s="1"/>
  <c r="G1079"/>
  <c r="G692"/>
  <c r="G691" s="1"/>
  <c r="G686" s="1"/>
  <c r="G685" s="1"/>
  <c r="G678" s="1"/>
  <c r="G1499"/>
  <c r="G1498" s="1"/>
  <c r="G1497" s="1"/>
  <c r="G1496" s="1"/>
  <c r="G1495" s="1"/>
  <c r="G1494" s="1"/>
  <c r="G1493" s="1"/>
  <c r="G1492" s="1"/>
  <c r="G1241"/>
  <c r="G968"/>
  <c r="G967" s="1"/>
  <c r="G269"/>
  <c r="G268" s="1"/>
  <c r="G267" s="1"/>
  <c r="G259" s="1"/>
  <c r="G1483"/>
  <c r="G1482" s="1"/>
  <c r="G1481" s="1"/>
  <c r="G1121"/>
  <c r="G1120" s="1"/>
  <c r="G1119" s="1"/>
  <c r="G1398"/>
  <c r="G1397" s="1"/>
  <c r="G1396" s="1"/>
  <c r="G1395" s="1"/>
  <c r="G1114"/>
  <c r="H1369"/>
  <c r="H1368" s="1"/>
  <c r="H1367" s="1"/>
  <c r="G223"/>
  <c r="G222" s="1"/>
  <c r="G221" s="1"/>
  <c r="G220" s="1"/>
  <c r="G219" s="1"/>
  <c r="G218" s="1"/>
  <c r="G217" s="1"/>
  <c r="H1551"/>
  <c r="H1550" s="1"/>
  <c r="H1298"/>
  <c r="H1297" s="1"/>
  <c r="H1296" s="1"/>
  <c r="H1048"/>
  <c r="H1047" s="1"/>
  <c r="H720"/>
  <c r="H719" s="1"/>
  <c r="H718" s="1"/>
  <c r="H1469"/>
  <c r="H1468" s="1"/>
  <c r="H1467" s="1"/>
  <c r="H1466" s="1"/>
  <c r="H1465" s="1"/>
  <c r="H1464" s="1"/>
  <c r="H1218"/>
  <c r="H1217" s="1"/>
  <c r="H1216" s="1"/>
  <c r="H1035"/>
  <c r="H1034" s="1"/>
  <c r="H1033" s="1"/>
  <c r="H1032" s="1"/>
  <c r="H464"/>
  <c r="H84"/>
  <c r="H83" s="1"/>
  <c r="H82" s="1"/>
  <c r="H81" s="1"/>
  <c r="H80" s="1"/>
  <c r="H1561"/>
  <c r="H1560" s="1"/>
  <c r="H1559" s="1"/>
  <c r="H1558" s="1"/>
  <c r="H1182"/>
  <c r="H1181" s="1"/>
  <c r="H1180" s="1"/>
  <c r="H469"/>
  <c r="H463" s="1"/>
  <c r="H1325"/>
  <c r="G1440"/>
  <c r="G1207"/>
  <c r="G1206" s="1"/>
  <c r="G1205" s="1"/>
  <c r="G992"/>
  <c r="G991" s="1"/>
  <c r="G984" s="1"/>
  <c r="G588"/>
  <c r="G587" s="1"/>
  <c r="G1585"/>
  <c r="G1584" s="1"/>
  <c r="G1583" s="1"/>
  <c r="G1582" s="1"/>
  <c r="G1425"/>
  <c r="G1424" s="1"/>
  <c r="G1423" s="1"/>
  <c r="G1422" s="1"/>
  <c r="G1421" s="1"/>
  <c r="G1420" s="1"/>
  <c r="G1124"/>
  <c r="G1123" s="1"/>
  <c r="G1122" s="1"/>
  <c r="G1298"/>
  <c r="G1297" s="1"/>
  <c r="G1296" s="1"/>
  <c r="G1065"/>
  <c r="G1551"/>
  <c r="G1550" s="1"/>
  <c r="G1287"/>
  <c r="G1286" s="1"/>
  <c r="G1285" s="1"/>
  <c r="G1024"/>
  <c r="G1023" s="1"/>
  <c r="G1022" s="1"/>
  <c r="G1021" s="1"/>
  <c r="G1020" s="1"/>
  <c r="G1019" s="1"/>
  <c r="G474"/>
  <c r="H1572"/>
  <c r="H1204"/>
  <c r="H1203" s="1"/>
  <c r="H1202" s="1"/>
  <c r="H1009"/>
  <c r="H1008" s="1"/>
  <c r="H1007" s="1"/>
  <c r="H1006" s="1"/>
  <c r="H1005" s="1"/>
  <c r="H1004" s="1"/>
  <c r="H1499"/>
  <c r="H1498" s="1"/>
  <c r="H1497" s="1"/>
  <c r="H1496" s="1"/>
  <c r="G1469"/>
  <c r="G1468" s="1"/>
  <c r="G1467" s="1"/>
  <c r="G1466" s="1"/>
  <c r="G1465" s="1"/>
  <c r="G1464" s="1"/>
  <c r="G1215"/>
  <c r="G1214" s="1"/>
  <c r="G1213" s="1"/>
  <c r="G1212" s="1"/>
  <c r="G1211" s="1"/>
  <c r="G1210" s="1"/>
  <c r="G1209" s="1"/>
  <c r="G1208" s="1"/>
  <c r="G1009"/>
  <c r="G1008" s="1"/>
  <c r="G1007" s="1"/>
  <c r="G1006" s="1"/>
  <c r="G1005" s="1"/>
  <c r="G1004" s="1"/>
  <c r="G777"/>
  <c r="G776" s="1"/>
  <c r="G775" s="1"/>
  <c r="G774" s="1"/>
  <c r="G773" s="1"/>
  <c r="G592"/>
  <c r="G591" s="1"/>
  <c r="G393"/>
  <c r="G392" s="1"/>
  <c r="G391" s="1"/>
  <c r="G384" s="1"/>
  <c r="G383" s="1"/>
  <c r="G382" s="1"/>
  <c r="G1589"/>
  <c r="G1588" s="1"/>
  <c r="G1587" s="1"/>
  <c r="G1586" s="1"/>
  <c r="G1437"/>
  <c r="G1153"/>
  <c r="G1341"/>
  <c r="G1340" s="1"/>
  <c r="G1339" s="1"/>
  <c r="G1069"/>
  <c r="G887"/>
  <c r="G886" s="1"/>
  <c r="G1571"/>
  <c r="G1570" s="1"/>
  <c r="G1295"/>
  <c r="G1294" s="1"/>
  <c r="G1293" s="1"/>
  <c r="G1048"/>
  <c r="G1047" s="1"/>
  <c r="G1632" i="35"/>
  <c r="G1706"/>
  <c r="G1734"/>
  <c r="G1814"/>
  <c r="G1886"/>
  <c r="G1936"/>
  <c r="G1197"/>
  <c r="G1196" s="1"/>
  <c r="G1294"/>
  <c r="G1382"/>
  <c r="G1472"/>
  <c r="G1615"/>
  <c r="G1752"/>
  <c r="G1894"/>
  <c r="G1581"/>
  <c r="G1580" s="1"/>
  <c r="G1354" i="38" l="1"/>
  <c r="H1354"/>
  <c r="H1353" s="1"/>
  <c r="H1352" s="1"/>
  <c r="H1345" s="1"/>
  <c r="H1027"/>
  <c r="H1026" s="1"/>
  <c r="G1068"/>
  <c r="H1335"/>
  <c r="G1335"/>
  <c r="G1334" s="1"/>
  <c r="G1333" s="1"/>
  <c r="G1326" s="1"/>
  <c r="G1292"/>
  <c r="G1291" s="1"/>
  <c r="G1290" s="1"/>
  <c r="G1289" s="1"/>
  <c r="G1288" s="1"/>
  <c r="G807"/>
  <c r="G806" s="1"/>
  <c r="G805" s="1"/>
  <c r="G804" s="1"/>
  <c r="H153"/>
  <c r="H152" s="1"/>
  <c r="H139" s="1"/>
  <c r="H129" s="1"/>
  <c r="H113" s="1"/>
  <c r="H68" s="1"/>
  <c r="H67" s="1"/>
  <c r="H806"/>
  <c r="G1509"/>
  <c r="G1088"/>
  <c r="G1087" s="1"/>
  <c r="G1086" s="1"/>
  <c r="G1085" s="1"/>
  <c r="G1231"/>
  <c r="G1887" i="35"/>
  <c r="G1381"/>
  <c r="G1025" i="38"/>
  <c r="G1018" s="1"/>
  <c r="G1445"/>
  <c r="G1444" s="1"/>
  <c r="H725"/>
  <c r="H717" s="1"/>
  <c r="H716" s="1"/>
  <c r="H715" s="1"/>
  <c r="G725"/>
  <c r="G717" s="1"/>
  <c r="G716" s="1"/>
  <c r="G715" s="1"/>
  <c r="H1151"/>
  <c r="H1145" s="1"/>
  <c r="G966"/>
  <c r="G965" s="1"/>
  <c r="G947" s="1"/>
  <c r="H462"/>
  <c r="H461" s="1"/>
  <c r="H460" s="1"/>
  <c r="H459" s="1"/>
  <c r="G599"/>
  <c r="G598" s="1"/>
  <c r="G597" s="1"/>
  <c r="G596" s="1"/>
  <c r="H1112"/>
  <c r="H1111" s="1"/>
  <c r="H1110" s="1"/>
  <c r="H1109" s="1"/>
  <c r="H1108" s="1"/>
  <c r="H1107" s="1"/>
  <c r="G1044"/>
  <c r="G1043" s="1"/>
  <c r="H14"/>
  <c r="H13" s="1"/>
  <c r="H12" s="1"/>
  <c r="H11" s="1"/>
  <c r="H10" s="1"/>
  <c r="G1251"/>
  <c r="G1250" s="1"/>
  <c r="G1249" s="1"/>
  <c r="G1248" s="1"/>
  <c r="H1025"/>
  <c r="H1018" s="1"/>
  <c r="G1439"/>
  <c r="G1438" s="1"/>
  <c r="H1495"/>
  <c r="H1494" s="1"/>
  <c r="H1493" s="1"/>
  <c r="H1492" s="1"/>
  <c r="H1155"/>
  <c r="H1154" s="1"/>
  <c r="G1302"/>
  <c r="G1301" s="1"/>
  <c r="G1063"/>
  <c r="G113"/>
  <c r="G68" s="1"/>
  <c r="G67" s="1"/>
  <c r="G1403"/>
  <c r="G1394" s="1"/>
  <c r="G1393" s="1"/>
  <c r="G1392" s="1"/>
  <c r="H1403"/>
  <c r="H1394" s="1"/>
  <c r="H1393" s="1"/>
  <c r="H1392" s="1"/>
  <c r="H1555"/>
  <c r="H1549" s="1"/>
  <c r="H1548" s="1"/>
  <c r="H1543" s="1"/>
  <c r="H635"/>
  <c r="H634" s="1"/>
  <c r="H633" s="1"/>
  <c r="G578"/>
  <c r="G577" s="1"/>
  <c r="G576" s="1"/>
  <c r="G551" s="1"/>
  <c r="G1053"/>
  <c r="G1052" s="1"/>
  <c r="G1602"/>
  <c r="G1601" s="1"/>
  <c r="G1430"/>
  <c r="H1132"/>
  <c r="H1131" s="1"/>
  <c r="H1130" s="1"/>
  <c r="H1129" s="1"/>
  <c r="H1128" s="1"/>
  <c r="G1353"/>
  <c r="G1352" s="1"/>
  <c r="G1345" s="1"/>
  <c r="G1478"/>
  <c r="H1212"/>
  <c r="H1211" s="1"/>
  <c r="H1210" s="1"/>
  <c r="H1209" s="1"/>
  <c r="H1208" s="1"/>
  <c r="H1053"/>
  <c r="H1052" s="1"/>
  <c r="H1334"/>
  <c r="H1333" s="1"/>
  <c r="H1326" s="1"/>
  <c r="H1099"/>
  <c r="H1098" s="1"/>
  <c r="H1097" s="1"/>
  <c r="H1096" s="1"/>
  <c r="H1095" s="1"/>
  <c r="H428"/>
  <c r="H427" s="1"/>
  <c r="H426" s="1"/>
  <c r="H1598"/>
  <c r="H1592" s="1"/>
  <c r="H1275"/>
  <c r="H1274" s="1"/>
  <c r="H1273" s="1"/>
  <c r="H1272" s="1"/>
  <c r="H1271" s="1"/>
  <c r="H1270" s="1"/>
  <c r="H1043"/>
  <c r="H1430"/>
  <c r="H1429" s="1"/>
  <c r="G1155"/>
  <c r="G1154" s="1"/>
  <c r="H984"/>
  <c r="H966" s="1"/>
  <c r="H965" s="1"/>
  <c r="H947" s="1"/>
  <c r="G1076"/>
  <c r="G1075" s="1"/>
  <c r="G1443"/>
  <c r="G1442" s="1"/>
  <c r="G1226"/>
  <c r="G1225" s="1"/>
  <c r="G1593"/>
  <c r="G1159"/>
  <c r="G1158" s="1"/>
  <c r="G1612"/>
  <c r="G1611" s="1"/>
  <c r="G1610" s="1"/>
  <c r="G1609" s="1"/>
  <c r="G1608" s="1"/>
  <c r="G1607" s="1"/>
  <c r="G1606" s="1"/>
  <c r="G1275"/>
  <c r="G1274" s="1"/>
  <c r="G1273" s="1"/>
  <c r="G1272" s="1"/>
  <c r="G1271" s="1"/>
  <c r="G1270" s="1"/>
  <c r="H1323"/>
  <c r="H1322" s="1"/>
  <c r="H1321" s="1"/>
  <c r="H1320" s="1"/>
  <c r="H1319" s="1"/>
  <c r="H1318" s="1"/>
  <c r="G633"/>
  <c r="G340"/>
  <c r="G339" s="1"/>
  <c r="G338" s="1"/>
  <c r="G337" s="1"/>
  <c r="G336" s="1"/>
  <c r="G1132"/>
  <c r="G1131" s="1"/>
  <c r="G1130" s="1"/>
  <c r="G1129" s="1"/>
  <c r="G1128" s="1"/>
  <c r="H1292"/>
  <c r="H1291" s="1"/>
  <c r="H1290" s="1"/>
  <c r="H1289" s="1"/>
  <c r="H1288" s="1"/>
  <c r="H1063"/>
  <c r="H1062" s="1"/>
  <c r="G1323"/>
  <c r="G1322" s="1"/>
  <c r="G1321" s="1"/>
  <c r="G1320" s="1"/>
  <c r="G1319" s="1"/>
  <c r="G1318" s="1"/>
  <c r="H1602"/>
  <c r="H1601" s="1"/>
  <c r="G1112"/>
  <c r="G1111" s="1"/>
  <c r="G1110" s="1"/>
  <c r="G1109" s="1"/>
  <c r="G1108" s="1"/>
  <c r="G1107" s="1"/>
  <c r="H886"/>
  <c r="H1159"/>
  <c r="H1158" s="1"/>
  <c r="H1239"/>
  <c r="H1238" s="1"/>
  <c r="H1198"/>
  <c r="H1197" s="1"/>
  <c r="H1196" s="1"/>
  <c r="H1195" s="1"/>
  <c r="G1669" i="35"/>
  <c r="G1118" i="38"/>
  <c r="G1117" s="1"/>
  <c r="G1116" s="1"/>
  <c r="G1115" s="1"/>
  <c r="H997"/>
  <c r="H996" s="1"/>
  <c r="G1198"/>
  <c r="G1197" s="1"/>
  <c r="G1196" s="1"/>
  <c r="G1195" s="1"/>
  <c r="H1482"/>
  <c r="H1481" s="1"/>
  <c r="G1281"/>
  <c r="G1280" s="1"/>
  <c r="G1279" s="1"/>
  <c r="G1278" s="1"/>
  <c r="H307"/>
  <c r="H306" s="1"/>
  <c r="H281" s="1"/>
  <c r="H280" s="1"/>
  <c r="H279" s="1"/>
  <c r="H1281"/>
  <c r="H1280" s="1"/>
  <c r="H1279" s="1"/>
  <c r="H1278" s="1"/>
  <c r="G1473"/>
  <c r="H1612"/>
  <c r="H1611" s="1"/>
  <c r="H1485"/>
  <c r="G1192"/>
  <c r="H1478"/>
  <c r="H1472" s="1"/>
  <c r="H1471" s="1"/>
  <c r="H1072"/>
  <c r="H1071" s="1"/>
  <c r="G997"/>
  <c r="G996" s="1"/>
  <c r="G1151"/>
  <c r="G1145" s="1"/>
  <c r="G1598"/>
  <c r="G462"/>
  <c r="G461" s="1"/>
  <c r="G460" s="1"/>
  <c r="G459" s="1"/>
  <c r="G424" s="1"/>
  <c r="H1192"/>
  <c r="H1179"/>
  <c r="H1178" s="1"/>
  <c r="H1177" s="1"/>
  <c r="H1176" s="1"/>
  <c r="H1175" s="1"/>
  <c r="G1435"/>
  <c r="H1225"/>
  <c r="G1239"/>
  <c r="G1238" s="1"/>
  <c r="H1620"/>
  <c r="H1619" s="1"/>
  <c r="G1555"/>
  <c r="G1549" s="1"/>
  <c r="G1548" s="1"/>
  <c r="G1543" s="1"/>
  <c r="H1251"/>
  <c r="H1250" s="1"/>
  <c r="H1249" s="1"/>
  <c r="H1248" s="1"/>
  <c r="H1076"/>
  <c r="H1075" s="1"/>
  <c r="H1439"/>
  <c r="H1438" s="1"/>
  <c r="G13"/>
  <c r="G12" s="1"/>
  <c r="G11" s="1"/>
  <c r="G10" s="1"/>
  <c r="G1575"/>
  <c r="G1569" s="1"/>
  <c r="G1568" s="1"/>
  <c r="G1567" s="1"/>
  <c r="H1575"/>
  <c r="H1235"/>
  <c r="H1234" s="1"/>
  <c r="H1118"/>
  <c r="H1117" s="1"/>
  <c r="H1116" s="1"/>
  <c r="H1115" s="1"/>
  <c r="H1509"/>
  <c r="H1445"/>
  <c r="H1444" s="1"/>
  <c r="H1443" s="1"/>
  <c r="H1442" s="1"/>
  <c r="H1570"/>
  <c r="G891" i="35"/>
  <c r="G890" s="1"/>
  <c r="G889" s="1"/>
  <c r="G888" s="1"/>
  <c r="G335"/>
  <c r="G334" s="1"/>
  <c r="G1484"/>
  <c r="G1482"/>
  <c r="G1412"/>
  <c r="G1411" s="1"/>
  <c r="G1410" s="1"/>
  <c r="G1409" s="1"/>
  <c r="H1106" i="38" l="1"/>
  <c r="H805"/>
  <c r="H804" s="1"/>
  <c r="H803" s="1"/>
  <c r="H794" s="1"/>
  <c r="H1591"/>
  <c r="H1590" s="1"/>
  <c r="G803"/>
  <c r="G794" s="1"/>
  <c r="G1472"/>
  <c r="G1471" s="1"/>
  <c r="G1470" s="1"/>
  <c r="G1463" s="1"/>
  <c r="G1462" s="1"/>
  <c r="G1461" s="1"/>
  <c r="G1062"/>
  <c r="G1061" s="1"/>
  <c r="G1060" s="1"/>
  <c r="G1059" s="1"/>
  <c r="G1058" s="1"/>
  <c r="G620"/>
  <c r="G423"/>
  <c r="H1470"/>
  <c r="H1463" s="1"/>
  <c r="H1462" s="1"/>
  <c r="H1461" s="1"/>
  <c r="H425"/>
  <c r="H424" s="1"/>
  <c r="H423" s="1"/>
  <c r="G1042"/>
  <c r="G1041" s="1"/>
  <c r="G1040" s="1"/>
  <c r="G1010" s="1"/>
  <c r="G995" s="1"/>
  <c r="G1317"/>
  <c r="G1144"/>
  <c r="G1143" s="1"/>
  <c r="G1142" s="1"/>
  <c r="G1141" s="1"/>
  <c r="H1317"/>
  <c r="G1542"/>
  <c r="H620"/>
  <c r="H1042"/>
  <c r="H1041" s="1"/>
  <c r="H1040" s="1"/>
  <c r="H1010" s="1"/>
  <c r="H995" s="1"/>
  <c r="G1106"/>
  <c r="H1224"/>
  <c r="H1223" s="1"/>
  <c r="H1222" s="1"/>
  <c r="H1221" s="1"/>
  <c r="G1189"/>
  <c r="G1188" s="1"/>
  <c r="G1187" s="1"/>
  <c r="G1186" s="1"/>
  <c r="G1191"/>
  <c r="G1190" s="1"/>
  <c r="H1428"/>
  <c r="H1427" s="1"/>
  <c r="H1426" s="1"/>
  <c r="H1377" s="1"/>
  <c r="H1061"/>
  <c r="H1060" s="1"/>
  <c r="H1059" s="1"/>
  <c r="H1058" s="1"/>
  <c r="H1057" s="1"/>
  <c r="G1429"/>
  <c r="G1428" s="1"/>
  <c r="G1427" s="1"/>
  <c r="G1426" s="1"/>
  <c r="G1377" s="1"/>
  <c r="H1144"/>
  <c r="H1143" s="1"/>
  <c r="H1142" s="1"/>
  <c r="H1141" s="1"/>
  <c r="H1189"/>
  <c r="H1188" s="1"/>
  <c r="H1187" s="1"/>
  <c r="H1186" s="1"/>
  <c r="H1191"/>
  <c r="H1190" s="1"/>
  <c r="H1569"/>
  <c r="H1568" s="1"/>
  <c r="H1567" s="1"/>
  <c r="H1542" s="1"/>
  <c r="H1535" s="1"/>
  <c r="H1534" s="1"/>
  <c r="H1533" s="1"/>
  <c r="G1224"/>
  <c r="G1223" s="1"/>
  <c r="G1222" s="1"/>
  <c r="G1221" s="1"/>
  <c r="H1269"/>
  <c r="H1220" s="1"/>
  <c r="H1610"/>
  <c r="H1609" s="1"/>
  <c r="H1608" s="1"/>
  <c r="H1607" s="1"/>
  <c r="H1606" s="1"/>
  <c r="G1269"/>
  <c r="G1592"/>
  <c r="G1591" s="1"/>
  <c r="G1590" s="1"/>
  <c r="G1535" s="1"/>
  <c r="G1534" s="1"/>
  <c r="G1533" s="1"/>
  <c r="G1481" i="35"/>
  <c r="H1300" i="38" l="1"/>
  <c r="G1300"/>
  <c r="G1057"/>
  <c r="G1140"/>
  <c r="G1220"/>
  <c r="H1140"/>
  <c r="H1629" s="1"/>
  <c r="H1634" s="1"/>
  <c r="G1733" i="35"/>
  <c r="G1732" s="1"/>
  <c r="G1227"/>
  <c r="G1226" s="1"/>
  <c r="G1225" s="1"/>
  <c r="G1224" s="1"/>
  <c r="G339"/>
  <c r="G338" s="1"/>
  <c r="G214"/>
  <c r="G213" s="1"/>
  <c r="G1343"/>
  <c r="G1342" s="1"/>
  <c r="G1341" s="1"/>
  <c r="G1340" s="1"/>
  <c r="G1629" i="38" l="1"/>
  <c r="G1634" s="1"/>
  <c r="G1099" i="35"/>
  <c r="G1098" s="1"/>
  <c r="G1097" s="1"/>
  <c r="G1096" s="1"/>
  <c r="G1037"/>
  <c r="G1036" s="1"/>
  <c r="G1035" s="1"/>
  <c r="G1034" s="1"/>
  <c r="G401" l="1"/>
  <c r="G400" s="1"/>
  <c r="G1705" l="1"/>
  <c r="G1704" s="1"/>
  <c r="G1703" s="1"/>
  <c r="G1702" s="1"/>
  <c r="G1682"/>
  <c r="G1681" s="1"/>
  <c r="G1679"/>
  <c r="G1678" s="1"/>
  <c r="G1652"/>
  <c r="G1651" s="1"/>
  <c r="G1649"/>
  <c r="G1647"/>
  <c r="G1644"/>
  <c r="G1643" s="1"/>
  <c r="G1641"/>
  <c r="G1640" s="1"/>
  <c r="G1584"/>
  <c r="G1583" s="1"/>
  <c r="G1578"/>
  <c r="G1577" s="1"/>
  <c r="G1575"/>
  <c r="G1574" s="1"/>
  <c r="G1573" l="1"/>
  <c r="G1572" s="1"/>
  <c r="G1646"/>
  <c r="G1639" s="1"/>
  <c r="G1638" s="1"/>
  <c r="G1677"/>
  <c r="G1557"/>
  <c r="G1556" s="1"/>
  <c r="G1554"/>
  <c r="G1553" s="1"/>
  <c r="G1551"/>
  <c r="G1550" s="1"/>
  <c r="G1548"/>
  <c r="G1547" s="1"/>
  <c r="G1545"/>
  <c r="G1543"/>
  <c r="G1542" l="1"/>
  <c r="G1541" s="1"/>
  <c r="G1540" s="1"/>
  <c r="G856"/>
  <c r="G855" s="1"/>
  <c r="G854" s="1"/>
  <c r="G853" s="1"/>
  <c r="G852" s="1"/>
  <c r="G790"/>
  <c r="G789" s="1"/>
  <c r="G788" s="1"/>
  <c r="G787" s="1"/>
  <c r="G786" s="1"/>
  <c r="G717"/>
  <c r="G716" s="1"/>
  <c r="G715" s="1"/>
  <c r="G713" l="1"/>
  <c r="G711"/>
  <c r="G710" l="1"/>
  <c r="G1135"/>
  <c r="G1134" s="1"/>
  <c r="G1112"/>
  <c r="G1111" s="1"/>
  <c r="G628"/>
  <c r="G627" s="1"/>
  <c r="G613"/>
  <c r="G612" s="1"/>
  <c r="G597"/>
  <c r="G596" s="1"/>
  <c r="G576"/>
  <c r="G574"/>
  <c r="G526"/>
  <c r="G524"/>
  <c r="G521"/>
  <c r="G475"/>
  <c r="G473"/>
  <c r="G573" l="1"/>
  <c r="G472"/>
  <c r="G520"/>
  <c r="G1765"/>
  <c r="G1764" s="1"/>
  <c r="G1763" s="1"/>
  <c r="G1762" s="1"/>
  <c r="G1842"/>
  <c r="G1841" s="1"/>
  <c r="G1840" s="1"/>
  <c r="G1839" s="1"/>
  <c r="G1838" s="1"/>
  <c r="G1837" s="1"/>
  <c r="G1835"/>
  <c r="G1834" s="1"/>
  <c r="G1833" s="1"/>
  <c r="G1832" s="1"/>
  <c r="G1830"/>
  <c r="G1829" s="1"/>
  <c r="G1828" s="1"/>
  <c r="G1813"/>
  <c r="G1812" s="1"/>
  <c r="G1811" s="1"/>
  <c r="G1810" s="1"/>
  <c r="G1625"/>
  <c r="G1624" s="1"/>
  <c r="G1255"/>
  <c r="G1254" s="1"/>
  <c r="G1253" s="1"/>
  <c r="G1252" s="1"/>
  <c r="G1929"/>
  <c r="G1755"/>
  <c r="G1723"/>
  <c r="G1715"/>
  <c r="G1714" s="1"/>
  <c r="G1713" s="1"/>
  <c r="G1712" s="1"/>
  <c r="G1667"/>
  <c r="G1659"/>
  <c r="G1658" s="1"/>
  <c r="G1657" s="1"/>
  <c r="G1656" s="1"/>
  <c r="G1655" s="1"/>
  <c r="G1631"/>
  <c r="G1630" s="1"/>
  <c r="G1629" s="1"/>
  <c r="G1628" s="1"/>
  <c r="G1616"/>
  <c r="G1611"/>
  <c r="G1608"/>
  <c r="G1607" s="1"/>
  <c r="G1604"/>
  <c r="G1603" s="1"/>
  <c r="G1600"/>
  <c r="G1565"/>
  <c r="G1564" s="1"/>
  <c r="G1563" s="1"/>
  <c r="G1538"/>
  <c r="G1537" s="1"/>
  <c r="G1536" s="1"/>
  <c r="G1534"/>
  <c r="G1522"/>
  <c r="G1519"/>
  <c r="G1518" s="1"/>
  <c r="G1503"/>
  <c r="G1500"/>
  <c r="G1499" s="1"/>
  <c r="G1447"/>
  <c r="G1423"/>
  <c r="G1422" s="1"/>
  <c r="G1404"/>
  <c r="G1394"/>
  <c r="G1379"/>
  <c r="G1367"/>
  <c r="G1356"/>
  <c r="G1355" s="1"/>
  <c r="G1353"/>
  <c r="G1352" s="1"/>
  <c r="G1350"/>
  <c r="G1349" s="1"/>
  <c r="G1329"/>
  <c r="G1323"/>
  <c r="G1322" s="1"/>
  <c r="G1315"/>
  <c r="G1314" s="1"/>
  <c r="G1313" s="1"/>
  <c r="D1309"/>
  <c r="C1309"/>
  <c r="B1309"/>
  <c r="D1308"/>
  <c r="C1308"/>
  <c r="B1308"/>
  <c r="D1307"/>
  <c r="C1307"/>
  <c r="B1307"/>
  <c r="G1279"/>
  <c r="G1278" s="1"/>
  <c r="G1276"/>
  <c r="G1275" s="1"/>
  <c r="G1268"/>
  <c r="G1267" s="1"/>
  <c r="G1241"/>
  <c r="G1240" s="1"/>
  <c r="G1238"/>
  <c r="G1237" s="1"/>
  <c r="G1235"/>
  <c r="G1234" s="1"/>
  <c r="G1222"/>
  <c r="G1221" s="1"/>
  <c r="G1212"/>
  <c r="G1211" s="1"/>
  <c r="G1209"/>
  <c r="G1176"/>
  <c r="G1157"/>
  <c r="G1153"/>
  <c r="G1149"/>
  <c r="G1147"/>
  <c r="G1142"/>
  <c r="G1141" s="1"/>
  <c r="G1132"/>
  <c r="G1131" s="1"/>
  <c r="G1130" s="1"/>
  <c r="G1118"/>
  <c r="G1109"/>
  <c r="G1108" s="1"/>
  <c r="G1107" s="1"/>
  <c r="G1091"/>
  <c r="G1075"/>
  <c r="G1073"/>
  <c r="G1065"/>
  <c r="G1059"/>
  <c r="G1054"/>
  <c r="G1053" s="1"/>
  <c r="G1052" s="1"/>
  <c r="G1051" s="1"/>
  <c r="G1044"/>
  <c r="G1043" s="1"/>
  <c r="G1032"/>
  <c r="G1031" s="1"/>
  <c r="G1030" s="1"/>
  <c r="G1029" s="1"/>
  <c r="G1027"/>
  <c r="G1019"/>
  <c r="G1010"/>
  <c r="G1009" s="1"/>
  <c r="G1007"/>
  <c r="G1006" s="1"/>
  <c r="G1004"/>
  <c r="G1001"/>
  <c r="G1000" s="1"/>
  <c r="G992"/>
  <c r="G991" s="1"/>
  <c r="G986"/>
  <c r="G985" s="1"/>
  <c r="G983"/>
  <c r="G982" s="1"/>
  <c r="G978"/>
  <c r="G973"/>
  <c r="G968"/>
  <c r="G965"/>
  <c r="G963"/>
  <c r="G960"/>
  <c r="G959" s="1"/>
  <c r="G951"/>
  <c r="G946"/>
  <c r="G944"/>
  <c r="G941"/>
  <c r="G936"/>
  <c r="G931"/>
  <c r="G924"/>
  <c r="G913"/>
  <c r="G910"/>
  <c r="G902"/>
  <c r="G865"/>
  <c r="G834"/>
  <c r="G820"/>
  <c r="G798"/>
  <c r="G782"/>
  <c r="G781" s="1"/>
  <c r="G780" s="1"/>
  <c r="G778"/>
  <c r="G777" s="1"/>
  <c r="G776" s="1"/>
  <c r="G774"/>
  <c r="G773" s="1"/>
  <c r="G772" s="1"/>
  <c r="G770"/>
  <c r="G769" s="1"/>
  <c r="G768" s="1"/>
  <c r="G766"/>
  <c r="G758"/>
  <c r="G757" s="1"/>
  <c r="G756" s="1"/>
  <c r="G752"/>
  <c r="G745"/>
  <c r="G744" s="1"/>
  <c r="G737"/>
  <c r="G727"/>
  <c r="G725"/>
  <c r="G721"/>
  <c r="G720" s="1"/>
  <c r="G708"/>
  <c r="G706"/>
  <c r="G699"/>
  <c r="G691"/>
  <c r="G677"/>
  <c r="G676" s="1"/>
  <c r="G674"/>
  <c r="G673" s="1"/>
  <c r="G668"/>
  <c r="G662"/>
  <c r="G642"/>
  <c r="G634"/>
  <c r="G633" s="1"/>
  <c r="G632" s="1"/>
  <c r="G631" s="1"/>
  <c r="G630" s="1"/>
  <c r="G625"/>
  <c r="G619"/>
  <c r="G617"/>
  <c r="G556"/>
  <c r="G546"/>
  <c r="G545" s="1"/>
  <c r="G541"/>
  <c r="G530"/>
  <c r="G529" s="1"/>
  <c r="G516"/>
  <c r="G514"/>
  <c r="G490"/>
  <c r="G482"/>
  <c r="G479"/>
  <c r="G478" s="1"/>
  <c r="G466"/>
  <c r="G463"/>
  <c r="G450"/>
  <c r="G449" s="1"/>
  <c r="G442"/>
  <c r="G441" s="1"/>
  <c r="G418"/>
  <c r="G417" s="1"/>
  <c r="G416" s="1"/>
  <c r="G359"/>
  <c r="G282"/>
  <c r="G281" s="1"/>
  <c r="G280" s="1"/>
  <c r="G237"/>
  <c r="G236" s="1"/>
  <c r="G233"/>
  <c r="G232" s="1"/>
  <c r="G207"/>
  <c r="G198"/>
  <c r="G192"/>
  <c r="G191" s="1"/>
  <c r="G182"/>
  <c r="G178"/>
  <c r="G177" s="1"/>
  <c r="G176" s="1"/>
  <c r="G159"/>
  <c r="G151"/>
  <c r="G150" s="1"/>
  <c r="G147"/>
  <c r="G146" s="1"/>
  <c r="G145" s="1"/>
  <c r="G143"/>
  <c r="G138"/>
  <c r="G137" s="1"/>
  <c r="G136" s="1"/>
  <c r="G128"/>
  <c r="G127" s="1"/>
  <c r="G119"/>
  <c r="G118" s="1"/>
  <c r="G112"/>
  <c r="G111" s="1"/>
  <c r="G103"/>
  <c r="G87"/>
  <c r="G84"/>
  <c r="G73"/>
  <c r="G72" s="1"/>
  <c r="G64"/>
  <c r="G63" s="1"/>
  <c r="G62" s="1"/>
  <c r="G61" s="1"/>
  <c r="G58"/>
  <c r="G57" s="1"/>
  <c r="G56" s="1"/>
  <c r="G51"/>
  <c r="G50" s="1"/>
  <c r="G49" s="1"/>
  <c r="G48" s="1"/>
  <c r="G47" s="1"/>
  <c r="G31"/>
  <c r="G30" s="1"/>
  <c r="G20"/>
  <c r="G16"/>
  <c r="J1309" l="1"/>
  <c r="G1309" s="1"/>
  <c r="G1308" s="1"/>
  <c r="G1307" s="1"/>
  <c r="J1307"/>
  <c r="J1308"/>
  <c r="G1711"/>
  <c r="G705"/>
  <c r="G704" s="1"/>
  <c r="G962"/>
  <c r="G1403"/>
  <c r="G93"/>
  <c r="G92" s="1"/>
  <c r="G278"/>
  <c r="G277" s="1"/>
  <c r="G276" s="1"/>
  <c r="G275" s="1"/>
  <c r="G100"/>
  <c r="G99" s="1"/>
  <c r="G169"/>
  <c r="G168" s="1"/>
  <c r="G167" s="1"/>
  <c r="G971"/>
  <c r="G970" s="1"/>
  <c r="G1461"/>
  <c r="G1460" s="1"/>
  <c r="G1531"/>
  <c r="G1530" s="1"/>
  <c r="G433"/>
  <c r="G432" s="1"/>
  <c r="G1082"/>
  <c r="G1081" s="1"/>
  <c r="G83"/>
  <c r="G816"/>
  <c r="G815" s="1"/>
  <c r="G867"/>
  <c r="G142"/>
  <c r="G141" s="1"/>
  <c r="G197"/>
  <c r="G196" s="1"/>
  <c r="G195" s="1"/>
  <c r="G194" s="1"/>
  <c r="G813"/>
  <c r="G812" s="1"/>
  <c r="G844"/>
  <c r="G843" s="1"/>
  <c r="G842" s="1"/>
  <c r="G841" s="1"/>
  <c r="G187"/>
  <c r="G398"/>
  <c r="G518"/>
  <c r="G826"/>
  <c r="G825" s="1"/>
  <c r="G976"/>
  <c r="G975" s="1"/>
  <c r="G1124"/>
  <c r="G1458"/>
  <c r="G1872"/>
  <c r="G1871" s="1"/>
  <c r="G1870" s="1"/>
  <c r="G134"/>
  <c r="G133" s="1"/>
  <c r="G132" s="1"/>
  <c r="G131" s="1"/>
  <c r="G664"/>
  <c r="G762"/>
  <c r="G761" s="1"/>
  <c r="G760" s="1"/>
  <c r="G1293"/>
  <c r="G1865"/>
  <c r="G876"/>
  <c r="G875" s="1"/>
  <c r="G1434"/>
  <c r="G77"/>
  <c r="G624"/>
  <c r="G623" s="1"/>
  <c r="G392"/>
  <c r="G391" s="1"/>
  <c r="G809"/>
  <c r="G35"/>
  <c r="G34" s="1"/>
  <c r="G29" s="1"/>
  <c r="G190"/>
  <c r="G242"/>
  <c r="G241" s="1"/>
  <c r="G240" s="1"/>
  <c r="G426"/>
  <c r="G460"/>
  <c r="G871"/>
  <c r="G870" s="1"/>
  <c r="G939"/>
  <c r="G938" s="1"/>
  <c r="G1167"/>
  <c r="G1166" s="1"/>
  <c r="G1754"/>
  <c r="G1753" s="1"/>
  <c r="G254"/>
  <c r="G253" s="1"/>
  <c r="G252" s="1"/>
  <c r="G796"/>
  <c r="G795" s="1"/>
  <c r="G794" s="1"/>
  <c r="G793" s="1"/>
  <c r="G949"/>
  <c r="G948" s="1"/>
  <c r="G106"/>
  <c r="G105" s="1"/>
  <c r="G488"/>
  <c r="G487" s="1"/>
  <c r="G486" s="1"/>
  <c r="G1178"/>
  <c r="G1274"/>
  <c r="G1700"/>
  <c r="G1699" s="1"/>
  <c r="G1698" s="1"/>
  <c r="G1697" s="1"/>
  <c r="G1696" s="1"/>
  <c r="G219"/>
  <c r="G218" s="1"/>
  <c r="G217" s="1"/>
  <c r="G246"/>
  <c r="G245" s="1"/>
  <c r="G244" s="1"/>
  <c r="G594"/>
  <c r="G593" s="1"/>
  <c r="G805"/>
  <c r="G862"/>
  <c r="G502"/>
  <c r="G511"/>
  <c r="G55"/>
  <c r="G54" s="1"/>
  <c r="G110"/>
  <c r="G126"/>
  <c r="G231"/>
  <c r="G60"/>
  <c r="G929"/>
  <c r="G928" s="1"/>
  <c r="G943"/>
  <c r="G155"/>
  <c r="G271"/>
  <c r="G292"/>
  <c r="G304"/>
  <c r="G303" s="1"/>
  <c r="G470"/>
  <c r="G667"/>
  <c r="G731"/>
  <c r="G181"/>
  <c r="G316"/>
  <c r="G315" s="1"/>
  <c r="G415"/>
  <c r="G689"/>
  <c r="G26"/>
  <c r="G25" s="1"/>
  <c r="G440"/>
  <c r="G439" s="1"/>
  <c r="G438" s="1"/>
  <c r="G437" s="1"/>
  <c r="G173"/>
  <c r="G172" s="1"/>
  <c r="G171" s="1"/>
  <c r="G500"/>
  <c r="G1026"/>
  <c r="G1025" s="1"/>
  <c r="G44"/>
  <c r="G97"/>
  <c r="G96" s="1"/>
  <c r="G408"/>
  <c r="G540"/>
  <c r="G569"/>
  <c r="G235"/>
  <c r="G639"/>
  <c r="G121"/>
  <c r="G117" s="1"/>
  <c r="G116" s="1"/>
  <c r="G115" s="1"/>
  <c r="G347"/>
  <c r="G300"/>
  <c r="G371"/>
  <c r="G263"/>
  <c r="G324"/>
  <c r="G373"/>
  <c r="G535"/>
  <c r="G918"/>
  <c r="G917" s="1"/>
  <c r="G1017"/>
  <c r="G1016" s="1"/>
  <c r="G1064"/>
  <c r="G1366"/>
  <c r="G1471"/>
  <c r="G396"/>
  <c r="G358"/>
  <c r="G149"/>
  <c r="G448"/>
  <c r="G447" s="1"/>
  <c r="G446" s="1"/>
  <c r="G445" s="1"/>
  <c r="G1181"/>
  <c r="G1180" s="1"/>
  <c r="G1194"/>
  <c r="G22"/>
  <c r="G40"/>
  <c r="G39" s="1"/>
  <c r="G203"/>
  <c r="G378"/>
  <c r="G497"/>
  <c r="G833"/>
  <c r="G481"/>
  <c r="G822"/>
  <c r="G1146"/>
  <c r="G1145" s="1"/>
  <c r="G209"/>
  <c r="G228"/>
  <c r="G297"/>
  <c r="G296" s="1"/>
  <c r="G321"/>
  <c r="G353"/>
  <c r="G352" s="1"/>
  <c r="G351" s="1"/>
  <c r="G368"/>
  <c r="G423"/>
  <c r="G571"/>
  <c r="G908"/>
  <c r="G989"/>
  <c r="G988" s="1"/>
  <c r="G686"/>
  <c r="G719"/>
  <c r="G1205"/>
  <c r="G468"/>
  <c r="G671"/>
  <c r="G701"/>
  <c r="G724"/>
  <c r="G830"/>
  <c r="G850"/>
  <c r="G998"/>
  <c r="G997" s="1"/>
  <c r="G1291"/>
  <c r="G1297"/>
  <c r="G1296" s="1"/>
  <c r="G385"/>
  <c r="G582"/>
  <c r="G739"/>
  <c r="G886"/>
  <c r="G915"/>
  <c r="G331"/>
  <c r="G584"/>
  <c r="G603"/>
  <c r="G803"/>
  <c r="G934"/>
  <c r="G933" s="1"/>
  <c r="G743"/>
  <c r="G742" s="1"/>
  <c r="G741" s="1"/>
  <c r="G967"/>
  <c r="G1003"/>
  <c r="G1312"/>
  <c r="G1311" s="1"/>
  <c r="G1310" s="1"/>
  <c r="G294"/>
  <c r="G310"/>
  <c r="G528"/>
  <c r="G544"/>
  <c r="G543" s="1"/>
  <c r="G900"/>
  <c r="G926"/>
  <c r="G1106"/>
  <c r="G1602"/>
  <c r="G1013"/>
  <c r="G1012" s="1"/>
  <c r="G1023"/>
  <c r="G1129"/>
  <c r="G1128" s="1"/>
  <c r="G1127" s="1"/>
  <c r="G1610"/>
  <c r="G1694"/>
  <c r="G644"/>
  <c r="G652"/>
  <c r="G1047"/>
  <c r="G1117"/>
  <c r="G1219"/>
  <c r="G1218" s="1"/>
  <c r="G1217" s="1"/>
  <c r="G1216" s="1"/>
  <c r="G1215" s="1"/>
  <c r="G1214" s="1"/>
  <c r="G1262"/>
  <c r="G1261" s="1"/>
  <c r="G1301"/>
  <c r="G1521"/>
  <c r="G1897"/>
  <c r="G1896" s="1"/>
  <c r="G591"/>
  <c r="G590" s="1"/>
  <c r="G610"/>
  <c r="G609" s="1"/>
  <c r="G608" s="1"/>
  <c r="G751"/>
  <c r="G750" s="1"/>
  <c r="G749" s="1"/>
  <c r="G748" s="1"/>
  <c r="G1078"/>
  <c r="G1140"/>
  <c r="G1152"/>
  <c r="G1156"/>
  <c r="G1155" s="1"/>
  <c r="G1446"/>
  <c r="G1445" s="1"/>
  <c r="G1173"/>
  <c r="G1328"/>
  <c r="G1390"/>
  <c r="G1562"/>
  <c r="G1561" s="1"/>
  <c r="G1560" s="1"/>
  <c r="G1909"/>
  <c r="G554"/>
  <c r="G553" s="1"/>
  <c r="G562"/>
  <c r="G561" s="1"/>
  <c r="G621"/>
  <c r="G616" s="1"/>
  <c r="G615" s="1"/>
  <c r="G1337"/>
  <c r="G1201"/>
  <c r="G1305"/>
  <c r="G1348"/>
  <c r="G1347" s="1"/>
  <c r="G1346" s="1"/>
  <c r="G1345" s="1"/>
  <c r="G1619"/>
  <c r="G1618" s="1"/>
  <c r="G1808"/>
  <c r="G1807" s="1"/>
  <c r="G1821"/>
  <c r="G1820" s="1"/>
  <c r="G1885"/>
  <c r="G995"/>
  <c r="G994" s="1"/>
  <c r="G1087"/>
  <c r="G1265"/>
  <c r="G1326"/>
  <c r="G1325" s="1"/>
  <c r="G1502"/>
  <c r="G1498" s="1"/>
  <c r="G1164"/>
  <c r="G1249"/>
  <c r="G1420"/>
  <c r="G1419" s="1"/>
  <c r="G1476"/>
  <c r="G1475" s="1"/>
  <c r="G1627"/>
  <c r="G1862"/>
  <c r="G1782"/>
  <c r="G1781" s="1"/>
  <c r="G1777" s="1"/>
  <c r="G1931"/>
  <c r="G1233"/>
  <c r="G1407"/>
  <c r="G1406" s="1"/>
  <c r="G1533"/>
  <c r="G1737"/>
  <c r="G1901"/>
  <c r="G1900" s="1"/>
  <c r="G1364"/>
  <c r="G1363" s="1"/>
  <c r="G1492"/>
  <c r="G1852"/>
  <c r="G1851" s="1"/>
  <c r="G1850" s="1"/>
  <c r="G1386"/>
  <c r="G1867"/>
  <c r="G1191"/>
  <c r="G1288"/>
  <c r="G1479"/>
  <c r="G1513"/>
  <c r="G1690"/>
  <c r="G1689" s="1"/>
  <c r="G1376"/>
  <c r="G1375" s="1"/>
  <c r="G1591"/>
  <c r="G1590" s="1"/>
  <c r="G1893"/>
  <c r="G1892" s="1"/>
  <c r="G1916"/>
  <c r="G1760"/>
  <c r="G1759" s="1"/>
  <c r="G1758" s="1"/>
  <c r="G1795"/>
  <c r="G1794" s="1"/>
  <c r="G1793" s="1"/>
  <c r="G1805"/>
  <c r="G1804" s="1"/>
  <c r="G1826"/>
  <c r="G1825" s="1"/>
  <c r="G1824" s="1"/>
  <c r="G1823" s="1"/>
  <c r="G1877"/>
  <c r="G1876" s="1"/>
  <c r="G1875" s="1"/>
  <c r="G1882"/>
  <c r="G1397"/>
  <c r="G1396" s="1"/>
  <c r="G1426"/>
  <c r="G1425" s="1"/>
  <c r="G1906"/>
  <c r="G1725"/>
  <c r="G1614"/>
  <c r="G1622"/>
  <c r="G1664"/>
  <c r="G1926"/>
  <c r="G1934"/>
  <c r="G1933" s="1"/>
  <c r="G1802"/>
  <c r="G1801" s="1"/>
  <c r="G1525"/>
  <c r="G1598"/>
  <c r="G1674"/>
  <c r="G1740"/>
  <c r="G1739" s="1"/>
  <c r="G1751"/>
  <c r="G1750" s="1"/>
  <c r="G1858"/>
  <c r="G496" l="1"/>
  <c r="G589"/>
  <c r="G239"/>
  <c r="G802"/>
  <c r="G801" s="1"/>
  <c r="G861"/>
  <c r="G860" s="1"/>
  <c r="G1362"/>
  <c r="G1361" s="1"/>
  <c r="G510"/>
  <c r="G154"/>
  <c r="G153" s="1"/>
  <c r="G736"/>
  <c r="G735" s="1"/>
  <c r="G811"/>
  <c r="G1273"/>
  <c r="G1272" s="1"/>
  <c r="G1122"/>
  <c r="G1121" s="1"/>
  <c r="G367"/>
  <c r="G15"/>
  <c r="G14" s="1"/>
  <c r="G422"/>
  <c r="G421" s="1"/>
  <c r="G420" s="1"/>
  <c r="G82"/>
  <c r="G1123"/>
  <c r="G958"/>
  <c r="G1433"/>
  <c r="G1663"/>
  <c r="G661"/>
  <c r="G660" s="1"/>
  <c r="G395"/>
  <c r="G394" s="1"/>
  <c r="G216"/>
  <c r="G251"/>
  <c r="G250" s="1"/>
  <c r="G76"/>
  <c r="G1729"/>
  <c r="G1925"/>
  <c r="G390"/>
  <c r="G648"/>
  <c r="G905"/>
  <c r="G1093"/>
  <c r="G320"/>
  <c r="G186"/>
  <c r="G485"/>
  <c r="G808"/>
  <c r="G923"/>
  <c r="G1061"/>
  <c r="G1457"/>
  <c r="G1905"/>
  <c r="G685"/>
  <c r="G684" s="1"/>
  <c r="G1077"/>
  <c r="G824"/>
  <c r="G459"/>
  <c r="G534"/>
  <c r="G407"/>
  <c r="G1673"/>
  <c r="G1874"/>
  <c r="G1757"/>
  <c r="G1589"/>
  <c r="G1861"/>
  <c r="G1819"/>
  <c r="G1204"/>
  <c r="G1151"/>
  <c r="G1116"/>
  <c r="G819"/>
  <c r="G1015"/>
  <c r="G299"/>
  <c r="G180"/>
  <c r="G874"/>
  <c r="G53"/>
  <c r="G125"/>
  <c r="G1621"/>
  <c r="G1688"/>
  <c r="G1402"/>
  <c r="G1163"/>
  <c r="G1139"/>
  <c r="G1022"/>
  <c r="G670"/>
  <c r="G832"/>
  <c r="G357"/>
  <c r="G568"/>
  <c r="G567" s="1"/>
  <c r="G43"/>
  <c r="G291"/>
  <c r="G1776"/>
  <c r="G1857"/>
  <c r="G1613"/>
  <c r="G1915"/>
  <c r="G1336"/>
  <c r="G1334"/>
  <c r="G1389"/>
  <c r="G384"/>
  <c r="G1070"/>
  <c r="G444"/>
  <c r="G314"/>
  <c r="G270"/>
  <c r="G1749"/>
  <c r="G1800"/>
  <c r="G1497"/>
  <c r="G1287"/>
  <c r="G1899"/>
  <c r="G552"/>
  <c r="G1300"/>
  <c r="G602"/>
  <c r="G829"/>
  <c r="G477"/>
  <c r="G465"/>
  <c r="G436"/>
  <c r="G166"/>
  <c r="G109"/>
  <c r="G1849"/>
  <c r="G1248"/>
  <c r="G1720"/>
  <c r="G1418"/>
  <c r="G1478"/>
  <c r="G1474" s="1"/>
  <c r="G1385"/>
  <c r="G1046"/>
  <c r="G227"/>
  <c r="G1470"/>
  <c r="G346"/>
  <c r="G560"/>
  <c r="G651"/>
  <c r="G1881"/>
  <c r="G1190"/>
  <c r="G1172"/>
  <c r="G1895"/>
  <c r="G899"/>
  <c r="G723"/>
  <c r="G350"/>
  <c r="G755"/>
  <c r="G262"/>
  <c r="G638"/>
  <c r="G414"/>
  <c r="G274"/>
  <c r="G1891"/>
  <c r="G1264"/>
  <c r="G1105"/>
  <c r="G581"/>
  <c r="G1597"/>
  <c r="G1491"/>
  <c r="G885"/>
  <c r="G849"/>
  <c r="G1524"/>
  <c r="G1517" s="1"/>
  <c r="G1512"/>
  <c r="G1232"/>
  <c r="G840"/>
  <c r="G698"/>
  <c r="G539"/>
  <c r="G1792"/>
  <c r="G1736"/>
  <c r="G1735" s="1"/>
  <c r="G1200"/>
  <c r="G1321"/>
  <c r="G1693"/>
  <c r="G309"/>
  <c r="G330"/>
  <c r="G912"/>
  <c r="G377"/>
  <c r="G202"/>
  <c r="G201" s="1"/>
  <c r="G981"/>
  <c r="G730"/>
  <c r="G302"/>
  <c r="G319" l="1"/>
  <c r="G495"/>
  <c r="G458"/>
  <c r="G1606"/>
  <c r="G1924"/>
  <c r="G1923" s="1"/>
  <c r="G185"/>
  <c r="G175" s="1"/>
  <c r="G81"/>
  <c r="G80" s="1"/>
  <c r="G140"/>
  <c r="G413"/>
  <c r="G412" s="1"/>
  <c r="G1260"/>
  <c r="G1259" s="1"/>
  <c r="G1904"/>
  <c r="G1903" s="1"/>
  <c r="G484"/>
  <c r="G904"/>
  <c r="G898" s="1"/>
  <c r="G647"/>
  <c r="G389"/>
  <c r="G71"/>
  <c r="G807"/>
  <c r="G1432"/>
  <c r="G1456"/>
  <c r="G1444"/>
  <c r="G1086"/>
  <c r="G1058"/>
  <c r="G1728"/>
  <c r="G1333"/>
  <c r="G1332" s="1"/>
  <c r="G38"/>
  <c r="G1401"/>
  <c r="G406"/>
  <c r="G1692"/>
  <c r="G697"/>
  <c r="G1231"/>
  <c r="G848"/>
  <c r="G1490"/>
  <c r="G349"/>
  <c r="G1042"/>
  <c r="G1848"/>
  <c r="G1496"/>
  <c r="G1495" s="1"/>
  <c r="G734"/>
  <c r="G1069"/>
  <c r="G1335"/>
  <c r="G859"/>
  <c r="G1115"/>
  <c r="G1818"/>
  <c r="G1817" s="1"/>
  <c r="G1816" s="1"/>
  <c r="G1662"/>
  <c r="G1661" s="1"/>
  <c r="G1791"/>
  <c r="G273"/>
  <c r="G1271"/>
  <c r="G1856"/>
  <c r="G533"/>
  <c r="G828"/>
  <c r="G818"/>
  <c r="G1588"/>
  <c r="G1596"/>
  <c r="G261"/>
  <c r="G1189"/>
  <c r="G1469"/>
  <c r="G356"/>
  <c r="G666"/>
  <c r="G1320"/>
  <c r="G580"/>
  <c r="G1360"/>
  <c r="G1719"/>
  <c r="G601"/>
  <c r="G1799"/>
  <c r="G1162"/>
  <c r="G607"/>
  <c r="G108"/>
  <c r="G1120"/>
  <c r="G269"/>
  <c r="G290"/>
  <c r="G1860"/>
  <c r="G884"/>
  <c r="G559"/>
  <c r="G1417"/>
  <c r="G308"/>
  <c r="G538"/>
  <c r="G754"/>
  <c r="G1748"/>
  <c r="G313"/>
  <c r="G1374"/>
  <c r="G1775"/>
  <c r="G1774" s="1"/>
  <c r="G1767" s="1"/>
  <c r="G1511"/>
  <c r="G345"/>
  <c r="G383"/>
  <c r="G588"/>
  <c r="G249"/>
  <c r="G683"/>
  <c r="G1138"/>
  <c r="G124"/>
  <c r="G729"/>
  <c r="G703" s="1"/>
  <c r="G1171"/>
  <c r="G1880"/>
  <c r="G226"/>
  <c r="G1247"/>
  <c r="G366"/>
  <c r="G551"/>
  <c r="G1286"/>
  <c r="G1021"/>
  <c r="G1144"/>
  <c r="G1718" l="1"/>
  <c r="G800"/>
  <c r="G130"/>
  <c r="G637"/>
  <c r="G636" s="1"/>
  <c r="G1455"/>
  <c r="G388"/>
  <c r="G1057"/>
  <c r="G1431"/>
  <c r="G1443"/>
  <c r="G70"/>
  <c r="G225"/>
  <c r="G566"/>
  <c r="G382"/>
  <c r="G411"/>
  <c r="G1188"/>
  <c r="G1855"/>
  <c r="G1285"/>
  <c r="G344"/>
  <c r="G1747"/>
  <c r="G1746" s="1"/>
  <c r="G537"/>
  <c r="G558"/>
  <c r="G289"/>
  <c r="G606"/>
  <c r="G1790"/>
  <c r="G1489"/>
  <c r="G897"/>
  <c r="G1879"/>
  <c r="G457"/>
  <c r="G682"/>
  <c r="G659"/>
  <c r="G260"/>
  <c r="G1270"/>
  <c r="G847"/>
  <c r="G405"/>
  <c r="G365"/>
  <c r="G747"/>
  <c r="G1595"/>
  <c r="G1373"/>
  <c r="G1161"/>
  <c r="G494"/>
  <c r="G579"/>
  <c r="G1068"/>
  <c r="G1041"/>
  <c r="G1230"/>
  <c r="G1400"/>
  <c r="G1399" s="1"/>
  <c r="G1473"/>
  <c r="G550"/>
  <c r="G307"/>
  <c r="G268"/>
  <c r="G600"/>
  <c r="G1170"/>
  <c r="G1510"/>
  <c r="G1258"/>
  <c r="G355"/>
  <c r="G1246"/>
  <c r="G200"/>
  <c r="G1137"/>
  <c r="G587"/>
  <c r="G980"/>
  <c r="G312"/>
  <c r="G1468"/>
  <c r="G1587"/>
  <c r="G1687"/>
  <c r="G1114"/>
  <c r="G1319"/>
  <c r="G883"/>
  <c r="G1359"/>
  <c r="G532"/>
  <c r="G1516"/>
  <c r="G1416"/>
  <c r="G1798"/>
  <c r="G1797" s="1"/>
  <c r="G165"/>
  <c r="G1922"/>
  <c r="G858"/>
  <c r="G733"/>
  <c r="G696"/>
  <c r="G13"/>
  <c r="G318"/>
  <c r="G1430" l="1"/>
  <c r="G1429" s="1"/>
  <c r="G1056"/>
  <c r="G387"/>
  <c r="G69"/>
  <c r="G1442"/>
  <c r="G1454"/>
  <c r="G1358"/>
  <c r="G599"/>
  <c r="G1040"/>
  <c r="G493"/>
  <c r="G681"/>
  <c r="G1488"/>
  <c r="G343"/>
  <c r="G1586"/>
  <c r="G1257"/>
  <c r="G114"/>
  <c r="G259"/>
  <c r="G381"/>
  <c r="G846"/>
  <c r="G882"/>
  <c r="G881" s="1"/>
  <c r="G456"/>
  <c r="G1921"/>
  <c r="G1415"/>
  <c r="G1331"/>
  <c r="G1318"/>
  <c r="G1509"/>
  <c r="G1372"/>
  <c r="G364"/>
  <c r="G1854"/>
  <c r="G565"/>
  <c r="G1686"/>
  <c r="G1685" s="1"/>
  <c r="G12"/>
  <c r="G11" s="1"/>
  <c r="G1067"/>
  <c r="G1284"/>
  <c r="G1467"/>
  <c r="G306"/>
  <c r="G695"/>
  <c r="G1169"/>
  <c r="G1654"/>
  <c r="G288"/>
  <c r="G267"/>
  <c r="G1160"/>
  <c r="G658"/>
  <c r="G792"/>
  <c r="G1717"/>
  <c r="G1515"/>
  <c r="G1104"/>
  <c r="G1245"/>
  <c r="G1244" s="1"/>
  <c r="G1229"/>
  <c r="G578"/>
  <c r="G1594"/>
  <c r="G1593" s="1"/>
  <c r="G404"/>
  <c r="G896"/>
  <c r="G895" s="1"/>
  <c r="G605"/>
  <c r="G1187"/>
  <c r="G224"/>
  <c r="G785" l="1"/>
  <c r="G784" s="1"/>
  <c r="G1508"/>
  <c r="G1789"/>
  <c r="G1453"/>
  <c r="G1466"/>
  <c r="G1465" s="1"/>
  <c r="G1050"/>
  <c r="G1049" s="1"/>
  <c r="G1283"/>
  <c r="G1710"/>
  <c r="G694"/>
  <c r="G1847"/>
  <c r="G1317"/>
  <c r="G492"/>
  <c r="G403"/>
  <c r="G586"/>
  <c r="G1920"/>
  <c r="G1103"/>
  <c r="G1371"/>
  <c r="G258"/>
  <c r="G342"/>
  <c r="G1159"/>
  <c r="G564"/>
  <c r="G266"/>
  <c r="G455"/>
  <c r="G1745"/>
  <c r="G657"/>
  <c r="G1414"/>
  <c r="G223"/>
  <c r="G1186"/>
  <c r="G287"/>
  <c r="G1815"/>
  <c r="G363"/>
  <c r="G1039"/>
  <c r="G68"/>
  <c r="G1487"/>
  <c r="G1559" l="1"/>
  <c r="G894"/>
  <c r="G1428"/>
  <c r="G1452"/>
  <c r="G1684"/>
  <c r="G1709"/>
  <c r="G1708" s="1"/>
  <c r="G362"/>
  <c r="G454"/>
  <c r="G10"/>
  <c r="G257"/>
  <c r="G1126"/>
  <c r="G341"/>
  <c r="G880"/>
  <c r="G286"/>
  <c r="G222"/>
  <c r="G656"/>
  <c r="G265"/>
  <c r="G1846"/>
  <c r="G1282"/>
  <c r="G1243"/>
  <c r="G693"/>
  <c r="G1486"/>
  <c r="G1102" l="1"/>
  <c r="G1370"/>
  <c r="G453"/>
  <c r="G1464"/>
  <c r="G1845"/>
  <c r="G680"/>
  <c r="G285"/>
  <c r="G879"/>
  <c r="G67"/>
  <c r="G1185"/>
  <c r="G1939" l="1"/>
  <c r="G1944" s="1"/>
  <c r="G1705" i="32" l="1"/>
  <c r="D1207" l="1"/>
  <c r="C1207"/>
  <c r="B1207"/>
  <c r="D1206"/>
  <c r="C1206"/>
  <c r="B1206"/>
  <c r="D1205"/>
  <c r="C1205"/>
  <c r="B1205"/>
  <c r="S69" i="31" l="1"/>
  <c r="T69"/>
  <c r="U69"/>
  <c r="S70"/>
  <c r="T70"/>
  <c r="U70"/>
  <c r="I1709"/>
  <c r="H1709"/>
  <c r="G1709"/>
  <c r="N1705"/>
  <c r="O1705" s="1"/>
  <c r="M1705"/>
  <c r="K1705"/>
  <c r="J1704"/>
  <c r="K1704" s="1"/>
  <c r="N1703"/>
  <c r="O1703" s="1"/>
  <c r="L1703"/>
  <c r="M1703" s="1"/>
  <c r="J1703"/>
  <c r="K1703" s="1"/>
  <c r="N1702"/>
  <c r="L1702"/>
  <c r="J1702"/>
  <c r="G1702" s="1"/>
  <c r="I1702"/>
  <c r="N1701"/>
  <c r="I1701" s="1"/>
  <c r="L1701"/>
  <c r="H1701" s="1"/>
  <c r="J1701"/>
  <c r="N1694"/>
  <c r="L1694"/>
  <c r="J1694"/>
  <c r="G1694" s="1"/>
  <c r="I1694"/>
  <c r="N1693"/>
  <c r="I1693" s="1"/>
  <c r="L1693"/>
  <c r="H1693" s="1"/>
  <c r="J1693"/>
  <c r="N1685"/>
  <c r="O1685" s="1"/>
  <c r="L1685"/>
  <c r="M1685" s="1"/>
  <c r="J1685"/>
  <c r="K1685" s="1"/>
  <c r="N1684"/>
  <c r="I1684" s="1"/>
  <c r="L1684"/>
  <c r="H1684" s="1"/>
  <c r="M1684" s="1"/>
  <c r="J1684"/>
  <c r="N1683"/>
  <c r="L1683"/>
  <c r="J1683"/>
  <c r="G1683" s="1"/>
  <c r="N1680"/>
  <c r="L1680"/>
  <c r="H1680" s="1"/>
  <c r="J1680"/>
  <c r="G1680"/>
  <c r="K1680" s="1"/>
  <c r="N1679"/>
  <c r="I1679" s="1"/>
  <c r="L1679"/>
  <c r="J1679"/>
  <c r="H1679"/>
  <c r="G1679"/>
  <c r="N1675"/>
  <c r="L1675"/>
  <c r="J1675"/>
  <c r="G1675" s="1"/>
  <c r="N1674"/>
  <c r="I1674" s="1"/>
  <c r="L1674"/>
  <c r="J1674"/>
  <c r="G1674" s="1"/>
  <c r="N1657"/>
  <c r="L1657"/>
  <c r="J1657"/>
  <c r="G1657" s="1"/>
  <c r="N1656"/>
  <c r="L1656"/>
  <c r="J1656"/>
  <c r="N1652"/>
  <c r="I1652" s="1"/>
  <c r="O1652" s="1"/>
  <c r="L1652"/>
  <c r="J1652"/>
  <c r="H1652"/>
  <c r="M1652" s="1"/>
  <c r="N1651"/>
  <c r="I1651" s="1"/>
  <c r="L1651"/>
  <c r="J1651"/>
  <c r="G1651" s="1"/>
  <c r="N1637"/>
  <c r="I1637" s="1"/>
  <c r="O1637" s="1"/>
  <c r="L1637"/>
  <c r="J1637"/>
  <c r="H1637"/>
  <c r="N1636"/>
  <c r="I1636" s="1"/>
  <c r="L1636"/>
  <c r="H1636" s="1"/>
  <c r="J1636"/>
  <c r="N1632"/>
  <c r="I1632" s="1"/>
  <c r="O1632" s="1"/>
  <c r="L1632"/>
  <c r="J1632"/>
  <c r="G1632"/>
  <c r="K1632" s="1"/>
  <c r="N1631"/>
  <c r="L1631"/>
  <c r="J1631"/>
  <c r="H1631"/>
  <c r="M1631" s="1"/>
  <c r="G1631"/>
  <c r="N1612"/>
  <c r="O1612" s="1"/>
  <c r="L1612"/>
  <c r="M1612" s="1"/>
  <c r="J1612"/>
  <c r="K1612" s="1"/>
  <c r="N1611"/>
  <c r="L1611"/>
  <c r="H1611" s="1"/>
  <c r="M1611" s="1"/>
  <c r="I1611"/>
  <c r="N1610"/>
  <c r="O1610" s="1"/>
  <c r="L1610"/>
  <c r="M1610" s="1"/>
  <c r="I1609"/>
  <c r="I1608" s="1"/>
  <c r="I1607" s="1"/>
  <c r="H1609"/>
  <c r="N1598"/>
  <c r="L1598"/>
  <c r="N1595"/>
  <c r="I1595" s="1"/>
  <c r="L1595"/>
  <c r="H1595" s="1"/>
  <c r="H1594" s="1"/>
  <c r="J1595"/>
  <c r="G1595"/>
  <c r="N1592"/>
  <c r="L1592"/>
  <c r="H1592" s="1"/>
  <c r="H1591" s="1"/>
  <c r="J1592"/>
  <c r="G1592"/>
  <c r="G1591" s="1"/>
  <c r="G1590" s="1"/>
  <c r="N1585"/>
  <c r="L1585"/>
  <c r="J1585"/>
  <c r="G1585" s="1"/>
  <c r="G1584"/>
  <c r="G1583" s="1"/>
  <c r="G1582" s="1"/>
  <c r="N1577"/>
  <c r="L1577"/>
  <c r="N1564"/>
  <c r="L1564"/>
  <c r="I1564"/>
  <c r="H1564"/>
  <c r="H1563" s="1"/>
  <c r="H1562" s="1"/>
  <c r="H1561"/>
  <c r="N1545"/>
  <c r="L1545"/>
  <c r="H1545" s="1"/>
  <c r="J1545"/>
  <c r="K1545" s="1"/>
  <c r="G1545"/>
  <c r="N1544"/>
  <c r="L1544"/>
  <c r="J1544"/>
  <c r="N1541"/>
  <c r="L1541"/>
  <c r="H1541" s="1"/>
  <c r="M1541" s="1"/>
  <c r="J1541"/>
  <c r="G1541" s="1"/>
  <c r="K1541" s="1"/>
  <c r="I1541"/>
  <c r="N1540"/>
  <c r="L1540"/>
  <c r="H1540" s="1"/>
  <c r="H1539" s="1"/>
  <c r="J1540"/>
  <c r="G1540" s="1"/>
  <c r="N1536"/>
  <c r="L1536"/>
  <c r="J1536"/>
  <c r="K1536" s="1"/>
  <c r="G1536"/>
  <c r="G1534" s="1"/>
  <c r="O1535"/>
  <c r="N1535"/>
  <c r="I1535" s="1"/>
  <c r="L1535"/>
  <c r="J1535"/>
  <c r="G1535"/>
  <c r="K1535" s="1"/>
  <c r="N1521"/>
  <c r="O1521" s="1"/>
  <c r="L1521"/>
  <c r="M1521" s="1"/>
  <c r="J1521"/>
  <c r="K1521" s="1"/>
  <c r="N1502"/>
  <c r="I1502" s="1"/>
  <c r="O1502" s="1"/>
  <c r="L1502"/>
  <c r="J1502"/>
  <c r="N1498"/>
  <c r="L1498"/>
  <c r="J1498"/>
  <c r="G1498" s="1"/>
  <c r="K1498" s="1"/>
  <c r="H1498"/>
  <c r="M1498" s="1"/>
  <c r="N1493"/>
  <c r="L1493"/>
  <c r="H1493" s="1"/>
  <c r="J1493"/>
  <c r="G1493" s="1"/>
  <c r="K1493" s="1"/>
  <c r="N1487"/>
  <c r="L1487"/>
  <c r="J1471"/>
  <c r="J1468"/>
  <c r="N1467"/>
  <c r="I1467" s="1"/>
  <c r="I1466" s="1"/>
  <c r="L1467"/>
  <c r="H1467" s="1"/>
  <c r="H1466"/>
  <c r="N1451"/>
  <c r="L1451"/>
  <c r="J1451"/>
  <c r="G1451" s="1"/>
  <c r="J1427"/>
  <c r="N1420"/>
  <c r="I1420" s="1"/>
  <c r="I1419" s="1"/>
  <c r="L1420"/>
  <c r="H1420" s="1"/>
  <c r="H1419" s="1"/>
  <c r="H1418" s="1"/>
  <c r="N1417"/>
  <c r="I1417" s="1"/>
  <c r="I1416" s="1"/>
  <c r="I1415" s="1"/>
  <c r="L1417"/>
  <c r="L1411"/>
  <c r="J1411"/>
  <c r="K1409"/>
  <c r="J1409"/>
  <c r="J1408"/>
  <c r="G1408"/>
  <c r="G1407" s="1"/>
  <c r="G1406" s="1"/>
  <c r="N1373"/>
  <c r="L1373"/>
  <c r="J1373"/>
  <c r="G1373" s="1"/>
  <c r="K1373" s="1"/>
  <c r="N1372"/>
  <c r="I1372" s="1"/>
  <c r="L1372"/>
  <c r="H1372" s="1"/>
  <c r="N1347"/>
  <c r="O1347" s="1"/>
  <c r="L1347"/>
  <c r="M1347" s="1"/>
  <c r="J1347"/>
  <c r="K1347" s="1"/>
  <c r="N1325"/>
  <c r="I1325" s="1"/>
  <c r="I1323" s="1"/>
  <c r="I1322" s="1"/>
  <c r="I1321" s="1"/>
  <c r="I1320" s="1"/>
  <c r="I1319" s="1"/>
  <c r="L1325"/>
  <c r="H1325" s="1"/>
  <c r="J1325"/>
  <c r="N1324"/>
  <c r="I1324" s="1"/>
  <c r="L1324"/>
  <c r="H1324" s="1"/>
  <c r="J1324"/>
  <c r="G1324" s="1"/>
  <c r="N1313"/>
  <c r="L1313"/>
  <c r="H1313" s="1"/>
  <c r="N1287"/>
  <c r="L1287"/>
  <c r="J1287"/>
  <c r="I1287"/>
  <c r="G1287"/>
  <c r="K1287" s="1"/>
  <c r="N1286"/>
  <c r="I1286" s="1"/>
  <c r="L1286"/>
  <c r="H1286" s="1"/>
  <c r="M1286" s="1"/>
  <c r="J1286"/>
  <c r="N1285"/>
  <c r="I1285" s="1"/>
  <c r="L1285"/>
  <c r="H1285" s="1"/>
  <c r="J1285"/>
  <c r="G1285" s="1"/>
  <c r="N1282"/>
  <c r="L1282"/>
  <c r="J1282"/>
  <c r="N1281"/>
  <c r="L1281"/>
  <c r="H1281" s="1"/>
  <c r="J1281"/>
  <c r="N1278"/>
  <c r="L1278"/>
  <c r="M1278" s="1"/>
  <c r="J1278"/>
  <c r="G1278" s="1"/>
  <c r="I1278"/>
  <c r="O1278" s="1"/>
  <c r="H1278"/>
  <c r="H1276" s="1"/>
  <c r="N1277"/>
  <c r="I1277" s="1"/>
  <c r="L1277"/>
  <c r="J1277"/>
  <c r="K1277" s="1"/>
  <c r="H1277"/>
  <c r="G1277"/>
  <c r="N1273"/>
  <c r="L1273"/>
  <c r="H1273" s="1"/>
  <c r="J1273"/>
  <c r="N1272"/>
  <c r="L1272"/>
  <c r="J1272"/>
  <c r="I1272"/>
  <c r="O1272" s="1"/>
  <c r="H1272"/>
  <c r="G1272"/>
  <c r="N1264"/>
  <c r="O1264" s="1"/>
  <c r="L1264"/>
  <c r="M1264" s="1"/>
  <c r="J1264"/>
  <c r="K1264" s="1"/>
  <c r="N1263"/>
  <c r="L1263"/>
  <c r="H1263" s="1"/>
  <c r="I1263"/>
  <c r="N1260"/>
  <c r="L1260"/>
  <c r="I1260"/>
  <c r="I1259" s="1"/>
  <c r="I1258" s="1"/>
  <c r="N1239"/>
  <c r="L1239"/>
  <c r="H1239" s="1"/>
  <c r="H1237" s="1"/>
  <c r="H1236" s="1"/>
  <c r="H1235" s="1"/>
  <c r="J1239"/>
  <c r="N1238"/>
  <c r="L1238"/>
  <c r="H1238" s="1"/>
  <c r="J1238"/>
  <c r="I1238"/>
  <c r="G1238"/>
  <c r="N1227"/>
  <c r="L1227"/>
  <c r="H1227" s="1"/>
  <c r="H1226" s="1"/>
  <c r="H1225" s="1"/>
  <c r="D1209"/>
  <c r="C1209"/>
  <c r="B1209"/>
  <c r="D1208"/>
  <c r="C1208"/>
  <c r="B1208"/>
  <c r="D1207"/>
  <c r="C1207"/>
  <c r="B1207"/>
  <c r="N1204"/>
  <c r="L1204"/>
  <c r="J1204"/>
  <c r="H1204"/>
  <c r="N1203"/>
  <c r="I1203" s="1"/>
  <c r="L1203"/>
  <c r="H1203" s="1"/>
  <c r="J1203"/>
  <c r="G1203" s="1"/>
  <c r="N1202"/>
  <c r="L1202"/>
  <c r="H1202" s="1"/>
  <c r="J1202"/>
  <c r="G1202" s="1"/>
  <c r="N1199"/>
  <c r="L1199"/>
  <c r="H1199" s="1"/>
  <c r="M1199" s="1"/>
  <c r="J1199"/>
  <c r="N1198"/>
  <c r="L1198"/>
  <c r="H1198" s="1"/>
  <c r="M1198" s="1"/>
  <c r="J1198"/>
  <c r="I1198"/>
  <c r="N1195"/>
  <c r="I1195" s="1"/>
  <c r="L1195"/>
  <c r="J1195"/>
  <c r="N1194"/>
  <c r="I1194" s="1"/>
  <c r="L1194"/>
  <c r="H1194" s="1"/>
  <c r="J1194"/>
  <c r="G1194" s="1"/>
  <c r="N1190"/>
  <c r="L1190"/>
  <c r="H1190" s="1"/>
  <c r="J1190"/>
  <c r="I1190"/>
  <c r="N1189"/>
  <c r="L1189"/>
  <c r="H1189" s="1"/>
  <c r="J1189"/>
  <c r="G1189" s="1"/>
  <c r="N1181"/>
  <c r="O1181" s="1"/>
  <c r="L1181"/>
  <c r="M1181" s="1"/>
  <c r="J1181"/>
  <c r="K1181" s="1"/>
  <c r="N1180"/>
  <c r="L1180"/>
  <c r="H1180" s="1"/>
  <c r="I1180"/>
  <c r="I1179" s="1"/>
  <c r="I1178" s="1"/>
  <c r="N1177"/>
  <c r="L1177"/>
  <c r="N1156"/>
  <c r="L1156"/>
  <c r="J1156"/>
  <c r="N1155"/>
  <c r="I1155" s="1"/>
  <c r="L1155"/>
  <c r="H1155" s="1"/>
  <c r="J1155"/>
  <c r="G1155" s="1"/>
  <c r="N1144"/>
  <c r="L1144"/>
  <c r="H1144" s="1"/>
  <c r="H1143" s="1"/>
  <c r="H1142" s="1"/>
  <c r="I1144"/>
  <c r="N1118"/>
  <c r="L1118"/>
  <c r="J1118"/>
  <c r="N1117"/>
  <c r="I1117" s="1"/>
  <c r="L1117"/>
  <c r="H1117" s="1"/>
  <c r="J1117"/>
  <c r="N1116"/>
  <c r="L1116"/>
  <c r="H1116" s="1"/>
  <c r="J1116"/>
  <c r="G1116" s="1"/>
  <c r="N1113"/>
  <c r="I1113" s="1"/>
  <c r="L1113"/>
  <c r="H1113" s="1"/>
  <c r="J1113"/>
  <c r="N1112"/>
  <c r="I1112" s="1"/>
  <c r="L1112"/>
  <c r="J1112"/>
  <c r="G1112" s="1"/>
  <c r="N1109"/>
  <c r="I1109" s="1"/>
  <c r="L1109"/>
  <c r="H1109" s="1"/>
  <c r="J1109"/>
  <c r="N1108"/>
  <c r="M1108"/>
  <c r="L1108"/>
  <c r="H1108" s="1"/>
  <c r="J1108"/>
  <c r="N1104"/>
  <c r="L1104"/>
  <c r="H1104" s="1"/>
  <c r="J1104"/>
  <c r="N1103"/>
  <c r="I1103" s="1"/>
  <c r="L1103"/>
  <c r="J1103"/>
  <c r="G1103" s="1"/>
  <c r="H1103"/>
  <c r="N1095"/>
  <c r="O1095" s="1"/>
  <c r="L1095"/>
  <c r="M1095" s="1"/>
  <c r="J1095"/>
  <c r="K1095" s="1"/>
  <c r="N1094"/>
  <c r="L1094"/>
  <c r="J1094"/>
  <c r="H1094"/>
  <c r="N1093"/>
  <c r="I1093" s="1"/>
  <c r="L1093"/>
  <c r="H1093" s="1"/>
  <c r="J1093"/>
  <c r="G1093" s="1"/>
  <c r="N1090"/>
  <c r="L1090"/>
  <c r="J1090"/>
  <c r="H1090"/>
  <c r="N1089"/>
  <c r="I1089" s="1"/>
  <c r="L1089"/>
  <c r="H1089" s="1"/>
  <c r="K1089"/>
  <c r="J1089"/>
  <c r="G1089" s="1"/>
  <c r="N1085"/>
  <c r="I1085" s="1"/>
  <c r="L1085"/>
  <c r="J1085"/>
  <c r="G1085" s="1"/>
  <c r="H1085"/>
  <c r="M1085" s="1"/>
  <c r="N1084"/>
  <c r="I1084" s="1"/>
  <c r="L1084"/>
  <c r="H1084" s="1"/>
  <c r="J1084"/>
  <c r="G1084" s="1"/>
  <c r="N1078"/>
  <c r="L1078"/>
  <c r="H1078" s="1"/>
  <c r="H1077" s="1"/>
  <c r="H1076"/>
  <c r="N1075"/>
  <c r="I1075" s="1"/>
  <c r="L1075"/>
  <c r="H1075" s="1"/>
  <c r="H1074" s="1"/>
  <c r="H1073" s="1"/>
  <c r="J1068"/>
  <c r="G1068" s="1"/>
  <c r="J1064"/>
  <c r="G1064" s="1"/>
  <c r="G1063" s="1"/>
  <c r="N1038"/>
  <c r="L1038"/>
  <c r="N1017"/>
  <c r="O1017" s="1"/>
  <c r="L1017"/>
  <c r="M1017" s="1"/>
  <c r="J1017"/>
  <c r="K1017" s="1"/>
  <c r="N1016"/>
  <c r="O1016" s="1"/>
  <c r="L1016"/>
  <c r="H1016" s="1"/>
  <c r="J1016"/>
  <c r="G1016" s="1"/>
  <c r="K1016" s="1"/>
  <c r="I1016"/>
  <c r="N1015"/>
  <c r="L1015"/>
  <c r="J1015"/>
  <c r="I1015"/>
  <c r="J1013"/>
  <c r="G1013"/>
  <c r="G1012" s="1"/>
  <c r="N1011"/>
  <c r="I1011" s="1"/>
  <c r="L1011"/>
  <c r="H1011" s="1"/>
  <c r="J1011"/>
  <c r="G1011" s="1"/>
  <c r="N1010"/>
  <c r="L1010"/>
  <c r="H1010" s="1"/>
  <c r="J1010"/>
  <c r="G1010" s="1"/>
  <c r="N1009"/>
  <c r="I1009" s="1"/>
  <c r="O1009" s="1"/>
  <c r="L1009"/>
  <c r="J1009"/>
  <c r="K1009" s="1"/>
  <c r="G1009"/>
  <c r="N1006"/>
  <c r="I1006" s="1"/>
  <c r="L1006"/>
  <c r="H1006" s="1"/>
  <c r="J1006"/>
  <c r="G1006" s="1"/>
  <c r="N1005"/>
  <c r="L1005"/>
  <c r="J1005"/>
  <c r="G1005" s="1"/>
  <c r="I1005"/>
  <c r="H1005"/>
  <c r="N1004"/>
  <c r="I1004" s="1"/>
  <c r="L1004"/>
  <c r="H1004" s="1"/>
  <c r="J1004"/>
  <c r="G1004"/>
  <c r="N1001"/>
  <c r="L1001"/>
  <c r="H1001" s="1"/>
  <c r="J1001"/>
  <c r="N1000"/>
  <c r="L1000"/>
  <c r="H1000" s="1"/>
  <c r="M1000" s="1"/>
  <c r="J1000"/>
  <c r="G1000" s="1"/>
  <c r="N993"/>
  <c r="I993" s="1"/>
  <c r="L993"/>
  <c r="J993"/>
  <c r="N992"/>
  <c r="I992" s="1"/>
  <c r="L992"/>
  <c r="J992"/>
  <c r="G992" s="1"/>
  <c r="H992"/>
  <c r="M992" s="1"/>
  <c r="N984"/>
  <c r="L984"/>
  <c r="J984"/>
  <c r="N983"/>
  <c r="L983"/>
  <c r="H983" s="1"/>
  <c r="J983"/>
  <c r="G983" s="1"/>
  <c r="N928"/>
  <c r="L928"/>
  <c r="H928" s="1"/>
  <c r="H927" s="1"/>
  <c r="H926"/>
  <c r="J895"/>
  <c r="N836"/>
  <c r="L836"/>
  <c r="J836"/>
  <c r="H836"/>
  <c r="M836" s="1"/>
  <c r="N835"/>
  <c r="L835"/>
  <c r="J835"/>
  <c r="G835" s="1"/>
  <c r="N813"/>
  <c r="O813" s="1"/>
  <c r="L813"/>
  <c r="M813" s="1"/>
  <c r="J813"/>
  <c r="K813" s="1"/>
  <c r="N808"/>
  <c r="L808"/>
  <c r="J808"/>
  <c r="N807"/>
  <c r="L807"/>
  <c r="J807"/>
  <c r="G807" s="1"/>
  <c r="K807" s="1"/>
  <c r="I807"/>
  <c r="N804"/>
  <c r="L804"/>
  <c r="J804"/>
  <c r="G804" s="1"/>
  <c r="N803"/>
  <c r="I803" s="1"/>
  <c r="O803" s="1"/>
  <c r="L803"/>
  <c r="J803"/>
  <c r="G803" s="1"/>
  <c r="N799"/>
  <c r="I799" s="1"/>
  <c r="I797" s="1"/>
  <c r="L799"/>
  <c r="J799"/>
  <c r="G799" s="1"/>
  <c r="K799" s="1"/>
  <c r="N798"/>
  <c r="L798"/>
  <c r="H798" s="1"/>
  <c r="J798"/>
  <c r="I798"/>
  <c r="N780"/>
  <c r="L780"/>
  <c r="N768"/>
  <c r="I768" s="1"/>
  <c r="J768"/>
  <c r="N679"/>
  <c r="L679"/>
  <c r="L665"/>
  <c r="O631"/>
  <c r="N631"/>
  <c r="L631"/>
  <c r="M631" s="1"/>
  <c r="J631"/>
  <c r="K631" s="1"/>
  <c r="N607"/>
  <c r="L607"/>
  <c r="H607" s="1"/>
  <c r="M607" s="1"/>
  <c r="J607"/>
  <c r="G607" s="1"/>
  <c r="I607"/>
  <c r="O607" s="1"/>
  <c r="N606"/>
  <c r="L606"/>
  <c r="H606" s="1"/>
  <c r="J606"/>
  <c r="I606"/>
  <c r="G606"/>
  <c r="N605"/>
  <c r="L605"/>
  <c r="H605" s="1"/>
  <c r="J605"/>
  <c r="G605"/>
  <c r="N602"/>
  <c r="L602"/>
  <c r="H602" s="1"/>
  <c r="J602"/>
  <c r="G602" s="1"/>
  <c r="I602"/>
  <c r="O602" s="1"/>
  <c r="J601"/>
  <c r="N598"/>
  <c r="L598"/>
  <c r="H598" s="1"/>
  <c r="M598" s="1"/>
  <c r="J598"/>
  <c r="G598" s="1"/>
  <c r="N597"/>
  <c r="L597"/>
  <c r="J597"/>
  <c r="G597"/>
  <c r="K593"/>
  <c r="J593"/>
  <c r="G593" s="1"/>
  <c r="J592"/>
  <c r="G592"/>
  <c r="K592" s="1"/>
  <c r="N504"/>
  <c r="I504"/>
  <c r="I503" s="1"/>
  <c r="J489"/>
  <c r="G489"/>
  <c r="K489" s="1"/>
  <c r="J488"/>
  <c r="N483"/>
  <c r="L483"/>
  <c r="J483"/>
  <c r="G483" s="1"/>
  <c r="K483" s="1"/>
  <c r="N482"/>
  <c r="I482" s="1"/>
  <c r="L482"/>
  <c r="J482"/>
  <c r="N478"/>
  <c r="L478"/>
  <c r="J478"/>
  <c r="H478"/>
  <c r="N477"/>
  <c r="I477" s="1"/>
  <c r="L477"/>
  <c r="J477"/>
  <c r="K477" s="1"/>
  <c r="G477"/>
  <c r="N456"/>
  <c r="L456"/>
  <c r="I456"/>
  <c r="I455" s="1"/>
  <c r="I454" s="1"/>
  <c r="N440"/>
  <c r="L440"/>
  <c r="J440"/>
  <c r="I440"/>
  <c r="H440"/>
  <c r="N439"/>
  <c r="L439"/>
  <c r="J439"/>
  <c r="G439" s="1"/>
  <c r="I439"/>
  <c r="N430"/>
  <c r="O430" s="1"/>
  <c r="L430"/>
  <c r="M430" s="1"/>
  <c r="J430"/>
  <c r="K430" s="1"/>
  <c r="N413"/>
  <c r="I413" s="1"/>
  <c r="L413"/>
  <c r="J413"/>
  <c r="N412"/>
  <c r="L412"/>
  <c r="J412"/>
  <c r="I412"/>
  <c r="N409"/>
  <c r="L409"/>
  <c r="H409" s="1"/>
  <c r="M409" s="1"/>
  <c r="J409"/>
  <c r="N408"/>
  <c r="I408" s="1"/>
  <c r="L408"/>
  <c r="J408"/>
  <c r="G408" s="1"/>
  <c r="N404"/>
  <c r="I404" s="1"/>
  <c r="O404" s="1"/>
  <c r="L404"/>
  <c r="M404" s="1"/>
  <c r="J404"/>
  <c r="H404"/>
  <c r="G404"/>
  <c r="G402" s="1"/>
  <c r="N403"/>
  <c r="L403"/>
  <c r="H403" s="1"/>
  <c r="K403"/>
  <c r="J403"/>
  <c r="G403" s="1"/>
  <c r="N389"/>
  <c r="O389" s="1"/>
  <c r="L389"/>
  <c r="M389" s="1"/>
  <c r="J389"/>
  <c r="K389" s="1"/>
  <c r="N362"/>
  <c r="L362"/>
  <c r="J362"/>
  <c r="N361"/>
  <c r="L361"/>
  <c r="H361" s="1"/>
  <c r="J361"/>
  <c r="G361"/>
  <c r="N358"/>
  <c r="I358" s="1"/>
  <c r="L358"/>
  <c r="H358" s="1"/>
  <c r="J358"/>
  <c r="N357"/>
  <c r="I357" s="1"/>
  <c r="L357"/>
  <c r="J357"/>
  <c r="H357"/>
  <c r="M357" s="1"/>
  <c r="N356"/>
  <c r="I356" s="1"/>
  <c r="L356"/>
  <c r="H356" s="1"/>
  <c r="J356"/>
  <c r="G356" s="1"/>
  <c r="N352"/>
  <c r="I352" s="1"/>
  <c r="L352"/>
  <c r="J352"/>
  <c r="G352"/>
  <c r="N351"/>
  <c r="I351" s="1"/>
  <c r="L351"/>
  <c r="J351"/>
  <c r="H351"/>
  <c r="G351"/>
  <c r="N343"/>
  <c r="O343" s="1"/>
  <c r="L343"/>
  <c r="M343" s="1"/>
  <c r="J343"/>
  <c r="K343" s="1"/>
  <c r="N336"/>
  <c r="I336" s="1"/>
  <c r="I335" s="1"/>
  <c r="I334" s="1"/>
  <c r="I333" s="1"/>
  <c r="I332" s="1"/>
  <c r="L336"/>
  <c r="H336" s="1"/>
  <c r="H335" s="1"/>
  <c r="H334" s="1"/>
  <c r="N322"/>
  <c r="L322"/>
  <c r="J322"/>
  <c r="H322"/>
  <c r="G322"/>
  <c r="K322" s="1"/>
  <c r="N321"/>
  <c r="L321"/>
  <c r="H321" s="1"/>
  <c r="J321"/>
  <c r="G321" s="1"/>
  <c r="N318"/>
  <c r="I318" s="1"/>
  <c r="L318"/>
  <c r="J318"/>
  <c r="N317"/>
  <c r="L317"/>
  <c r="H317" s="1"/>
  <c r="J317"/>
  <c r="G317" s="1"/>
  <c r="K317" s="1"/>
  <c r="N313"/>
  <c r="O313" s="1"/>
  <c r="L313"/>
  <c r="H313" s="1"/>
  <c r="J313"/>
  <c r="K313" s="1"/>
  <c r="I313"/>
  <c r="G313"/>
  <c r="N312"/>
  <c r="L312"/>
  <c r="J312"/>
  <c r="G312" s="1"/>
  <c r="K312" s="1"/>
  <c r="H312"/>
  <c r="N307"/>
  <c r="L307"/>
  <c r="H307" s="1"/>
  <c r="M307" s="1"/>
  <c r="H306"/>
  <c r="H305" s="1"/>
  <c r="H304" s="1"/>
  <c r="H303" s="1"/>
  <c r="H302" s="1"/>
  <c r="N274"/>
  <c r="O274" s="1"/>
  <c r="L274"/>
  <c r="M274" s="1"/>
  <c r="J274"/>
  <c r="K274" s="1"/>
  <c r="N238"/>
  <c r="L238"/>
  <c r="I238"/>
  <c r="O238" s="1"/>
  <c r="N220"/>
  <c r="L220"/>
  <c r="H220" s="1"/>
  <c r="J220"/>
  <c r="G220" s="1"/>
  <c r="L219"/>
  <c r="H219" s="1"/>
  <c r="H218" s="1"/>
  <c r="H217" s="1"/>
  <c r="H216" s="1"/>
  <c r="J219"/>
  <c r="G219" s="1"/>
  <c r="N211"/>
  <c r="L211"/>
  <c r="I211"/>
  <c r="O211" s="1"/>
  <c r="H211"/>
  <c r="N210"/>
  <c r="I210" s="1"/>
  <c r="L210"/>
  <c r="H210"/>
  <c r="N205"/>
  <c r="L205"/>
  <c r="J205"/>
  <c r="H205"/>
  <c r="M205" s="1"/>
  <c r="N204"/>
  <c r="L204"/>
  <c r="J204"/>
  <c r="G204" s="1"/>
  <c r="H204"/>
  <c r="N203"/>
  <c r="I203" s="1"/>
  <c r="O203" s="1"/>
  <c r="L203"/>
  <c r="J203"/>
  <c r="G203"/>
  <c r="K203" s="1"/>
  <c r="N199"/>
  <c r="I199" s="1"/>
  <c r="L199"/>
  <c r="H199" s="1"/>
  <c r="J199"/>
  <c r="G199" s="1"/>
  <c r="N198"/>
  <c r="L198"/>
  <c r="H198" s="1"/>
  <c r="J198"/>
  <c r="G198"/>
  <c r="N197"/>
  <c r="I197" s="1"/>
  <c r="L197"/>
  <c r="J197"/>
  <c r="N157"/>
  <c r="I157" s="1"/>
  <c r="L157"/>
  <c r="J157"/>
  <c r="N156"/>
  <c r="I156" s="1"/>
  <c r="I155" s="1"/>
  <c r="L156"/>
  <c r="J156"/>
  <c r="G156" s="1"/>
  <c r="K156" s="1"/>
  <c r="J154"/>
  <c r="G154" s="1"/>
  <c r="G153" s="1"/>
  <c r="N152"/>
  <c r="L152"/>
  <c r="J152"/>
  <c r="I152"/>
  <c r="O152" s="1"/>
  <c r="N151"/>
  <c r="I151" s="1"/>
  <c r="L151"/>
  <c r="H151" s="1"/>
  <c r="J151"/>
  <c r="G151" s="1"/>
  <c r="N150"/>
  <c r="L150"/>
  <c r="J150"/>
  <c r="G150"/>
  <c r="N96"/>
  <c r="I96" s="1"/>
  <c r="U96" s="1"/>
  <c r="M96"/>
  <c r="L96"/>
  <c r="J96"/>
  <c r="G96" s="1"/>
  <c r="S96" s="1"/>
  <c r="H96"/>
  <c r="T96" s="1"/>
  <c r="N95"/>
  <c r="L95"/>
  <c r="J95"/>
  <c r="G95" s="1"/>
  <c r="S95" s="1"/>
  <c r="I95"/>
  <c r="N81"/>
  <c r="L81"/>
  <c r="J81"/>
  <c r="G81" s="1"/>
  <c r="S81" s="1"/>
  <c r="N74"/>
  <c r="I74" s="1"/>
  <c r="U74" s="1"/>
  <c r="L74"/>
  <c r="J74"/>
  <c r="G74" s="1"/>
  <c r="S74" s="1"/>
  <c r="H74"/>
  <c r="T74" s="1"/>
  <c r="N73"/>
  <c r="I73" s="1"/>
  <c r="L73"/>
  <c r="J73"/>
  <c r="H73"/>
  <c r="N70"/>
  <c r="O70" s="1"/>
  <c r="L70"/>
  <c r="J70"/>
  <c r="K70" s="1"/>
  <c r="N69"/>
  <c r="O69" s="1"/>
  <c r="L69"/>
  <c r="H68" s="1"/>
  <c r="H67" s="1"/>
  <c r="T67" s="1"/>
  <c r="J69"/>
  <c r="I68"/>
  <c r="I67" s="1"/>
  <c r="U67" s="1"/>
  <c r="G68"/>
  <c r="G67" s="1"/>
  <c r="S67" s="1"/>
  <c r="N61"/>
  <c r="O61" s="1"/>
  <c r="L61"/>
  <c r="M61" s="1"/>
  <c r="J61"/>
  <c r="K61" s="1"/>
  <c r="N41"/>
  <c r="I41" s="1"/>
  <c r="U41" s="1"/>
  <c r="L41"/>
  <c r="H41" s="1"/>
  <c r="T41" s="1"/>
  <c r="J41"/>
  <c r="N40"/>
  <c r="L40"/>
  <c r="H40" s="1"/>
  <c r="M40" s="1"/>
  <c r="J40"/>
  <c r="G40" s="1"/>
  <c r="N37"/>
  <c r="L37"/>
  <c r="H37" s="1"/>
  <c r="T37" s="1"/>
  <c r="J37"/>
  <c r="I37"/>
  <c r="U37" s="1"/>
  <c r="N36"/>
  <c r="L36"/>
  <c r="H36" s="1"/>
  <c r="M36" s="1"/>
  <c r="J36"/>
  <c r="G36" s="1"/>
  <c r="N32"/>
  <c r="L32"/>
  <c r="H32" s="1"/>
  <c r="M32" s="1"/>
  <c r="J32"/>
  <c r="G32" s="1"/>
  <c r="N31"/>
  <c r="L31"/>
  <c r="H31" s="1"/>
  <c r="J31"/>
  <c r="G31" s="1"/>
  <c r="G30" s="1"/>
  <c r="N28"/>
  <c r="L28"/>
  <c r="M28" s="1"/>
  <c r="J28"/>
  <c r="N27"/>
  <c r="O27" s="1"/>
  <c r="L27"/>
  <c r="J27"/>
  <c r="K27" s="1"/>
  <c r="U27"/>
  <c r="G26"/>
  <c r="N19"/>
  <c r="L19"/>
  <c r="H19" s="1"/>
  <c r="T19" s="1"/>
  <c r="J19"/>
  <c r="G19" s="1"/>
  <c r="S19" s="1"/>
  <c r="N18"/>
  <c r="L18"/>
  <c r="H18" s="1"/>
  <c r="M18" s="1"/>
  <c r="J18"/>
  <c r="G18" s="1"/>
  <c r="N14"/>
  <c r="L14"/>
  <c r="M14" s="1"/>
  <c r="J14"/>
  <c r="N13"/>
  <c r="O13" s="1"/>
  <c r="L13"/>
  <c r="T13" s="1"/>
  <c r="J13"/>
  <c r="K13" s="1"/>
  <c r="U13"/>
  <c r="S13"/>
  <c r="N12"/>
  <c r="I12" s="1"/>
  <c r="U12" s="1"/>
  <c r="L12"/>
  <c r="J12"/>
  <c r="G12" s="1"/>
  <c r="H12"/>
  <c r="H11" s="1"/>
  <c r="O356" l="1"/>
  <c r="M1109"/>
  <c r="O31"/>
  <c r="K408"/>
  <c r="M1194"/>
  <c r="O482"/>
  <c r="M602"/>
  <c r="M1078"/>
  <c r="K1103"/>
  <c r="O1194"/>
  <c r="M1272"/>
  <c r="H1678"/>
  <c r="K1202"/>
  <c r="O37"/>
  <c r="G320"/>
  <c r="G319" s="1"/>
  <c r="G596"/>
  <c r="K1674"/>
  <c r="M358"/>
  <c r="M1104"/>
  <c r="K607"/>
  <c r="K1010"/>
  <c r="H1102"/>
  <c r="O1417"/>
  <c r="K1585"/>
  <c r="K154"/>
  <c r="K356"/>
  <c r="G604"/>
  <c r="K992"/>
  <c r="I1284"/>
  <c r="M1467"/>
  <c r="I1540"/>
  <c r="O1540" s="1"/>
  <c r="M1545"/>
  <c r="K74"/>
  <c r="O1084"/>
  <c r="M1239"/>
  <c r="M198"/>
  <c r="I31"/>
  <c r="U31" s="1"/>
  <c r="M1004"/>
  <c r="I19"/>
  <c r="U19" s="1"/>
  <c r="K31"/>
  <c r="M41"/>
  <c r="H95"/>
  <c r="I808"/>
  <c r="K19"/>
  <c r="G152"/>
  <c r="K152" s="1"/>
  <c r="H203"/>
  <c r="I198"/>
  <c r="K220"/>
  <c r="K81"/>
  <c r="I317"/>
  <c r="I316" s="1"/>
  <c r="O317"/>
  <c r="H1083"/>
  <c r="I94"/>
  <c r="U94" s="1"/>
  <c r="U95"/>
  <c r="H209"/>
  <c r="H208" s="1"/>
  <c r="H207" s="1"/>
  <c r="H206" s="1"/>
  <c r="H408"/>
  <c r="M408" s="1"/>
  <c r="I679"/>
  <c r="M73"/>
  <c r="T73"/>
  <c r="M74"/>
  <c r="H81"/>
  <c r="T81" s="1"/>
  <c r="H197"/>
  <c r="M197" s="1"/>
  <c r="I312"/>
  <c r="I311" s="1"/>
  <c r="H483"/>
  <c r="M483" s="1"/>
  <c r="G37"/>
  <c r="S37" s="1"/>
  <c r="G73"/>
  <c r="I209"/>
  <c r="I208" s="1"/>
  <c r="I207" s="1"/>
  <c r="I206" s="1"/>
  <c r="H333"/>
  <c r="H332" s="1"/>
  <c r="H331" s="1"/>
  <c r="H412"/>
  <c r="M412" s="1"/>
  <c r="G218"/>
  <c r="G217" s="1"/>
  <c r="G216" s="1"/>
  <c r="H320"/>
  <c r="H319" s="1"/>
  <c r="H355"/>
  <c r="O157"/>
  <c r="M204"/>
  <c r="O210"/>
  <c r="H318"/>
  <c r="H316" s="1"/>
  <c r="I321"/>
  <c r="O321" s="1"/>
  <c r="I72"/>
  <c r="U73"/>
  <c r="M312"/>
  <c r="H439"/>
  <c r="M439" s="1"/>
  <c r="G478"/>
  <c r="G476" s="1"/>
  <c r="K478"/>
  <c r="I1000"/>
  <c r="O1000" s="1"/>
  <c r="H402"/>
  <c r="O477"/>
  <c r="I605"/>
  <c r="I604" s="1"/>
  <c r="O605"/>
  <c r="H679"/>
  <c r="H678" s="1"/>
  <c r="H677" s="1"/>
  <c r="H676" s="1"/>
  <c r="O799"/>
  <c r="H984"/>
  <c r="M984" s="1"/>
  <c r="H1411"/>
  <c r="M403"/>
  <c r="H407"/>
  <c r="K597"/>
  <c r="K836"/>
  <c r="G836"/>
  <c r="M478"/>
  <c r="H604"/>
  <c r="H603" s="1"/>
  <c r="O1109"/>
  <c r="O1144"/>
  <c r="I1143"/>
  <c r="I1142" s="1"/>
  <c r="O807"/>
  <c r="I835"/>
  <c r="O835" s="1"/>
  <c r="I1189"/>
  <c r="I1188" s="1"/>
  <c r="O1189"/>
  <c r="K803"/>
  <c r="H780"/>
  <c r="H779" s="1"/>
  <c r="H778" s="1"/>
  <c r="H777" s="1"/>
  <c r="H982"/>
  <c r="H1009"/>
  <c r="M1009" s="1"/>
  <c r="I1014"/>
  <c r="H1112"/>
  <c r="M1112" s="1"/>
  <c r="H1156"/>
  <c r="H1154" s="1"/>
  <c r="G1003"/>
  <c r="I1177"/>
  <c r="I1176" s="1"/>
  <c r="I1175" s="1"/>
  <c r="G1239"/>
  <c r="K1239" s="1"/>
  <c r="H999"/>
  <c r="H998" s="1"/>
  <c r="O1112"/>
  <c r="I1003"/>
  <c r="I1002" s="1"/>
  <c r="K1006"/>
  <c r="M1016"/>
  <c r="M1093"/>
  <c r="M1090"/>
  <c r="H1118"/>
  <c r="M1118" s="1"/>
  <c r="K1013"/>
  <c r="I1090"/>
  <c r="I1088" s="1"/>
  <c r="I1373"/>
  <c r="O1373" s="1"/>
  <c r="K1194"/>
  <c r="I1204"/>
  <c r="O1204" s="1"/>
  <c r="I1318"/>
  <c r="O1085"/>
  <c r="O1093"/>
  <c r="H1115"/>
  <c r="H1188"/>
  <c r="M1190"/>
  <c r="I1239"/>
  <c r="O1239" s="1"/>
  <c r="H1197"/>
  <c r="H1196" s="1"/>
  <c r="H1271"/>
  <c r="G1544"/>
  <c r="G1543" s="1"/>
  <c r="G1542" s="1"/>
  <c r="H1282"/>
  <c r="M1282" s="1"/>
  <c r="O1287"/>
  <c r="M1084"/>
  <c r="I1083"/>
  <c r="O1564"/>
  <c r="I1563"/>
  <c r="I1562" s="1"/>
  <c r="I1193"/>
  <c r="I1282"/>
  <c r="O1282" s="1"/>
  <c r="O1190"/>
  <c r="G1468"/>
  <c r="K1468" s="1"/>
  <c r="I1276"/>
  <c r="M1372"/>
  <c r="G1539"/>
  <c r="H1323"/>
  <c r="H1322" s="1"/>
  <c r="H1321" s="1"/>
  <c r="G1427"/>
  <c r="G1426" s="1"/>
  <c r="G1425" s="1"/>
  <c r="I1675"/>
  <c r="O1675" s="1"/>
  <c r="H1577"/>
  <c r="H1657"/>
  <c r="M1657" s="1"/>
  <c r="I1631"/>
  <c r="I1630" s="1"/>
  <c r="O1631"/>
  <c r="G1656"/>
  <c r="K1656" s="1"/>
  <c r="M1679"/>
  <c r="M1564"/>
  <c r="H1656"/>
  <c r="M1656" s="1"/>
  <c r="H1536"/>
  <c r="M1536" s="1"/>
  <c r="O1541"/>
  <c r="O1651"/>
  <c r="H1632"/>
  <c r="M1632" s="1"/>
  <c r="I1683"/>
  <c r="I1682" s="1"/>
  <c r="G1678"/>
  <c r="G1630"/>
  <c r="G1655"/>
  <c r="O1694"/>
  <c r="O1702"/>
  <c r="O1611"/>
  <c r="S68"/>
  <c r="U68"/>
  <c r="T68"/>
  <c r="G11"/>
  <c r="S12"/>
  <c r="K18"/>
  <c r="G17"/>
  <c r="S17" s="1"/>
  <c r="S18"/>
  <c r="O40"/>
  <c r="K36"/>
  <c r="S36"/>
  <c r="K28"/>
  <c r="S28"/>
  <c r="K32"/>
  <c r="S32"/>
  <c r="T11"/>
  <c r="K14"/>
  <c r="S14"/>
  <c r="G25"/>
  <c r="S25" s="1"/>
  <c r="S26"/>
  <c r="G29"/>
  <c r="S30"/>
  <c r="O32"/>
  <c r="S40"/>
  <c r="K40"/>
  <c r="T27"/>
  <c r="H26"/>
  <c r="T31"/>
  <c r="H30"/>
  <c r="I322"/>
  <c r="H665"/>
  <c r="H664" s="1"/>
  <c r="M13"/>
  <c r="T14"/>
  <c r="T18"/>
  <c r="T28"/>
  <c r="M31"/>
  <c r="I36"/>
  <c r="T36"/>
  <c r="I40"/>
  <c r="M69"/>
  <c r="M70"/>
  <c r="O73"/>
  <c r="O74"/>
  <c r="O96"/>
  <c r="G149"/>
  <c r="H311"/>
  <c r="G318"/>
  <c r="G316" s="1"/>
  <c r="G357"/>
  <c r="K357" s="1"/>
  <c r="T40"/>
  <c r="H157"/>
  <c r="M157" s="1"/>
  <c r="I331"/>
  <c r="H362"/>
  <c r="H360" s="1"/>
  <c r="H359" s="1"/>
  <c r="T12"/>
  <c r="I18"/>
  <c r="M19"/>
  <c r="M27"/>
  <c r="U28"/>
  <c r="I32"/>
  <c r="U32" s="1"/>
  <c r="T32"/>
  <c r="M37"/>
  <c r="G41"/>
  <c r="S41" s="1"/>
  <c r="O41"/>
  <c r="O95"/>
  <c r="K150"/>
  <c r="H238"/>
  <c r="M238" s="1"/>
  <c r="O483"/>
  <c r="I483"/>
  <c r="I481" s="1"/>
  <c r="H150"/>
  <c r="M150" s="1"/>
  <c r="K361"/>
  <c r="I438"/>
  <c r="O439"/>
  <c r="M440"/>
  <c r="H17"/>
  <c r="T17" s="1"/>
  <c r="S27"/>
  <c r="S31"/>
  <c r="H35"/>
  <c r="H39"/>
  <c r="M156"/>
  <c r="H156"/>
  <c r="H155" s="1"/>
  <c r="K204"/>
  <c r="M210"/>
  <c r="M352"/>
  <c r="H352"/>
  <c r="H350" s="1"/>
  <c r="I355"/>
  <c r="G412"/>
  <c r="K412" s="1"/>
  <c r="I502"/>
  <c r="M361"/>
  <c r="I81"/>
  <c r="G94"/>
  <c r="S94" s="1"/>
  <c r="K96"/>
  <c r="H152"/>
  <c r="M152" s="1"/>
  <c r="O156"/>
  <c r="I220"/>
  <c r="O220" s="1"/>
  <c r="M317"/>
  <c r="O351"/>
  <c r="I350"/>
  <c r="I361"/>
  <c r="O408"/>
  <c r="H72"/>
  <c r="K69"/>
  <c r="K95"/>
  <c r="G157"/>
  <c r="G197"/>
  <c r="G196" s="1"/>
  <c r="K198"/>
  <c r="G205"/>
  <c r="G202" s="1"/>
  <c r="K321"/>
  <c r="H456"/>
  <c r="H455" s="1"/>
  <c r="M211"/>
  <c r="M313"/>
  <c r="O336"/>
  <c r="G358"/>
  <c r="H477"/>
  <c r="H476" s="1"/>
  <c r="I150"/>
  <c r="O197"/>
  <c r="I204"/>
  <c r="O204" s="1"/>
  <c r="I205"/>
  <c r="O205" s="1"/>
  <c r="M220"/>
  <c r="I307"/>
  <c r="I306" s="1"/>
  <c r="I305" s="1"/>
  <c r="O318"/>
  <c r="M351"/>
  <c r="I362"/>
  <c r="O362" s="1"/>
  <c r="M321"/>
  <c r="M322"/>
  <c r="K439"/>
  <c r="G350"/>
  <c r="K351"/>
  <c r="M356"/>
  <c r="H413"/>
  <c r="H411" s="1"/>
  <c r="H410" s="1"/>
  <c r="G482"/>
  <c r="G481" s="1"/>
  <c r="K1068"/>
  <c r="G1067"/>
  <c r="G311"/>
  <c r="M336"/>
  <c r="K352"/>
  <c r="O357"/>
  <c r="I403"/>
  <c r="I411"/>
  <c r="I410" s="1"/>
  <c r="O412"/>
  <c r="O413"/>
  <c r="H482"/>
  <c r="G601"/>
  <c r="G600" s="1"/>
  <c r="G603"/>
  <c r="G768"/>
  <c r="G767" s="1"/>
  <c r="G766" s="1"/>
  <c r="H803"/>
  <c r="M803"/>
  <c r="I478"/>
  <c r="I597"/>
  <c r="O597"/>
  <c r="K605"/>
  <c r="O358"/>
  <c r="O440"/>
  <c r="I780"/>
  <c r="I779" s="1"/>
  <c r="I778" s="1"/>
  <c r="H1373"/>
  <c r="M1373" s="1"/>
  <c r="K404"/>
  <c r="O456"/>
  <c r="O504"/>
  <c r="H1195"/>
  <c r="H1193" s="1"/>
  <c r="O352"/>
  <c r="G362"/>
  <c r="K362" s="1"/>
  <c r="G409"/>
  <c r="G407" s="1"/>
  <c r="I409"/>
  <c r="I407" s="1"/>
  <c r="H799"/>
  <c r="H797" s="1"/>
  <c r="G413"/>
  <c r="K413" s="1"/>
  <c r="G440"/>
  <c r="K440" s="1"/>
  <c r="G488"/>
  <c r="G487" s="1"/>
  <c r="I767"/>
  <c r="O768"/>
  <c r="K895"/>
  <c r="G895"/>
  <c r="G894" s="1"/>
  <c r="I598"/>
  <c r="O598" s="1"/>
  <c r="K602"/>
  <c r="K598"/>
  <c r="G808"/>
  <c r="K808" s="1"/>
  <c r="G834"/>
  <c r="K835"/>
  <c r="H804"/>
  <c r="M804" s="1"/>
  <c r="G591"/>
  <c r="H597"/>
  <c r="H596" s="1"/>
  <c r="M605"/>
  <c r="G798"/>
  <c r="G797" s="1"/>
  <c r="I836"/>
  <c r="I834" s="1"/>
  <c r="I1118"/>
  <c r="O1118"/>
  <c r="I1227"/>
  <c r="I1226" s="1"/>
  <c r="O1004"/>
  <c r="H1088"/>
  <c r="M1089"/>
  <c r="I1094"/>
  <c r="O1094" s="1"/>
  <c r="K804"/>
  <c r="H807"/>
  <c r="M807" s="1"/>
  <c r="H1092"/>
  <c r="H1091" s="1"/>
  <c r="M1094"/>
  <c r="I804"/>
  <c r="I802" s="1"/>
  <c r="I1010"/>
  <c r="I1008" s="1"/>
  <c r="O1010"/>
  <c r="I1104"/>
  <c r="I1102" s="1"/>
  <c r="O1104"/>
  <c r="H1111"/>
  <c r="H1110" s="1"/>
  <c r="M1113"/>
  <c r="H808"/>
  <c r="M808" s="1"/>
  <c r="K1000"/>
  <c r="K1112"/>
  <c r="I991"/>
  <c r="O992"/>
  <c r="G1015"/>
  <c r="G1014" s="1"/>
  <c r="K1015"/>
  <c r="I1156"/>
  <c r="I1154" s="1"/>
  <c r="H1201"/>
  <c r="M1202"/>
  <c r="H1038"/>
  <c r="H1037" s="1"/>
  <c r="M1038"/>
  <c r="G1156"/>
  <c r="G1154" s="1"/>
  <c r="K1156"/>
  <c r="O1199"/>
  <c r="I1199"/>
  <c r="G1204"/>
  <c r="I1273"/>
  <c r="I1271" s="1"/>
  <c r="O1273"/>
  <c r="I1281"/>
  <c r="H1451"/>
  <c r="H835"/>
  <c r="I984"/>
  <c r="O984" s="1"/>
  <c r="H1177"/>
  <c r="H1176" s="1"/>
  <c r="I983"/>
  <c r="O983" s="1"/>
  <c r="G1062"/>
  <c r="G1061" s="1"/>
  <c r="H1072"/>
  <c r="H1071" s="1"/>
  <c r="H1070" s="1"/>
  <c r="G1083"/>
  <c r="K1084"/>
  <c r="O1372"/>
  <c r="M798"/>
  <c r="K1064"/>
  <c r="O1075"/>
  <c r="I1074"/>
  <c r="I1073" s="1"/>
  <c r="O1103"/>
  <c r="G1276"/>
  <c r="K1278"/>
  <c r="K983"/>
  <c r="H993"/>
  <c r="H991" s="1"/>
  <c r="M1006"/>
  <c r="I1092"/>
  <c r="G1117"/>
  <c r="K1117" s="1"/>
  <c r="I1202"/>
  <c r="K1004"/>
  <c r="G1108"/>
  <c r="K1108" s="1"/>
  <c r="G1118"/>
  <c r="K1118" s="1"/>
  <c r="G1199"/>
  <c r="K1199" s="1"/>
  <c r="M1263"/>
  <c r="H1262"/>
  <c r="H1261" s="1"/>
  <c r="H1320"/>
  <c r="H1319" s="1"/>
  <c r="H1318" s="1"/>
  <c r="O798"/>
  <c r="G802"/>
  <c r="M928"/>
  <c r="M1001"/>
  <c r="H1003"/>
  <c r="H1002" s="1"/>
  <c r="G1104"/>
  <c r="G1102" s="1"/>
  <c r="H1107"/>
  <c r="K1116"/>
  <c r="I928"/>
  <c r="I927" s="1"/>
  <c r="I926" s="1"/>
  <c r="M1075"/>
  <c r="G1090"/>
  <c r="G1088" s="1"/>
  <c r="K1090"/>
  <c r="O1180"/>
  <c r="I1197"/>
  <c r="I1196" s="1"/>
  <c r="H1417"/>
  <c r="H1416" s="1"/>
  <c r="H1415" s="1"/>
  <c r="G984"/>
  <c r="G982" s="1"/>
  <c r="G993"/>
  <c r="G991" s="1"/>
  <c r="M1010"/>
  <c r="H1015"/>
  <c r="H1014" s="1"/>
  <c r="O1038"/>
  <c r="M1103"/>
  <c r="I1111"/>
  <c r="G1190"/>
  <c r="G1195"/>
  <c r="G1198"/>
  <c r="G1281"/>
  <c r="K1281"/>
  <c r="H1312"/>
  <c r="H1311" s="1"/>
  <c r="M1313"/>
  <c r="H1502"/>
  <c r="M1502"/>
  <c r="O993"/>
  <c r="G1008"/>
  <c r="I1108"/>
  <c r="I1107" s="1"/>
  <c r="O1113"/>
  <c r="K1189"/>
  <c r="O1198"/>
  <c r="I1262"/>
  <c r="O1263"/>
  <c r="I1001"/>
  <c r="O1001" s="1"/>
  <c r="O1006"/>
  <c r="I1038"/>
  <c r="I1037" s="1"/>
  <c r="I1078"/>
  <c r="I1077" s="1"/>
  <c r="O1089"/>
  <c r="M1116"/>
  <c r="M1144"/>
  <c r="M1493"/>
  <c r="M983"/>
  <c r="G1001"/>
  <c r="O1015"/>
  <c r="K1085"/>
  <c r="K1093"/>
  <c r="G1109"/>
  <c r="K1109" s="1"/>
  <c r="I1116"/>
  <c r="O1116"/>
  <c r="I1174"/>
  <c r="H1179"/>
  <c r="M1180"/>
  <c r="H1287"/>
  <c r="M1287" s="1"/>
  <c r="G1094"/>
  <c r="G1113"/>
  <c r="G1111" s="1"/>
  <c r="M1227"/>
  <c r="H1234"/>
  <c r="H1233" s="1"/>
  <c r="H1232" s="1"/>
  <c r="O1260"/>
  <c r="M1277"/>
  <c r="M1281"/>
  <c r="I1451"/>
  <c r="I1450" s="1"/>
  <c r="G1271"/>
  <c r="K1272"/>
  <c r="O1195"/>
  <c r="M1204"/>
  <c r="K1273"/>
  <c r="G1273"/>
  <c r="G1282"/>
  <c r="K1282"/>
  <c r="H1284"/>
  <c r="G1325"/>
  <c r="M1189"/>
  <c r="I1418"/>
  <c r="H1260"/>
  <c r="H1259" s="1"/>
  <c r="I1313"/>
  <c r="G1411"/>
  <c r="G1471"/>
  <c r="G1237"/>
  <c r="M1273"/>
  <c r="O1277"/>
  <c r="O1286"/>
  <c r="M1325"/>
  <c r="K1451"/>
  <c r="G1450"/>
  <c r="H1544"/>
  <c r="O1325"/>
  <c r="H1371"/>
  <c r="G1286"/>
  <c r="G1284" s="1"/>
  <c r="K1408"/>
  <c r="I1493"/>
  <c r="O1493" s="1"/>
  <c r="H1535"/>
  <c r="H1534" s="1"/>
  <c r="M1420"/>
  <c r="H1585"/>
  <c r="O1420"/>
  <c r="I1585"/>
  <c r="I1584" s="1"/>
  <c r="O1585"/>
  <c r="I1498"/>
  <c r="O1498" s="1"/>
  <c r="K1502"/>
  <c r="G1502"/>
  <c r="I1545"/>
  <c r="O1545" s="1"/>
  <c r="M1540"/>
  <c r="I1544"/>
  <c r="O1544" s="1"/>
  <c r="I1656"/>
  <c r="H1694"/>
  <c r="I1592"/>
  <c r="I1591" s="1"/>
  <c r="O1467"/>
  <c r="I1487"/>
  <c r="H1590"/>
  <c r="G1684"/>
  <c r="K1684" s="1"/>
  <c r="G1693"/>
  <c r="I1561"/>
  <c r="G1701"/>
  <c r="I1680"/>
  <c r="I1536"/>
  <c r="O1536" s="1"/>
  <c r="G1581"/>
  <c r="G1652"/>
  <c r="K1652" s="1"/>
  <c r="H1702"/>
  <c r="H1700" s="1"/>
  <c r="H1699" s="1"/>
  <c r="H1487"/>
  <c r="I1577"/>
  <c r="K1595"/>
  <c r="G1594"/>
  <c r="G1593" s="1"/>
  <c r="H1674"/>
  <c r="K1540"/>
  <c r="I1594"/>
  <c r="O1595"/>
  <c r="H1598"/>
  <c r="H1597" s="1"/>
  <c r="M1598"/>
  <c r="G1637"/>
  <c r="K1637" s="1"/>
  <c r="I1598"/>
  <c r="I1597" s="1"/>
  <c r="H1635"/>
  <c r="M1636"/>
  <c r="M1637"/>
  <c r="O1674"/>
  <c r="M1701"/>
  <c r="H1593"/>
  <c r="O1636"/>
  <c r="I1635"/>
  <c r="K1657"/>
  <c r="O1679"/>
  <c r="M1693"/>
  <c r="G1636"/>
  <c r="K1636" s="1"/>
  <c r="I1650"/>
  <c r="I1692"/>
  <c r="O1693"/>
  <c r="I1700"/>
  <c r="I1699" s="1"/>
  <c r="O1701"/>
  <c r="K1631"/>
  <c r="K1592"/>
  <c r="M1595"/>
  <c r="H1608"/>
  <c r="H1607" s="1"/>
  <c r="K1651"/>
  <c r="I1657"/>
  <c r="O1657" s="1"/>
  <c r="K1675"/>
  <c r="K1683"/>
  <c r="O1684"/>
  <c r="M1592"/>
  <c r="H1651"/>
  <c r="H1650" s="1"/>
  <c r="M1651"/>
  <c r="G1673"/>
  <c r="H1675"/>
  <c r="M1675" s="1"/>
  <c r="K1679"/>
  <c r="M1680"/>
  <c r="H1683"/>
  <c r="H1682" s="1"/>
  <c r="H1681" s="1"/>
  <c r="K1694"/>
  <c r="K1702"/>
  <c r="I1673" l="1"/>
  <c r="O1683"/>
  <c r="H1280"/>
  <c r="H1279" s="1"/>
  <c r="M1702"/>
  <c r="M413"/>
  <c r="M362"/>
  <c r="K1427"/>
  <c r="M1156"/>
  <c r="M780"/>
  <c r="H196"/>
  <c r="I1539"/>
  <c r="G355"/>
  <c r="H1673"/>
  <c r="H1008"/>
  <c r="K1544"/>
  <c r="O1090"/>
  <c r="H438"/>
  <c r="M1683"/>
  <c r="O1598"/>
  <c r="O1227"/>
  <c r="G35"/>
  <c r="S35" s="1"/>
  <c r="H1655"/>
  <c r="M318"/>
  <c r="O1592"/>
  <c r="G1007"/>
  <c r="O928"/>
  <c r="M1195"/>
  <c r="O307"/>
  <c r="H1630"/>
  <c r="I1237"/>
  <c r="I1236" s="1"/>
  <c r="I1235" s="1"/>
  <c r="I1201"/>
  <c r="O1202"/>
  <c r="I999"/>
  <c r="O478"/>
  <c r="I476"/>
  <c r="I149"/>
  <c r="O150"/>
  <c r="G1700"/>
  <c r="G1699" s="1"/>
  <c r="K1701"/>
  <c r="I71"/>
  <c r="U72"/>
  <c r="I402"/>
  <c r="O403"/>
  <c r="K1094"/>
  <c r="G1092"/>
  <c r="M1260"/>
  <c r="I678"/>
  <c r="I677" s="1"/>
  <c r="I676" s="1"/>
  <c r="O679"/>
  <c r="H71"/>
  <c r="T72"/>
  <c r="H202"/>
  <c r="M203"/>
  <c r="K1195"/>
  <c r="G1193"/>
  <c r="H1410"/>
  <c r="H1409" s="1"/>
  <c r="M1411"/>
  <c r="I806"/>
  <c r="I805" s="1"/>
  <c r="O808"/>
  <c r="K1190"/>
  <c r="G1188"/>
  <c r="K482"/>
  <c r="H1576"/>
  <c r="H1575" s="1"/>
  <c r="H1574" s="1"/>
  <c r="H1573" s="1"/>
  <c r="M1577"/>
  <c r="G1470"/>
  <c r="G1469" s="1"/>
  <c r="K1471"/>
  <c r="G999"/>
  <c r="G998" s="1"/>
  <c r="K1001"/>
  <c r="G806"/>
  <c r="G805" s="1"/>
  <c r="M799"/>
  <c r="G155"/>
  <c r="G148" s="1"/>
  <c r="K157"/>
  <c r="G1201"/>
  <c r="K1204"/>
  <c r="H1153"/>
  <c r="H1152" s="1"/>
  <c r="M1694"/>
  <c r="H1692"/>
  <c r="H834"/>
  <c r="M835"/>
  <c r="H1543"/>
  <c r="M1544"/>
  <c r="H1450"/>
  <c r="M1451"/>
  <c r="I196"/>
  <c r="O198"/>
  <c r="I1234"/>
  <c r="I1233" s="1"/>
  <c r="I1232" s="1"/>
  <c r="T95"/>
  <c r="H94"/>
  <c r="T94" s="1"/>
  <c r="G1197"/>
  <c r="G1196" s="1"/>
  <c r="G1115"/>
  <c r="K984"/>
  <c r="I360"/>
  <c r="I359" s="1"/>
  <c r="I320"/>
  <c r="I319" s="1"/>
  <c r="M679"/>
  <c r="O312"/>
  <c r="G72"/>
  <c r="S73"/>
  <c r="M1535"/>
  <c r="I1115"/>
  <c r="O804"/>
  <c r="O1177"/>
  <c r="K73"/>
  <c r="K37"/>
  <c r="H481"/>
  <c r="G1682"/>
  <c r="M1674"/>
  <c r="O1451"/>
  <c r="O1108"/>
  <c r="K798"/>
  <c r="M81"/>
  <c r="O19"/>
  <c r="I1280"/>
  <c r="U81"/>
  <c r="G1002"/>
  <c r="M95"/>
  <c r="H1486"/>
  <c r="M1487"/>
  <c r="G1650"/>
  <c r="I1576"/>
  <c r="O1577"/>
  <c r="I1486"/>
  <c r="O1487"/>
  <c r="I1534"/>
  <c r="H1584"/>
  <c r="M1585"/>
  <c r="I1312"/>
  <c r="O1313"/>
  <c r="H1370"/>
  <c r="G1681"/>
  <c r="I1678"/>
  <c r="O1680"/>
  <c r="I1655"/>
  <c r="O1656"/>
  <c r="K1325"/>
  <c r="G1323"/>
  <c r="G1580"/>
  <c r="G1110"/>
  <c r="G1692"/>
  <c r="K1693"/>
  <c r="G1410"/>
  <c r="K1411"/>
  <c r="I1076"/>
  <c r="G765"/>
  <c r="U14"/>
  <c r="I11"/>
  <c r="I35"/>
  <c r="U36"/>
  <c r="I1543"/>
  <c r="K1113"/>
  <c r="I998"/>
  <c r="H806"/>
  <c r="I1225"/>
  <c r="K768"/>
  <c r="G599"/>
  <c r="O409"/>
  <c r="G360"/>
  <c r="M456"/>
  <c r="M665"/>
  <c r="H29"/>
  <c r="T30"/>
  <c r="G39"/>
  <c r="O28"/>
  <c r="I1261"/>
  <c r="H1175"/>
  <c r="H149"/>
  <c r="G24"/>
  <c r="S29"/>
  <c r="G1236"/>
  <c r="G1234"/>
  <c r="I1596"/>
  <c r="H1542"/>
  <c r="H1178"/>
  <c r="G1280"/>
  <c r="I1110"/>
  <c r="K993"/>
  <c r="K1104"/>
  <c r="H1151"/>
  <c r="M993"/>
  <c r="O836"/>
  <c r="K488"/>
  <c r="K601"/>
  <c r="M482"/>
  <c r="M477"/>
  <c r="K358"/>
  <c r="I26"/>
  <c r="H663"/>
  <c r="I777"/>
  <c r="K205"/>
  <c r="G1635"/>
  <c r="I1590"/>
  <c r="I1583"/>
  <c r="I1173"/>
  <c r="G1107"/>
  <c r="M1015"/>
  <c r="I982"/>
  <c r="O1281"/>
  <c r="H1036"/>
  <c r="H1035"/>
  <c r="G893"/>
  <c r="O780"/>
  <c r="G1066"/>
  <c r="I202"/>
  <c r="G438"/>
  <c r="O81"/>
  <c r="K197"/>
  <c r="H25"/>
  <c r="T26"/>
  <c r="K41"/>
  <c r="O36"/>
  <c r="S11"/>
  <c r="G1091"/>
  <c r="I1153"/>
  <c r="H1258"/>
  <c r="O1078"/>
  <c r="I1091"/>
  <c r="O1156"/>
  <c r="I603"/>
  <c r="I596"/>
  <c r="I304"/>
  <c r="I501"/>
  <c r="T39"/>
  <c r="H38"/>
  <c r="I17"/>
  <c r="U18"/>
  <c r="I39"/>
  <c r="U40"/>
  <c r="O18"/>
  <c r="I1279"/>
  <c r="G1153"/>
  <c r="G411"/>
  <c r="O14"/>
  <c r="I1681"/>
  <c r="H1596"/>
  <c r="I1593"/>
  <c r="K1286"/>
  <c r="I1036"/>
  <c r="I1035"/>
  <c r="K1198"/>
  <c r="M1417"/>
  <c r="H1069"/>
  <c r="M1177"/>
  <c r="M597"/>
  <c r="I766"/>
  <c r="K409"/>
  <c r="H802"/>
  <c r="H454"/>
  <c r="O361"/>
  <c r="T35"/>
  <c r="H34"/>
  <c r="I30"/>
  <c r="K318"/>
  <c r="O322"/>
  <c r="G34" l="1"/>
  <c r="U71"/>
  <c r="I66"/>
  <c r="G71"/>
  <c r="S72"/>
  <c r="T71"/>
  <c r="H66"/>
  <c r="T66" s="1"/>
  <c r="I1172"/>
  <c r="G1279"/>
  <c r="H805"/>
  <c r="G1322"/>
  <c r="H1257"/>
  <c r="H1150"/>
  <c r="S34"/>
  <c r="G359"/>
  <c r="H1369"/>
  <c r="T34"/>
  <c r="S24"/>
  <c r="H1485"/>
  <c r="H65"/>
  <c r="T65" s="1"/>
  <c r="H33"/>
  <c r="T38"/>
  <c r="I1582"/>
  <c r="I1152"/>
  <c r="I765"/>
  <c r="G1065"/>
  <c r="H1034"/>
  <c r="I29"/>
  <c r="U30"/>
  <c r="U39"/>
  <c r="I38"/>
  <c r="I500"/>
  <c r="G147"/>
  <c r="T29"/>
  <c r="H24"/>
  <c r="I1485"/>
  <c r="I1257"/>
  <c r="T25"/>
  <c r="I1542"/>
  <c r="U11"/>
  <c r="H662"/>
  <c r="G1235"/>
  <c r="H1174"/>
  <c r="H1589"/>
  <c r="H1583"/>
  <c r="H1572"/>
  <c r="I25"/>
  <c r="U26"/>
  <c r="G38"/>
  <c r="S39"/>
  <c r="I1072"/>
  <c r="I1034"/>
  <c r="I1589"/>
  <c r="I303"/>
  <c r="U35"/>
  <c r="I34"/>
  <c r="G1233"/>
  <c r="I1575"/>
  <c r="G410"/>
  <c r="G1152"/>
  <c r="U17"/>
  <c r="G1579"/>
  <c r="I1311"/>
  <c r="U66" l="1"/>
  <c r="I65"/>
  <c r="S71"/>
  <c r="G66"/>
  <c r="G1151"/>
  <c r="H1588"/>
  <c r="I1588"/>
  <c r="U25"/>
  <c r="G1321"/>
  <c r="I1033"/>
  <c r="I1071"/>
  <c r="T24"/>
  <c r="H1256"/>
  <c r="H1368"/>
  <c r="I1484"/>
  <c r="H1484"/>
  <c r="I1171"/>
  <c r="G1232"/>
  <c r="I1151"/>
  <c r="I1581"/>
  <c r="H1571"/>
  <c r="I1256"/>
  <c r="I33"/>
  <c r="U38"/>
  <c r="T33"/>
  <c r="I1574"/>
  <c r="H1582"/>
  <c r="H1173"/>
  <c r="H64"/>
  <c r="H1149"/>
  <c r="U34"/>
  <c r="I302"/>
  <c r="G33"/>
  <c r="S38"/>
  <c r="U29"/>
  <c r="I24"/>
  <c r="H1033"/>
  <c r="G65" l="1"/>
  <c r="S66"/>
  <c r="U65"/>
  <c r="I64"/>
  <c r="U64" s="1"/>
  <c r="T64"/>
  <c r="S33"/>
  <c r="I1573"/>
  <c r="H1570"/>
  <c r="H1483"/>
  <c r="H1482"/>
  <c r="H1587"/>
  <c r="U24"/>
  <c r="I1170"/>
  <c r="H1172"/>
  <c r="I1255"/>
  <c r="G1320"/>
  <c r="I1587"/>
  <c r="H1581"/>
  <c r="U33"/>
  <c r="I1580"/>
  <c r="I1150"/>
  <c r="H1367"/>
  <c r="I1070"/>
  <c r="I1483"/>
  <c r="I1482"/>
  <c r="H1255"/>
  <c r="G1150"/>
  <c r="S65" l="1"/>
  <c r="G64"/>
  <c r="S64" s="1"/>
  <c r="H1580"/>
  <c r="I1572"/>
  <c r="H1254"/>
  <c r="I1254"/>
  <c r="I1069"/>
  <c r="H1586"/>
  <c r="I1149"/>
  <c r="H1171"/>
  <c r="H1366"/>
  <c r="G1319"/>
  <c r="G1149"/>
  <c r="I1579"/>
  <c r="I1586"/>
  <c r="I1253" l="1"/>
  <c r="H1170"/>
  <c r="H1579"/>
  <c r="H1253"/>
  <c r="G1318"/>
  <c r="I1571"/>
  <c r="I1578"/>
  <c r="H1578" l="1"/>
  <c r="I1570"/>
  <c r="G1706" i="32" l="1"/>
  <c r="I1709" i="30" l="1"/>
  <c r="H1709"/>
  <c r="G1709"/>
  <c r="N1705"/>
  <c r="O1705" s="1"/>
  <c r="M1705"/>
  <c r="K1705"/>
  <c r="J1704"/>
  <c r="K1704" s="1"/>
  <c r="N1703"/>
  <c r="O1703" s="1"/>
  <c r="L1703"/>
  <c r="M1703" s="1"/>
  <c r="J1703"/>
  <c r="K1703" s="1"/>
  <c r="N1702"/>
  <c r="L1702"/>
  <c r="H1702" s="1"/>
  <c r="J1702"/>
  <c r="G1702" s="1"/>
  <c r="K1702" s="1"/>
  <c r="I1702"/>
  <c r="N1701"/>
  <c r="L1701"/>
  <c r="H1701" s="1"/>
  <c r="J1701"/>
  <c r="N1694"/>
  <c r="L1694"/>
  <c r="J1694"/>
  <c r="G1694" s="1"/>
  <c r="K1694" s="1"/>
  <c r="I1694"/>
  <c r="O1694" s="1"/>
  <c r="N1693"/>
  <c r="L1693"/>
  <c r="H1693" s="1"/>
  <c r="J1693"/>
  <c r="N1685"/>
  <c r="L1685"/>
  <c r="M1685" s="1"/>
  <c r="J1685"/>
  <c r="N1684"/>
  <c r="I1684" s="1"/>
  <c r="O1684" s="1"/>
  <c r="L1684"/>
  <c r="J1684"/>
  <c r="G1684" s="1"/>
  <c r="K1684" s="1"/>
  <c r="N1683"/>
  <c r="I1683" s="1"/>
  <c r="L1683"/>
  <c r="J1683"/>
  <c r="H1683"/>
  <c r="G1683"/>
  <c r="N1680"/>
  <c r="L1680"/>
  <c r="J1680"/>
  <c r="G1680" s="1"/>
  <c r="N1679"/>
  <c r="L1679"/>
  <c r="J1679"/>
  <c r="G1679" s="1"/>
  <c r="I1679"/>
  <c r="H1679"/>
  <c r="N1675"/>
  <c r="I1675" s="1"/>
  <c r="L1675"/>
  <c r="H1675" s="1"/>
  <c r="J1675"/>
  <c r="G1675"/>
  <c r="N1674"/>
  <c r="L1674"/>
  <c r="J1674"/>
  <c r="I1674"/>
  <c r="H1674"/>
  <c r="N1657"/>
  <c r="L1657"/>
  <c r="H1657" s="1"/>
  <c r="M1657" s="1"/>
  <c r="J1657"/>
  <c r="N1656"/>
  <c r="L1656"/>
  <c r="J1656"/>
  <c r="N1652"/>
  <c r="L1652"/>
  <c r="H1652" s="1"/>
  <c r="J1652"/>
  <c r="N1651"/>
  <c r="O1651" s="1"/>
  <c r="L1651"/>
  <c r="J1651"/>
  <c r="G1651" s="1"/>
  <c r="I1651"/>
  <c r="N1637"/>
  <c r="L1637"/>
  <c r="H1637" s="1"/>
  <c r="J1637"/>
  <c r="N1636"/>
  <c r="I1636" s="1"/>
  <c r="L1636"/>
  <c r="H1636" s="1"/>
  <c r="J1636"/>
  <c r="G1636"/>
  <c r="K1636" s="1"/>
  <c r="N1632"/>
  <c r="I1632" s="1"/>
  <c r="L1632"/>
  <c r="J1632"/>
  <c r="G1632" s="1"/>
  <c r="N1631"/>
  <c r="I1631" s="1"/>
  <c r="L1631"/>
  <c r="H1631" s="1"/>
  <c r="K1631"/>
  <c r="J1631"/>
  <c r="G1631"/>
  <c r="N1612"/>
  <c r="O1612" s="1"/>
  <c r="L1612"/>
  <c r="M1612" s="1"/>
  <c r="J1612"/>
  <c r="K1612" s="1"/>
  <c r="N1611"/>
  <c r="L1611"/>
  <c r="H1611" s="1"/>
  <c r="N1610"/>
  <c r="O1610" s="1"/>
  <c r="L1610"/>
  <c r="M1610" s="1"/>
  <c r="I1609"/>
  <c r="I1608" s="1"/>
  <c r="I1607" s="1"/>
  <c r="H1609"/>
  <c r="H1608" s="1"/>
  <c r="H1607" s="1"/>
  <c r="N1598"/>
  <c r="L1598"/>
  <c r="N1595"/>
  <c r="I1595" s="1"/>
  <c r="L1595"/>
  <c r="J1595"/>
  <c r="G1595"/>
  <c r="G1594" s="1"/>
  <c r="N1592"/>
  <c r="L1592"/>
  <c r="H1592" s="1"/>
  <c r="J1592"/>
  <c r="N1585"/>
  <c r="L1585"/>
  <c r="K1585"/>
  <c r="J1585"/>
  <c r="G1585" s="1"/>
  <c r="G1584"/>
  <c r="N1577"/>
  <c r="L1577"/>
  <c r="N1564"/>
  <c r="L1564"/>
  <c r="H1564" s="1"/>
  <c r="M1564" s="1"/>
  <c r="I1564"/>
  <c r="I1563" s="1"/>
  <c r="I1562" s="1"/>
  <c r="N1545"/>
  <c r="I1545" s="1"/>
  <c r="L1545"/>
  <c r="H1545" s="1"/>
  <c r="J1545"/>
  <c r="N1544"/>
  <c r="L1544"/>
  <c r="J1544"/>
  <c r="G1544" s="1"/>
  <c r="I1544"/>
  <c r="I1543" s="1"/>
  <c r="I1542" s="1"/>
  <c r="H1544"/>
  <c r="N1541"/>
  <c r="L1541"/>
  <c r="J1541"/>
  <c r="G1541"/>
  <c r="N1540"/>
  <c r="L1540"/>
  <c r="J1540"/>
  <c r="G1540" s="1"/>
  <c r="K1540" s="1"/>
  <c r="I1540"/>
  <c r="O1540" s="1"/>
  <c r="N1536"/>
  <c r="I1536" s="1"/>
  <c r="O1536" s="1"/>
  <c r="L1536"/>
  <c r="J1536"/>
  <c r="H1536"/>
  <c r="M1536" s="1"/>
  <c r="G1536"/>
  <c r="K1536" s="1"/>
  <c r="N1535"/>
  <c r="I1535" s="1"/>
  <c r="L1535"/>
  <c r="H1535" s="1"/>
  <c r="J1535"/>
  <c r="N1521"/>
  <c r="L1521"/>
  <c r="M1521" s="1"/>
  <c r="J1521"/>
  <c r="N1502"/>
  <c r="L1502"/>
  <c r="J1502"/>
  <c r="I1502"/>
  <c r="O1502" s="1"/>
  <c r="N1498"/>
  <c r="L1498"/>
  <c r="J1498"/>
  <c r="H1498"/>
  <c r="G1498"/>
  <c r="N1493"/>
  <c r="I1493" s="1"/>
  <c r="L1493"/>
  <c r="J1493"/>
  <c r="G1493" s="1"/>
  <c r="K1493" s="1"/>
  <c r="N1487"/>
  <c r="L1487"/>
  <c r="H1487" s="1"/>
  <c r="I1487"/>
  <c r="I1486" s="1"/>
  <c r="I1485" s="1"/>
  <c r="I1484" s="1"/>
  <c r="J1471"/>
  <c r="G1471" s="1"/>
  <c r="K1471" s="1"/>
  <c r="J1468"/>
  <c r="N1467"/>
  <c r="I1467" s="1"/>
  <c r="L1467"/>
  <c r="H1467" s="1"/>
  <c r="H1466" s="1"/>
  <c r="N1451"/>
  <c r="L1451"/>
  <c r="H1451" s="1"/>
  <c r="H1450" s="1"/>
  <c r="J1451"/>
  <c r="G1451" s="1"/>
  <c r="G1450" s="1"/>
  <c r="J1427"/>
  <c r="N1420"/>
  <c r="I1420" s="1"/>
  <c r="I1419" s="1"/>
  <c r="L1420"/>
  <c r="H1420" s="1"/>
  <c r="H1419" s="1"/>
  <c r="N1417"/>
  <c r="L1417"/>
  <c r="H1417" s="1"/>
  <c r="I1417"/>
  <c r="L1411"/>
  <c r="H1411" s="1"/>
  <c r="J1411"/>
  <c r="J1409"/>
  <c r="K1409" s="1"/>
  <c r="J1408"/>
  <c r="N1373"/>
  <c r="L1373"/>
  <c r="J1373"/>
  <c r="N1372"/>
  <c r="L1372"/>
  <c r="N1347"/>
  <c r="L1347"/>
  <c r="M1347" s="1"/>
  <c r="J1347"/>
  <c r="N1325"/>
  <c r="L1325"/>
  <c r="H1325" s="1"/>
  <c r="J1325"/>
  <c r="N1324"/>
  <c r="I1324" s="1"/>
  <c r="L1324"/>
  <c r="J1324"/>
  <c r="G1324" s="1"/>
  <c r="H1324"/>
  <c r="N1313"/>
  <c r="I1313" s="1"/>
  <c r="L1313"/>
  <c r="H1313"/>
  <c r="M1313" s="1"/>
  <c r="N1287"/>
  <c r="I1287" s="1"/>
  <c r="O1287" s="1"/>
  <c r="L1287"/>
  <c r="J1287"/>
  <c r="G1287" s="1"/>
  <c r="H1287"/>
  <c r="N1286"/>
  <c r="I1286" s="1"/>
  <c r="L1286"/>
  <c r="J1286"/>
  <c r="N1285"/>
  <c r="I1285" s="1"/>
  <c r="L1285"/>
  <c r="J1285"/>
  <c r="G1285" s="1"/>
  <c r="H1285"/>
  <c r="N1282"/>
  <c r="M1282"/>
  <c r="L1282"/>
  <c r="J1282"/>
  <c r="H1282"/>
  <c r="N1281"/>
  <c r="L1281"/>
  <c r="J1281"/>
  <c r="N1278"/>
  <c r="L1278"/>
  <c r="H1278" s="1"/>
  <c r="J1278"/>
  <c r="N1277"/>
  <c r="L1277"/>
  <c r="J1277"/>
  <c r="N1273"/>
  <c r="L1273"/>
  <c r="H1273" s="1"/>
  <c r="J1273"/>
  <c r="I1273"/>
  <c r="N1272"/>
  <c r="L1272"/>
  <c r="H1272" s="1"/>
  <c r="J1272"/>
  <c r="I1272"/>
  <c r="N1264"/>
  <c r="O1264" s="1"/>
  <c r="L1264"/>
  <c r="M1264" s="1"/>
  <c r="J1264"/>
  <c r="N1263"/>
  <c r="L1263"/>
  <c r="N1260"/>
  <c r="L1260"/>
  <c r="H1260"/>
  <c r="H1259" s="1"/>
  <c r="H1258" s="1"/>
  <c r="N1239"/>
  <c r="L1239"/>
  <c r="J1239"/>
  <c r="G1239" s="1"/>
  <c r="N1238"/>
  <c r="I1238" s="1"/>
  <c r="L1238"/>
  <c r="H1238" s="1"/>
  <c r="J1238"/>
  <c r="G1238" s="1"/>
  <c r="N1227"/>
  <c r="I1227" s="1"/>
  <c r="I1226" s="1"/>
  <c r="I1225" s="1"/>
  <c r="L1227"/>
  <c r="D1209"/>
  <c r="C1209"/>
  <c r="B1209"/>
  <c r="D1208"/>
  <c r="C1208"/>
  <c r="B1208"/>
  <c r="D1207"/>
  <c r="C1207"/>
  <c r="B1207"/>
  <c r="N1204"/>
  <c r="I1204" s="1"/>
  <c r="O1204" s="1"/>
  <c r="L1204"/>
  <c r="J1204"/>
  <c r="K1204" s="1"/>
  <c r="G1204"/>
  <c r="N1203"/>
  <c r="L1203"/>
  <c r="H1203" s="1"/>
  <c r="J1203"/>
  <c r="G1203" s="1"/>
  <c r="I1203"/>
  <c r="N1202"/>
  <c r="L1202"/>
  <c r="J1202"/>
  <c r="N1199"/>
  <c r="I1199" s="1"/>
  <c r="L1199"/>
  <c r="H1199" s="1"/>
  <c r="J1199"/>
  <c r="N1198"/>
  <c r="I1198" s="1"/>
  <c r="L1198"/>
  <c r="J1198"/>
  <c r="G1198" s="1"/>
  <c r="H1198"/>
  <c r="H1197" s="1"/>
  <c r="H1196" s="1"/>
  <c r="N1195"/>
  <c r="L1195"/>
  <c r="H1195" s="1"/>
  <c r="J1195"/>
  <c r="I1195"/>
  <c r="N1194"/>
  <c r="L1194"/>
  <c r="J1194"/>
  <c r="N1190"/>
  <c r="I1190" s="1"/>
  <c r="L1190"/>
  <c r="H1190" s="1"/>
  <c r="J1190"/>
  <c r="G1190"/>
  <c r="K1190" s="1"/>
  <c r="N1189"/>
  <c r="L1189"/>
  <c r="H1189" s="1"/>
  <c r="J1189"/>
  <c r="G1189" s="1"/>
  <c r="I1189"/>
  <c r="N1181"/>
  <c r="O1181" s="1"/>
  <c r="L1181"/>
  <c r="J1181"/>
  <c r="K1181" s="1"/>
  <c r="N1180"/>
  <c r="L1180"/>
  <c r="N1177"/>
  <c r="I1177" s="1"/>
  <c r="L1177"/>
  <c r="H1177" s="1"/>
  <c r="M1177" s="1"/>
  <c r="N1156"/>
  <c r="L1156"/>
  <c r="J1156"/>
  <c r="N1155"/>
  <c r="I1155" s="1"/>
  <c r="L1155"/>
  <c r="H1155" s="1"/>
  <c r="J1155"/>
  <c r="G1155" s="1"/>
  <c r="N1144"/>
  <c r="L1144"/>
  <c r="H1144" s="1"/>
  <c r="I1144"/>
  <c r="I1143" s="1"/>
  <c r="I1142" s="1"/>
  <c r="H1143"/>
  <c r="H1142" s="1"/>
  <c r="N1118"/>
  <c r="L1118"/>
  <c r="J1118"/>
  <c r="G1118" s="1"/>
  <c r="K1118" s="1"/>
  <c r="I1118"/>
  <c r="N1117"/>
  <c r="I1117" s="1"/>
  <c r="L1117"/>
  <c r="H1117" s="1"/>
  <c r="J1117"/>
  <c r="N1116"/>
  <c r="L1116"/>
  <c r="J1116"/>
  <c r="G1116" s="1"/>
  <c r="K1116" s="1"/>
  <c r="N1113"/>
  <c r="I1113" s="1"/>
  <c r="L1113"/>
  <c r="H1113" s="1"/>
  <c r="J1113"/>
  <c r="N1112"/>
  <c r="L1112"/>
  <c r="H1112" s="1"/>
  <c r="J1112"/>
  <c r="G1112" s="1"/>
  <c r="I1112"/>
  <c r="N1109"/>
  <c r="L1109"/>
  <c r="J1109"/>
  <c r="H1109"/>
  <c r="N1108"/>
  <c r="I1108" s="1"/>
  <c r="L1108"/>
  <c r="J1108"/>
  <c r="G1108" s="1"/>
  <c r="N1104"/>
  <c r="I1104" s="1"/>
  <c r="O1104" s="1"/>
  <c r="L1104"/>
  <c r="H1104" s="1"/>
  <c r="M1104" s="1"/>
  <c r="J1104"/>
  <c r="N1103"/>
  <c r="L1103"/>
  <c r="J1103"/>
  <c r="G1103" s="1"/>
  <c r="N1095"/>
  <c r="L1095"/>
  <c r="J1095"/>
  <c r="N1094"/>
  <c r="O1094" s="1"/>
  <c r="L1094"/>
  <c r="H1094" s="1"/>
  <c r="J1094"/>
  <c r="G1094" s="1"/>
  <c r="I1094"/>
  <c r="N1093"/>
  <c r="L1093"/>
  <c r="H1093" s="1"/>
  <c r="H1092" s="1"/>
  <c r="J1093"/>
  <c r="N1090"/>
  <c r="I1090" s="1"/>
  <c r="L1090"/>
  <c r="H1090" s="1"/>
  <c r="M1090" s="1"/>
  <c r="J1090"/>
  <c r="G1090" s="1"/>
  <c r="K1090" s="1"/>
  <c r="N1089"/>
  <c r="I1089" s="1"/>
  <c r="L1089"/>
  <c r="J1089"/>
  <c r="N1085"/>
  <c r="L1085"/>
  <c r="H1085" s="1"/>
  <c r="J1085"/>
  <c r="N1084"/>
  <c r="L1084"/>
  <c r="H1084" s="1"/>
  <c r="J1084"/>
  <c r="G1084"/>
  <c r="K1084" s="1"/>
  <c r="N1078"/>
  <c r="L1078"/>
  <c r="H1078" s="1"/>
  <c r="H1077"/>
  <c r="H1076" s="1"/>
  <c r="N1075"/>
  <c r="I1075" s="1"/>
  <c r="I1074" s="1"/>
  <c r="L1075"/>
  <c r="H1075"/>
  <c r="H1074" s="1"/>
  <c r="J1068"/>
  <c r="G1068" s="1"/>
  <c r="G1067" s="1"/>
  <c r="G1066" s="1"/>
  <c r="J1064"/>
  <c r="G1064" s="1"/>
  <c r="G1063" s="1"/>
  <c r="N1038"/>
  <c r="I1038" s="1"/>
  <c r="L1038"/>
  <c r="N1017"/>
  <c r="L1017"/>
  <c r="J1017"/>
  <c r="N1016"/>
  <c r="I1016" s="1"/>
  <c r="L1016"/>
  <c r="J1016"/>
  <c r="G1016" s="1"/>
  <c r="N1015"/>
  <c r="L1015"/>
  <c r="J1015"/>
  <c r="G1015"/>
  <c r="J1013"/>
  <c r="N1011"/>
  <c r="I1011" s="1"/>
  <c r="L1011"/>
  <c r="H1011" s="1"/>
  <c r="J1011"/>
  <c r="G1011" s="1"/>
  <c r="N1010"/>
  <c r="I1010" s="1"/>
  <c r="L1010"/>
  <c r="J1010"/>
  <c r="N1009"/>
  <c r="L1009"/>
  <c r="J1009"/>
  <c r="I1009"/>
  <c r="N1006"/>
  <c r="L1006"/>
  <c r="J1006"/>
  <c r="I1006"/>
  <c r="N1005"/>
  <c r="L1005"/>
  <c r="H1005" s="1"/>
  <c r="J1005"/>
  <c r="G1005" s="1"/>
  <c r="I1005"/>
  <c r="O1004"/>
  <c r="N1004"/>
  <c r="I1004" s="1"/>
  <c r="L1004"/>
  <c r="H1004" s="1"/>
  <c r="J1004"/>
  <c r="N1001"/>
  <c r="I1001" s="1"/>
  <c r="L1001"/>
  <c r="H1001" s="1"/>
  <c r="J1001"/>
  <c r="G1001"/>
  <c r="N1000"/>
  <c r="L1000"/>
  <c r="J1000"/>
  <c r="I1000"/>
  <c r="H1000"/>
  <c r="G1000"/>
  <c r="N993"/>
  <c r="I993" s="1"/>
  <c r="L993"/>
  <c r="J993"/>
  <c r="G993" s="1"/>
  <c r="H993"/>
  <c r="N992"/>
  <c r="I992" s="1"/>
  <c r="L992"/>
  <c r="H992" s="1"/>
  <c r="J992"/>
  <c r="G992" s="1"/>
  <c r="N984"/>
  <c r="L984"/>
  <c r="H984" s="1"/>
  <c r="J984"/>
  <c r="G984"/>
  <c r="K984" s="1"/>
  <c r="N983"/>
  <c r="L983"/>
  <c r="J983"/>
  <c r="I983"/>
  <c r="N928"/>
  <c r="I928" s="1"/>
  <c r="O928" s="1"/>
  <c r="L928"/>
  <c r="H928"/>
  <c r="H927" s="1"/>
  <c r="H926" s="1"/>
  <c r="I927"/>
  <c r="I926" s="1"/>
  <c r="J895"/>
  <c r="N836"/>
  <c r="I836" s="1"/>
  <c r="L836"/>
  <c r="J836"/>
  <c r="G836" s="1"/>
  <c r="K836" s="1"/>
  <c r="N835"/>
  <c r="I835" s="1"/>
  <c r="L835"/>
  <c r="H835" s="1"/>
  <c r="J835"/>
  <c r="G835" s="1"/>
  <c r="N813"/>
  <c r="L813"/>
  <c r="M813" s="1"/>
  <c r="J813"/>
  <c r="N808"/>
  <c r="I808" s="1"/>
  <c r="O808" s="1"/>
  <c r="M808"/>
  <c r="L808"/>
  <c r="H808" s="1"/>
  <c r="J808"/>
  <c r="G808" s="1"/>
  <c r="N807"/>
  <c r="L807"/>
  <c r="J807"/>
  <c r="N804"/>
  <c r="L804"/>
  <c r="H804" s="1"/>
  <c r="J804"/>
  <c r="G804" s="1"/>
  <c r="K804" s="1"/>
  <c r="N803"/>
  <c r="L803"/>
  <c r="J803"/>
  <c r="N799"/>
  <c r="L799"/>
  <c r="J799"/>
  <c r="G799" s="1"/>
  <c r="N798"/>
  <c r="L798"/>
  <c r="H798" s="1"/>
  <c r="M798" s="1"/>
  <c r="J798"/>
  <c r="I798"/>
  <c r="O798" s="1"/>
  <c r="N780"/>
  <c r="L780"/>
  <c r="H780" s="1"/>
  <c r="H779" s="1"/>
  <c r="H778" s="1"/>
  <c r="N768"/>
  <c r="I768" s="1"/>
  <c r="J768"/>
  <c r="O679"/>
  <c r="N679"/>
  <c r="I679" s="1"/>
  <c r="I678" s="1"/>
  <c r="L679"/>
  <c r="L665"/>
  <c r="H665" s="1"/>
  <c r="N631"/>
  <c r="O631" s="1"/>
  <c r="L631"/>
  <c r="J631"/>
  <c r="N607"/>
  <c r="I607" s="1"/>
  <c r="L607"/>
  <c r="H607" s="1"/>
  <c r="J607"/>
  <c r="G607" s="1"/>
  <c r="K607" s="1"/>
  <c r="N606"/>
  <c r="I606" s="1"/>
  <c r="L606"/>
  <c r="J606"/>
  <c r="G606" s="1"/>
  <c r="H606"/>
  <c r="N605"/>
  <c r="L605"/>
  <c r="J605"/>
  <c r="I605"/>
  <c r="H605"/>
  <c r="N602"/>
  <c r="I602" s="1"/>
  <c r="L602"/>
  <c r="J602"/>
  <c r="G602" s="1"/>
  <c r="J601"/>
  <c r="G601" s="1"/>
  <c r="K601" s="1"/>
  <c r="N598"/>
  <c r="I598" s="1"/>
  <c r="O598" s="1"/>
  <c r="L598"/>
  <c r="H598" s="1"/>
  <c r="J598"/>
  <c r="G598" s="1"/>
  <c r="N597"/>
  <c r="I597" s="1"/>
  <c r="L597"/>
  <c r="J597"/>
  <c r="J593"/>
  <c r="G593" s="1"/>
  <c r="K593" s="1"/>
  <c r="J592"/>
  <c r="G592" s="1"/>
  <c r="N504"/>
  <c r="I504" s="1"/>
  <c r="I503" s="1"/>
  <c r="I502" s="1"/>
  <c r="I501" s="1"/>
  <c r="J489"/>
  <c r="G489" s="1"/>
  <c r="J488"/>
  <c r="N483"/>
  <c r="I483" s="1"/>
  <c r="L483"/>
  <c r="J483"/>
  <c r="N482"/>
  <c r="L482"/>
  <c r="H482" s="1"/>
  <c r="M482" s="1"/>
  <c r="J482"/>
  <c r="I482"/>
  <c r="O482" s="1"/>
  <c r="N478"/>
  <c r="I478" s="1"/>
  <c r="L478"/>
  <c r="H478" s="1"/>
  <c r="J478"/>
  <c r="N477"/>
  <c r="I477" s="1"/>
  <c r="O477" s="1"/>
  <c r="L477"/>
  <c r="H477" s="1"/>
  <c r="J477"/>
  <c r="G477" s="1"/>
  <c r="N456"/>
  <c r="L456"/>
  <c r="I456"/>
  <c r="N440"/>
  <c r="I440" s="1"/>
  <c r="L440"/>
  <c r="J440"/>
  <c r="N439"/>
  <c r="L439"/>
  <c r="H439" s="1"/>
  <c r="M439" s="1"/>
  <c r="J439"/>
  <c r="N430"/>
  <c r="L430"/>
  <c r="J430"/>
  <c r="K430" s="1"/>
  <c r="O430"/>
  <c r="N413"/>
  <c r="I413" s="1"/>
  <c r="L413"/>
  <c r="H413" s="1"/>
  <c r="H411" s="1"/>
  <c r="H410" s="1"/>
  <c r="J413"/>
  <c r="N412"/>
  <c r="I412" s="1"/>
  <c r="M412"/>
  <c r="L412"/>
  <c r="J412"/>
  <c r="G412" s="1"/>
  <c r="H412"/>
  <c r="N409"/>
  <c r="L409"/>
  <c r="J409"/>
  <c r="N408"/>
  <c r="I408" s="1"/>
  <c r="L408"/>
  <c r="H408" s="1"/>
  <c r="J408"/>
  <c r="G408" s="1"/>
  <c r="N404"/>
  <c r="M404"/>
  <c r="L404"/>
  <c r="J404"/>
  <c r="I404"/>
  <c r="H404"/>
  <c r="O403"/>
  <c r="N403"/>
  <c r="I403" s="1"/>
  <c r="L403"/>
  <c r="J403"/>
  <c r="G403" s="1"/>
  <c r="N389"/>
  <c r="O389" s="1"/>
  <c r="L389"/>
  <c r="J389"/>
  <c r="N362"/>
  <c r="I362" s="1"/>
  <c r="O362" s="1"/>
  <c r="L362"/>
  <c r="H362" s="1"/>
  <c r="M362" s="1"/>
  <c r="J362"/>
  <c r="G362"/>
  <c r="K362" s="1"/>
  <c r="N361"/>
  <c r="I361" s="1"/>
  <c r="L361"/>
  <c r="H361" s="1"/>
  <c r="M361" s="1"/>
  <c r="J361"/>
  <c r="O358"/>
  <c r="N358"/>
  <c r="L358"/>
  <c r="J358"/>
  <c r="I358"/>
  <c r="N357"/>
  <c r="I357" s="1"/>
  <c r="L357"/>
  <c r="J357"/>
  <c r="N356"/>
  <c r="I356" s="1"/>
  <c r="L356"/>
  <c r="J356"/>
  <c r="H356"/>
  <c r="M356" s="1"/>
  <c r="N352"/>
  <c r="M352"/>
  <c r="L352"/>
  <c r="H352" s="1"/>
  <c r="J352"/>
  <c r="G352"/>
  <c r="N351"/>
  <c r="L351"/>
  <c r="J351"/>
  <c r="G351" s="1"/>
  <c r="H351"/>
  <c r="N343"/>
  <c r="L343"/>
  <c r="J343"/>
  <c r="N336"/>
  <c r="I336" s="1"/>
  <c r="I335" s="1"/>
  <c r="L336"/>
  <c r="N322"/>
  <c r="L322"/>
  <c r="J322"/>
  <c r="G322" s="1"/>
  <c r="I322"/>
  <c r="O322" s="1"/>
  <c r="H322"/>
  <c r="M322" s="1"/>
  <c r="N321"/>
  <c r="L321"/>
  <c r="H321" s="1"/>
  <c r="J321"/>
  <c r="N318"/>
  <c r="I318" s="1"/>
  <c r="L318"/>
  <c r="H318" s="1"/>
  <c r="J318"/>
  <c r="G318" s="1"/>
  <c r="K318" s="1"/>
  <c r="N317"/>
  <c r="I317" s="1"/>
  <c r="O317" s="1"/>
  <c r="L317"/>
  <c r="H317" s="1"/>
  <c r="J317"/>
  <c r="G317"/>
  <c r="G316" s="1"/>
  <c r="N313"/>
  <c r="L313"/>
  <c r="H313" s="1"/>
  <c r="J313"/>
  <c r="I313"/>
  <c r="N312"/>
  <c r="I312" s="1"/>
  <c r="L312"/>
  <c r="J312"/>
  <c r="G312" s="1"/>
  <c r="N307"/>
  <c r="I307" s="1"/>
  <c r="I306" s="1"/>
  <c r="L307"/>
  <c r="H307" s="1"/>
  <c r="H306" s="1"/>
  <c r="H305" s="1"/>
  <c r="H304" s="1"/>
  <c r="H303" s="1"/>
  <c r="H302" s="1"/>
  <c r="N274"/>
  <c r="O274" s="1"/>
  <c r="L274"/>
  <c r="J274"/>
  <c r="M274"/>
  <c r="N238"/>
  <c r="L238"/>
  <c r="N220"/>
  <c r="L220"/>
  <c r="H220" s="1"/>
  <c r="J220"/>
  <c r="G220"/>
  <c r="K220" s="1"/>
  <c r="L219"/>
  <c r="H219" s="1"/>
  <c r="J219"/>
  <c r="G219" s="1"/>
  <c r="N211"/>
  <c r="L211"/>
  <c r="N210"/>
  <c r="L210"/>
  <c r="H210" s="1"/>
  <c r="I210"/>
  <c r="N205"/>
  <c r="L205"/>
  <c r="H205" s="1"/>
  <c r="J205"/>
  <c r="I205"/>
  <c r="O205" s="1"/>
  <c r="N204"/>
  <c r="I204" s="1"/>
  <c r="L204"/>
  <c r="J204"/>
  <c r="N203"/>
  <c r="L203"/>
  <c r="K203"/>
  <c r="J203"/>
  <c r="G203" s="1"/>
  <c r="N199"/>
  <c r="I199" s="1"/>
  <c r="L199"/>
  <c r="H199" s="1"/>
  <c r="J199"/>
  <c r="G199" s="1"/>
  <c r="N198"/>
  <c r="L198"/>
  <c r="H198" s="1"/>
  <c r="J198"/>
  <c r="N197"/>
  <c r="I197" s="1"/>
  <c r="L197"/>
  <c r="H197" s="1"/>
  <c r="M197" s="1"/>
  <c r="J197"/>
  <c r="G197" s="1"/>
  <c r="N157"/>
  <c r="I157" s="1"/>
  <c r="L157"/>
  <c r="H157" s="1"/>
  <c r="M157" s="1"/>
  <c r="J157"/>
  <c r="N156"/>
  <c r="I156" s="1"/>
  <c r="L156"/>
  <c r="H156" s="1"/>
  <c r="M156" s="1"/>
  <c r="J156"/>
  <c r="G156" s="1"/>
  <c r="J154"/>
  <c r="N152"/>
  <c r="L152"/>
  <c r="J152"/>
  <c r="N151"/>
  <c r="I151" s="1"/>
  <c r="L151"/>
  <c r="H151" s="1"/>
  <c r="J151"/>
  <c r="G151" s="1"/>
  <c r="N150"/>
  <c r="L150"/>
  <c r="H150" s="1"/>
  <c r="M150" s="1"/>
  <c r="J150"/>
  <c r="G150" s="1"/>
  <c r="N96"/>
  <c r="L96"/>
  <c r="J96"/>
  <c r="K96" s="1"/>
  <c r="I96"/>
  <c r="O96" s="1"/>
  <c r="H96"/>
  <c r="G96"/>
  <c r="N95"/>
  <c r="L95"/>
  <c r="J95"/>
  <c r="I95"/>
  <c r="H95"/>
  <c r="H94" s="1"/>
  <c r="N81"/>
  <c r="I81" s="1"/>
  <c r="L81"/>
  <c r="H81" s="1"/>
  <c r="M81" s="1"/>
  <c r="J81"/>
  <c r="G81" s="1"/>
  <c r="N74"/>
  <c r="L74"/>
  <c r="J74"/>
  <c r="I74"/>
  <c r="N73"/>
  <c r="L73"/>
  <c r="H73" s="1"/>
  <c r="J73"/>
  <c r="G73" s="1"/>
  <c r="N70"/>
  <c r="L70"/>
  <c r="H70" s="1"/>
  <c r="M70" s="1"/>
  <c r="J70"/>
  <c r="G70" s="1"/>
  <c r="N69"/>
  <c r="I69" s="1"/>
  <c r="L69"/>
  <c r="H69" s="1"/>
  <c r="J69"/>
  <c r="N61"/>
  <c r="L61"/>
  <c r="K61"/>
  <c r="J61"/>
  <c r="N41"/>
  <c r="I41" s="1"/>
  <c r="U41" s="1"/>
  <c r="L41"/>
  <c r="H41" s="1"/>
  <c r="J41"/>
  <c r="G41"/>
  <c r="S41" s="1"/>
  <c r="N40"/>
  <c r="L40"/>
  <c r="J40"/>
  <c r="G40" s="1"/>
  <c r="S40" s="1"/>
  <c r="I40"/>
  <c r="U40" s="1"/>
  <c r="H40"/>
  <c r="N37"/>
  <c r="I37" s="1"/>
  <c r="U37" s="1"/>
  <c r="L37"/>
  <c r="J37"/>
  <c r="N36"/>
  <c r="I36" s="1"/>
  <c r="U36" s="1"/>
  <c r="L36"/>
  <c r="H36" s="1"/>
  <c r="T36" s="1"/>
  <c r="J36"/>
  <c r="G36"/>
  <c r="S36" s="1"/>
  <c r="N32"/>
  <c r="I32" s="1"/>
  <c r="U32" s="1"/>
  <c r="L32"/>
  <c r="J32"/>
  <c r="G32" s="1"/>
  <c r="N31"/>
  <c r="I31" s="1"/>
  <c r="L31"/>
  <c r="J31"/>
  <c r="N28"/>
  <c r="M28"/>
  <c r="L28"/>
  <c r="H28" s="1"/>
  <c r="T28" s="1"/>
  <c r="J28"/>
  <c r="G28"/>
  <c r="N27"/>
  <c r="L27"/>
  <c r="J27"/>
  <c r="G27" s="1"/>
  <c r="G26"/>
  <c r="N19"/>
  <c r="L19"/>
  <c r="J19"/>
  <c r="H19"/>
  <c r="N18"/>
  <c r="I18" s="1"/>
  <c r="U18" s="1"/>
  <c r="M18"/>
  <c r="L18"/>
  <c r="H18" s="1"/>
  <c r="T18" s="1"/>
  <c r="J18"/>
  <c r="G18"/>
  <c r="N14"/>
  <c r="L14"/>
  <c r="H14" s="1"/>
  <c r="T14" s="1"/>
  <c r="J14"/>
  <c r="I14"/>
  <c r="U14" s="1"/>
  <c r="N13"/>
  <c r="L13"/>
  <c r="J13"/>
  <c r="N12"/>
  <c r="I12" s="1"/>
  <c r="U12" s="1"/>
  <c r="L12"/>
  <c r="J12"/>
  <c r="G12" s="1"/>
  <c r="S12" s="1"/>
  <c r="H12"/>
  <c r="T12" s="1"/>
  <c r="I1709" i="29"/>
  <c r="H1709"/>
  <c r="G1709"/>
  <c r="H1595"/>
  <c r="H1594" s="1"/>
  <c r="H1564"/>
  <c r="H1563" s="1"/>
  <c r="I1541"/>
  <c r="I1539" s="1"/>
  <c r="H1521"/>
  <c r="H1325"/>
  <c r="I1278"/>
  <c r="I1272"/>
  <c r="O1272" s="1"/>
  <c r="H1180"/>
  <c r="H1144"/>
  <c r="M1144" s="1"/>
  <c r="I1118"/>
  <c r="O1118" s="1"/>
  <c r="I1093"/>
  <c r="I1085"/>
  <c r="I1083" s="1"/>
  <c r="H1038"/>
  <c r="H1037" s="1"/>
  <c r="I798"/>
  <c r="I358"/>
  <c r="O358" s="1"/>
  <c r="I274"/>
  <c r="H238"/>
  <c r="I198"/>
  <c r="O198" s="1"/>
  <c r="I150"/>
  <c r="O150" s="1"/>
  <c r="I18"/>
  <c r="I17" s="1"/>
  <c r="G1632"/>
  <c r="K1632" s="1"/>
  <c r="G1468"/>
  <c r="G607"/>
  <c r="K607" s="1"/>
  <c r="G219"/>
  <c r="G154"/>
  <c r="G153" s="1"/>
  <c r="G96"/>
  <c r="G32"/>
  <c r="K32" s="1"/>
  <c r="G27"/>
  <c r="N12"/>
  <c r="I12" s="1"/>
  <c r="N13"/>
  <c r="I13" s="1"/>
  <c r="N14"/>
  <c r="I14" s="1"/>
  <c r="O14" s="1"/>
  <c r="N18"/>
  <c r="N19"/>
  <c r="I19" s="1"/>
  <c r="N27"/>
  <c r="I27" s="1"/>
  <c r="N28"/>
  <c r="I28" s="1"/>
  <c r="N31"/>
  <c r="I31" s="1"/>
  <c r="N32"/>
  <c r="I32" s="1"/>
  <c r="O32" s="1"/>
  <c r="N36"/>
  <c r="I36" s="1"/>
  <c r="N37"/>
  <c r="I37" s="1"/>
  <c r="N40"/>
  <c r="I40" s="1"/>
  <c r="O40" s="1"/>
  <c r="N41"/>
  <c r="I41" s="1"/>
  <c r="O41" s="1"/>
  <c r="N61"/>
  <c r="I61" s="1"/>
  <c r="N69"/>
  <c r="I69" s="1"/>
  <c r="N70"/>
  <c r="I70" s="1"/>
  <c r="O70" s="1"/>
  <c r="N73"/>
  <c r="I73" s="1"/>
  <c r="O73" s="1"/>
  <c r="N74"/>
  <c r="I74" s="1"/>
  <c r="O74" s="1"/>
  <c r="N81"/>
  <c r="I81" s="1"/>
  <c r="N95"/>
  <c r="I95" s="1"/>
  <c r="N96"/>
  <c r="I96" s="1"/>
  <c r="I94" s="1"/>
  <c r="N150"/>
  <c r="N151"/>
  <c r="I151" s="1"/>
  <c r="N152"/>
  <c r="I152" s="1"/>
  <c r="O152" s="1"/>
  <c r="N156"/>
  <c r="I156" s="1"/>
  <c r="N157"/>
  <c r="I157" s="1"/>
  <c r="N197"/>
  <c r="I197" s="1"/>
  <c r="N198"/>
  <c r="N199"/>
  <c r="I199" s="1"/>
  <c r="N203"/>
  <c r="N204"/>
  <c r="I204" s="1"/>
  <c r="N205"/>
  <c r="I205" s="1"/>
  <c r="N210"/>
  <c r="I210" s="1"/>
  <c r="N211"/>
  <c r="N220"/>
  <c r="I220" s="1"/>
  <c r="N238"/>
  <c r="I238" s="1"/>
  <c r="O238" s="1"/>
  <c r="N274"/>
  <c r="N307"/>
  <c r="I307" s="1"/>
  <c r="I306" s="1"/>
  <c r="I305" s="1"/>
  <c r="I304" s="1"/>
  <c r="I303" s="1"/>
  <c r="I302" s="1"/>
  <c r="N312"/>
  <c r="I312" s="1"/>
  <c r="O312" s="1"/>
  <c r="N313"/>
  <c r="I313" s="1"/>
  <c r="N317"/>
  <c r="I317" s="1"/>
  <c r="N318"/>
  <c r="I318" s="1"/>
  <c r="O318" s="1"/>
  <c r="N321"/>
  <c r="I321" s="1"/>
  <c r="N322"/>
  <c r="I322" s="1"/>
  <c r="O322" s="1"/>
  <c r="N336"/>
  <c r="I336" s="1"/>
  <c r="N343"/>
  <c r="I343" s="1"/>
  <c r="O343" s="1"/>
  <c r="N351"/>
  <c r="I351" s="1"/>
  <c r="O351" s="1"/>
  <c r="N352"/>
  <c r="I352" s="1"/>
  <c r="N356"/>
  <c r="I356" s="1"/>
  <c r="N357"/>
  <c r="I357" s="1"/>
  <c r="N358"/>
  <c r="N361"/>
  <c r="I361" s="1"/>
  <c r="N362"/>
  <c r="I362" s="1"/>
  <c r="N389"/>
  <c r="I389" s="1"/>
  <c r="N403"/>
  <c r="I403" s="1"/>
  <c r="O403" s="1"/>
  <c r="N404"/>
  <c r="I404" s="1"/>
  <c r="N408"/>
  <c r="I408" s="1"/>
  <c r="O408" s="1"/>
  <c r="N409"/>
  <c r="I409" s="1"/>
  <c r="O409" s="1"/>
  <c r="N412"/>
  <c r="I412" s="1"/>
  <c r="N413"/>
  <c r="I413" s="1"/>
  <c r="N430"/>
  <c r="I430" s="1"/>
  <c r="O430" s="1"/>
  <c r="N439"/>
  <c r="I439" s="1"/>
  <c r="O439" s="1"/>
  <c r="N440"/>
  <c r="I440" s="1"/>
  <c r="O440" s="1"/>
  <c r="N456"/>
  <c r="I456" s="1"/>
  <c r="N477"/>
  <c r="N478"/>
  <c r="I478" s="1"/>
  <c r="N482"/>
  <c r="I482" s="1"/>
  <c r="N483"/>
  <c r="I483" s="1"/>
  <c r="N504"/>
  <c r="I504" s="1"/>
  <c r="I503" s="1"/>
  <c r="N597"/>
  <c r="I597" s="1"/>
  <c r="N598"/>
  <c r="I598" s="1"/>
  <c r="O598" s="1"/>
  <c r="N602"/>
  <c r="I602" s="1"/>
  <c r="N605"/>
  <c r="I605" s="1"/>
  <c r="N606"/>
  <c r="I606" s="1"/>
  <c r="N607"/>
  <c r="I607" s="1"/>
  <c r="O607" s="1"/>
  <c r="N631"/>
  <c r="I631" s="1"/>
  <c r="O631" s="1"/>
  <c r="N679"/>
  <c r="I679" s="1"/>
  <c r="I678" s="1"/>
  <c r="N768"/>
  <c r="I768" s="1"/>
  <c r="O768" s="1"/>
  <c r="N780"/>
  <c r="I780" s="1"/>
  <c r="I779" s="1"/>
  <c r="N798"/>
  <c r="N799"/>
  <c r="I799" s="1"/>
  <c r="O799" s="1"/>
  <c r="N803"/>
  <c r="I803" s="1"/>
  <c r="N804"/>
  <c r="I804" s="1"/>
  <c r="N807"/>
  <c r="I807" s="1"/>
  <c r="N808"/>
  <c r="I808" s="1"/>
  <c r="O808" s="1"/>
  <c r="N813"/>
  <c r="I813" s="1"/>
  <c r="N835"/>
  <c r="I835" s="1"/>
  <c r="N836"/>
  <c r="I836" s="1"/>
  <c r="N928"/>
  <c r="I928" s="1"/>
  <c r="I927" s="1"/>
  <c r="N983"/>
  <c r="I983" s="1"/>
  <c r="O983" s="1"/>
  <c r="N984"/>
  <c r="I984" s="1"/>
  <c r="O984" s="1"/>
  <c r="N992"/>
  <c r="I992" s="1"/>
  <c r="O992" s="1"/>
  <c r="N993"/>
  <c r="I993" s="1"/>
  <c r="N1000"/>
  <c r="I1000" s="1"/>
  <c r="O1000" s="1"/>
  <c r="N1001"/>
  <c r="I1001" s="1"/>
  <c r="N1004"/>
  <c r="I1004" s="1"/>
  <c r="O1004" s="1"/>
  <c r="N1005"/>
  <c r="I1005" s="1"/>
  <c r="N1006"/>
  <c r="I1006" s="1"/>
  <c r="O1006" s="1"/>
  <c r="N1009"/>
  <c r="I1009" s="1"/>
  <c r="N1010"/>
  <c r="I1010" s="1"/>
  <c r="N1011"/>
  <c r="I1011" s="1"/>
  <c r="N1015"/>
  <c r="I1015" s="1"/>
  <c r="N1016"/>
  <c r="I1016" s="1"/>
  <c r="O1016" s="1"/>
  <c r="N1017"/>
  <c r="I1017" s="1"/>
  <c r="N1038"/>
  <c r="I1038" s="1"/>
  <c r="O1038" s="1"/>
  <c r="N1075"/>
  <c r="I1075" s="1"/>
  <c r="I1074" s="1"/>
  <c r="N1078"/>
  <c r="I1078" s="1"/>
  <c r="I1077" s="1"/>
  <c r="I1076" s="1"/>
  <c r="N1084"/>
  <c r="I1084" s="1"/>
  <c r="N1085"/>
  <c r="N1089"/>
  <c r="I1089" s="1"/>
  <c r="N1090"/>
  <c r="N1093"/>
  <c r="N1094"/>
  <c r="I1094" s="1"/>
  <c r="N1095"/>
  <c r="I1095" s="1"/>
  <c r="O1095" s="1"/>
  <c r="N1103"/>
  <c r="N1104"/>
  <c r="I1104" s="1"/>
  <c r="N1108"/>
  <c r="I1108" s="1"/>
  <c r="N1109"/>
  <c r="I1109" s="1"/>
  <c r="N1112"/>
  <c r="I1112" s="1"/>
  <c r="N1113"/>
  <c r="I1113" s="1"/>
  <c r="O1113" s="1"/>
  <c r="N1116"/>
  <c r="I1116" s="1"/>
  <c r="O1116" s="1"/>
  <c r="N1117"/>
  <c r="I1117" s="1"/>
  <c r="N1118"/>
  <c r="N1144"/>
  <c r="I1144" s="1"/>
  <c r="O1144" s="1"/>
  <c r="N1155"/>
  <c r="I1155" s="1"/>
  <c r="N1156"/>
  <c r="I1156" s="1"/>
  <c r="N1177"/>
  <c r="I1177" s="1"/>
  <c r="I1176" s="1"/>
  <c r="N1180"/>
  <c r="I1180" s="1"/>
  <c r="I1179" s="1"/>
  <c r="N1181"/>
  <c r="I1181" s="1"/>
  <c r="N1189"/>
  <c r="I1189" s="1"/>
  <c r="N1190"/>
  <c r="I1190" s="1"/>
  <c r="N1194"/>
  <c r="N1195"/>
  <c r="I1195" s="1"/>
  <c r="N1198"/>
  <c r="I1198" s="1"/>
  <c r="N1199"/>
  <c r="I1199" s="1"/>
  <c r="O1199" s="1"/>
  <c r="N1202"/>
  <c r="I1202" s="1"/>
  <c r="O1202" s="1"/>
  <c r="N1203"/>
  <c r="I1203" s="1"/>
  <c r="N1204"/>
  <c r="I1204" s="1"/>
  <c r="N1227"/>
  <c r="I1227" s="1"/>
  <c r="N1238"/>
  <c r="I1238" s="1"/>
  <c r="N1239"/>
  <c r="I1239" s="1"/>
  <c r="N1260"/>
  <c r="I1260" s="1"/>
  <c r="I1259" s="1"/>
  <c r="I1258" s="1"/>
  <c r="N1263"/>
  <c r="I1263" s="1"/>
  <c r="N1264"/>
  <c r="I1264" s="1"/>
  <c r="O1264" s="1"/>
  <c r="N1272"/>
  <c r="N1273"/>
  <c r="I1273" s="1"/>
  <c r="N1277"/>
  <c r="I1277" s="1"/>
  <c r="N1278"/>
  <c r="N1281"/>
  <c r="I1281" s="1"/>
  <c r="N1282"/>
  <c r="I1282" s="1"/>
  <c r="N1285"/>
  <c r="I1285" s="1"/>
  <c r="N1286"/>
  <c r="I1286" s="1"/>
  <c r="O1286" s="1"/>
  <c r="N1287"/>
  <c r="I1287" s="1"/>
  <c r="N1313"/>
  <c r="I1313" s="1"/>
  <c r="O1313" s="1"/>
  <c r="N1324"/>
  <c r="I1324" s="1"/>
  <c r="N1325"/>
  <c r="I1325" s="1"/>
  <c r="N1347"/>
  <c r="I1347" s="1"/>
  <c r="N1372"/>
  <c r="I1372" s="1"/>
  <c r="O1372" s="1"/>
  <c r="N1373"/>
  <c r="I1373" s="1"/>
  <c r="N1417"/>
  <c r="I1417" s="1"/>
  <c r="I1416" s="1"/>
  <c r="N1420"/>
  <c r="I1420" s="1"/>
  <c r="N1451"/>
  <c r="I1451" s="1"/>
  <c r="I1450" s="1"/>
  <c r="N1467"/>
  <c r="I1467" s="1"/>
  <c r="I1466" s="1"/>
  <c r="N1487"/>
  <c r="I1487" s="1"/>
  <c r="O1487" s="1"/>
  <c r="N1493"/>
  <c r="I1493" s="1"/>
  <c r="N1498"/>
  <c r="I1498" s="1"/>
  <c r="O1498" s="1"/>
  <c r="N1502"/>
  <c r="I1502" s="1"/>
  <c r="O1502" s="1"/>
  <c r="N1521"/>
  <c r="I1521" s="1"/>
  <c r="O1521" s="1"/>
  <c r="N1535"/>
  <c r="I1535" s="1"/>
  <c r="N1536"/>
  <c r="I1536" s="1"/>
  <c r="O1536" s="1"/>
  <c r="N1540"/>
  <c r="I1540" s="1"/>
  <c r="N1541"/>
  <c r="N1544"/>
  <c r="I1544" s="1"/>
  <c r="N1545"/>
  <c r="I1545" s="1"/>
  <c r="O1545" s="1"/>
  <c r="N1564"/>
  <c r="I1564" s="1"/>
  <c r="I1563" s="1"/>
  <c r="I1562" s="1"/>
  <c r="I1561" s="1"/>
  <c r="N1577"/>
  <c r="I1577" s="1"/>
  <c r="N1585"/>
  <c r="I1585" s="1"/>
  <c r="I1584" s="1"/>
  <c r="N1592"/>
  <c r="I1592" s="1"/>
  <c r="N1595"/>
  <c r="I1595" s="1"/>
  <c r="O1595" s="1"/>
  <c r="N1598"/>
  <c r="I1598" s="1"/>
  <c r="I1597" s="1"/>
  <c r="I1596" s="1"/>
  <c r="N1610"/>
  <c r="N1611"/>
  <c r="I1611" s="1"/>
  <c r="N1612"/>
  <c r="N1631"/>
  <c r="I1631" s="1"/>
  <c r="O1631" s="1"/>
  <c r="N1632"/>
  <c r="I1632" s="1"/>
  <c r="N1636"/>
  <c r="I1636" s="1"/>
  <c r="N1637"/>
  <c r="I1637" s="1"/>
  <c r="N1651"/>
  <c r="I1651" s="1"/>
  <c r="N1652"/>
  <c r="I1652" s="1"/>
  <c r="N1656"/>
  <c r="I1656" s="1"/>
  <c r="O1656" s="1"/>
  <c r="N1657"/>
  <c r="I1657" s="1"/>
  <c r="N1674"/>
  <c r="I1674" s="1"/>
  <c r="N1675"/>
  <c r="I1675" s="1"/>
  <c r="O1675" s="1"/>
  <c r="N1679"/>
  <c r="I1679" s="1"/>
  <c r="O1679" s="1"/>
  <c r="N1680"/>
  <c r="I1680" s="1"/>
  <c r="N1683"/>
  <c r="I1683" s="1"/>
  <c r="N1684"/>
  <c r="I1684" s="1"/>
  <c r="N1685"/>
  <c r="I1685" s="1"/>
  <c r="N1693"/>
  <c r="I1693" s="1"/>
  <c r="N1694"/>
  <c r="I1694" s="1"/>
  <c r="O1694" s="1"/>
  <c r="N1701"/>
  <c r="I1701" s="1"/>
  <c r="N1702"/>
  <c r="I1702" s="1"/>
  <c r="O1702" s="1"/>
  <c r="N1703"/>
  <c r="O1703" s="1"/>
  <c r="N1705"/>
  <c r="L12"/>
  <c r="H12" s="1"/>
  <c r="L13"/>
  <c r="H13" s="1"/>
  <c r="L14"/>
  <c r="H14" s="1"/>
  <c r="M14" s="1"/>
  <c r="L18"/>
  <c r="H18" s="1"/>
  <c r="L19"/>
  <c r="H19" s="1"/>
  <c r="L27"/>
  <c r="H27" s="1"/>
  <c r="L28"/>
  <c r="H28" s="1"/>
  <c r="L31"/>
  <c r="H31" s="1"/>
  <c r="M31" s="1"/>
  <c r="L32"/>
  <c r="H32" s="1"/>
  <c r="L36"/>
  <c r="L37"/>
  <c r="H37" s="1"/>
  <c r="L40"/>
  <c r="H40" s="1"/>
  <c r="L41"/>
  <c r="H41" s="1"/>
  <c r="L61"/>
  <c r="H61" s="1"/>
  <c r="L69"/>
  <c r="L70"/>
  <c r="H70" s="1"/>
  <c r="M70" s="1"/>
  <c r="L73"/>
  <c r="H73" s="1"/>
  <c r="M73" s="1"/>
  <c r="L74"/>
  <c r="H74" s="1"/>
  <c r="M74" s="1"/>
  <c r="L81"/>
  <c r="H81" s="1"/>
  <c r="L95"/>
  <c r="H95" s="1"/>
  <c r="L96"/>
  <c r="H96" s="1"/>
  <c r="L150"/>
  <c r="H150" s="1"/>
  <c r="L151"/>
  <c r="H151" s="1"/>
  <c r="L152"/>
  <c r="H152" s="1"/>
  <c r="M152" s="1"/>
  <c r="L156"/>
  <c r="L157"/>
  <c r="H157" s="1"/>
  <c r="L197"/>
  <c r="H197" s="1"/>
  <c r="L198"/>
  <c r="H198" s="1"/>
  <c r="L199"/>
  <c r="H199" s="1"/>
  <c r="L203"/>
  <c r="H203" s="1"/>
  <c r="L204"/>
  <c r="L205"/>
  <c r="H205" s="1"/>
  <c r="L210"/>
  <c r="H210" s="1"/>
  <c r="M210" s="1"/>
  <c r="L211"/>
  <c r="H211" s="1"/>
  <c r="M211" s="1"/>
  <c r="L219"/>
  <c r="H219" s="1"/>
  <c r="L220"/>
  <c r="H220" s="1"/>
  <c r="L238"/>
  <c r="M238" s="1"/>
  <c r="L274"/>
  <c r="H274" s="1"/>
  <c r="L307"/>
  <c r="H307" s="1"/>
  <c r="H306" s="1"/>
  <c r="H305" s="1"/>
  <c r="H304" s="1"/>
  <c r="H303" s="1"/>
  <c r="H302" s="1"/>
  <c r="L312"/>
  <c r="H312" s="1"/>
  <c r="L313"/>
  <c r="H313" s="1"/>
  <c r="M313" s="1"/>
  <c r="L317"/>
  <c r="H317" s="1"/>
  <c r="L318"/>
  <c r="H318" s="1"/>
  <c r="L321"/>
  <c r="H321" s="1"/>
  <c r="L322"/>
  <c r="H322" s="1"/>
  <c r="M322" s="1"/>
  <c r="L336"/>
  <c r="H336" s="1"/>
  <c r="H335" s="1"/>
  <c r="L343"/>
  <c r="H343" s="1"/>
  <c r="M343" s="1"/>
  <c r="L351"/>
  <c r="H351" s="1"/>
  <c r="M351" s="1"/>
  <c r="L352"/>
  <c r="L356"/>
  <c r="H356" s="1"/>
  <c r="L357"/>
  <c r="H357" s="1"/>
  <c r="L358"/>
  <c r="H358" s="1"/>
  <c r="L361"/>
  <c r="H361" s="1"/>
  <c r="M361" s="1"/>
  <c r="L362"/>
  <c r="H362" s="1"/>
  <c r="M362" s="1"/>
  <c r="L389"/>
  <c r="H389" s="1"/>
  <c r="L403"/>
  <c r="H403" s="1"/>
  <c r="L404"/>
  <c r="H404" s="1"/>
  <c r="L408"/>
  <c r="H408" s="1"/>
  <c r="M408" s="1"/>
  <c r="L409"/>
  <c r="H409" s="1"/>
  <c r="M409" s="1"/>
  <c r="L412"/>
  <c r="H412" s="1"/>
  <c r="L413"/>
  <c r="H413" s="1"/>
  <c r="L430"/>
  <c r="H430" s="1"/>
  <c r="M430" s="1"/>
  <c r="L439"/>
  <c r="H439" s="1"/>
  <c r="M439" s="1"/>
  <c r="L440"/>
  <c r="H440" s="1"/>
  <c r="L456"/>
  <c r="H456" s="1"/>
  <c r="M456" s="1"/>
  <c r="L477"/>
  <c r="H477" s="1"/>
  <c r="M477" s="1"/>
  <c r="L478"/>
  <c r="H478" s="1"/>
  <c r="L482"/>
  <c r="H482" s="1"/>
  <c r="L483"/>
  <c r="H483" s="1"/>
  <c r="L597"/>
  <c r="H597" s="1"/>
  <c r="L598"/>
  <c r="H598" s="1"/>
  <c r="M598" s="1"/>
  <c r="L602"/>
  <c r="H602" s="1"/>
  <c r="L605"/>
  <c r="H605" s="1"/>
  <c r="L606"/>
  <c r="H606" s="1"/>
  <c r="L607"/>
  <c r="H607" s="1"/>
  <c r="M607" s="1"/>
  <c r="L631"/>
  <c r="H631" s="1"/>
  <c r="M631" s="1"/>
  <c r="L665"/>
  <c r="H665" s="1"/>
  <c r="H664" s="1"/>
  <c r="H663" s="1"/>
  <c r="H662" s="1"/>
  <c r="L679"/>
  <c r="H679" s="1"/>
  <c r="H678" s="1"/>
  <c r="H677" s="1"/>
  <c r="H676" s="1"/>
  <c r="L780"/>
  <c r="H780" s="1"/>
  <c r="H779" s="1"/>
  <c r="L798"/>
  <c r="H798" s="1"/>
  <c r="L799"/>
  <c r="H799" s="1"/>
  <c r="L803"/>
  <c r="H803" s="1"/>
  <c r="M803" s="1"/>
  <c r="L804"/>
  <c r="L807"/>
  <c r="H807" s="1"/>
  <c r="L808"/>
  <c r="H808" s="1"/>
  <c r="M808" s="1"/>
  <c r="L813"/>
  <c r="H813" s="1"/>
  <c r="L835"/>
  <c r="L836"/>
  <c r="H836" s="1"/>
  <c r="L928"/>
  <c r="H928" s="1"/>
  <c r="M928" s="1"/>
  <c r="L983"/>
  <c r="H983" s="1"/>
  <c r="L984"/>
  <c r="H984" s="1"/>
  <c r="M984" s="1"/>
  <c r="L992"/>
  <c r="H992" s="1"/>
  <c r="L993"/>
  <c r="H993" s="1"/>
  <c r="L1000"/>
  <c r="H1000" s="1"/>
  <c r="L1001"/>
  <c r="H1001" s="1"/>
  <c r="M1001" s="1"/>
  <c r="L1004"/>
  <c r="H1004" s="1"/>
  <c r="L1005"/>
  <c r="H1005" s="1"/>
  <c r="L1006"/>
  <c r="H1006" s="1"/>
  <c r="L1009"/>
  <c r="H1009" s="1"/>
  <c r="L1010"/>
  <c r="H1010" s="1"/>
  <c r="M1010" s="1"/>
  <c r="L1011"/>
  <c r="H1011" s="1"/>
  <c r="L1015"/>
  <c r="H1015" s="1"/>
  <c r="L1016"/>
  <c r="H1016" s="1"/>
  <c r="M1016" s="1"/>
  <c r="L1017"/>
  <c r="H1017" s="1"/>
  <c r="L1038"/>
  <c r="L1075"/>
  <c r="H1075" s="1"/>
  <c r="L1078"/>
  <c r="H1078" s="1"/>
  <c r="H1077" s="1"/>
  <c r="L1084"/>
  <c r="H1084" s="1"/>
  <c r="L1085"/>
  <c r="L1089"/>
  <c r="H1089" s="1"/>
  <c r="M1089" s="1"/>
  <c r="L1090"/>
  <c r="H1090" s="1"/>
  <c r="L1093"/>
  <c r="H1093" s="1"/>
  <c r="L1094"/>
  <c r="H1094" s="1"/>
  <c r="L1095"/>
  <c r="H1095" s="1"/>
  <c r="M1095" s="1"/>
  <c r="L1103"/>
  <c r="H1103" s="1"/>
  <c r="L1104"/>
  <c r="H1104" s="1"/>
  <c r="M1104" s="1"/>
  <c r="L1108"/>
  <c r="H1108" s="1"/>
  <c r="L1109"/>
  <c r="L1112"/>
  <c r="H1112" s="1"/>
  <c r="L1113"/>
  <c r="H1113" s="1"/>
  <c r="M1113" s="1"/>
  <c r="L1116"/>
  <c r="H1116" s="1"/>
  <c r="M1116" s="1"/>
  <c r="L1117"/>
  <c r="H1117" s="1"/>
  <c r="L1118"/>
  <c r="H1118" s="1"/>
  <c r="L1144"/>
  <c r="L1155"/>
  <c r="H1155" s="1"/>
  <c r="L1156"/>
  <c r="H1156" s="1"/>
  <c r="L1177"/>
  <c r="H1177" s="1"/>
  <c r="H1176" s="1"/>
  <c r="L1180"/>
  <c r="L1181"/>
  <c r="L1189"/>
  <c r="H1189" s="1"/>
  <c r="L1190"/>
  <c r="H1190" s="1"/>
  <c r="L1194"/>
  <c r="H1194" s="1"/>
  <c r="M1194" s="1"/>
  <c r="L1195"/>
  <c r="L1198"/>
  <c r="H1198" s="1"/>
  <c r="L1199"/>
  <c r="H1199" s="1"/>
  <c r="M1199" s="1"/>
  <c r="L1202"/>
  <c r="H1202" s="1"/>
  <c r="L1203"/>
  <c r="H1203" s="1"/>
  <c r="L1204"/>
  <c r="H1204" s="1"/>
  <c r="M1204" s="1"/>
  <c r="L1227"/>
  <c r="H1227" s="1"/>
  <c r="H1226" s="1"/>
  <c r="L1238"/>
  <c r="H1238" s="1"/>
  <c r="L1239"/>
  <c r="H1239" s="1"/>
  <c r="L1260"/>
  <c r="H1260" s="1"/>
  <c r="H1259" s="1"/>
  <c r="H1258" s="1"/>
  <c r="L1263"/>
  <c r="H1263" s="1"/>
  <c r="M1263" s="1"/>
  <c r="L1264"/>
  <c r="H1264" s="1"/>
  <c r="M1264" s="1"/>
  <c r="L1272"/>
  <c r="H1272" s="1"/>
  <c r="L1273"/>
  <c r="H1273" s="1"/>
  <c r="L1277"/>
  <c r="L1278"/>
  <c r="H1278" s="1"/>
  <c r="L1281"/>
  <c r="H1281" s="1"/>
  <c r="L1282"/>
  <c r="H1282" s="1"/>
  <c r="L1285"/>
  <c r="H1285" s="1"/>
  <c r="L1286"/>
  <c r="H1286" s="1"/>
  <c r="L1287"/>
  <c r="H1287" s="1"/>
  <c r="M1287" s="1"/>
  <c r="L1313"/>
  <c r="H1313" s="1"/>
  <c r="L1324"/>
  <c r="H1324" s="1"/>
  <c r="L1325"/>
  <c r="L1347"/>
  <c r="H1347" s="1"/>
  <c r="M1347" s="1"/>
  <c r="L1372"/>
  <c r="H1372" s="1"/>
  <c r="L1373"/>
  <c r="H1373" s="1"/>
  <c r="L1411"/>
  <c r="H1411" s="1"/>
  <c r="H1410" s="1"/>
  <c r="L1417"/>
  <c r="H1417" s="1"/>
  <c r="M1417" s="1"/>
  <c r="L1420"/>
  <c r="H1420" s="1"/>
  <c r="H1419" s="1"/>
  <c r="L1451"/>
  <c r="H1451" s="1"/>
  <c r="H1450" s="1"/>
  <c r="L1467"/>
  <c r="H1467" s="1"/>
  <c r="H1466" s="1"/>
  <c r="L1487"/>
  <c r="H1487" s="1"/>
  <c r="M1487" s="1"/>
  <c r="L1493"/>
  <c r="H1493" s="1"/>
  <c r="L1498"/>
  <c r="H1498" s="1"/>
  <c r="L1502"/>
  <c r="H1502" s="1"/>
  <c r="M1502" s="1"/>
  <c r="L1521"/>
  <c r="L1535"/>
  <c r="H1535" s="1"/>
  <c r="L1536"/>
  <c r="H1536" s="1"/>
  <c r="L1540"/>
  <c r="H1540" s="1"/>
  <c r="L1541"/>
  <c r="H1541" s="1"/>
  <c r="L1544"/>
  <c r="H1544" s="1"/>
  <c r="L1545"/>
  <c r="H1545" s="1"/>
  <c r="L1564"/>
  <c r="L1577"/>
  <c r="L1585"/>
  <c r="H1585" s="1"/>
  <c r="L1592"/>
  <c r="H1592" s="1"/>
  <c r="M1592" s="1"/>
  <c r="L1595"/>
  <c r="L1598"/>
  <c r="H1598" s="1"/>
  <c r="L1610"/>
  <c r="M1610" s="1"/>
  <c r="L1611"/>
  <c r="H1611" s="1"/>
  <c r="L1612"/>
  <c r="L1631"/>
  <c r="H1631" s="1"/>
  <c r="M1631" s="1"/>
  <c r="L1632"/>
  <c r="H1632" s="1"/>
  <c r="M1632" s="1"/>
  <c r="L1636"/>
  <c r="H1636" s="1"/>
  <c r="L1637"/>
  <c r="H1637" s="1"/>
  <c r="M1637" s="1"/>
  <c r="L1651"/>
  <c r="H1651" s="1"/>
  <c r="L1652"/>
  <c r="H1652" s="1"/>
  <c r="L1656"/>
  <c r="H1656" s="1"/>
  <c r="M1656" s="1"/>
  <c r="L1657"/>
  <c r="H1657" s="1"/>
  <c r="M1657" s="1"/>
  <c r="L1674"/>
  <c r="H1674" s="1"/>
  <c r="L1675"/>
  <c r="H1675" s="1"/>
  <c r="M1675" s="1"/>
  <c r="L1679"/>
  <c r="H1679" s="1"/>
  <c r="M1679" s="1"/>
  <c r="L1680"/>
  <c r="H1680" s="1"/>
  <c r="L1683"/>
  <c r="H1683" s="1"/>
  <c r="L1684"/>
  <c r="H1684" s="1"/>
  <c r="L1685"/>
  <c r="L1693"/>
  <c r="H1693" s="1"/>
  <c r="L1694"/>
  <c r="H1694" s="1"/>
  <c r="M1694" s="1"/>
  <c r="L1701"/>
  <c r="H1701" s="1"/>
  <c r="L1702"/>
  <c r="H1702" s="1"/>
  <c r="M1702" s="1"/>
  <c r="L1703"/>
  <c r="M1703" s="1"/>
  <c r="J1703"/>
  <c r="K1703" s="1"/>
  <c r="J1704"/>
  <c r="K1704" s="1"/>
  <c r="J12"/>
  <c r="G12" s="1"/>
  <c r="J13"/>
  <c r="G13" s="1"/>
  <c r="J14"/>
  <c r="G14" s="1"/>
  <c r="K14" s="1"/>
  <c r="J18"/>
  <c r="G18" s="1"/>
  <c r="J19"/>
  <c r="G19" s="1"/>
  <c r="K19" s="1"/>
  <c r="J27"/>
  <c r="J28"/>
  <c r="G28" s="1"/>
  <c r="K28" s="1"/>
  <c r="J31"/>
  <c r="G31" s="1"/>
  <c r="K31" s="1"/>
  <c r="J32"/>
  <c r="J36"/>
  <c r="G36" s="1"/>
  <c r="J37"/>
  <c r="G37" s="1"/>
  <c r="J40"/>
  <c r="G40" s="1"/>
  <c r="K40" s="1"/>
  <c r="J41"/>
  <c r="G41" s="1"/>
  <c r="K41" s="1"/>
  <c r="J61"/>
  <c r="G61" s="1"/>
  <c r="J69"/>
  <c r="G69" s="1"/>
  <c r="J70"/>
  <c r="G70" s="1"/>
  <c r="K70" s="1"/>
  <c r="J73"/>
  <c r="G73" s="1"/>
  <c r="K73" s="1"/>
  <c r="J74"/>
  <c r="G74" s="1"/>
  <c r="J81"/>
  <c r="G81" s="1"/>
  <c r="J95"/>
  <c r="G95" s="1"/>
  <c r="K95" s="1"/>
  <c r="J96"/>
  <c r="J150"/>
  <c r="G150" s="1"/>
  <c r="J151"/>
  <c r="G151" s="1"/>
  <c r="J152"/>
  <c r="G152" s="1"/>
  <c r="J154"/>
  <c r="J156"/>
  <c r="G156" s="1"/>
  <c r="K156" s="1"/>
  <c r="J157"/>
  <c r="G157" s="1"/>
  <c r="J197"/>
  <c r="G197" s="1"/>
  <c r="J198"/>
  <c r="G198" s="1"/>
  <c r="J199"/>
  <c r="G199" s="1"/>
  <c r="J203"/>
  <c r="G203" s="1"/>
  <c r="K203" s="1"/>
  <c r="J204"/>
  <c r="G204" s="1"/>
  <c r="J205"/>
  <c r="G205" s="1"/>
  <c r="J219"/>
  <c r="J220"/>
  <c r="G220" s="1"/>
  <c r="J274"/>
  <c r="G274" s="1"/>
  <c r="J312"/>
  <c r="G312" s="1"/>
  <c r="J313"/>
  <c r="G313" s="1"/>
  <c r="K313" s="1"/>
  <c r="J317"/>
  <c r="G317" s="1"/>
  <c r="J318"/>
  <c r="G318" s="1"/>
  <c r="J321"/>
  <c r="G321" s="1"/>
  <c r="J322"/>
  <c r="J343"/>
  <c r="G343" s="1"/>
  <c r="K343" s="1"/>
  <c r="J351"/>
  <c r="G351" s="1"/>
  <c r="K351" s="1"/>
  <c r="J352"/>
  <c r="G352" s="1"/>
  <c r="K352" s="1"/>
  <c r="J356"/>
  <c r="G356" s="1"/>
  <c r="J357"/>
  <c r="G357" s="1"/>
  <c r="K357" s="1"/>
  <c r="J358"/>
  <c r="G358" s="1"/>
  <c r="J361"/>
  <c r="G361" s="1"/>
  <c r="J362"/>
  <c r="G362" s="1"/>
  <c r="J389"/>
  <c r="G389" s="1"/>
  <c r="J403"/>
  <c r="G403" s="1"/>
  <c r="J404"/>
  <c r="G404" s="1"/>
  <c r="K404" s="1"/>
  <c r="J408"/>
  <c r="G408" s="1"/>
  <c r="K408" s="1"/>
  <c r="J409"/>
  <c r="G409" s="1"/>
  <c r="K409" s="1"/>
  <c r="J412"/>
  <c r="G412" s="1"/>
  <c r="K412" s="1"/>
  <c r="J413"/>
  <c r="G413" s="1"/>
  <c r="J430"/>
  <c r="J439"/>
  <c r="G439" s="1"/>
  <c r="J440"/>
  <c r="G440" s="1"/>
  <c r="K440" s="1"/>
  <c r="J477"/>
  <c r="G477" s="1"/>
  <c r="J478"/>
  <c r="G478" s="1"/>
  <c r="J482"/>
  <c r="G482" s="1"/>
  <c r="J483"/>
  <c r="J488"/>
  <c r="G488" s="1"/>
  <c r="J489"/>
  <c r="G489" s="1"/>
  <c r="K489" s="1"/>
  <c r="J592"/>
  <c r="G592" s="1"/>
  <c r="K592" s="1"/>
  <c r="J593"/>
  <c r="G593" s="1"/>
  <c r="K593" s="1"/>
  <c r="J597"/>
  <c r="G597" s="1"/>
  <c r="J598"/>
  <c r="G598" s="1"/>
  <c r="K598" s="1"/>
  <c r="J601"/>
  <c r="G601" s="1"/>
  <c r="K601" s="1"/>
  <c r="J602"/>
  <c r="G602" s="1"/>
  <c r="J605"/>
  <c r="G605" s="1"/>
  <c r="J606"/>
  <c r="G606" s="1"/>
  <c r="J607"/>
  <c r="J631"/>
  <c r="G631" s="1"/>
  <c r="K631" s="1"/>
  <c r="J768"/>
  <c r="G768" s="1"/>
  <c r="K768" s="1"/>
  <c r="J798"/>
  <c r="G798" s="1"/>
  <c r="J799"/>
  <c r="G799" s="1"/>
  <c r="K799" s="1"/>
  <c r="J803"/>
  <c r="G803" s="1"/>
  <c r="J804"/>
  <c r="G804" s="1"/>
  <c r="G802" s="1"/>
  <c r="J807"/>
  <c r="G807" s="1"/>
  <c r="J808"/>
  <c r="J813"/>
  <c r="G813" s="1"/>
  <c r="J835"/>
  <c r="G835" s="1"/>
  <c r="J836"/>
  <c r="G836" s="1"/>
  <c r="J895"/>
  <c r="G895" s="1"/>
  <c r="J983"/>
  <c r="G983" s="1"/>
  <c r="J984"/>
  <c r="G984" s="1"/>
  <c r="K984" s="1"/>
  <c r="J992"/>
  <c r="G992" s="1"/>
  <c r="J993"/>
  <c r="G993" s="1"/>
  <c r="J1000"/>
  <c r="G1000" s="1"/>
  <c r="J1001"/>
  <c r="G1001" s="1"/>
  <c r="J1004"/>
  <c r="G1004" s="1"/>
  <c r="J1005"/>
  <c r="G1005" s="1"/>
  <c r="J1006"/>
  <c r="G1006" s="1"/>
  <c r="K1006" s="1"/>
  <c r="J1009"/>
  <c r="G1009" s="1"/>
  <c r="J1010"/>
  <c r="G1010" s="1"/>
  <c r="K1010" s="1"/>
  <c r="J1011"/>
  <c r="G1011" s="1"/>
  <c r="J1013"/>
  <c r="G1013" s="1"/>
  <c r="G1012" s="1"/>
  <c r="J1015"/>
  <c r="G1015" s="1"/>
  <c r="J1016"/>
  <c r="G1016" s="1"/>
  <c r="K1016" s="1"/>
  <c r="J1017"/>
  <c r="G1017" s="1"/>
  <c r="J1064"/>
  <c r="G1064" s="1"/>
  <c r="K1064" s="1"/>
  <c r="J1068"/>
  <c r="G1068" s="1"/>
  <c r="G1067" s="1"/>
  <c r="J1084"/>
  <c r="G1084" s="1"/>
  <c r="J1085"/>
  <c r="G1085" s="1"/>
  <c r="K1085" s="1"/>
  <c r="J1089"/>
  <c r="J1090"/>
  <c r="G1090" s="1"/>
  <c r="K1090" s="1"/>
  <c r="J1093"/>
  <c r="G1093" s="1"/>
  <c r="J1094"/>
  <c r="G1094" s="1"/>
  <c r="K1094" s="1"/>
  <c r="J1095"/>
  <c r="G1095" s="1"/>
  <c r="K1095" s="1"/>
  <c r="J1103"/>
  <c r="G1103" s="1"/>
  <c r="J1104"/>
  <c r="G1104" s="1"/>
  <c r="K1104" s="1"/>
  <c r="J1108"/>
  <c r="G1108" s="1"/>
  <c r="J1109"/>
  <c r="G1109" s="1"/>
  <c r="J1112"/>
  <c r="G1112" s="1"/>
  <c r="K1112" s="1"/>
  <c r="J1113"/>
  <c r="G1113" s="1"/>
  <c r="J1116"/>
  <c r="G1116" s="1"/>
  <c r="K1116" s="1"/>
  <c r="J1117"/>
  <c r="G1117" s="1"/>
  <c r="J1118"/>
  <c r="G1118" s="1"/>
  <c r="K1118" s="1"/>
  <c r="J1155"/>
  <c r="G1155" s="1"/>
  <c r="J1156"/>
  <c r="G1156" s="1"/>
  <c r="J1181"/>
  <c r="G1181" s="1"/>
  <c r="K1181" s="1"/>
  <c r="J1189"/>
  <c r="G1189" s="1"/>
  <c r="J1190"/>
  <c r="G1190" s="1"/>
  <c r="K1190" s="1"/>
  <c r="J1194"/>
  <c r="G1194" s="1"/>
  <c r="J1195"/>
  <c r="G1195" s="1"/>
  <c r="J1198"/>
  <c r="G1198" s="1"/>
  <c r="J1199"/>
  <c r="G1199" s="1"/>
  <c r="J1202"/>
  <c r="J1203"/>
  <c r="G1203" s="1"/>
  <c r="J1204"/>
  <c r="G1204" s="1"/>
  <c r="K1204" s="1"/>
  <c r="J1238"/>
  <c r="G1238" s="1"/>
  <c r="J1239"/>
  <c r="G1239" s="1"/>
  <c r="K1239" s="1"/>
  <c r="J1264"/>
  <c r="G1264" s="1"/>
  <c r="K1264" s="1"/>
  <c r="J1272"/>
  <c r="G1272" s="1"/>
  <c r="K1272" s="1"/>
  <c r="J1273"/>
  <c r="G1273" s="1"/>
  <c r="K1273" s="1"/>
  <c r="J1277"/>
  <c r="G1277" s="1"/>
  <c r="J1278"/>
  <c r="G1278" s="1"/>
  <c r="J1281"/>
  <c r="G1281" s="1"/>
  <c r="J1282"/>
  <c r="G1282" s="1"/>
  <c r="J1285"/>
  <c r="G1285" s="1"/>
  <c r="J1286"/>
  <c r="G1286" s="1"/>
  <c r="K1286" s="1"/>
  <c r="J1287"/>
  <c r="G1287" s="1"/>
  <c r="K1287" s="1"/>
  <c r="J1324"/>
  <c r="G1324" s="1"/>
  <c r="J1325"/>
  <c r="G1325" s="1"/>
  <c r="J1347"/>
  <c r="G1347" s="1"/>
  <c r="J1373"/>
  <c r="G1373" s="1"/>
  <c r="J1408"/>
  <c r="G1408" s="1"/>
  <c r="G1407" s="1"/>
  <c r="J1409"/>
  <c r="K1409" s="1"/>
  <c r="J1411"/>
  <c r="G1411" s="1"/>
  <c r="G1410" s="1"/>
  <c r="J1427"/>
  <c r="G1427" s="1"/>
  <c r="J1451"/>
  <c r="G1451" s="1"/>
  <c r="G1450" s="1"/>
  <c r="J1468"/>
  <c r="J1471"/>
  <c r="G1471" s="1"/>
  <c r="K1471" s="1"/>
  <c r="J1493"/>
  <c r="G1493" s="1"/>
  <c r="J1498"/>
  <c r="G1498" s="1"/>
  <c r="J1502"/>
  <c r="G1502" s="1"/>
  <c r="K1502" s="1"/>
  <c r="J1521"/>
  <c r="G1521" s="1"/>
  <c r="J1535"/>
  <c r="G1535" s="1"/>
  <c r="K1535" s="1"/>
  <c r="J1536"/>
  <c r="G1536" s="1"/>
  <c r="J1540"/>
  <c r="G1540" s="1"/>
  <c r="J1541"/>
  <c r="G1541" s="1"/>
  <c r="G1539" s="1"/>
  <c r="J1544"/>
  <c r="G1544" s="1"/>
  <c r="K1544" s="1"/>
  <c r="J1545"/>
  <c r="G1545" s="1"/>
  <c r="K1545" s="1"/>
  <c r="J1585"/>
  <c r="G1585" s="1"/>
  <c r="J1592"/>
  <c r="G1592" s="1"/>
  <c r="J1595"/>
  <c r="G1595" s="1"/>
  <c r="G1594" s="1"/>
  <c r="J1612"/>
  <c r="K1612" s="1"/>
  <c r="J1631"/>
  <c r="G1631" s="1"/>
  <c r="K1631" s="1"/>
  <c r="J1632"/>
  <c r="J1636"/>
  <c r="G1636" s="1"/>
  <c r="J1637"/>
  <c r="J1651"/>
  <c r="G1651" s="1"/>
  <c r="K1651" s="1"/>
  <c r="J1652"/>
  <c r="G1652" s="1"/>
  <c r="J1656"/>
  <c r="G1656" s="1"/>
  <c r="J1657"/>
  <c r="G1657" s="1"/>
  <c r="K1657" s="1"/>
  <c r="J1674"/>
  <c r="G1674" s="1"/>
  <c r="K1674" s="1"/>
  <c r="J1675"/>
  <c r="G1675" s="1"/>
  <c r="J1679"/>
  <c r="G1679" s="1"/>
  <c r="J1680"/>
  <c r="G1680" s="1"/>
  <c r="K1680" s="1"/>
  <c r="J1683"/>
  <c r="J1684"/>
  <c r="G1684" s="1"/>
  <c r="J1685"/>
  <c r="G1685" s="1"/>
  <c r="J1693"/>
  <c r="G1693" s="1"/>
  <c r="J1694"/>
  <c r="J1701"/>
  <c r="G1701" s="1"/>
  <c r="J1702"/>
  <c r="G1702" s="1"/>
  <c r="K1702" s="1"/>
  <c r="O1705"/>
  <c r="M1705"/>
  <c r="K1705"/>
  <c r="O1610"/>
  <c r="I1609"/>
  <c r="I1608" s="1"/>
  <c r="I1607" s="1"/>
  <c r="H1609"/>
  <c r="H1608" s="1"/>
  <c r="H1607" s="1"/>
  <c r="M1598"/>
  <c r="H1597"/>
  <c r="H1596" s="1"/>
  <c r="M1498"/>
  <c r="I1419"/>
  <c r="I1418" s="1"/>
  <c r="M1373"/>
  <c r="M1286"/>
  <c r="O1281"/>
  <c r="M1278"/>
  <c r="M1272"/>
  <c r="D1209"/>
  <c r="C1209"/>
  <c r="B1209"/>
  <c r="D1208"/>
  <c r="C1208"/>
  <c r="B1208"/>
  <c r="D1207"/>
  <c r="C1207"/>
  <c r="B1207"/>
  <c r="K1199"/>
  <c r="M1189"/>
  <c r="H1179"/>
  <c r="M1112"/>
  <c r="O1017"/>
  <c r="M992"/>
  <c r="M798"/>
  <c r="O679"/>
  <c r="O504"/>
  <c r="O483"/>
  <c r="O456"/>
  <c r="I455"/>
  <c r="M358"/>
  <c r="O307"/>
  <c r="M198"/>
  <c r="M197"/>
  <c r="O95"/>
  <c r="M18"/>
  <c r="M1411" i="30" l="1"/>
  <c r="H1410"/>
  <c r="H1409" s="1"/>
  <c r="M409"/>
  <c r="M1417"/>
  <c r="H1416"/>
  <c r="H1415" s="1"/>
  <c r="I1534"/>
  <c r="M1592"/>
  <c r="H1591"/>
  <c r="H1590" s="1"/>
  <c r="K803" i="29"/>
  <c r="O408" i="30"/>
  <c r="K412"/>
  <c r="M780"/>
  <c r="K799"/>
  <c r="M804"/>
  <c r="I1078"/>
  <c r="I1077" s="1"/>
  <c r="I1076" s="1"/>
  <c r="M1084"/>
  <c r="I1673"/>
  <c r="O1675"/>
  <c r="O928" i="29"/>
  <c r="H218"/>
  <c r="H217" s="1"/>
  <c r="H216" s="1"/>
  <c r="O81" i="30"/>
  <c r="H204"/>
  <c r="M204" s="1"/>
  <c r="G218"/>
  <c r="G217" s="1"/>
  <c r="G216" s="1"/>
  <c r="H409"/>
  <c r="M607"/>
  <c r="O835"/>
  <c r="K1112"/>
  <c r="K1189"/>
  <c r="G1194"/>
  <c r="K1194" s="1"/>
  <c r="M1199"/>
  <c r="O1493"/>
  <c r="H1543"/>
  <c r="H1542" s="1"/>
  <c r="O1545"/>
  <c r="O1636"/>
  <c r="H991"/>
  <c r="M1000" i="29"/>
  <c r="G1700"/>
  <c r="G1699" s="1"/>
  <c r="I411" i="30"/>
  <c r="I410" s="1"/>
  <c r="K602"/>
  <c r="K1287"/>
  <c r="M150" i="29"/>
  <c r="K312"/>
  <c r="K1521"/>
  <c r="O1632"/>
  <c r="I1107"/>
  <c r="M210" i="30"/>
  <c r="G1237"/>
  <c r="G1236" s="1"/>
  <c r="G1235" s="1"/>
  <c r="M1637"/>
  <c r="G1652"/>
  <c r="K1652" s="1"/>
  <c r="M274" i="29"/>
  <c r="M96"/>
  <c r="O607" i="30"/>
  <c r="H1083"/>
  <c r="K152" i="29"/>
  <c r="M318"/>
  <c r="M1535"/>
  <c r="O210" i="30"/>
  <c r="H1176"/>
  <c r="O1564"/>
  <c r="K1094"/>
  <c r="M478" i="29"/>
  <c r="O1227" i="30"/>
  <c r="O157" i="29"/>
  <c r="M336"/>
  <c r="M1118"/>
  <c r="M1282"/>
  <c r="M1541"/>
  <c r="M408" i="30"/>
  <c r="M413"/>
  <c r="K598"/>
  <c r="O983"/>
  <c r="H1009"/>
  <c r="M1009" s="1"/>
  <c r="H1312"/>
  <c r="H1311" s="1"/>
  <c r="M1611"/>
  <c r="H1700"/>
  <c r="I73"/>
  <c r="O73"/>
  <c r="H1502"/>
  <c r="M1502"/>
  <c r="G808" i="29"/>
  <c r="G806" s="1"/>
  <c r="G805" s="1"/>
  <c r="K808"/>
  <c r="M1411"/>
  <c r="G430"/>
  <c r="K430" s="1"/>
  <c r="G322"/>
  <c r="K322" s="1"/>
  <c r="H352"/>
  <c r="M352" s="1"/>
  <c r="G1637"/>
  <c r="K1637" s="1"/>
  <c r="I1103"/>
  <c r="O1103"/>
  <c r="M27"/>
  <c r="I1594"/>
  <c r="G1683"/>
  <c r="G1694"/>
  <c r="G1692" s="1"/>
  <c r="M482"/>
  <c r="I834"/>
  <c r="H1195"/>
  <c r="M1195" s="1"/>
  <c r="M156"/>
  <c r="H156"/>
  <c r="H94"/>
  <c r="O31" i="30"/>
  <c r="U31"/>
  <c r="H336"/>
  <c r="H335" s="1"/>
  <c r="H334" s="1"/>
  <c r="H333" s="1"/>
  <c r="H332" s="1"/>
  <c r="M477"/>
  <c r="H476"/>
  <c r="G1323" i="29"/>
  <c r="G1322" s="1"/>
  <c r="G1321" s="1"/>
  <c r="G1320" s="1"/>
  <c r="G1319" s="1"/>
  <c r="G1318" s="1"/>
  <c r="H1237"/>
  <c r="H1234" s="1"/>
  <c r="H1233" s="1"/>
  <c r="H1232" s="1"/>
  <c r="M835"/>
  <c r="H835"/>
  <c r="H26"/>
  <c r="H25" s="1"/>
  <c r="G600"/>
  <c r="G599" s="1"/>
  <c r="G157" i="30"/>
  <c r="K157" s="1"/>
  <c r="I1102" i="29"/>
  <c r="I360" i="30"/>
  <c r="I359" s="1"/>
  <c r="I1282"/>
  <c r="O1282" s="1"/>
  <c r="M312" i="29"/>
  <c r="M1006"/>
  <c r="G1089"/>
  <c r="K1089" s="1"/>
  <c r="G25" i="30"/>
  <c r="S25" s="1"/>
  <c r="S26"/>
  <c r="G358"/>
  <c r="K358" s="1"/>
  <c r="H204" i="29"/>
  <c r="M204" s="1"/>
  <c r="H36"/>
  <c r="O18" i="30"/>
  <c r="G1202" i="29"/>
  <c r="K1202" s="1"/>
  <c r="G604"/>
  <c r="G603" s="1"/>
  <c r="G483"/>
  <c r="H411"/>
  <c r="H17"/>
  <c r="K36" i="30"/>
  <c r="I150"/>
  <c r="O150" s="1"/>
  <c r="I1116"/>
  <c r="O1116"/>
  <c r="H1577" i="29"/>
  <c r="H1576" s="1"/>
  <c r="H1575" s="1"/>
  <c r="H991"/>
  <c r="G13" i="30"/>
  <c r="S13" s="1"/>
  <c r="K13"/>
  <c r="H17"/>
  <c r="T19"/>
  <c r="G1281"/>
  <c r="K32"/>
  <c r="S32"/>
  <c r="O41"/>
  <c r="H1277" i="29"/>
  <c r="H1181"/>
  <c r="M1181" s="1"/>
  <c r="H1109"/>
  <c r="M1109" s="1"/>
  <c r="M1093"/>
  <c r="M813"/>
  <c r="O1194"/>
  <c r="I1194"/>
  <c r="I1193" s="1"/>
  <c r="I1090"/>
  <c r="I1088" s="1"/>
  <c r="I477"/>
  <c r="O477" s="1"/>
  <c r="I211"/>
  <c r="I209" s="1"/>
  <c r="I208" s="1"/>
  <c r="I207" s="1"/>
  <c r="I206" s="1"/>
  <c r="I203"/>
  <c r="O203" s="1"/>
  <c r="H1685"/>
  <c r="M1685" s="1"/>
  <c r="G74" i="30"/>
  <c r="K74" s="1"/>
  <c r="G1282"/>
  <c r="K1282" s="1"/>
  <c r="H1371" i="29"/>
  <c r="H1370" s="1"/>
  <c r="H1369" s="1"/>
  <c r="H1368" s="1"/>
  <c r="H1367" s="1"/>
  <c r="H1366" s="1"/>
  <c r="H1154"/>
  <c r="H1153" s="1"/>
  <c r="H1152" s="1"/>
  <c r="H1151" s="1"/>
  <c r="H1150" s="1"/>
  <c r="H1149" s="1"/>
  <c r="H834"/>
  <c r="M413"/>
  <c r="M389"/>
  <c r="H316"/>
  <c r="H155"/>
  <c r="H69"/>
  <c r="M69" s="1"/>
  <c r="H804"/>
  <c r="H802" s="1"/>
  <c r="H1085"/>
  <c r="H1083" s="1"/>
  <c r="M41" i="30"/>
  <c r="T41"/>
  <c r="G69"/>
  <c r="H74"/>
  <c r="M74" s="1"/>
  <c r="G198"/>
  <c r="K198" s="1"/>
  <c r="H1684"/>
  <c r="H1682" s="1"/>
  <c r="H1681" s="1"/>
  <c r="G19"/>
  <c r="S19" s="1"/>
  <c r="M73"/>
  <c r="H1016"/>
  <c r="M1016" s="1"/>
  <c r="M14"/>
  <c r="S18"/>
  <c r="K27"/>
  <c r="S27"/>
  <c r="O197"/>
  <c r="G204"/>
  <c r="K204" s="1"/>
  <c r="O1631"/>
  <c r="I1630"/>
  <c r="K28"/>
  <c r="S28"/>
  <c r="H32"/>
  <c r="T32" s="1"/>
  <c r="O204"/>
  <c r="I984"/>
  <c r="O984"/>
  <c r="K1015"/>
  <c r="I1284"/>
  <c r="I28"/>
  <c r="U28" s="1"/>
  <c r="G478"/>
  <c r="K478" s="1"/>
  <c r="H803"/>
  <c r="H802" s="1"/>
  <c r="G1009"/>
  <c r="K1009" s="1"/>
  <c r="M40"/>
  <c r="M198"/>
  <c r="I780"/>
  <c r="I779" s="1"/>
  <c r="I778" s="1"/>
  <c r="O780"/>
  <c r="H999"/>
  <c r="H998" s="1"/>
  <c r="I1680"/>
  <c r="O1680" s="1"/>
  <c r="K70"/>
  <c r="M351"/>
  <c r="G482"/>
  <c r="K482" s="1"/>
  <c r="H777"/>
  <c r="H1116"/>
  <c r="M1116" s="1"/>
  <c r="O14"/>
  <c r="K41"/>
  <c r="G439"/>
  <c r="K439"/>
  <c r="I455"/>
  <c r="I454" s="1"/>
  <c r="O456"/>
  <c r="M1260"/>
  <c r="H39"/>
  <c r="T40"/>
  <c r="H68"/>
  <c r="H67" s="1"/>
  <c r="I72"/>
  <c r="I71" s="1"/>
  <c r="O318"/>
  <c r="H350"/>
  <c r="G483"/>
  <c r="K483"/>
  <c r="O602"/>
  <c r="G1408"/>
  <c r="G1407" s="1"/>
  <c r="G1406" s="1"/>
  <c r="H836"/>
  <c r="H834" s="1"/>
  <c r="I1088"/>
  <c r="I1277"/>
  <c r="O1277" s="1"/>
  <c r="I1682"/>
  <c r="I1681" s="1"/>
  <c r="O1683"/>
  <c r="H407"/>
  <c r="G798"/>
  <c r="G797" s="1"/>
  <c r="K798"/>
  <c r="G807"/>
  <c r="G806" s="1"/>
  <c r="K807"/>
  <c r="G834"/>
  <c r="I1003"/>
  <c r="I1002" s="1"/>
  <c r="O1038"/>
  <c r="I1037"/>
  <c r="G1188"/>
  <c r="G1195"/>
  <c r="G1193" s="1"/>
  <c r="M1278"/>
  <c r="H1418"/>
  <c r="G1470"/>
  <c r="G1469" s="1"/>
  <c r="I1656"/>
  <c r="O1656" s="1"/>
  <c r="O1679"/>
  <c r="K489"/>
  <c r="G1539"/>
  <c r="O1632"/>
  <c r="I991"/>
  <c r="O992"/>
  <c r="H1108"/>
  <c r="H1107" s="1"/>
  <c r="H1118"/>
  <c r="M1118" s="1"/>
  <c r="O1144"/>
  <c r="O1198"/>
  <c r="G1411"/>
  <c r="G1592"/>
  <c r="G1591" s="1"/>
  <c r="G1590" s="1"/>
  <c r="I1652"/>
  <c r="O1652" s="1"/>
  <c r="H1372"/>
  <c r="M1372" s="1"/>
  <c r="O1544"/>
  <c r="I1598"/>
  <c r="O1090"/>
  <c r="I1451"/>
  <c r="I1450" s="1"/>
  <c r="M1498"/>
  <c r="G1674"/>
  <c r="K1674" s="1"/>
  <c r="I982"/>
  <c r="O1075"/>
  <c r="O1089"/>
  <c r="M1195"/>
  <c r="K1239"/>
  <c r="O1272"/>
  <c r="H1540"/>
  <c r="M1540" s="1"/>
  <c r="I1592"/>
  <c r="I1591" s="1"/>
  <c r="I1590" s="1"/>
  <c r="O1592"/>
  <c r="M835"/>
  <c r="I1611"/>
  <c r="O1611" s="1"/>
  <c r="I1650"/>
  <c r="M1544"/>
  <c r="K1595"/>
  <c r="K1675"/>
  <c r="K1498"/>
  <c r="K1683"/>
  <c r="H1635"/>
  <c r="H31"/>
  <c r="H13"/>
  <c r="T13" s="1"/>
  <c r="M13"/>
  <c r="M19"/>
  <c r="O40"/>
  <c r="I39"/>
  <c r="U39" s="1"/>
  <c r="G14"/>
  <c r="H27"/>
  <c r="T27" s="1"/>
  <c r="G37"/>
  <c r="I30"/>
  <c r="O32"/>
  <c r="K274"/>
  <c r="G321"/>
  <c r="G320" s="1"/>
  <c r="G319" s="1"/>
  <c r="K321"/>
  <c r="H11"/>
  <c r="T11" s="1"/>
  <c r="I13"/>
  <c r="O13"/>
  <c r="I19"/>
  <c r="U19" s="1"/>
  <c r="H155"/>
  <c r="H358"/>
  <c r="M358" s="1"/>
  <c r="I27"/>
  <c r="O27" s="1"/>
  <c r="H37"/>
  <c r="T37" s="1"/>
  <c r="M37"/>
  <c r="O95"/>
  <c r="I94"/>
  <c r="I155"/>
  <c r="M61"/>
  <c r="O74"/>
  <c r="K150"/>
  <c r="G152"/>
  <c r="G149" s="1"/>
  <c r="I305"/>
  <c r="I304" s="1"/>
  <c r="I303" s="1"/>
  <c r="I302" s="1"/>
  <c r="M318"/>
  <c r="H316"/>
  <c r="I352"/>
  <c r="O352" s="1"/>
  <c r="I500"/>
  <c r="I803"/>
  <c r="G350"/>
  <c r="K351"/>
  <c r="H799"/>
  <c r="H797" s="1"/>
  <c r="M799"/>
  <c r="K18"/>
  <c r="M36"/>
  <c r="G39"/>
  <c r="S39" s="1"/>
  <c r="K40"/>
  <c r="M69"/>
  <c r="H196"/>
  <c r="H238"/>
  <c r="M238"/>
  <c r="G311"/>
  <c r="H602"/>
  <c r="M602"/>
  <c r="G31"/>
  <c r="K31"/>
  <c r="I35"/>
  <c r="O36"/>
  <c r="O69"/>
  <c r="O157"/>
  <c r="I238"/>
  <c r="O238" s="1"/>
  <c r="G313"/>
  <c r="K313" s="1"/>
  <c r="I321"/>
  <c r="I320" s="1"/>
  <c r="I319" s="1"/>
  <c r="I334"/>
  <c r="G357"/>
  <c r="K357" s="1"/>
  <c r="G95"/>
  <c r="G94" s="1"/>
  <c r="K95"/>
  <c r="M96"/>
  <c r="K156"/>
  <c r="H203"/>
  <c r="H202" s="1"/>
  <c r="M220"/>
  <c r="M313"/>
  <c r="I316"/>
  <c r="K317"/>
  <c r="H357"/>
  <c r="M357" s="1"/>
  <c r="O361"/>
  <c r="O605"/>
  <c r="I604"/>
  <c r="I603" s="1"/>
  <c r="I999"/>
  <c r="O1000"/>
  <c r="M95"/>
  <c r="H152"/>
  <c r="H149" s="1"/>
  <c r="M152"/>
  <c r="I311"/>
  <c r="O312"/>
  <c r="I355"/>
  <c r="H440"/>
  <c r="O37"/>
  <c r="O61"/>
  <c r="I152"/>
  <c r="O152" s="1"/>
  <c r="H211"/>
  <c r="H209" s="1"/>
  <c r="H208" s="1"/>
  <c r="K312"/>
  <c r="K343"/>
  <c r="G356"/>
  <c r="O478"/>
  <c r="K81"/>
  <c r="I203"/>
  <c r="I202" s="1"/>
  <c r="H218"/>
  <c r="M317"/>
  <c r="O357"/>
  <c r="G404"/>
  <c r="G402" s="1"/>
  <c r="G600"/>
  <c r="G599" s="1"/>
  <c r="I70"/>
  <c r="I68" s="1"/>
  <c r="G154"/>
  <c r="G153" s="1"/>
  <c r="O156"/>
  <c r="G205"/>
  <c r="K205" s="1"/>
  <c r="I211"/>
  <c r="H312"/>
  <c r="H311" s="1"/>
  <c r="K322"/>
  <c r="O336"/>
  <c r="K389"/>
  <c r="K403"/>
  <c r="I409"/>
  <c r="G413"/>
  <c r="G411" s="1"/>
  <c r="G410" s="1"/>
  <c r="O440"/>
  <c r="I476"/>
  <c r="G481"/>
  <c r="I481"/>
  <c r="O483"/>
  <c r="G488"/>
  <c r="O597"/>
  <c r="I596"/>
  <c r="G803"/>
  <c r="G802" s="1"/>
  <c r="I804"/>
  <c r="O804" s="1"/>
  <c r="K73"/>
  <c r="K197"/>
  <c r="I220"/>
  <c r="O220"/>
  <c r="O307"/>
  <c r="I351"/>
  <c r="O351" s="1"/>
  <c r="I198"/>
  <c r="I196" s="1"/>
  <c r="M205"/>
  <c r="H320"/>
  <c r="M321"/>
  <c r="O343"/>
  <c r="M389"/>
  <c r="I767"/>
  <c r="I766" s="1"/>
  <c r="O768"/>
  <c r="I777"/>
  <c r="M307"/>
  <c r="M343"/>
  <c r="H360"/>
  <c r="O413"/>
  <c r="M478"/>
  <c r="H604"/>
  <c r="H664"/>
  <c r="M665"/>
  <c r="H807"/>
  <c r="H806" s="1"/>
  <c r="H805" s="1"/>
  <c r="H403"/>
  <c r="O412"/>
  <c r="M430"/>
  <c r="I439"/>
  <c r="H456"/>
  <c r="H455" s="1"/>
  <c r="G597"/>
  <c r="G596" s="1"/>
  <c r="M598"/>
  <c r="G605"/>
  <c r="K631"/>
  <c r="I799"/>
  <c r="I797" s="1"/>
  <c r="O799"/>
  <c r="O313"/>
  <c r="K352"/>
  <c r="O356"/>
  <c r="I402"/>
  <c r="O404"/>
  <c r="K408"/>
  <c r="G591"/>
  <c r="H597"/>
  <c r="H596" s="1"/>
  <c r="G440"/>
  <c r="G438" s="1"/>
  <c r="O504"/>
  <c r="G361"/>
  <c r="G360" s="1"/>
  <c r="G359" s="1"/>
  <c r="G409"/>
  <c r="K409" s="1"/>
  <c r="M605"/>
  <c r="O836"/>
  <c r="I834"/>
  <c r="O1016"/>
  <c r="G1065"/>
  <c r="K592"/>
  <c r="O1009"/>
  <c r="I1008"/>
  <c r="H1010"/>
  <c r="K1685"/>
  <c r="K477"/>
  <c r="H483"/>
  <c r="H481" s="1"/>
  <c r="G768"/>
  <c r="G767" s="1"/>
  <c r="G766" s="1"/>
  <c r="H983"/>
  <c r="H982" s="1"/>
  <c r="H1073"/>
  <c r="H1072" s="1"/>
  <c r="H679"/>
  <c r="G805"/>
  <c r="O813"/>
  <c r="G999"/>
  <c r="G998" s="1"/>
  <c r="K1000"/>
  <c r="M1006"/>
  <c r="H1006"/>
  <c r="M1181"/>
  <c r="I677"/>
  <c r="H1694"/>
  <c r="M1694" s="1"/>
  <c r="K835"/>
  <c r="K993"/>
  <c r="G1004"/>
  <c r="M928"/>
  <c r="I807"/>
  <c r="I806" s="1"/>
  <c r="G991"/>
  <c r="K992"/>
  <c r="K1001"/>
  <c r="M1085"/>
  <c r="G1089"/>
  <c r="O1108"/>
  <c r="H1091"/>
  <c r="K1108"/>
  <c r="G1113"/>
  <c r="K1113" s="1"/>
  <c r="I1260"/>
  <c r="I1259" s="1"/>
  <c r="I1258" s="1"/>
  <c r="M631"/>
  <c r="K808"/>
  <c r="I1015"/>
  <c r="I1014" s="1"/>
  <c r="O1015"/>
  <c r="H1038"/>
  <c r="H1037" s="1"/>
  <c r="G1062"/>
  <c r="M1094"/>
  <c r="M1109"/>
  <c r="H1175"/>
  <c r="G1272"/>
  <c r="K1272" s="1"/>
  <c r="G895"/>
  <c r="H1003"/>
  <c r="M1093"/>
  <c r="O1113"/>
  <c r="H1180"/>
  <c r="M1189"/>
  <c r="H1188"/>
  <c r="H1227"/>
  <c r="H1226" s="1"/>
  <c r="H1225" s="1"/>
  <c r="H1263"/>
  <c r="H1262" s="1"/>
  <c r="K813"/>
  <c r="H1015"/>
  <c r="K1064"/>
  <c r="K1068"/>
  <c r="M1075"/>
  <c r="I1085"/>
  <c r="O1085" s="1"/>
  <c r="I1093"/>
  <c r="I1092" s="1"/>
  <c r="I1091" s="1"/>
  <c r="I1103"/>
  <c r="I1102" s="1"/>
  <c r="O1103"/>
  <c r="I1111"/>
  <c r="O1112"/>
  <c r="I1115"/>
  <c r="G1156"/>
  <c r="G1154" s="1"/>
  <c r="I1188"/>
  <c r="O1189"/>
  <c r="H1202"/>
  <c r="M1202" s="1"/>
  <c r="I1263"/>
  <c r="I1262" s="1"/>
  <c r="M993"/>
  <c r="M1001"/>
  <c r="M1004"/>
  <c r="H1089"/>
  <c r="G1104"/>
  <c r="G1102" s="1"/>
  <c r="O1199"/>
  <c r="I1197"/>
  <c r="H1204"/>
  <c r="M1204" s="1"/>
  <c r="K1264"/>
  <c r="G1278"/>
  <c r="K1278" s="1"/>
  <c r="I1372"/>
  <c r="O1372" s="1"/>
  <c r="O1095"/>
  <c r="O1118"/>
  <c r="H1194"/>
  <c r="M1287"/>
  <c r="I1498"/>
  <c r="O1498" s="1"/>
  <c r="G983"/>
  <c r="M984"/>
  <c r="M992"/>
  <c r="O993"/>
  <c r="M1000"/>
  <c r="O1001"/>
  <c r="G1006"/>
  <c r="K1006"/>
  <c r="K1016"/>
  <c r="O1017"/>
  <c r="I1073"/>
  <c r="I1072" s="1"/>
  <c r="I1084"/>
  <c r="M1144"/>
  <c r="O1177"/>
  <c r="I1176"/>
  <c r="I1175" s="1"/>
  <c r="I1194"/>
  <c r="H1486"/>
  <c r="M1487"/>
  <c r="G1010"/>
  <c r="G1014"/>
  <c r="M1017"/>
  <c r="M1113"/>
  <c r="G1199"/>
  <c r="I1202"/>
  <c r="I1201" s="1"/>
  <c r="K1017"/>
  <c r="G1085"/>
  <c r="G1083" s="1"/>
  <c r="H1111"/>
  <c r="K1198"/>
  <c r="G1277"/>
  <c r="K1277" s="1"/>
  <c r="H1286"/>
  <c r="K1347"/>
  <c r="O1006"/>
  <c r="O1010"/>
  <c r="K1095"/>
  <c r="K1103"/>
  <c r="I1109"/>
  <c r="I1107" s="1"/>
  <c r="M1112"/>
  <c r="H1156"/>
  <c r="H1154" s="1"/>
  <c r="M1156"/>
  <c r="M1198"/>
  <c r="M1273"/>
  <c r="I1312"/>
  <c r="I1311" s="1"/>
  <c r="O1313"/>
  <c r="G1013"/>
  <c r="G1012" s="1"/>
  <c r="M1078"/>
  <c r="M1095"/>
  <c r="H1103"/>
  <c r="I1156"/>
  <c r="I1154" s="1"/>
  <c r="O1195"/>
  <c r="H1323"/>
  <c r="O1347"/>
  <c r="I1418"/>
  <c r="G1093"/>
  <c r="G1109"/>
  <c r="G1107" s="1"/>
  <c r="G1117"/>
  <c r="G1115" s="1"/>
  <c r="I1271"/>
  <c r="G1273"/>
  <c r="K1273" s="1"/>
  <c r="G1427"/>
  <c r="G1426" s="1"/>
  <c r="G1425" s="1"/>
  <c r="M1190"/>
  <c r="G1202"/>
  <c r="H1239"/>
  <c r="M1239" s="1"/>
  <c r="O1273"/>
  <c r="M1281"/>
  <c r="H1281"/>
  <c r="H1280" s="1"/>
  <c r="H1279" s="1"/>
  <c r="G1325"/>
  <c r="G1323" s="1"/>
  <c r="I1239"/>
  <c r="I1237" s="1"/>
  <c r="O1239"/>
  <c r="H1271"/>
  <c r="H1277"/>
  <c r="H1276" s="1"/>
  <c r="I1278"/>
  <c r="O1278" s="1"/>
  <c r="I1281"/>
  <c r="O1281"/>
  <c r="M1325"/>
  <c r="I1180"/>
  <c r="I1179" s="1"/>
  <c r="I1178" s="1"/>
  <c r="O1190"/>
  <c r="M1272"/>
  <c r="I1325"/>
  <c r="M1420"/>
  <c r="G1502"/>
  <c r="K1502" s="1"/>
  <c r="G1286"/>
  <c r="G1284" s="1"/>
  <c r="H1373"/>
  <c r="H1371" s="1"/>
  <c r="H1370" s="1"/>
  <c r="M1451"/>
  <c r="K1521"/>
  <c r="K1541"/>
  <c r="O1286"/>
  <c r="I1416"/>
  <c r="I1415" s="1"/>
  <c r="O1417"/>
  <c r="O1420"/>
  <c r="M1467"/>
  <c r="G1535"/>
  <c r="G1534" s="1"/>
  <c r="G1545"/>
  <c r="G1543" s="1"/>
  <c r="I1373"/>
  <c r="O1373" s="1"/>
  <c r="I1482"/>
  <c r="I1483"/>
  <c r="O1521"/>
  <c r="I1541"/>
  <c r="I1539" s="1"/>
  <c r="G1583"/>
  <c r="G1582" s="1"/>
  <c r="G1581" s="1"/>
  <c r="G1580" s="1"/>
  <c r="G1373"/>
  <c r="K1451"/>
  <c r="I1561"/>
  <c r="H1493"/>
  <c r="M1493" s="1"/>
  <c r="K1544"/>
  <c r="I1466"/>
  <c r="O1467"/>
  <c r="G1468"/>
  <c r="K1468"/>
  <c r="H1598"/>
  <c r="H1597" s="1"/>
  <c r="H1534"/>
  <c r="H1595"/>
  <c r="H1594" s="1"/>
  <c r="H1593" s="1"/>
  <c r="H1541"/>
  <c r="M1541" s="1"/>
  <c r="I1594"/>
  <c r="O1595"/>
  <c r="K1680"/>
  <c r="O1487"/>
  <c r="M1535"/>
  <c r="H1673"/>
  <c r="M1674"/>
  <c r="M1675"/>
  <c r="O1535"/>
  <c r="K1651"/>
  <c r="I1657"/>
  <c r="G1701"/>
  <c r="G1656"/>
  <c r="K1656" s="1"/>
  <c r="O1702"/>
  <c r="H1563"/>
  <c r="H1562" s="1"/>
  <c r="H1577"/>
  <c r="H1585"/>
  <c r="H1651"/>
  <c r="H1650" s="1"/>
  <c r="H1699"/>
  <c r="M1545"/>
  <c r="I1577"/>
  <c r="I1576" s="1"/>
  <c r="O1577"/>
  <c r="I1585"/>
  <c r="I1584" s="1"/>
  <c r="G1637"/>
  <c r="K1637" s="1"/>
  <c r="M1679"/>
  <c r="O1685"/>
  <c r="M1701"/>
  <c r="G1593"/>
  <c r="G1630"/>
  <c r="K1632"/>
  <c r="H1692"/>
  <c r="M1693"/>
  <c r="G1682"/>
  <c r="G1681" s="1"/>
  <c r="G1693"/>
  <c r="G1692" s="1"/>
  <c r="I1701"/>
  <c r="I1700" s="1"/>
  <c r="I1699" s="1"/>
  <c r="M1631"/>
  <c r="O1674"/>
  <c r="G1678"/>
  <c r="I1693"/>
  <c r="G1635"/>
  <c r="I1637"/>
  <c r="I1635" s="1"/>
  <c r="G1657"/>
  <c r="K1657" s="1"/>
  <c r="K1679"/>
  <c r="M1683"/>
  <c r="M1702"/>
  <c r="H1632"/>
  <c r="H1630" s="1"/>
  <c r="H1656"/>
  <c r="H1655" s="1"/>
  <c r="H1680"/>
  <c r="M1680" s="1"/>
  <c r="M1636"/>
  <c r="M1652"/>
  <c r="M95" i="29"/>
  <c r="K807"/>
  <c r="I1682"/>
  <c r="I1681" s="1"/>
  <c r="H39"/>
  <c r="H38" s="1"/>
  <c r="H355"/>
  <c r="H1678"/>
  <c r="O1075"/>
  <c r="H1416"/>
  <c r="O1674"/>
  <c r="O19"/>
  <c r="G11"/>
  <c r="G1092"/>
  <c r="G1091" s="1"/>
  <c r="H360"/>
  <c r="O1651"/>
  <c r="O220"/>
  <c r="G1630"/>
  <c r="H1539"/>
  <c r="H1143"/>
  <c r="O1451"/>
  <c r="O28"/>
  <c r="G1107"/>
  <c r="H11"/>
  <c r="H149"/>
  <c r="H320"/>
  <c r="H319" s="1"/>
  <c r="H596"/>
  <c r="H806"/>
  <c r="H805" s="1"/>
  <c r="H1014"/>
  <c r="H1197"/>
  <c r="H1196" s="1"/>
  <c r="H1323"/>
  <c r="H1322" s="1"/>
  <c r="H1321" s="1"/>
  <c r="H1320" s="1"/>
  <c r="H1319" s="1"/>
  <c r="H1318" s="1"/>
  <c r="H1635"/>
  <c r="H1650"/>
  <c r="H1673"/>
  <c r="K1468"/>
  <c r="M403"/>
  <c r="G39"/>
  <c r="G38" s="1"/>
  <c r="G72"/>
  <c r="G71" s="1"/>
  <c r="H72"/>
  <c r="H71" s="1"/>
  <c r="K154"/>
  <c r="H1630"/>
  <c r="G1193"/>
  <c r="H1262"/>
  <c r="K1017"/>
  <c r="K1001"/>
  <c r="K74"/>
  <c r="G360"/>
  <c r="G359" s="1"/>
  <c r="G596"/>
  <c r="G1008"/>
  <c r="H30"/>
  <c r="H402"/>
  <c r="H481"/>
  <c r="H1088"/>
  <c r="H1115"/>
  <c r="M1038"/>
  <c r="G591"/>
  <c r="K1408"/>
  <c r="M40"/>
  <c r="G1063"/>
  <c r="K1195"/>
  <c r="M1325"/>
  <c r="M1078"/>
  <c r="H1591"/>
  <c r="H1590" s="1"/>
  <c r="M1652"/>
  <c r="M1564"/>
  <c r="M1180"/>
  <c r="M1108"/>
  <c r="M1004"/>
  <c r="G17"/>
  <c r="G35"/>
  <c r="G34" s="1"/>
  <c r="G68"/>
  <c r="G67" s="1"/>
  <c r="G66" s="1"/>
  <c r="G65" s="1"/>
  <c r="G64" s="1"/>
  <c r="G149"/>
  <c r="G218"/>
  <c r="G217" s="1"/>
  <c r="G216" s="1"/>
  <c r="G834"/>
  <c r="G1154"/>
  <c r="G1153" s="1"/>
  <c r="G1152" s="1"/>
  <c r="G1151" s="1"/>
  <c r="G1150" s="1"/>
  <c r="G1149" s="1"/>
  <c r="G1188"/>
  <c r="G1237"/>
  <c r="G1234" s="1"/>
  <c r="G1233" s="1"/>
  <c r="G1232" s="1"/>
  <c r="I1226"/>
  <c r="I1225" s="1"/>
  <c r="O1227"/>
  <c r="K1656"/>
  <c r="G1655"/>
  <c r="G1276"/>
  <c r="K1278"/>
  <c r="K1679"/>
  <c r="G1678"/>
  <c r="O1263"/>
  <c r="I1262"/>
  <c r="I1261" s="1"/>
  <c r="I1257" s="1"/>
  <c r="I1256" s="1"/>
  <c r="I1255" s="1"/>
  <c r="I1254" s="1"/>
  <c r="I1253" s="1"/>
  <c r="G1470"/>
  <c r="I30"/>
  <c r="I29" s="1"/>
  <c r="O31"/>
  <c r="I481"/>
  <c r="O482"/>
  <c r="G1111"/>
  <c r="K1373"/>
  <c r="K1093"/>
  <c r="K1636"/>
  <c r="K1068"/>
  <c r="K13"/>
  <c r="M203"/>
  <c r="G1534"/>
  <c r="M1090"/>
  <c r="I411"/>
  <c r="I410" s="1"/>
  <c r="I1312"/>
  <c r="I1311" s="1"/>
  <c r="K1498"/>
  <c r="K1282"/>
  <c r="O1277"/>
  <c r="O1181"/>
  <c r="O1109"/>
  <c r="H202"/>
  <c r="H604"/>
  <c r="H603" s="1"/>
  <c r="H1692"/>
  <c r="H1700"/>
  <c r="H1699" s="1"/>
  <c r="H927"/>
  <c r="H926" s="1"/>
  <c r="H209"/>
  <c r="H208" s="1"/>
  <c r="H207" s="1"/>
  <c r="I802"/>
  <c r="M32"/>
  <c r="I1486"/>
  <c r="K1536"/>
  <c r="K1113"/>
  <c r="K1009"/>
  <c r="K993"/>
  <c r="K362"/>
  <c r="K274"/>
  <c r="O1684"/>
  <c r="O1612"/>
  <c r="O1540"/>
  <c r="O1420"/>
  <c r="O1084"/>
  <c r="O804"/>
  <c r="O413"/>
  <c r="O389"/>
  <c r="O357"/>
  <c r="O317"/>
  <c r="O197"/>
  <c r="O61"/>
  <c r="I320"/>
  <c r="I319" s="1"/>
  <c r="I596"/>
  <c r="I604"/>
  <c r="I603" s="1"/>
  <c r="I1280"/>
  <c r="I1279" s="1"/>
  <c r="I1650"/>
  <c r="K1411"/>
  <c r="I202"/>
  <c r="M307"/>
  <c r="H455"/>
  <c r="M679"/>
  <c r="K81"/>
  <c r="O1683"/>
  <c r="O1611"/>
  <c r="O1467"/>
  <c r="O1347"/>
  <c r="O803"/>
  <c r="O412"/>
  <c r="O404"/>
  <c r="O356"/>
  <c r="H1003"/>
  <c r="H1002" s="1"/>
  <c r="G438"/>
  <c r="K439"/>
  <c r="K895"/>
  <c r="G894"/>
  <c r="K1000"/>
  <c r="G999"/>
  <c r="G998" s="1"/>
  <c r="O27"/>
  <c r="I26"/>
  <c r="I25" s="1"/>
  <c r="O1278"/>
  <c r="I1276"/>
  <c r="G320"/>
  <c r="G319" s="1"/>
  <c r="K321"/>
  <c r="G1426"/>
  <c r="G1425" s="1"/>
  <c r="K1427"/>
  <c r="H1092"/>
  <c r="H1091" s="1"/>
  <c r="M1094"/>
  <c r="H1584"/>
  <c r="M1585"/>
  <c r="I311"/>
  <c r="O1104"/>
  <c r="O1598"/>
  <c r="K198"/>
  <c r="G196"/>
  <c r="G316"/>
  <c r="K318"/>
  <c r="O478"/>
  <c r="I476"/>
  <c r="O1535"/>
  <c r="I1534"/>
  <c r="O156"/>
  <c r="K488"/>
  <c r="G487"/>
  <c r="K983"/>
  <c r="G982"/>
  <c r="K1015"/>
  <c r="G1014"/>
  <c r="K1585"/>
  <c r="G1584"/>
  <c r="H438"/>
  <c r="M440"/>
  <c r="M983"/>
  <c r="H982"/>
  <c r="H1188"/>
  <c r="M1190"/>
  <c r="K150"/>
  <c r="O96"/>
  <c r="I196"/>
  <c r="O69"/>
  <c r="I68"/>
  <c r="I67" s="1"/>
  <c r="I350"/>
  <c r="O352"/>
  <c r="O1112"/>
  <c r="I1111"/>
  <c r="I1576"/>
  <c r="I1575" s="1"/>
  <c r="I1574" s="1"/>
  <c r="I1573" s="1"/>
  <c r="I1572" s="1"/>
  <c r="I1571" s="1"/>
  <c r="I1570" s="1"/>
  <c r="O1577"/>
  <c r="I316"/>
  <c r="O835"/>
  <c r="G407"/>
  <c r="O336"/>
  <c r="I335"/>
  <c r="I334" s="1"/>
  <c r="I333" s="1"/>
  <c r="I332" s="1"/>
  <c r="I331" s="1"/>
  <c r="O798"/>
  <c r="I797"/>
  <c r="O1195"/>
  <c r="O204"/>
  <c r="O36"/>
  <c r="K1592"/>
  <c r="G1591"/>
  <c r="G1590" s="1"/>
  <c r="I35"/>
  <c r="I149"/>
  <c r="I155"/>
  <c r="I438"/>
  <c r="I1092"/>
  <c r="I1091" s="1"/>
  <c r="I1154"/>
  <c r="I1201"/>
  <c r="I1237"/>
  <c r="I1236" s="1"/>
  <c r="I1235" s="1"/>
  <c r="I1271"/>
  <c r="I1284"/>
  <c r="I1678"/>
  <c r="O1680"/>
  <c r="I407"/>
  <c r="O1094"/>
  <c r="O274"/>
  <c r="O18"/>
  <c r="K1652"/>
  <c r="K1156"/>
  <c r="K1108"/>
  <c r="K1004"/>
  <c r="K836"/>
  <c r="K804"/>
  <c r="K69"/>
  <c r="K37"/>
  <c r="O597"/>
  <c r="K1198"/>
  <c r="G1197"/>
  <c r="G1196" s="1"/>
  <c r="G1280"/>
  <c r="G1279" s="1"/>
  <c r="K1281"/>
  <c r="H196"/>
  <c r="H1312"/>
  <c r="H1311" s="1"/>
  <c r="M1313"/>
  <c r="H1682"/>
  <c r="H1681" s="1"/>
  <c r="O321"/>
  <c r="O1585"/>
  <c r="K1325"/>
  <c r="K1277"/>
  <c r="K1109"/>
  <c r="K1013"/>
  <c r="K605"/>
  <c r="M1683"/>
  <c r="M1651"/>
  <c r="M1611"/>
  <c r="M1595"/>
  <c r="M1467"/>
  <c r="M1451"/>
  <c r="M1227"/>
  <c r="M412"/>
  <c r="M404"/>
  <c r="M356"/>
  <c r="O361"/>
  <c r="O313"/>
  <c r="O81"/>
  <c r="G26"/>
  <c r="G25" s="1"/>
  <c r="G94"/>
  <c r="G155"/>
  <c r="G202"/>
  <c r="G311"/>
  <c r="G355"/>
  <c r="G411"/>
  <c r="G410" s="1"/>
  <c r="G476"/>
  <c r="G797"/>
  <c r="G991"/>
  <c r="I355"/>
  <c r="I360"/>
  <c r="I359" s="1"/>
  <c r="K1675"/>
  <c r="K1595"/>
  <c r="K835"/>
  <c r="K356"/>
  <c r="K220"/>
  <c r="K36"/>
  <c r="M1545"/>
  <c r="M1521"/>
  <c r="G30"/>
  <c r="G29" s="1"/>
  <c r="G402"/>
  <c r="K1194"/>
  <c r="K602"/>
  <c r="K477"/>
  <c r="O1685"/>
  <c r="O1541"/>
  <c r="O1373"/>
  <c r="O1189"/>
  <c r="O1093"/>
  <c r="O1085"/>
  <c r="O813"/>
  <c r="G350"/>
  <c r="G1083"/>
  <c r="G1102"/>
  <c r="G1115"/>
  <c r="G1284"/>
  <c r="H1175"/>
  <c r="H410"/>
  <c r="M799"/>
  <c r="H797"/>
  <c r="M1009"/>
  <c r="H1008"/>
  <c r="M1075"/>
  <c r="H1074"/>
  <c r="H1073" s="1"/>
  <c r="M1273"/>
  <c r="H1271"/>
  <c r="H1280"/>
  <c r="H1279" s="1"/>
  <c r="M1281"/>
  <c r="H1534"/>
  <c r="M1536"/>
  <c r="M1544"/>
  <c r="H1543"/>
  <c r="I11"/>
  <c r="I39"/>
  <c r="I767"/>
  <c r="M993"/>
  <c r="I1037"/>
  <c r="I1036" s="1"/>
  <c r="I1115"/>
  <c r="I1673"/>
  <c r="M1701"/>
  <c r="M1693"/>
  <c r="M1493"/>
  <c r="M605"/>
  <c r="O1282"/>
  <c r="O1010"/>
  <c r="O807"/>
  <c r="I806"/>
  <c r="I991"/>
  <c r="O993"/>
  <c r="O1001"/>
  <c r="I999"/>
  <c r="I1008"/>
  <c r="I1014"/>
  <c r="O1015"/>
  <c r="I1188"/>
  <c r="O1190"/>
  <c r="I1197"/>
  <c r="I1196" s="1"/>
  <c r="I1323"/>
  <c r="I1322" s="1"/>
  <c r="I1321" s="1"/>
  <c r="I1320" s="1"/>
  <c r="I1319" s="1"/>
  <c r="I1318" s="1"/>
  <c r="I1543"/>
  <c r="I1542" s="1"/>
  <c r="I1635"/>
  <c r="O1657"/>
  <c r="I1655"/>
  <c r="I1700"/>
  <c r="I1699" s="1"/>
  <c r="H68"/>
  <c r="H67" s="1"/>
  <c r="I72"/>
  <c r="I71" s="1"/>
  <c r="H311"/>
  <c r="H350"/>
  <c r="H407"/>
  <c r="H1076"/>
  <c r="H1111"/>
  <c r="H1110" s="1"/>
  <c r="I1143"/>
  <c r="I1142" s="1"/>
  <c r="H1236"/>
  <c r="H1235" s="1"/>
  <c r="M1674"/>
  <c r="M1680"/>
  <c r="I982"/>
  <c r="M1239"/>
  <c r="I1630"/>
  <c r="I402"/>
  <c r="H476"/>
  <c r="O1078"/>
  <c r="M1198"/>
  <c r="O1239"/>
  <c r="O1544"/>
  <c r="I1003"/>
  <c r="H1284"/>
  <c r="O210"/>
  <c r="M807"/>
  <c r="M1015"/>
  <c r="O1089"/>
  <c r="O1198"/>
  <c r="O1287"/>
  <c r="H1655"/>
  <c r="M220"/>
  <c r="M28"/>
  <c r="I1591"/>
  <c r="I1590" s="1"/>
  <c r="O1592"/>
  <c r="I1692"/>
  <c r="M19"/>
  <c r="M1103"/>
  <c r="H1102"/>
  <c r="M1202"/>
  <c r="H1201"/>
  <c r="I454"/>
  <c r="H999"/>
  <c r="H998" s="1"/>
  <c r="O1009"/>
  <c r="H1486"/>
  <c r="M1684"/>
  <c r="M1636"/>
  <c r="M1612"/>
  <c r="M1540"/>
  <c r="M1420"/>
  <c r="M1372"/>
  <c r="M1260"/>
  <c r="M1156"/>
  <c r="M1084"/>
  <c r="M836"/>
  <c r="M780"/>
  <c r="M357"/>
  <c r="M317"/>
  <c r="M205"/>
  <c r="M157"/>
  <c r="M61"/>
  <c r="M37"/>
  <c r="M13"/>
  <c r="O1417"/>
  <c r="O1273"/>
  <c r="O1177"/>
  <c r="O362"/>
  <c r="M1177"/>
  <c r="M1017"/>
  <c r="M665"/>
  <c r="M483"/>
  <c r="M321"/>
  <c r="M81"/>
  <c r="M41"/>
  <c r="O1701"/>
  <c r="O1693"/>
  <c r="O1637"/>
  <c r="O1493"/>
  <c r="O1325"/>
  <c r="O605"/>
  <c r="M597"/>
  <c r="O1652"/>
  <c r="O1636"/>
  <c r="O1564"/>
  <c r="O1260"/>
  <c r="O1204"/>
  <c r="O1180"/>
  <c r="O1156"/>
  <c r="O1108"/>
  <c r="O836"/>
  <c r="O780"/>
  <c r="O205"/>
  <c r="O37"/>
  <c r="O13"/>
  <c r="K1103"/>
  <c r="K1684"/>
  <c r="G1543"/>
  <c r="G1542" s="1"/>
  <c r="G1650"/>
  <c r="G1673"/>
  <c r="G1271"/>
  <c r="K1701"/>
  <c r="K1693"/>
  <c r="K1685"/>
  <c r="K1541"/>
  <c r="K1493"/>
  <c r="K1189"/>
  <c r="K1117"/>
  <c r="K1540"/>
  <c r="K1084"/>
  <c r="K1451"/>
  <c r="K1347"/>
  <c r="K361"/>
  <c r="K478"/>
  <c r="G767"/>
  <c r="K96"/>
  <c r="K992"/>
  <c r="K813"/>
  <c r="K597"/>
  <c r="K358"/>
  <c r="K798"/>
  <c r="K413"/>
  <c r="K389"/>
  <c r="K317"/>
  <c r="K205"/>
  <c r="K197"/>
  <c r="K157"/>
  <c r="K61"/>
  <c r="G1003"/>
  <c r="G1002" s="1"/>
  <c r="K482"/>
  <c r="K204"/>
  <c r="K403"/>
  <c r="K27"/>
  <c r="K18"/>
  <c r="H334"/>
  <c r="H333" s="1"/>
  <c r="H332" s="1"/>
  <c r="H331" s="1"/>
  <c r="I677"/>
  <c r="I676" s="1"/>
  <c r="I1175"/>
  <c r="I1583"/>
  <c r="I1582" s="1"/>
  <c r="I1581" s="1"/>
  <c r="I1580" s="1"/>
  <c r="I1579" s="1"/>
  <c r="H206"/>
  <c r="H1593"/>
  <c r="H1035"/>
  <c r="H1034" s="1"/>
  <c r="H1036"/>
  <c r="H1178"/>
  <c r="I24"/>
  <c r="H1562"/>
  <c r="H1561" s="1"/>
  <c r="I1073"/>
  <c r="H1225"/>
  <c r="I1415"/>
  <c r="H1142"/>
  <c r="I502"/>
  <c r="M602"/>
  <c r="O602"/>
  <c r="H778"/>
  <c r="H777" s="1"/>
  <c r="I778"/>
  <c r="G1066"/>
  <c r="I926"/>
  <c r="I1178"/>
  <c r="H1409"/>
  <c r="G1236"/>
  <c r="G1235" s="1"/>
  <c r="G1406"/>
  <c r="H1418"/>
  <c r="G1593"/>
  <c r="I1593"/>
  <c r="H1077" i="11"/>
  <c r="I1077"/>
  <c r="G1078"/>
  <c r="H1074"/>
  <c r="I1074"/>
  <c r="G1075"/>
  <c r="H1067"/>
  <c r="G1067"/>
  <c r="I1068"/>
  <c r="H1068"/>
  <c r="G1063"/>
  <c r="I1064"/>
  <c r="H1064"/>
  <c r="H1063" s="1"/>
  <c r="I1234" i="29" l="1"/>
  <c r="I1233" s="1"/>
  <c r="I1232" s="1"/>
  <c r="H1193"/>
  <c r="K361" i="30"/>
  <c r="G1201" i="29"/>
  <c r="O1701" i="30"/>
  <c r="M1277"/>
  <c r="K1156"/>
  <c r="K597"/>
  <c r="M807"/>
  <c r="M1577" i="29"/>
  <c r="G476" i="30"/>
  <c r="G1650"/>
  <c r="H1107" i="29"/>
  <c r="G1088"/>
  <c r="H1237" i="30"/>
  <c r="H1234" s="1"/>
  <c r="O1109"/>
  <c r="G1111"/>
  <c r="G1234"/>
  <c r="G1233" s="1"/>
  <c r="G1232" s="1"/>
  <c r="I149"/>
  <c r="G17"/>
  <c r="S17" s="1"/>
  <c r="M803"/>
  <c r="K19"/>
  <c r="I1678"/>
  <c r="I1280"/>
  <c r="I1279" s="1"/>
  <c r="K1104"/>
  <c r="H1014"/>
  <c r="H1008"/>
  <c r="G407"/>
  <c r="K803"/>
  <c r="M312"/>
  <c r="M1108"/>
  <c r="O1090" i="29"/>
  <c r="O1078" i="30"/>
  <c r="M597"/>
  <c r="O1156"/>
  <c r="I1083"/>
  <c r="K413"/>
  <c r="O1451"/>
  <c r="H1193"/>
  <c r="M1194"/>
  <c r="H678"/>
  <c r="M679"/>
  <c r="I1063" i="11"/>
  <c r="N1064" i="31"/>
  <c r="N1064" i="30"/>
  <c r="N1064" i="29"/>
  <c r="L1074" i="31"/>
  <c r="M1074" s="1"/>
  <c r="L1074" i="30"/>
  <c r="M1074" s="1"/>
  <c r="L1074" i="29"/>
  <c r="M1074" s="1"/>
  <c r="H454"/>
  <c r="H1584" i="30"/>
  <c r="H1583" s="1"/>
  <c r="M1585"/>
  <c r="I1035"/>
  <c r="I1034" s="1"/>
  <c r="I1036"/>
  <c r="N1074" i="31"/>
  <c r="O1074" s="1"/>
  <c r="N1074" i="30"/>
  <c r="O1074" s="1"/>
  <c r="N1074" i="29"/>
  <c r="O1074" s="1"/>
  <c r="I1597" i="30"/>
  <c r="I1596" s="1"/>
  <c r="O1598"/>
  <c r="G1280"/>
  <c r="G1279" s="1"/>
  <c r="K1281"/>
  <c r="J1063" i="31"/>
  <c r="K1063" s="1"/>
  <c r="J1063" i="30"/>
  <c r="K1063" s="1"/>
  <c r="J1063" i="29"/>
  <c r="K1063" s="1"/>
  <c r="H1576" i="30"/>
  <c r="M1577"/>
  <c r="H1276" i="29"/>
  <c r="M1277"/>
  <c r="H35"/>
  <c r="H34" s="1"/>
  <c r="M36"/>
  <c r="I1067" i="11"/>
  <c r="N1068" i="31"/>
  <c r="N1068" i="30"/>
  <c r="N1068" i="29"/>
  <c r="H1678" i="30"/>
  <c r="I1323"/>
  <c r="O1325"/>
  <c r="G68"/>
  <c r="G67" s="1"/>
  <c r="K69"/>
  <c r="L1077" i="31"/>
  <c r="M1077" s="1"/>
  <c r="L1077" i="30"/>
  <c r="M1077" s="1"/>
  <c r="L1077" i="29"/>
  <c r="M1077" s="1"/>
  <c r="G1700" i="30"/>
  <c r="G1699" s="1"/>
  <c r="K1701"/>
  <c r="H1102"/>
  <c r="M1103"/>
  <c r="L1067" i="31"/>
  <c r="L1067" i="30"/>
  <c r="L1067" i="29"/>
  <c r="H29"/>
  <c r="I1692" i="30"/>
  <c r="O1693"/>
  <c r="K14"/>
  <c r="S14"/>
  <c r="G11"/>
  <c r="G1410"/>
  <c r="K1411"/>
  <c r="G481" i="29"/>
  <c r="K483"/>
  <c r="G1682"/>
  <c r="G1681" s="1"/>
  <c r="K1683"/>
  <c r="I1655" i="30"/>
  <c r="G202"/>
  <c r="L1063" i="31"/>
  <c r="L1063" i="30"/>
  <c r="L1063" i="29"/>
  <c r="G1077" i="11"/>
  <c r="J1078" i="31"/>
  <c r="J1078" i="30"/>
  <c r="J1078" i="29"/>
  <c r="O1637" i="30"/>
  <c r="O1657"/>
  <c r="O198"/>
  <c r="M836"/>
  <c r="G196"/>
  <c r="M32"/>
  <c r="O28"/>
  <c r="M1684"/>
  <c r="O211" i="29"/>
  <c r="M1085"/>
  <c r="G1635"/>
  <c r="I802" i="30"/>
  <c r="L1068" i="31"/>
  <c r="L1068" i="30"/>
  <c r="L1068" i="29"/>
  <c r="N1077" i="31"/>
  <c r="O1077" s="1"/>
  <c r="N1077" i="30"/>
  <c r="O1077" s="1"/>
  <c r="N1077" i="29"/>
  <c r="O1077" s="1"/>
  <c r="H1539" i="30"/>
  <c r="M1263"/>
  <c r="M456"/>
  <c r="O203"/>
  <c r="M203"/>
  <c r="I34"/>
  <c r="U35"/>
  <c r="I26"/>
  <c r="U27"/>
  <c r="I29"/>
  <c r="U30"/>
  <c r="H1115"/>
  <c r="K1408"/>
  <c r="T17"/>
  <c r="K1694" i="29"/>
  <c r="G72" i="30"/>
  <c r="G71" s="1"/>
  <c r="G66" s="1"/>
  <c r="J1067" i="31"/>
  <c r="K1067" s="1"/>
  <c r="J1067" i="30"/>
  <c r="K1067" s="1"/>
  <c r="J1067" i="29"/>
  <c r="K1067" s="1"/>
  <c r="O1202" i="30"/>
  <c r="O1263"/>
  <c r="O1260"/>
  <c r="O807"/>
  <c r="K768"/>
  <c r="M483"/>
  <c r="M1010"/>
  <c r="K440"/>
  <c r="G30"/>
  <c r="S31"/>
  <c r="K37"/>
  <c r="S37"/>
  <c r="K1195"/>
  <c r="H38"/>
  <c r="T38" s="1"/>
  <c r="T39"/>
  <c r="H72"/>
  <c r="H71" s="1"/>
  <c r="H66" s="1"/>
  <c r="H65" s="1"/>
  <c r="M804" i="29"/>
  <c r="M336" i="30"/>
  <c r="O70"/>
  <c r="G1673"/>
  <c r="L1064" i="31"/>
  <c r="L1064" i="30"/>
  <c r="L1064" i="29"/>
  <c r="G1074" i="11"/>
  <c r="J1075" i="31"/>
  <c r="J1075" i="30"/>
  <c r="G1075" s="1"/>
  <c r="G1074" s="1"/>
  <c r="G1073" s="1"/>
  <c r="J1075" i="29"/>
  <c r="O321" i="30"/>
  <c r="H35"/>
  <c r="T35" s="1"/>
  <c r="I11"/>
  <c r="U11" s="1"/>
  <c r="U13"/>
  <c r="H30"/>
  <c r="T30" s="1"/>
  <c r="T31"/>
  <c r="K1592"/>
  <c r="G155"/>
  <c r="G148" s="1"/>
  <c r="G147" s="1"/>
  <c r="G1542"/>
  <c r="I998"/>
  <c r="I333"/>
  <c r="M1651"/>
  <c r="M1632"/>
  <c r="H1110"/>
  <c r="I1174"/>
  <c r="M983"/>
  <c r="M1656"/>
  <c r="K1545"/>
  <c r="I1322"/>
  <c r="G1322"/>
  <c r="K1010"/>
  <c r="G1008"/>
  <c r="G982"/>
  <c r="K983"/>
  <c r="M1015"/>
  <c r="H1179"/>
  <c r="M1180"/>
  <c r="H1036"/>
  <c r="H1035"/>
  <c r="I765"/>
  <c r="G35"/>
  <c r="S35" s="1"/>
  <c r="H26"/>
  <c r="T26" s="1"/>
  <c r="M27"/>
  <c r="O1585"/>
  <c r="I1593"/>
  <c r="M1595"/>
  <c r="K1535"/>
  <c r="K1286"/>
  <c r="M1373"/>
  <c r="I1276"/>
  <c r="K1373"/>
  <c r="K1325"/>
  <c r="G1201"/>
  <c r="K1202"/>
  <c r="O1180"/>
  <c r="K1013"/>
  <c r="O1084"/>
  <c r="K1117"/>
  <c r="I1261"/>
  <c r="I1257" s="1"/>
  <c r="O1093"/>
  <c r="G894"/>
  <c r="K895"/>
  <c r="G1271"/>
  <c r="G1061"/>
  <c r="M1038"/>
  <c r="K154"/>
  <c r="M211"/>
  <c r="H355"/>
  <c r="I1110"/>
  <c r="H359"/>
  <c r="I67"/>
  <c r="H1369"/>
  <c r="K1427"/>
  <c r="I1153"/>
  <c r="K1109"/>
  <c r="H1201"/>
  <c r="M1227"/>
  <c r="G1153"/>
  <c r="G1088"/>
  <c r="K1089"/>
  <c r="H677"/>
  <c r="G765"/>
  <c r="K404"/>
  <c r="H1575"/>
  <c r="G487"/>
  <c r="K488"/>
  <c r="I1583"/>
  <c r="G1197"/>
  <c r="K1199"/>
  <c r="I1575"/>
  <c r="H1561"/>
  <c r="G1655"/>
  <c r="H1596"/>
  <c r="H1589" s="1"/>
  <c r="H1153"/>
  <c r="H1485"/>
  <c r="I1071"/>
  <c r="I676"/>
  <c r="H1071"/>
  <c r="G604"/>
  <c r="K605"/>
  <c r="I438"/>
  <c r="O439"/>
  <c r="M440"/>
  <c r="H438"/>
  <c r="O19"/>
  <c r="I17"/>
  <c r="H1322"/>
  <c r="H1284"/>
  <c r="M1286"/>
  <c r="I1193"/>
  <c r="O1194"/>
  <c r="I407"/>
  <c r="O409"/>
  <c r="G355"/>
  <c r="K356"/>
  <c r="G1579"/>
  <c r="G1110"/>
  <c r="H402"/>
  <c r="M403"/>
  <c r="H319"/>
  <c r="I209"/>
  <c r="O211"/>
  <c r="H207"/>
  <c r="G38"/>
  <c r="S38" s="1"/>
  <c r="K1693"/>
  <c r="M1598"/>
  <c r="O1541"/>
  <c r="I1236"/>
  <c r="I1234"/>
  <c r="G1092"/>
  <c r="K1093"/>
  <c r="K1085"/>
  <c r="I1196"/>
  <c r="H1088"/>
  <c r="M1089"/>
  <c r="H1002"/>
  <c r="H217"/>
  <c r="O803"/>
  <c r="G1276"/>
  <c r="H1261"/>
  <c r="I805"/>
  <c r="H603"/>
  <c r="K152"/>
  <c r="H331"/>
  <c r="G1003"/>
  <c r="K1075"/>
  <c r="I350"/>
  <c r="I38"/>
  <c r="U38" s="1"/>
  <c r="H29"/>
  <c r="T29" s="1"/>
  <c r="H1236"/>
  <c r="K1004"/>
  <c r="H454"/>
  <c r="H663"/>
  <c r="H34"/>
  <c r="T34" s="1"/>
  <c r="M31"/>
  <c r="H33" i="29"/>
  <c r="H1261"/>
  <c r="H1257" s="1"/>
  <c r="H1256" s="1"/>
  <c r="H1255" s="1"/>
  <c r="H1254" s="1"/>
  <c r="H1253" s="1"/>
  <c r="I1485"/>
  <c r="H359"/>
  <c r="G1062"/>
  <c r="G1061" s="1"/>
  <c r="H1415"/>
  <c r="H66"/>
  <c r="H65" s="1"/>
  <c r="H64" s="1"/>
  <c r="G33"/>
  <c r="H1583"/>
  <c r="I1153"/>
  <c r="I1152" s="1"/>
  <c r="I1151" s="1"/>
  <c r="I1150" s="1"/>
  <c r="I1149" s="1"/>
  <c r="G1110"/>
  <c r="I998"/>
  <c r="G24"/>
  <c r="G1583"/>
  <c r="G1007"/>
  <c r="G148"/>
  <c r="G147" s="1"/>
  <c r="H1485"/>
  <c r="I66"/>
  <c r="I65" s="1"/>
  <c r="I64" s="1"/>
  <c r="I34"/>
  <c r="G1469"/>
  <c r="I1110"/>
  <c r="H1542"/>
  <c r="G893"/>
  <c r="H1174"/>
  <c r="H1173" s="1"/>
  <c r="H1172" s="1"/>
  <c r="H1171" s="1"/>
  <c r="H1170" s="1"/>
  <c r="I38"/>
  <c r="I1035"/>
  <c r="I1002"/>
  <c r="I766"/>
  <c r="I805"/>
  <c r="G766"/>
  <c r="G765" s="1"/>
  <c r="I1589"/>
  <c r="I1588" s="1"/>
  <c r="I1587" s="1"/>
  <c r="I1586" s="1"/>
  <c r="I1578" s="1"/>
  <c r="I1174"/>
  <c r="I1173" s="1"/>
  <c r="I1172" s="1"/>
  <c r="I1171" s="1"/>
  <c r="I1170" s="1"/>
  <c r="I1072"/>
  <c r="I1071" s="1"/>
  <c r="I1070" s="1"/>
  <c r="I1069" s="1"/>
  <c r="H1574"/>
  <c r="H1033"/>
  <c r="H1589"/>
  <c r="H1588" s="1"/>
  <c r="H1587" s="1"/>
  <c r="H1586" s="1"/>
  <c r="G1065"/>
  <c r="H1072"/>
  <c r="I777"/>
  <c r="H24"/>
  <c r="I501"/>
  <c r="H1059" i="11"/>
  <c r="I1060"/>
  <c r="H1060"/>
  <c r="G1060"/>
  <c r="I1058"/>
  <c r="H1058"/>
  <c r="G1058"/>
  <c r="I1053"/>
  <c r="H1053"/>
  <c r="G1053"/>
  <c r="I1046"/>
  <c r="H1046"/>
  <c r="G1046"/>
  <c r="H1037"/>
  <c r="I1037"/>
  <c r="G1038"/>
  <c r="I1032"/>
  <c r="H1032"/>
  <c r="G1032"/>
  <c r="I1026"/>
  <c r="H1026"/>
  <c r="G1026"/>
  <c r="I987"/>
  <c r="H987"/>
  <c r="G987"/>
  <c r="H982"/>
  <c r="I982"/>
  <c r="G982"/>
  <c r="I981"/>
  <c r="H981"/>
  <c r="G981"/>
  <c r="I976"/>
  <c r="H976"/>
  <c r="G976"/>
  <c r="I969"/>
  <c r="H969"/>
  <c r="G969"/>
  <c r="I966"/>
  <c r="H966"/>
  <c r="G966"/>
  <c r="I959"/>
  <c r="H959"/>
  <c r="G959"/>
  <c r="I954"/>
  <c r="H954"/>
  <c r="G954"/>
  <c r="I950"/>
  <c r="H950"/>
  <c r="G950"/>
  <c r="I946"/>
  <c r="H946"/>
  <c r="G946"/>
  <c r="I944"/>
  <c r="H944"/>
  <c r="G944"/>
  <c r="I940"/>
  <c r="H940"/>
  <c r="G940"/>
  <c r="I937"/>
  <c r="H937"/>
  <c r="G937"/>
  <c r="I934"/>
  <c r="H934"/>
  <c r="G934"/>
  <c r="I931"/>
  <c r="H931"/>
  <c r="G931"/>
  <c r="H927"/>
  <c r="I927"/>
  <c r="G928"/>
  <c r="I925"/>
  <c r="H925"/>
  <c r="H924" s="1"/>
  <c r="G925"/>
  <c r="I922"/>
  <c r="H922"/>
  <c r="G922"/>
  <c r="I919"/>
  <c r="H919"/>
  <c r="G919"/>
  <c r="I916"/>
  <c r="H916"/>
  <c r="G916"/>
  <c r="I913"/>
  <c r="H913"/>
  <c r="G913"/>
  <c r="I910"/>
  <c r="H910"/>
  <c r="G910"/>
  <c r="I905"/>
  <c r="H905"/>
  <c r="G905"/>
  <c r="I903"/>
  <c r="H903"/>
  <c r="G903"/>
  <c r="I900"/>
  <c r="H900"/>
  <c r="G900"/>
  <c r="I898"/>
  <c r="H898"/>
  <c r="G898"/>
  <c r="G894"/>
  <c r="I895"/>
  <c r="H895"/>
  <c r="I892"/>
  <c r="H892"/>
  <c r="G892"/>
  <c r="I890"/>
  <c r="H890"/>
  <c r="G890"/>
  <c r="I887"/>
  <c r="H887"/>
  <c r="G887"/>
  <c r="I883"/>
  <c r="H883"/>
  <c r="G883"/>
  <c r="I881"/>
  <c r="H881"/>
  <c r="G881"/>
  <c r="I878"/>
  <c r="H878"/>
  <c r="G878"/>
  <c r="I876"/>
  <c r="H876"/>
  <c r="G876"/>
  <c r="I873"/>
  <c r="H873"/>
  <c r="G873"/>
  <c r="I871"/>
  <c r="H871"/>
  <c r="G871"/>
  <c r="I868"/>
  <c r="H868"/>
  <c r="G868"/>
  <c r="I866"/>
  <c r="H866"/>
  <c r="G866"/>
  <c r="I863"/>
  <c r="H863"/>
  <c r="G863"/>
  <c r="I861"/>
  <c r="H861"/>
  <c r="G861"/>
  <c r="I858"/>
  <c r="H858"/>
  <c r="G858"/>
  <c r="I856"/>
  <c r="H856"/>
  <c r="G856"/>
  <c r="I853"/>
  <c r="H853"/>
  <c r="G853"/>
  <c r="I851"/>
  <c r="H851"/>
  <c r="G851"/>
  <c r="I848"/>
  <c r="H848"/>
  <c r="G848"/>
  <c r="I845"/>
  <c r="H845"/>
  <c r="G845"/>
  <c r="I843"/>
  <c r="H843"/>
  <c r="G843"/>
  <c r="I840"/>
  <c r="H840"/>
  <c r="G840"/>
  <c r="I838"/>
  <c r="H838"/>
  <c r="G838"/>
  <c r="H834"/>
  <c r="I834"/>
  <c r="G834"/>
  <c r="H64" i="30" l="1"/>
  <c r="H886" i="11"/>
  <c r="L887" i="31"/>
  <c r="L887" i="30"/>
  <c r="L887" i="29"/>
  <c r="H949" i="11"/>
  <c r="L950" i="31"/>
  <c r="H950" s="1"/>
  <c r="L950" i="30"/>
  <c r="L950" i="29"/>
  <c r="L1059" i="31"/>
  <c r="L1059" i="30"/>
  <c r="L1059" i="29"/>
  <c r="G1075"/>
  <c r="G1074" s="1"/>
  <c r="G1073" s="1"/>
  <c r="G29" i="30"/>
  <c r="S30"/>
  <c r="G1078"/>
  <c r="G1077" s="1"/>
  <c r="G1076" s="1"/>
  <c r="G839" i="11"/>
  <c r="J840" i="31"/>
  <c r="J840" i="30"/>
  <c r="J840" i="29"/>
  <c r="I844" i="11"/>
  <c r="N845" i="31"/>
  <c r="N845" i="30"/>
  <c r="N845" i="29"/>
  <c r="H852" i="11"/>
  <c r="L853" i="31"/>
  <c r="L853" i="30"/>
  <c r="L853" i="29"/>
  <c r="G860" i="11"/>
  <c r="J861" i="31"/>
  <c r="J861" i="30"/>
  <c r="J861" i="29"/>
  <c r="I865" i="11"/>
  <c r="N866" i="31"/>
  <c r="I866" s="1"/>
  <c r="N866" i="30"/>
  <c r="N866" i="29"/>
  <c r="I866" s="1"/>
  <c r="H872" i="11"/>
  <c r="L873" i="31"/>
  <c r="L873" i="30"/>
  <c r="L873" i="29"/>
  <c r="G880" i="11"/>
  <c r="J881" i="31"/>
  <c r="J881" i="30"/>
  <c r="J881" i="29"/>
  <c r="I886" i="11"/>
  <c r="N887" i="31"/>
  <c r="N887" i="30"/>
  <c r="N887" i="29"/>
  <c r="I894" i="11"/>
  <c r="N895" i="31"/>
  <c r="N895" i="30"/>
  <c r="N895" i="29"/>
  <c r="G902" i="11"/>
  <c r="J903" i="31"/>
  <c r="J903" i="30"/>
  <c r="J903" i="29"/>
  <c r="I909" i="11"/>
  <c r="N910" i="31"/>
  <c r="N910" i="30"/>
  <c r="N910" i="29"/>
  <c r="H918" i="11"/>
  <c r="L919" i="31"/>
  <c r="L919" i="30"/>
  <c r="L919" i="29"/>
  <c r="L924" i="31"/>
  <c r="L924" i="30"/>
  <c r="L924" i="29"/>
  <c r="H933" i="11"/>
  <c r="L934" i="31"/>
  <c r="L934" i="30"/>
  <c r="L934" i="29"/>
  <c r="H934" s="1"/>
  <c r="G943" i="11"/>
  <c r="J944" i="31"/>
  <c r="J944" i="30"/>
  <c r="J944" i="29"/>
  <c r="I949" i="11"/>
  <c r="N950" i="31"/>
  <c r="N950" i="30"/>
  <c r="N950" i="29"/>
  <c r="H965" i="11"/>
  <c r="L966" i="31"/>
  <c r="L966" i="30"/>
  <c r="L966" i="29"/>
  <c r="G980" i="11"/>
  <c r="J981" i="31"/>
  <c r="J981" i="30"/>
  <c r="J981" i="29"/>
  <c r="I986" i="11"/>
  <c r="N987" i="31"/>
  <c r="N987" i="30"/>
  <c r="N987" i="29"/>
  <c r="N1037" i="31"/>
  <c r="O1037" s="1"/>
  <c r="N1037" i="30"/>
  <c r="O1037" s="1"/>
  <c r="N1037" i="29"/>
  <c r="O1037" s="1"/>
  <c r="G1057" i="11"/>
  <c r="J1058" i="31"/>
  <c r="J1058" i="30"/>
  <c r="J1058" i="29"/>
  <c r="U29" i="30"/>
  <c r="K1078" i="31"/>
  <c r="G1078"/>
  <c r="G1077" s="1"/>
  <c r="G1076" s="1"/>
  <c r="I1033" i="30"/>
  <c r="H839" i="11"/>
  <c r="L840" i="31"/>
  <c r="L840" i="30"/>
  <c r="L840" i="29"/>
  <c r="H840" s="1"/>
  <c r="G847" i="11"/>
  <c r="J848" i="31"/>
  <c r="J848" i="30"/>
  <c r="J848" i="29"/>
  <c r="I852" i="11"/>
  <c r="N853" i="31"/>
  <c r="N853" i="30"/>
  <c r="N853" i="29"/>
  <c r="H860" i="11"/>
  <c r="H859" s="1"/>
  <c r="L861" i="31"/>
  <c r="L861" i="30"/>
  <c r="L861" i="29"/>
  <c r="G867" i="11"/>
  <c r="J868" i="31"/>
  <c r="J868" i="30"/>
  <c r="J868" i="29"/>
  <c r="I872" i="11"/>
  <c r="N873" i="31"/>
  <c r="N873" i="30"/>
  <c r="N873" i="29"/>
  <c r="H880" i="11"/>
  <c r="L881" i="31"/>
  <c r="L881" i="30"/>
  <c r="L881" i="29"/>
  <c r="G889" i="11"/>
  <c r="J890" i="31"/>
  <c r="J890" i="30"/>
  <c r="J890" i="29"/>
  <c r="J894" i="31"/>
  <c r="K894" s="1"/>
  <c r="J894" i="30"/>
  <c r="J894" i="29"/>
  <c r="K894" s="1"/>
  <c r="H902" i="11"/>
  <c r="L903" i="31"/>
  <c r="L903" i="30"/>
  <c r="L903" i="29"/>
  <c r="H903" s="1"/>
  <c r="G912" i="11"/>
  <c r="J913" i="31"/>
  <c r="J913" i="30"/>
  <c r="J913" i="29"/>
  <c r="G913" s="1"/>
  <c r="I918" i="11"/>
  <c r="N919" i="31"/>
  <c r="N919" i="30"/>
  <c r="N919" i="29"/>
  <c r="I919" s="1"/>
  <c r="G927" i="11"/>
  <c r="J928" i="31"/>
  <c r="J928" i="30"/>
  <c r="J928" i="29"/>
  <c r="I933" i="11"/>
  <c r="N934" i="31"/>
  <c r="N934" i="30"/>
  <c r="N934" i="29"/>
  <c r="H943" i="11"/>
  <c r="L944" i="31"/>
  <c r="L944" i="30"/>
  <c r="L944" i="29"/>
  <c r="G953" i="11"/>
  <c r="J954" i="31"/>
  <c r="J954" i="30"/>
  <c r="G954" s="1"/>
  <c r="J954" i="29"/>
  <c r="I965" i="11"/>
  <c r="N966" i="31"/>
  <c r="N966" i="30"/>
  <c r="N966" i="29"/>
  <c r="I966" s="1"/>
  <c r="H980" i="11"/>
  <c r="L981" i="31"/>
  <c r="L981" i="30"/>
  <c r="L981" i="29"/>
  <c r="G1025" i="11"/>
  <c r="J1026" i="31"/>
  <c r="J1026" i="30"/>
  <c r="J1026" i="29"/>
  <c r="L1037" i="31"/>
  <c r="M1037" s="1"/>
  <c r="L1037" i="30"/>
  <c r="M1037" s="1"/>
  <c r="L1037" i="29"/>
  <c r="M1037" s="1"/>
  <c r="H1057" i="11"/>
  <c r="L1058" i="31"/>
  <c r="L1058" i="30"/>
  <c r="L1058" i="29"/>
  <c r="H1058" s="1"/>
  <c r="U17" i="30"/>
  <c r="G1075" i="31"/>
  <c r="G1074" s="1"/>
  <c r="G1073" s="1"/>
  <c r="G1072" s="1"/>
  <c r="G1071" s="1"/>
  <c r="G1070" s="1"/>
  <c r="G1069" s="1"/>
  <c r="J1077"/>
  <c r="K1077" s="1"/>
  <c r="J1077" i="30"/>
  <c r="K1077" s="1"/>
  <c r="J1077" i="29"/>
  <c r="H844" i="11"/>
  <c r="L845" i="31"/>
  <c r="L845" i="30"/>
  <c r="L845" i="29"/>
  <c r="H865" i="11"/>
  <c r="L866" i="31"/>
  <c r="L866" i="30"/>
  <c r="L866" i="29"/>
  <c r="H894" i="11"/>
  <c r="L895" i="31"/>
  <c r="L895" i="30"/>
  <c r="L895" i="29"/>
  <c r="I924" i="11"/>
  <c r="N925" i="31"/>
  <c r="N925" i="30"/>
  <c r="N925" i="29"/>
  <c r="I939" i="11"/>
  <c r="N940" i="31"/>
  <c r="N940" i="30"/>
  <c r="N940" i="29"/>
  <c r="H986" i="11"/>
  <c r="L987" i="31"/>
  <c r="L987" i="30"/>
  <c r="L987" i="29"/>
  <c r="H987" s="1"/>
  <c r="I839" i="11"/>
  <c r="N840" i="31"/>
  <c r="N840" i="30"/>
  <c r="N840" i="29"/>
  <c r="I860" i="11"/>
  <c r="N861" i="31"/>
  <c r="N861" i="30"/>
  <c r="N861" i="29"/>
  <c r="I880" i="11"/>
  <c r="N881" i="31"/>
  <c r="N881" i="29"/>
  <c r="N881" i="30"/>
  <c r="H912" i="11"/>
  <c r="L913" i="31"/>
  <c r="L913" i="30"/>
  <c r="L913" i="29"/>
  <c r="G936" i="11"/>
  <c r="J937" i="31"/>
  <c r="J937" i="30"/>
  <c r="J937" i="29"/>
  <c r="G968" i="11"/>
  <c r="J969" i="31"/>
  <c r="J969" i="30"/>
  <c r="J969" i="29"/>
  <c r="G1045" i="11"/>
  <c r="J1046" i="31"/>
  <c r="J1046" i="30"/>
  <c r="J1046" i="29"/>
  <c r="G1046" s="1"/>
  <c r="J1074" i="31"/>
  <c r="K1074" s="1"/>
  <c r="J1074" i="30"/>
  <c r="K1074" s="1"/>
  <c r="J1074" i="29"/>
  <c r="I25" i="30"/>
  <c r="U25" s="1"/>
  <c r="U26"/>
  <c r="N834" i="31"/>
  <c r="O834" s="1"/>
  <c r="N834" i="30"/>
  <c r="O834" s="1"/>
  <c r="N834" i="29"/>
  <c r="O834" s="1"/>
  <c r="H855" i="11"/>
  <c r="L856" i="31"/>
  <c r="L856" i="30"/>
  <c r="L856" i="29"/>
  <c r="H875" i="11"/>
  <c r="L876" i="31"/>
  <c r="L876" i="30"/>
  <c r="L876" i="29"/>
  <c r="H897" i="11"/>
  <c r="L898" i="31"/>
  <c r="L898" i="30"/>
  <c r="L898" i="29"/>
  <c r="L927" i="31"/>
  <c r="M927" s="1"/>
  <c r="L927" i="30"/>
  <c r="M927" s="1"/>
  <c r="L927" i="29"/>
  <c r="M927" s="1"/>
  <c r="I953" i="11"/>
  <c r="N954" i="31"/>
  <c r="N954" i="30"/>
  <c r="N954" i="29"/>
  <c r="I1025" i="11"/>
  <c r="N1026" i="31"/>
  <c r="N1026" i="30"/>
  <c r="N1026" i="29"/>
  <c r="S11" i="30"/>
  <c r="L834" i="31"/>
  <c r="M834" s="1"/>
  <c r="L834" i="30"/>
  <c r="M834" s="1"/>
  <c r="L834" i="29"/>
  <c r="M834" s="1"/>
  <c r="H842" i="11"/>
  <c r="L843" i="31"/>
  <c r="L843" i="30"/>
  <c r="L843" i="29"/>
  <c r="G850" i="11"/>
  <c r="J851" i="31"/>
  <c r="J851" i="30"/>
  <c r="J851" i="29"/>
  <c r="I855" i="11"/>
  <c r="N856" i="31"/>
  <c r="N856" i="30"/>
  <c r="N856" i="29"/>
  <c r="I856" s="1"/>
  <c r="H862" i="11"/>
  <c r="L863" i="31"/>
  <c r="L863" i="30"/>
  <c r="L863" i="29"/>
  <c r="G870" i="11"/>
  <c r="J871" i="31"/>
  <c r="J871" i="30"/>
  <c r="J871" i="29"/>
  <c r="I875" i="11"/>
  <c r="N876" i="31"/>
  <c r="N876" i="30"/>
  <c r="N876" i="29"/>
  <c r="H882" i="11"/>
  <c r="L883" i="31"/>
  <c r="L883" i="30"/>
  <c r="L883" i="29"/>
  <c r="G891" i="11"/>
  <c r="J892" i="31"/>
  <c r="J892" i="30"/>
  <c r="J892" i="29"/>
  <c r="I897" i="11"/>
  <c r="N898" i="31"/>
  <c r="N898" i="30"/>
  <c r="N898" i="29"/>
  <c r="H904" i="11"/>
  <c r="L905" i="31"/>
  <c r="L905" i="30"/>
  <c r="L905" i="29"/>
  <c r="G915" i="11"/>
  <c r="J916" i="31"/>
  <c r="J916" i="30"/>
  <c r="J916" i="29"/>
  <c r="I921" i="11"/>
  <c r="N922" i="31"/>
  <c r="N922" i="30"/>
  <c r="N922" i="29"/>
  <c r="G930" i="11"/>
  <c r="J931" i="31"/>
  <c r="J931" i="30"/>
  <c r="J931" i="29"/>
  <c r="I936" i="11"/>
  <c r="N937" i="31"/>
  <c r="N937" i="30"/>
  <c r="N937" i="29"/>
  <c r="H945" i="11"/>
  <c r="L946" i="31"/>
  <c r="L946" i="30"/>
  <c r="L946" i="29"/>
  <c r="H946" s="1"/>
  <c r="G958" i="11"/>
  <c r="J959" i="31"/>
  <c r="G959" s="1"/>
  <c r="J959" i="30"/>
  <c r="J959" i="29"/>
  <c r="G959" s="1"/>
  <c r="I968" i="11"/>
  <c r="N969" i="31"/>
  <c r="N969" i="29"/>
  <c r="I969" s="1"/>
  <c r="N969" i="30"/>
  <c r="N982" i="31"/>
  <c r="O982" s="1"/>
  <c r="N982" i="30"/>
  <c r="O982" s="1"/>
  <c r="N982" i="29"/>
  <c r="O982" s="1"/>
  <c r="G1031" i="11"/>
  <c r="J1032" i="31"/>
  <c r="J1032" i="30"/>
  <c r="J1032" i="29"/>
  <c r="I1045" i="11"/>
  <c r="N1046" i="31"/>
  <c r="N1046" i="30"/>
  <c r="N1046" i="29"/>
  <c r="I1046" s="1"/>
  <c r="L1060" i="31"/>
  <c r="L1060" i="30"/>
  <c r="L1060" i="29"/>
  <c r="H1064" i="30"/>
  <c r="H1063" s="1"/>
  <c r="M1064"/>
  <c r="H1068" i="29"/>
  <c r="H1067" s="1"/>
  <c r="I1068" i="30"/>
  <c r="I1067" s="1"/>
  <c r="I1066" s="1"/>
  <c r="I1065" s="1"/>
  <c r="O1068"/>
  <c r="I1064" i="31"/>
  <c r="I1063" s="1"/>
  <c r="I1062" s="1"/>
  <c r="I1061" s="1"/>
  <c r="I837" i="11"/>
  <c r="N838" i="31"/>
  <c r="N838" i="30"/>
  <c r="N838" i="29"/>
  <c r="G872" i="11"/>
  <c r="J873" i="31"/>
  <c r="J873" i="30"/>
  <c r="J873" i="29"/>
  <c r="H909" i="11"/>
  <c r="L910" i="31"/>
  <c r="L910" i="30"/>
  <c r="L910" i="29"/>
  <c r="G965" i="11"/>
  <c r="J966" i="31"/>
  <c r="J966" i="30"/>
  <c r="J966" i="29"/>
  <c r="G1037" i="11"/>
  <c r="J1038" i="31"/>
  <c r="J1038" i="30"/>
  <c r="J1038" i="29"/>
  <c r="H847" i="11"/>
  <c r="L848" i="31"/>
  <c r="L848" i="30"/>
  <c r="L848" i="29"/>
  <c r="H848" s="1"/>
  <c r="H867" i="11"/>
  <c r="L868" i="31"/>
  <c r="L868" i="29"/>
  <c r="L868" i="30"/>
  <c r="H889" i="11"/>
  <c r="L890" i="31"/>
  <c r="L890" i="29"/>
  <c r="H890" s="1"/>
  <c r="L890" i="30"/>
  <c r="H890" s="1"/>
  <c r="I902" i="11"/>
  <c r="N903" i="31"/>
  <c r="N903" i="30"/>
  <c r="N903" i="29"/>
  <c r="G921" i="11"/>
  <c r="J922" i="31"/>
  <c r="J922" i="30"/>
  <c r="J922" i="29"/>
  <c r="I943" i="11"/>
  <c r="I942" s="1"/>
  <c r="N944" i="31"/>
  <c r="N944" i="30"/>
  <c r="I944" s="1"/>
  <c r="N944" i="29"/>
  <c r="I980" i="11"/>
  <c r="I979" s="1"/>
  <c r="N981" i="31"/>
  <c r="N981" i="30"/>
  <c r="N981" i="29"/>
  <c r="I1057" i="11"/>
  <c r="N1058" i="31"/>
  <c r="N1058" i="30"/>
  <c r="N1058" i="29"/>
  <c r="I1064"/>
  <c r="I1063" s="1"/>
  <c r="I1062" s="1"/>
  <c r="I1061" s="1"/>
  <c r="O1064"/>
  <c r="G842" i="11"/>
  <c r="J843" i="31"/>
  <c r="J843" i="30"/>
  <c r="J843" i="29"/>
  <c r="G862" i="11"/>
  <c r="J863" i="31"/>
  <c r="J863" i="30"/>
  <c r="J863" i="29"/>
  <c r="G863" s="1"/>
  <c r="G882" i="11"/>
  <c r="J883" i="31"/>
  <c r="J883" i="30"/>
  <c r="J883" i="29"/>
  <c r="I912" i="11"/>
  <c r="N913" i="31"/>
  <c r="N913" i="30"/>
  <c r="N913" i="29"/>
  <c r="G945" i="11"/>
  <c r="G942" s="1"/>
  <c r="J946" i="31"/>
  <c r="J946" i="30"/>
  <c r="J946" i="29"/>
  <c r="J982" i="31"/>
  <c r="K982" s="1"/>
  <c r="J982" i="30"/>
  <c r="J982" i="29"/>
  <c r="K982" s="1"/>
  <c r="G1059" i="11"/>
  <c r="J1060" i="31"/>
  <c r="J1060" i="30"/>
  <c r="J1060" i="29"/>
  <c r="G1060" s="1"/>
  <c r="H1064"/>
  <c r="H1063" s="1"/>
  <c r="H1062" s="1"/>
  <c r="H1061" s="1"/>
  <c r="G837" i="11"/>
  <c r="J838" i="31"/>
  <c r="J838" i="30"/>
  <c r="J838" i="29"/>
  <c r="I842" i="11"/>
  <c r="N843" i="31"/>
  <c r="N843" i="30"/>
  <c r="N843" i="29"/>
  <c r="H850" i="11"/>
  <c r="L851" i="31"/>
  <c r="L851" i="30"/>
  <c r="L851" i="29"/>
  <c r="H851" s="1"/>
  <c r="G857" i="11"/>
  <c r="J858" i="31"/>
  <c r="J858" i="30"/>
  <c r="J858" i="29"/>
  <c r="I862" i="11"/>
  <c r="N863" i="31"/>
  <c r="N863" i="30"/>
  <c r="N863" i="29"/>
  <c r="H870" i="11"/>
  <c r="L871" i="31"/>
  <c r="L871" i="30"/>
  <c r="L871" i="29"/>
  <c r="G877" i="11"/>
  <c r="J878" i="31"/>
  <c r="J878" i="30"/>
  <c r="J878" i="29"/>
  <c r="I882" i="11"/>
  <c r="N883" i="31"/>
  <c r="N883" i="30"/>
  <c r="N883" i="29"/>
  <c r="H891" i="11"/>
  <c r="L892" i="31"/>
  <c r="L892" i="30"/>
  <c r="L892" i="29"/>
  <c r="G899" i="11"/>
  <c r="J900" i="31"/>
  <c r="J900" i="30"/>
  <c r="J900" i="29"/>
  <c r="I904" i="11"/>
  <c r="N905" i="31"/>
  <c r="N905" i="30"/>
  <c r="N905" i="29"/>
  <c r="H915" i="11"/>
  <c r="L916" i="31"/>
  <c r="L916" i="30"/>
  <c r="L916" i="29"/>
  <c r="G924" i="11"/>
  <c r="J925" i="31"/>
  <c r="J925" i="30"/>
  <c r="J925" i="29"/>
  <c r="G925" s="1"/>
  <c r="H930" i="11"/>
  <c r="L931" i="31"/>
  <c r="L931" i="30"/>
  <c r="L931" i="29"/>
  <c r="G939" i="11"/>
  <c r="J940" i="31"/>
  <c r="J940" i="30"/>
  <c r="J940" i="29"/>
  <c r="G940" s="1"/>
  <c r="I945" i="11"/>
  <c r="N946" i="31"/>
  <c r="I946" s="1"/>
  <c r="N946" i="30"/>
  <c r="N946" i="29"/>
  <c r="H958" i="11"/>
  <c r="L959" i="31"/>
  <c r="L959" i="30"/>
  <c r="L959" i="29"/>
  <c r="G975" i="11"/>
  <c r="J976" i="31"/>
  <c r="J976" i="30"/>
  <c r="J976" i="29"/>
  <c r="G976" s="1"/>
  <c r="L982" i="31"/>
  <c r="M982" s="1"/>
  <c r="L982" i="30"/>
  <c r="M982" s="1"/>
  <c r="L982" i="29"/>
  <c r="M982" s="1"/>
  <c r="H1031" i="11"/>
  <c r="L1032" i="31"/>
  <c r="L1032" i="30"/>
  <c r="L1032" i="29"/>
  <c r="H1032" s="1"/>
  <c r="G1052" i="11"/>
  <c r="J1053" i="31"/>
  <c r="J1053" i="30"/>
  <c r="J1053" i="29"/>
  <c r="N1060" i="31"/>
  <c r="N1060" i="30"/>
  <c r="N1060" i="29"/>
  <c r="H1064" i="31"/>
  <c r="H1063" s="1"/>
  <c r="H1062" s="1"/>
  <c r="H1061" s="1"/>
  <c r="U34" i="30"/>
  <c r="H1068"/>
  <c r="H1067" s="1"/>
  <c r="H1066" s="1"/>
  <c r="H1065" s="1"/>
  <c r="I1068" i="31"/>
  <c r="I1067" s="1"/>
  <c r="I1066" s="1"/>
  <c r="I1065" s="1"/>
  <c r="O1068"/>
  <c r="N1063"/>
  <c r="O1063" s="1"/>
  <c r="N1063" i="30"/>
  <c r="N1063" i="29"/>
  <c r="G852" i="11"/>
  <c r="J853" i="31"/>
  <c r="J853" i="30"/>
  <c r="J853" i="29"/>
  <c r="I857" i="11"/>
  <c r="N858" i="31"/>
  <c r="I858" s="1"/>
  <c r="N858" i="30"/>
  <c r="I858" s="1"/>
  <c r="N858" i="29"/>
  <c r="I877" i="11"/>
  <c r="N878" i="31"/>
  <c r="N878" i="30"/>
  <c r="N878" i="29"/>
  <c r="I899" i="11"/>
  <c r="N900" i="31"/>
  <c r="N900" i="30"/>
  <c r="N900" i="29"/>
  <c r="G918" i="11"/>
  <c r="J919" i="31"/>
  <c r="J919" i="30"/>
  <c r="J919" i="29"/>
  <c r="G933" i="11"/>
  <c r="J934" i="31"/>
  <c r="J934" i="30"/>
  <c r="J934" i="29"/>
  <c r="I975" i="11"/>
  <c r="N976" i="31"/>
  <c r="N976" i="30"/>
  <c r="N976" i="29"/>
  <c r="I1052" i="11"/>
  <c r="N1053" i="31"/>
  <c r="N1053" i="30"/>
  <c r="N1053" i="29"/>
  <c r="J834" i="31"/>
  <c r="K834" s="1"/>
  <c r="J834" i="30"/>
  <c r="K834" s="1"/>
  <c r="J834" i="29"/>
  <c r="K834" s="1"/>
  <c r="G855" i="11"/>
  <c r="J856" i="31"/>
  <c r="J856" i="30"/>
  <c r="J856" i="29"/>
  <c r="G875" i="11"/>
  <c r="J876" i="31"/>
  <c r="J876" i="30"/>
  <c r="J876" i="29"/>
  <c r="G897" i="11"/>
  <c r="J898" i="31"/>
  <c r="J898" i="30"/>
  <c r="J898" i="29"/>
  <c r="N927" i="31"/>
  <c r="O927" s="1"/>
  <c r="N927" i="30"/>
  <c r="O927" s="1"/>
  <c r="N927" i="29"/>
  <c r="O927" s="1"/>
  <c r="H953" i="11"/>
  <c r="L954" i="31"/>
  <c r="L954" i="29"/>
  <c r="H954" s="1"/>
  <c r="L954" i="30"/>
  <c r="H1025" i="11"/>
  <c r="L1026" i="31"/>
  <c r="L1026" i="30"/>
  <c r="L1026" i="29"/>
  <c r="I847" i="11"/>
  <c r="N848" i="31"/>
  <c r="N848" i="30"/>
  <c r="N848" i="29"/>
  <c r="I867" i="11"/>
  <c r="N868" i="31"/>
  <c r="N868" i="30"/>
  <c r="N868" i="29"/>
  <c r="I889" i="11"/>
  <c r="N890" i="31"/>
  <c r="N890" i="30"/>
  <c r="N890" i="29"/>
  <c r="G904" i="11"/>
  <c r="J905" i="31"/>
  <c r="J905" i="30"/>
  <c r="J905" i="29"/>
  <c r="H921" i="11"/>
  <c r="L922" i="31"/>
  <c r="L922" i="30"/>
  <c r="L922" i="29"/>
  <c r="H922" s="1"/>
  <c r="H936" i="11"/>
  <c r="L937" i="31"/>
  <c r="L937" i="30"/>
  <c r="L937" i="29"/>
  <c r="H937" s="1"/>
  <c r="H968" i="11"/>
  <c r="L969" i="31"/>
  <c r="L969" i="30"/>
  <c r="L969" i="29"/>
  <c r="H1045" i="11"/>
  <c r="L1046" i="31"/>
  <c r="L1046" i="30"/>
  <c r="L1046" i="29"/>
  <c r="I1068"/>
  <c r="I1067" s="1"/>
  <c r="I1066" s="1"/>
  <c r="I1065" s="1"/>
  <c r="O1068"/>
  <c r="I1064" i="30"/>
  <c r="I1063" s="1"/>
  <c r="I1062" s="1"/>
  <c r="I1061" s="1"/>
  <c r="H837" i="11"/>
  <c r="L838" i="31"/>
  <c r="L838" i="30"/>
  <c r="L838" i="29"/>
  <c r="H838" s="1"/>
  <c r="G844" i="11"/>
  <c r="J845" i="31"/>
  <c r="J845" i="30"/>
  <c r="J845" i="29"/>
  <c r="I850" i="11"/>
  <c r="N851" i="31"/>
  <c r="N851" i="30"/>
  <c r="N851" i="29"/>
  <c r="I851" s="1"/>
  <c r="H857" i="11"/>
  <c r="L858" i="31"/>
  <c r="L858" i="30"/>
  <c r="H858" s="1"/>
  <c r="L858" i="29"/>
  <c r="G865" i="11"/>
  <c r="J866" i="31"/>
  <c r="J866" i="30"/>
  <c r="J866" i="29"/>
  <c r="I870" i="11"/>
  <c r="N871" i="31"/>
  <c r="N871" i="30"/>
  <c r="N871" i="29"/>
  <c r="H877" i="11"/>
  <c r="L878" i="31"/>
  <c r="L878" i="30"/>
  <c r="L878" i="29"/>
  <c r="G886" i="11"/>
  <c r="J887" i="31"/>
  <c r="J887" i="30"/>
  <c r="J887" i="29"/>
  <c r="I891" i="11"/>
  <c r="N892" i="31"/>
  <c r="N892" i="30"/>
  <c r="I892" s="1"/>
  <c r="N892" i="29"/>
  <c r="H899" i="11"/>
  <c r="L900" i="31"/>
  <c r="L900" i="30"/>
  <c r="L900" i="29"/>
  <c r="G909" i="11"/>
  <c r="J910" i="31"/>
  <c r="J910" i="30"/>
  <c r="J910" i="29"/>
  <c r="I915" i="11"/>
  <c r="N916" i="31"/>
  <c r="N916" i="30"/>
  <c r="N916" i="29"/>
  <c r="L925" i="31"/>
  <c r="L925" i="30"/>
  <c r="L925" i="29"/>
  <c r="H925" s="1"/>
  <c r="I930" i="11"/>
  <c r="N931" i="31"/>
  <c r="N931" i="30"/>
  <c r="N931" i="29"/>
  <c r="H939" i="11"/>
  <c r="L940" i="31"/>
  <c r="L940" i="30"/>
  <c r="L940" i="29"/>
  <c r="G949" i="11"/>
  <c r="J950" i="31"/>
  <c r="J950" i="30"/>
  <c r="J950" i="29"/>
  <c r="I958" i="11"/>
  <c r="N959" i="31"/>
  <c r="N959" i="30"/>
  <c r="N959" i="29"/>
  <c r="H975" i="11"/>
  <c r="L976" i="31"/>
  <c r="L976" i="30"/>
  <c r="L976" i="29"/>
  <c r="G986" i="11"/>
  <c r="J987" i="31"/>
  <c r="J987" i="30"/>
  <c r="J987" i="29"/>
  <c r="G987" s="1"/>
  <c r="I1031" i="11"/>
  <c r="N1032" i="31"/>
  <c r="N1032" i="30"/>
  <c r="N1032" i="29"/>
  <c r="H1052" i="11"/>
  <c r="L1053" i="31"/>
  <c r="L1053" i="30"/>
  <c r="L1053" i="29"/>
  <c r="I1059" i="11"/>
  <c r="H1068" i="31"/>
  <c r="H1067" s="1"/>
  <c r="H1066" s="1"/>
  <c r="H1065" s="1"/>
  <c r="G1078" i="29"/>
  <c r="G1077" s="1"/>
  <c r="G1076" s="1"/>
  <c r="N1067" i="31"/>
  <c r="O1067" s="1"/>
  <c r="N1067" i="30"/>
  <c r="O1067" s="1"/>
  <c r="N1067" i="29"/>
  <c r="I1582" i="30"/>
  <c r="I1173"/>
  <c r="H662"/>
  <c r="H1152"/>
  <c r="H25"/>
  <c r="G34"/>
  <c r="G33" s="1"/>
  <c r="H1178"/>
  <c r="G1007"/>
  <c r="H1588"/>
  <c r="G1002"/>
  <c r="H1257"/>
  <c r="G1091"/>
  <c r="H1484"/>
  <c r="H1368"/>
  <c r="H206"/>
  <c r="G1152"/>
  <c r="I66"/>
  <c r="G893"/>
  <c r="K894"/>
  <c r="H676"/>
  <c r="H1582"/>
  <c r="H33"/>
  <c r="H1321"/>
  <c r="H1574"/>
  <c r="I1321"/>
  <c r="H216"/>
  <c r="I1256"/>
  <c r="I1233"/>
  <c r="I208"/>
  <c r="H1070"/>
  <c r="I1574"/>
  <c r="I1152"/>
  <c r="H1034"/>
  <c r="K982"/>
  <c r="G1321"/>
  <c r="I332"/>
  <c r="H1235"/>
  <c r="I1070"/>
  <c r="I33"/>
  <c r="G1072"/>
  <c r="I1589"/>
  <c r="H1233"/>
  <c r="I1235"/>
  <c r="G603"/>
  <c r="G1196"/>
  <c r="G65"/>
  <c r="I1484" i="29"/>
  <c r="H1582"/>
  <c r="H1484"/>
  <c r="H1482" s="1"/>
  <c r="G1582"/>
  <c r="I33"/>
  <c r="I1034"/>
  <c r="I765"/>
  <c r="H1573"/>
  <c r="I500"/>
  <c r="H1071"/>
  <c r="G1072"/>
  <c r="I859" i="11"/>
  <c r="I854"/>
  <c r="G979"/>
  <c r="H849"/>
  <c r="H979"/>
  <c r="G859"/>
  <c r="G849"/>
  <c r="I832"/>
  <c r="H832"/>
  <c r="G832"/>
  <c r="I830"/>
  <c r="H830"/>
  <c r="G830"/>
  <c r="O1064" i="31" l="1"/>
  <c r="M1068" i="30"/>
  <c r="M1067"/>
  <c r="K1078"/>
  <c r="L859" i="31"/>
  <c r="L859" i="30"/>
  <c r="L859" i="29"/>
  <c r="I829" i="11"/>
  <c r="N830" i="31"/>
  <c r="N830" i="30"/>
  <c r="N830" i="29"/>
  <c r="I830" s="1"/>
  <c r="N942" i="31"/>
  <c r="N942" i="30"/>
  <c r="N942" i="29"/>
  <c r="T33" i="30"/>
  <c r="G987"/>
  <c r="G986" s="1"/>
  <c r="G985" s="1"/>
  <c r="H940"/>
  <c r="H939" s="1"/>
  <c r="H938" s="1"/>
  <c r="G910" i="31"/>
  <c r="G909" s="1"/>
  <c r="G908" s="1"/>
  <c r="K910"/>
  <c r="G866"/>
  <c r="G865" s="1"/>
  <c r="H838"/>
  <c r="H837" s="1"/>
  <c r="M838"/>
  <c r="H937" i="30"/>
  <c r="H936" s="1"/>
  <c r="H935" s="1"/>
  <c r="G905"/>
  <c r="G904" s="1"/>
  <c r="K905"/>
  <c r="G898" i="31"/>
  <c r="G897" s="1"/>
  <c r="I1053"/>
  <c r="I1052" s="1"/>
  <c r="I1051" s="1"/>
  <c r="I1050" s="1"/>
  <c r="I1049" s="1"/>
  <c r="I1048" s="1"/>
  <c r="O1053"/>
  <c r="I900"/>
  <c r="I899" s="1"/>
  <c r="I896" s="1"/>
  <c r="I946" i="30"/>
  <c r="I945" s="1"/>
  <c r="O946"/>
  <c r="G900"/>
  <c r="G899" s="1"/>
  <c r="G883" i="29"/>
  <c r="G882" s="1"/>
  <c r="K883"/>
  <c r="I1058"/>
  <c r="I1057" s="1"/>
  <c r="O1058"/>
  <c r="I903"/>
  <c r="I902" s="1"/>
  <c r="O903"/>
  <c r="G966" i="31"/>
  <c r="G965" s="1"/>
  <c r="G964" s="1"/>
  <c r="M946" i="29"/>
  <c r="H945"/>
  <c r="I898"/>
  <c r="I897" s="1"/>
  <c r="O898"/>
  <c r="O856"/>
  <c r="I855"/>
  <c r="I954" i="31"/>
  <c r="I953" s="1"/>
  <c r="I952" s="1"/>
  <c r="I951" s="1"/>
  <c r="L855"/>
  <c r="L855" i="30"/>
  <c r="L855" i="29"/>
  <c r="G969"/>
  <c r="G968" s="1"/>
  <c r="G967" s="1"/>
  <c r="K969"/>
  <c r="I861"/>
  <c r="I860" s="1"/>
  <c r="O861"/>
  <c r="I940" i="30"/>
  <c r="I939" s="1"/>
  <c r="I938" s="1"/>
  <c r="G1026" i="31"/>
  <c r="G1025" s="1"/>
  <c r="G1024" s="1"/>
  <c r="G1023" s="1"/>
  <c r="G1022" s="1"/>
  <c r="G1021" s="1"/>
  <c r="G928"/>
  <c r="G927" s="1"/>
  <c r="G926" s="1"/>
  <c r="K928"/>
  <c r="L880"/>
  <c r="L880" i="30"/>
  <c r="M880" s="1"/>
  <c r="L880" i="29"/>
  <c r="N852" i="31"/>
  <c r="O852" s="1"/>
  <c r="N852" i="30"/>
  <c r="N852" i="29"/>
  <c r="L839" i="31"/>
  <c r="L839" i="30"/>
  <c r="L839" i="29"/>
  <c r="H966"/>
  <c r="H965" s="1"/>
  <c r="H964" s="1"/>
  <c r="G944"/>
  <c r="G943" s="1"/>
  <c r="K944"/>
  <c r="I910" i="30"/>
  <c r="I909" s="1"/>
  <c r="I908" s="1"/>
  <c r="O910"/>
  <c r="G881"/>
  <c r="G880" s="1"/>
  <c r="K881"/>
  <c r="H853"/>
  <c r="H852" s="1"/>
  <c r="M852" s="1"/>
  <c r="G840"/>
  <c r="G839" s="1"/>
  <c r="G833" s="1"/>
  <c r="K840"/>
  <c r="G987" i="31"/>
  <c r="G986" s="1"/>
  <c r="G985" s="1"/>
  <c r="H940"/>
  <c r="H939" s="1"/>
  <c r="H938" s="1"/>
  <c r="J909"/>
  <c r="K909" s="1"/>
  <c r="J909" i="30"/>
  <c r="J909" i="29"/>
  <c r="L877" i="31"/>
  <c r="L877" i="30"/>
  <c r="M877" s="1"/>
  <c r="L877" i="29"/>
  <c r="J865" i="31"/>
  <c r="J865" i="30"/>
  <c r="J865" i="29"/>
  <c r="L837" i="31"/>
  <c r="L837" i="30"/>
  <c r="L837" i="29"/>
  <c r="H937" i="31"/>
  <c r="H936" s="1"/>
  <c r="H935" s="1"/>
  <c r="M937"/>
  <c r="I868"/>
  <c r="I867" s="1"/>
  <c r="O868"/>
  <c r="H954"/>
  <c r="H953" s="1"/>
  <c r="H952" s="1"/>
  <c r="H951" s="1"/>
  <c r="J855"/>
  <c r="J855" i="30"/>
  <c r="J855" i="29"/>
  <c r="J933" i="31"/>
  <c r="K933" s="1"/>
  <c r="J933" i="30"/>
  <c r="J933" i="29"/>
  <c r="N857" i="31"/>
  <c r="N857" i="30"/>
  <c r="N857" i="29"/>
  <c r="H1032" i="30"/>
  <c r="H1031" s="1"/>
  <c r="H1030" s="1"/>
  <c r="H1029" s="1"/>
  <c r="H1028" s="1"/>
  <c r="H1027" s="1"/>
  <c r="M1032"/>
  <c r="G976" i="31"/>
  <c r="G975" s="1"/>
  <c r="G974" s="1"/>
  <c r="G973" s="1"/>
  <c r="G972" s="1"/>
  <c r="H931"/>
  <c r="H930" s="1"/>
  <c r="H929" s="1"/>
  <c r="H916"/>
  <c r="H915" s="1"/>
  <c r="H914" s="1"/>
  <c r="I883"/>
  <c r="I882" s="1"/>
  <c r="G858"/>
  <c r="G857" s="1"/>
  <c r="I843"/>
  <c r="I842" s="1"/>
  <c r="I841" s="1"/>
  <c r="O843"/>
  <c r="G946" i="30"/>
  <c r="G945" s="1"/>
  <c r="G843"/>
  <c r="G842" s="1"/>
  <c r="K843"/>
  <c r="O944"/>
  <c r="I943"/>
  <c r="I903"/>
  <c r="I902" s="1"/>
  <c r="I901" s="1"/>
  <c r="J965" i="31"/>
  <c r="J965" i="30"/>
  <c r="J965" i="29"/>
  <c r="J872" i="31"/>
  <c r="J872" i="30"/>
  <c r="J872" i="29"/>
  <c r="O969"/>
  <c r="I968"/>
  <c r="I967" s="1"/>
  <c r="G931" i="30"/>
  <c r="G930" s="1"/>
  <c r="G929" s="1"/>
  <c r="K931"/>
  <c r="I898"/>
  <c r="I897" s="1"/>
  <c r="H883"/>
  <c r="H882" s="1"/>
  <c r="I856"/>
  <c r="I855" s="1"/>
  <c r="O856"/>
  <c r="H876" i="29"/>
  <c r="H875" s="1"/>
  <c r="M876"/>
  <c r="G969" i="30"/>
  <c r="G968" s="1"/>
  <c r="G967" s="1"/>
  <c r="K969"/>
  <c r="I861"/>
  <c r="I860" s="1"/>
  <c r="I940" i="31"/>
  <c r="I939" s="1"/>
  <c r="I938" s="1"/>
  <c r="H845"/>
  <c r="H844" s="1"/>
  <c r="M845"/>
  <c r="H1058"/>
  <c r="H1057" s="1"/>
  <c r="M1058"/>
  <c r="N965"/>
  <c r="O965" s="1"/>
  <c r="N965" i="30"/>
  <c r="N965" i="29"/>
  <c r="J912" i="31"/>
  <c r="J912" i="30"/>
  <c r="J912" i="29"/>
  <c r="I873"/>
  <c r="I872" s="1"/>
  <c r="O873"/>
  <c r="G848"/>
  <c r="G847" s="1"/>
  <c r="G846" s="1"/>
  <c r="I987" i="30"/>
  <c r="I986" s="1"/>
  <c r="I985" s="1"/>
  <c r="O987"/>
  <c r="G881" i="31"/>
  <c r="G880" s="1"/>
  <c r="H831" i="11"/>
  <c r="L832" i="31"/>
  <c r="L832" i="30"/>
  <c r="L832" i="29"/>
  <c r="L849" i="31"/>
  <c r="L849" i="30"/>
  <c r="L849" i="29"/>
  <c r="J942" i="31"/>
  <c r="J942" i="30"/>
  <c r="J942" i="29"/>
  <c r="S33" i="30"/>
  <c r="L1052" i="31"/>
  <c r="L1052" i="30"/>
  <c r="L1052" i="29"/>
  <c r="J986" i="31"/>
  <c r="J986" i="30"/>
  <c r="J986" i="29"/>
  <c r="K986" s="1"/>
  <c r="N958" i="31"/>
  <c r="N958" i="30"/>
  <c r="N958" i="29"/>
  <c r="L939" i="31"/>
  <c r="L939" i="29"/>
  <c r="L939" i="30"/>
  <c r="I916" i="29"/>
  <c r="I915" s="1"/>
  <c r="I914" s="1"/>
  <c r="O916"/>
  <c r="H900"/>
  <c r="H899" s="1"/>
  <c r="M900"/>
  <c r="G887"/>
  <c r="G886" s="1"/>
  <c r="G885" s="1"/>
  <c r="I871"/>
  <c r="I870" s="1"/>
  <c r="H858"/>
  <c r="H857" s="1"/>
  <c r="M858"/>
  <c r="G845"/>
  <c r="G844" s="1"/>
  <c r="K845"/>
  <c r="O1064" i="30"/>
  <c r="L1045" i="31"/>
  <c r="L1045" i="30"/>
  <c r="L1045" i="29"/>
  <c r="L936" i="31"/>
  <c r="L936" i="30"/>
  <c r="L936" i="29"/>
  <c r="J904" i="31"/>
  <c r="J904" i="30"/>
  <c r="J904" i="29"/>
  <c r="N867" i="31"/>
  <c r="O867" s="1"/>
  <c r="N867" i="30"/>
  <c r="N867" i="29"/>
  <c r="L953" i="31"/>
  <c r="M953" s="1"/>
  <c r="L953" i="30"/>
  <c r="L953" i="29"/>
  <c r="G876"/>
  <c r="G875" s="1"/>
  <c r="K876"/>
  <c r="I976"/>
  <c r="I975" s="1"/>
  <c r="G919"/>
  <c r="G918" s="1"/>
  <c r="G917" s="1"/>
  <c r="K919"/>
  <c r="I878"/>
  <c r="I877" s="1"/>
  <c r="O878"/>
  <c r="G853"/>
  <c r="G852" s="1"/>
  <c r="K853"/>
  <c r="M1064" i="31"/>
  <c r="I1060" i="30"/>
  <c r="I1059" s="1"/>
  <c r="H1032" i="31"/>
  <c r="H1031" s="1"/>
  <c r="H1030" s="1"/>
  <c r="H1029" s="1"/>
  <c r="H1028" s="1"/>
  <c r="H1027" s="1"/>
  <c r="J975"/>
  <c r="J975" i="30"/>
  <c r="J975" i="29"/>
  <c r="N945" i="31"/>
  <c r="N945" i="30"/>
  <c r="N945" i="29"/>
  <c r="L930" i="31"/>
  <c r="L930" i="30"/>
  <c r="L930" i="29"/>
  <c r="L915" i="31"/>
  <c r="M915" s="1"/>
  <c r="L915" i="30"/>
  <c r="M915" s="1"/>
  <c r="L915" i="29"/>
  <c r="J899" i="31"/>
  <c r="J899" i="30"/>
  <c r="K899" s="1"/>
  <c r="J899" i="29"/>
  <c r="N882" i="31"/>
  <c r="O882" s="1"/>
  <c r="N882" i="30"/>
  <c r="N882" i="29"/>
  <c r="L870" i="31"/>
  <c r="M870" s="1"/>
  <c r="L870" i="30"/>
  <c r="M870" s="1"/>
  <c r="L870" i="29"/>
  <c r="J857" i="31"/>
  <c r="J857" i="30"/>
  <c r="J857" i="29"/>
  <c r="N842" i="31"/>
  <c r="N842" i="30"/>
  <c r="N842" i="29"/>
  <c r="G1060" i="30"/>
  <c r="G1059" s="1"/>
  <c r="G946" i="31"/>
  <c r="G945" s="1"/>
  <c r="G883"/>
  <c r="G882" s="1"/>
  <c r="G879" s="1"/>
  <c r="G843"/>
  <c r="G842" s="1"/>
  <c r="I1058"/>
  <c r="I1057" s="1"/>
  <c r="I944"/>
  <c r="I943" s="1"/>
  <c r="O944"/>
  <c r="I903"/>
  <c r="I902" s="1"/>
  <c r="H868"/>
  <c r="H867" s="1"/>
  <c r="G1038" i="29"/>
  <c r="G1037" s="1"/>
  <c r="H910"/>
  <c r="H909" s="1"/>
  <c r="H908" s="1"/>
  <c r="M910"/>
  <c r="I838"/>
  <c r="I837" s="1"/>
  <c r="M1063" i="31"/>
  <c r="H1060" i="29"/>
  <c r="H1059" s="1"/>
  <c r="G1032" i="30"/>
  <c r="G1031" s="1"/>
  <c r="G1030" s="1"/>
  <c r="G1029" s="1"/>
  <c r="G1028" s="1"/>
  <c r="I969" i="31"/>
  <c r="I968" s="1"/>
  <c r="I967" s="1"/>
  <c r="H946"/>
  <c r="H945" s="1"/>
  <c r="M946"/>
  <c r="G931"/>
  <c r="G930" s="1"/>
  <c r="G929" s="1"/>
  <c r="G916"/>
  <c r="G915" s="1"/>
  <c r="G914" s="1"/>
  <c r="O898"/>
  <c r="I898"/>
  <c r="I897" s="1"/>
  <c r="H883"/>
  <c r="H882" s="1"/>
  <c r="G871"/>
  <c r="G870" s="1"/>
  <c r="K871"/>
  <c r="I856"/>
  <c r="I855" s="1"/>
  <c r="H843"/>
  <c r="H842" s="1"/>
  <c r="I1026" i="29"/>
  <c r="I1025" s="1"/>
  <c r="I1024" s="1"/>
  <c r="I1023" s="1"/>
  <c r="I1022" s="1"/>
  <c r="I1021" s="1"/>
  <c r="H876" i="30"/>
  <c r="H875" s="1"/>
  <c r="M876"/>
  <c r="G969" i="31"/>
  <c r="G968" s="1"/>
  <c r="G967" s="1"/>
  <c r="H913"/>
  <c r="H912" s="1"/>
  <c r="H911" s="1"/>
  <c r="I861"/>
  <c r="I860" s="1"/>
  <c r="N939"/>
  <c r="N939" i="30"/>
  <c r="N939" i="29"/>
  <c r="L894" i="31"/>
  <c r="M894" s="1"/>
  <c r="L894" i="30"/>
  <c r="M894" s="1"/>
  <c r="L894" i="29"/>
  <c r="L844" i="31"/>
  <c r="M844" s="1"/>
  <c r="L844" i="30"/>
  <c r="L844" i="29"/>
  <c r="L1057" i="31"/>
  <c r="L1057" i="30"/>
  <c r="L1057" i="29"/>
  <c r="H981"/>
  <c r="H980" s="1"/>
  <c r="H979" s="1"/>
  <c r="H978" s="1"/>
  <c r="H977" s="1"/>
  <c r="H971" s="1"/>
  <c r="G954"/>
  <c r="G953" s="1"/>
  <c r="G952" s="1"/>
  <c r="G951" s="1"/>
  <c r="I934"/>
  <c r="I933" s="1"/>
  <c r="I932" s="1"/>
  <c r="O934"/>
  <c r="O919"/>
  <c r="I918"/>
  <c r="I917" s="1"/>
  <c r="M903"/>
  <c r="H902"/>
  <c r="G890" i="30"/>
  <c r="G889" s="1"/>
  <c r="I873"/>
  <c r="I872" s="1"/>
  <c r="H861"/>
  <c r="H860" s="1"/>
  <c r="G848"/>
  <c r="G847" s="1"/>
  <c r="G846" s="1"/>
  <c r="I24"/>
  <c r="G1058"/>
  <c r="G1057" s="1"/>
  <c r="I987" i="31"/>
  <c r="I986" s="1"/>
  <c r="H966"/>
  <c r="H965" s="1"/>
  <c r="H964" s="1"/>
  <c r="G944"/>
  <c r="G943" s="1"/>
  <c r="N909"/>
  <c r="N909" i="30"/>
  <c r="O909" s="1"/>
  <c r="N909" i="29"/>
  <c r="N894" i="31"/>
  <c r="N894" i="30"/>
  <c r="N894" i="29"/>
  <c r="J880" i="31"/>
  <c r="J880" i="30"/>
  <c r="J880" i="29"/>
  <c r="N865" i="31"/>
  <c r="O865" s="1"/>
  <c r="N865" i="30"/>
  <c r="N865" i="29"/>
  <c r="L852" i="31"/>
  <c r="L852" i="29"/>
  <c r="L852" i="30"/>
  <c r="J839" i="31"/>
  <c r="J839" i="30"/>
  <c r="J839" i="29"/>
  <c r="S29" i="30"/>
  <c r="G24"/>
  <c r="H950" i="29"/>
  <c r="H949" s="1"/>
  <c r="H948" s="1"/>
  <c r="H947" s="1"/>
  <c r="N854" i="31"/>
  <c r="N854" i="30"/>
  <c r="N854" i="29"/>
  <c r="L979" i="31"/>
  <c r="L979" i="30"/>
  <c r="L979" i="29"/>
  <c r="T25" i="30"/>
  <c r="H1053"/>
  <c r="H1052" s="1"/>
  <c r="H1051" s="1"/>
  <c r="H1050" s="1"/>
  <c r="H1049" s="1"/>
  <c r="I959"/>
  <c r="I958" s="1"/>
  <c r="I957" s="1"/>
  <c r="I956" s="1"/>
  <c r="I955" s="1"/>
  <c r="H925"/>
  <c r="H924" s="1"/>
  <c r="H923" s="1"/>
  <c r="M925"/>
  <c r="I892" i="31"/>
  <c r="I891" s="1"/>
  <c r="O892"/>
  <c r="H878"/>
  <c r="H877" s="1"/>
  <c r="M877" s="1"/>
  <c r="I851"/>
  <c r="I850" s="1"/>
  <c r="H1046" i="30"/>
  <c r="H1045" s="1"/>
  <c r="H1044" s="1"/>
  <c r="H1043" s="1"/>
  <c r="H1042" s="1"/>
  <c r="H1041" s="1"/>
  <c r="H1040" s="1"/>
  <c r="M1046"/>
  <c r="I868"/>
  <c r="I867" s="1"/>
  <c r="O868"/>
  <c r="M954" i="29"/>
  <c r="H953"/>
  <c r="H952" s="1"/>
  <c r="H951" s="1"/>
  <c r="G856" i="31"/>
  <c r="G855" s="1"/>
  <c r="K855" s="1"/>
  <c r="G934"/>
  <c r="G933" s="1"/>
  <c r="G932" s="1"/>
  <c r="O858"/>
  <c r="I857"/>
  <c r="M1032" i="29"/>
  <c r="H1031"/>
  <c r="G976" i="30"/>
  <c r="G975" s="1"/>
  <c r="G974" s="1"/>
  <c r="G973" s="1"/>
  <c r="G972" s="1"/>
  <c r="H931"/>
  <c r="H930" s="1"/>
  <c r="H929" s="1"/>
  <c r="H916"/>
  <c r="H915" s="1"/>
  <c r="H914" s="1"/>
  <c r="I883"/>
  <c r="I882" s="1"/>
  <c r="H871"/>
  <c r="H870" s="1"/>
  <c r="G858"/>
  <c r="G857" s="1"/>
  <c r="K858"/>
  <c r="I843"/>
  <c r="I842" s="1"/>
  <c r="G946" i="29"/>
  <c r="G945" s="1"/>
  <c r="K946"/>
  <c r="G843"/>
  <c r="G842" s="1"/>
  <c r="I944"/>
  <c r="I943" s="1"/>
  <c r="O944"/>
  <c r="H868" i="30"/>
  <c r="H867" s="1"/>
  <c r="G873" i="31"/>
  <c r="G872" s="1"/>
  <c r="K872" s="1"/>
  <c r="N1045"/>
  <c r="N1045" i="30"/>
  <c r="N1045" i="29"/>
  <c r="I969" i="30"/>
  <c r="I968" s="1"/>
  <c r="I967" s="1"/>
  <c r="G931" i="29"/>
  <c r="G930" s="1"/>
  <c r="G929" s="1"/>
  <c r="G916"/>
  <c r="G915" s="1"/>
  <c r="G914" s="1"/>
  <c r="K916"/>
  <c r="H883"/>
  <c r="H882" s="1"/>
  <c r="G871"/>
  <c r="G870" s="1"/>
  <c r="H843"/>
  <c r="H842" s="1"/>
  <c r="L897" i="31"/>
  <c r="L897" i="30"/>
  <c r="M897" s="1"/>
  <c r="L897" i="29"/>
  <c r="H913"/>
  <c r="H912" s="1"/>
  <c r="H911" s="1"/>
  <c r="H895" i="30"/>
  <c r="H894" s="1"/>
  <c r="H893" s="1"/>
  <c r="H845"/>
  <c r="H844" s="1"/>
  <c r="M844" s="1"/>
  <c r="H1058"/>
  <c r="H1057" s="1"/>
  <c r="I966" i="31"/>
  <c r="I965" s="1"/>
  <c r="I964" s="1"/>
  <c r="I963" s="1"/>
  <c r="O966"/>
  <c r="H944"/>
  <c r="H943" s="1"/>
  <c r="H942" s="1"/>
  <c r="H941" s="1"/>
  <c r="M944"/>
  <c r="G913"/>
  <c r="G912" s="1"/>
  <c r="G911" s="1"/>
  <c r="J867"/>
  <c r="J867" i="30"/>
  <c r="J867" i="29"/>
  <c r="I987"/>
  <c r="I986" s="1"/>
  <c r="I985" s="1"/>
  <c r="I895" i="30"/>
  <c r="I894" s="1"/>
  <c r="I893" s="1"/>
  <c r="O895"/>
  <c r="I866"/>
  <c r="I865" s="1"/>
  <c r="I864" s="1"/>
  <c r="H887" i="31"/>
  <c r="H886" s="1"/>
  <c r="H885" s="1"/>
  <c r="G831" i="11"/>
  <c r="J832" i="31"/>
  <c r="J832" i="30"/>
  <c r="J832" i="29"/>
  <c r="H854" i="11"/>
  <c r="H1053" i="31"/>
  <c r="H1052" s="1"/>
  <c r="H1051" s="1"/>
  <c r="H1050" s="1"/>
  <c r="H1049" s="1"/>
  <c r="H1048" s="1"/>
  <c r="I959"/>
  <c r="I958" s="1"/>
  <c r="H925"/>
  <c r="H924" s="1"/>
  <c r="H923" s="1"/>
  <c r="N891"/>
  <c r="N891" i="30"/>
  <c r="N891" i="29"/>
  <c r="N850" i="31"/>
  <c r="N850" i="30"/>
  <c r="N850" i="29"/>
  <c r="H1046" i="31"/>
  <c r="H1045" s="1"/>
  <c r="G905"/>
  <c r="G904" s="1"/>
  <c r="J897"/>
  <c r="J897" i="30"/>
  <c r="J897" i="29"/>
  <c r="N1052" i="31"/>
  <c r="O1052" s="1"/>
  <c r="N1052" i="30"/>
  <c r="N1052" i="29"/>
  <c r="N899" i="31"/>
  <c r="N899" i="30"/>
  <c r="N899" i="29"/>
  <c r="I1060"/>
  <c r="I1059" s="1"/>
  <c r="I1056" s="1"/>
  <c r="I1055" s="1"/>
  <c r="I1054" s="1"/>
  <c r="O1060"/>
  <c r="O946" i="31"/>
  <c r="I945"/>
  <c r="G900"/>
  <c r="G899" s="1"/>
  <c r="H871"/>
  <c r="H870" s="1"/>
  <c r="K1060" i="29"/>
  <c r="G1059"/>
  <c r="G883" i="30"/>
  <c r="G882" s="1"/>
  <c r="G879" s="1"/>
  <c r="I1058"/>
  <c r="I1057" s="1"/>
  <c r="H868" i="29"/>
  <c r="H867" s="1"/>
  <c r="G1032"/>
  <c r="G1031" s="1"/>
  <c r="G1030" s="1"/>
  <c r="G1029" s="1"/>
  <c r="G1028" s="1"/>
  <c r="G1027" s="1"/>
  <c r="K1032"/>
  <c r="H946" i="30"/>
  <c r="H945" s="1"/>
  <c r="G916"/>
  <c r="G915" s="1"/>
  <c r="G914" s="1"/>
  <c r="K916"/>
  <c r="K871"/>
  <c r="G871"/>
  <c r="G870" s="1"/>
  <c r="H843"/>
  <c r="H842" s="1"/>
  <c r="M843"/>
  <c r="N953" i="31"/>
  <c r="N953" i="30"/>
  <c r="N953" i="29"/>
  <c r="H913" i="30"/>
  <c r="H912" s="1"/>
  <c r="M913"/>
  <c r="H895" i="31"/>
  <c r="H894" s="1"/>
  <c r="H893" s="1"/>
  <c r="G1024" i="11"/>
  <c r="J1025" i="31"/>
  <c r="J1025" i="30"/>
  <c r="J1025" i="29"/>
  <c r="L943" i="31"/>
  <c r="M943" s="1"/>
  <c r="L943" i="30"/>
  <c r="L943" i="29"/>
  <c r="J927" i="31"/>
  <c r="K927" s="1"/>
  <c r="J927" i="30"/>
  <c r="J927" i="29"/>
  <c r="G890"/>
  <c r="G889" s="1"/>
  <c r="H861"/>
  <c r="H860" s="1"/>
  <c r="M861"/>
  <c r="G1058"/>
  <c r="G1057" s="1"/>
  <c r="H966" i="30"/>
  <c r="H965" s="1"/>
  <c r="H964" s="1"/>
  <c r="M966"/>
  <c r="G944"/>
  <c r="G943" s="1"/>
  <c r="K944"/>
  <c r="I910" i="31"/>
  <c r="I909" s="1"/>
  <c r="I908" s="1"/>
  <c r="I895"/>
  <c r="I894" s="1"/>
  <c r="I893" s="1"/>
  <c r="O895"/>
  <c r="O866"/>
  <c r="I865"/>
  <c r="H853"/>
  <c r="H852" s="1"/>
  <c r="G840"/>
  <c r="G839" s="1"/>
  <c r="K839" s="1"/>
  <c r="L886"/>
  <c r="L886" i="30"/>
  <c r="M886" s="1"/>
  <c r="L886" i="29"/>
  <c r="I831" i="11"/>
  <c r="N832" i="31"/>
  <c r="N832" i="30"/>
  <c r="N832" i="29"/>
  <c r="I832" s="1"/>
  <c r="J979" i="31"/>
  <c r="J979" i="30"/>
  <c r="J979" i="29"/>
  <c r="K979" s="1"/>
  <c r="K1078"/>
  <c r="I1032"/>
  <c r="I1031" s="1"/>
  <c r="I1030" s="1"/>
  <c r="I1029" s="1"/>
  <c r="H976"/>
  <c r="H975" s="1"/>
  <c r="H974" s="1"/>
  <c r="H973" s="1"/>
  <c r="H972" s="1"/>
  <c r="G950"/>
  <c r="G949" s="1"/>
  <c r="G948" s="1"/>
  <c r="G947" s="1"/>
  <c r="K950"/>
  <c r="I931"/>
  <c r="I930" s="1"/>
  <c r="I929" s="1"/>
  <c r="I916" i="30"/>
  <c r="I915" s="1"/>
  <c r="I914" s="1"/>
  <c r="H900"/>
  <c r="H899" s="1"/>
  <c r="G887"/>
  <c r="G886" s="1"/>
  <c r="G885" s="1"/>
  <c r="I871"/>
  <c r="I870" s="1"/>
  <c r="I869" s="1"/>
  <c r="M858"/>
  <c r="H857"/>
  <c r="G845"/>
  <c r="G844" s="1"/>
  <c r="K845"/>
  <c r="H969" i="29"/>
  <c r="H968" s="1"/>
  <c r="H967" s="1"/>
  <c r="M969"/>
  <c r="M922"/>
  <c r="H921"/>
  <c r="H920" s="1"/>
  <c r="I890"/>
  <c r="I889" s="1"/>
  <c r="O890"/>
  <c r="I848"/>
  <c r="I847" s="1"/>
  <c r="I846" s="1"/>
  <c r="H1026"/>
  <c r="H1025" s="1"/>
  <c r="H1024" s="1"/>
  <c r="H1023" s="1"/>
  <c r="H1022" s="1"/>
  <c r="H1021" s="1"/>
  <c r="G876" i="30"/>
  <c r="G875" s="1"/>
  <c r="I976"/>
  <c r="I975" s="1"/>
  <c r="I974" s="1"/>
  <c r="I973" s="1"/>
  <c r="I972" s="1"/>
  <c r="O976"/>
  <c r="G919"/>
  <c r="G918" s="1"/>
  <c r="G917" s="1"/>
  <c r="I878"/>
  <c r="I877" s="1"/>
  <c r="G853"/>
  <c r="G852" s="1"/>
  <c r="I1060" i="31"/>
  <c r="I1059" s="1"/>
  <c r="L1031"/>
  <c r="L1031" i="30"/>
  <c r="M1031" s="1"/>
  <c r="L1031" i="29"/>
  <c r="H959"/>
  <c r="H958" s="1"/>
  <c r="H957" s="1"/>
  <c r="H956" s="1"/>
  <c r="H955" s="1"/>
  <c r="K940"/>
  <c r="G939"/>
  <c r="G938" s="1"/>
  <c r="K925"/>
  <c r="G924"/>
  <c r="G923" s="1"/>
  <c r="I905"/>
  <c r="I904" s="1"/>
  <c r="O905"/>
  <c r="H892"/>
  <c r="H891" s="1"/>
  <c r="G878"/>
  <c r="G877" s="1"/>
  <c r="G874" s="1"/>
  <c r="I863"/>
  <c r="I862" s="1"/>
  <c r="O862" s="1"/>
  <c r="M851"/>
  <c r="H850"/>
  <c r="G838"/>
  <c r="G837" s="1"/>
  <c r="G1060" i="31"/>
  <c r="G1059" s="1"/>
  <c r="J945"/>
  <c r="J945" i="30"/>
  <c r="K945" s="1"/>
  <c r="J945" i="29"/>
  <c r="K945" s="1"/>
  <c r="J882" i="31"/>
  <c r="K882" s="1"/>
  <c r="J882" i="30"/>
  <c r="J882" i="29"/>
  <c r="J842" i="31"/>
  <c r="K842" s="1"/>
  <c r="J842" i="30"/>
  <c r="K842" s="1"/>
  <c r="J842" i="29"/>
  <c r="N1057" i="31"/>
  <c r="O1057" s="1"/>
  <c r="N1057" i="29"/>
  <c r="N1057" i="30"/>
  <c r="N943" i="31"/>
  <c r="N943" i="30"/>
  <c r="O943" s="1"/>
  <c r="N943" i="29"/>
  <c r="N902" i="31"/>
  <c r="O902" s="1"/>
  <c r="N902" i="30"/>
  <c r="N902" i="29"/>
  <c r="O902" s="1"/>
  <c r="L867" i="31"/>
  <c r="L867" i="30"/>
  <c r="L867" i="29"/>
  <c r="M867" s="1"/>
  <c r="G1038" i="30"/>
  <c r="G1037" s="1"/>
  <c r="H910"/>
  <c r="H909" s="1"/>
  <c r="H908" s="1"/>
  <c r="M910"/>
  <c r="I838"/>
  <c r="I837" s="1"/>
  <c r="M1068" i="29"/>
  <c r="H1060" i="30"/>
  <c r="H1059" s="1"/>
  <c r="G1032" i="31"/>
  <c r="G1031" s="1"/>
  <c r="G1030" s="1"/>
  <c r="G1029" s="1"/>
  <c r="G1028" s="1"/>
  <c r="G1027" s="1"/>
  <c r="N968"/>
  <c r="O968" s="1"/>
  <c r="N968" i="30"/>
  <c r="N968" i="29"/>
  <c r="L945" i="31"/>
  <c r="M945" s="1"/>
  <c r="L945" i="30"/>
  <c r="L945" i="29"/>
  <c r="J930" i="31"/>
  <c r="J930" i="30"/>
  <c r="J930" i="29"/>
  <c r="J915" i="31"/>
  <c r="K915" s="1"/>
  <c r="J915" i="30"/>
  <c r="K915" s="1"/>
  <c r="J915" i="29"/>
  <c r="K915" s="1"/>
  <c r="N897" i="31"/>
  <c r="O897" s="1"/>
  <c r="N897" i="30"/>
  <c r="N897" i="29"/>
  <c r="O897" s="1"/>
  <c r="L882" i="31"/>
  <c r="L882" i="30"/>
  <c r="L882" i="29"/>
  <c r="M882" s="1"/>
  <c r="J870" i="31"/>
  <c r="J870" i="30"/>
  <c r="K870" s="1"/>
  <c r="J870" i="29"/>
  <c r="K870" s="1"/>
  <c r="N855" i="31"/>
  <c r="N855" i="30"/>
  <c r="N855" i="29"/>
  <c r="L842" i="31"/>
  <c r="L842" i="30"/>
  <c r="L842" i="29"/>
  <c r="M842" s="1"/>
  <c r="I1026" i="30"/>
  <c r="I1025" s="1"/>
  <c r="I1024" s="1"/>
  <c r="I1023" s="1"/>
  <c r="I1022" s="1"/>
  <c r="I1021" s="1"/>
  <c r="H876" i="31"/>
  <c r="H875" s="1"/>
  <c r="J968"/>
  <c r="J968" i="30"/>
  <c r="J968" i="29"/>
  <c r="K968" s="1"/>
  <c r="L912" i="31"/>
  <c r="L912" i="30"/>
  <c r="L912" i="29"/>
  <c r="N860" i="31"/>
  <c r="O860" s="1"/>
  <c r="N860" i="29"/>
  <c r="N860" i="30"/>
  <c r="M987" i="29"/>
  <c r="H986"/>
  <c r="H985" s="1"/>
  <c r="I925"/>
  <c r="I924" s="1"/>
  <c r="I923" s="1"/>
  <c r="O925"/>
  <c r="H866"/>
  <c r="H865" s="1"/>
  <c r="H864" s="1"/>
  <c r="K1077"/>
  <c r="H981" i="30"/>
  <c r="H980" s="1"/>
  <c r="H979" s="1"/>
  <c r="K954"/>
  <c r="G953"/>
  <c r="G952" s="1"/>
  <c r="G951" s="1"/>
  <c r="I934"/>
  <c r="I933" s="1"/>
  <c r="I932" s="1"/>
  <c r="I919"/>
  <c r="I918" s="1"/>
  <c r="I917" s="1"/>
  <c r="O919"/>
  <c r="H903"/>
  <c r="H902" s="1"/>
  <c r="G890" i="31"/>
  <c r="G889" s="1"/>
  <c r="I873"/>
  <c r="I872" s="1"/>
  <c r="O873"/>
  <c r="H861"/>
  <c r="H860" s="1"/>
  <c r="M861"/>
  <c r="G848"/>
  <c r="G847" s="1"/>
  <c r="G846" s="1"/>
  <c r="G1058"/>
  <c r="G1057" s="1"/>
  <c r="N986"/>
  <c r="N986" i="30"/>
  <c r="O986" s="1"/>
  <c r="N986" i="29"/>
  <c r="L965" i="31"/>
  <c r="L965" i="30"/>
  <c r="M965" s="1"/>
  <c r="L965" i="29"/>
  <c r="J943" i="31"/>
  <c r="J943" i="30"/>
  <c r="K943" s="1"/>
  <c r="J943" i="29"/>
  <c r="H919"/>
  <c r="H918" s="1"/>
  <c r="H917" s="1"/>
  <c r="G903"/>
  <c r="G902" s="1"/>
  <c r="K903"/>
  <c r="I887"/>
  <c r="I886" s="1"/>
  <c r="I885" s="1"/>
  <c r="O887"/>
  <c r="H873"/>
  <c r="H872" s="1"/>
  <c r="G861"/>
  <c r="G860" s="1"/>
  <c r="I845"/>
  <c r="I844" s="1"/>
  <c r="O845"/>
  <c r="K1075"/>
  <c r="H950" i="30"/>
  <c r="H949" s="1"/>
  <c r="H948" s="1"/>
  <c r="H947" s="1"/>
  <c r="I1032"/>
  <c r="I1031" s="1"/>
  <c r="I1030" s="1"/>
  <c r="I1029" s="1"/>
  <c r="G950"/>
  <c r="G949" s="1"/>
  <c r="G948" s="1"/>
  <c r="G947" s="1"/>
  <c r="I916" i="31"/>
  <c r="I915" s="1"/>
  <c r="I914" s="1"/>
  <c r="I871"/>
  <c r="I870" s="1"/>
  <c r="O871"/>
  <c r="I890" i="30"/>
  <c r="I889" s="1"/>
  <c r="G919" i="31"/>
  <c r="G918" s="1"/>
  <c r="G917" s="1"/>
  <c r="G853"/>
  <c r="G852" s="1"/>
  <c r="G1053" i="29"/>
  <c r="G1052" s="1"/>
  <c r="G1051" s="1"/>
  <c r="G1050" s="1"/>
  <c r="H959" i="30"/>
  <c r="H958" s="1"/>
  <c r="H957" s="1"/>
  <c r="H956" s="1"/>
  <c r="H955" s="1"/>
  <c r="G925"/>
  <c r="G924" s="1"/>
  <c r="G923" s="1"/>
  <c r="H892"/>
  <c r="H891" s="1"/>
  <c r="M892"/>
  <c r="I863"/>
  <c r="I862" s="1"/>
  <c r="K838"/>
  <c r="G838"/>
  <c r="G837" s="1"/>
  <c r="I913" i="29"/>
  <c r="I912" s="1"/>
  <c r="I911" s="1"/>
  <c r="G922"/>
  <c r="G921" s="1"/>
  <c r="K922"/>
  <c r="M890" i="30"/>
  <c r="H889"/>
  <c r="G1038" i="31"/>
  <c r="G1037" s="1"/>
  <c r="I838"/>
  <c r="I837" s="1"/>
  <c r="K959" i="29"/>
  <c r="G958"/>
  <c r="G957" s="1"/>
  <c r="G956" s="1"/>
  <c r="I922"/>
  <c r="I921" s="1"/>
  <c r="I920" s="1"/>
  <c r="O922"/>
  <c r="G892"/>
  <c r="G891" s="1"/>
  <c r="H863"/>
  <c r="H862" s="1"/>
  <c r="I1026" i="31"/>
  <c r="I1025" s="1"/>
  <c r="I1024" s="1"/>
  <c r="I1023" s="1"/>
  <c r="I1022" s="1"/>
  <c r="I1021" s="1"/>
  <c r="O1026"/>
  <c r="L875"/>
  <c r="M875" s="1"/>
  <c r="L875" i="30"/>
  <c r="M875" s="1"/>
  <c r="L875" i="29"/>
  <c r="M875" s="1"/>
  <c r="K1046"/>
  <c r="G1045"/>
  <c r="G1044" s="1"/>
  <c r="G1043" s="1"/>
  <c r="G1042" s="1"/>
  <c r="I881" i="30"/>
  <c r="I880" s="1"/>
  <c r="O881"/>
  <c r="I840" i="29"/>
  <c r="I839" s="1"/>
  <c r="I925" i="30"/>
  <c r="I924" s="1"/>
  <c r="I923" s="1"/>
  <c r="O925"/>
  <c r="H866"/>
  <c r="H865" s="1"/>
  <c r="M866"/>
  <c r="H981" i="31"/>
  <c r="H980" s="1"/>
  <c r="I934"/>
  <c r="I933" s="1"/>
  <c r="I932" s="1"/>
  <c r="H903"/>
  <c r="H902" s="1"/>
  <c r="N872"/>
  <c r="N872" i="30"/>
  <c r="N872" i="29"/>
  <c r="J847" i="31"/>
  <c r="K847" s="1"/>
  <c r="J847" i="30"/>
  <c r="J847" i="29"/>
  <c r="G981"/>
  <c r="G980" s="1"/>
  <c r="G979" s="1"/>
  <c r="M934"/>
  <c r="H933"/>
  <c r="H932" s="1"/>
  <c r="H919" i="30"/>
  <c r="H918" s="1"/>
  <c r="H917" s="1"/>
  <c r="M919"/>
  <c r="I887"/>
  <c r="I886" s="1"/>
  <c r="I885" s="1"/>
  <c r="H873"/>
  <c r="H872" s="1"/>
  <c r="M873"/>
  <c r="I845"/>
  <c r="I844" s="1"/>
  <c r="O845"/>
  <c r="M950" i="31"/>
  <c r="H949"/>
  <c r="H948" s="1"/>
  <c r="H947" s="1"/>
  <c r="J849"/>
  <c r="J849" i="30"/>
  <c r="J849" i="29"/>
  <c r="H976" i="31"/>
  <c r="H975" s="1"/>
  <c r="H974" s="1"/>
  <c r="H973" s="1"/>
  <c r="H972" s="1"/>
  <c r="I931"/>
  <c r="I930" s="1"/>
  <c r="O931"/>
  <c r="L899"/>
  <c r="L899" i="30"/>
  <c r="L899" i="29"/>
  <c r="M899" s="1"/>
  <c r="J886" i="31"/>
  <c r="J886" i="30"/>
  <c r="K886" s="1"/>
  <c r="J886" i="29"/>
  <c r="L857" i="31"/>
  <c r="L857" i="30"/>
  <c r="L857" i="29"/>
  <c r="M857" s="1"/>
  <c r="J844" i="31"/>
  <c r="J844" i="30"/>
  <c r="J844" i="29"/>
  <c r="H969" i="31"/>
  <c r="H968" s="1"/>
  <c r="H967" s="1"/>
  <c r="M969"/>
  <c r="I890"/>
  <c r="I889" s="1"/>
  <c r="O890"/>
  <c r="J918"/>
  <c r="J918" i="30"/>
  <c r="J918" i="29"/>
  <c r="K918" s="1"/>
  <c r="J852" i="31"/>
  <c r="J852" i="30"/>
  <c r="J852" i="29"/>
  <c r="G940" i="31"/>
  <c r="G939" s="1"/>
  <c r="G938" s="1"/>
  <c r="K940"/>
  <c r="I905"/>
  <c r="I904" s="1"/>
  <c r="I901" s="1"/>
  <c r="H892"/>
  <c r="H891" s="1"/>
  <c r="I863"/>
  <c r="I862" s="1"/>
  <c r="O863"/>
  <c r="H851"/>
  <c r="H850" s="1"/>
  <c r="H849" s="1"/>
  <c r="M851"/>
  <c r="G838"/>
  <c r="G837" s="1"/>
  <c r="G833" s="1"/>
  <c r="I913" i="30"/>
  <c r="I912" s="1"/>
  <c r="I911" s="1"/>
  <c r="O913"/>
  <c r="G863"/>
  <c r="G862" s="1"/>
  <c r="K863"/>
  <c r="I981"/>
  <c r="I980" s="1"/>
  <c r="I979" s="1"/>
  <c r="G922"/>
  <c r="G921" s="1"/>
  <c r="G920" s="1"/>
  <c r="H848"/>
  <c r="H847" s="1"/>
  <c r="H846" s="1"/>
  <c r="M848"/>
  <c r="L909" i="31"/>
  <c r="L909" i="29"/>
  <c r="L909" i="30"/>
  <c r="O1046" i="29"/>
  <c r="I1045"/>
  <c r="I1044" s="1"/>
  <c r="I1043" s="1"/>
  <c r="I1042" s="1"/>
  <c r="I1041" s="1"/>
  <c r="I1040" s="1"/>
  <c r="G959" i="30"/>
  <c r="G958" s="1"/>
  <c r="G957" s="1"/>
  <c r="G956" s="1"/>
  <c r="K959"/>
  <c r="I922"/>
  <c r="I921" s="1"/>
  <c r="I920" s="1"/>
  <c r="G892"/>
  <c r="G891" s="1"/>
  <c r="H863"/>
  <c r="H862" s="1"/>
  <c r="M863"/>
  <c r="H898" i="29"/>
  <c r="H897" s="1"/>
  <c r="M898"/>
  <c r="H856"/>
  <c r="H855" s="1"/>
  <c r="H854" s="1"/>
  <c r="G1046" i="30"/>
  <c r="G1045" s="1"/>
  <c r="G1044" s="1"/>
  <c r="G1043" s="1"/>
  <c r="G1042" s="1"/>
  <c r="G1041" s="1"/>
  <c r="G1040" s="1"/>
  <c r="K1046"/>
  <c r="I881" i="29"/>
  <c r="I880" s="1"/>
  <c r="O881"/>
  <c r="H987" i="31"/>
  <c r="H986" s="1"/>
  <c r="M987"/>
  <c r="H866"/>
  <c r="H865" s="1"/>
  <c r="H864" s="1"/>
  <c r="J953"/>
  <c r="J953" i="30"/>
  <c r="K953" s="1"/>
  <c r="J953" i="29"/>
  <c r="K953" s="1"/>
  <c r="N918" i="31"/>
  <c r="N918" i="30"/>
  <c r="N918" i="29"/>
  <c r="H881"/>
  <c r="H880" s="1"/>
  <c r="I853"/>
  <c r="I852" s="1"/>
  <c r="M1067" i="31"/>
  <c r="G981" i="30"/>
  <c r="G980" s="1"/>
  <c r="G979" s="1"/>
  <c r="K979" s="1"/>
  <c r="H934"/>
  <c r="H933" s="1"/>
  <c r="H932" s="1"/>
  <c r="I887" i="31"/>
  <c r="I886" s="1"/>
  <c r="I885" s="1"/>
  <c r="G861"/>
  <c r="G860" s="1"/>
  <c r="G829" i="11"/>
  <c r="J830" i="31"/>
  <c r="J830" i="30"/>
  <c r="J830" i="29"/>
  <c r="G830" s="1"/>
  <c r="I849" i="11"/>
  <c r="G854"/>
  <c r="S34" i="30"/>
  <c r="M1068" i="31"/>
  <c r="N1059"/>
  <c r="O1059" s="1"/>
  <c r="N1059" i="30"/>
  <c r="O1059" s="1"/>
  <c r="N1059" i="29"/>
  <c r="N1031" i="31"/>
  <c r="N1031" i="30"/>
  <c r="N1031" i="29"/>
  <c r="O1031" s="1"/>
  <c r="L975" i="31"/>
  <c r="M975" s="1"/>
  <c r="L975" i="30"/>
  <c r="L975" i="29"/>
  <c r="M975" s="1"/>
  <c r="J949" i="31"/>
  <c r="J949" i="30"/>
  <c r="K949" s="1"/>
  <c r="J949" i="29"/>
  <c r="K949" s="1"/>
  <c r="N930" i="31"/>
  <c r="N930" i="30"/>
  <c r="N930" i="29"/>
  <c r="G910"/>
  <c r="G909" s="1"/>
  <c r="G908" s="1"/>
  <c r="K910"/>
  <c r="I892"/>
  <c r="I891" s="1"/>
  <c r="O891" s="1"/>
  <c r="O892"/>
  <c r="H878"/>
  <c r="H877" s="1"/>
  <c r="G866"/>
  <c r="G865" s="1"/>
  <c r="O851"/>
  <c r="I850"/>
  <c r="M838"/>
  <c r="H837"/>
  <c r="L968" i="31"/>
  <c r="M968" s="1"/>
  <c r="L968" i="30"/>
  <c r="L968" i="29"/>
  <c r="M968" s="1"/>
  <c r="L921" i="31"/>
  <c r="L921" i="30"/>
  <c r="L921" i="29"/>
  <c r="M921" s="1"/>
  <c r="N889" i="31"/>
  <c r="O889" s="1"/>
  <c r="N889" i="30"/>
  <c r="N889" i="29"/>
  <c r="O889" s="1"/>
  <c r="N847" i="31"/>
  <c r="N847" i="30"/>
  <c r="N847" i="29"/>
  <c r="L1025" i="31"/>
  <c r="L1025" i="30"/>
  <c r="L1025" i="29"/>
  <c r="G898"/>
  <c r="G897" s="1"/>
  <c r="G856"/>
  <c r="G855" s="1"/>
  <c r="K856"/>
  <c r="I1053"/>
  <c r="I1052" s="1"/>
  <c r="I1051" s="1"/>
  <c r="I1050" s="1"/>
  <c r="G934"/>
  <c r="G933" s="1"/>
  <c r="G932" s="1"/>
  <c r="I900"/>
  <c r="I899" s="1"/>
  <c r="I896" s="1"/>
  <c r="I858"/>
  <c r="I857" s="1"/>
  <c r="O857" s="1"/>
  <c r="O858"/>
  <c r="O1063"/>
  <c r="G1053" i="31"/>
  <c r="G1052" s="1"/>
  <c r="G1051" s="1"/>
  <c r="G1050" s="1"/>
  <c r="G1049" s="1"/>
  <c r="G1048" s="1"/>
  <c r="L958"/>
  <c r="L958" i="30"/>
  <c r="L958" i="29"/>
  <c r="J939" i="31"/>
  <c r="K939" s="1"/>
  <c r="J939" i="30"/>
  <c r="J939" i="29"/>
  <c r="K939" s="1"/>
  <c r="J924" i="31"/>
  <c r="J924" i="30"/>
  <c r="K924" s="1"/>
  <c r="J924" i="29"/>
  <c r="N904" i="31"/>
  <c r="N904" i="30"/>
  <c r="N904" i="29"/>
  <c r="L891" i="31"/>
  <c r="L891" i="30"/>
  <c r="L891" i="29"/>
  <c r="J877" i="31"/>
  <c r="J877" i="30"/>
  <c r="J877" i="29"/>
  <c r="N862" i="31"/>
  <c r="N862" i="30"/>
  <c r="N862" i="29"/>
  <c r="L850" i="31"/>
  <c r="M850" s="1"/>
  <c r="L850" i="30"/>
  <c r="L850" i="29"/>
  <c r="J837" i="31"/>
  <c r="J837" i="30"/>
  <c r="K837" s="1"/>
  <c r="J837" i="29"/>
  <c r="I913" i="31"/>
  <c r="I912" s="1"/>
  <c r="I911" s="1"/>
  <c r="G863"/>
  <c r="G862" s="1"/>
  <c r="K863"/>
  <c r="I981"/>
  <c r="I980" s="1"/>
  <c r="I979" s="1"/>
  <c r="G922"/>
  <c r="G921" s="1"/>
  <c r="G920" s="1"/>
  <c r="H890"/>
  <c r="H889" s="1"/>
  <c r="H848"/>
  <c r="H847" s="1"/>
  <c r="H846" s="1"/>
  <c r="M848"/>
  <c r="G966" i="29"/>
  <c r="G965" s="1"/>
  <c r="G964" s="1"/>
  <c r="K966"/>
  <c r="G873"/>
  <c r="G872" s="1"/>
  <c r="K872" s="1"/>
  <c r="K873"/>
  <c r="H1062" i="30"/>
  <c r="H1061" s="1"/>
  <c r="M1063"/>
  <c r="I1046"/>
  <c r="I1045" s="1"/>
  <c r="I1044" s="1"/>
  <c r="I1043" s="1"/>
  <c r="I1042" s="1"/>
  <c r="I1041" s="1"/>
  <c r="I1040" s="1"/>
  <c r="O1046"/>
  <c r="K959" i="31"/>
  <c r="G958"/>
  <c r="G957" s="1"/>
  <c r="G956" s="1"/>
  <c r="G955" s="1"/>
  <c r="I937"/>
  <c r="I936" s="1"/>
  <c r="I935" s="1"/>
  <c r="O937"/>
  <c r="I922"/>
  <c r="I921" s="1"/>
  <c r="I920" s="1"/>
  <c r="H905"/>
  <c r="H904" s="1"/>
  <c r="M905"/>
  <c r="G892"/>
  <c r="G891" s="1"/>
  <c r="I876"/>
  <c r="I875" s="1"/>
  <c r="O876"/>
  <c r="H863"/>
  <c r="H862" s="1"/>
  <c r="G851"/>
  <c r="G850" s="1"/>
  <c r="G849" s="1"/>
  <c r="K851"/>
  <c r="I954" i="29"/>
  <c r="I953" s="1"/>
  <c r="I952" s="1"/>
  <c r="I951" s="1"/>
  <c r="H898" i="30"/>
  <c r="H897" s="1"/>
  <c r="M898"/>
  <c r="H856"/>
  <c r="H855" s="1"/>
  <c r="H854" s="1"/>
  <c r="G1046" i="31"/>
  <c r="G1045" s="1"/>
  <c r="G1044" s="1"/>
  <c r="G1043" s="1"/>
  <c r="G1042" s="1"/>
  <c r="G1041" s="1"/>
  <c r="G1040" s="1"/>
  <c r="G937"/>
  <c r="G936" s="1"/>
  <c r="G935" s="1"/>
  <c r="I881"/>
  <c r="I880" s="1"/>
  <c r="O881"/>
  <c r="I840"/>
  <c r="I839" s="1"/>
  <c r="L986"/>
  <c r="L986" i="30"/>
  <c r="L986" i="29"/>
  <c r="N924" i="31"/>
  <c r="N924" i="30"/>
  <c r="N924" i="29"/>
  <c r="O924" s="1"/>
  <c r="L865" i="31"/>
  <c r="L865" i="30"/>
  <c r="M865" s="1"/>
  <c r="L865" i="29"/>
  <c r="G1026"/>
  <c r="G1025" s="1"/>
  <c r="G1024" s="1"/>
  <c r="G1023" s="1"/>
  <c r="G1022" s="1"/>
  <c r="G1021" s="1"/>
  <c r="O966"/>
  <c r="I965"/>
  <c r="I964" s="1"/>
  <c r="H944"/>
  <c r="H943" s="1"/>
  <c r="M943" s="1"/>
  <c r="G928"/>
  <c r="G927" s="1"/>
  <c r="G926" s="1"/>
  <c r="K928"/>
  <c r="K913"/>
  <c r="G912"/>
  <c r="G911" s="1"/>
  <c r="H881" i="30"/>
  <c r="H880" s="1"/>
  <c r="G868"/>
  <c r="G867" s="1"/>
  <c r="I853"/>
  <c r="I852" s="1"/>
  <c r="O853"/>
  <c r="H840"/>
  <c r="H839" s="1"/>
  <c r="M840"/>
  <c r="G981" i="31"/>
  <c r="G980" s="1"/>
  <c r="G979" s="1"/>
  <c r="G978" s="1"/>
  <c r="G977" s="1"/>
  <c r="I950"/>
  <c r="I949" s="1"/>
  <c r="I948" s="1"/>
  <c r="I947" s="1"/>
  <c r="H934"/>
  <c r="H933" s="1"/>
  <c r="H932" s="1"/>
  <c r="M934"/>
  <c r="L918"/>
  <c r="L918" i="30"/>
  <c r="L918" i="29"/>
  <c r="J902" i="31"/>
  <c r="K902" s="1"/>
  <c r="J902" i="30"/>
  <c r="J902" i="29"/>
  <c r="N886" i="31"/>
  <c r="O886" s="1"/>
  <c r="N886" i="30"/>
  <c r="O886" s="1"/>
  <c r="N886" i="29"/>
  <c r="L872" i="31"/>
  <c r="L872" i="30"/>
  <c r="L872" i="29"/>
  <c r="J860" i="31"/>
  <c r="K860" s="1"/>
  <c r="J860" i="30"/>
  <c r="J860" i="29"/>
  <c r="N844" i="31"/>
  <c r="N844" i="30"/>
  <c r="O844" s="1"/>
  <c r="N844" i="29"/>
  <c r="O844" s="1"/>
  <c r="H887"/>
  <c r="H886" s="1"/>
  <c r="H885" s="1"/>
  <c r="M887"/>
  <c r="N979" i="31"/>
  <c r="O979" s="1"/>
  <c r="N979" i="30"/>
  <c r="O979" s="1"/>
  <c r="N979" i="29"/>
  <c r="H976" i="30"/>
  <c r="H975" s="1"/>
  <c r="H974" s="1"/>
  <c r="H973" s="1"/>
  <c r="H972" s="1"/>
  <c r="I931"/>
  <c r="I930" s="1"/>
  <c r="I929" s="1"/>
  <c r="O931"/>
  <c r="H900" i="31"/>
  <c r="H899" s="1"/>
  <c r="H896" s="1"/>
  <c r="G887"/>
  <c r="G886" s="1"/>
  <c r="G885" s="1"/>
  <c r="H858"/>
  <c r="H857" s="1"/>
  <c r="M857" s="1"/>
  <c r="M858"/>
  <c r="G845"/>
  <c r="G844" s="1"/>
  <c r="K845"/>
  <c r="H969" i="30"/>
  <c r="H968" s="1"/>
  <c r="H922"/>
  <c r="H921" s="1"/>
  <c r="H920" s="1"/>
  <c r="I848"/>
  <c r="I847" s="1"/>
  <c r="I846" s="1"/>
  <c r="H1026"/>
  <c r="H1025" s="1"/>
  <c r="H1024" s="1"/>
  <c r="G876" i="31"/>
  <c r="G875" s="1"/>
  <c r="G874" s="1"/>
  <c r="I976"/>
  <c r="I975" s="1"/>
  <c r="I974" s="1"/>
  <c r="I973" s="1"/>
  <c r="I972" s="1"/>
  <c r="O976"/>
  <c r="I878"/>
  <c r="I877" s="1"/>
  <c r="G940" i="30"/>
  <c r="G939" s="1"/>
  <c r="G938" s="1"/>
  <c r="K940"/>
  <c r="I905"/>
  <c r="I904" s="1"/>
  <c r="G878"/>
  <c r="G877" s="1"/>
  <c r="K878"/>
  <c r="H851"/>
  <c r="H850" s="1"/>
  <c r="M851"/>
  <c r="J1059" i="31"/>
  <c r="J1059" i="30"/>
  <c r="J1059" i="29"/>
  <c r="K863"/>
  <c r="G862"/>
  <c r="I981"/>
  <c r="I980" s="1"/>
  <c r="I979" s="1"/>
  <c r="I978" s="1"/>
  <c r="I977" s="1"/>
  <c r="M848"/>
  <c r="H847"/>
  <c r="H846" s="1"/>
  <c r="H910" i="31"/>
  <c r="H909" s="1"/>
  <c r="H908" s="1"/>
  <c r="H1066" i="29"/>
  <c r="H1065" s="1"/>
  <c r="M1067"/>
  <c r="H1060" i="31"/>
  <c r="H1059" s="1"/>
  <c r="J1031"/>
  <c r="K1031" s="1"/>
  <c r="J1031" i="30"/>
  <c r="J1031" i="29"/>
  <c r="I937"/>
  <c r="I936" s="1"/>
  <c r="I935" s="1"/>
  <c r="H905"/>
  <c r="H904" s="1"/>
  <c r="I876"/>
  <c r="I875" s="1"/>
  <c r="I874" s="1"/>
  <c r="O876"/>
  <c r="G851"/>
  <c r="G850" s="1"/>
  <c r="G849" s="1"/>
  <c r="K851"/>
  <c r="G937"/>
  <c r="G936" s="1"/>
  <c r="G935" s="1"/>
  <c r="H987" i="30"/>
  <c r="H986" s="1"/>
  <c r="H985" s="1"/>
  <c r="G954" i="31"/>
  <c r="G953" s="1"/>
  <c r="G952" s="1"/>
  <c r="G951" s="1"/>
  <c r="I919"/>
  <c r="I918" s="1"/>
  <c r="I917" s="1"/>
  <c r="O919"/>
  <c r="J889"/>
  <c r="K889" s="1"/>
  <c r="J889" i="30"/>
  <c r="J889" i="29"/>
  <c r="K889" s="1"/>
  <c r="L860" i="31"/>
  <c r="L860" i="30"/>
  <c r="M860" s="1"/>
  <c r="L860" i="29"/>
  <c r="J1057" i="31"/>
  <c r="J1057" i="30"/>
  <c r="J1057" i="29"/>
  <c r="I950"/>
  <c r="I949" s="1"/>
  <c r="I948" s="1"/>
  <c r="I947" s="1"/>
  <c r="O950"/>
  <c r="G903" i="30"/>
  <c r="G902" s="1"/>
  <c r="G901" s="1"/>
  <c r="G861"/>
  <c r="G860" s="1"/>
  <c r="G859" s="1"/>
  <c r="M1063" i="29"/>
  <c r="N859" i="31"/>
  <c r="N859" i="30"/>
  <c r="N859" i="29"/>
  <c r="I1032" i="31"/>
  <c r="I1031" s="1"/>
  <c r="I1030" s="1"/>
  <c r="I1029" s="1"/>
  <c r="I1028" s="1"/>
  <c r="I1027" s="1"/>
  <c r="O1032"/>
  <c r="G950"/>
  <c r="G949" s="1"/>
  <c r="G948" s="1"/>
  <c r="G947" s="1"/>
  <c r="N915"/>
  <c r="N915" i="30"/>
  <c r="N915" i="29"/>
  <c r="O915" s="1"/>
  <c r="N870" i="31"/>
  <c r="O870" s="1"/>
  <c r="N870" i="30"/>
  <c r="N870" i="29"/>
  <c r="H922" i="31"/>
  <c r="H921" s="1"/>
  <c r="H920" s="1"/>
  <c r="I848"/>
  <c r="I847" s="1"/>
  <c r="I846" s="1"/>
  <c r="H1026"/>
  <c r="H1025" s="1"/>
  <c r="H1024" s="1"/>
  <c r="H1023" s="1"/>
  <c r="H1022" s="1"/>
  <c r="H1021" s="1"/>
  <c r="M1026"/>
  <c r="J875"/>
  <c r="J875" i="30"/>
  <c r="K875" s="1"/>
  <c r="J875" i="29"/>
  <c r="K875" s="1"/>
  <c r="N975" i="31"/>
  <c r="N975" i="30"/>
  <c r="O975" s="1"/>
  <c r="N975" i="29"/>
  <c r="N877" i="31"/>
  <c r="N877" i="30"/>
  <c r="N877" i="29"/>
  <c r="G1053" i="30"/>
  <c r="G1052" s="1"/>
  <c r="G1051" s="1"/>
  <c r="G1050" s="1"/>
  <c r="G1049" s="1"/>
  <c r="K1053"/>
  <c r="H959" i="31"/>
  <c r="H958" s="1"/>
  <c r="H957" s="1"/>
  <c r="H956" s="1"/>
  <c r="H955" s="1"/>
  <c r="G925"/>
  <c r="G924" s="1"/>
  <c r="G923" s="1"/>
  <c r="G878"/>
  <c r="G877" s="1"/>
  <c r="K878"/>
  <c r="M890" i="29"/>
  <c r="H889"/>
  <c r="J1037" i="31"/>
  <c r="J1037" i="30"/>
  <c r="K1037" s="1"/>
  <c r="J1037" i="29"/>
  <c r="K1037" s="1"/>
  <c r="N837" i="31"/>
  <c r="O837" s="1"/>
  <c r="N837" i="30"/>
  <c r="N837" i="29"/>
  <c r="I937" i="30"/>
  <c r="I936" s="1"/>
  <c r="I935" s="1"/>
  <c r="O937"/>
  <c r="H905"/>
  <c r="H904" s="1"/>
  <c r="M905"/>
  <c r="I876"/>
  <c r="I875" s="1"/>
  <c r="G851"/>
  <c r="G850" s="1"/>
  <c r="N1025" i="31"/>
  <c r="O1025" s="1"/>
  <c r="N1025" i="30"/>
  <c r="N1025" i="29"/>
  <c r="O1025" s="1"/>
  <c r="G937" i="30"/>
  <c r="G936" s="1"/>
  <c r="G935" s="1"/>
  <c r="K937"/>
  <c r="I840"/>
  <c r="I839" s="1"/>
  <c r="I925" i="31"/>
  <c r="I924" s="1"/>
  <c r="I923" s="1"/>
  <c r="L980"/>
  <c r="L980" i="30"/>
  <c r="M980" s="1"/>
  <c r="L980" i="29"/>
  <c r="N933" i="31"/>
  <c r="O933" s="1"/>
  <c r="N933" i="30"/>
  <c r="N933" i="29"/>
  <c r="L902" i="31"/>
  <c r="L902" i="30"/>
  <c r="L902" i="29"/>
  <c r="G868"/>
  <c r="G867" s="1"/>
  <c r="K868"/>
  <c r="M840"/>
  <c r="H839"/>
  <c r="I950" i="30"/>
  <c r="I949" s="1"/>
  <c r="I948" s="1"/>
  <c r="I947" s="1"/>
  <c r="H919" i="31"/>
  <c r="H918" s="1"/>
  <c r="H917" s="1"/>
  <c r="M919"/>
  <c r="G903"/>
  <c r="G902" s="1"/>
  <c r="K903"/>
  <c r="H873"/>
  <c r="H872" s="1"/>
  <c r="M872" s="1"/>
  <c r="I845"/>
  <c r="I844" s="1"/>
  <c r="O845"/>
  <c r="L949"/>
  <c r="L949" i="30"/>
  <c r="L949" i="29"/>
  <c r="H829" i="11"/>
  <c r="L830" i="31"/>
  <c r="L830" i="30"/>
  <c r="L830" i="29"/>
  <c r="J859" i="31"/>
  <c r="J859" i="30"/>
  <c r="J859" i="29"/>
  <c r="H942" i="11"/>
  <c r="U33" i="30"/>
  <c r="O1067" i="29"/>
  <c r="H1053"/>
  <c r="H1052" s="1"/>
  <c r="H1051" s="1"/>
  <c r="H1050" s="1"/>
  <c r="K987"/>
  <c r="G986"/>
  <c r="G985" s="1"/>
  <c r="I959"/>
  <c r="I958" s="1"/>
  <c r="O959"/>
  <c r="H940"/>
  <c r="H939" s="1"/>
  <c r="H938" s="1"/>
  <c r="M940"/>
  <c r="M925"/>
  <c r="H924"/>
  <c r="H923" s="1"/>
  <c r="G910" i="30"/>
  <c r="G909" s="1"/>
  <c r="G908" s="1"/>
  <c r="O892"/>
  <c r="I891"/>
  <c r="H878"/>
  <c r="H877" s="1"/>
  <c r="M878"/>
  <c r="G866"/>
  <c r="G865" s="1"/>
  <c r="K866"/>
  <c r="I851"/>
  <c r="I850" s="1"/>
  <c r="H838"/>
  <c r="H837" s="1"/>
  <c r="H1046" i="29"/>
  <c r="H1045" s="1"/>
  <c r="H1044" s="1"/>
  <c r="H1043" s="1"/>
  <c r="H1042" s="1"/>
  <c r="H1041" s="1"/>
  <c r="H1040" s="1"/>
  <c r="M1046"/>
  <c r="M937"/>
  <c r="H936"/>
  <c r="G905"/>
  <c r="G904" s="1"/>
  <c r="K904" s="1"/>
  <c r="I868"/>
  <c r="I867" s="1"/>
  <c r="O867" s="1"/>
  <c r="O868"/>
  <c r="H954" i="30"/>
  <c r="H953" s="1"/>
  <c r="H952" s="1"/>
  <c r="M954"/>
  <c r="G898"/>
  <c r="G897" s="1"/>
  <c r="K898"/>
  <c r="G856"/>
  <c r="G855" s="1"/>
  <c r="G854" s="1"/>
  <c r="I1053"/>
  <c r="I1052" s="1"/>
  <c r="I1051" s="1"/>
  <c r="I1050" s="1"/>
  <c r="I1049" s="1"/>
  <c r="I1048" s="1"/>
  <c r="G934"/>
  <c r="G933" s="1"/>
  <c r="G932" s="1"/>
  <c r="I900"/>
  <c r="I899" s="1"/>
  <c r="O858"/>
  <c r="I857"/>
  <c r="O1063"/>
  <c r="J1052" i="31"/>
  <c r="J1052" i="30"/>
  <c r="J1052" i="29"/>
  <c r="K1052" s="1"/>
  <c r="K976"/>
  <c r="G975"/>
  <c r="G974" s="1"/>
  <c r="G973" s="1"/>
  <c r="G972" s="1"/>
  <c r="I946"/>
  <c r="I945" s="1"/>
  <c r="O945" s="1"/>
  <c r="H931"/>
  <c r="H930" s="1"/>
  <c r="H929" s="1"/>
  <c r="M931"/>
  <c r="H916"/>
  <c r="H915" s="1"/>
  <c r="H914" s="1"/>
  <c r="M916"/>
  <c r="G900"/>
  <c r="G899" s="1"/>
  <c r="I883"/>
  <c r="I882" s="1"/>
  <c r="H871"/>
  <c r="H870" s="1"/>
  <c r="H869" s="1"/>
  <c r="M871"/>
  <c r="G858"/>
  <c r="G857" s="1"/>
  <c r="K858"/>
  <c r="I843"/>
  <c r="I842" s="1"/>
  <c r="M1064"/>
  <c r="N912" i="31"/>
  <c r="N912" i="30"/>
  <c r="N912" i="29"/>
  <c r="O912" s="1"/>
  <c r="J862" i="31"/>
  <c r="J862" i="30"/>
  <c r="J862" i="29"/>
  <c r="N980" i="31"/>
  <c r="N980" i="30"/>
  <c r="O980" s="1"/>
  <c r="N980" i="29"/>
  <c r="J921" i="31"/>
  <c r="K921" s="1"/>
  <c r="J921" i="30"/>
  <c r="K921" s="1"/>
  <c r="J921" i="29"/>
  <c r="L889" i="31"/>
  <c r="L889" i="30"/>
  <c r="L889" i="29"/>
  <c r="L847" i="31"/>
  <c r="L847" i="30"/>
  <c r="L847" i="29"/>
  <c r="G966" i="30"/>
  <c r="G965" s="1"/>
  <c r="G964" s="1"/>
  <c r="G873"/>
  <c r="G872" s="1"/>
  <c r="I1046" i="31"/>
  <c r="I1045" s="1"/>
  <c r="I1044" s="1"/>
  <c r="I1043" s="1"/>
  <c r="I1042" s="1"/>
  <c r="I1041" s="1"/>
  <c r="I1040" s="1"/>
  <c r="J958"/>
  <c r="K958" s="1"/>
  <c r="J958" i="30"/>
  <c r="J958" i="29"/>
  <c r="N936" i="31"/>
  <c r="O936" s="1"/>
  <c r="N936" i="30"/>
  <c r="N936" i="29"/>
  <c r="N921" i="31"/>
  <c r="O921" s="1"/>
  <c r="N921" i="30"/>
  <c r="N921" i="29"/>
  <c r="O921" s="1"/>
  <c r="L904" i="31"/>
  <c r="L904" i="30"/>
  <c r="L904" i="29"/>
  <c r="J891" i="31"/>
  <c r="J891" i="30"/>
  <c r="J891" i="29"/>
  <c r="N875" i="31"/>
  <c r="O875" s="1"/>
  <c r="N875" i="30"/>
  <c r="N875" i="29"/>
  <c r="O875" s="1"/>
  <c r="L862" i="31"/>
  <c r="L862" i="30"/>
  <c r="L862" i="29"/>
  <c r="J850" i="31"/>
  <c r="J850" i="30"/>
  <c r="K850" s="1"/>
  <c r="J850" i="29"/>
  <c r="K850" s="1"/>
  <c r="I954" i="30"/>
  <c r="I953" s="1"/>
  <c r="I952" s="1"/>
  <c r="I951" s="1"/>
  <c r="H898" i="31"/>
  <c r="H897" s="1"/>
  <c r="H856"/>
  <c r="H855" s="1"/>
  <c r="H854" s="1"/>
  <c r="M856"/>
  <c r="K1074" i="29"/>
  <c r="J1045" i="31"/>
  <c r="J1045" i="30"/>
  <c r="K1045" s="1"/>
  <c r="J1045" i="29"/>
  <c r="J936" i="31"/>
  <c r="K936" s="1"/>
  <c r="J936" i="30"/>
  <c r="J936" i="29"/>
  <c r="N880" i="31"/>
  <c r="O880" s="1"/>
  <c r="N880" i="30"/>
  <c r="N880" i="29"/>
  <c r="N839" i="31"/>
  <c r="O839" s="1"/>
  <c r="N839" i="30"/>
  <c r="N839" i="29"/>
  <c r="I940"/>
  <c r="I939" s="1"/>
  <c r="I938" s="1"/>
  <c r="O940"/>
  <c r="H895"/>
  <c r="H894" s="1"/>
  <c r="H893" s="1"/>
  <c r="M895"/>
  <c r="H845"/>
  <c r="H844" s="1"/>
  <c r="M845"/>
  <c r="K1075" i="31"/>
  <c r="M1058" i="29"/>
  <c r="H1057"/>
  <c r="G1026" i="30"/>
  <c r="G1025" s="1"/>
  <c r="G1024" s="1"/>
  <c r="G1023" s="1"/>
  <c r="G1022" s="1"/>
  <c r="G1021" s="1"/>
  <c r="K1026"/>
  <c r="I966"/>
  <c r="I965" s="1"/>
  <c r="I964" s="1"/>
  <c r="H944"/>
  <c r="H943" s="1"/>
  <c r="H942" s="1"/>
  <c r="H941" s="1"/>
  <c r="G928"/>
  <c r="G927" s="1"/>
  <c r="G926" s="1"/>
  <c r="G913"/>
  <c r="G912" s="1"/>
  <c r="G911" s="1"/>
  <c r="K913"/>
  <c r="H881" i="31"/>
  <c r="H880" s="1"/>
  <c r="G868"/>
  <c r="G867" s="1"/>
  <c r="K868"/>
  <c r="I853"/>
  <c r="I852" s="1"/>
  <c r="H840"/>
  <c r="H839" s="1"/>
  <c r="J980"/>
  <c r="J980" i="30"/>
  <c r="J980" i="29"/>
  <c r="K980" s="1"/>
  <c r="N949" i="31"/>
  <c r="O949" s="1"/>
  <c r="N949" i="30"/>
  <c r="O949" s="1"/>
  <c r="N949" i="29"/>
  <c r="O949" s="1"/>
  <c r="L933" i="31"/>
  <c r="L933" i="30"/>
  <c r="L933" i="29"/>
  <c r="I910"/>
  <c r="I909" s="1"/>
  <c r="I908" s="1"/>
  <c r="O910"/>
  <c r="I895"/>
  <c r="I894" s="1"/>
  <c r="I893" s="1"/>
  <c r="G881"/>
  <c r="G880" s="1"/>
  <c r="K881"/>
  <c r="O866"/>
  <c r="I865"/>
  <c r="I864" s="1"/>
  <c r="H853"/>
  <c r="H852" s="1"/>
  <c r="M852" s="1"/>
  <c r="G840"/>
  <c r="G839" s="1"/>
  <c r="H887" i="30"/>
  <c r="H886" s="1"/>
  <c r="H885" s="1"/>
  <c r="H1232"/>
  <c r="I1069"/>
  <c r="I1151"/>
  <c r="H1069"/>
  <c r="I1232"/>
  <c r="I1320"/>
  <c r="G64"/>
  <c r="I1588"/>
  <c r="I1573"/>
  <c r="G1027"/>
  <c r="H1256"/>
  <c r="H1174"/>
  <c r="H1483"/>
  <c r="H1482"/>
  <c r="I1581"/>
  <c r="I207"/>
  <c r="G1071"/>
  <c r="H1023"/>
  <c r="H1573"/>
  <c r="H24"/>
  <c r="H1033"/>
  <c r="I1255"/>
  <c r="H1320"/>
  <c r="I331"/>
  <c r="G1320"/>
  <c r="H1581"/>
  <c r="I65"/>
  <c r="G1151"/>
  <c r="H1367"/>
  <c r="H1587"/>
  <c r="H1151"/>
  <c r="I1172"/>
  <c r="H1581" i="29"/>
  <c r="H1580" s="1"/>
  <c r="H1483"/>
  <c r="I1483"/>
  <c r="I1482"/>
  <c r="G1581"/>
  <c r="I1033"/>
  <c r="H1572"/>
  <c r="I1049"/>
  <c r="G1049"/>
  <c r="I1028"/>
  <c r="G955"/>
  <c r="H1070"/>
  <c r="G1071"/>
  <c r="H1700" i="11"/>
  <c r="I1700"/>
  <c r="G1700"/>
  <c r="I1698"/>
  <c r="H1698"/>
  <c r="G1698"/>
  <c r="I907" i="30" l="1"/>
  <c r="O838"/>
  <c r="O945" i="31"/>
  <c r="O840"/>
  <c r="K918"/>
  <c r="H1056"/>
  <c r="H1055" s="1"/>
  <c r="H1054" s="1"/>
  <c r="K1060"/>
  <c r="K880" i="29"/>
  <c r="K839"/>
  <c r="M880" i="31"/>
  <c r="M847" i="29"/>
  <c r="O912" i="30"/>
  <c r="M949"/>
  <c r="M902"/>
  <c r="O925" i="31"/>
  <c r="O877"/>
  <c r="O915" i="30"/>
  <c r="M1026"/>
  <c r="K844" i="31"/>
  <c r="M976" i="30"/>
  <c r="H888" i="31"/>
  <c r="O913"/>
  <c r="M1025" i="30"/>
  <c r="I849" i="29"/>
  <c r="M975" i="30"/>
  <c r="K861" i="31"/>
  <c r="O981" i="30"/>
  <c r="I888" i="31"/>
  <c r="K981" i="29"/>
  <c r="M903" i="31"/>
  <c r="K1053" i="29"/>
  <c r="O916" i="31"/>
  <c r="O872"/>
  <c r="M882"/>
  <c r="K930" i="30"/>
  <c r="M853" i="31"/>
  <c r="I879" i="30"/>
  <c r="I854" i="31"/>
  <c r="O854" s="1"/>
  <c r="K944"/>
  <c r="M861" i="30"/>
  <c r="M1057" i="31"/>
  <c r="O939" i="30"/>
  <c r="O1026" i="29"/>
  <c r="O969" i="31"/>
  <c r="K843"/>
  <c r="M936" i="30"/>
  <c r="K986"/>
  <c r="K881" i="31"/>
  <c r="I942" i="30"/>
  <c r="I941" s="1"/>
  <c r="O883" i="31"/>
  <c r="M877" i="29"/>
  <c r="K889" i="30"/>
  <c r="O916"/>
  <c r="O905" i="31"/>
  <c r="G963" i="30"/>
  <c r="G962" s="1"/>
  <c r="G961" s="1"/>
  <c r="G960" s="1"/>
  <c r="K862" i="29"/>
  <c r="K930"/>
  <c r="K867"/>
  <c r="M871" i="30"/>
  <c r="H874"/>
  <c r="O1058" i="31"/>
  <c r="M853" i="29"/>
  <c r="M898" i="31"/>
  <c r="O912"/>
  <c r="O882" i="29"/>
  <c r="I896" i="30"/>
  <c r="M838"/>
  <c r="M949" i="31"/>
  <c r="O950" i="30"/>
  <c r="K851"/>
  <c r="O837"/>
  <c r="O848" i="31"/>
  <c r="M905" i="29"/>
  <c r="O844" i="31"/>
  <c r="G864" i="30"/>
  <c r="K937" i="31"/>
  <c r="K922"/>
  <c r="M1025"/>
  <c r="O918" i="29"/>
  <c r="K852"/>
  <c r="K886"/>
  <c r="G978"/>
  <c r="G977" s="1"/>
  <c r="G971" s="1"/>
  <c r="O839"/>
  <c r="G859"/>
  <c r="K968" i="30"/>
  <c r="O943" i="31"/>
  <c r="K882" i="30"/>
  <c r="O1060" i="31"/>
  <c r="K876" i="30"/>
  <c r="K887"/>
  <c r="M976" i="29"/>
  <c r="K927" i="30"/>
  <c r="M871" i="31"/>
  <c r="O899" i="30"/>
  <c r="K905" i="31"/>
  <c r="O891"/>
  <c r="K867"/>
  <c r="G869" i="29"/>
  <c r="M916" i="30"/>
  <c r="M844" i="29"/>
  <c r="M936" i="31"/>
  <c r="K912"/>
  <c r="O940"/>
  <c r="I854" i="30"/>
  <c r="O854" s="1"/>
  <c r="K865" i="29"/>
  <c r="H942"/>
  <c r="H941" s="1"/>
  <c r="K882"/>
  <c r="K1052" i="31"/>
  <c r="M912" i="29"/>
  <c r="I942" i="31"/>
  <c r="I941" s="1"/>
  <c r="M915" i="29"/>
  <c r="H864" i="30"/>
  <c r="G1056" i="29"/>
  <c r="G1055" s="1"/>
  <c r="G1054" s="1"/>
  <c r="K1057" i="30"/>
  <c r="K897"/>
  <c r="K839"/>
  <c r="M933" i="29"/>
  <c r="K980" i="31"/>
  <c r="M904" i="30"/>
  <c r="M847" i="31"/>
  <c r="K900" i="29"/>
  <c r="G907" i="30"/>
  <c r="O840"/>
  <c r="G849"/>
  <c r="K849" s="1"/>
  <c r="K950" i="31"/>
  <c r="M987" i="30"/>
  <c r="M904" i="29"/>
  <c r="M910" i="31"/>
  <c r="O848" i="30"/>
  <c r="K1026" i="29"/>
  <c r="K877"/>
  <c r="O904" i="31"/>
  <c r="O1053" i="29"/>
  <c r="O930" i="30"/>
  <c r="O918"/>
  <c r="M909"/>
  <c r="K852"/>
  <c r="I1020" i="31"/>
  <c r="I1019" s="1"/>
  <c r="O863" i="30"/>
  <c r="K853" i="31"/>
  <c r="K950" i="30"/>
  <c r="M873" i="29"/>
  <c r="K1057" i="31"/>
  <c r="K890"/>
  <c r="M981" i="30"/>
  <c r="O855" i="31"/>
  <c r="M1060" i="30"/>
  <c r="O1057"/>
  <c r="I1056" i="31"/>
  <c r="I1055" s="1"/>
  <c r="I1054" s="1"/>
  <c r="I1047" s="1"/>
  <c r="M895"/>
  <c r="K900"/>
  <c r="K913"/>
  <c r="M883" i="29"/>
  <c r="O843" i="30"/>
  <c r="K934" i="31"/>
  <c r="O959" i="30"/>
  <c r="M966" i="31"/>
  <c r="O873" i="30"/>
  <c r="O861" i="31"/>
  <c r="K916"/>
  <c r="M1060" i="29"/>
  <c r="O903" i="31"/>
  <c r="K883"/>
  <c r="K857" i="30"/>
  <c r="K899" i="29"/>
  <c r="M930" i="31"/>
  <c r="O1060" i="30"/>
  <c r="I869" i="29"/>
  <c r="M939"/>
  <c r="M1052"/>
  <c r="H879" i="30"/>
  <c r="K872"/>
  <c r="O857" i="31"/>
  <c r="K865" i="30"/>
  <c r="M855"/>
  <c r="K900"/>
  <c r="G1056"/>
  <c r="G1055" s="1"/>
  <c r="G1054" s="1"/>
  <c r="G971" i="31"/>
  <c r="M969" i="30"/>
  <c r="K891"/>
  <c r="M918"/>
  <c r="M840" i="31"/>
  <c r="K928" i="30"/>
  <c r="K1045" i="29"/>
  <c r="O954" i="30"/>
  <c r="K958"/>
  <c r="O980" i="31"/>
  <c r="O843" i="29"/>
  <c r="G896"/>
  <c r="O1053" i="30"/>
  <c r="M1053" i="29"/>
  <c r="I874" i="30"/>
  <c r="M860" i="31"/>
  <c r="K1059"/>
  <c r="O878"/>
  <c r="K887"/>
  <c r="K902" i="29"/>
  <c r="M986" i="30"/>
  <c r="K1046" i="31"/>
  <c r="O981"/>
  <c r="O847" i="30"/>
  <c r="M878" i="29"/>
  <c r="M934" i="30"/>
  <c r="O918" i="31"/>
  <c r="K892" i="30"/>
  <c r="M892" i="31"/>
  <c r="K844" i="29"/>
  <c r="K886" i="31"/>
  <c r="O934"/>
  <c r="H888" i="30"/>
  <c r="K848" i="31"/>
  <c r="M903" i="30"/>
  <c r="M945"/>
  <c r="O863" i="29"/>
  <c r="K853" i="30"/>
  <c r="M1026" i="29"/>
  <c r="H896" i="30"/>
  <c r="K1058" i="29"/>
  <c r="O1058" i="30"/>
  <c r="M913" i="29"/>
  <c r="M931" i="30"/>
  <c r="O850" i="31"/>
  <c r="O894" i="30"/>
  <c r="H963" i="31"/>
  <c r="H962" s="1"/>
  <c r="H961" s="1"/>
  <c r="H960" s="1"/>
  <c r="O872" i="30"/>
  <c r="K954" i="29"/>
  <c r="O856" i="31"/>
  <c r="M1045" i="30"/>
  <c r="K887" i="29"/>
  <c r="I859" i="30"/>
  <c r="O859" s="1"/>
  <c r="O898"/>
  <c r="M931" i="31"/>
  <c r="K987"/>
  <c r="O852" i="30"/>
  <c r="O940"/>
  <c r="M855" i="31"/>
  <c r="G963"/>
  <c r="G962" s="1"/>
  <c r="G961" s="1"/>
  <c r="G960" s="1"/>
  <c r="G896" i="30"/>
  <c r="K987"/>
  <c r="G1697" i="11"/>
  <c r="J1698" i="31"/>
  <c r="J1698" i="30"/>
  <c r="G1698" s="1"/>
  <c r="J1698" i="29"/>
  <c r="H830" i="31"/>
  <c r="H829" s="1"/>
  <c r="H828" s="1"/>
  <c r="M830"/>
  <c r="G1047"/>
  <c r="O849" i="29"/>
  <c r="K830"/>
  <c r="G829"/>
  <c r="I888" i="30"/>
  <c r="O958" i="31"/>
  <c r="I957"/>
  <c r="I956" s="1"/>
  <c r="I955" s="1"/>
  <c r="H832" i="29"/>
  <c r="H831" s="1"/>
  <c r="M832"/>
  <c r="H1697" i="11"/>
  <c r="L1698" i="31"/>
  <c r="L1698" i="30"/>
  <c r="L1698" i="29"/>
  <c r="M944" i="30"/>
  <c r="O875"/>
  <c r="O958" i="29"/>
  <c r="I957"/>
  <c r="I956" s="1"/>
  <c r="I955" s="1"/>
  <c r="L829" i="31"/>
  <c r="L829" i="30"/>
  <c r="L829" i="29"/>
  <c r="M980"/>
  <c r="M922" i="30"/>
  <c r="O979" i="29"/>
  <c r="K860"/>
  <c r="M865"/>
  <c r="K849" i="31"/>
  <c r="M904"/>
  <c r="M921" i="30"/>
  <c r="K830"/>
  <c r="G830"/>
  <c r="G829" s="1"/>
  <c r="H901" i="31"/>
  <c r="O934" i="30"/>
  <c r="O1026"/>
  <c r="M850" i="29"/>
  <c r="H849"/>
  <c r="M849" s="1"/>
  <c r="O878" i="30"/>
  <c r="M886" i="31"/>
  <c r="K1057" i="29"/>
  <c r="M842" i="30"/>
  <c r="H841"/>
  <c r="H1047" i="31"/>
  <c r="M887"/>
  <c r="I962"/>
  <c r="I961" s="1"/>
  <c r="I960" s="1"/>
  <c r="O1045" i="29"/>
  <c r="I942"/>
  <c r="I941" s="1"/>
  <c r="M979"/>
  <c r="S24" i="30"/>
  <c r="O865" i="29"/>
  <c r="O894" i="31"/>
  <c r="K946"/>
  <c r="K857"/>
  <c r="H832" i="30"/>
  <c r="H831" s="1"/>
  <c r="O965" i="29"/>
  <c r="O903" i="30"/>
  <c r="K933" i="29"/>
  <c r="K943"/>
  <c r="G942"/>
  <c r="G941" s="1"/>
  <c r="O830"/>
  <c r="I829"/>
  <c r="I1697" i="11"/>
  <c r="N1698" i="31"/>
  <c r="N1698" i="30"/>
  <c r="I1698" s="1"/>
  <c r="N1698" i="29"/>
  <c r="I907"/>
  <c r="I906" s="1"/>
  <c r="K980" i="30"/>
  <c r="M881" i="31"/>
  <c r="O966" i="30"/>
  <c r="O880" i="29"/>
  <c r="K1045" i="31"/>
  <c r="O921" i="30"/>
  <c r="O1046" i="31"/>
  <c r="M847" i="30"/>
  <c r="O980" i="29"/>
  <c r="O883"/>
  <c r="O946"/>
  <c r="K856" i="30"/>
  <c r="K905" i="29"/>
  <c r="O851" i="30"/>
  <c r="K910"/>
  <c r="L942" i="31"/>
  <c r="M942" s="1"/>
  <c r="L942" i="30"/>
  <c r="M942" s="1"/>
  <c r="L942" i="29"/>
  <c r="M942" s="1"/>
  <c r="M949"/>
  <c r="G901" i="31"/>
  <c r="G864" i="29"/>
  <c r="K1037" i="31"/>
  <c r="M959"/>
  <c r="O975"/>
  <c r="M922"/>
  <c r="O915"/>
  <c r="K937" i="29"/>
  <c r="O937"/>
  <c r="O905" i="30"/>
  <c r="K876" i="31"/>
  <c r="M968" i="30"/>
  <c r="H967"/>
  <c r="H963" s="1"/>
  <c r="H962" s="1"/>
  <c r="H961" s="1"/>
  <c r="H960" s="1"/>
  <c r="M900" i="31"/>
  <c r="K860" i="30"/>
  <c r="O950" i="31"/>
  <c r="K868" i="30"/>
  <c r="M944" i="29"/>
  <c r="M856" i="30"/>
  <c r="M863" i="31"/>
  <c r="O922"/>
  <c r="M890"/>
  <c r="M891"/>
  <c r="K939" i="30"/>
  <c r="O847" i="29"/>
  <c r="M921" i="31"/>
  <c r="K866" i="29"/>
  <c r="O930"/>
  <c r="G830" i="31"/>
  <c r="G829" s="1"/>
  <c r="G828" s="1"/>
  <c r="K981" i="30"/>
  <c r="M986" i="31"/>
  <c r="H985"/>
  <c r="K922" i="30"/>
  <c r="K838" i="31"/>
  <c r="K918" i="30"/>
  <c r="M899"/>
  <c r="O887"/>
  <c r="K847" i="29"/>
  <c r="O840"/>
  <c r="O862" i="30"/>
  <c r="I869" i="31"/>
  <c r="M950" i="30"/>
  <c r="M872" i="29"/>
  <c r="K1058" i="31"/>
  <c r="G888"/>
  <c r="M912"/>
  <c r="K870"/>
  <c r="O968" i="29"/>
  <c r="I833" i="30"/>
  <c r="M867" i="31"/>
  <c r="O904" i="29"/>
  <c r="K919" i="30"/>
  <c r="O848" i="29"/>
  <c r="K979" i="31"/>
  <c r="K840"/>
  <c r="O910"/>
  <c r="G869" i="30"/>
  <c r="M868" i="29"/>
  <c r="H869" i="31"/>
  <c r="O899" i="29"/>
  <c r="K897" i="31"/>
  <c r="M1053"/>
  <c r="O866" i="30"/>
  <c r="K867"/>
  <c r="M1058"/>
  <c r="M897" i="29"/>
  <c r="H879"/>
  <c r="O1045" i="30"/>
  <c r="K843" i="29"/>
  <c r="H869" i="30"/>
  <c r="K976"/>
  <c r="K856" i="31"/>
  <c r="O851"/>
  <c r="M979" i="30"/>
  <c r="O865"/>
  <c r="O909" i="29"/>
  <c r="O987" i="31"/>
  <c r="H859" i="30"/>
  <c r="M859" s="1"/>
  <c r="M1057"/>
  <c r="O939" i="29"/>
  <c r="K969" i="31"/>
  <c r="K1032" i="30"/>
  <c r="K1038" i="29"/>
  <c r="K1060" i="30"/>
  <c r="M870" i="29"/>
  <c r="K899" i="31"/>
  <c r="I1056" i="30"/>
  <c r="I1055" s="1"/>
  <c r="I1054" s="1"/>
  <c r="O976" i="29"/>
  <c r="O867" i="30"/>
  <c r="M1045" i="29"/>
  <c r="O871"/>
  <c r="M939" i="30"/>
  <c r="K986" i="31"/>
  <c r="K942" i="29"/>
  <c r="H832" i="31"/>
  <c r="H831" s="1"/>
  <c r="K848" i="29"/>
  <c r="O965" i="30"/>
  <c r="O861"/>
  <c r="M883"/>
  <c r="K858" i="31"/>
  <c r="K976"/>
  <c r="K933" i="30"/>
  <c r="I864" i="31"/>
  <c r="K865"/>
  <c r="M940"/>
  <c r="M853" i="30"/>
  <c r="M966" i="29"/>
  <c r="M880"/>
  <c r="O954" i="31"/>
  <c r="K966"/>
  <c r="M837"/>
  <c r="H833"/>
  <c r="I830" i="30"/>
  <c r="I829" s="1"/>
  <c r="G1035" i="31"/>
  <c r="G1034" s="1"/>
  <c r="G1033" s="1"/>
  <c r="G1036"/>
  <c r="G833" i="29"/>
  <c r="M842" i="31"/>
  <c r="H841"/>
  <c r="J1700"/>
  <c r="K1700" s="1"/>
  <c r="J1700" i="30"/>
  <c r="K1700" s="1"/>
  <c r="J1700" i="29"/>
  <c r="K1700" s="1"/>
  <c r="I963" i="30"/>
  <c r="I962" s="1"/>
  <c r="I961" s="1"/>
  <c r="I960" s="1"/>
  <c r="K891" i="29"/>
  <c r="K859"/>
  <c r="M865" i="31"/>
  <c r="J829"/>
  <c r="J829" i="30"/>
  <c r="K829" s="1"/>
  <c r="J829" i="29"/>
  <c r="K847" i="30"/>
  <c r="M1031" i="31"/>
  <c r="L854"/>
  <c r="M854" s="1"/>
  <c r="L854" i="30"/>
  <c r="M854" s="1"/>
  <c r="L854" i="29"/>
  <c r="M854" s="1"/>
  <c r="O986" i="31"/>
  <c r="I985"/>
  <c r="G854"/>
  <c r="H963" i="29"/>
  <c r="H962" s="1"/>
  <c r="H961" s="1"/>
  <c r="H960" s="1"/>
  <c r="T24" i="30"/>
  <c r="M936" i="29"/>
  <c r="H935"/>
  <c r="H907" s="1"/>
  <c r="H906" s="1"/>
  <c r="K1031"/>
  <c r="M958"/>
  <c r="K855"/>
  <c r="G854"/>
  <c r="I879"/>
  <c r="K921"/>
  <c r="G920"/>
  <c r="K945" i="31"/>
  <c r="K844" i="30"/>
  <c r="I832"/>
  <c r="I831" s="1"/>
  <c r="M912"/>
  <c r="H911"/>
  <c r="M1031" i="29"/>
  <c r="H1030"/>
  <c r="H1029" s="1"/>
  <c r="H1028" s="1"/>
  <c r="H1027" s="1"/>
  <c r="O909" i="31"/>
  <c r="K931"/>
  <c r="M939"/>
  <c r="M1059"/>
  <c r="I859" i="29"/>
  <c r="O859" s="1"/>
  <c r="K898" i="31"/>
  <c r="K866"/>
  <c r="L1700"/>
  <c r="M1700" s="1"/>
  <c r="L1700" i="29"/>
  <c r="M1700" s="1"/>
  <c r="L1700" i="30"/>
  <c r="M1700" s="1"/>
  <c r="G978"/>
  <c r="G977" s="1"/>
  <c r="M887"/>
  <c r="M933" i="31"/>
  <c r="K936" i="29"/>
  <c r="O936" i="30"/>
  <c r="M889"/>
  <c r="O842" i="29"/>
  <c r="I841"/>
  <c r="O900" i="30"/>
  <c r="H1049" i="29"/>
  <c r="H1048" s="1"/>
  <c r="M902" i="31"/>
  <c r="K875"/>
  <c r="O870" i="29"/>
  <c r="K859" i="30"/>
  <c r="K849" i="29"/>
  <c r="K1031" i="30"/>
  <c r="M872"/>
  <c r="M918" i="29"/>
  <c r="K981" i="31"/>
  <c r="M881" i="30"/>
  <c r="O924"/>
  <c r="I874" i="31"/>
  <c r="M958" i="30"/>
  <c r="O900" i="29"/>
  <c r="K898"/>
  <c r="O1031" i="31"/>
  <c r="G859"/>
  <c r="K859" s="1"/>
  <c r="O853" i="29"/>
  <c r="I978" i="30"/>
  <c r="I977" s="1"/>
  <c r="I971" s="1"/>
  <c r="O930" i="31"/>
  <c r="I929"/>
  <c r="I907" s="1"/>
  <c r="I906" s="1"/>
  <c r="M981"/>
  <c r="O880" i="30"/>
  <c r="M863" i="29"/>
  <c r="O838" i="31"/>
  <c r="O913" i="29"/>
  <c r="K925" i="30"/>
  <c r="K919" i="31"/>
  <c r="H901" i="30"/>
  <c r="H884" s="1"/>
  <c r="H978"/>
  <c r="H977" s="1"/>
  <c r="H971" s="1"/>
  <c r="O860"/>
  <c r="K968" i="31"/>
  <c r="K1032"/>
  <c r="G1056"/>
  <c r="G1055" s="1"/>
  <c r="G1054" s="1"/>
  <c r="K878" i="29"/>
  <c r="I888"/>
  <c r="I884" s="1"/>
  <c r="M857" i="30"/>
  <c r="O1032" i="29"/>
  <c r="I832" i="31"/>
  <c r="I831" s="1"/>
  <c r="M852"/>
  <c r="K890" i="29"/>
  <c r="K1025"/>
  <c r="O953"/>
  <c r="G896" i="31"/>
  <c r="O1052" i="29"/>
  <c r="M1046" i="31"/>
  <c r="M925"/>
  <c r="G832" i="30"/>
  <c r="G831" s="1"/>
  <c r="G828" s="1"/>
  <c r="M845"/>
  <c r="M843" i="29"/>
  <c r="K931"/>
  <c r="K873" i="31"/>
  <c r="O883" i="30"/>
  <c r="M878" i="31"/>
  <c r="M1053" i="30"/>
  <c r="M924" i="31"/>
  <c r="K1058" i="30"/>
  <c r="K890"/>
  <c r="H879" i="31"/>
  <c r="M868"/>
  <c r="G841"/>
  <c r="K975" i="30"/>
  <c r="M1052" i="31"/>
  <c r="O872" i="29"/>
  <c r="O897" i="30"/>
  <c r="K965" i="29"/>
  <c r="G841" i="30"/>
  <c r="I879" i="31"/>
  <c r="K855" i="30"/>
  <c r="K880"/>
  <c r="M839"/>
  <c r="I901" i="29"/>
  <c r="M891"/>
  <c r="H888"/>
  <c r="K902" i="30"/>
  <c r="M899" i="31"/>
  <c r="O891" i="30"/>
  <c r="G1035" i="29"/>
  <c r="G1034" s="1"/>
  <c r="G1033" s="1"/>
  <c r="G1036"/>
  <c r="O975"/>
  <c r="I974"/>
  <c r="I973" s="1"/>
  <c r="I972" s="1"/>
  <c r="I971" s="1"/>
  <c r="I830" i="31"/>
  <c r="I829" s="1"/>
  <c r="M933" i="30"/>
  <c r="O936" i="29"/>
  <c r="M889"/>
  <c r="H907" i="31"/>
  <c r="H906" s="1"/>
  <c r="K837" i="29"/>
  <c r="O1031" i="30"/>
  <c r="M980" i="31"/>
  <c r="H979"/>
  <c r="M979" s="1"/>
  <c r="K852"/>
  <c r="M965" i="29"/>
  <c r="M882" i="30"/>
  <c r="O902"/>
  <c r="M860" i="29"/>
  <c r="H859"/>
  <c r="M859" s="1"/>
  <c r="O899" i="31"/>
  <c r="G832" i="29"/>
  <c r="G831" s="1"/>
  <c r="K832"/>
  <c r="G869" i="31"/>
  <c r="K975" i="29"/>
  <c r="M1052" i="30"/>
  <c r="O855" i="29"/>
  <c r="I854"/>
  <c r="O854" s="1"/>
  <c r="N829" i="31"/>
  <c r="N829" i="30"/>
  <c r="O829" s="1"/>
  <c r="N829" i="29"/>
  <c r="G879"/>
  <c r="I849" i="31"/>
  <c r="M1057" i="29"/>
  <c r="K936" i="30"/>
  <c r="M862"/>
  <c r="K873"/>
  <c r="M889" i="31"/>
  <c r="H830" i="29"/>
  <c r="H829" s="1"/>
  <c r="H828" s="1"/>
  <c r="M830"/>
  <c r="O933"/>
  <c r="O877" i="30"/>
  <c r="O870"/>
  <c r="K861"/>
  <c r="O924" i="31"/>
  <c r="K891"/>
  <c r="K837"/>
  <c r="K877" i="30"/>
  <c r="K924" i="29"/>
  <c r="M958" i="31"/>
  <c r="K897" i="29"/>
  <c r="O889" i="30"/>
  <c r="M837" i="29"/>
  <c r="H833"/>
  <c r="O1059"/>
  <c r="J854" i="31"/>
  <c r="J854" i="30"/>
  <c r="J854" i="29"/>
  <c r="I884" i="31"/>
  <c r="K953"/>
  <c r="M909" i="29"/>
  <c r="M862"/>
  <c r="I833" i="31"/>
  <c r="G901" i="29"/>
  <c r="G884" s="1"/>
  <c r="M965" i="31"/>
  <c r="O860" i="29"/>
  <c r="H874" i="31"/>
  <c r="O855" i="30"/>
  <c r="K930" i="31"/>
  <c r="G1036" i="30"/>
  <c r="G1035"/>
  <c r="G1034" s="1"/>
  <c r="G1033" s="1"/>
  <c r="G1020" s="1"/>
  <c r="O943" i="29"/>
  <c r="N831" i="31"/>
  <c r="O831" s="1"/>
  <c r="N831" i="30"/>
  <c r="N831" i="29"/>
  <c r="G888"/>
  <c r="K1025" i="30"/>
  <c r="O953"/>
  <c r="O1052"/>
  <c r="M1045" i="31"/>
  <c r="H1044"/>
  <c r="H1043" s="1"/>
  <c r="H1042" s="1"/>
  <c r="H1041" s="1"/>
  <c r="H1040" s="1"/>
  <c r="G832"/>
  <c r="G831" s="1"/>
  <c r="M924" i="29"/>
  <c r="H841"/>
  <c r="M867" i="30"/>
  <c r="U24"/>
  <c r="G888"/>
  <c r="I859" i="31"/>
  <c r="O859" s="1"/>
  <c r="M883"/>
  <c r="O838" i="29"/>
  <c r="O842" i="31"/>
  <c r="O882" i="30"/>
  <c r="M930" i="29"/>
  <c r="K975" i="31"/>
  <c r="M953" i="29"/>
  <c r="K904" i="31"/>
  <c r="O958" i="30"/>
  <c r="K880" i="31"/>
  <c r="K912" i="29"/>
  <c r="K965" i="30"/>
  <c r="G942"/>
  <c r="G941" s="1"/>
  <c r="G906" s="1"/>
  <c r="M837"/>
  <c r="K909" i="29"/>
  <c r="M839" i="31"/>
  <c r="O945" i="30"/>
  <c r="K904"/>
  <c r="G907" i="31"/>
  <c r="O942" i="29"/>
  <c r="K924" i="31"/>
  <c r="J1024"/>
  <c r="K1024" s="1"/>
  <c r="J1024" i="30"/>
  <c r="K1024" s="1"/>
  <c r="J1024" i="29"/>
  <c r="K1024" s="1"/>
  <c r="K854" i="30"/>
  <c r="O850"/>
  <c r="I849"/>
  <c r="O1025"/>
  <c r="K1059" i="29"/>
  <c r="O968" i="30"/>
  <c r="O832" i="29"/>
  <c r="I831"/>
  <c r="O831" s="1"/>
  <c r="M943" i="30"/>
  <c r="O1045" i="31"/>
  <c r="L831"/>
  <c r="M831" s="1"/>
  <c r="L831" i="30"/>
  <c r="M831" s="1"/>
  <c r="L831" i="29"/>
  <c r="G864" i="31"/>
  <c r="N1700"/>
  <c r="O1700" s="1"/>
  <c r="N1700" i="30"/>
  <c r="O1700" s="1"/>
  <c r="N1700" i="29"/>
  <c r="O1700" s="1"/>
  <c r="K850" i="31"/>
  <c r="K1059" i="30"/>
  <c r="I963" i="29"/>
  <c r="I962" s="1"/>
  <c r="I961" s="1"/>
  <c r="I960" s="1"/>
  <c r="O904" i="30"/>
  <c r="O847" i="31"/>
  <c r="M891" i="30"/>
  <c r="K842" i="29"/>
  <c r="M900" i="30"/>
  <c r="O939" i="31"/>
  <c r="M1059" i="29"/>
  <c r="H1056"/>
  <c r="H1055" s="1"/>
  <c r="H1054" s="1"/>
  <c r="H1047" s="1"/>
  <c r="K942" i="31"/>
  <c r="K840" i="29"/>
  <c r="O895"/>
  <c r="O853" i="31"/>
  <c r="M897"/>
  <c r="M862"/>
  <c r="K958" i="29"/>
  <c r="K966" i="30"/>
  <c r="K862" i="31"/>
  <c r="K1052" i="30"/>
  <c r="K934"/>
  <c r="H951"/>
  <c r="H830"/>
  <c r="H829" s="1"/>
  <c r="H828" s="1"/>
  <c r="M873" i="31"/>
  <c r="M839" i="29"/>
  <c r="O933" i="30"/>
  <c r="O839"/>
  <c r="O876"/>
  <c r="K925" i="31"/>
  <c r="H1020"/>
  <c r="H1019" s="1"/>
  <c r="K903" i="30"/>
  <c r="K954" i="31"/>
  <c r="M1060"/>
  <c r="O981" i="29"/>
  <c r="M850" i="30"/>
  <c r="H849"/>
  <c r="M849" s="1"/>
  <c r="O886" i="29"/>
  <c r="M918" i="31"/>
  <c r="H833" i="30"/>
  <c r="G1020" i="29"/>
  <c r="G1019" s="1"/>
  <c r="M986"/>
  <c r="O954"/>
  <c r="K892" i="31"/>
  <c r="G963" i="29"/>
  <c r="G962" s="1"/>
  <c r="I978" i="31"/>
  <c r="I977" s="1"/>
  <c r="I971" s="1"/>
  <c r="K877"/>
  <c r="K1053"/>
  <c r="K934" i="29"/>
  <c r="M1025"/>
  <c r="K949" i="31"/>
  <c r="N849"/>
  <c r="N849" i="30"/>
  <c r="N849" i="29"/>
  <c r="O887" i="31"/>
  <c r="M881" i="29"/>
  <c r="M866" i="31"/>
  <c r="M856" i="29"/>
  <c r="O922" i="30"/>
  <c r="M909" i="31"/>
  <c r="K862" i="30"/>
  <c r="O862" i="31"/>
  <c r="M976"/>
  <c r="K892" i="29"/>
  <c r="K1038" i="31"/>
  <c r="M959" i="30"/>
  <c r="O890"/>
  <c r="O1032"/>
  <c r="K861" i="29"/>
  <c r="M919"/>
  <c r="O986"/>
  <c r="H859" i="31"/>
  <c r="M859" s="1"/>
  <c r="M866" i="29"/>
  <c r="M876" i="31"/>
  <c r="M945" i="29"/>
  <c r="H1056" i="30"/>
  <c r="H1055" s="1"/>
  <c r="H1054" s="1"/>
  <c r="K1038"/>
  <c r="K838" i="29"/>
  <c r="M892"/>
  <c r="M959"/>
  <c r="G874" i="30"/>
  <c r="O871"/>
  <c r="O931" i="29"/>
  <c r="M886"/>
  <c r="K927"/>
  <c r="K1025" i="31"/>
  <c r="O953"/>
  <c r="M946" i="30"/>
  <c r="K883"/>
  <c r="O850" i="29"/>
  <c r="O959" i="31"/>
  <c r="J831"/>
  <c r="K831" s="1"/>
  <c r="J831" i="30"/>
  <c r="K831" s="1"/>
  <c r="J831" i="29"/>
  <c r="O987"/>
  <c r="M895" i="30"/>
  <c r="K871" i="29"/>
  <c r="O969" i="30"/>
  <c r="M868"/>
  <c r="O842"/>
  <c r="I841"/>
  <c r="M950" i="29"/>
  <c r="O894"/>
  <c r="K943" i="31"/>
  <c r="G942"/>
  <c r="G941" s="1"/>
  <c r="K848" i="30"/>
  <c r="M902" i="29"/>
  <c r="H901"/>
  <c r="M981"/>
  <c r="M894"/>
  <c r="M913" i="31"/>
  <c r="M843"/>
  <c r="O837" i="29"/>
  <c r="I833"/>
  <c r="K857"/>
  <c r="M930" i="30"/>
  <c r="M1032" i="31"/>
  <c r="O877" i="29"/>
  <c r="M953" i="30"/>
  <c r="G841" i="29"/>
  <c r="H896"/>
  <c r="M849" i="31"/>
  <c r="M924" i="30"/>
  <c r="K912"/>
  <c r="H874" i="29"/>
  <c r="K965" i="31"/>
  <c r="K946" i="30"/>
  <c r="M916" i="31"/>
  <c r="O857" i="30"/>
  <c r="M954" i="31"/>
  <c r="K909" i="30"/>
  <c r="M1059"/>
  <c r="O852" i="29"/>
  <c r="K1026" i="31"/>
  <c r="M855" i="29"/>
  <c r="O1057"/>
  <c r="O900" i="31"/>
  <c r="M937" i="30"/>
  <c r="M940"/>
  <c r="O942"/>
  <c r="G1319"/>
  <c r="H1572"/>
  <c r="H1048"/>
  <c r="I206"/>
  <c r="I1580"/>
  <c r="H1255"/>
  <c r="I1028"/>
  <c r="G955"/>
  <c r="H1022"/>
  <c r="H1150"/>
  <c r="I906"/>
  <c r="I64"/>
  <c r="H1580"/>
  <c r="G1070"/>
  <c r="I1319"/>
  <c r="H1366"/>
  <c r="H1586"/>
  <c r="H1319"/>
  <c r="I1171"/>
  <c r="H1173"/>
  <c r="I1572"/>
  <c r="I1150"/>
  <c r="G1150"/>
  <c r="I1254"/>
  <c r="I1587"/>
  <c r="I1047"/>
  <c r="G1048"/>
  <c r="H1579" i="29"/>
  <c r="G1580"/>
  <c r="H1571"/>
  <c r="I1048"/>
  <c r="G1070"/>
  <c r="G1048"/>
  <c r="H1069"/>
  <c r="I1027"/>
  <c r="H1020"/>
  <c r="H1019" s="1"/>
  <c r="G961"/>
  <c r="G1041"/>
  <c r="I1696" i="11"/>
  <c r="H1696"/>
  <c r="G1696"/>
  <c r="H827" i="30" l="1"/>
  <c r="G906" i="31"/>
  <c r="K854" i="29"/>
  <c r="G884" i="31"/>
  <c r="M832" i="30"/>
  <c r="K832" i="31"/>
  <c r="K832" i="30"/>
  <c r="O942" i="31"/>
  <c r="I828" i="30"/>
  <c r="I827" s="1"/>
  <c r="H884" i="29"/>
  <c r="O849" i="31"/>
  <c r="H1695" i="11"/>
  <c r="L1696" i="31"/>
  <c r="L1696" i="30"/>
  <c r="H1696" s="1"/>
  <c r="L1696" i="29"/>
  <c r="H1696" s="1"/>
  <c r="I828" i="31"/>
  <c r="I827" s="1"/>
  <c r="I826" s="1"/>
  <c r="I825" s="1"/>
  <c r="I824" s="1"/>
  <c r="I1698" i="29"/>
  <c r="I1697" s="1"/>
  <c r="H827" i="31"/>
  <c r="K831" i="29"/>
  <c r="H827"/>
  <c r="H826" s="1"/>
  <c r="H825" s="1"/>
  <c r="H824" s="1"/>
  <c r="K942" i="30"/>
  <c r="G827"/>
  <c r="G826" s="1"/>
  <c r="G825" s="1"/>
  <c r="M832" i="31"/>
  <c r="I1698"/>
  <c r="I1697" s="1"/>
  <c r="M831" i="29"/>
  <c r="K829"/>
  <c r="G828"/>
  <c r="G1698"/>
  <c r="G1697" s="1"/>
  <c r="H826" i="30"/>
  <c r="H825" s="1"/>
  <c r="H824" s="1"/>
  <c r="M829"/>
  <c r="G884"/>
  <c r="H907"/>
  <c r="H906" s="1"/>
  <c r="K854" i="31"/>
  <c r="O1698" i="30"/>
  <c r="I1697"/>
  <c r="M829" i="31"/>
  <c r="G1695" i="11"/>
  <c r="J1696" i="31"/>
  <c r="J1696" i="30"/>
  <c r="J1696" i="29"/>
  <c r="O831" i="30"/>
  <c r="O829" i="29"/>
  <c r="O832" i="31"/>
  <c r="O832" i="30"/>
  <c r="K830" i="31"/>
  <c r="N1697"/>
  <c r="N1697" i="30"/>
  <c r="N1697" i="29"/>
  <c r="H1698"/>
  <c r="H1697" s="1"/>
  <c r="K1698" i="30"/>
  <c r="G1697"/>
  <c r="G827" i="31"/>
  <c r="G826" s="1"/>
  <c r="G825" s="1"/>
  <c r="G824" s="1"/>
  <c r="I828" i="29"/>
  <c r="H1698" i="30"/>
  <c r="H1697" s="1"/>
  <c r="I1695" i="11"/>
  <c r="N1696" i="31"/>
  <c r="N1696" i="30"/>
  <c r="N1696" i="29"/>
  <c r="O829" i="31"/>
  <c r="H978"/>
  <c r="H977" s="1"/>
  <c r="H971" s="1"/>
  <c r="O830" i="30"/>
  <c r="O849"/>
  <c r="H884" i="31"/>
  <c r="L1697"/>
  <c r="L1697" i="30"/>
  <c r="L1697" i="29"/>
  <c r="M1697" s="1"/>
  <c r="G1698" i="31"/>
  <c r="G1697" s="1"/>
  <c r="K829"/>
  <c r="G907" i="29"/>
  <c r="G906" s="1"/>
  <c r="M1698" i="31"/>
  <c r="H1698"/>
  <c r="H1697" s="1"/>
  <c r="J1697"/>
  <c r="J1697" i="30"/>
  <c r="J1697" i="29"/>
  <c r="M830" i="30"/>
  <c r="O830" i="31"/>
  <c r="M829" i="29"/>
  <c r="G1020" i="31"/>
  <c r="G1019" s="1"/>
  <c r="I884" i="30"/>
  <c r="G1019"/>
  <c r="I1170"/>
  <c r="I1149"/>
  <c r="H1254"/>
  <c r="H1149"/>
  <c r="I1579"/>
  <c r="H1579"/>
  <c r="G1047"/>
  <c r="G971"/>
  <c r="H1318"/>
  <c r="H1571"/>
  <c r="I1586"/>
  <c r="G1069"/>
  <c r="G1318"/>
  <c r="I1253"/>
  <c r="H1021"/>
  <c r="G1149"/>
  <c r="I1571"/>
  <c r="H1172"/>
  <c r="I1318"/>
  <c r="I1027"/>
  <c r="H1047"/>
  <c r="H1578" i="29"/>
  <c r="G1579"/>
  <c r="H1570"/>
  <c r="G1069"/>
  <c r="I1047"/>
  <c r="I1020"/>
  <c r="G1040"/>
  <c r="G960"/>
  <c r="G1047"/>
  <c r="H1692" i="11"/>
  <c r="I1692"/>
  <c r="G1692"/>
  <c r="M1697" i="30" l="1"/>
  <c r="K1697" i="29"/>
  <c r="K1698" i="31"/>
  <c r="M1697"/>
  <c r="O1698"/>
  <c r="O1698" i="29"/>
  <c r="O1697" i="30"/>
  <c r="O1697" i="31"/>
  <c r="I1691" i="11"/>
  <c r="N1692" i="31"/>
  <c r="O1692" s="1"/>
  <c r="N1692" i="30"/>
  <c r="O1692" s="1"/>
  <c r="N1692" i="29"/>
  <c r="O1692" s="1"/>
  <c r="M1698" i="30"/>
  <c r="M1698" i="29"/>
  <c r="I1696" i="31"/>
  <c r="I1695" s="1"/>
  <c r="O1696"/>
  <c r="J1695"/>
  <c r="J1695" i="30"/>
  <c r="J1695" i="29"/>
  <c r="G1691" i="11"/>
  <c r="J1692" i="31"/>
  <c r="K1692" s="1"/>
  <c r="J1692" i="30"/>
  <c r="K1692" s="1"/>
  <c r="J1692" i="29"/>
  <c r="K1692" s="1"/>
  <c r="K1697" i="30"/>
  <c r="N1695" i="31"/>
  <c r="N1695" i="30"/>
  <c r="N1695" i="29"/>
  <c r="H1691" i="11"/>
  <c r="L1692" i="31"/>
  <c r="M1692" s="1"/>
  <c r="L1692" i="30"/>
  <c r="M1692" s="1"/>
  <c r="L1692" i="29"/>
  <c r="M1692" s="1"/>
  <c r="K1698"/>
  <c r="I827"/>
  <c r="I826" s="1"/>
  <c r="M1696"/>
  <c r="H1695"/>
  <c r="G1696"/>
  <c r="G1695" s="1"/>
  <c r="G827"/>
  <c r="G826" s="1"/>
  <c r="K1697" i="31"/>
  <c r="I1696" i="29"/>
  <c r="I1695" s="1"/>
  <c r="I1691" s="1"/>
  <c r="I1690" s="1"/>
  <c r="I1689" s="1"/>
  <c r="I1688" s="1"/>
  <c r="I1687" s="1"/>
  <c r="I1686" s="1"/>
  <c r="O1696"/>
  <c r="G1696" i="30"/>
  <c r="G1695" s="1"/>
  <c r="O1697" i="29"/>
  <c r="H1696" i="31"/>
  <c r="H1695" s="1"/>
  <c r="H826"/>
  <c r="H825" s="1"/>
  <c r="H824" s="1"/>
  <c r="I826" i="30"/>
  <c r="I825" s="1"/>
  <c r="I824" s="1"/>
  <c r="M1696"/>
  <c r="H1695"/>
  <c r="I1696"/>
  <c r="I1695" s="1"/>
  <c r="I1691" s="1"/>
  <c r="I1690" s="1"/>
  <c r="I1689" s="1"/>
  <c r="I1688" s="1"/>
  <c r="I1687" s="1"/>
  <c r="I1686" s="1"/>
  <c r="G1696" i="31"/>
  <c r="G1695" s="1"/>
  <c r="G1691" s="1"/>
  <c r="G1690" s="1"/>
  <c r="G1689" s="1"/>
  <c r="G1688" s="1"/>
  <c r="G1687" s="1"/>
  <c r="G1686" s="1"/>
  <c r="L1695"/>
  <c r="L1695" i="30"/>
  <c r="L1695" i="29"/>
  <c r="I1020" i="30"/>
  <c r="I1570"/>
  <c r="H1020"/>
  <c r="H1570"/>
  <c r="H1253"/>
  <c r="H1171"/>
  <c r="I1578"/>
  <c r="H1578"/>
  <c r="G824"/>
  <c r="I1019" i="29"/>
  <c r="H1682" i="11"/>
  <c r="I1682"/>
  <c r="G1682"/>
  <c r="I1678"/>
  <c r="H1678"/>
  <c r="G1678"/>
  <c r="I1677"/>
  <c r="H1677"/>
  <c r="G1677"/>
  <c r="H1673"/>
  <c r="I1673"/>
  <c r="G1673"/>
  <c r="I1669"/>
  <c r="H1669"/>
  <c r="G1669"/>
  <c r="I1665"/>
  <c r="H1665"/>
  <c r="G1665"/>
  <c r="I1661"/>
  <c r="H1661"/>
  <c r="G1661"/>
  <c r="H1655"/>
  <c r="I1655"/>
  <c r="G1655"/>
  <c r="I1654"/>
  <c r="H1654"/>
  <c r="G1654"/>
  <c r="H1650"/>
  <c r="I1650"/>
  <c r="G1650"/>
  <c r="I1646"/>
  <c r="H1646"/>
  <c r="G1646"/>
  <c r="I1641"/>
  <c r="H1641"/>
  <c r="G1641"/>
  <c r="H1635"/>
  <c r="I1635"/>
  <c r="G1635"/>
  <c r="I1634"/>
  <c r="H1634"/>
  <c r="G1634"/>
  <c r="H1630"/>
  <c r="I1630"/>
  <c r="G1630"/>
  <c r="O1696" i="30" l="1"/>
  <c r="K1696"/>
  <c r="K1695" i="31"/>
  <c r="N1630"/>
  <c r="O1630" s="1"/>
  <c r="N1630" i="30"/>
  <c r="O1630" s="1"/>
  <c r="N1630" i="29"/>
  <c r="O1630" s="1"/>
  <c r="K1695"/>
  <c r="G1691"/>
  <c r="G1690" s="1"/>
  <c r="G1689" s="1"/>
  <c r="G1688" s="1"/>
  <c r="G1687" s="1"/>
  <c r="G1686" s="1"/>
  <c r="L1630" i="31"/>
  <c r="M1630" s="1"/>
  <c r="L1630" i="30"/>
  <c r="M1630" s="1"/>
  <c r="L1630" i="29"/>
  <c r="M1630" s="1"/>
  <c r="G1653" i="11"/>
  <c r="J1654" i="31"/>
  <c r="G1654" s="1"/>
  <c r="J1654" i="30"/>
  <c r="J1654" i="29"/>
  <c r="G1654" s="1"/>
  <c r="I1660" i="11"/>
  <c r="N1661" i="31"/>
  <c r="I1661" s="1"/>
  <c r="N1661" i="30"/>
  <c r="N1661" i="29"/>
  <c r="J1682" i="31"/>
  <c r="K1682" s="1"/>
  <c r="J1682" i="30"/>
  <c r="K1682" s="1"/>
  <c r="J1682" i="29"/>
  <c r="K1682" s="1"/>
  <c r="G1633" i="11"/>
  <c r="G1629" s="1"/>
  <c r="J1634" i="31"/>
  <c r="J1634" i="30"/>
  <c r="J1634" i="29"/>
  <c r="I1640" i="11"/>
  <c r="N1641" i="31"/>
  <c r="N1641" i="30"/>
  <c r="N1641" i="29"/>
  <c r="H1653" i="11"/>
  <c r="L1654" i="31"/>
  <c r="L1654" i="30"/>
  <c r="L1654" i="29"/>
  <c r="G1664" i="11"/>
  <c r="J1665" i="31"/>
  <c r="J1665" i="30"/>
  <c r="J1665" i="29"/>
  <c r="L1673" i="31"/>
  <c r="M1673" s="1"/>
  <c r="L1673" i="30"/>
  <c r="M1673" s="1"/>
  <c r="L1673" i="29"/>
  <c r="M1673" s="1"/>
  <c r="N1682" i="31"/>
  <c r="O1682" s="1"/>
  <c r="N1682" i="30"/>
  <c r="O1682" s="1"/>
  <c r="N1682" i="29"/>
  <c r="O1682" s="1"/>
  <c r="M1695"/>
  <c r="H1691"/>
  <c r="H1690" s="1"/>
  <c r="H1689" s="1"/>
  <c r="H1688" s="1"/>
  <c r="H1687" s="1"/>
  <c r="H1686" s="1"/>
  <c r="O1695" i="31"/>
  <c r="I1691"/>
  <c r="I1690" s="1"/>
  <c r="I1689" s="1"/>
  <c r="I1688" s="1"/>
  <c r="I1687" s="1"/>
  <c r="I1686" s="1"/>
  <c r="L1650"/>
  <c r="M1650" s="1"/>
  <c r="L1650" i="30"/>
  <c r="M1650" s="1"/>
  <c r="L1650" i="29"/>
  <c r="M1650" s="1"/>
  <c r="N1678" i="31"/>
  <c r="O1678" s="1"/>
  <c r="N1678" i="30"/>
  <c r="O1678" s="1"/>
  <c r="N1678" i="29"/>
  <c r="O1678" s="1"/>
  <c r="H1640" i="11"/>
  <c r="L1641" i="31"/>
  <c r="L1641" i="30"/>
  <c r="L1641" i="29"/>
  <c r="N1673" i="31"/>
  <c r="O1673" s="1"/>
  <c r="N1673" i="30"/>
  <c r="O1673" s="1"/>
  <c r="N1673" i="29"/>
  <c r="O1673" s="1"/>
  <c r="H1633" i="11"/>
  <c r="H1629" s="1"/>
  <c r="L1634" i="31"/>
  <c r="L1634" i="30"/>
  <c r="L1634" i="29"/>
  <c r="H1634" s="1"/>
  <c r="G1645" i="11"/>
  <c r="J1646" i="31"/>
  <c r="G1646" s="1"/>
  <c r="J1646" i="30"/>
  <c r="J1646" i="29"/>
  <c r="I1653" i="11"/>
  <c r="N1654" i="31"/>
  <c r="N1654" i="30"/>
  <c r="N1654" i="29"/>
  <c r="I1654" s="1"/>
  <c r="H1664" i="11"/>
  <c r="L1665" i="31"/>
  <c r="L1665" i="30"/>
  <c r="L1665" i="29"/>
  <c r="H1665" s="1"/>
  <c r="G1676" i="11"/>
  <c r="J1677" i="31"/>
  <c r="J1677" i="30"/>
  <c r="J1677" i="29"/>
  <c r="L1682" i="31"/>
  <c r="M1682" s="1"/>
  <c r="L1682" i="30"/>
  <c r="M1682" s="1"/>
  <c r="L1682" i="29"/>
  <c r="M1682" s="1"/>
  <c r="M1696" i="31"/>
  <c r="L1691"/>
  <c r="L1691" i="30"/>
  <c r="L1691" i="29"/>
  <c r="N1691" i="31"/>
  <c r="N1691" i="30"/>
  <c r="O1691" s="1"/>
  <c r="N1691" i="29"/>
  <c r="O1691" s="1"/>
  <c r="G1640" i="11"/>
  <c r="J1641" i="31"/>
  <c r="J1641" i="29"/>
  <c r="J1641" i="30"/>
  <c r="H1660" i="11"/>
  <c r="L1661" i="31"/>
  <c r="L1661" i="30"/>
  <c r="L1661" i="29"/>
  <c r="H1645" i="11"/>
  <c r="L1646" i="31"/>
  <c r="L1646" i="30"/>
  <c r="L1646" i="29"/>
  <c r="I1664" i="11"/>
  <c r="N1665" i="31"/>
  <c r="N1665" i="30"/>
  <c r="N1665" i="29"/>
  <c r="I825"/>
  <c r="I824" s="1"/>
  <c r="J1635" i="31"/>
  <c r="K1635" s="1"/>
  <c r="J1635" i="30"/>
  <c r="K1635" s="1"/>
  <c r="J1635" i="29"/>
  <c r="K1635" s="1"/>
  <c r="N1655" i="31"/>
  <c r="O1655" s="1"/>
  <c r="N1655" i="30"/>
  <c r="O1655" s="1"/>
  <c r="N1655" i="29"/>
  <c r="O1655" s="1"/>
  <c r="G1668" i="11"/>
  <c r="J1669" i="31"/>
  <c r="J1669" i="30"/>
  <c r="J1669" i="29"/>
  <c r="G825"/>
  <c r="G824" s="1"/>
  <c r="O1695"/>
  <c r="N1635" i="31"/>
  <c r="O1635" s="1"/>
  <c r="N1635" i="30"/>
  <c r="O1635" s="1"/>
  <c r="N1635" i="29"/>
  <c r="O1635" s="1"/>
  <c r="J1650" i="31"/>
  <c r="K1650" s="1"/>
  <c r="J1650" i="30"/>
  <c r="K1650" s="1"/>
  <c r="J1650" i="29"/>
  <c r="K1650" s="1"/>
  <c r="L1655" i="31"/>
  <c r="M1655" s="1"/>
  <c r="L1655" i="30"/>
  <c r="M1655" s="1"/>
  <c r="L1655" i="29"/>
  <c r="M1655" s="1"/>
  <c r="H1668" i="11"/>
  <c r="L1669" i="31"/>
  <c r="L1669" i="30"/>
  <c r="L1669" i="29"/>
  <c r="J1678" i="31"/>
  <c r="K1678" s="1"/>
  <c r="J1678" i="30"/>
  <c r="K1678" s="1"/>
  <c r="J1678" i="29"/>
  <c r="K1678" s="1"/>
  <c r="K1696" i="31"/>
  <c r="O1695" i="30"/>
  <c r="J1673" i="31"/>
  <c r="K1673" s="1"/>
  <c r="J1673" i="30"/>
  <c r="K1673" s="1"/>
  <c r="J1673" i="29"/>
  <c r="K1673" s="1"/>
  <c r="I1633" i="11"/>
  <c r="I1629" s="1"/>
  <c r="N1634" i="31"/>
  <c r="N1634" i="30"/>
  <c r="N1634" i="29"/>
  <c r="J1655" i="31"/>
  <c r="K1655" s="1"/>
  <c r="J1655" i="29"/>
  <c r="K1655" s="1"/>
  <c r="J1655" i="30"/>
  <c r="K1655" s="1"/>
  <c r="H1676" i="11"/>
  <c r="H1672" s="1"/>
  <c r="L1677" i="31"/>
  <c r="L1677" i="30"/>
  <c r="L1677" i="29"/>
  <c r="M1695" i="30"/>
  <c r="H1691"/>
  <c r="H1690" s="1"/>
  <c r="H1689" s="1"/>
  <c r="H1688" s="1"/>
  <c r="H1687" s="1"/>
  <c r="H1686" s="1"/>
  <c r="M1695" i="31"/>
  <c r="H1691"/>
  <c r="H1690" s="1"/>
  <c r="H1689" s="1"/>
  <c r="H1688" s="1"/>
  <c r="H1687" s="1"/>
  <c r="H1686" s="1"/>
  <c r="I1645" i="11"/>
  <c r="N1646" i="31"/>
  <c r="N1646" i="30"/>
  <c r="N1646" i="29"/>
  <c r="I1676" i="11"/>
  <c r="N1677" i="31"/>
  <c r="I1677" s="1"/>
  <c r="N1677" i="30"/>
  <c r="N1677" i="29"/>
  <c r="J1691" i="31"/>
  <c r="K1691" s="1"/>
  <c r="J1691" i="30"/>
  <c r="J1691" i="29"/>
  <c r="J1630" i="31"/>
  <c r="K1630" s="1"/>
  <c r="J1630" i="30"/>
  <c r="K1630" s="1"/>
  <c r="J1630" i="29"/>
  <c r="K1630" s="1"/>
  <c r="L1635" i="31"/>
  <c r="M1635" s="1"/>
  <c r="L1635" i="30"/>
  <c r="M1635" s="1"/>
  <c r="L1635" i="29"/>
  <c r="M1635" s="1"/>
  <c r="N1650" i="31"/>
  <c r="O1650" s="1"/>
  <c r="N1650" i="30"/>
  <c r="O1650" s="1"/>
  <c r="N1650" i="29"/>
  <c r="O1650" s="1"/>
  <c r="G1660" i="11"/>
  <c r="J1661" i="31"/>
  <c r="J1661" i="30"/>
  <c r="J1661" i="29"/>
  <c r="G1661" s="1"/>
  <c r="I1668" i="11"/>
  <c r="N1669" i="31"/>
  <c r="I1669" s="1"/>
  <c r="N1669" i="30"/>
  <c r="N1669" i="29"/>
  <c r="L1678" i="31"/>
  <c r="M1678" s="1"/>
  <c r="L1678" i="30"/>
  <c r="M1678" s="1"/>
  <c r="L1678" i="29"/>
  <c r="M1678" s="1"/>
  <c r="K1695" i="30"/>
  <c r="G1691"/>
  <c r="G1690" s="1"/>
  <c r="G1689" s="1"/>
  <c r="G1688" s="1"/>
  <c r="G1687" s="1"/>
  <c r="G1686" s="1"/>
  <c r="K1696" i="29"/>
  <c r="H1170" i="30"/>
  <c r="I1019"/>
  <c r="H1019"/>
  <c r="I1672" i="11"/>
  <c r="G1649"/>
  <c r="K1691" i="29" l="1"/>
  <c r="O1691" i="31"/>
  <c r="J1629"/>
  <c r="J1629" i="30"/>
  <c r="J1629" i="29"/>
  <c r="L1629" i="31"/>
  <c r="L1629" i="30"/>
  <c r="L1629" i="29"/>
  <c r="J1676" i="31"/>
  <c r="J1676" i="30"/>
  <c r="J1676" i="29"/>
  <c r="G1672" i="11"/>
  <c r="G1661" i="31"/>
  <c r="G1660" s="1"/>
  <c r="G1659" s="1"/>
  <c r="G1658" s="1"/>
  <c r="O1677"/>
  <c r="I1676"/>
  <c r="I1672" s="1"/>
  <c r="I1671" s="1"/>
  <c r="I1670" s="1"/>
  <c r="L1668"/>
  <c r="M1668" s="1"/>
  <c r="L1668" i="30"/>
  <c r="L1668" i="29"/>
  <c r="J1668" i="31"/>
  <c r="J1668" i="30"/>
  <c r="J1668" i="29"/>
  <c r="K1668" s="1"/>
  <c r="L1645" i="31"/>
  <c r="L1645" i="30"/>
  <c r="M1645" s="1"/>
  <c r="L1645" i="29"/>
  <c r="M1645" s="1"/>
  <c r="J1640" i="31"/>
  <c r="J1640" i="30"/>
  <c r="J1640" i="29"/>
  <c r="M1665"/>
  <c r="H1664"/>
  <c r="H1663" s="1"/>
  <c r="H1662" s="1"/>
  <c r="G1646"/>
  <c r="G1645" s="1"/>
  <c r="G1644" s="1"/>
  <c r="G1643" s="1"/>
  <c r="G1642" s="1"/>
  <c r="K1646"/>
  <c r="G1665"/>
  <c r="G1664" s="1"/>
  <c r="G1663" s="1"/>
  <c r="G1662" s="1"/>
  <c r="I1641"/>
  <c r="I1640" s="1"/>
  <c r="I1639" s="1"/>
  <c r="I1638" s="1"/>
  <c r="O1641"/>
  <c r="N1660" i="31"/>
  <c r="N1660" i="30"/>
  <c r="N1660" i="29"/>
  <c r="O1660" s="1"/>
  <c r="J1660" i="31"/>
  <c r="K1660" s="1"/>
  <c r="J1660" i="30"/>
  <c r="J1660" i="29"/>
  <c r="N1676" i="31"/>
  <c r="N1676" i="30"/>
  <c r="N1676" i="29"/>
  <c r="I1634"/>
  <c r="I1633" s="1"/>
  <c r="O1634"/>
  <c r="I1665"/>
  <c r="I1664" s="1"/>
  <c r="I1663" s="1"/>
  <c r="I1662" s="1"/>
  <c r="H1661"/>
  <c r="H1660" s="1"/>
  <c r="H1659" s="1"/>
  <c r="H1658" s="1"/>
  <c r="H1665" i="30"/>
  <c r="H1664" s="1"/>
  <c r="H1663" s="1"/>
  <c r="H1662" s="1"/>
  <c r="G1646"/>
  <c r="G1645" s="1"/>
  <c r="G1644" s="1"/>
  <c r="G1643" s="1"/>
  <c r="G1642" s="1"/>
  <c r="K1646"/>
  <c r="G1665"/>
  <c r="G1664" s="1"/>
  <c r="G1663" s="1"/>
  <c r="G1662" s="1"/>
  <c r="I1641"/>
  <c r="I1640" s="1"/>
  <c r="I1639" s="1"/>
  <c r="I1638" s="1"/>
  <c r="O1641"/>
  <c r="K1654" i="29"/>
  <c r="G1653"/>
  <c r="G1649" s="1"/>
  <c r="G1648" s="1"/>
  <c r="G1669" i="31"/>
  <c r="G1668" s="1"/>
  <c r="G1667" s="1"/>
  <c r="G1666" s="1"/>
  <c r="G1641"/>
  <c r="G1640" s="1"/>
  <c r="G1639" s="1"/>
  <c r="G1638" s="1"/>
  <c r="N1653"/>
  <c r="N1653" i="30"/>
  <c r="N1653" i="29"/>
  <c r="L1640" i="31"/>
  <c r="L1640" i="30"/>
  <c r="L1640" i="29"/>
  <c r="L1653" i="31"/>
  <c r="L1653" i="30"/>
  <c r="L1653" i="29"/>
  <c r="N1672" i="31"/>
  <c r="N1672" i="30"/>
  <c r="N1672" i="29"/>
  <c r="I1634" i="30"/>
  <c r="I1633" s="1"/>
  <c r="I1629" s="1"/>
  <c r="I1628" s="1"/>
  <c r="L1672" i="31"/>
  <c r="L1672" i="30"/>
  <c r="L1672" i="29"/>
  <c r="H1677" i="30"/>
  <c r="H1676" s="1"/>
  <c r="M1677"/>
  <c r="I1634" i="31"/>
  <c r="I1633" s="1"/>
  <c r="I1629" s="1"/>
  <c r="I1628" s="1"/>
  <c r="I1665"/>
  <c r="I1664" s="1"/>
  <c r="I1663" s="1"/>
  <c r="I1662" s="1"/>
  <c r="J1645"/>
  <c r="J1645" i="30"/>
  <c r="J1645" i="29"/>
  <c r="N1629" i="31"/>
  <c r="N1629" i="30"/>
  <c r="N1629" i="29"/>
  <c r="O1669" i="31"/>
  <c r="I1668"/>
  <c r="I1667" s="1"/>
  <c r="I1666" s="1"/>
  <c r="K1691" i="30"/>
  <c r="I1646" i="31"/>
  <c r="I1645" s="1"/>
  <c r="I1644" s="1"/>
  <c r="I1643" s="1"/>
  <c r="I1642" s="1"/>
  <c r="O1646"/>
  <c r="H1677"/>
  <c r="H1676" s="1"/>
  <c r="N1633"/>
  <c r="N1633" i="30"/>
  <c r="N1633" i="29"/>
  <c r="N1664" i="31"/>
  <c r="N1664" i="30"/>
  <c r="N1664" i="29"/>
  <c r="L1660" i="31"/>
  <c r="L1660" i="30"/>
  <c r="L1660" i="29"/>
  <c r="M1691"/>
  <c r="G1677"/>
  <c r="G1676" s="1"/>
  <c r="O1654"/>
  <c r="I1653"/>
  <c r="I1649" s="1"/>
  <c r="I1648" s="1"/>
  <c r="M1634"/>
  <c r="H1633"/>
  <c r="H1629" s="1"/>
  <c r="H1628" s="1"/>
  <c r="H1641"/>
  <c r="H1640" s="1"/>
  <c r="H1639" s="1"/>
  <c r="H1638" s="1"/>
  <c r="M1641"/>
  <c r="H1654"/>
  <c r="H1653" s="1"/>
  <c r="G1634"/>
  <c r="G1633" s="1"/>
  <c r="G1629" s="1"/>
  <c r="G1628" s="1"/>
  <c r="K1634"/>
  <c r="J1653" i="31"/>
  <c r="J1653" i="30"/>
  <c r="J1653" i="29"/>
  <c r="I1677" i="30"/>
  <c r="I1676" s="1"/>
  <c r="O1677"/>
  <c r="O1661" i="31"/>
  <c r="I1660"/>
  <c r="I1659" s="1"/>
  <c r="I1658" s="1"/>
  <c r="H1677" i="29"/>
  <c r="H1676" s="1"/>
  <c r="H1672" s="1"/>
  <c r="H1671" s="1"/>
  <c r="H1670" s="1"/>
  <c r="K1646" i="31"/>
  <c r="G1645"/>
  <c r="G1644" s="1"/>
  <c r="G1643" s="1"/>
  <c r="G1642" s="1"/>
  <c r="I1641"/>
  <c r="I1640" s="1"/>
  <c r="I1639" s="1"/>
  <c r="I1638" s="1"/>
  <c r="O1641"/>
  <c r="G1654" i="30"/>
  <c r="G1653" s="1"/>
  <c r="G1649" s="1"/>
  <c r="G1648" s="1"/>
  <c r="K1654"/>
  <c r="I1669"/>
  <c r="I1668" s="1"/>
  <c r="I1667" s="1"/>
  <c r="I1666" s="1"/>
  <c r="I1646"/>
  <c r="I1645" s="1"/>
  <c r="I1644" s="1"/>
  <c r="I1643" s="1"/>
  <c r="I1642" s="1"/>
  <c r="H1661" i="31"/>
  <c r="H1660" s="1"/>
  <c r="H1659" s="1"/>
  <c r="H1658" s="1"/>
  <c r="L1664"/>
  <c r="L1664" i="30"/>
  <c r="L1664" i="29"/>
  <c r="J1664" i="31"/>
  <c r="J1664" i="30"/>
  <c r="J1664" i="29"/>
  <c r="K1654" i="31"/>
  <c r="G1653"/>
  <c r="G1649" s="1"/>
  <c r="G1648" s="1"/>
  <c r="H1649" i="11"/>
  <c r="N1668" i="31"/>
  <c r="O1668" s="1"/>
  <c r="N1668" i="30"/>
  <c r="O1668" s="1"/>
  <c r="N1668" i="29"/>
  <c r="N1645" i="31"/>
  <c r="O1645" s="1"/>
  <c r="N1645" i="30"/>
  <c r="N1645" i="29"/>
  <c r="L1676" i="31"/>
  <c r="L1676" i="30"/>
  <c r="L1676" i="29"/>
  <c r="M1676" s="1"/>
  <c r="H1669"/>
  <c r="H1668" s="1"/>
  <c r="H1667" s="1"/>
  <c r="H1666" s="1"/>
  <c r="M1669"/>
  <c r="G1669"/>
  <c r="G1668" s="1"/>
  <c r="G1667" s="1"/>
  <c r="G1666" s="1"/>
  <c r="H1646"/>
  <c r="H1645" s="1"/>
  <c r="H1644" s="1"/>
  <c r="H1643" s="1"/>
  <c r="H1642" s="1"/>
  <c r="M1646"/>
  <c r="G1641" i="30"/>
  <c r="G1640" s="1"/>
  <c r="G1639" s="1"/>
  <c r="G1638" s="1"/>
  <c r="M1691"/>
  <c r="G1677"/>
  <c r="G1676" s="1"/>
  <c r="G1672" s="1"/>
  <c r="G1671" s="1"/>
  <c r="G1670" s="1"/>
  <c r="I1654"/>
  <c r="I1653" s="1"/>
  <c r="I1649" s="1"/>
  <c r="I1648" s="1"/>
  <c r="H1634"/>
  <c r="H1633" s="1"/>
  <c r="M1634"/>
  <c r="H1641"/>
  <c r="H1640" s="1"/>
  <c r="H1639" s="1"/>
  <c r="H1638" s="1"/>
  <c r="M1641"/>
  <c r="H1654"/>
  <c r="H1653" s="1"/>
  <c r="H1649" s="1"/>
  <c r="H1648" s="1"/>
  <c r="H1647" s="1"/>
  <c r="G1634"/>
  <c r="G1633" s="1"/>
  <c r="K1634"/>
  <c r="I1661" i="29"/>
  <c r="I1660" s="1"/>
  <c r="I1659" s="1"/>
  <c r="I1658" s="1"/>
  <c r="J1649" i="31"/>
  <c r="J1649" i="30"/>
  <c r="K1649" s="1"/>
  <c r="J1649" i="29"/>
  <c r="K1649" s="1"/>
  <c r="G1661" i="30"/>
  <c r="G1660" s="1"/>
  <c r="G1659" s="1"/>
  <c r="G1658" s="1"/>
  <c r="H1669" i="31"/>
  <c r="H1668" s="1"/>
  <c r="H1667" s="1"/>
  <c r="H1666" s="1"/>
  <c r="M1669"/>
  <c r="M1646"/>
  <c r="H1646"/>
  <c r="H1645" s="1"/>
  <c r="H1644" s="1"/>
  <c r="H1643" s="1"/>
  <c r="H1642" s="1"/>
  <c r="L1633"/>
  <c r="L1633" i="30"/>
  <c r="L1633" i="29"/>
  <c r="M1633" s="1"/>
  <c r="J1633" i="31"/>
  <c r="J1633" i="30"/>
  <c r="J1633" i="29"/>
  <c r="K1633" s="1"/>
  <c r="I1669"/>
  <c r="I1668" s="1"/>
  <c r="I1667" s="1"/>
  <c r="I1666" s="1"/>
  <c r="I1646"/>
  <c r="I1645" s="1"/>
  <c r="I1644" s="1"/>
  <c r="I1643" s="1"/>
  <c r="I1642" s="1"/>
  <c r="I1665" i="30"/>
  <c r="I1664" s="1"/>
  <c r="I1663" s="1"/>
  <c r="O1665"/>
  <c r="H1661"/>
  <c r="H1660" s="1"/>
  <c r="H1659" s="1"/>
  <c r="H1658" s="1"/>
  <c r="M1661"/>
  <c r="H1665" i="31"/>
  <c r="H1664" s="1"/>
  <c r="G1665"/>
  <c r="G1664" s="1"/>
  <c r="G1663" s="1"/>
  <c r="G1662" s="1"/>
  <c r="N1640"/>
  <c r="N1640" i="30"/>
  <c r="N1640" i="29"/>
  <c r="O1640" s="1"/>
  <c r="I1649" i="11"/>
  <c r="K1661" i="29"/>
  <c r="G1660"/>
  <c r="G1659" s="1"/>
  <c r="G1658" s="1"/>
  <c r="I1677"/>
  <c r="I1676" s="1"/>
  <c r="I1672" s="1"/>
  <c r="H1669" i="30"/>
  <c r="H1668" s="1"/>
  <c r="H1667" s="1"/>
  <c r="H1666" s="1"/>
  <c r="M1669"/>
  <c r="G1669"/>
  <c r="G1668" s="1"/>
  <c r="G1667" s="1"/>
  <c r="G1666" s="1"/>
  <c r="H1646"/>
  <c r="H1645" s="1"/>
  <c r="H1644" s="1"/>
  <c r="H1643" s="1"/>
  <c r="H1642" s="1"/>
  <c r="M1646"/>
  <c r="G1641" i="29"/>
  <c r="G1640" s="1"/>
  <c r="G1639" s="1"/>
  <c r="G1638" s="1"/>
  <c r="M1691" i="31"/>
  <c r="G1677"/>
  <c r="G1676" s="1"/>
  <c r="K1677"/>
  <c r="I1654"/>
  <c r="I1653" s="1"/>
  <c r="H1634"/>
  <c r="H1633" s="1"/>
  <c r="H1629" s="1"/>
  <c r="H1628" s="1"/>
  <c r="M1634"/>
  <c r="H1641"/>
  <c r="H1640" s="1"/>
  <c r="H1639" s="1"/>
  <c r="H1638" s="1"/>
  <c r="M1641"/>
  <c r="H1654"/>
  <c r="H1653" s="1"/>
  <c r="H1649" s="1"/>
  <c r="H1648" s="1"/>
  <c r="G1634"/>
  <c r="G1633" s="1"/>
  <c r="G1629" s="1"/>
  <c r="G1628" s="1"/>
  <c r="I1661" i="30"/>
  <c r="I1660" s="1"/>
  <c r="I1659" s="1"/>
  <c r="I1658" s="1"/>
  <c r="I1627" i="11"/>
  <c r="H1627"/>
  <c r="G1627"/>
  <c r="I1621"/>
  <c r="H1621"/>
  <c r="G1621"/>
  <c r="G1611"/>
  <c r="I1606"/>
  <c r="H1606"/>
  <c r="G1606"/>
  <c r="H1597"/>
  <c r="I1597"/>
  <c r="G1598"/>
  <c r="H1594"/>
  <c r="I1594"/>
  <c r="G1594"/>
  <c r="H1591"/>
  <c r="I1591"/>
  <c r="G1591"/>
  <c r="H1584"/>
  <c r="I1584"/>
  <c r="G1584"/>
  <c r="H1576"/>
  <c r="I1576"/>
  <c r="G1577"/>
  <c r="I1569"/>
  <c r="H1569"/>
  <c r="G1569"/>
  <c r="H1563"/>
  <c r="I1563"/>
  <c r="G1564"/>
  <c r="I1560"/>
  <c r="H1560"/>
  <c r="G1560"/>
  <c r="I1552"/>
  <c r="H1552"/>
  <c r="G1552"/>
  <c r="I1549"/>
  <c r="H1549"/>
  <c r="G1549"/>
  <c r="H1543"/>
  <c r="I1543"/>
  <c r="G1543"/>
  <c r="H1539"/>
  <c r="I1539"/>
  <c r="G1539"/>
  <c r="I1538"/>
  <c r="H1538"/>
  <c r="G1538"/>
  <c r="H1534"/>
  <c r="I1534"/>
  <c r="G1534"/>
  <c r="I1530"/>
  <c r="H1530"/>
  <c r="G1530"/>
  <c r="I1346"/>
  <c r="H1346"/>
  <c r="G1346"/>
  <c r="I1343"/>
  <c r="H1343"/>
  <c r="G1343"/>
  <c r="I1335"/>
  <c r="H1335"/>
  <c r="G1335"/>
  <c r="I1332"/>
  <c r="H1332"/>
  <c r="G1332"/>
  <c r="I1316"/>
  <c r="H1316"/>
  <c r="G1316"/>
  <c r="H1312"/>
  <c r="I1312"/>
  <c r="G1313"/>
  <c r="I1310"/>
  <c r="H1310"/>
  <c r="G1310"/>
  <c r="I1302"/>
  <c r="H1302"/>
  <c r="G1302"/>
  <c r="I1299"/>
  <c r="H1299"/>
  <c r="G1299"/>
  <c r="I1292"/>
  <c r="H1292"/>
  <c r="G1292"/>
  <c r="I1289"/>
  <c r="H1289"/>
  <c r="G1289"/>
  <c r="H1284"/>
  <c r="I1284"/>
  <c r="G1284"/>
  <c r="H1280"/>
  <c r="I1280"/>
  <c r="G1280"/>
  <c r="M1660" i="29" l="1"/>
  <c r="O1629" i="30"/>
  <c r="O1661"/>
  <c r="O1640"/>
  <c r="K1664" i="29"/>
  <c r="O1669" i="30"/>
  <c r="M1677" i="29"/>
  <c r="K1653" i="31"/>
  <c r="M1660"/>
  <c r="M1677"/>
  <c r="O1629"/>
  <c r="K1634"/>
  <c r="O1640"/>
  <c r="O1646" i="29"/>
  <c r="K1645"/>
  <c r="O1672" i="31"/>
  <c r="O1677" i="29"/>
  <c r="K1665" i="31"/>
  <c r="O1661" i="29"/>
  <c r="O1668"/>
  <c r="K1664" i="31"/>
  <c r="M1653"/>
  <c r="O1676"/>
  <c r="O1633" i="30"/>
  <c r="M1640" i="31"/>
  <c r="O1633"/>
  <c r="M1664" i="29"/>
  <c r="M1654"/>
  <c r="K1677"/>
  <c r="O1634" i="30"/>
  <c r="G1647" i="29"/>
  <c r="M1661"/>
  <c r="K1665"/>
  <c r="I1315" i="11"/>
  <c r="N1316" i="31"/>
  <c r="N1316" i="30"/>
  <c r="N1316" i="29"/>
  <c r="G1551" i="11"/>
  <c r="J1552" i="31"/>
  <c r="G1552" s="1"/>
  <c r="J1552" i="30"/>
  <c r="J1552" i="29"/>
  <c r="N1534" i="31"/>
  <c r="O1534" s="1"/>
  <c r="N1534" i="29"/>
  <c r="O1534" s="1"/>
  <c r="N1534" i="30"/>
  <c r="O1534" s="1"/>
  <c r="N1597" i="31"/>
  <c r="O1597" s="1"/>
  <c r="N1597" i="30"/>
  <c r="O1597" s="1"/>
  <c r="N1597" i="29"/>
  <c r="O1597" s="1"/>
  <c r="O1672"/>
  <c r="I1671"/>
  <c r="I1670" s="1"/>
  <c r="M1633" i="31"/>
  <c r="K1653" i="29"/>
  <c r="M1640"/>
  <c r="N1284" i="31"/>
  <c r="O1284" s="1"/>
  <c r="N1284" i="30"/>
  <c r="O1284" s="1"/>
  <c r="N1284" i="29"/>
  <c r="O1284" s="1"/>
  <c r="G1298" i="11"/>
  <c r="J1299" i="31"/>
  <c r="J1299" i="29"/>
  <c r="J1299" i="30"/>
  <c r="I1309" i="11"/>
  <c r="N1310" i="31"/>
  <c r="N1310" i="30"/>
  <c r="N1310" i="29"/>
  <c r="I1310" s="1"/>
  <c r="H1331" i="11"/>
  <c r="L1332" i="31"/>
  <c r="L1332" i="30"/>
  <c r="L1332" i="29"/>
  <c r="G1345" i="11"/>
  <c r="J1346" i="31"/>
  <c r="J1346" i="30"/>
  <c r="J1346" i="29"/>
  <c r="L1534" i="31"/>
  <c r="M1534" s="1"/>
  <c r="L1534" i="30"/>
  <c r="M1534" s="1"/>
  <c r="L1534" i="29"/>
  <c r="M1534" s="1"/>
  <c r="N1543" i="31"/>
  <c r="O1543" s="1"/>
  <c r="N1543" i="30"/>
  <c r="O1543" s="1"/>
  <c r="N1543" i="29"/>
  <c r="O1543" s="1"/>
  <c r="I1551" i="11"/>
  <c r="N1552" i="31"/>
  <c r="N1552" i="30"/>
  <c r="N1552" i="29"/>
  <c r="H1568" i="11"/>
  <c r="L1569" i="31"/>
  <c r="L1569" i="30"/>
  <c r="L1569" i="29"/>
  <c r="J1591" i="31"/>
  <c r="K1591" s="1"/>
  <c r="J1591" i="30"/>
  <c r="K1591" s="1"/>
  <c r="J1591" i="29"/>
  <c r="K1591" s="1"/>
  <c r="L1597" i="31"/>
  <c r="M1597" s="1"/>
  <c r="L1597" i="30"/>
  <c r="M1597" s="1"/>
  <c r="L1597" i="29"/>
  <c r="M1597" s="1"/>
  <c r="G1626" i="11"/>
  <c r="J1627" i="31"/>
  <c r="J1627" i="30"/>
  <c r="J1627" i="29"/>
  <c r="O1654" i="31"/>
  <c r="M1665"/>
  <c r="O1669" i="29"/>
  <c r="K1649" i="31"/>
  <c r="K1641" i="30"/>
  <c r="M1664"/>
  <c r="K1653"/>
  <c r="M1660"/>
  <c r="M1676" i="31"/>
  <c r="H1672"/>
  <c r="H1671" s="1"/>
  <c r="H1670" s="1"/>
  <c r="O1634"/>
  <c r="M1640" i="30"/>
  <c r="K1669" i="31"/>
  <c r="O1633" i="29"/>
  <c r="I1629"/>
  <c r="I1628" s="1"/>
  <c r="O1660" i="30"/>
  <c r="M1645" i="31"/>
  <c r="M1629" i="29"/>
  <c r="H1291" i="11"/>
  <c r="L1292" i="31"/>
  <c r="L1292" i="30"/>
  <c r="L1292" i="29"/>
  <c r="J1534" i="31"/>
  <c r="K1534" s="1"/>
  <c r="J1534" i="30"/>
  <c r="K1534" s="1"/>
  <c r="J1534" i="29"/>
  <c r="K1534" s="1"/>
  <c r="L1563" i="31"/>
  <c r="M1563" s="1"/>
  <c r="L1563" i="30"/>
  <c r="M1563" s="1"/>
  <c r="L1563" i="29"/>
  <c r="M1563" s="1"/>
  <c r="H1620" i="11"/>
  <c r="L1621" i="31"/>
  <c r="L1621" i="30"/>
  <c r="L1621" i="29"/>
  <c r="K1676" i="30"/>
  <c r="I1291" i="11"/>
  <c r="N1292" i="31"/>
  <c r="N1292" i="30"/>
  <c r="N1292" i="29"/>
  <c r="J1543" i="31"/>
  <c r="K1543" s="1"/>
  <c r="J1543" i="30"/>
  <c r="K1543" s="1"/>
  <c r="J1543" i="29"/>
  <c r="K1543" s="1"/>
  <c r="G1568" i="11"/>
  <c r="J1569" i="31"/>
  <c r="J1569" i="30"/>
  <c r="J1569" i="29"/>
  <c r="I1620" i="11"/>
  <c r="N1621" i="31"/>
  <c r="N1621" i="30"/>
  <c r="N1621" i="29"/>
  <c r="H1298" i="11"/>
  <c r="L1299" i="31"/>
  <c r="L1299" i="30"/>
  <c r="L1299" i="29"/>
  <c r="G1537" i="11"/>
  <c r="J1538" i="31"/>
  <c r="J1538" i="30"/>
  <c r="J1538" i="29"/>
  <c r="N1591" i="31"/>
  <c r="O1591" s="1"/>
  <c r="N1591" i="30"/>
  <c r="O1591" s="1"/>
  <c r="N1591" i="29"/>
  <c r="O1591" s="1"/>
  <c r="H1626" i="11"/>
  <c r="L1627" i="31"/>
  <c r="L1627" i="30"/>
  <c r="L1627" i="29"/>
  <c r="O1676"/>
  <c r="G1288" i="11"/>
  <c r="J1289" i="31"/>
  <c r="J1289" i="30"/>
  <c r="J1289" i="29"/>
  <c r="H1537" i="11"/>
  <c r="L1538" i="31"/>
  <c r="L1538" i="30"/>
  <c r="L1538" i="29"/>
  <c r="H1538" s="1"/>
  <c r="H1559" i="11"/>
  <c r="L1560" i="31"/>
  <c r="L1560" i="30"/>
  <c r="L1560" i="29"/>
  <c r="H1560" s="1"/>
  <c r="H1605" i="11"/>
  <c r="L1606" i="31"/>
  <c r="L1606" i="30"/>
  <c r="L1606" i="29"/>
  <c r="N1649" i="31"/>
  <c r="N1649" i="30"/>
  <c r="O1649" s="1"/>
  <c r="N1649" i="29"/>
  <c r="O1649" s="1"/>
  <c r="M1633" i="30"/>
  <c r="H1629"/>
  <c r="H1628" s="1"/>
  <c r="G1647"/>
  <c r="O1664" i="29"/>
  <c r="M1676" i="30"/>
  <c r="H1672"/>
  <c r="H1671" s="1"/>
  <c r="H1670" s="1"/>
  <c r="H1288" i="11"/>
  <c r="L1289" i="31"/>
  <c r="L1289" i="30"/>
  <c r="L1289" i="29"/>
  <c r="G1301" i="11"/>
  <c r="J1302" i="31"/>
  <c r="J1302" i="30"/>
  <c r="J1302" i="29"/>
  <c r="L1312" i="31"/>
  <c r="M1312" s="1"/>
  <c r="L1312" i="29"/>
  <c r="M1312" s="1"/>
  <c r="L1312" i="30"/>
  <c r="M1312" s="1"/>
  <c r="H1334" i="11"/>
  <c r="L1335" i="31"/>
  <c r="L1335" i="30"/>
  <c r="L1335" i="29"/>
  <c r="G1529" i="11"/>
  <c r="J1530" i="31"/>
  <c r="J1530" i="30"/>
  <c r="J1530" i="29"/>
  <c r="I1537" i="11"/>
  <c r="I1533" s="1"/>
  <c r="N1538" i="31"/>
  <c r="N1538" i="30"/>
  <c r="N1538" i="29"/>
  <c r="H1548" i="11"/>
  <c r="L1549" i="31"/>
  <c r="L1549" i="30"/>
  <c r="L1549" i="29"/>
  <c r="I1559" i="11"/>
  <c r="N1560" i="31"/>
  <c r="N1560" i="30"/>
  <c r="N1560" i="29"/>
  <c r="N1576" i="31"/>
  <c r="O1576" s="1"/>
  <c r="N1576" i="30"/>
  <c r="O1576" s="1"/>
  <c r="N1576" i="29"/>
  <c r="O1576" s="1"/>
  <c r="J1594" i="31"/>
  <c r="K1594" s="1"/>
  <c r="J1594" i="30"/>
  <c r="K1594" s="1"/>
  <c r="J1594" i="29"/>
  <c r="K1594" s="1"/>
  <c r="I1605" i="11"/>
  <c r="N1606" i="31"/>
  <c r="N1606" i="30"/>
  <c r="N1606" i="29"/>
  <c r="K1676" i="31"/>
  <c r="G1672"/>
  <c r="G1671" s="1"/>
  <c r="G1670" s="1"/>
  <c r="O1645" i="29"/>
  <c r="M1661" i="31"/>
  <c r="O1664" i="30"/>
  <c r="K1645"/>
  <c r="O1653"/>
  <c r="K1640" i="29"/>
  <c r="K1668" i="31"/>
  <c r="K1661"/>
  <c r="K1629" i="29"/>
  <c r="L1280" i="31"/>
  <c r="M1280" s="1"/>
  <c r="L1280" i="30"/>
  <c r="M1280" s="1"/>
  <c r="L1280" i="29"/>
  <c r="M1280" s="1"/>
  <c r="G1309" i="11"/>
  <c r="J1310" i="31"/>
  <c r="J1310" i="30"/>
  <c r="J1310" i="29"/>
  <c r="L1539" i="31"/>
  <c r="M1539" s="1"/>
  <c r="L1539" i="30"/>
  <c r="M1539" s="1"/>
  <c r="L1539" i="29"/>
  <c r="M1539" s="1"/>
  <c r="N1584" i="31"/>
  <c r="O1584" s="1"/>
  <c r="N1584" i="30"/>
  <c r="O1584" s="1"/>
  <c r="N1584" i="29"/>
  <c r="O1584" s="1"/>
  <c r="G1331" i="11"/>
  <c r="J1332" i="31"/>
  <c r="J1332" i="30"/>
  <c r="J1332" i="29"/>
  <c r="L1584" i="31"/>
  <c r="M1584" s="1"/>
  <c r="L1584" i="30"/>
  <c r="M1584" s="1"/>
  <c r="L1584" i="29"/>
  <c r="M1584" s="1"/>
  <c r="L1284" i="31"/>
  <c r="M1284" s="1"/>
  <c r="L1284" i="30"/>
  <c r="M1284" s="1"/>
  <c r="L1284" i="29"/>
  <c r="M1284" s="1"/>
  <c r="I1331" i="11"/>
  <c r="N1332" i="31"/>
  <c r="N1332" i="30"/>
  <c r="N1332" i="29"/>
  <c r="H1345" i="11"/>
  <c r="L1346" i="31"/>
  <c r="L1346" i="30"/>
  <c r="H1346" s="1"/>
  <c r="L1346" i="29"/>
  <c r="L1543" i="31"/>
  <c r="M1543" s="1"/>
  <c r="L1543" i="30"/>
  <c r="M1543" s="1"/>
  <c r="L1543" i="29"/>
  <c r="M1543" s="1"/>
  <c r="I1568" i="11"/>
  <c r="N1569" i="31"/>
  <c r="N1569" i="30"/>
  <c r="N1569" i="29"/>
  <c r="G1605" i="11"/>
  <c r="J1606" i="31"/>
  <c r="J1606" i="30"/>
  <c r="J1606" i="29"/>
  <c r="O1653" i="31"/>
  <c r="I1649"/>
  <c r="I1648" s="1"/>
  <c r="I1647" s="1"/>
  <c r="M1664"/>
  <c r="H1663"/>
  <c r="H1662" s="1"/>
  <c r="L1649"/>
  <c r="M1649" s="1"/>
  <c r="L1649" i="30"/>
  <c r="M1649" s="1"/>
  <c r="L1649" i="29"/>
  <c r="O1660" i="31"/>
  <c r="M1629" i="30"/>
  <c r="I1298" i="11"/>
  <c r="N1299" i="31"/>
  <c r="N1299" i="30"/>
  <c r="N1299" i="29"/>
  <c r="G1334" i="11"/>
  <c r="J1335" i="31"/>
  <c r="J1335" i="30"/>
  <c r="J1335" i="29"/>
  <c r="J1549" i="31"/>
  <c r="J1549" i="30"/>
  <c r="J1549" i="29"/>
  <c r="L1591" i="31"/>
  <c r="M1591" s="1"/>
  <c r="L1591" i="30"/>
  <c r="M1591" s="1"/>
  <c r="L1591" i="29"/>
  <c r="M1591" s="1"/>
  <c r="M1654" i="31"/>
  <c r="K1669" i="30"/>
  <c r="M1629" i="31"/>
  <c r="J1280"/>
  <c r="K1280" s="1"/>
  <c r="J1280" i="30"/>
  <c r="K1280" s="1"/>
  <c r="J1280" i="29"/>
  <c r="K1280" s="1"/>
  <c r="I1288" i="11"/>
  <c r="N1289" i="31"/>
  <c r="N1289" i="30"/>
  <c r="N1289" i="29"/>
  <c r="H1301" i="11"/>
  <c r="L1302" i="31"/>
  <c r="L1302" i="30"/>
  <c r="L1302" i="29"/>
  <c r="G1315" i="11"/>
  <c r="J1316" i="31"/>
  <c r="J1316" i="30"/>
  <c r="J1316" i="29"/>
  <c r="I1334" i="11"/>
  <c r="N1335" i="31"/>
  <c r="N1335" i="30"/>
  <c r="N1335" i="29"/>
  <c r="I1335" s="1"/>
  <c r="H1529" i="11"/>
  <c r="L1530" i="31"/>
  <c r="L1530" i="30"/>
  <c r="L1530" i="29"/>
  <c r="H1530" s="1"/>
  <c r="J1539" i="31"/>
  <c r="K1539" s="1"/>
  <c r="J1539" i="30"/>
  <c r="K1539" s="1"/>
  <c r="J1539" i="29"/>
  <c r="K1539" s="1"/>
  <c r="I1548" i="11"/>
  <c r="N1549" i="31"/>
  <c r="I1549" s="1"/>
  <c r="N1549" i="30"/>
  <c r="N1549" i="29"/>
  <c r="G1563" i="11"/>
  <c r="J1564" i="31"/>
  <c r="J1564" i="30"/>
  <c r="J1564" i="29"/>
  <c r="L1576" i="31"/>
  <c r="M1576" s="1"/>
  <c r="L1576" i="29"/>
  <c r="M1576" s="1"/>
  <c r="L1576" i="30"/>
  <c r="M1576" s="1"/>
  <c r="N1594" i="31"/>
  <c r="O1594" s="1"/>
  <c r="N1594" i="30"/>
  <c r="O1594" s="1"/>
  <c r="N1594" i="29"/>
  <c r="O1594" s="1"/>
  <c r="J1611" i="31"/>
  <c r="G1611" s="1"/>
  <c r="J1611" i="30"/>
  <c r="J1611" i="29"/>
  <c r="K1633" i="31"/>
  <c r="K1633" i="30"/>
  <c r="G1629"/>
  <c r="G1628" s="1"/>
  <c r="O1654"/>
  <c r="K1669" i="29"/>
  <c r="O1645" i="30"/>
  <c r="O1664" i="31"/>
  <c r="K1645"/>
  <c r="M1672" i="29"/>
  <c r="K1660"/>
  <c r="K1640" i="30"/>
  <c r="M1668" i="29"/>
  <c r="J1672" i="31"/>
  <c r="K1672" s="1"/>
  <c r="J1672" i="30"/>
  <c r="K1672" s="1"/>
  <c r="J1672" i="29"/>
  <c r="H1342" i="11"/>
  <c r="L1343" i="31"/>
  <c r="L1343" i="30"/>
  <c r="L1343" i="29"/>
  <c r="G1597" i="11"/>
  <c r="J1598" i="31"/>
  <c r="J1598" i="30"/>
  <c r="J1598" i="29"/>
  <c r="M1672" i="31"/>
  <c r="J1284"/>
  <c r="K1284" s="1"/>
  <c r="J1284" i="30"/>
  <c r="K1284" s="1"/>
  <c r="J1284" i="29"/>
  <c r="K1284" s="1"/>
  <c r="H1309" i="11"/>
  <c r="L1310" i="31"/>
  <c r="L1310" i="30"/>
  <c r="L1310" i="29"/>
  <c r="I1342" i="11"/>
  <c r="N1343" i="31"/>
  <c r="N1343" i="30"/>
  <c r="N1343" i="29"/>
  <c r="I1343" s="1"/>
  <c r="H1551" i="11"/>
  <c r="L1552" i="31"/>
  <c r="L1552" i="30"/>
  <c r="L1552" i="29"/>
  <c r="G1312" i="11"/>
  <c r="J1313" i="31"/>
  <c r="J1313" i="30"/>
  <c r="J1313" i="29"/>
  <c r="G1559" i="11"/>
  <c r="J1560" i="31"/>
  <c r="G1560" s="1"/>
  <c r="J1560" i="30"/>
  <c r="J1560" i="29"/>
  <c r="N1312" i="31"/>
  <c r="O1312" s="1"/>
  <c r="N1312" i="30"/>
  <c r="O1312" s="1"/>
  <c r="N1312" i="29"/>
  <c r="O1312" s="1"/>
  <c r="I1345" i="11"/>
  <c r="N1346" i="31"/>
  <c r="N1346" i="30"/>
  <c r="I1346" s="1"/>
  <c r="N1346" i="29"/>
  <c r="G1576" i="11"/>
  <c r="J1577" i="31"/>
  <c r="G1577" s="1"/>
  <c r="J1577" i="30"/>
  <c r="J1577" i="29"/>
  <c r="I1626" i="11"/>
  <c r="N1627" i="31"/>
  <c r="N1627" i="30"/>
  <c r="N1627" i="29"/>
  <c r="G1647" i="31"/>
  <c r="I1647" i="29"/>
  <c r="O1653"/>
  <c r="M1665" i="30"/>
  <c r="K1668"/>
  <c r="N1280" i="31"/>
  <c r="O1280" s="1"/>
  <c r="N1280" i="30"/>
  <c r="O1280" s="1"/>
  <c r="N1280" i="29"/>
  <c r="O1280" s="1"/>
  <c r="G1291" i="11"/>
  <c r="J1292" i="31"/>
  <c r="J1292" i="30"/>
  <c r="J1292" i="29"/>
  <c r="I1301" i="11"/>
  <c r="N1302" i="31"/>
  <c r="N1302" i="30"/>
  <c r="N1302" i="29"/>
  <c r="H1315" i="11"/>
  <c r="L1316" i="31"/>
  <c r="L1316" i="30"/>
  <c r="L1316" i="29"/>
  <c r="G1342" i="11"/>
  <c r="J1343" i="31"/>
  <c r="J1343" i="30"/>
  <c r="J1343" i="29"/>
  <c r="I1529" i="11"/>
  <c r="N1530" i="31"/>
  <c r="N1530" i="30"/>
  <c r="N1530" i="29"/>
  <c r="N1539" i="31"/>
  <c r="O1539" s="1"/>
  <c r="N1539" i="30"/>
  <c r="O1539" s="1"/>
  <c r="N1539" i="29"/>
  <c r="O1539" s="1"/>
  <c r="G1548" i="11"/>
  <c r="N1563" i="31"/>
  <c r="O1563" s="1"/>
  <c r="N1563" i="30"/>
  <c r="O1563" s="1"/>
  <c r="N1563" i="29"/>
  <c r="O1563" s="1"/>
  <c r="J1584" i="31"/>
  <c r="K1584" s="1"/>
  <c r="J1584" i="30"/>
  <c r="K1584" s="1"/>
  <c r="J1584" i="29"/>
  <c r="K1584" s="1"/>
  <c r="L1594" i="31"/>
  <c r="M1594" s="1"/>
  <c r="L1594" i="30"/>
  <c r="M1594" s="1"/>
  <c r="L1594" i="29"/>
  <c r="M1594" s="1"/>
  <c r="G1620" i="11"/>
  <c r="J1621" i="31"/>
  <c r="J1621" i="30"/>
  <c r="J1621" i="29"/>
  <c r="G1621" s="1"/>
  <c r="K1641"/>
  <c r="I1662" i="30"/>
  <c r="I1647" s="1"/>
  <c r="K1661"/>
  <c r="M1654"/>
  <c r="K1677"/>
  <c r="K1664"/>
  <c r="O1646"/>
  <c r="O1676"/>
  <c r="I1672"/>
  <c r="I1671" s="1"/>
  <c r="I1670" s="1"/>
  <c r="M1653" i="29"/>
  <c r="H1649"/>
  <c r="H1648" s="1"/>
  <c r="H1647" s="1"/>
  <c r="K1676"/>
  <c r="G1672"/>
  <c r="G1671" s="1"/>
  <c r="G1670" s="1"/>
  <c r="O1665" i="31"/>
  <c r="M1653" i="30"/>
  <c r="K1641" i="31"/>
  <c r="K1665" i="30"/>
  <c r="O1665" i="29"/>
  <c r="K1660" i="30"/>
  <c r="K1640" i="31"/>
  <c r="M1668" i="30"/>
  <c r="K1629" i="31"/>
  <c r="G1533" i="11"/>
  <c r="H1533"/>
  <c r="H1276"/>
  <c r="I1276"/>
  <c r="G1276"/>
  <c r="I1275"/>
  <c r="H1275"/>
  <c r="G1275"/>
  <c r="H1271"/>
  <c r="I1271"/>
  <c r="G1271"/>
  <c r="H1262"/>
  <c r="I1262"/>
  <c r="G1263"/>
  <c r="H1259"/>
  <c r="I1259"/>
  <c r="G1260"/>
  <c r="I1252"/>
  <c r="H1252"/>
  <c r="G1252"/>
  <c r="I1249"/>
  <c r="H1249"/>
  <c r="G1249"/>
  <c r="I1246"/>
  <c r="H1246"/>
  <c r="G1246"/>
  <c r="I1230"/>
  <c r="H1230"/>
  <c r="G1230"/>
  <c r="H1226"/>
  <c r="I1226"/>
  <c r="G1227"/>
  <c r="I1224"/>
  <c r="H1224"/>
  <c r="G1224"/>
  <c r="I1216"/>
  <c r="H1216"/>
  <c r="G1216"/>
  <c r="I1209"/>
  <c r="H1209"/>
  <c r="G1209"/>
  <c r="D1209"/>
  <c r="C1209"/>
  <c r="B1209"/>
  <c r="I1206"/>
  <c r="H1206"/>
  <c r="G1206"/>
  <c r="H1201"/>
  <c r="I1201"/>
  <c r="G1201"/>
  <c r="K1117"/>
  <c r="K1629" i="30" l="1"/>
  <c r="O1649" i="31"/>
  <c r="N1533"/>
  <c r="N1533" i="30"/>
  <c r="N1533" i="29"/>
  <c r="H1205" i="11"/>
  <c r="L1206" i="31"/>
  <c r="L1206" i="30"/>
  <c r="L1206" i="29"/>
  <c r="H1206" s="1"/>
  <c r="I1346" i="31"/>
  <c r="I1345" s="1"/>
  <c r="I1344" s="1"/>
  <c r="O1346"/>
  <c r="K1611"/>
  <c r="G1610"/>
  <c r="G1609" s="1"/>
  <c r="G1608" s="1"/>
  <c r="G1607" s="1"/>
  <c r="I1569" i="29"/>
  <c r="I1568" s="1"/>
  <c r="I1567" s="1"/>
  <c r="I1566" s="1"/>
  <c r="I1565" s="1"/>
  <c r="G1310"/>
  <c r="G1309" s="1"/>
  <c r="G1308" s="1"/>
  <c r="K1310"/>
  <c r="L1548" i="31"/>
  <c r="L1548" i="30"/>
  <c r="L1548" i="29"/>
  <c r="J1529" i="31"/>
  <c r="J1529" i="30"/>
  <c r="J1529" i="29"/>
  <c r="H1560" i="31"/>
  <c r="H1559" s="1"/>
  <c r="H1558" s="1"/>
  <c r="H1557" s="1"/>
  <c r="H1556" s="1"/>
  <c r="H1555" s="1"/>
  <c r="M1560"/>
  <c r="G1289"/>
  <c r="G1288" s="1"/>
  <c r="G1283" s="1"/>
  <c r="K1289"/>
  <c r="L1626"/>
  <c r="L1626" i="30"/>
  <c r="L1626" i="29"/>
  <c r="H1299"/>
  <c r="H1298" s="1"/>
  <c r="H1297" s="1"/>
  <c r="M1299"/>
  <c r="G1569"/>
  <c r="G1568" s="1"/>
  <c r="G1567" s="1"/>
  <c r="G1566" s="1"/>
  <c r="G1565" s="1"/>
  <c r="I1292" i="30"/>
  <c r="I1291" s="1"/>
  <c r="I1290" s="1"/>
  <c r="H1621" i="31"/>
  <c r="H1620" s="1"/>
  <c r="H1619" s="1"/>
  <c r="H1618" s="1"/>
  <c r="H1617" s="1"/>
  <c r="H1616" s="1"/>
  <c r="H1292" i="29"/>
  <c r="H1291" s="1"/>
  <c r="H1290" s="1"/>
  <c r="M1292"/>
  <c r="H1332" i="30"/>
  <c r="H1331" s="1"/>
  <c r="G1299" i="29"/>
  <c r="G1298" s="1"/>
  <c r="G1297" s="1"/>
  <c r="G1552"/>
  <c r="G1551" s="1"/>
  <c r="G1550" s="1"/>
  <c r="K1552"/>
  <c r="I1205" i="11"/>
  <c r="N1206" i="31"/>
  <c r="N1206" i="30"/>
  <c r="N1206" i="29"/>
  <c r="H1215" i="11"/>
  <c r="L1216" i="31"/>
  <c r="L1216" i="30"/>
  <c r="L1216" i="29"/>
  <c r="G1229" i="11"/>
  <c r="J1230" i="31"/>
  <c r="J1230" i="30"/>
  <c r="J1230" i="29"/>
  <c r="I1248" i="11"/>
  <c r="N1249" i="31"/>
  <c r="N1249" i="30"/>
  <c r="N1249" i="29"/>
  <c r="N1262" i="31"/>
  <c r="O1262" s="1"/>
  <c r="N1262" i="30"/>
  <c r="O1262" s="1"/>
  <c r="N1262" i="29"/>
  <c r="O1262" s="1"/>
  <c r="J1276" i="31"/>
  <c r="K1276" s="1"/>
  <c r="J1276" i="30"/>
  <c r="K1276" s="1"/>
  <c r="J1276" i="29"/>
  <c r="K1276" s="1"/>
  <c r="K1621"/>
  <c r="G1620"/>
  <c r="G1619" s="1"/>
  <c r="G1618" s="1"/>
  <c r="G1617" s="1"/>
  <c r="G1616" s="1"/>
  <c r="J1342" i="31"/>
  <c r="J1342" i="30"/>
  <c r="J1342" i="29"/>
  <c r="N1301" i="31"/>
  <c r="N1301" i="30"/>
  <c r="N1301" i="29"/>
  <c r="N1626" i="31"/>
  <c r="N1626" i="30"/>
  <c r="O1626" s="1"/>
  <c r="N1626" i="29"/>
  <c r="N1345" i="31"/>
  <c r="O1345" s="1"/>
  <c r="N1345" i="30"/>
  <c r="N1345" i="29"/>
  <c r="G1560" i="30"/>
  <c r="G1559" s="1"/>
  <c r="G1558" s="1"/>
  <c r="H1552"/>
  <c r="H1551" s="1"/>
  <c r="H1550" s="1"/>
  <c r="H1310"/>
  <c r="H1309" s="1"/>
  <c r="H1308" s="1"/>
  <c r="M1310"/>
  <c r="G1598" i="29"/>
  <c r="G1597" s="1"/>
  <c r="G1596" s="1"/>
  <c r="G1589" s="1"/>
  <c r="G1588" s="1"/>
  <c r="G1587" s="1"/>
  <c r="G1586" s="1"/>
  <c r="G1578" s="1"/>
  <c r="G1564" i="31"/>
  <c r="G1563" s="1"/>
  <c r="G1562" s="1"/>
  <c r="G1561" s="1"/>
  <c r="N1334"/>
  <c r="N1334" i="30"/>
  <c r="N1334" i="29"/>
  <c r="L1301" i="31"/>
  <c r="L1301" i="30"/>
  <c r="L1301" i="29"/>
  <c r="G1549" i="30"/>
  <c r="G1548" s="1"/>
  <c r="G1547" s="1"/>
  <c r="I1299" i="31"/>
  <c r="I1298" s="1"/>
  <c r="I1297" s="1"/>
  <c r="I1569" i="30"/>
  <c r="I1568" s="1"/>
  <c r="I1567" s="1"/>
  <c r="I1566" s="1"/>
  <c r="I1565" s="1"/>
  <c r="O1569"/>
  <c r="H1346" i="31"/>
  <c r="H1345" s="1"/>
  <c r="H1344" s="1"/>
  <c r="G1310" i="30"/>
  <c r="G1309" s="1"/>
  <c r="G1308" s="1"/>
  <c r="I1606" i="31"/>
  <c r="I1605" s="1"/>
  <c r="I1604" s="1"/>
  <c r="I1603" s="1"/>
  <c r="I1602" s="1"/>
  <c r="I1601" s="1"/>
  <c r="I1600" s="1"/>
  <c r="I1599" s="1"/>
  <c r="O1606"/>
  <c r="I1560" i="29"/>
  <c r="I1559" s="1"/>
  <c r="I1558" s="1"/>
  <c r="I1557" s="1"/>
  <c r="I1556" s="1"/>
  <c r="I1555" s="1"/>
  <c r="O1560"/>
  <c r="I1538"/>
  <c r="I1537" s="1"/>
  <c r="I1533" s="1"/>
  <c r="I1532" s="1"/>
  <c r="H1335"/>
  <c r="H1334" s="1"/>
  <c r="H1333" s="1"/>
  <c r="G1302" i="30"/>
  <c r="G1301" s="1"/>
  <c r="G1300" s="1"/>
  <c r="K1302"/>
  <c r="L1559" i="31"/>
  <c r="M1559" s="1"/>
  <c r="L1559" i="30"/>
  <c r="M1559" s="1"/>
  <c r="L1559" i="29"/>
  <c r="J1288" i="31"/>
  <c r="K1288" s="1"/>
  <c r="J1288" i="30"/>
  <c r="J1288" i="29"/>
  <c r="H1299" i="30"/>
  <c r="H1298" s="1"/>
  <c r="H1297" s="1"/>
  <c r="G1569"/>
  <c r="G1568" s="1"/>
  <c r="G1567" s="1"/>
  <c r="G1566" s="1"/>
  <c r="G1565" s="1"/>
  <c r="K1569"/>
  <c r="I1292" i="31"/>
  <c r="I1291" s="1"/>
  <c r="I1290" s="1"/>
  <c r="L1620"/>
  <c r="L1620" i="30"/>
  <c r="M1620" s="1"/>
  <c r="L1620" i="29"/>
  <c r="H1292" i="30"/>
  <c r="H1291" s="1"/>
  <c r="H1290" s="1"/>
  <c r="M1292"/>
  <c r="I1552" i="29"/>
  <c r="I1551" s="1"/>
  <c r="I1550" s="1"/>
  <c r="H1332" i="31"/>
  <c r="H1331" s="1"/>
  <c r="G1299"/>
  <c r="G1298" s="1"/>
  <c r="G1297" s="1"/>
  <c r="O1629" i="29"/>
  <c r="G1552" i="30"/>
  <c r="G1551" s="1"/>
  <c r="G1550" s="1"/>
  <c r="I1215" i="11"/>
  <c r="N1216" i="31"/>
  <c r="N1216" i="30"/>
  <c r="N1216" i="29"/>
  <c r="H1229" i="11"/>
  <c r="L1230" i="31"/>
  <c r="L1230" i="30"/>
  <c r="L1230" i="29"/>
  <c r="G1251" i="11"/>
  <c r="J1252" i="31"/>
  <c r="J1252" i="30"/>
  <c r="J1252" i="29"/>
  <c r="L1262" i="31"/>
  <c r="M1262" s="1"/>
  <c r="L1262" i="30"/>
  <c r="M1262" s="1"/>
  <c r="L1262" i="29"/>
  <c r="M1262" s="1"/>
  <c r="N1276" i="31"/>
  <c r="O1276" s="1"/>
  <c r="N1276" i="30"/>
  <c r="O1276" s="1"/>
  <c r="N1276" i="29"/>
  <c r="O1276" s="1"/>
  <c r="G1621" i="30"/>
  <c r="G1620" s="1"/>
  <c r="G1619" s="1"/>
  <c r="G1618" s="1"/>
  <c r="G1617" s="1"/>
  <c r="G1616" s="1"/>
  <c r="K1621"/>
  <c r="O1530" i="29"/>
  <c r="I1530"/>
  <c r="I1529" s="1"/>
  <c r="I1528" s="1"/>
  <c r="I1527" s="1"/>
  <c r="I1526" s="1"/>
  <c r="I1525" s="1"/>
  <c r="H1316"/>
  <c r="H1315" s="1"/>
  <c r="H1314" s="1"/>
  <c r="M1316"/>
  <c r="G1292"/>
  <c r="G1291" s="1"/>
  <c r="G1290" s="1"/>
  <c r="G1577"/>
  <c r="G1576" s="1"/>
  <c r="G1575" s="1"/>
  <c r="G1574" s="1"/>
  <c r="G1573" s="1"/>
  <c r="G1572" s="1"/>
  <c r="G1571" s="1"/>
  <c r="G1570" s="1"/>
  <c r="K1577"/>
  <c r="K1560" i="31"/>
  <c r="G1559"/>
  <c r="G1558" s="1"/>
  <c r="G1557" s="1"/>
  <c r="H1552"/>
  <c r="H1551" s="1"/>
  <c r="H1550" s="1"/>
  <c r="M1552"/>
  <c r="H1310"/>
  <c r="H1309" s="1"/>
  <c r="H1308" s="1"/>
  <c r="G1598" i="30"/>
  <c r="G1597" s="1"/>
  <c r="G1596" s="1"/>
  <c r="K1598"/>
  <c r="K1672" i="29"/>
  <c r="J1563" i="31"/>
  <c r="J1563" i="30"/>
  <c r="K1563" s="1"/>
  <c r="J1563" i="29"/>
  <c r="K1563" s="1"/>
  <c r="M1530"/>
  <c r="H1529"/>
  <c r="H1528" s="1"/>
  <c r="H1527" s="1"/>
  <c r="H1526" s="1"/>
  <c r="H1525" s="1"/>
  <c r="G1316"/>
  <c r="G1315" s="1"/>
  <c r="G1314" s="1"/>
  <c r="K1316"/>
  <c r="I1289"/>
  <c r="I1288" s="1"/>
  <c r="O1672" i="30"/>
  <c r="G1549" i="31"/>
  <c r="G1548" s="1"/>
  <c r="G1547" s="1"/>
  <c r="N1298"/>
  <c r="N1298" i="30"/>
  <c r="N1298" i="29"/>
  <c r="I1569" i="31"/>
  <c r="I1568" s="1"/>
  <c r="I1567" s="1"/>
  <c r="I1566" s="1"/>
  <c r="I1565" s="1"/>
  <c r="L1345"/>
  <c r="M1345" s="1"/>
  <c r="L1345" i="30"/>
  <c r="L1345" i="29"/>
  <c r="G1310" i="31"/>
  <c r="G1309" s="1"/>
  <c r="G1308" s="1"/>
  <c r="K1310"/>
  <c r="N1605"/>
  <c r="N1605" i="30"/>
  <c r="N1605" i="29"/>
  <c r="I1560" i="30"/>
  <c r="I1559" s="1"/>
  <c r="I1558" s="1"/>
  <c r="I1557" s="1"/>
  <c r="I1556" s="1"/>
  <c r="I1555" s="1"/>
  <c r="I1554" s="1"/>
  <c r="I1553" s="1"/>
  <c r="I1538"/>
  <c r="I1537" s="1"/>
  <c r="H1335"/>
  <c r="H1334" s="1"/>
  <c r="H1333" s="1"/>
  <c r="M1335"/>
  <c r="G1302" i="31"/>
  <c r="G1301" s="1"/>
  <c r="G1300" s="1"/>
  <c r="H1606" i="29"/>
  <c r="H1605" s="1"/>
  <c r="H1604" s="1"/>
  <c r="H1603" s="1"/>
  <c r="H1602" s="1"/>
  <c r="H1601" s="1"/>
  <c r="H1600" s="1"/>
  <c r="H1599" s="1"/>
  <c r="M1538"/>
  <c r="H1537"/>
  <c r="H1533" s="1"/>
  <c r="H1532" s="1"/>
  <c r="H1299" i="31"/>
  <c r="H1298" s="1"/>
  <c r="H1297" s="1"/>
  <c r="M1299"/>
  <c r="G1569"/>
  <c r="G1568" s="1"/>
  <c r="G1567" s="1"/>
  <c r="G1566" s="1"/>
  <c r="G1565" s="1"/>
  <c r="N1291"/>
  <c r="N1291" i="30"/>
  <c r="O1291" s="1"/>
  <c r="N1291" i="29"/>
  <c r="H1292" i="31"/>
  <c r="H1291" s="1"/>
  <c r="H1290" s="1"/>
  <c r="I1552" i="30"/>
  <c r="I1551" s="1"/>
  <c r="I1550" s="1"/>
  <c r="L1331" i="31"/>
  <c r="L1331" i="30"/>
  <c r="L1331" i="29"/>
  <c r="J1298" i="31"/>
  <c r="J1298" i="30"/>
  <c r="J1298" i="29"/>
  <c r="K1298" s="1"/>
  <c r="K1552" i="31"/>
  <c r="G1551"/>
  <c r="G1550" s="1"/>
  <c r="G1215" i="11"/>
  <c r="J1216" i="31"/>
  <c r="J1216" i="30"/>
  <c r="J1216" i="29"/>
  <c r="H1248" i="11"/>
  <c r="L1249" i="31"/>
  <c r="L1249" i="30"/>
  <c r="L1249" i="29"/>
  <c r="G1262" i="11"/>
  <c r="J1263" i="31"/>
  <c r="J1263" i="30"/>
  <c r="J1263" i="29"/>
  <c r="G1263" s="1"/>
  <c r="G1343" i="31"/>
  <c r="G1342" s="1"/>
  <c r="G1341" s="1"/>
  <c r="K1343"/>
  <c r="I1627"/>
  <c r="I1626" s="1"/>
  <c r="I1625" s="1"/>
  <c r="I1624" s="1"/>
  <c r="I1623" s="1"/>
  <c r="I1622" s="1"/>
  <c r="H1552" i="29"/>
  <c r="H1551" s="1"/>
  <c r="H1550" s="1"/>
  <c r="M1552"/>
  <c r="G1564" i="30"/>
  <c r="G1563" s="1"/>
  <c r="G1562" s="1"/>
  <c r="G1561" s="1"/>
  <c r="K1564"/>
  <c r="H1302" i="31"/>
  <c r="H1301" s="1"/>
  <c r="H1300" s="1"/>
  <c r="M1302"/>
  <c r="O1299" i="30"/>
  <c r="I1299"/>
  <c r="I1298" s="1"/>
  <c r="I1297" s="1"/>
  <c r="G1302" i="29"/>
  <c r="G1301" s="1"/>
  <c r="G1300" s="1"/>
  <c r="K1302"/>
  <c r="J1271" i="31"/>
  <c r="K1271" s="1"/>
  <c r="J1271" i="30"/>
  <c r="K1271" s="1"/>
  <c r="J1271" i="29"/>
  <c r="K1271" s="1"/>
  <c r="G1292" i="30"/>
  <c r="G1291" s="1"/>
  <c r="G1290" s="1"/>
  <c r="K1292"/>
  <c r="L1309" i="31"/>
  <c r="M1309" s="1"/>
  <c r="L1309" i="30"/>
  <c r="M1309" s="1"/>
  <c r="L1309" i="29"/>
  <c r="M1309" s="1"/>
  <c r="G1316" i="30"/>
  <c r="G1315" s="1"/>
  <c r="G1314" s="1"/>
  <c r="H1335" i="31"/>
  <c r="H1334" s="1"/>
  <c r="H1333" s="1"/>
  <c r="M1335"/>
  <c r="H1606" i="30"/>
  <c r="H1605" s="1"/>
  <c r="H1604" s="1"/>
  <c r="H1603" s="1"/>
  <c r="H1602" s="1"/>
  <c r="H1601" s="1"/>
  <c r="H1600" s="1"/>
  <c r="H1599" s="1"/>
  <c r="J1568" i="31"/>
  <c r="K1568" s="1"/>
  <c r="J1568" i="30"/>
  <c r="J1568" i="29"/>
  <c r="I1552" i="31"/>
  <c r="I1551" s="1"/>
  <c r="I1550" s="1"/>
  <c r="I1251" i="11"/>
  <c r="N1252" i="31"/>
  <c r="N1252" i="30"/>
  <c r="N1252" i="29"/>
  <c r="N1271" i="31"/>
  <c r="O1271" s="1"/>
  <c r="N1271" i="30"/>
  <c r="O1271" s="1"/>
  <c r="N1271" i="29"/>
  <c r="O1271" s="1"/>
  <c r="G1316" i="31"/>
  <c r="G1315" s="1"/>
  <c r="G1314" s="1"/>
  <c r="G1335" i="30"/>
  <c r="G1334" s="1"/>
  <c r="G1333" s="1"/>
  <c r="G1606" i="29"/>
  <c r="G1605" s="1"/>
  <c r="G1604" s="1"/>
  <c r="G1603" s="1"/>
  <c r="G1602" s="1"/>
  <c r="K1606"/>
  <c r="N1559" i="31"/>
  <c r="N1559" i="30"/>
  <c r="N1559" i="29"/>
  <c r="O1559" s="1"/>
  <c r="I1621"/>
  <c r="I1620" s="1"/>
  <c r="I1619" s="1"/>
  <c r="I1618" s="1"/>
  <c r="I1617" s="1"/>
  <c r="I1616" s="1"/>
  <c r="N1551" i="31"/>
  <c r="N1551" i="30"/>
  <c r="O1551" s="1"/>
  <c r="N1551" i="29"/>
  <c r="I1310" i="30"/>
  <c r="I1309" s="1"/>
  <c r="I1308" s="1"/>
  <c r="I1316" i="29"/>
  <c r="I1315" s="1"/>
  <c r="I1314" s="1"/>
  <c r="O1316"/>
  <c r="N1201" i="31"/>
  <c r="O1201" s="1"/>
  <c r="N1201" i="30"/>
  <c r="O1201" s="1"/>
  <c r="N1201" i="29"/>
  <c r="O1201" s="1"/>
  <c r="G1208" i="11"/>
  <c r="J1209" i="31"/>
  <c r="J1209" i="30"/>
  <c r="J1209" i="29"/>
  <c r="I1223" i="11"/>
  <c r="N1224" i="31"/>
  <c r="N1224" i="30"/>
  <c r="N1224" i="29"/>
  <c r="H1245" i="11"/>
  <c r="L1246" i="31"/>
  <c r="L1246" i="30"/>
  <c r="L1246" i="29"/>
  <c r="G1259" i="11"/>
  <c r="J1260" i="31"/>
  <c r="J1260" i="30"/>
  <c r="J1260" i="29"/>
  <c r="L1271" i="31"/>
  <c r="M1271" s="1"/>
  <c r="L1271" i="30"/>
  <c r="M1271" s="1"/>
  <c r="L1271" i="29"/>
  <c r="M1271" s="1"/>
  <c r="J1533" i="31"/>
  <c r="J1533" i="30"/>
  <c r="J1533" i="29"/>
  <c r="M1672" i="30"/>
  <c r="N1529" i="31"/>
  <c r="N1529" i="30"/>
  <c r="N1529" i="29"/>
  <c r="O1529" s="1"/>
  <c r="L1315" i="31"/>
  <c r="L1315" i="30"/>
  <c r="L1315" i="29"/>
  <c r="M1315" s="1"/>
  <c r="J1291" i="31"/>
  <c r="J1291" i="30"/>
  <c r="J1291" i="29"/>
  <c r="K1291" s="1"/>
  <c r="J1576" i="31"/>
  <c r="J1576" i="30"/>
  <c r="J1576" i="29"/>
  <c r="K1576" s="1"/>
  <c r="G1313" i="30"/>
  <c r="G1312" s="1"/>
  <c r="G1311" s="1"/>
  <c r="I1343"/>
  <c r="I1342" s="1"/>
  <c r="I1341" s="1"/>
  <c r="O1343"/>
  <c r="H1343" i="29"/>
  <c r="H1342" s="1"/>
  <c r="H1341" s="1"/>
  <c r="O1549" i="31"/>
  <c r="I1548"/>
  <c r="I1547" s="1"/>
  <c r="L1529"/>
  <c r="L1529" i="30"/>
  <c r="L1529" i="29"/>
  <c r="M1529" s="1"/>
  <c r="J1315" i="31"/>
  <c r="K1315" s="1"/>
  <c r="J1315" i="30"/>
  <c r="K1315" s="1"/>
  <c r="J1315" i="29"/>
  <c r="N1288" i="31"/>
  <c r="N1288" i="30"/>
  <c r="O1288" s="1"/>
  <c r="N1288" i="29"/>
  <c r="G1335" i="31"/>
  <c r="G1334" s="1"/>
  <c r="K1335"/>
  <c r="M1649" i="29"/>
  <c r="G1606" i="30"/>
  <c r="G1605" s="1"/>
  <c r="G1604" s="1"/>
  <c r="G1603" s="1"/>
  <c r="G1602" s="1"/>
  <c r="I1332" i="31"/>
  <c r="I1331" s="1"/>
  <c r="O1332"/>
  <c r="G1332" i="29"/>
  <c r="G1331" s="1"/>
  <c r="H1549"/>
  <c r="H1548" s="1"/>
  <c r="H1547" s="1"/>
  <c r="H1546" s="1"/>
  <c r="G1530"/>
  <c r="G1529" s="1"/>
  <c r="G1528" s="1"/>
  <c r="G1527" s="1"/>
  <c r="G1526" s="1"/>
  <c r="G1525" s="1"/>
  <c r="K1530"/>
  <c r="H1289" i="30"/>
  <c r="H1288" s="1"/>
  <c r="H1283" s="1"/>
  <c r="L1605" i="31"/>
  <c r="L1605" i="30"/>
  <c r="L1605" i="29"/>
  <c r="L1537" i="31"/>
  <c r="L1537" i="30"/>
  <c r="L1537" i="29"/>
  <c r="H1627"/>
  <c r="H1626" s="1"/>
  <c r="H1625" s="1"/>
  <c r="H1624" s="1"/>
  <c r="H1623" s="1"/>
  <c r="H1622" s="1"/>
  <c r="G1538" i="30"/>
  <c r="G1537" s="1"/>
  <c r="G1533" s="1"/>
  <c r="G1532" s="1"/>
  <c r="I1621"/>
  <c r="I1620" s="1"/>
  <c r="I1619" s="1"/>
  <c r="I1618" s="1"/>
  <c r="I1617" s="1"/>
  <c r="I1616" s="1"/>
  <c r="G1627" i="31"/>
  <c r="G1626" s="1"/>
  <c r="G1625" s="1"/>
  <c r="G1624" s="1"/>
  <c r="G1623" s="1"/>
  <c r="G1622" s="1"/>
  <c r="K1627"/>
  <c r="H1569" i="29"/>
  <c r="H1568" s="1"/>
  <c r="G1346" i="31"/>
  <c r="G1345" s="1"/>
  <c r="G1344" s="1"/>
  <c r="I1310"/>
  <c r="I1309" s="1"/>
  <c r="I1308" s="1"/>
  <c r="I1316" i="30"/>
  <c r="I1315" s="1"/>
  <c r="I1314" s="1"/>
  <c r="O1316"/>
  <c r="I1302" i="31"/>
  <c r="I1301" s="1"/>
  <c r="I1300" s="1"/>
  <c r="O1302"/>
  <c r="G1560" i="29"/>
  <c r="G1559" s="1"/>
  <c r="L1342" i="31"/>
  <c r="L1342" i="30"/>
  <c r="L1342" i="29"/>
  <c r="M1342" s="1"/>
  <c r="G1549"/>
  <c r="G1548" s="1"/>
  <c r="G1547" s="1"/>
  <c r="K1549"/>
  <c r="M1346" i="30"/>
  <c r="H1345"/>
  <c r="H1344" s="1"/>
  <c r="J1331" i="31"/>
  <c r="J1331" i="30"/>
  <c r="J1331" i="29"/>
  <c r="O1606" i="30"/>
  <c r="I1606"/>
  <c r="I1605" s="1"/>
  <c r="I1604" s="1"/>
  <c r="I1603" s="1"/>
  <c r="I1602" s="1"/>
  <c r="I1601" s="1"/>
  <c r="I1600" s="1"/>
  <c r="I1599" s="1"/>
  <c r="L1568" i="31"/>
  <c r="L1568" i="30"/>
  <c r="M1568" s="1"/>
  <c r="L1568" i="29"/>
  <c r="G1223" i="11"/>
  <c r="J1224" i="31"/>
  <c r="J1224" i="30"/>
  <c r="J1224" i="29"/>
  <c r="H1251" i="11"/>
  <c r="L1252" i="31"/>
  <c r="L1252" i="30"/>
  <c r="L1252" i="29"/>
  <c r="I1530" i="30"/>
  <c r="I1529" s="1"/>
  <c r="I1528" s="1"/>
  <c r="I1527" s="1"/>
  <c r="I1526" s="1"/>
  <c r="I1525" s="1"/>
  <c r="O1530"/>
  <c r="J1559" i="31"/>
  <c r="K1559" s="1"/>
  <c r="J1559" i="30"/>
  <c r="J1559" i="29"/>
  <c r="G1598" i="31"/>
  <c r="G1597" s="1"/>
  <c r="G1596" s="1"/>
  <c r="G1589" s="1"/>
  <c r="G1588" s="1"/>
  <c r="G1587" s="1"/>
  <c r="G1586" s="1"/>
  <c r="G1578" s="1"/>
  <c r="K1598"/>
  <c r="H1530" i="30"/>
  <c r="H1529" s="1"/>
  <c r="H1528" s="1"/>
  <c r="N1568" i="31"/>
  <c r="N1568" i="30"/>
  <c r="O1568" s="1"/>
  <c r="N1568" i="29"/>
  <c r="O1568" s="1"/>
  <c r="I1560" i="31"/>
  <c r="I1559" s="1"/>
  <c r="I1558" s="1"/>
  <c r="I1557" s="1"/>
  <c r="I1556" s="1"/>
  <c r="I1555" s="1"/>
  <c r="J1301"/>
  <c r="K1301" s="1"/>
  <c r="J1301" i="30"/>
  <c r="J1301" i="29"/>
  <c r="H1538" i="30"/>
  <c r="H1537" s="1"/>
  <c r="H1533" s="1"/>
  <c r="H1532" s="1"/>
  <c r="L1298" i="31"/>
  <c r="M1298" s="1"/>
  <c r="L1298" i="30"/>
  <c r="L1298" i="29"/>
  <c r="M1298" s="1"/>
  <c r="G1627"/>
  <c r="G1626" s="1"/>
  <c r="G1625" s="1"/>
  <c r="G1624" s="1"/>
  <c r="G1623" s="1"/>
  <c r="G1622" s="1"/>
  <c r="G1346"/>
  <c r="G1345" s="1"/>
  <c r="G1344" s="1"/>
  <c r="J1551" i="31"/>
  <c r="K1551" s="1"/>
  <c r="J1551" i="30"/>
  <c r="J1551" i="29"/>
  <c r="G1245" i="11"/>
  <c r="J1246" i="31"/>
  <c r="J1246" i="30"/>
  <c r="J1246" i="29"/>
  <c r="J1620" i="31"/>
  <c r="J1620" i="30"/>
  <c r="K1620" s="1"/>
  <c r="J1620" i="29"/>
  <c r="H1316" i="31"/>
  <c r="H1315" s="1"/>
  <c r="H1314" s="1"/>
  <c r="H1307" s="1"/>
  <c r="H1306" s="1"/>
  <c r="H1305" s="1"/>
  <c r="H1304" s="1"/>
  <c r="H1303" s="1"/>
  <c r="M1316"/>
  <c r="K1577"/>
  <c r="G1576"/>
  <c r="O1343" i="29"/>
  <c r="I1342"/>
  <c r="I1341" s="1"/>
  <c r="H1530" i="31"/>
  <c r="H1529" s="1"/>
  <c r="H1528" s="1"/>
  <c r="H1527" s="1"/>
  <c r="H1526" s="1"/>
  <c r="H1525" s="1"/>
  <c r="I1289"/>
  <c r="I1288" s="1"/>
  <c r="I1332" i="30"/>
  <c r="I1331" s="1"/>
  <c r="L1334" i="31"/>
  <c r="M1334" s="1"/>
  <c r="L1334" i="30"/>
  <c r="L1334" i="29"/>
  <c r="M1334" s="1"/>
  <c r="H1606" i="31"/>
  <c r="H1605" s="1"/>
  <c r="H1604" s="1"/>
  <c r="H1603" s="1"/>
  <c r="H1602" s="1"/>
  <c r="H1601" s="1"/>
  <c r="H1600" s="1"/>
  <c r="H1599" s="1"/>
  <c r="M1606"/>
  <c r="L1201"/>
  <c r="M1201" s="1"/>
  <c r="L1201" i="30"/>
  <c r="M1201" s="1"/>
  <c r="L1201" i="29"/>
  <c r="M1201" s="1"/>
  <c r="H1208" i="11"/>
  <c r="L1209" i="31"/>
  <c r="H1209" s="1"/>
  <c r="L1209" i="30"/>
  <c r="L1209" i="29"/>
  <c r="H1209" s="1"/>
  <c r="G1226" i="11"/>
  <c r="J1227" i="31"/>
  <c r="J1227" i="30"/>
  <c r="J1227" i="29"/>
  <c r="I1245" i="11"/>
  <c r="N1246" i="31"/>
  <c r="N1246" i="30"/>
  <c r="N1246" i="29"/>
  <c r="N1259" i="31"/>
  <c r="O1259" s="1"/>
  <c r="N1259" i="30"/>
  <c r="O1259" s="1"/>
  <c r="N1259" i="29"/>
  <c r="O1259" s="1"/>
  <c r="G1274" i="11"/>
  <c r="J1275" i="31"/>
  <c r="J1275" i="30"/>
  <c r="J1275" i="29"/>
  <c r="J1548" i="31"/>
  <c r="J1548" i="30"/>
  <c r="K1548" s="1"/>
  <c r="J1548" i="29"/>
  <c r="K1548" s="1"/>
  <c r="G1343"/>
  <c r="G1342" s="1"/>
  <c r="G1341" s="1"/>
  <c r="I1302"/>
  <c r="I1301" s="1"/>
  <c r="I1300" s="1"/>
  <c r="O1302"/>
  <c r="I1627"/>
  <c r="I1626" s="1"/>
  <c r="I1625" s="1"/>
  <c r="I1624" s="1"/>
  <c r="I1623" s="1"/>
  <c r="I1622" s="1"/>
  <c r="I1615" s="1"/>
  <c r="I1614" s="1"/>
  <c r="I1613" s="1"/>
  <c r="I1346"/>
  <c r="I1345" s="1"/>
  <c r="I1344" s="1"/>
  <c r="O1346"/>
  <c r="G1313" i="31"/>
  <c r="G1312" s="1"/>
  <c r="G1311" s="1"/>
  <c r="I1343"/>
  <c r="I1342" s="1"/>
  <c r="I1341" s="1"/>
  <c r="I1340" s="1"/>
  <c r="I1339" s="1"/>
  <c r="I1338" s="1"/>
  <c r="I1337" s="1"/>
  <c r="I1336" s="1"/>
  <c r="H1343" i="30"/>
  <c r="H1342" s="1"/>
  <c r="H1341" s="1"/>
  <c r="G1611" i="29"/>
  <c r="G1610" s="1"/>
  <c r="G1609" s="1"/>
  <c r="G1608" s="1"/>
  <c r="G1607" s="1"/>
  <c r="N1548" i="31"/>
  <c r="N1548" i="30"/>
  <c r="N1548" i="29"/>
  <c r="O1335"/>
  <c r="I1334"/>
  <c r="I1333" s="1"/>
  <c r="H1302"/>
  <c r="H1301" s="1"/>
  <c r="H1300" s="1"/>
  <c r="M1302"/>
  <c r="J1334" i="31"/>
  <c r="K1334" s="1"/>
  <c r="J1334" i="30"/>
  <c r="J1334" i="29"/>
  <c r="G1606" i="31"/>
  <c r="G1605" s="1"/>
  <c r="G1604" s="1"/>
  <c r="G1603" s="1"/>
  <c r="G1602" s="1"/>
  <c r="K1606"/>
  <c r="N1331"/>
  <c r="O1331" s="1"/>
  <c r="N1331" i="30"/>
  <c r="O1331" s="1"/>
  <c r="N1331" i="29"/>
  <c r="K1332" i="30"/>
  <c r="G1332"/>
  <c r="G1331" s="1"/>
  <c r="H1549"/>
  <c r="H1548" s="1"/>
  <c r="H1547" s="1"/>
  <c r="M1549"/>
  <c r="G1530"/>
  <c r="G1529" s="1"/>
  <c r="G1528" s="1"/>
  <c r="G1527" s="1"/>
  <c r="G1526" s="1"/>
  <c r="G1525" s="1"/>
  <c r="H1289" i="31"/>
  <c r="H1288" s="1"/>
  <c r="H1283" s="1"/>
  <c r="M1289"/>
  <c r="M1560" i="29"/>
  <c r="H1559"/>
  <c r="H1558" s="1"/>
  <c r="H1557" s="1"/>
  <c r="H1556" s="1"/>
  <c r="H1555" s="1"/>
  <c r="G1289"/>
  <c r="G1288" s="1"/>
  <c r="G1283" s="1"/>
  <c r="K1289"/>
  <c r="H1627" i="30"/>
  <c r="H1626" s="1"/>
  <c r="H1625" s="1"/>
  <c r="H1624" s="1"/>
  <c r="H1623" s="1"/>
  <c r="H1622" s="1"/>
  <c r="G1538" i="31"/>
  <c r="G1537" s="1"/>
  <c r="O1621"/>
  <c r="I1621"/>
  <c r="I1620" s="1"/>
  <c r="H1621" i="29"/>
  <c r="H1620" s="1"/>
  <c r="H1619" s="1"/>
  <c r="H1618" s="1"/>
  <c r="H1617" s="1"/>
  <c r="H1616" s="1"/>
  <c r="M1621"/>
  <c r="J1626" i="31"/>
  <c r="K1626" s="1"/>
  <c r="J1626" i="30"/>
  <c r="K1626" s="1"/>
  <c r="J1626" i="29"/>
  <c r="H1569" i="30"/>
  <c r="H1568" s="1"/>
  <c r="H1567" s="1"/>
  <c r="H1566" s="1"/>
  <c r="H1565" s="1"/>
  <c r="M1569"/>
  <c r="J1345" i="31"/>
  <c r="J1345" i="30"/>
  <c r="J1345" i="29"/>
  <c r="K1345" s="1"/>
  <c r="N1309" i="31"/>
  <c r="N1309" i="30"/>
  <c r="O1309" s="1"/>
  <c r="N1309" i="29"/>
  <c r="I1316" i="31"/>
  <c r="I1315" s="1"/>
  <c r="L1226"/>
  <c r="M1226" s="1"/>
  <c r="L1226" i="30"/>
  <c r="M1226" s="1"/>
  <c r="L1226" i="29"/>
  <c r="M1226" s="1"/>
  <c r="I1274" i="11"/>
  <c r="I1270" s="1"/>
  <c r="N1275" i="31"/>
  <c r="N1275" i="30"/>
  <c r="N1275" i="29"/>
  <c r="H1310"/>
  <c r="H1309" s="1"/>
  <c r="H1308" s="1"/>
  <c r="I1335" i="31"/>
  <c r="I1334" s="1"/>
  <c r="I1333" s="1"/>
  <c r="I1229" i="11"/>
  <c r="N1230" i="31"/>
  <c r="N1230" i="30"/>
  <c r="N1230" i="29"/>
  <c r="L1276" i="31"/>
  <c r="M1276" s="1"/>
  <c r="L1276" i="30"/>
  <c r="M1276" s="1"/>
  <c r="L1276" i="29"/>
  <c r="M1276" s="1"/>
  <c r="G1621" i="31"/>
  <c r="G1620" s="1"/>
  <c r="G1619" s="1"/>
  <c r="G1618" s="1"/>
  <c r="G1617" s="1"/>
  <c r="G1616" s="1"/>
  <c r="H1316" i="30"/>
  <c r="H1315" s="1"/>
  <c r="H1314" s="1"/>
  <c r="H1307" s="1"/>
  <c r="H1306" s="1"/>
  <c r="H1305" s="1"/>
  <c r="H1304" s="1"/>
  <c r="H1303" s="1"/>
  <c r="M1316"/>
  <c r="G1577"/>
  <c r="G1576" s="1"/>
  <c r="G1575" s="1"/>
  <c r="G1574" s="1"/>
  <c r="G1573" s="1"/>
  <c r="G1572" s="1"/>
  <c r="G1571" s="1"/>
  <c r="G1570" s="1"/>
  <c r="L1551" i="31"/>
  <c r="L1551" i="30"/>
  <c r="L1551" i="29"/>
  <c r="M1551" s="1"/>
  <c r="I1549"/>
  <c r="I1548" s="1"/>
  <c r="I1547" s="1"/>
  <c r="I1289" i="30"/>
  <c r="I1288" s="1"/>
  <c r="I1283" s="1"/>
  <c r="G1335" i="29"/>
  <c r="G1334" s="1"/>
  <c r="G1333" s="1"/>
  <c r="I1332"/>
  <c r="I1331" s="1"/>
  <c r="J1309" i="31"/>
  <c r="K1309" s="1"/>
  <c r="J1309" i="30"/>
  <c r="K1309" s="1"/>
  <c r="J1309" i="29"/>
  <c r="I1538" i="31"/>
  <c r="I1537" s="1"/>
  <c r="L1291"/>
  <c r="L1291" i="30"/>
  <c r="M1291" s="1"/>
  <c r="L1291" i="29"/>
  <c r="O1310"/>
  <c r="I1309"/>
  <c r="I1308" s="1"/>
  <c r="J1201" i="31"/>
  <c r="K1201" s="1"/>
  <c r="J1201" i="30"/>
  <c r="K1201" s="1"/>
  <c r="J1201" i="29"/>
  <c r="K1201" s="1"/>
  <c r="H1223" i="11"/>
  <c r="L1224" i="31"/>
  <c r="L1224" i="30"/>
  <c r="L1224" i="29"/>
  <c r="L1533" i="31"/>
  <c r="L1533" i="30"/>
  <c r="M1533" s="1"/>
  <c r="L1533" i="29"/>
  <c r="I1530" i="31"/>
  <c r="I1529" s="1"/>
  <c r="I1528" s="1"/>
  <c r="I1527" s="1"/>
  <c r="I1526" s="1"/>
  <c r="I1525" s="1"/>
  <c r="O1530"/>
  <c r="G1292"/>
  <c r="G1291" s="1"/>
  <c r="G1290" s="1"/>
  <c r="G1313" i="29"/>
  <c r="G1312" s="1"/>
  <c r="G1311" s="1"/>
  <c r="K1313"/>
  <c r="J1597" i="31"/>
  <c r="J1597" i="30"/>
  <c r="J1597" i="29"/>
  <c r="I1549" i="30"/>
  <c r="I1548" s="1"/>
  <c r="I1547" s="1"/>
  <c r="O1549"/>
  <c r="N1537" i="31"/>
  <c r="N1537" i="30"/>
  <c r="N1537" i="29"/>
  <c r="H1289"/>
  <c r="H1288" s="1"/>
  <c r="H1283" s="1"/>
  <c r="H1538" i="31"/>
  <c r="H1537" s="1"/>
  <c r="G1538" i="29"/>
  <c r="G1537" s="1"/>
  <c r="G1533" s="1"/>
  <c r="G1532" s="1"/>
  <c r="G1627" i="30"/>
  <c r="G1626" s="1"/>
  <c r="G1625" s="1"/>
  <c r="G1624" s="1"/>
  <c r="G1623" s="1"/>
  <c r="G1622" s="1"/>
  <c r="K1627"/>
  <c r="G1346"/>
  <c r="G1345" s="1"/>
  <c r="G1344" s="1"/>
  <c r="G1205" i="11"/>
  <c r="J1206" i="31"/>
  <c r="J1206" i="30"/>
  <c r="J1206" i="29"/>
  <c r="I1208" i="11"/>
  <c r="N1209" i="31"/>
  <c r="N1209" i="30"/>
  <c r="N1209" i="29"/>
  <c r="N1226" i="31"/>
  <c r="O1226" s="1"/>
  <c r="N1226" i="30"/>
  <c r="O1226" s="1"/>
  <c r="N1226" i="29"/>
  <c r="O1226" s="1"/>
  <c r="G1248" i="11"/>
  <c r="J1249" i="31"/>
  <c r="J1249" i="30"/>
  <c r="J1249" i="29"/>
  <c r="L1259" i="31"/>
  <c r="M1259" s="1"/>
  <c r="L1259" i="30"/>
  <c r="M1259" s="1"/>
  <c r="L1259" i="29"/>
  <c r="M1259" s="1"/>
  <c r="H1274" i="11"/>
  <c r="H1270" s="1"/>
  <c r="L1275" i="31"/>
  <c r="L1275" i="30"/>
  <c r="L1275" i="29"/>
  <c r="G1343" i="30"/>
  <c r="G1342" s="1"/>
  <c r="G1341" s="1"/>
  <c r="G1340" s="1"/>
  <c r="G1339" s="1"/>
  <c r="G1338" s="1"/>
  <c r="G1337" s="1"/>
  <c r="G1336" s="1"/>
  <c r="I1302"/>
  <c r="I1301" s="1"/>
  <c r="I1300" s="1"/>
  <c r="O1302"/>
  <c r="O1627"/>
  <c r="I1627"/>
  <c r="I1626" s="1"/>
  <c r="I1625" s="1"/>
  <c r="I1624" s="1"/>
  <c r="I1623" s="1"/>
  <c r="I1622" s="1"/>
  <c r="O1346"/>
  <c r="I1345"/>
  <c r="I1344" s="1"/>
  <c r="H1647" i="31"/>
  <c r="J1312"/>
  <c r="K1312" s="1"/>
  <c r="J1312" i="30"/>
  <c r="J1312" i="29"/>
  <c r="N1342" i="31"/>
  <c r="N1342" i="30"/>
  <c r="N1342" i="29"/>
  <c r="H1343" i="31"/>
  <c r="H1342" s="1"/>
  <c r="H1341" s="1"/>
  <c r="H1340" s="1"/>
  <c r="H1339" s="1"/>
  <c r="H1338" s="1"/>
  <c r="H1337" s="1"/>
  <c r="H1336" s="1"/>
  <c r="G1611" i="30"/>
  <c r="G1610" s="1"/>
  <c r="G1609" s="1"/>
  <c r="G1608" s="1"/>
  <c r="G1607" s="1"/>
  <c r="K1611"/>
  <c r="G1564" i="29"/>
  <c r="G1563" s="1"/>
  <c r="G1562" s="1"/>
  <c r="G1561" s="1"/>
  <c r="K1564"/>
  <c r="I1335" i="30"/>
  <c r="I1334" s="1"/>
  <c r="I1333" s="1"/>
  <c r="H1302"/>
  <c r="H1301" s="1"/>
  <c r="I1299" i="29"/>
  <c r="I1298" s="1"/>
  <c r="I1297" s="1"/>
  <c r="I1296" s="1"/>
  <c r="I1295" s="1"/>
  <c r="I1294" s="1"/>
  <c r="I1293" s="1"/>
  <c r="J1605" i="31"/>
  <c r="K1605" s="1"/>
  <c r="J1605" i="30"/>
  <c r="K1605" s="1"/>
  <c r="J1605" i="29"/>
  <c r="H1346"/>
  <c r="H1345" s="1"/>
  <c r="H1344" s="1"/>
  <c r="G1332" i="31"/>
  <c r="G1331" s="1"/>
  <c r="G1330" s="1"/>
  <c r="I1606" i="29"/>
  <c r="I1605" s="1"/>
  <c r="I1604" s="1"/>
  <c r="I1603" s="1"/>
  <c r="I1602" s="1"/>
  <c r="I1601" s="1"/>
  <c r="I1600" s="1"/>
  <c r="I1599" s="1"/>
  <c r="O1606"/>
  <c r="H1549" i="31"/>
  <c r="H1548" s="1"/>
  <c r="H1547" s="1"/>
  <c r="G1530"/>
  <c r="G1529" s="1"/>
  <c r="G1528" s="1"/>
  <c r="K1530"/>
  <c r="L1288"/>
  <c r="M1288" s="1"/>
  <c r="L1288" i="30"/>
  <c r="L1288" i="29"/>
  <c r="H1560" i="30"/>
  <c r="H1559" s="1"/>
  <c r="H1558" s="1"/>
  <c r="H1557" s="1"/>
  <c r="H1556" s="1"/>
  <c r="H1555" s="1"/>
  <c r="M1560"/>
  <c r="G1289"/>
  <c r="G1288" s="1"/>
  <c r="H1627" i="31"/>
  <c r="H1626" s="1"/>
  <c r="H1625" s="1"/>
  <c r="H1624" s="1"/>
  <c r="H1623" s="1"/>
  <c r="J1537"/>
  <c r="J1537" i="30"/>
  <c r="J1537" i="29"/>
  <c r="N1620" i="31"/>
  <c r="N1620" i="30"/>
  <c r="O1620" s="1"/>
  <c r="N1620" i="29"/>
  <c r="O1620" s="1"/>
  <c r="I1292"/>
  <c r="I1291" s="1"/>
  <c r="I1290" s="1"/>
  <c r="H1621" i="30"/>
  <c r="H1620" s="1"/>
  <c r="H1619" s="1"/>
  <c r="H1618" s="1"/>
  <c r="H1617" s="1"/>
  <c r="H1616" s="1"/>
  <c r="H1569" i="31"/>
  <c r="H1568" s="1"/>
  <c r="H1567" s="1"/>
  <c r="H1566" s="1"/>
  <c r="H1565" s="1"/>
  <c r="H1332" i="29"/>
  <c r="H1331" s="1"/>
  <c r="M1332"/>
  <c r="G1299" i="30"/>
  <c r="G1298" s="1"/>
  <c r="G1297" s="1"/>
  <c r="N1315" i="31"/>
  <c r="N1315" i="30"/>
  <c r="N1315" i="29"/>
  <c r="O1315" s="1"/>
  <c r="G1270" i="11"/>
  <c r="H1197"/>
  <c r="I1197"/>
  <c r="G1197"/>
  <c r="H1193"/>
  <c r="I1193"/>
  <c r="G1193"/>
  <c r="I1192"/>
  <c r="H1192"/>
  <c r="G1192"/>
  <c r="H1188"/>
  <c r="I1188"/>
  <c r="G1188"/>
  <c r="H1323"/>
  <c r="I1323"/>
  <c r="G1323"/>
  <c r="O1342" i="31" l="1"/>
  <c r="O1331" i="29"/>
  <c r="M1331" i="31"/>
  <c r="H1622"/>
  <c r="O1537" i="29"/>
  <c r="H1340" i="30"/>
  <c r="H1339" s="1"/>
  <c r="H1338" s="1"/>
  <c r="H1337" s="1"/>
  <c r="H1336" s="1"/>
  <c r="G1340" i="31"/>
  <c r="G1339" s="1"/>
  <c r="G1338" s="1"/>
  <c r="G1337" s="1"/>
  <c r="G1336" s="1"/>
  <c r="M1537" i="29"/>
  <c r="G1546" i="31"/>
  <c r="H1307" i="29"/>
  <c r="H1306" s="1"/>
  <c r="H1305" s="1"/>
  <c r="H1304" s="1"/>
  <c r="H1303" s="1"/>
  <c r="O1334" i="30"/>
  <c r="K1289"/>
  <c r="M1291" i="29"/>
  <c r="O1332"/>
  <c r="M1627" i="30"/>
  <c r="K1530"/>
  <c r="O1343" i="31"/>
  <c r="G1340" i="29"/>
  <c r="G1339" s="1"/>
  <c r="G1338" s="1"/>
  <c r="G1337" s="1"/>
  <c r="G1336" s="1"/>
  <c r="O1289" i="31"/>
  <c r="M1569" i="29"/>
  <c r="K1568" i="30"/>
  <c r="O1552"/>
  <c r="H1296" i="31"/>
  <c r="H1295" s="1"/>
  <c r="H1294" s="1"/>
  <c r="H1293" s="1"/>
  <c r="O1538" i="30"/>
  <c r="K1563" i="31"/>
  <c r="G1556"/>
  <c r="G1555" s="1"/>
  <c r="G1296"/>
  <c r="G1295" s="1"/>
  <c r="G1294" s="1"/>
  <c r="G1293" s="1"/>
  <c r="O1292"/>
  <c r="O1299"/>
  <c r="O1334"/>
  <c r="K1342" i="29"/>
  <c r="M1332" i="30"/>
  <c r="K1529"/>
  <c r="I1546" i="29"/>
  <c r="O1605"/>
  <c r="M1288"/>
  <c r="M1302" i="30"/>
  <c r="O1342" i="29"/>
  <c r="M1538" i="31"/>
  <c r="M1533" i="29"/>
  <c r="O1538" i="31"/>
  <c r="O1289" i="30"/>
  <c r="O1560" i="31"/>
  <c r="I1307" i="30"/>
  <c r="I1306" s="1"/>
  <c r="I1305" s="1"/>
  <c r="I1304" s="1"/>
  <c r="I1303" s="1"/>
  <c r="M1605" i="31"/>
  <c r="K1315" i="29"/>
  <c r="M1343"/>
  <c r="O1529" i="31"/>
  <c r="O1551"/>
  <c r="K1316"/>
  <c r="O1291"/>
  <c r="K1302"/>
  <c r="O1298" i="29"/>
  <c r="M1310" i="31"/>
  <c r="K1292" i="29"/>
  <c r="K1310" i="30"/>
  <c r="G1546" i="29"/>
  <c r="O1292" i="30"/>
  <c r="K1342"/>
  <c r="O1309" i="31"/>
  <c r="G1531" i="29"/>
  <c r="G1524" s="1"/>
  <c r="G1523" s="1"/>
  <c r="M1568" i="31"/>
  <c r="M1605" i="30"/>
  <c r="M1569" i="31"/>
  <c r="M1346" i="29"/>
  <c r="O1335" i="30"/>
  <c r="K1597"/>
  <c r="K1309" i="29"/>
  <c r="O1549"/>
  <c r="G1615" i="31"/>
  <c r="G1614" s="1"/>
  <c r="G1613" s="1"/>
  <c r="O1335"/>
  <c r="K1611" i="29"/>
  <c r="M1334" i="30"/>
  <c r="K1559"/>
  <c r="O1310" i="31"/>
  <c r="M1289" i="30"/>
  <c r="K1291"/>
  <c r="O1552" i="31"/>
  <c r="M1331" i="30"/>
  <c r="K1569" i="31"/>
  <c r="O1605"/>
  <c r="M1620" i="29"/>
  <c r="K1288"/>
  <c r="M1301" i="31"/>
  <c r="H1546" i="30"/>
  <c r="K1299" i="29"/>
  <c r="L1270" i="31"/>
  <c r="L1270" i="30"/>
  <c r="L1270" i="29"/>
  <c r="N1270" i="31"/>
  <c r="N1270" i="30"/>
  <c r="N1270" i="29"/>
  <c r="J1197" i="31"/>
  <c r="K1197" s="1"/>
  <c r="J1197" i="30"/>
  <c r="K1197" s="1"/>
  <c r="J1197" i="29"/>
  <c r="K1197" s="1"/>
  <c r="H1275"/>
  <c r="H1274" s="1"/>
  <c r="H1270" s="1"/>
  <c r="M1270" s="1"/>
  <c r="I1230" i="30"/>
  <c r="I1229" s="1"/>
  <c r="I1228" s="1"/>
  <c r="G1227" i="31"/>
  <c r="G1226" s="1"/>
  <c r="G1225" s="1"/>
  <c r="G1246"/>
  <c r="G1245" s="1"/>
  <c r="G1244" s="1"/>
  <c r="K1246"/>
  <c r="H1252" i="30"/>
  <c r="H1251" s="1"/>
  <c r="H1250" s="1"/>
  <c r="I1224" i="29"/>
  <c r="I1223" s="1"/>
  <c r="I1222" s="1"/>
  <c r="O1345" i="30"/>
  <c r="G1230"/>
  <c r="G1229" s="1"/>
  <c r="G1228" s="1"/>
  <c r="I1206"/>
  <c r="I1205" s="1"/>
  <c r="I1200" s="1"/>
  <c r="O1206"/>
  <c r="M1206" i="29"/>
  <c r="H1205"/>
  <c r="L1188" i="31"/>
  <c r="M1188" s="1"/>
  <c r="L1188" i="30"/>
  <c r="M1188" s="1"/>
  <c r="L1188" i="29"/>
  <c r="M1188" s="1"/>
  <c r="N1197" i="31"/>
  <c r="O1197" s="1"/>
  <c r="N1197" i="30"/>
  <c r="O1197" s="1"/>
  <c r="N1197" i="29"/>
  <c r="O1197" s="1"/>
  <c r="G1527" i="31"/>
  <c r="H1275" i="30"/>
  <c r="H1274" s="1"/>
  <c r="G1249" i="31"/>
  <c r="G1248" s="1"/>
  <c r="G1247" s="1"/>
  <c r="N1208"/>
  <c r="N1208" i="30"/>
  <c r="N1208" i="29"/>
  <c r="I1230" i="31"/>
  <c r="I1229" s="1"/>
  <c r="I1228" s="1"/>
  <c r="I1275" i="30"/>
  <c r="I1274" s="1"/>
  <c r="I1270" s="1"/>
  <c r="O1275"/>
  <c r="K1537" i="31"/>
  <c r="G1533"/>
  <c r="G1532" s="1"/>
  <c r="G1531" s="1"/>
  <c r="J1226"/>
  <c r="J1226" i="30"/>
  <c r="J1226" i="29"/>
  <c r="O1288" i="31"/>
  <c r="I1283"/>
  <c r="J1245"/>
  <c r="K1245" s="1"/>
  <c r="J1245" i="30"/>
  <c r="J1245" i="29"/>
  <c r="H1252" i="31"/>
  <c r="H1251" s="1"/>
  <c r="H1250" s="1"/>
  <c r="K1538" i="30"/>
  <c r="I1340"/>
  <c r="I1339" s="1"/>
  <c r="I1338" s="1"/>
  <c r="I1337" s="1"/>
  <c r="I1336" s="1"/>
  <c r="G1260"/>
  <c r="G1259" s="1"/>
  <c r="G1258" s="1"/>
  <c r="I1224"/>
  <c r="I1223" s="1"/>
  <c r="I1222" s="1"/>
  <c r="G1601" i="29"/>
  <c r="G1600" s="1"/>
  <c r="G1599" s="1"/>
  <c r="I1252"/>
  <c r="I1251" s="1"/>
  <c r="I1250" s="1"/>
  <c r="J1262" i="31"/>
  <c r="J1262" i="30"/>
  <c r="J1262" i="29"/>
  <c r="J1215" i="31"/>
  <c r="J1215" i="30"/>
  <c r="K1215" s="1"/>
  <c r="J1215" i="29"/>
  <c r="H1546" i="31"/>
  <c r="H1230" i="30"/>
  <c r="H1229" s="1"/>
  <c r="H1228" s="1"/>
  <c r="M1230"/>
  <c r="K1552"/>
  <c r="G1230" i="31"/>
  <c r="G1229" s="1"/>
  <c r="G1228" s="1"/>
  <c r="K1230"/>
  <c r="I1206"/>
  <c r="I1205" s="1"/>
  <c r="I1200" s="1"/>
  <c r="O1206"/>
  <c r="H1554"/>
  <c r="H1553" s="1"/>
  <c r="H1206" i="30"/>
  <c r="H1205" s="1"/>
  <c r="H1200" s="1"/>
  <c r="G1191" i="11"/>
  <c r="J1192" i="31"/>
  <c r="J1192" i="30"/>
  <c r="J1192" i="29"/>
  <c r="L1197" i="31"/>
  <c r="M1197" s="1"/>
  <c r="L1197" i="30"/>
  <c r="M1197" s="1"/>
  <c r="L1197" i="29"/>
  <c r="M1197" s="1"/>
  <c r="H1329"/>
  <c r="H1328" s="1"/>
  <c r="H1327" s="1"/>
  <c r="H1326" s="1"/>
  <c r="H1317" s="1"/>
  <c r="H1330"/>
  <c r="K1288" i="30"/>
  <c r="G1283"/>
  <c r="M1549" i="31"/>
  <c r="K1605" i="29"/>
  <c r="O1342" i="30"/>
  <c r="H1275" i="31"/>
  <c r="H1274" s="1"/>
  <c r="M1275"/>
  <c r="J1248"/>
  <c r="J1248" i="30"/>
  <c r="J1248" i="29"/>
  <c r="G1206"/>
  <c r="G1205" s="1"/>
  <c r="G1200" s="1"/>
  <c r="K1206"/>
  <c r="K1538"/>
  <c r="K1292" i="31"/>
  <c r="H1224" i="29"/>
  <c r="H1223" s="1"/>
  <c r="H1222" s="1"/>
  <c r="K1621" i="31"/>
  <c r="N1229"/>
  <c r="N1229" i="30"/>
  <c r="N1229" i="29"/>
  <c r="O1229" s="1"/>
  <c r="I1275" i="31"/>
  <c r="I1274" s="1"/>
  <c r="I1270" s="1"/>
  <c r="O1275"/>
  <c r="O1309" i="29"/>
  <c r="K1626"/>
  <c r="K1538" i="31"/>
  <c r="M1343" i="30"/>
  <c r="O1627" i="29"/>
  <c r="K1548" i="31"/>
  <c r="I1246" i="29"/>
  <c r="I1245" s="1"/>
  <c r="I1244" s="1"/>
  <c r="O1246"/>
  <c r="M1209"/>
  <c r="H1208"/>
  <c r="H1207" s="1"/>
  <c r="M1530" i="31"/>
  <c r="K1620" i="29"/>
  <c r="K1551"/>
  <c r="M1298" i="30"/>
  <c r="I1554" i="31"/>
  <c r="I1553" s="1"/>
  <c r="L1251"/>
  <c r="M1251" s="1"/>
  <c r="L1251" i="30"/>
  <c r="L1251" i="29"/>
  <c r="M1568"/>
  <c r="H1567"/>
  <c r="M1627"/>
  <c r="K1332"/>
  <c r="G1329" i="31"/>
  <c r="G1328" s="1"/>
  <c r="G1327" s="1"/>
  <c r="G1326" s="1"/>
  <c r="G1333"/>
  <c r="M1529" i="30"/>
  <c r="K1313"/>
  <c r="K1291" i="31"/>
  <c r="K1533" i="29"/>
  <c r="G1260" i="31"/>
  <c r="G1259" s="1"/>
  <c r="G1258" s="1"/>
  <c r="K1260"/>
  <c r="I1224"/>
  <c r="I1223" s="1"/>
  <c r="I1222" s="1"/>
  <c r="O1621" i="29"/>
  <c r="K1335" i="30"/>
  <c r="I1252"/>
  <c r="I1251" s="1"/>
  <c r="I1250" s="1"/>
  <c r="M1606"/>
  <c r="I1296"/>
  <c r="I1295" s="1"/>
  <c r="I1294" s="1"/>
  <c r="I1293" s="1"/>
  <c r="O1627" i="31"/>
  <c r="H1249" i="29"/>
  <c r="H1248" s="1"/>
  <c r="H1247" s="1"/>
  <c r="M1249"/>
  <c r="I1546" i="30"/>
  <c r="O1605"/>
  <c r="O1569" i="31"/>
  <c r="O1289" i="29"/>
  <c r="G1554" i="31"/>
  <c r="G1553" s="1"/>
  <c r="H1230"/>
  <c r="H1229" s="1"/>
  <c r="H1228" s="1"/>
  <c r="M1299" i="30"/>
  <c r="I1554" i="29"/>
  <c r="I1553" s="1"/>
  <c r="O1334"/>
  <c r="O1626"/>
  <c r="K1342" i="31"/>
  <c r="J1229"/>
  <c r="J1229" i="30"/>
  <c r="J1229" i="29"/>
  <c r="N1205" i="31"/>
  <c r="O1205" s="1"/>
  <c r="N1205" i="30"/>
  <c r="N1205" i="29"/>
  <c r="H1296"/>
  <c r="H1295" s="1"/>
  <c r="H1294" s="1"/>
  <c r="H1293" s="1"/>
  <c r="K1529"/>
  <c r="O1569"/>
  <c r="H1206" i="31"/>
  <c r="H1205" s="1"/>
  <c r="M1206"/>
  <c r="G1260" i="29"/>
  <c r="G1259" s="1"/>
  <c r="G1258" s="1"/>
  <c r="I1531"/>
  <c r="I1524" s="1"/>
  <c r="I1523" s="1"/>
  <c r="H1191" i="11"/>
  <c r="L1192" i="31"/>
  <c r="L1192" i="30"/>
  <c r="L1192" i="29"/>
  <c r="H1192" s="1"/>
  <c r="G1206" i="30"/>
  <c r="G1205" s="1"/>
  <c r="G1200" s="1"/>
  <c r="K1206"/>
  <c r="H1224"/>
  <c r="H1223" s="1"/>
  <c r="H1222" s="1"/>
  <c r="I1249" i="29"/>
  <c r="I1248" s="1"/>
  <c r="I1247" s="1"/>
  <c r="I1191" i="11"/>
  <c r="N1192" i="31"/>
  <c r="N1192" i="30"/>
  <c r="N1192" i="29"/>
  <c r="K1537"/>
  <c r="H1224" i="31"/>
  <c r="H1223" s="1"/>
  <c r="H1222" s="1"/>
  <c r="M1551" i="30"/>
  <c r="I1246" i="31"/>
  <c r="I1245" s="1"/>
  <c r="I1244" s="1"/>
  <c r="H1531" i="30"/>
  <c r="M1315"/>
  <c r="H1246" i="29"/>
  <c r="H1245" s="1"/>
  <c r="H1244" s="1"/>
  <c r="I1216"/>
  <c r="I1215" s="1"/>
  <c r="I1214" s="1"/>
  <c r="I1213" s="1"/>
  <c r="I1212" s="1"/>
  <c r="I1211" s="1"/>
  <c r="I1210" s="1"/>
  <c r="J1193" i="31"/>
  <c r="K1193" s="1"/>
  <c r="J1193" i="30"/>
  <c r="K1193" s="1"/>
  <c r="J1193" i="29"/>
  <c r="K1193" s="1"/>
  <c r="O1315" i="30"/>
  <c r="H1615"/>
  <c r="H1614" s="1"/>
  <c r="H1613" s="1"/>
  <c r="K1537"/>
  <c r="O1299" i="29"/>
  <c r="K1312" i="30"/>
  <c r="J1205" i="31"/>
  <c r="J1205" i="30"/>
  <c r="J1205" i="29"/>
  <c r="M1537" i="31"/>
  <c r="H1533"/>
  <c r="H1532" s="1"/>
  <c r="H1531" s="1"/>
  <c r="K1597" i="29"/>
  <c r="L1223" i="31"/>
  <c r="L1223" i="30"/>
  <c r="L1223" i="29"/>
  <c r="M1291" i="31"/>
  <c r="K1335" i="29"/>
  <c r="M1551" i="31"/>
  <c r="G1601"/>
  <c r="G1600" s="1"/>
  <c r="G1599" s="1"/>
  <c r="O1548" i="29"/>
  <c r="G1275" i="31"/>
  <c r="G1274" s="1"/>
  <c r="N1245"/>
  <c r="N1245" i="30"/>
  <c r="N1245" i="29"/>
  <c r="L1208" i="31"/>
  <c r="L1208" i="30"/>
  <c r="L1208" i="29"/>
  <c r="M1208" s="1"/>
  <c r="K1346"/>
  <c r="M1538" i="30"/>
  <c r="O1568" i="31"/>
  <c r="G1224"/>
  <c r="G1223" s="1"/>
  <c r="G1222" s="1"/>
  <c r="K1331" i="30"/>
  <c r="M1342" i="31"/>
  <c r="M1537" i="30"/>
  <c r="I1330" i="31"/>
  <c r="I1329"/>
  <c r="I1328" s="1"/>
  <c r="I1327" s="1"/>
  <c r="I1326" s="1"/>
  <c r="I1317" s="1"/>
  <c r="K1576" i="30"/>
  <c r="M1315" i="31"/>
  <c r="H1246" i="30"/>
  <c r="H1245" s="1"/>
  <c r="H1244" s="1"/>
  <c r="G1209"/>
  <c r="G1208" s="1"/>
  <c r="G1207" s="1"/>
  <c r="G1307" i="31"/>
  <c r="G1306" s="1"/>
  <c r="G1305" s="1"/>
  <c r="G1304" s="1"/>
  <c r="G1303" s="1"/>
  <c r="L1248"/>
  <c r="M1248" s="1"/>
  <c r="L1248" i="30"/>
  <c r="L1248" i="29"/>
  <c r="K1298" i="30"/>
  <c r="M1292" i="31"/>
  <c r="H1531" i="29"/>
  <c r="H1524" s="1"/>
  <c r="H1523" s="1"/>
  <c r="O1298" i="30"/>
  <c r="G1307" i="29"/>
  <c r="G1306" s="1"/>
  <c r="G1305" s="1"/>
  <c r="G1304" s="1"/>
  <c r="G1303" s="1"/>
  <c r="G1589" i="30"/>
  <c r="G1588" s="1"/>
  <c r="G1587" s="1"/>
  <c r="G1586" s="1"/>
  <c r="G1578" s="1"/>
  <c r="G1615"/>
  <c r="G1614" s="1"/>
  <c r="G1613" s="1"/>
  <c r="G1252"/>
  <c r="G1251" s="1"/>
  <c r="G1250" s="1"/>
  <c r="I1216"/>
  <c r="I1215" s="1"/>
  <c r="I1214" s="1"/>
  <c r="I1213" s="1"/>
  <c r="I1212" s="1"/>
  <c r="I1211" s="1"/>
  <c r="I1210" s="1"/>
  <c r="M1332" i="31"/>
  <c r="M1620"/>
  <c r="M1335" i="29"/>
  <c r="K1549" i="30"/>
  <c r="K1564" i="31"/>
  <c r="K1560" i="30"/>
  <c r="O1301" i="29"/>
  <c r="I1249" i="31"/>
  <c r="I1248" s="1"/>
  <c r="I1247" s="1"/>
  <c r="O1249"/>
  <c r="H1216"/>
  <c r="H1215" s="1"/>
  <c r="H1214" s="1"/>
  <c r="H1213" s="1"/>
  <c r="H1212" s="1"/>
  <c r="M1216"/>
  <c r="M1626"/>
  <c r="M1548" i="29"/>
  <c r="N1188" i="31"/>
  <c r="O1188" s="1"/>
  <c r="N1188" i="30"/>
  <c r="O1188" s="1"/>
  <c r="N1188" i="29"/>
  <c r="O1188" s="1"/>
  <c r="G1296" i="30"/>
  <c r="G1295" s="1"/>
  <c r="G1294" s="1"/>
  <c r="G1293" s="1"/>
  <c r="I1209" i="31"/>
  <c r="I1208" s="1"/>
  <c r="I1207" s="1"/>
  <c r="O1315"/>
  <c r="I1314"/>
  <c r="I1307" s="1"/>
  <c r="I1306" s="1"/>
  <c r="I1305" s="1"/>
  <c r="I1304" s="1"/>
  <c r="I1303" s="1"/>
  <c r="G1263"/>
  <c r="G1262" s="1"/>
  <c r="G1261" s="1"/>
  <c r="K1263"/>
  <c r="H1230" i="29"/>
  <c r="H1229" s="1"/>
  <c r="H1228" s="1"/>
  <c r="N1274" i="31"/>
  <c r="N1274" i="30"/>
  <c r="N1274" i="29"/>
  <c r="O1274" s="1"/>
  <c r="H1209" i="30"/>
  <c r="H1208" s="1"/>
  <c r="H1207" s="1"/>
  <c r="K1551"/>
  <c r="N1223" i="31"/>
  <c r="N1223" i="30"/>
  <c r="N1223" i="29"/>
  <c r="O1223" s="1"/>
  <c r="H1249" i="30"/>
  <c r="H1248" s="1"/>
  <c r="H1247" s="1"/>
  <c r="G1615" i="29"/>
  <c r="G1614" s="1"/>
  <c r="G1613" s="1"/>
  <c r="H1216"/>
  <c r="H1215" s="1"/>
  <c r="H1214" s="1"/>
  <c r="H1213" s="1"/>
  <c r="H1212" s="1"/>
  <c r="H1211" s="1"/>
  <c r="H1210" s="1"/>
  <c r="M1626"/>
  <c r="L1205" i="31"/>
  <c r="L1205" i="30"/>
  <c r="L1205" i="29"/>
  <c r="H1554" i="30"/>
  <c r="H1553" s="1"/>
  <c r="K1312" i="29"/>
  <c r="G1206" i="31"/>
  <c r="G1205" s="1"/>
  <c r="M1209"/>
  <c r="H1208"/>
  <c r="H1207" s="1"/>
  <c r="I1340" i="29"/>
  <c r="I1339" s="1"/>
  <c r="I1338" s="1"/>
  <c r="I1337" s="1"/>
  <c r="I1336" s="1"/>
  <c r="G1224" i="30"/>
  <c r="G1223" s="1"/>
  <c r="G1222" s="1"/>
  <c r="K1331" i="29"/>
  <c r="M1342" i="30"/>
  <c r="G1209" i="29"/>
  <c r="G1208" s="1"/>
  <c r="G1207" s="1"/>
  <c r="K1209"/>
  <c r="O1626" i="31"/>
  <c r="I1249" i="30"/>
  <c r="I1248" s="1"/>
  <c r="I1247" s="1"/>
  <c r="O1249"/>
  <c r="M1626"/>
  <c r="O1533" i="29"/>
  <c r="N1323" i="31"/>
  <c r="O1323" s="1"/>
  <c r="N1323" i="30"/>
  <c r="O1323" s="1"/>
  <c r="N1323" i="29"/>
  <c r="O1323" s="1"/>
  <c r="L1323" i="31"/>
  <c r="M1323" s="1"/>
  <c r="L1323" i="30"/>
  <c r="M1323" s="1"/>
  <c r="L1323" i="29"/>
  <c r="M1323" s="1"/>
  <c r="N1193" i="31"/>
  <c r="O1193" s="1"/>
  <c r="N1193" i="30"/>
  <c r="O1193" s="1"/>
  <c r="N1193" i="29"/>
  <c r="O1193" s="1"/>
  <c r="M1621" i="30"/>
  <c r="M1288"/>
  <c r="K1332" i="31"/>
  <c r="K1343" i="30"/>
  <c r="O1209" i="29"/>
  <c r="I1209"/>
  <c r="I1208" s="1"/>
  <c r="I1207" s="1"/>
  <c r="K1346" i="30"/>
  <c r="M1289" i="29"/>
  <c r="O1537" i="31"/>
  <c r="I1533"/>
  <c r="I1532" s="1"/>
  <c r="K1577" i="30"/>
  <c r="M1310" i="29"/>
  <c r="K1345" i="30"/>
  <c r="H1615" i="29"/>
  <c r="H1614" s="1"/>
  <c r="H1613" s="1"/>
  <c r="K1334"/>
  <c r="O1548" i="30"/>
  <c r="K1313" i="31"/>
  <c r="K1343" i="29"/>
  <c r="J1274" i="31"/>
  <c r="J1274" i="30"/>
  <c r="J1274" i="29"/>
  <c r="G1227"/>
  <c r="G1226" s="1"/>
  <c r="G1225" s="1"/>
  <c r="O1332" i="30"/>
  <c r="K1576" i="31"/>
  <c r="G1575"/>
  <c r="G1574" s="1"/>
  <c r="G1246" i="29"/>
  <c r="G1245" s="1"/>
  <c r="G1244" s="1"/>
  <c r="K1246"/>
  <c r="K1301"/>
  <c r="M1530" i="30"/>
  <c r="J1223" i="31"/>
  <c r="J1223" i="30"/>
  <c r="K1223" s="1"/>
  <c r="J1223" i="29"/>
  <c r="K1331" i="31"/>
  <c r="K1560" i="29"/>
  <c r="O1621" i="30"/>
  <c r="K1606"/>
  <c r="H1246" i="31"/>
  <c r="H1245" s="1"/>
  <c r="H1244" s="1"/>
  <c r="G1209"/>
  <c r="G1208" s="1"/>
  <c r="G1207" s="1"/>
  <c r="K1209"/>
  <c r="O1310" i="30"/>
  <c r="O1559"/>
  <c r="I1546" i="31"/>
  <c r="G1307" i="30"/>
  <c r="G1306" s="1"/>
  <c r="G1305" s="1"/>
  <c r="G1304" s="1"/>
  <c r="G1303" s="1"/>
  <c r="K1263" i="29"/>
  <c r="G1262"/>
  <c r="G1261" s="1"/>
  <c r="G1216"/>
  <c r="G1215" s="1"/>
  <c r="K1216"/>
  <c r="K1298" i="31"/>
  <c r="O1291" i="29"/>
  <c r="O1537" i="30"/>
  <c r="I1533"/>
  <c r="I1532" s="1"/>
  <c r="M1345" i="29"/>
  <c r="O1298" i="31"/>
  <c r="G1252"/>
  <c r="G1251" s="1"/>
  <c r="G1250" s="1"/>
  <c r="K1252"/>
  <c r="I1216"/>
  <c r="I1215" s="1"/>
  <c r="I1214" s="1"/>
  <c r="I1213" s="1"/>
  <c r="I1212" s="1"/>
  <c r="I1211" s="1"/>
  <c r="I1210" s="1"/>
  <c r="H1330"/>
  <c r="H1329"/>
  <c r="H1328" s="1"/>
  <c r="H1327" s="1"/>
  <c r="H1326" s="1"/>
  <c r="H1317" s="1"/>
  <c r="G1546" i="30"/>
  <c r="G1531" s="1"/>
  <c r="G1557"/>
  <c r="G1556" s="1"/>
  <c r="G1555" s="1"/>
  <c r="G1554" s="1"/>
  <c r="G1553" s="1"/>
  <c r="O1301"/>
  <c r="N1248" i="31"/>
  <c r="N1248" i="30"/>
  <c r="N1248" i="29"/>
  <c r="L1215" i="31"/>
  <c r="L1215" i="30"/>
  <c r="L1215" i="29"/>
  <c r="M1215" s="1"/>
  <c r="G1296"/>
  <c r="G1295" s="1"/>
  <c r="G1294" s="1"/>
  <c r="G1293" s="1"/>
  <c r="M1548" i="30"/>
  <c r="G1249"/>
  <c r="G1248" s="1"/>
  <c r="G1247" s="1"/>
  <c r="K1249"/>
  <c r="I1275" i="29"/>
  <c r="I1274" s="1"/>
  <c r="I1270" s="1"/>
  <c r="O1270" s="1"/>
  <c r="O1275"/>
  <c r="G1216" i="31"/>
  <c r="G1215" s="1"/>
  <c r="G1214" s="1"/>
  <c r="G1213" s="1"/>
  <c r="G1212" s="1"/>
  <c r="G1211" s="1"/>
  <c r="G1210" s="1"/>
  <c r="J1270"/>
  <c r="J1270" i="30"/>
  <c r="J1270" i="29"/>
  <c r="L1274" i="31"/>
  <c r="L1274" i="30"/>
  <c r="L1274" i="29"/>
  <c r="G1275"/>
  <c r="G1274" s="1"/>
  <c r="G1270" s="1"/>
  <c r="I1246" i="30"/>
  <c r="I1245" s="1"/>
  <c r="I1244" s="1"/>
  <c r="I1243" s="1"/>
  <c r="I1242" s="1"/>
  <c r="I1241" s="1"/>
  <c r="I1240" s="1"/>
  <c r="G1224" i="29"/>
  <c r="G1223" s="1"/>
  <c r="G1222" s="1"/>
  <c r="G1330"/>
  <c r="G1329"/>
  <c r="G1328" s="1"/>
  <c r="G1327" s="1"/>
  <c r="G1326" s="1"/>
  <c r="G1317" s="1"/>
  <c r="M1529" i="31"/>
  <c r="K1533" i="30"/>
  <c r="J1259" i="31"/>
  <c r="J1259" i="30"/>
  <c r="J1259" i="29"/>
  <c r="I1252" i="31"/>
  <c r="I1251" s="1"/>
  <c r="I1250" s="1"/>
  <c r="O1288" i="29"/>
  <c r="I1283"/>
  <c r="L1229" i="31"/>
  <c r="L1229" i="30"/>
  <c r="M1229" s="1"/>
  <c r="L1229" i="29"/>
  <c r="M1229" s="1"/>
  <c r="H1615" i="31"/>
  <c r="H1614" s="1"/>
  <c r="H1613" s="1"/>
  <c r="J1323"/>
  <c r="K1323" s="1"/>
  <c r="J1323" i="30"/>
  <c r="K1323" s="1"/>
  <c r="J1323" i="29"/>
  <c r="K1323" s="1"/>
  <c r="I1330"/>
  <c r="I1329"/>
  <c r="I1328" s="1"/>
  <c r="I1327" s="1"/>
  <c r="I1326" s="1"/>
  <c r="I1317" s="1"/>
  <c r="G1275" i="30"/>
  <c r="G1274" s="1"/>
  <c r="K1620" i="31"/>
  <c r="K1533"/>
  <c r="I1307" i="29"/>
  <c r="I1306" s="1"/>
  <c r="I1305" s="1"/>
  <c r="I1304" s="1"/>
  <c r="I1303" s="1"/>
  <c r="N1251" i="31"/>
  <c r="O1251" s="1"/>
  <c r="N1251" i="30"/>
  <c r="O1251" s="1"/>
  <c r="N1251" i="29"/>
  <c r="O1251" s="1"/>
  <c r="H1249" i="31"/>
  <c r="H1248" s="1"/>
  <c r="H1247" s="1"/>
  <c r="G1252" i="29"/>
  <c r="G1251" s="1"/>
  <c r="G1250" s="1"/>
  <c r="K1252"/>
  <c r="K1299" i="31"/>
  <c r="I1296"/>
  <c r="I1295" s="1"/>
  <c r="I1294" s="1"/>
  <c r="I1293" s="1"/>
  <c r="M1552" i="30"/>
  <c r="H1216"/>
  <c r="H1215" s="1"/>
  <c r="H1214" s="1"/>
  <c r="H1213" s="1"/>
  <c r="H1212" s="1"/>
  <c r="H1211" s="1"/>
  <c r="H1210" s="1"/>
  <c r="M1621" i="31"/>
  <c r="K1529"/>
  <c r="J1188"/>
  <c r="K1188" s="1"/>
  <c r="J1188" i="30"/>
  <c r="K1188" s="1"/>
  <c r="J1188" i="29"/>
  <c r="K1188" s="1"/>
  <c r="L1193" i="31"/>
  <c r="M1193" s="1"/>
  <c r="L1193" i="30"/>
  <c r="M1193" s="1"/>
  <c r="L1193" i="29"/>
  <c r="M1193" s="1"/>
  <c r="K1299" i="30"/>
  <c r="O1292" i="29"/>
  <c r="M1627" i="31"/>
  <c r="M1301" i="30"/>
  <c r="H1300"/>
  <c r="H1296" s="1"/>
  <c r="H1295" s="1"/>
  <c r="H1294" s="1"/>
  <c r="H1293" s="1"/>
  <c r="M1343" i="31"/>
  <c r="G1249" i="29"/>
  <c r="G1248" s="1"/>
  <c r="G1247" s="1"/>
  <c r="K1249"/>
  <c r="I1209" i="30"/>
  <c r="I1208" s="1"/>
  <c r="I1207" s="1"/>
  <c r="K1597" i="31"/>
  <c r="I1230" i="29"/>
  <c r="I1229" s="1"/>
  <c r="I1228" s="1"/>
  <c r="O1230"/>
  <c r="O1316" i="31"/>
  <c r="K1345"/>
  <c r="O1620"/>
  <c r="I1619"/>
  <c r="I1618" s="1"/>
  <c r="I1617" s="1"/>
  <c r="I1616" s="1"/>
  <c r="I1615" s="1"/>
  <c r="I1614" s="1"/>
  <c r="I1613" s="1"/>
  <c r="G1330" i="30"/>
  <c r="G1329"/>
  <c r="G1328" s="1"/>
  <c r="G1327" s="1"/>
  <c r="G1326" s="1"/>
  <c r="K1334"/>
  <c r="O1548" i="31"/>
  <c r="G1227" i="30"/>
  <c r="G1226" s="1"/>
  <c r="G1225" s="1"/>
  <c r="I1330"/>
  <c r="I1329"/>
  <c r="I1328" s="1"/>
  <c r="I1327" s="1"/>
  <c r="I1326" s="1"/>
  <c r="G1246"/>
  <c r="G1245" s="1"/>
  <c r="G1244" s="1"/>
  <c r="K1627" i="29"/>
  <c r="K1301" i="30"/>
  <c r="H1527"/>
  <c r="H1526" s="1"/>
  <c r="H1525" s="1"/>
  <c r="H1524" s="1"/>
  <c r="H1523" s="1"/>
  <c r="H1522" s="1"/>
  <c r="H1252" i="29"/>
  <c r="H1251" s="1"/>
  <c r="H1250" s="1"/>
  <c r="K1559"/>
  <c r="G1558"/>
  <c r="G1557" s="1"/>
  <c r="K1346" i="31"/>
  <c r="I1615" i="30"/>
  <c r="I1614" s="1"/>
  <c r="I1613" s="1"/>
  <c r="M1605" i="29"/>
  <c r="M1549"/>
  <c r="G1601" i="30"/>
  <c r="G1600" s="1"/>
  <c r="G1599" s="1"/>
  <c r="H1340" i="29"/>
  <c r="H1339" s="1"/>
  <c r="H1338" s="1"/>
  <c r="H1337" s="1"/>
  <c r="H1336" s="1"/>
  <c r="O1529" i="30"/>
  <c r="L1245" i="31"/>
  <c r="M1245" s="1"/>
  <c r="L1245" i="30"/>
  <c r="L1245" i="29"/>
  <c r="M1245" s="1"/>
  <c r="J1208" i="31"/>
  <c r="J1208" i="30"/>
  <c r="J1208" i="29"/>
  <c r="O1551"/>
  <c r="O1559" i="31"/>
  <c r="K1568" i="29"/>
  <c r="K1316" i="30"/>
  <c r="G1263"/>
  <c r="G1262" s="1"/>
  <c r="G1261" s="1"/>
  <c r="G1216"/>
  <c r="G1215" s="1"/>
  <c r="G1214" s="1"/>
  <c r="G1213" s="1"/>
  <c r="G1212" s="1"/>
  <c r="G1211" s="1"/>
  <c r="G1210" s="1"/>
  <c r="M1331" i="29"/>
  <c r="M1606"/>
  <c r="O1560" i="30"/>
  <c r="M1345"/>
  <c r="K1549" i="31"/>
  <c r="G1269" i="29"/>
  <c r="G1268" s="1"/>
  <c r="G1267" s="1"/>
  <c r="G1266" s="1"/>
  <c r="G1265" s="1"/>
  <c r="J1251" i="31"/>
  <c r="J1251" i="30"/>
  <c r="J1251" i="29"/>
  <c r="K1251" s="1"/>
  <c r="N1215" i="31"/>
  <c r="N1215" i="30"/>
  <c r="N1215" i="29"/>
  <c r="O1552"/>
  <c r="I1269" i="31"/>
  <c r="I1268" s="1"/>
  <c r="I1267" s="1"/>
  <c r="I1266" s="1"/>
  <c r="I1265" s="1"/>
  <c r="M1559" i="29"/>
  <c r="O1538"/>
  <c r="M1346" i="31"/>
  <c r="M1301" i="29"/>
  <c r="K1598"/>
  <c r="O1345"/>
  <c r="O1301" i="31"/>
  <c r="G1230" i="29"/>
  <c r="G1229" s="1"/>
  <c r="G1228" s="1"/>
  <c r="G1221" s="1"/>
  <c r="G1220" s="1"/>
  <c r="G1219" s="1"/>
  <c r="G1218" s="1"/>
  <c r="G1217" s="1"/>
  <c r="I1206"/>
  <c r="I1205" s="1"/>
  <c r="O1206"/>
  <c r="H1329" i="30"/>
  <c r="H1328" s="1"/>
  <c r="H1327" s="1"/>
  <c r="H1326" s="1"/>
  <c r="H1330"/>
  <c r="K1569" i="29"/>
  <c r="M1548" i="31"/>
  <c r="H1187" i="11"/>
  <c r="H1237"/>
  <c r="I1237"/>
  <c r="G1237"/>
  <c r="O1215" i="30" l="1"/>
  <c r="K1227"/>
  <c r="K1259" i="29"/>
  <c r="G1257"/>
  <c r="G1256" s="1"/>
  <c r="G1255" s="1"/>
  <c r="G1254" s="1"/>
  <c r="G1253" s="1"/>
  <c r="M1246" i="31"/>
  <c r="K1227" i="29"/>
  <c r="O1274" i="31"/>
  <c r="K1209" i="30"/>
  <c r="K1229"/>
  <c r="M1230" i="31"/>
  <c r="G1257"/>
  <c r="G1256" s="1"/>
  <c r="G1255" s="1"/>
  <c r="G1254" s="1"/>
  <c r="G1253" s="1"/>
  <c r="O1229" i="30"/>
  <c r="O1230" i="31"/>
  <c r="K1227"/>
  <c r="O1533"/>
  <c r="M1249" i="30"/>
  <c r="K1259"/>
  <c r="K1275" i="29"/>
  <c r="K1216" i="31"/>
  <c r="H1243"/>
  <c r="H1242" s="1"/>
  <c r="H1241" s="1"/>
  <c r="H1240" s="1"/>
  <c r="H1231" s="1"/>
  <c r="M1230" i="29"/>
  <c r="O1216" i="30"/>
  <c r="M1246"/>
  <c r="O1245" i="29"/>
  <c r="K1205"/>
  <c r="O1246" i="31"/>
  <c r="O1229"/>
  <c r="M1252"/>
  <c r="O1208" i="29"/>
  <c r="K1230" i="30"/>
  <c r="M1246" i="29"/>
  <c r="K1208"/>
  <c r="H1243" i="30"/>
  <c r="H1242" s="1"/>
  <c r="H1241" s="1"/>
  <c r="H1240" s="1"/>
  <c r="K1205"/>
  <c r="I1243" i="31"/>
  <c r="I1242" s="1"/>
  <c r="I1241" s="1"/>
  <c r="I1240" s="1"/>
  <c r="I1231" s="1"/>
  <c r="K1208" i="30"/>
  <c r="M1274" i="29"/>
  <c r="M1248"/>
  <c r="O1245" i="31"/>
  <c r="H1269" i="29"/>
  <c r="H1268" s="1"/>
  <c r="H1267" s="1"/>
  <c r="H1266" s="1"/>
  <c r="H1265" s="1"/>
  <c r="K1245"/>
  <c r="O1208" i="31"/>
  <c r="O1230" i="30"/>
  <c r="O1270" i="31"/>
  <c r="K1274" i="29"/>
  <c r="O1223" i="31"/>
  <c r="K1251"/>
  <c r="K1263" i="30"/>
  <c r="K1208" i="31"/>
  <c r="M1229"/>
  <c r="M1215"/>
  <c r="M1209" i="30"/>
  <c r="M1248"/>
  <c r="K1275" i="31"/>
  <c r="M1224"/>
  <c r="K1260" i="29"/>
  <c r="M1275"/>
  <c r="G1524" i="30"/>
  <c r="G1523" s="1"/>
  <c r="G1522" s="1"/>
  <c r="I1231"/>
  <c r="H1231"/>
  <c r="N1191" i="31"/>
  <c r="N1191" i="30"/>
  <c r="N1191" i="29"/>
  <c r="M1274" i="31"/>
  <c r="H1270"/>
  <c r="J1191"/>
  <c r="J1191" i="30"/>
  <c r="J1191" i="29"/>
  <c r="G1221" i="31"/>
  <c r="G1220" s="1"/>
  <c r="G1219" s="1"/>
  <c r="G1218" s="1"/>
  <c r="G1217" s="1"/>
  <c r="O1270" i="30"/>
  <c r="G1526" i="31"/>
  <c r="G1525" s="1"/>
  <c r="G1524" s="1"/>
  <c r="G1523" s="1"/>
  <c r="M1205" i="29"/>
  <c r="H1200"/>
  <c r="J1237" i="31"/>
  <c r="K1237" s="1"/>
  <c r="J1237" i="30"/>
  <c r="K1237" s="1"/>
  <c r="J1237" i="29"/>
  <c r="K1237" s="1"/>
  <c r="O1215"/>
  <c r="M1245" i="30"/>
  <c r="O1209"/>
  <c r="K1259" i="31"/>
  <c r="O1246" i="30"/>
  <c r="K1270" i="29"/>
  <c r="M1215" i="30"/>
  <c r="K1215" i="29"/>
  <c r="G1214"/>
  <c r="G1213" s="1"/>
  <c r="G1212" s="1"/>
  <c r="G1211" s="1"/>
  <c r="G1210" s="1"/>
  <c r="K1223"/>
  <c r="G1243"/>
  <c r="G1242" s="1"/>
  <c r="G1241" s="1"/>
  <c r="G1240" s="1"/>
  <c r="G1231" s="1"/>
  <c r="K1206" i="31"/>
  <c r="M1216" i="29"/>
  <c r="O1223" i="30"/>
  <c r="O1274"/>
  <c r="H1211" i="31"/>
  <c r="H1210" s="1"/>
  <c r="K1224"/>
  <c r="O1245" i="30"/>
  <c r="H1243" i="29"/>
  <c r="H1242" s="1"/>
  <c r="H1241" s="1"/>
  <c r="H1240" s="1"/>
  <c r="H1231" s="1"/>
  <c r="O1249"/>
  <c r="O1205" i="30"/>
  <c r="O1252"/>
  <c r="H1566" i="29"/>
  <c r="H1565" s="1"/>
  <c r="I1243"/>
  <c r="I1242" s="1"/>
  <c r="I1241" s="1"/>
  <c r="I1240" s="1"/>
  <c r="I1231" s="1"/>
  <c r="M1206" i="30"/>
  <c r="K1215" i="31"/>
  <c r="O1224" i="30"/>
  <c r="K1226" i="29"/>
  <c r="I1221" i="31"/>
  <c r="I1220" s="1"/>
  <c r="I1219" s="1"/>
  <c r="I1218" s="1"/>
  <c r="I1217" s="1"/>
  <c r="O1208" i="30"/>
  <c r="O1224" i="29"/>
  <c r="I1221" i="30"/>
  <c r="I1220" s="1"/>
  <c r="I1219" s="1"/>
  <c r="I1218" s="1"/>
  <c r="I1217" s="1"/>
  <c r="G1556" i="29"/>
  <c r="G1555" s="1"/>
  <c r="G1554" s="1"/>
  <c r="G1553" s="1"/>
  <c r="G1522" s="1"/>
  <c r="K1262"/>
  <c r="K1226" i="30"/>
  <c r="H1317"/>
  <c r="O1248" i="29"/>
  <c r="K1229"/>
  <c r="G1257" i="30"/>
  <c r="G1256" s="1"/>
  <c r="G1255" s="1"/>
  <c r="G1254" s="1"/>
  <c r="G1253" s="1"/>
  <c r="K1246"/>
  <c r="G1317"/>
  <c r="O1248"/>
  <c r="I1531"/>
  <c r="K1224"/>
  <c r="K1274" i="31"/>
  <c r="G1270"/>
  <c r="M1223" i="30"/>
  <c r="H1192" i="31"/>
  <c r="H1191" s="1"/>
  <c r="H1187" s="1"/>
  <c r="K1248" i="29"/>
  <c r="H1221" i="30"/>
  <c r="H1220" s="1"/>
  <c r="H1219" s="1"/>
  <c r="H1218" s="1"/>
  <c r="H1217" s="1"/>
  <c r="K1262" i="31"/>
  <c r="K1260" i="30"/>
  <c r="K1245"/>
  <c r="K1249" i="31"/>
  <c r="M1252" i="30"/>
  <c r="G1573" i="31"/>
  <c r="G1572" s="1"/>
  <c r="G1571" s="1"/>
  <c r="G1570" s="1"/>
  <c r="K1205"/>
  <c r="G1200"/>
  <c r="M1192" i="29"/>
  <c r="H1191"/>
  <c r="G1243" i="30"/>
  <c r="G1242" s="1"/>
  <c r="G1241" s="1"/>
  <c r="G1240" s="1"/>
  <c r="G1231" s="1"/>
  <c r="M1223" i="29"/>
  <c r="H1192" i="30"/>
  <c r="H1191" s="1"/>
  <c r="K1226" i="31"/>
  <c r="L1187"/>
  <c r="M1187" s="1"/>
  <c r="L1187" i="30"/>
  <c r="L1187" i="29"/>
  <c r="G1187" i="11"/>
  <c r="O1205" i="29"/>
  <c r="I1200"/>
  <c r="K1251" i="30"/>
  <c r="K1216"/>
  <c r="M1252" i="29"/>
  <c r="I1317" i="30"/>
  <c r="I1221" i="29"/>
  <c r="I1220" s="1"/>
  <c r="I1219" s="1"/>
  <c r="I1218" s="1"/>
  <c r="I1217" s="1"/>
  <c r="M1249" i="31"/>
  <c r="O1252"/>
  <c r="O1248"/>
  <c r="I1531"/>
  <c r="I1524" s="1"/>
  <c r="I1523" s="1"/>
  <c r="I1522" s="1"/>
  <c r="O1533" i="30"/>
  <c r="M1223" i="31"/>
  <c r="I1192" i="29"/>
  <c r="I1191" s="1"/>
  <c r="H1524" i="31"/>
  <c r="H1523" s="1"/>
  <c r="H1522" s="1"/>
  <c r="L1191"/>
  <c r="L1191" i="30"/>
  <c r="L1191" i="29"/>
  <c r="K1229" i="31"/>
  <c r="H1221"/>
  <c r="H1220" s="1"/>
  <c r="H1219" s="1"/>
  <c r="H1218" s="1"/>
  <c r="H1217" s="1"/>
  <c r="O1224"/>
  <c r="M1251" i="29"/>
  <c r="K1248" i="30"/>
  <c r="G1192" i="29"/>
  <c r="G1191" s="1"/>
  <c r="M1533" i="31"/>
  <c r="M1274" i="30"/>
  <c r="H1270"/>
  <c r="G1221"/>
  <c r="G1220" s="1"/>
  <c r="G1219" s="1"/>
  <c r="G1218" s="1"/>
  <c r="G1217" s="1"/>
  <c r="I1269" i="29"/>
  <c r="I1268" s="1"/>
  <c r="I1267" s="1"/>
  <c r="I1266" s="1"/>
  <c r="I1265" s="1"/>
  <c r="K1274" i="30"/>
  <c r="G1270"/>
  <c r="M1208" i="31"/>
  <c r="I1192"/>
  <c r="I1191" s="1"/>
  <c r="I1187" s="1"/>
  <c r="I1186" s="1"/>
  <c r="I1185" s="1"/>
  <c r="I1184" s="1"/>
  <c r="I1183" s="1"/>
  <c r="G1192"/>
  <c r="G1191" s="1"/>
  <c r="N1237"/>
  <c r="O1237" s="1"/>
  <c r="N1237" i="30"/>
  <c r="O1237" s="1"/>
  <c r="N1237" i="29"/>
  <c r="O1237" s="1"/>
  <c r="L1237" i="31"/>
  <c r="M1237" s="1"/>
  <c r="L1237" i="30"/>
  <c r="M1237" s="1"/>
  <c r="L1237" i="29"/>
  <c r="M1237" s="1"/>
  <c r="O1215" i="31"/>
  <c r="K1223"/>
  <c r="M1205"/>
  <c r="H1200"/>
  <c r="K1262" i="30"/>
  <c r="I1187" i="11"/>
  <c r="K1230" i="29"/>
  <c r="M1216" i="30"/>
  <c r="K1275"/>
  <c r="K1224" i="29"/>
  <c r="I1269" i="30"/>
  <c r="I1268" s="1"/>
  <c r="I1267" s="1"/>
  <c r="I1266" s="1"/>
  <c r="O1216" i="31"/>
  <c r="M1205" i="30"/>
  <c r="H1221" i="29"/>
  <c r="H1220" s="1"/>
  <c r="H1219" s="1"/>
  <c r="H1218" s="1"/>
  <c r="H1217" s="1"/>
  <c r="O1209" i="31"/>
  <c r="K1252" i="30"/>
  <c r="M1208"/>
  <c r="O1216" i="29"/>
  <c r="I1192" i="30"/>
  <c r="I1191" s="1"/>
  <c r="I1187" s="1"/>
  <c r="I1186" s="1"/>
  <c r="I1185" s="1"/>
  <c r="I1184" s="1"/>
  <c r="I1183" s="1"/>
  <c r="M1224"/>
  <c r="I1522" i="29"/>
  <c r="G1317" i="31"/>
  <c r="M1251" i="30"/>
  <c r="M1224" i="29"/>
  <c r="K1248" i="31"/>
  <c r="G1192" i="30"/>
  <c r="G1191" s="1"/>
  <c r="G1187" s="1"/>
  <c r="G1186" s="1"/>
  <c r="G1185" s="1"/>
  <c r="G1184" s="1"/>
  <c r="G1183" s="1"/>
  <c r="K1192"/>
  <c r="O1252" i="29"/>
  <c r="M1275" i="30"/>
  <c r="G1243" i="31"/>
  <c r="G1242" s="1"/>
  <c r="G1241" s="1"/>
  <c r="G1240" s="1"/>
  <c r="H1179" i="11"/>
  <c r="I1179"/>
  <c r="G1180"/>
  <c r="I1169"/>
  <c r="H1169"/>
  <c r="G1169"/>
  <c r="I1166"/>
  <c r="H1166"/>
  <c r="G1166"/>
  <c r="I1163"/>
  <c r="H1163"/>
  <c r="G1163"/>
  <c r="H1154"/>
  <c r="I1154"/>
  <c r="G1154"/>
  <c r="I1265" i="30" l="1"/>
  <c r="K1192" i="31"/>
  <c r="M1192"/>
  <c r="K1192" i="29"/>
  <c r="M1191" i="31"/>
  <c r="N1154"/>
  <c r="O1154" s="1"/>
  <c r="N1154" i="30"/>
  <c r="O1154" s="1"/>
  <c r="N1154" i="29"/>
  <c r="O1154" s="1"/>
  <c r="K1270" i="30"/>
  <c r="G1269"/>
  <c r="G1268" s="1"/>
  <c r="G1267" s="1"/>
  <c r="G1266" s="1"/>
  <c r="G1265" s="1"/>
  <c r="K1270" i="31"/>
  <c r="G1269"/>
  <c r="G1268" s="1"/>
  <c r="G1267" s="1"/>
  <c r="G1266" s="1"/>
  <c r="G1265" s="1"/>
  <c r="G1522"/>
  <c r="M1270"/>
  <c r="H1269"/>
  <c r="H1268" s="1"/>
  <c r="H1267" s="1"/>
  <c r="H1266" s="1"/>
  <c r="H1265" s="1"/>
  <c r="L1154"/>
  <c r="M1154" s="1"/>
  <c r="L1154" i="30"/>
  <c r="M1154" s="1"/>
  <c r="L1154" i="29"/>
  <c r="M1154" s="1"/>
  <c r="H1168" i="11"/>
  <c r="L1169" i="31"/>
  <c r="L1169" i="30"/>
  <c r="L1169" i="29"/>
  <c r="H1554"/>
  <c r="H1553" s="1"/>
  <c r="H1162" i="11"/>
  <c r="L1163" i="31"/>
  <c r="L1163" i="30"/>
  <c r="L1163" i="29"/>
  <c r="H1163" s="1"/>
  <c r="G1179" i="11"/>
  <c r="J1180" i="31"/>
  <c r="J1180" i="30"/>
  <c r="J1180" i="29"/>
  <c r="K1191"/>
  <c r="G1187"/>
  <c r="G1186" s="1"/>
  <c r="G1185" s="1"/>
  <c r="G1184" s="1"/>
  <c r="G1183" s="1"/>
  <c r="G1182" s="1"/>
  <c r="M1191"/>
  <c r="H1187"/>
  <c r="I1162" i="11"/>
  <c r="N1163" i="31"/>
  <c r="N1163" i="30"/>
  <c r="N1163" i="29"/>
  <c r="N1179" i="31"/>
  <c r="O1179" s="1"/>
  <c r="N1179" i="30"/>
  <c r="O1179" s="1"/>
  <c r="N1179" i="29"/>
  <c r="O1179" s="1"/>
  <c r="O1192" i="30"/>
  <c r="O1192" i="31"/>
  <c r="M1192" i="30"/>
  <c r="J1154" i="31"/>
  <c r="K1154" s="1"/>
  <c r="J1154" i="30"/>
  <c r="K1154" s="1"/>
  <c r="J1154" i="29"/>
  <c r="K1154" s="1"/>
  <c r="N1187" i="31"/>
  <c r="O1187" s="1"/>
  <c r="N1187" i="30"/>
  <c r="O1187" s="1"/>
  <c r="N1187" i="29"/>
  <c r="O1191"/>
  <c r="I1187"/>
  <c r="G1162" i="11"/>
  <c r="J1163" i="31"/>
  <c r="J1163" i="30"/>
  <c r="J1163" i="29"/>
  <c r="G1182" i="30"/>
  <c r="K1191" i="31"/>
  <c r="G1187"/>
  <c r="G1186" s="1"/>
  <c r="G1185" s="1"/>
  <c r="G1184" s="1"/>
  <c r="G1183" s="1"/>
  <c r="I1182" i="30"/>
  <c r="I1182" i="31"/>
  <c r="M1270" i="30"/>
  <c r="H1269"/>
  <c r="H1268" s="1"/>
  <c r="H1267" s="1"/>
  <c r="H1266" s="1"/>
  <c r="H1265" s="1"/>
  <c r="J1187" i="31"/>
  <c r="J1187" i="30"/>
  <c r="K1187" s="1"/>
  <c r="J1187" i="29"/>
  <c r="K1187" s="1"/>
  <c r="M1191" i="30"/>
  <c r="H1187"/>
  <c r="H1186" s="1"/>
  <c r="H1185" s="1"/>
  <c r="H1184" s="1"/>
  <c r="H1183" s="1"/>
  <c r="H1182" s="1"/>
  <c r="K1191"/>
  <c r="O1191"/>
  <c r="I1165" i="11"/>
  <c r="N1166" i="31"/>
  <c r="N1166" i="30"/>
  <c r="N1166" i="29"/>
  <c r="I1166" s="1"/>
  <c r="I1524" i="30"/>
  <c r="I1523" s="1"/>
  <c r="I1522" s="1"/>
  <c r="G1168" i="11"/>
  <c r="J1169" i="31"/>
  <c r="J1169" i="30"/>
  <c r="J1169" i="29"/>
  <c r="I1168" i="11"/>
  <c r="N1169" i="31"/>
  <c r="N1169" i="30"/>
  <c r="N1169" i="29"/>
  <c r="G1165" i="11"/>
  <c r="J1166" i="31"/>
  <c r="J1166" i="30"/>
  <c r="J1166" i="29"/>
  <c r="L1179" i="31"/>
  <c r="M1179" s="1"/>
  <c r="L1179" i="30"/>
  <c r="M1179" s="1"/>
  <c r="L1179" i="29"/>
  <c r="M1179" s="1"/>
  <c r="H1165" i="11"/>
  <c r="L1166" i="31"/>
  <c r="L1166" i="30"/>
  <c r="L1166" i="29"/>
  <c r="G1231" i="31"/>
  <c r="O1192" i="29"/>
  <c r="H1186" i="31"/>
  <c r="H1185" s="1"/>
  <c r="H1184" s="1"/>
  <c r="H1183" s="1"/>
  <c r="H1182" s="1"/>
  <c r="O1191"/>
  <c r="I1147" i="11"/>
  <c r="H1147"/>
  <c r="G1147"/>
  <c r="H1143"/>
  <c r="I1143"/>
  <c r="G1144"/>
  <c r="I1141"/>
  <c r="H1141"/>
  <c r="G1141"/>
  <c r="H1176"/>
  <c r="I1176"/>
  <c r="G1177"/>
  <c r="I1133"/>
  <c r="H1133"/>
  <c r="G1133"/>
  <c r="I1130"/>
  <c r="H1130"/>
  <c r="H1129" s="1"/>
  <c r="G1130"/>
  <c r="I1123"/>
  <c r="H1123"/>
  <c r="G1123"/>
  <c r="I1120"/>
  <c r="H1120"/>
  <c r="G1120"/>
  <c r="H1115"/>
  <c r="I1115"/>
  <c r="G1115"/>
  <c r="H1111"/>
  <c r="I1111"/>
  <c r="G1111"/>
  <c r="H1107"/>
  <c r="I1107"/>
  <c r="G1107"/>
  <c r="I1106"/>
  <c r="H1106"/>
  <c r="G1106"/>
  <c r="H1102"/>
  <c r="I1102"/>
  <c r="G1102"/>
  <c r="G1092"/>
  <c r="H1092"/>
  <c r="I1092"/>
  <c r="I1088"/>
  <c r="H1088"/>
  <c r="G1088"/>
  <c r="I1087"/>
  <c r="H1087"/>
  <c r="G1087"/>
  <c r="H1083"/>
  <c r="I1083"/>
  <c r="G1083"/>
  <c r="H1014"/>
  <c r="I1014"/>
  <c r="G1014"/>
  <c r="G1012"/>
  <c r="I1013"/>
  <c r="H1013"/>
  <c r="I1008"/>
  <c r="H1008"/>
  <c r="G1008"/>
  <c r="G1182" i="31" l="1"/>
  <c r="K1187"/>
  <c r="L1107"/>
  <c r="M1107" s="1"/>
  <c r="L1107" i="30"/>
  <c r="M1107" s="1"/>
  <c r="L1107" i="29"/>
  <c r="M1107" s="1"/>
  <c r="H1140" i="11"/>
  <c r="L1141" i="31"/>
  <c r="L1141" i="30"/>
  <c r="L1141" i="29"/>
  <c r="G1166" i="31"/>
  <c r="G1165" s="1"/>
  <c r="G1164" s="1"/>
  <c r="G1180"/>
  <c r="G1179" s="1"/>
  <c r="G1178" s="1"/>
  <c r="I1086" i="11"/>
  <c r="N1087" i="31"/>
  <c r="N1087" i="30"/>
  <c r="N1087" i="29"/>
  <c r="I1119" i="11"/>
  <c r="N1120" i="31"/>
  <c r="I1120" s="1"/>
  <c r="N1120" i="30"/>
  <c r="N1120" i="29"/>
  <c r="I1140" i="11"/>
  <c r="N1141" i="31"/>
  <c r="N1141" i="30"/>
  <c r="N1141" i="29"/>
  <c r="J1165" i="31"/>
  <c r="K1165" s="1"/>
  <c r="J1165" i="30"/>
  <c r="J1165" i="29"/>
  <c r="J1162" i="31"/>
  <c r="J1162" i="30"/>
  <c r="K1162" s="1"/>
  <c r="J1162" i="29"/>
  <c r="J1179" i="31"/>
  <c r="K1179" s="1"/>
  <c r="J1179" i="30"/>
  <c r="J1179" i="29"/>
  <c r="N1014" i="31"/>
  <c r="O1014" s="1"/>
  <c r="N1014" i="30"/>
  <c r="O1014" s="1"/>
  <c r="N1014" i="29"/>
  <c r="O1014" s="1"/>
  <c r="J1088" i="31"/>
  <c r="K1088" s="1"/>
  <c r="J1088" i="30"/>
  <c r="K1088" s="1"/>
  <c r="J1088" i="29"/>
  <c r="K1088" s="1"/>
  <c r="L1102" i="31"/>
  <c r="M1102" s="1"/>
  <c r="L1102" i="30"/>
  <c r="M1102" s="1"/>
  <c r="L1102" i="29"/>
  <c r="M1102" s="1"/>
  <c r="N1111" i="31"/>
  <c r="O1111" s="1"/>
  <c r="N1111" i="30"/>
  <c r="O1111" s="1"/>
  <c r="N1111" i="29"/>
  <c r="O1111" s="1"/>
  <c r="G1122" i="11"/>
  <c r="J1123" i="31"/>
  <c r="J1123" i="30"/>
  <c r="J1123" i="29"/>
  <c r="H1132" i="11"/>
  <c r="L1133" i="31"/>
  <c r="L1133" i="30"/>
  <c r="L1133" i="29"/>
  <c r="G1143" i="11"/>
  <c r="J1144" i="31"/>
  <c r="J1144" i="30"/>
  <c r="J1144" i="29"/>
  <c r="G1144" s="1"/>
  <c r="L1165" i="31"/>
  <c r="L1165" i="30"/>
  <c r="L1165" i="29"/>
  <c r="J1168" i="31"/>
  <c r="J1168" i="30"/>
  <c r="J1168" i="29"/>
  <c r="M1187"/>
  <c r="H1186"/>
  <c r="H1185" s="1"/>
  <c r="H1184" s="1"/>
  <c r="H1183" s="1"/>
  <c r="H1182" s="1"/>
  <c r="M1163"/>
  <c r="H1162"/>
  <c r="H1161" s="1"/>
  <c r="J1012" i="31"/>
  <c r="K1012" s="1"/>
  <c r="J1012" i="30"/>
  <c r="K1012" s="1"/>
  <c r="J1012" i="29"/>
  <c r="K1012" s="1"/>
  <c r="L1129" i="31"/>
  <c r="L1129" i="30"/>
  <c r="L1129" i="29"/>
  <c r="G1169" i="30"/>
  <c r="G1168" s="1"/>
  <c r="G1167" s="1"/>
  <c r="K1169"/>
  <c r="J1111" i="31"/>
  <c r="K1111" s="1"/>
  <c r="J1111" i="30"/>
  <c r="K1111" s="1"/>
  <c r="J1111" i="29"/>
  <c r="K1111" s="1"/>
  <c r="G1169" i="31"/>
  <c r="G1168" s="1"/>
  <c r="G1167" s="1"/>
  <c r="K1169"/>
  <c r="L1014"/>
  <c r="M1014" s="1"/>
  <c r="L1014" i="30"/>
  <c r="M1014" s="1"/>
  <c r="L1014" i="29"/>
  <c r="M1014" s="1"/>
  <c r="L1111" i="31"/>
  <c r="M1111" s="1"/>
  <c r="L1111" i="30"/>
  <c r="M1111" s="1"/>
  <c r="L1111" i="29"/>
  <c r="M1111" s="1"/>
  <c r="N1143" i="31"/>
  <c r="O1143" s="1"/>
  <c r="N1143" i="30"/>
  <c r="O1143" s="1"/>
  <c r="N1143" i="29"/>
  <c r="O1143" s="1"/>
  <c r="I1169"/>
  <c r="I1168" s="1"/>
  <c r="I1167" s="1"/>
  <c r="H1163" i="30"/>
  <c r="H1162" s="1"/>
  <c r="H1161" s="1"/>
  <c r="L1008" i="31"/>
  <c r="M1008" s="1"/>
  <c r="L1008" i="30"/>
  <c r="M1008" s="1"/>
  <c r="L1008" i="29"/>
  <c r="M1008" s="1"/>
  <c r="H1105" i="11"/>
  <c r="L1106" i="31"/>
  <c r="L1106" i="30"/>
  <c r="H1106" s="1"/>
  <c r="L1106" i="29"/>
  <c r="H1106" s="1"/>
  <c r="G1176" i="11"/>
  <c r="J1177" i="31"/>
  <c r="J1177" i="30"/>
  <c r="J1177" i="29"/>
  <c r="G1177" s="1"/>
  <c r="I1169" i="30"/>
  <c r="I1168" s="1"/>
  <c r="I1167" s="1"/>
  <c r="H1163" i="31"/>
  <c r="H1162" s="1"/>
  <c r="H1161" s="1"/>
  <c r="N1008"/>
  <c r="O1008" s="1"/>
  <c r="N1008" i="30"/>
  <c r="O1008" s="1"/>
  <c r="N1008" i="29"/>
  <c r="O1008" s="1"/>
  <c r="N1083" i="31"/>
  <c r="O1083" s="1"/>
  <c r="N1083" i="30"/>
  <c r="O1083" s="1"/>
  <c r="N1083" i="29"/>
  <c r="O1083" s="1"/>
  <c r="N1092" i="31"/>
  <c r="O1092" s="1"/>
  <c r="N1092" i="30"/>
  <c r="O1092" s="1"/>
  <c r="N1092" i="29"/>
  <c r="O1092" s="1"/>
  <c r="I1105" i="11"/>
  <c r="N1106" i="31"/>
  <c r="N1106" i="30"/>
  <c r="I1106" s="1"/>
  <c r="N1106" i="29"/>
  <c r="N1115" i="31"/>
  <c r="O1115" s="1"/>
  <c r="N1115" i="30"/>
  <c r="O1115" s="1"/>
  <c r="N1115" i="29"/>
  <c r="O1115" s="1"/>
  <c r="G1129" i="11"/>
  <c r="J1130" i="31"/>
  <c r="J1130" i="30"/>
  <c r="J1130" i="29"/>
  <c r="G1130" s="1"/>
  <c r="N1176" i="31"/>
  <c r="O1176" s="1"/>
  <c r="N1176" i="30"/>
  <c r="O1176" s="1"/>
  <c r="N1176" i="29"/>
  <c r="O1176" s="1"/>
  <c r="G1146" i="11"/>
  <c r="J1147" i="31"/>
  <c r="J1147" i="30"/>
  <c r="J1147" i="29"/>
  <c r="I1169" i="31"/>
  <c r="I1168" s="1"/>
  <c r="I1167" s="1"/>
  <c r="M1187" i="30"/>
  <c r="I1163"/>
  <c r="I1162" s="1"/>
  <c r="I1161" s="1"/>
  <c r="L1162" i="31"/>
  <c r="L1162" i="30"/>
  <c r="L1162" i="29"/>
  <c r="H1169" i="31"/>
  <c r="H1168" s="1"/>
  <c r="H1167" s="1"/>
  <c r="H1086" i="11"/>
  <c r="L1087" i="31"/>
  <c r="L1087" i="30"/>
  <c r="L1087" i="29"/>
  <c r="N1102" i="31"/>
  <c r="O1102" s="1"/>
  <c r="N1102" i="30"/>
  <c r="O1102" s="1"/>
  <c r="N1102" i="29"/>
  <c r="O1102" s="1"/>
  <c r="H1166" i="31"/>
  <c r="H1165" s="1"/>
  <c r="H1164" s="1"/>
  <c r="N1165"/>
  <c r="N1165" i="30"/>
  <c r="N1165" i="29"/>
  <c r="J1008" i="31"/>
  <c r="K1008" s="1"/>
  <c r="J1008" i="30"/>
  <c r="K1008" s="1"/>
  <c r="J1008" i="29"/>
  <c r="K1008" s="1"/>
  <c r="L1088" i="31"/>
  <c r="M1088" s="1"/>
  <c r="L1088" i="30"/>
  <c r="M1088" s="1"/>
  <c r="L1088" i="29"/>
  <c r="M1088" s="1"/>
  <c r="H1122" i="11"/>
  <c r="L1123" i="31"/>
  <c r="L1123" i="30"/>
  <c r="L1123" i="29"/>
  <c r="H1123" s="1"/>
  <c r="I1132" i="11"/>
  <c r="N1133" i="31"/>
  <c r="N1133" i="30"/>
  <c r="N1133" i="29"/>
  <c r="H1169"/>
  <c r="H1168" s="1"/>
  <c r="H1167" s="1"/>
  <c r="M1169"/>
  <c r="J1083" i="31"/>
  <c r="K1083" s="1"/>
  <c r="J1083" i="30"/>
  <c r="K1083" s="1"/>
  <c r="J1083" i="29"/>
  <c r="K1083" s="1"/>
  <c r="J1115" i="31"/>
  <c r="K1115" s="1"/>
  <c r="J1115" i="30"/>
  <c r="K1115" s="1"/>
  <c r="J1115" i="29"/>
  <c r="K1115" s="1"/>
  <c r="L1143" i="31"/>
  <c r="M1143" s="1"/>
  <c r="L1143" i="30"/>
  <c r="M1143" s="1"/>
  <c r="L1143" i="29"/>
  <c r="M1143" s="1"/>
  <c r="I1163"/>
  <c r="I1162" s="1"/>
  <c r="I1161" s="1"/>
  <c r="H1169" i="30"/>
  <c r="H1168" s="1"/>
  <c r="H1167" s="1"/>
  <c r="M1169"/>
  <c r="L1092" i="31"/>
  <c r="M1092" s="1"/>
  <c r="L1092" i="30"/>
  <c r="M1092" s="1"/>
  <c r="L1092" i="29"/>
  <c r="M1092" s="1"/>
  <c r="L1130" i="31"/>
  <c r="L1130" i="30"/>
  <c r="L1130" i="29"/>
  <c r="H1146" i="11"/>
  <c r="L1147" i="31"/>
  <c r="L1147" i="30"/>
  <c r="L1147" i="29"/>
  <c r="N1168" i="31"/>
  <c r="N1168" i="30"/>
  <c r="N1168" i="29"/>
  <c r="O1168" s="1"/>
  <c r="O1166"/>
  <c r="I1165"/>
  <c r="I1164" s="1"/>
  <c r="G1163"/>
  <c r="G1162" s="1"/>
  <c r="G1161" s="1"/>
  <c r="I1163" i="31"/>
  <c r="I1162" s="1"/>
  <c r="I1161" s="1"/>
  <c r="O1163"/>
  <c r="G1180" i="29"/>
  <c r="G1179" s="1"/>
  <c r="G1178" s="1"/>
  <c r="H1522"/>
  <c r="L1168" i="31"/>
  <c r="L1168" i="29"/>
  <c r="L1168" i="30"/>
  <c r="J1102" i="31"/>
  <c r="K1102" s="1"/>
  <c r="J1102" i="30"/>
  <c r="K1102" s="1"/>
  <c r="J1102" i="29"/>
  <c r="K1102" s="1"/>
  <c r="H1119" i="11"/>
  <c r="L1120" i="31"/>
  <c r="L1120" i="30"/>
  <c r="L1120" i="29"/>
  <c r="H1166" i="30"/>
  <c r="H1165" s="1"/>
  <c r="H1164" s="1"/>
  <c r="I1166" i="31"/>
  <c r="I1165" s="1"/>
  <c r="I1164" s="1"/>
  <c r="O1166"/>
  <c r="G1163"/>
  <c r="G1162" s="1"/>
  <c r="J1014"/>
  <c r="K1014" s="1"/>
  <c r="J1014" i="30"/>
  <c r="K1014" s="1"/>
  <c r="J1014" i="29"/>
  <c r="K1014" s="1"/>
  <c r="G1132" i="11"/>
  <c r="J1133" i="31"/>
  <c r="J1133" i="30"/>
  <c r="J1133" i="29"/>
  <c r="G1105" i="11"/>
  <c r="J1106" i="31"/>
  <c r="J1106" i="30"/>
  <c r="J1106" i="29"/>
  <c r="O1187"/>
  <c r="I1186"/>
  <c r="I1185" s="1"/>
  <c r="I1184" s="1"/>
  <c r="I1183" s="1"/>
  <c r="I1182" s="1"/>
  <c r="N1088" i="31"/>
  <c r="O1088" s="1"/>
  <c r="N1088" i="30"/>
  <c r="O1088" s="1"/>
  <c r="N1088" i="29"/>
  <c r="O1088" s="1"/>
  <c r="I1122" i="11"/>
  <c r="N1123" i="31"/>
  <c r="N1123" i="30"/>
  <c r="N1123" i="29"/>
  <c r="H1012" i="11"/>
  <c r="L1013" i="31"/>
  <c r="L1013" i="30"/>
  <c r="L1013" i="29"/>
  <c r="L1083" i="31"/>
  <c r="M1083" s="1"/>
  <c r="L1083" i="30"/>
  <c r="M1083" s="1"/>
  <c r="L1083" i="29"/>
  <c r="M1083" s="1"/>
  <c r="J1107" i="31"/>
  <c r="K1107" s="1"/>
  <c r="J1107" i="30"/>
  <c r="K1107" s="1"/>
  <c r="J1107" i="29"/>
  <c r="K1107" s="1"/>
  <c r="L1115" i="31"/>
  <c r="M1115" s="1"/>
  <c r="L1115" i="30"/>
  <c r="M1115" s="1"/>
  <c r="L1115" i="29"/>
  <c r="M1115" s="1"/>
  <c r="L1176" i="31"/>
  <c r="M1176" s="1"/>
  <c r="L1176" i="30"/>
  <c r="M1176" s="1"/>
  <c r="L1176" i="29"/>
  <c r="M1176" s="1"/>
  <c r="G1166"/>
  <c r="G1165" s="1"/>
  <c r="G1164" s="1"/>
  <c r="I1012" i="11"/>
  <c r="N1013" i="31"/>
  <c r="N1013" i="30"/>
  <c r="N1013" i="29"/>
  <c r="G1086" i="11"/>
  <c r="J1087" i="31"/>
  <c r="J1087" i="30"/>
  <c r="J1087" i="29"/>
  <c r="J1092" i="31"/>
  <c r="K1092" s="1"/>
  <c r="J1092" i="30"/>
  <c r="K1092" s="1"/>
  <c r="J1092" i="29"/>
  <c r="K1092" s="1"/>
  <c r="N1107" i="31"/>
  <c r="O1107" s="1"/>
  <c r="N1107" i="30"/>
  <c r="O1107" s="1"/>
  <c r="N1107" i="29"/>
  <c r="O1107" s="1"/>
  <c r="G1119" i="11"/>
  <c r="J1120" i="31"/>
  <c r="J1120" i="30"/>
  <c r="J1120" i="29"/>
  <c r="I1129" i="11"/>
  <c r="N1130" i="31"/>
  <c r="N1130" i="30"/>
  <c r="N1130" i="29"/>
  <c r="G1140" i="11"/>
  <c r="J1141" i="31"/>
  <c r="J1141" i="30"/>
  <c r="J1141" i="29"/>
  <c r="I1146" i="11"/>
  <c r="N1147" i="31"/>
  <c r="N1147" i="30"/>
  <c r="N1147" i="29"/>
  <c r="H1166"/>
  <c r="H1165" s="1"/>
  <c r="G1166" i="30"/>
  <c r="G1165" s="1"/>
  <c r="G1164" s="1"/>
  <c r="K1166"/>
  <c r="G1169" i="29"/>
  <c r="G1168" s="1"/>
  <c r="G1167" s="1"/>
  <c r="I1166" i="30"/>
  <c r="I1165" s="1"/>
  <c r="I1164" s="1"/>
  <c r="G1163"/>
  <c r="G1162" s="1"/>
  <c r="G1161" s="1"/>
  <c r="N1162" i="31"/>
  <c r="N1162" i="30"/>
  <c r="N1162" i="29"/>
  <c r="G1180" i="30"/>
  <c r="G1179" s="1"/>
  <c r="G1178" s="1"/>
  <c r="K1180"/>
  <c r="H1003" i="11"/>
  <c r="I1003"/>
  <c r="G1003"/>
  <c r="H999"/>
  <c r="I999"/>
  <c r="G999"/>
  <c r="I997"/>
  <c r="H997"/>
  <c r="G997"/>
  <c r="I995"/>
  <c r="H995"/>
  <c r="G995"/>
  <c r="H991"/>
  <c r="I991"/>
  <c r="G991"/>
  <c r="I822"/>
  <c r="H822"/>
  <c r="G822"/>
  <c r="I429"/>
  <c r="H429"/>
  <c r="G429"/>
  <c r="K1168" i="29" l="1"/>
  <c r="O1162" i="30"/>
  <c r="M1166"/>
  <c r="K1163" i="29"/>
  <c r="M1166" i="31"/>
  <c r="K1168" i="30"/>
  <c r="O1162" i="31"/>
  <c r="M1168" i="29"/>
  <c r="I1160"/>
  <c r="I1159" s="1"/>
  <c r="I1158" s="1"/>
  <c r="I1157" s="1"/>
  <c r="I1148" s="1"/>
  <c r="O1169"/>
  <c r="M1165" i="30"/>
  <c r="O1163"/>
  <c r="K1179"/>
  <c r="K1169" i="29"/>
  <c r="K1180"/>
  <c r="M1163" i="31"/>
  <c r="H996" i="11"/>
  <c r="L997" i="31"/>
  <c r="L997" i="30"/>
  <c r="L997" i="29"/>
  <c r="I1130" i="30"/>
  <c r="I1129" s="1"/>
  <c r="I1128" s="1"/>
  <c r="M1106" i="29"/>
  <c r="H1105"/>
  <c r="H1101" s="1"/>
  <c r="G1144" i="30"/>
  <c r="G1143" s="1"/>
  <c r="G1142" s="1"/>
  <c r="G1123"/>
  <c r="G1122" s="1"/>
  <c r="G1121" s="1"/>
  <c r="J991" i="31"/>
  <c r="K991" s="1"/>
  <c r="J991" i="30"/>
  <c r="K991" s="1"/>
  <c r="J991" i="29"/>
  <c r="K991" s="1"/>
  <c r="I996" i="11"/>
  <c r="N997" i="31"/>
  <c r="N997" i="30"/>
  <c r="N997" i="29"/>
  <c r="I1147" i="31"/>
  <c r="I1146" s="1"/>
  <c r="I1145" s="1"/>
  <c r="I1130"/>
  <c r="I1129" s="1"/>
  <c r="I1128" s="1"/>
  <c r="O1130"/>
  <c r="I1013" i="29"/>
  <c r="I1012" s="1"/>
  <c r="I1007" s="1"/>
  <c r="O1013"/>
  <c r="I1123"/>
  <c r="I1122" s="1"/>
  <c r="I1121" s="1"/>
  <c r="O1123"/>
  <c r="G1133" i="31"/>
  <c r="G1132" s="1"/>
  <c r="G1131" s="1"/>
  <c r="L1146"/>
  <c r="L1146" i="30"/>
  <c r="L1146" i="29"/>
  <c r="I1133" i="31"/>
  <c r="I1132" s="1"/>
  <c r="I1131" s="1"/>
  <c r="O1133"/>
  <c r="L1086"/>
  <c r="L1086" i="30"/>
  <c r="M1086" s="1"/>
  <c r="L1086" i="29"/>
  <c r="H1160" i="31"/>
  <c r="H1159" s="1"/>
  <c r="H1158" s="1"/>
  <c r="H1157" s="1"/>
  <c r="M1106" i="30"/>
  <c r="H1105"/>
  <c r="G1144" i="31"/>
  <c r="G1143" s="1"/>
  <c r="G1142" s="1"/>
  <c r="G1123"/>
  <c r="G1122" s="1"/>
  <c r="G1121" s="1"/>
  <c r="K1123"/>
  <c r="I1141" i="29"/>
  <c r="I1140" s="1"/>
  <c r="I1139" s="1"/>
  <c r="I1087"/>
  <c r="I1086" s="1"/>
  <c r="O1087"/>
  <c r="H1141"/>
  <c r="H1140" s="1"/>
  <c r="H1139" s="1"/>
  <c r="M1141"/>
  <c r="N991" i="31"/>
  <c r="O991" s="1"/>
  <c r="N991" i="30"/>
  <c r="O991" s="1"/>
  <c r="N991" i="29"/>
  <c r="O991" s="1"/>
  <c r="J999" i="31"/>
  <c r="K999" s="1"/>
  <c r="J999" i="30"/>
  <c r="K999" s="1"/>
  <c r="J999" i="29"/>
  <c r="K999" s="1"/>
  <c r="O1162"/>
  <c r="N1146" i="31"/>
  <c r="N1146" i="30"/>
  <c r="N1146" i="29"/>
  <c r="O1146" s="1"/>
  <c r="N1129" i="31"/>
  <c r="N1129" i="30"/>
  <c r="N1129" i="29"/>
  <c r="I1013" i="30"/>
  <c r="I1012" s="1"/>
  <c r="I1123"/>
  <c r="I1122" s="1"/>
  <c r="I1121" s="1"/>
  <c r="J1132" i="31"/>
  <c r="K1132" s="1"/>
  <c r="J1132" i="30"/>
  <c r="J1132" i="29"/>
  <c r="H1130"/>
  <c r="H1129" s="1"/>
  <c r="H1128" s="1"/>
  <c r="O1163"/>
  <c r="N1132" i="31"/>
  <c r="O1132" s="1"/>
  <c r="N1132" i="30"/>
  <c r="O1132" s="1"/>
  <c r="N1132" i="29"/>
  <c r="M1169" i="31"/>
  <c r="O1169"/>
  <c r="O1169" i="30"/>
  <c r="H1106" i="31"/>
  <c r="H1105" s="1"/>
  <c r="H1101" s="1"/>
  <c r="K1168"/>
  <c r="J1143"/>
  <c r="K1143" s="1"/>
  <c r="J1143" i="30"/>
  <c r="J1143" i="29"/>
  <c r="J1122" i="31"/>
  <c r="K1122" s="1"/>
  <c r="J1122" i="30"/>
  <c r="K1122" s="1"/>
  <c r="J1122" i="29"/>
  <c r="K1162"/>
  <c r="I1141" i="30"/>
  <c r="I1140" s="1"/>
  <c r="I1139" s="1"/>
  <c r="O1141"/>
  <c r="I1087"/>
  <c r="I1086" s="1"/>
  <c r="H1141"/>
  <c r="H1140" s="1"/>
  <c r="H1139" s="1"/>
  <c r="M1141"/>
  <c r="J1086" i="31"/>
  <c r="J1086" i="30"/>
  <c r="J1086" i="29"/>
  <c r="H1147" i="31"/>
  <c r="H1146" s="1"/>
  <c r="I1133" i="30"/>
  <c r="I1132" s="1"/>
  <c r="I1131" s="1"/>
  <c r="O1133"/>
  <c r="I1123" i="31"/>
  <c r="I1122" s="1"/>
  <c r="I1121" s="1"/>
  <c r="M1123" i="29"/>
  <c r="H1122"/>
  <c r="H1121" s="1"/>
  <c r="I1106"/>
  <c r="I1105" s="1"/>
  <c r="O1106"/>
  <c r="M1133"/>
  <c r="H1133"/>
  <c r="H1132" s="1"/>
  <c r="H1131" s="1"/>
  <c r="I1141" i="31"/>
  <c r="I1140" s="1"/>
  <c r="I1139" s="1"/>
  <c r="O1141"/>
  <c r="N1122"/>
  <c r="N1122" i="30"/>
  <c r="N1122" i="29"/>
  <c r="I1160" i="31"/>
  <c r="I1159" s="1"/>
  <c r="I1158" s="1"/>
  <c r="I1157" s="1"/>
  <c r="M1162" i="29"/>
  <c r="L1140" i="31"/>
  <c r="L1140" i="30"/>
  <c r="M1140" s="1"/>
  <c r="L1140" i="29"/>
  <c r="M1140" s="1"/>
  <c r="I428" i="11"/>
  <c r="N429" i="31"/>
  <c r="N429" i="30"/>
  <c r="N429" i="29"/>
  <c r="H994" i="11"/>
  <c r="L995" i="31"/>
  <c r="L995" i="30"/>
  <c r="L995" i="29"/>
  <c r="J1003" i="31"/>
  <c r="K1003" s="1"/>
  <c r="J1003" i="30"/>
  <c r="K1003" s="1"/>
  <c r="J1003" i="29"/>
  <c r="K1003" s="1"/>
  <c r="K1163" i="30"/>
  <c r="M1166" i="29"/>
  <c r="G1141" i="31"/>
  <c r="G1140" s="1"/>
  <c r="G1139" s="1"/>
  <c r="K1141"/>
  <c r="G1120"/>
  <c r="G1119" s="1"/>
  <c r="G1114" s="1"/>
  <c r="G1087" i="29"/>
  <c r="G1086" s="1"/>
  <c r="K1087"/>
  <c r="K1166"/>
  <c r="H1013" i="31"/>
  <c r="H1012" s="1"/>
  <c r="H1007" s="1"/>
  <c r="G1106"/>
  <c r="G1105" s="1"/>
  <c r="G1101" s="1"/>
  <c r="K1106"/>
  <c r="H1120" i="30"/>
  <c r="H1119" s="1"/>
  <c r="H1114" s="1"/>
  <c r="O1168" i="31"/>
  <c r="H1123"/>
  <c r="H1122" s="1"/>
  <c r="O1165" i="29"/>
  <c r="M1162" i="30"/>
  <c r="G1147" i="29"/>
  <c r="G1146" s="1"/>
  <c r="G1145" s="1"/>
  <c r="G1130" i="30"/>
  <c r="G1129" s="1"/>
  <c r="G1128" s="1"/>
  <c r="I1106" i="31"/>
  <c r="I1105" s="1"/>
  <c r="I1101" s="1"/>
  <c r="O1106"/>
  <c r="G1177" i="30"/>
  <c r="G1176" s="1"/>
  <c r="G1175" s="1"/>
  <c r="G1174" s="1"/>
  <c r="G1173" s="1"/>
  <c r="G1172" s="1"/>
  <c r="G1171" s="1"/>
  <c r="G1170" s="1"/>
  <c r="M1165" i="31"/>
  <c r="H1133"/>
  <c r="H1132" s="1"/>
  <c r="H1131" s="1"/>
  <c r="I1120" i="29"/>
  <c r="I1119" s="1"/>
  <c r="I1147" i="30"/>
  <c r="I1146" s="1"/>
  <c r="I1145" s="1"/>
  <c r="I1138" s="1"/>
  <c r="I1137" s="1"/>
  <c r="I1136" s="1"/>
  <c r="I1135" s="1"/>
  <c r="I1134" s="1"/>
  <c r="G1133"/>
  <c r="G1132" s="1"/>
  <c r="G1131" s="1"/>
  <c r="K1133"/>
  <c r="N1119" i="31"/>
  <c r="N1119" i="30"/>
  <c r="N1119" i="29"/>
  <c r="L991" i="31"/>
  <c r="M991" s="1"/>
  <c r="L991" i="30"/>
  <c r="M991" s="1"/>
  <c r="L991" i="29"/>
  <c r="M991" s="1"/>
  <c r="G1120"/>
  <c r="G1119" s="1"/>
  <c r="I1013" i="31"/>
  <c r="I1012" s="1"/>
  <c r="H1013" i="29"/>
  <c r="H1012" s="1"/>
  <c r="H1007" s="1"/>
  <c r="G1106"/>
  <c r="G1105" s="1"/>
  <c r="I1087" i="31"/>
  <c r="I1086" s="1"/>
  <c r="I1082" s="1"/>
  <c r="I1081" s="1"/>
  <c r="I1080" s="1"/>
  <c r="I1079" s="1"/>
  <c r="H428" i="11"/>
  <c r="L429" i="31"/>
  <c r="L429" i="30"/>
  <c r="L429" i="29"/>
  <c r="L999" i="31"/>
  <c r="M999" s="1"/>
  <c r="L999" i="30"/>
  <c r="M999" s="1"/>
  <c r="L999" i="29"/>
  <c r="M999" s="1"/>
  <c r="G1141" i="30"/>
  <c r="G1140" s="1"/>
  <c r="G1139" s="1"/>
  <c r="K1141"/>
  <c r="M1168"/>
  <c r="O1106"/>
  <c r="I1105"/>
  <c r="I1101" s="1"/>
  <c r="H1133"/>
  <c r="H1132" s="1"/>
  <c r="H1131" s="1"/>
  <c r="N1086" i="31"/>
  <c r="O1086" s="1"/>
  <c r="N1086" i="30"/>
  <c r="N1086" i="29"/>
  <c r="G821" i="11"/>
  <c r="J822" i="31"/>
  <c r="J822" i="30"/>
  <c r="J822" i="29"/>
  <c r="I994" i="11"/>
  <c r="N995" i="31"/>
  <c r="N995" i="30"/>
  <c r="N995" i="29"/>
  <c r="I995" s="1"/>
  <c r="N1003" i="31"/>
  <c r="O1003" s="1"/>
  <c r="N1003" i="30"/>
  <c r="O1003" s="1"/>
  <c r="N1003" i="29"/>
  <c r="O1003" s="1"/>
  <c r="G1160" i="30"/>
  <c r="G1159" s="1"/>
  <c r="G1158" s="1"/>
  <c r="G1157" s="1"/>
  <c r="M1165" i="29"/>
  <c r="H1164"/>
  <c r="J1140" i="31"/>
  <c r="K1140" s="1"/>
  <c r="J1140" i="30"/>
  <c r="J1140" i="29"/>
  <c r="J1119" i="31"/>
  <c r="K1119" s="1"/>
  <c r="J1119" i="30"/>
  <c r="J1119" i="29"/>
  <c r="G1087" i="30"/>
  <c r="G1086" s="1"/>
  <c r="K1087"/>
  <c r="L1012" i="31"/>
  <c r="L1012" i="30"/>
  <c r="L1012" i="29"/>
  <c r="M1012" s="1"/>
  <c r="J1105" i="31"/>
  <c r="J1105" i="30"/>
  <c r="J1105" i="29"/>
  <c r="K1163" i="31"/>
  <c r="H1120"/>
  <c r="H1119" s="1"/>
  <c r="H1114" s="1"/>
  <c r="M1168"/>
  <c r="G1160" i="29"/>
  <c r="G1159" s="1"/>
  <c r="G1158" s="1"/>
  <c r="G1157" s="1"/>
  <c r="G1148" s="1"/>
  <c r="H1147"/>
  <c r="H1146" s="1"/>
  <c r="M1147"/>
  <c r="L1122" i="31"/>
  <c r="L1122" i="30"/>
  <c r="L1122" i="29"/>
  <c r="O1165" i="30"/>
  <c r="H1087" i="29"/>
  <c r="H1086" s="1"/>
  <c r="M1087"/>
  <c r="M1162" i="31"/>
  <c r="G1147" i="30"/>
  <c r="G1146" s="1"/>
  <c r="G1145" s="1"/>
  <c r="G1130" i="31"/>
  <c r="G1129" s="1"/>
  <c r="G1128" s="1"/>
  <c r="K1130"/>
  <c r="N1105"/>
  <c r="N1105" i="30"/>
  <c r="N1105" i="29"/>
  <c r="G1177" i="31"/>
  <c r="G1176" s="1"/>
  <c r="G1175" s="1"/>
  <c r="G1174" s="1"/>
  <c r="G1173" s="1"/>
  <c r="G1172" s="1"/>
  <c r="G1171" s="1"/>
  <c r="G1170" s="1"/>
  <c r="K1177"/>
  <c r="L1132"/>
  <c r="L1132" i="30"/>
  <c r="M1132" s="1"/>
  <c r="L1132" i="29"/>
  <c r="M1132" s="1"/>
  <c r="K1165"/>
  <c r="I1120" i="30"/>
  <c r="I1119" s="1"/>
  <c r="I1114" s="1"/>
  <c r="K1180" i="31"/>
  <c r="I821" i="11"/>
  <c r="N822" i="31"/>
  <c r="N822" i="30"/>
  <c r="N822" i="29"/>
  <c r="H1087" i="31"/>
  <c r="H1086" s="1"/>
  <c r="H1082" s="1"/>
  <c r="H1081" s="1"/>
  <c r="H1080" s="1"/>
  <c r="H1079" s="1"/>
  <c r="M1087"/>
  <c r="J1146"/>
  <c r="J1146" i="30"/>
  <c r="J1146" i="29"/>
  <c r="H1160" i="30"/>
  <c r="H1159" s="1"/>
  <c r="H1158" s="1"/>
  <c r="H1157" s="1"/>
  <c r="G428" i="11"/>
  <c r="J429" i="31"/>
  <c r="J429" i="30"/>
  <c r="J429" i="29"/>
  <c r="N999" i="31"/>
  <c r="O999" s="1"/>
  <c r="N999" i="30"/>
  <c r="O999" s="1"/>
  <c r="N999" i="29"/>
  <c r="O999" s="1"/>
  <c r="G1141"/>
  <c r="G1140" s="1"/>
  <c r="G1139" s="1"/>
  <c r="H1130" i="30"/>
  <c r="H1129" s="1"/>
  <c r="H1128" s="1"/>
  <c r="M1130"/>
  <c r="L1105" i="31"/>
  <c r="L1105" i="30"/>
  <c r="L1105" i="29"/>
  <c r="H1141" i="31"/>
  <c r="H1140" s="1"/>
  <c r="H1139" s="1"/>
  <c r="G994" i="11"/>
  <c r="J995" i="31"/>
  <c r="J995" i="30"/>
  <c r="J995" i="29"/>
  <c r="G995" s="1"/>
  <c r="G1120" i="30"/>
  <c r="G1119" s="1"/>
  <c r="K1120"/>
  <c r="N1012" i="31"/>
  <c r="N1012" i="30"/>
  <c r="N1012" i="29"/>
  <c r="O1012" s="1"/>
  <c r="H1013" i="30"/>
  <c r="H1012" s="1"/>
  <c r="G1106"/>
  <c r="G1105" s="1"/>
  <c r="G1101" s="1"/>
  <c r="H1120" i="29"/>
  <c r="H1119" s="1"/>
  <c r="H1114" s="1"/>
  <c r="O1168" i="30"/>
  <c r="H1130" i="31"/>
  <c r="H1129" s="1"/>
  <c r="H1128" s="1"/>
  <c r="H1127" s="1"/>
  <c r="H1126" s="1"/>
  <c r="H1125" s="1"/>
  <c r="H1124" s="1"/>
  <c r="M1130"/>
  <c r="H1123" i="30"/>
  <c r="H1122" s="1"/>
  <c r="H1121" s="1"/>
  <c r="K1130" i="29"/>
  <c r="G1129"/>
  <c r="G1128" s="1"/>
  <c r="K1177"/>
  <c r="G1176"/>
  <c r="G1175" s="1"/>
  <c r="N1140" i="31"/>
  <c r="O1140" s="1"/>
  <c r="N1140" i="30"/>
  <c r="O1140" s="1"/>
  <c r="N1140" i="29"/>
  <c r="H821" i="11"/>
  <c r="L822" i="31"/>
  <c r="L822" i="30"/>
  <c r="L822" i="29"/>
  <c r="G996" i="11"/>
  <c r="J997" i="31"/>
  <c r="J997" i="30"/>
  <c r="J997" i="29"/>
  <c r="L1003" i="31"/>
  <c r="M1003" s="1"/>
  <c r="L1003" i="30"/>
  <c r="M1003" s="1"/>
  <c r="L1003" i="29"/>
  <c r="M1003" s="1"/>
  <c r="O1166" i="30"/>
  <c r="I1147" i="29"/>
  <c r="I1146" s="1"/>
  <c r="I1145" s="1"/>
  <c r="O1147"/>
  <c r="I1130"/>
  <c r="I1129" s="1"/>
  <c r="I1128" s="1"/>
  <c r="I1127" s="1"/>
  <c r="I1126" s="1"/>
  <c r="I1125" s="1"/>
  <c r="I1124" s="1"/>
  <c r="G1087" i="31"/>
  <c r="G1086" s="1"/>
  <c r="G1082" s="1"/>
  <c r="G1081" s="1"/>
  <c r="G1080" s="1"/>
  <c r="G1079" s="1"/>
  <c r="G1133" i="29"/>
  <c r="G1132" s="1"/>
  <c r="G1131" s="1"/>
  <c r="K1162" i="31"/>
  <c r="G1161"/>
  <c r="G1160" s="1"/>
  <c r="G1159" s="1"/>
  <c r="G1158" s="1"/>
  <c r="G1157" s="1"/>
  <c r="L1119"/>
  <c r="M1119" s="1"/>
  <c r="L1119" i="30"/>
  <c r="M1119" s="1"/>
  <c r="L1119" i="29"/>
  <c r="H1147" i="30"/>
  <c r="H1146" s="1"/>
  <c r="H1145" s="1"/>
  <c r="M1147"/>
  <c r="I1133" i="29"/>
  <c r="I1132" s="1"/>
  <c r="I1131" s="1"/>
  <c r="O1133"/>
  <c r="O1165" i="31"/>
  <c r="H1087" i="30"/>
  <c r="H1086" s="1"/>
  <c r="H1082" s="1"/>
  <c r="H1081" s="1"/>
  <c r="H1080" s="1"/>
  <c r="H1079" s="1"/>
  <c r="M1087"/>
  <c r="I1160"/>
  <c r="I1159" s="1"/>
  <c r="I1158" s="1"/>
  <c r="I1157" s="1"/>
  <c r="G1147" i="31"/>
  <c r="G1146" s="1"/>
  <c r="G1145" s="1"/>
  <c r="J1129"/>
  <c r="J1129" i="30"/>
  <c r="K1129" s="1"/>
  <c r="J1129" i="29"/>
  <c r="K1129" s="1"/>
  <c r="J1176" i="31"/>
  <c r="K1176" s="1"/>
  <c r="J1176" i="30"/>
  <c r="J1176" i="29"/>
  <c r="K1176" s="1"/>
  <c r="M1163" i="30"/>
  <c r="K1144" i="29"/>
  <c r="G1143"/>
  <c r="G1142" s="1"/>
  <c r="G1123"/>
  <c r="G1122" s="1"/>
  <c r="G1121" s="1"/>
  <c r="K1179"/>
  <c r="K1165" i="30"/>
  <c r="O1120" i="31"/>
  <c r="I1119"/>
  <c r="I1114" s="1"/>
  <c r="K1166"/>
  <c r="I421" i="11"/>
  <c r="H421"/>
  <c r="G421"/>
  <c r="H411"/>
  <c r="I411"/>
  <c r="G411"/>
  <c r="H407"/>
  <c r="I407"/>
  <c r="G407"/>
  <c r="I406"/>
  <c r="H406"/>
  <c r="G406"/>
  <c r="H402"/>
  <c r="I402"/>
  <c r="G402"/>
  <c r="I398"/>
  <c r="H398"/>
  <c r="G398"/>
  <c r="I375"/>
  <c r="H375"/>
  <c r="G375"/>
  <c r="H360"/>
  <c r="I360"/>
  <c r="G360"/>
  <c r="H355"/>
  <c r="I355"/>
  <c r="G355"/>
  <c r="I354"/>
  <c r="H354"/>
  <c r="G354"/>
  <c r="H350"/>
  <c r="I350"/>
  <c r="G350"/>
  <c r="I342"/>
  <c r="H342"/>
  <c r="G342"/>
  <c r="H335"/>
  <c r="I335"/>
  <c r="G336"/>
  <c r="I330"/>
  <c r="H330"/>
  <c r="G330"/>
  <c r="H320"/>
  <c r="I320"/>
  <c r="G320"/>
  <c r="H316"/>
  <c r="I316"/>
  <c r="G316"/>
  <c r="I315"/>
  <c r="H315"/>
  <c r="G315"/>
  <c r="H311"/>
  <c r="I311"/>
  <c r="G311"/>
  <c r="H306"/>
  <c r="I306"/>
  <c r="G307"/>
  <c r="I301"/>
  <c r="H301"/>
  <c r="G301"/>
  <c r="I295"/>
  <c r="H295"/>
  <c r="G295"/>
  <c r="I291"/>
  <c r="H291"/>
  <c r="G291"/>
  <c r="I288"/>
  <c r="H288"/>
  <c r="G288"/>
  <c r="I285"/>
  <c r="H285"/>
  <c r="G285"/>
  <c r="I283"/>
  <c r="H283"/>
  <c r="G283"/>
  <c r="G273"/>
  <c r="H273"/>
  <c r="I273"/>
  <c r="H209"/>
  <c r="I209"/>
  <c r="G211"/>
  <c r="G210"/>
  <c r="G202"/>
  <c r="H202"/>
  <c r="I202"/>
  <c r="I201"/>
  <c r="H201"/>
  <c r="G201"/>
  <c r="H196"/>
  <c r="I196"/>
  <c r="G196"/>
  <c r="I192"/>
  <c r="H192"/>
  <c r="G192"/>
  <c r="I181"/>
  <c r="H181"/>
  <c r="G181"/>
  <c r="I176"/>
  <c r="H176"/>
  <c r="G176"/>
  <c r="I172"/>
  <c r="H172"/>
  <c r="G172"/>
  <c r="I167"/>
  <c r="H167"/>
  <c r="G167"/>
  <c r="I163"/>
  <c r="H163"/>
  <c r="G163"/>
  <c r="H155"/>
  <c r="I155"/>
  <c r="G155"/>
  <c r="G153"/>
  <c r="I154"/>
  <c r="H154"/>
  <c r="H149"/>
  <c r="I149"/>
  <c r="G149"/>
  <c r="I146"/>
  <c r="H146"/>
  <c r="G146"/>
  <c r="I142"/>
  <c r="H142"/>
  <c r="G142"/>
  <c r="I138"/>
  <c r="H138"/>
  <c r="G138"/>
  <c r="I133"/>
  <c r="H133"/>
  <c r="G133"/>
  <c r="I129"/>
  <c r="H129"/>
  <c r="G129"/>
  <c r="I114"/>
  <c r="H114"/>
  <c r="G114"/>
  <c r="I123"/>
  <c r="H123"/>
  <c r="G123"/>
  <c r="I117"/>
  <c r="H117"/>
  <c r="G117"/>
  <c r="I107"/>
  <c r="H107"/>
  <c r="G107"/>
  <c r="I101"/>
  <c r="H101"/>
  <c r="G101"/>
  <c r="I98"/>
  <c r="H98"/>
  <c r="G98"/>
  <c r="H94"/>
  <c r="I94"/>
  <c r="G94"/>
  <c r="I92"/>
  <c r="H92"/>
  <c r="G92"/>
  <c r="I89"/>
  <c r="H89"/>
  <c r="G89"/>
  <c r="I88"/>
  <c r="H88"/>
  <c r="G88"/>
  <c r="I85"/>
  <c r="H85"/>
  <c r="G85"/>
  <c r="I83"/>
  <c r="H83"/>
  <c r="G83"/>
  <c r="I80"/>
  <c r="H80"/>
  <c r="G80"/>
  <c r="H72"/>
  <c r="I72"/>
  <c r="G72"/>
  <c r="H68"/>
  <c r="I68"/>
  <c r="G68"/>
  <c r="I60"/>
  <c r="H60"/>
  <c r="G60"/>
  <c r="I54"/>
  <c r="H54"/>
  <c r="G54"/>
  <c r="I47"/>
  <c r="H47"/>
  <c r="G47"/>
  <c r="H39"/>
  <c r="I39"/>
  <c r="G39"/>
  <c r="H35"/>
  <c r="I35"/>
  <c r="G35"/>
  <c r="H30"/>
  <c r="I30"/>
  <c r="G30"/>
  <c r="H26"/>
  <c r="I26"/>
  <c r="G26"/>
  <c r="I23"/>
  <c r="H23"/>
  <c r="G23"/>
  <c r="I22"/>
  <c r="H22"/>
  <c r="G22"/>
  <c r="H17"/>
  <c r="I17"/>
  <c r="G17"/>
  <c r="I16"/>
  <c r="H16"/>
  <c r="G16"/>
  <c r="H11"/>
  <c r="I11"/>
  <c r="G11"/>
  <c r="I812"/>
  <c r="H812"/>
  <c r="G812"/>
  <c r="H806"/>
  <c r="I806"/>
  <c r="G806"/>
  <c r="O803"/>
  <c r="O804"/>
  <c r="M803"/>
  <c r="M804"/>
  <c r="K803"/>
  <c r="K804"/>
  <c r="H802"/>
  <c r="I802"/>
  <c r="G802"/>
  <c r="I801"/>
  <c r="H801"/>
  <c r="G801"/>
  <c r="H797"/>
  <c r="I797"/>
  <c r="G797"/>
  <c r="K1146" i="30" l="1"/>
  <c r="K1123" i="29"/>
  <c r="M1120"/>
  <c r="K1146" i="31"/>
  <c r="O1120" i="30"/>
  <c r="O1087" i="31"/>
  <c r="G1138" i="29"/>
  <c r="G1137" s="1"/>
  <c r="G1136" s="1"/>
  <c r="G1135" s="1"/>
  <c r="G1134" s="1"/>
  <c r="G1100" i="31"/>
  <c r="G1099" s="1"/>
  <c r="G1098" s="1"/>
  <c r="G1097" s="1"/>
  <c r="K1143" i="30"/>
  <c r="O1132" i="29"/>
  <c r="I1127" i="30"/>
  <c r="I1126" s="1"/>
  <c r="I1125" s="1"/>
  <c r="I1124" s="1"/>
  <c r="K1140" i="29"/>
  <c r="K1133"/>
  <c r="M1133" i="30"/>
  <c r="M1147" i="31"/>
  <c r="O1013" i="30"/>
  <c r="M1146"/>
  <c r="I1127" i="31"/>
  <c r="I1126" s="1"/>
  <c r="I1125" s="1"/>
  <c r="I1124" s="1"/>
  <c r="M1129" i="29"/>
  <c r="K1147" i="31"/>
  <c r="M1122" i="30"/>
  <c r="O1119"/>
  <c r="M1129" i="31"/>
  <c r="M1123"/>
  <c r="O1122" i="29"/>
  <c r="M1106" i="31"/>
  <c r="I1138"/>
  <c r="I1137" s="1"/>
  <c r="I1136" s="1"/>
  <c r="I1135" s="1"/>
  <c r="I1134" s="1"/>
  <c r="K1123" i="30"/>
  <c r="K1120" i="31"/>
  <c r="H1138" i="30"/>
  <c r="H1137" s="1"/>
  <c r="H1136" s="1"/>
  <c r="H1135" s="1"/>
  <c r="H1134" s="1"/>
  <c r="K1087" i="31"/>
  <c r="K1141" i="29"/>
  <c r="I1100" i="30"/>
  <c r="I1099" s="1"/>
  <c r="I1098" s="1"/>
  <c r="I1097" s="1"/>
  <c r="O1013" i="31"/>
  <c r="K1122" i="29"/>
  <c r="M1130"/>
  <c r="G1127" i="31"/>
  <c r="G1126" s="1"/>
  <c r="G1125" s="1"/>
  <c r="G1124" s="1"/>
  <c r="G15" i="11"/>
  <c r="J16" i="31"/>
  <c r="J16" i="29"/>
  <c r="J16" i="30"/>
  <c r="J88" i="31"/>
  <c r="J88" i="30"/>
  <c r="J88" i="29"/>
  <c r="H141" i="11"/>
  <c r="L142" i="31"/>
  <c r="L142" i="30"/>
  <c r="L142" i="29"/>
  <c r="J202" i="31"/>
  <c r="K202" s="1"/>
  <c r="J202" i="30"/>
  <c r="K202" s="1"/>
  <c r="J202" i="29"/>
  <c r="K202" s="1"/>
  <c r="H300" i="11"/>
  <c r="L301" i="31"/>
  <c r="L301" i="30"/>
  <c r="L301" i="29"/>
  <c r="I374" i="11"/>
  <c r="N375" i="31"/>
  <c r="N375" i="30"/>
  <c r="N375" i="29"/>
  <c r="G822" i="31"/>
  <c r="G821" s="1"/>
  <c r="G820" s="1"/>
  <c r="G819" s="1"/>
  <c r="G818" s="1"/>
  <c r="G817" s="1"/>
  <c r="G816" s="1"/>
  <c r="G815" s="1"/>
  <c r="H429" i="29"/>
  <c r="H428" s="1"/>
  <c r="H427" s="1"/>
  <c r="H426" s="1"/>
  <c r="H425" s="1"/>
  <c r="H424" s="1"/>
  <c r="H423" s="1"/>
  <c r="H422" s="1"/>
  <c r="M429"/>
  <c r="H1100"/>
  <c r="H1099" s="1"/>
  <c r="H1098" s="1"/>
  <c r="H1097" s="1"/>
  <c r="H1096" s="1"/>
  <c r="N797" i="31"/>
  <c r="O797" s="1"/>
  <c r="N797" i="30"/>
  <c r="O797" s="1"/>
  <c r="N797" i="29"/>
  <c r="O797" s="1"/>
  <c r="L806" i="31"/>
  <c r="M806" s="1"/>
  <c r="L806" i="30"/>
  <c r="M806" s="1"/>
  <c r="L806" i="29"/>
  <c r="M806" s="1"/>
  <c r="H15" i="11"/>
  <c r="L16" i="31"/>
  <c r="H16" s="1"/>
  <c r="L16" i="30"/>
  <c r="L16" i="29"/>
  <c r="J23" i="31"/>
  <c r="J23" i="29"/>
  <c r="G23" s="1"/>
  <c r="K23" s="1"/>
  <c r="J23" i="30"/>
  <c r="G23" s="1"/>
  <c r="L30" i="31"/>
  <c r="M30" s="1"/>
  <c r="L30" i="30"/>
  <c r="M30" s="1"/>
  <c r="L30" i="29"/>
  <c r="M30" s="1"/>
  <c r="H46" i="11"/>
  <c r="L47" i="31"/>
  <c r="L47" i="30"/>
  <c r="L47" i="29"/>
  <c r="J68" i="31"/>
  <c r="K68" s="1"/>
  <c r="J68" i="30"/>
  <c r="K68" s="1"/>
  <c r="J68" i="29"/>
  <c r="K68" s="1"/>
  <c r="I79" i="11"/>
  <c r="N80" i="31"/>
  <c r="N80" i="30"/>
  <c r="N80" i="29"/>
  <c r="I80" s="1"/>
  <c r="L88" i="31"/>
  <c r="L88" i="30"/>
  <c r="L88" i="29"/>
  <c r="J94" i="31"/>
  <c r="K94" s="1"/>
  <c r="J94" i="30"/>
  <c r="K94" s="1"/>
  <c r="J94" i="29"/>
  <c r="K94" s="1"/>
  <c r="I100" i="11"/>
  <c r="N101" i="31"/>
  <c r="I101" s="1"/>
  <c r="N101" i="30"/>
  <c r="N101" i="29"/>
  <c r="H122" i="11"/>
  <c r="L123" i="31"/>
  <c r="L123" i="30"/>
  <c r="L123" i="29"/>
  <c r="G132" i="11"/>
  <c r="J133" i="31"/>
  <c r="J133" i="30"/>
  <c r="J133" i="29"/>
  <c r="I141" i="11"/>
  <c r="N142" i="31"/>
  <c r="N142" i="30"/>
  <c r="N142" i="29"/>
  <c r="I153" i="11"/>
  <c r="N154" i="31"/>
  <c r="N154" i="29"/>
  <c r="N154" i="30"/>
  <c r="I154" s="1"/>
  <c r="G166" i="11"/>
  <c r="J167" i="31"/>
  <c r="J167" i="30"/>
  <c r="J167" i="29"/>
  <c r="G167" s="1"/>
  <c r="I175" i="11"/>
  <c r="N176" i="31"/>
  <c r="I176" s="1"/>
  <c r="N176" i="30"/>
  <c r="N176" i="29"/>
  <c r="N196" i="31"/>
  <c r="O196" s="1"/>
  <c r="N196" i="30"/>
  <c r="O196" s="1"/>
  <c r="N196" i="29"/>
  <c r="O196" s="1"/>
  <c r="J210" i="31"/>
  <c r="J210" i="30"/>
  <c r="J210" i="29"/>
  <c r="H282" i="11"/>
  <c r="L283" i="31"/>
  <c r="H283" s="1"/>
  <c r="L283" i="30"/>
  <c r="L283" i="29"/>
  <c r="G290" i="11"/>
  <c r="J291" i="31"/>
  <c r="J291" i="29"/>
  <c r="J291" i="30"/>
  <c r="I300" i="11"/>
  <c r="N301" i="31"/>
  <c r="N301" i="29"/>
  <c r="N301" i="30"/>
  <c r="H314" i="11"/>
  <c r="H310" s="1"/>
  <c r="L315" i="31"/>
  <c r="H315" s="1"/>
  <c r="L315" i="30"/>
  <c r="L315" i="29"/>
  <c r="H315" s="1"/>
  <c r="G329" i="11"/>
  <c r="J330" i="31"/>
  <c r="J330" i="30"/>
  <c r="J330" i="29"/>
  <c r="I341" i="11"/>
  <c r="N342" i="31"/>
  <c r="N342" i="30"/>
  <c r="I342" s="1"/>
  <c r="N342" i="29"/>
  <c r="N355" i="31"/>
  <c r="O355" s="1"/>
  <c r="N355" i="30"/>
  <c r="O355" s="1"/>
  <c r="N355" i="29"/>
  <c r="O355" s="1"/>
  <c r="G397" i="11"/>
  <c r="J398" i="31"/>
  <c r="J398" i="30"/>
  <c r="J398" i="29"/>
  <c r="G398" s="1"/>
  <c r="I405" i="11"/>
  <c r="N406" i="31"/>
  <c r="N406" i="30"/>
  <c r="N406" i="29"/>
  <c r="H420" i="11"/>
  <c r="L421" i="31"/>
  <c r="L421" i="30"/>
  <c r="L421" i="29"/>
  <c r="G1148" i="31"/>
  <c r="G997"/>
  <c r="G996" s="1"/>
  <c r="J994"/>
  <c r="J994" i="30"/>
  <c r="J994" i="29"/>
  <c r="G429" i="30"/>
  <c r="G428" s="1"/>
  <c r="G427" s="1"/>
  <c r="G426" s="1"/>
  <c r="G425" s="1"/>
  <c r="G424" s="1"/>
  <c r="G423" s="1"/>
  <c r="G422" s="1"/>
  <c r="O1105"/>
  <c r="M1086" i="29"/>
  <c r="H1082"/>
  <c r="H1081" s="1"/>
  <c r="H1080" s="1"/>
  <c r="H1079" s="1"/>
  <c r="H1039" s="1"/>
  <c r="H1018" s="1"/>
  <c r="J821" i="31"/>
  <c r="J821" i="30"/>
  <c r="J821" i="29"/>
  <c r="M429" i="30"/>
  <c r="H429"/>
  <c r="H428" s="1"/>
  <c r="H427" s="1"/>
  <c r="H426" s="1"/>
  <c r="H425" s="1"/>
  <c r="H424" s="1"/>
  <c r="H423" s="1"/>
  <c r="H422" s="1"/>
  <c r="H995"/>
  <c r="H994" s="1"/>
  <c r="O1146"/>
  <c r="L797" i="31"/>
  <c r="M797" s="1"/>
  <c r="L797" i="30"/>
  <c r="M797" s="1"/>
  <c r="L797" i="29"/>
  <c r="M797" s="1"/>
  <c r="G811" i="11"/>
  <c r="J812" i="31"/>
  <c r="J812" i="30"/>
  <c r="G812" s="1"/>
  <c r="J812" i="29"/>
  <c r="G812" s="1"/>
  <c r="I15" i="11"/>
  <c r="N16" i="31"/>
  <c r="I16" s="1"/>
  <c r="N16" i="30"/>
  <c r="N16" i="29"/>
  <c r="L23" i="31"/>
  <c r="L23" i="30"/>
  <c r="L23" i="29"/>
  <c r="J35" i="31"/>
  <c r="K35" s="1"/>
  <c r="J35" i="30"/>
  <c r="K35" s="1"/>
  <c r="J35" i="29"/>
  <c r="K35" s="1"/>
  <c r="I46" i="11"/>
  <c r="N47" i="31"/>
  <c r="N47" i="30"/>
  <c r="I47" s="1"/>
  <c r="N47" i="29"/>
  <c r="I47" s="1"/>
  <c r="N68" i="31"/>
  <c r="O68" s="1"/>
  <c r="N68" i="30"/>
  <c r="O68" s="1"/>
  <c r="N68" i="29"/>
  <c r="O68" s="1"/>
  <c r="G82" i="11"/>
  <c r="J83" i="31"/>
  <c r="G83" s="1"/>
  <c r="J83" i="30"/>
  <c r="J83" i="29"/>
  <c r="G83" s="1"/>
  <c r="N88" i="31"/>
  <c r="N88" i="30"/>
  <c r="N88" i="29"/>
  <c r="I88" s="1"/>
  <c r="N94" i="31"/>
  <c r="O94" s="1"/>
  <c r="N94" i="30"/>
  <c r="O94" s="1"/>
  <c r="N94" i="29"/>
  <c r="O94" s="1"/>
  <c r="G106" i="11"/>
  <c r="J107" i="31"/>
  <c r="J107" i="30"/>
  <c r="G107" s="1"/>
  <c r="J107" i="29"/>
  <c r="I122" i="11"/>
  <c r="N123" i="31"/>
  <c r="N123" i="30"/>
  <c r="N123" i="29"/>
  <c r="H132" i="11"/>
  <c r="L133" i="31"/>
  <c r="L133" i="30"/>
  <c r="L133" i="29"/>
  <c r="G145" i="11"/>
  <c r="J146" i="31"/>
  <c r="J146" i="30"/>
  <c r="J146" i="29"/>
  <c r="G146" s="1"/>
  <c r="J153" i="31"/>
  <c r="K153" s="1"/>
  <c r="J153" i="29"/>
  <c r="K153" s="1"/>
  <c r="J153" i="30"/>
  <c r="K153" s="1"/>
  <c r="H166" i="11"/>
  <c r="L167" i="31"/>
  <c r="L167" i="30"/>
  <c r="L167" i="29"/>
  <c r="G180" i="11"/>
  <c r="J181" i="31"/>
  <c r="J181" i="30"/>
  <c r="J181" i="29"/>
  <c r="L196" i="31"/>
  <c r="M196" s="1"/>
  <c r="L196" i="30"/>
  <c r="M196" s="1"/>
  <c r="L196" i="29"/>
  <c r="M196" s="1"/>
  <c r="J211" i="31"/>
  <c r="J211" i="30"/>
  <c r="J211" i="29"/>
  <c r="G211" s="1"/>
  <c r="K211" s="1"/>
  <c r="I282" i="11"/>
  <c r="N283" i="31"/>
  <c r="N283" i="29"/>
  <c r="N283" i="30"/>
  <c r="H290" i="11"/>
  <c r="L291" i="31"/>
  <c r="L291" i="30"/>
  <c r="L291" i="29"/>
  <c r="G306" i="11"/>
  <c r="J307" i="31"/>
  <c r="J307" i="30"/>
  <c r="J307" i="29"/>
  <c r="I314" i="11"/>
  <c r="N315" i="31"/>
  <c r="N315" i="30"/>
  <c r="I315" s="1"/>
  <c r="N315" i="29"/>
  <c r="H329" i="11"/>
  <c r="L330" i="31"/>
  <c r="L330" i="30"/>
  <c r="L330" i="29"/>
  <c r="J350" i="31"/>
  <c r="K350" s="1"/>
  <c r="J350" i="30"/>
  <c r="K350" s="1"/>
  <c r="J350" i="29"/>
  <c r="K350" s="1"/>
  <c r="L355" i="31"/>
  <c r="M355" s="1"/>
  <c r="L355" i="30"/>
  <c r="M355" s="1"/>
  <c r="L355" i="29"/>
  <c r="M355" s="1"/>
  <c r="H397" i="11"/>
  <c r="L398" i="31"/>
  <c r="L398" i="29"/>
  <c r="L398" i="30"/>
  <c r="J407" i="31"/>
  <c r="K407" s="1"/>
  <c r="J407" i="30"/>
  <c r="K407" s="1"/>
  <c r="J407" i="29"/>
  <c r="K407" s="1"/>
  <c r="I420" i="11"/>
  <c r="N421" i="31"/>
  <c r="N421" i="30"/>
  <c r="N421" i="29"/>
  <c r="K1129" i="31"/>
  <c r="I1138" i="29"/>
  <c r="I1137" s="1"/>
  <c r="I1136" s="1"/>
  <c r="I1135" s="1"/>
  <c r="I1134" s="1"/>
  <c r="J996" i="31"/>
  <c r="J996" i="30"/>
  <c r="J996" i="29"/>
  <c r="G1174"/>
  <c r="G1173" s="1"/>
  <c r="G1172" s="1"/>
  <c r="G1171" s="1"/>
  <c r="G1170" s="1"/>
  <c r="M1141" i="31"/>
  <c r="G429"/>
  <c r="G428" s="1"/>
  <c r="G427" s="1"/>
  <c r="G426" s="1"/>
  <c r="G425" s="1"/>
  <c r="G424" s="1"/>
  <c r="G423" s="1"/>
  <c r="G422" s="1"/>
  <c r="H1039"/>
  <c r="O1105"/>
  <c r="M1120"/>
  <c r="M1012"/>
  <c r="K1140" i="30"/>
  <c r="O995" i="29"/>
  <c r="I994"/>
  <c r="H429" i="31"/>
  <c r="H428" s="1"/>
  <c r="H427" s="1"/>
  <c r="H426" s="1"/>
  <c r="H425" s="1"/>
  <c r="H424" s="1"/>
  <c r="H423" s="1"/>
  <c r="H422" s="1"/>
  <c r="M1013" i="29"/>
  <c r="O1120"/>
  <c r="K1177" i="30"/>
  <c r="M1013" i="31"/>
  <c r="H995"/>
  <c r="H994" s="1"/>
  <c r="M1140"/>
  <c r="O1123"/>
  <c r="K1086"/>
  <c r="O1123" i="30"/>
  <c r="O1146" i="31"/>
  <c r="M1086"/>
  <c r="K1133"/>
  <c r="O1147"/>
  <c r="O1130" i="30"/>
  <c r="L802" i="31"/>
  <c r="M802" s="1"/>
  <c r="L802" i="30"/>
  <c r="M802" s="1"/>
  <c r="L802" i="29"/>
  <c r="M802" s="1"/>
  <c r="N30" i="31"/>
  <c r="O30" s="1"/>
  <c r="N30" i="30"/>
  <c r="O30" s="1"/>
  <c r="N30" i="29"/>
  <c r="O30" s="1"/>
  <c r="I59" i="11"/>
  <c r="N60" i="31"/>
  <c r="N60" i="30"/>
  <c r="N60" i="29"/>
  <c r="I91" i="11"/>
  <c r="N92" i="31"/>
  <c r="N92" i="30"/>
  <c r="N92" i="29"/>
  <c r="I128" i="11"/>
  <c r="N129" i="31"/>
  <c r="N129" i="30"/>
  <c r="N129" i="29"/>
  <c r="H153" i="11"/>
  <c r="L154" i="31"/>
  <c r="L154" i="30"/>
  <c r="L154" i="29"/>
  <c r="J196" i="31"/>
  <c r="K196" s="1"/>
  <c r="J196" i="30"/>
  <c r="K196" s="1"/>
  <c r="J196" i="29"/>
  <c r="K196" s="1"/>
  <c r="G282" i="11"/>
  <c r="J283" i="31"/>
  <c r="J283" i="30"/>
  <c r="J283" i="29"/>
  <c r="G314" i="11"/>
  <c r="J315" i="31"/>
  <c r="J315" i="30"/>
  <c r="J315" i="29"/>
  <c r="J355" i="31"/>
  <c r="K355" s="1"/>
  <c r="J355" i="30"/>
  <c r="K355" s="1"/>
  <c r="J355" i="29"/>
  <c r="K355" s="1"/>
  <c r="H405" i="11"/>
  <c r="L406" i="31"/>
  <c r="H406" s="1"/>
  <c r="L406" i="30"/>
  <c r="L406" i="29"/>
  <c r="M1012" i="30"/>
  <c r="H1007"/>
  <c r="N23" i="31"/>
  <c r="N23" i="30"/>
  <c r="I23" s="1"/>
  <c r="N23" i="29"/>
  <c r="G53" i="11"/>
  <c r="J54" i="31"/>
  <c r="J54" i="30"/>
  <c r="J54" i="29"/>
  <c r="J89" i="31"/>
  <c r="G89" s="1"/>
  <c r="J89" i="30"/>
  <c r="J89" i="29"/>
  <c r="G89" s="1"/>
  <c r="K89" s="1"/>
  <c r="G113" i="11"/>
  <c r="J114" i="31"/>
  <c r="J114" i="30"/>
  <c r="J114" i="29"/>
  <c r="J155" i="31"/>
  <c r="K155" s="1"/>
  <c r="J155" i="30"/>
  <c r="K155" s="1"/>
  <c r="J155" i="29"/>
  <c r="K155" s="1"/>
  <c r="G200" i="11"/>
  <c r="J201" i="31"/>
  <c r="J201" i="30"/>
  <c r="J201" i="29"/>
  <c r="G284" i="11"/>
  <c r="J285" i="31"/>
  <c r="G285" s="1"/>
  <c r="J285" i="29"/>
  <c r="J285" i="30"/>
  <c r="I290" i="11"/>
  <c r="N291" i="31"/>
  <c r="N291" i="30"/>
  <c r="N291" i="29"/>
  <c r="I329" i="11"/>
  <c r="N330" i="31"/>
  <c r="N330" i="30"/>
  <c r="I330" s="1"/>
  <c r="N330" i="29"/>
  <c r="J360" i="31"/>
  <c r="K360" s="1"/>
  <c r="J360" i="30"/>
  <c r="K360" s="1"/>
  <c r="J360" i="29"/>
  <c r="K360" s="1"/>
  <c r="H822"/>
  <c r="H821" s="1"/>
  <c r="H820" s="1"/>
  <c r="H819" s="1"/>
  <c r="H818" s="1"/>
  <c r="H817" s="1"/>
  <c r="H816" s="1"/>
  <c r="H815" s="1"/>
  <c r="J428" i="31"/>
  <c r="J428" i="30"/>
  <c r="J428" i="29"/>
  <c r="L428" i="31"/>
  <c r="M428" s="1"/>
  <c r="L428" i="30"/>
  <c r="M428" s="1"/>
  <c r="L428" i="29"/>
  <c r="L994" i="31"/>
  <c r="L994" i="30"/>
  <c r="L994" i="29"/>
  <c r="I811" i="11"/>
  <c r="N812" i="31"/>
  <c r="N812" i="30"/>
  <c r="N812" i="29"/>
  <c r="L35" i="31"/>
  <c r="M35" s="1"/>
  <c r="L35" i="30"/>
  <c r="M35" s="1"/>
  <c r="L35" i="29"/>
  <c r="M35" s="1"/>
  <c r="I82" i="11"/>
  <c r="N83" i="31"/>
  <c r="N83" i="30"/>
  <c r="N83" i="29"/>
  <c r="L89" i="31"/>
  <c r="L89" i="30"/>
  <c r="H89" s="1"/>
  <c r="M89" s="1"/>
  <c r="L89" i="29"/>
  <c r="H113" i="11"/>
  <c r="L114" i="31"/>
  <c r="L114" i="30"/>
  <c r="L114" i="29"/>
  <c r="G137" i="11"/>
  <c r="J138" i="31"/>
  <c r="J138" i="30"/>
  <c r="J138" i="29"/>
  <c r="I145" i="11"/>
  <c r="N146" i="31"/>
  <c r="N146" i="29"/>
  <c r="N146" i="30"/>
  <c r="I180" i="11"/>
  <c r="N181" i="31"/>
  <c r="N181" i="30"/>
  <c r="N181" i="29"/>
  <c r="H200" i="11"/>
  <c r="L201" i="31"/>
  <c r="L201" i="30"/>
  <c r="L201" i="29"/>
  <c r="H284" i="11"/>
  <c r="L285" i="31"/>
  <c r="L285" i="30"/>
  <c r="L285" i="29"/>
  <c r="N316" i="31"/>
  <c r="O316" s="1"/>
  <c r="N316" i="30"/>
  <c r="O316" s="1"/>
  <c r="N316" i="29"/>
  <c r="O316" s="1"/>
  <c r="N360" i="31"/>
  <c r="O360" s="1"/>
  <c r="N360" i="30"/>
  <c r="O360" s="1"/>
  <c r="N360" i="29"/>
  <c r="O360" s="1"/>
  <c r="G1138" i="31"/>
  <c r="G1137" s="1"/>
  <c r="G1136" s="1"/>
  <c r="G1135" s="1"/>
  <c r="G1134" s="1"/>
  <c r="H1148" i="30"/>
  <c r="O1119" i="31"/>
  <c r="M1122"/>
  <c r="H1121"/>
  <c r="I1148"/>
  <c r="H997" i="29"/>
  <c r="H996" s="1"/>
  <c r="M996" s="1"/>
  <c r="M997"/>
  <c r="I800" i="11"/>
  <c r="N801" i="31"/>
  <c r="N801" i="29"/>
  <c r="N801" i="30"/>
  <c r="J11" i="31"/>
  <c r="K11" s="1"/>
  <c r="J11" i="30"/>
  <c r="K11" s="1"/>
  <c r="J11" i="29"/>
  <c r="K11" s="1"/>
  <c r="L17" i="31"/>
  <c r="M17" s="1"/>
  <c r="L17" i="30"/>
  <c r="M17" s="1"/>
  <c r="L17" i="29"/>
  <c r="M17" s="1"/>
  <c r="N26" i="31"/>
  <c r="O26" s="1"/>
  <c r="N26" i="30"/>
  <c r="O26" s="1"/>
  <c r="N26" i="29"/>
  <c r="O26" s="1"/>
  <c r="J39" i="31"/>
  <c r="K39" s="1"/>
  <c r="J39" i="30"/>
  <c r="K39" s="1"/>
  <c r="J39" i="29"/>
  <c r="K39" s="1"/>
  <c r="I53" i="11"/>
  <c r="N54" i="31"/>
  <c r="N54" i="30"/>
  <c r="N54" i="29"/>
  <c r="I54" s="1"/>
  <c r="N72" i="31"/>
  <c r="O72" s="1"/>
  <c r="N72" i="30"/>
  <c r="O72" s="1"/>
  <c r="N72" i="29"/>
  <c r="O72" s="1"/>
  <c r="G84" i="11"/>
  <c r="J85" i="31"/>
  <c r="J85" i="30"/>
  <c r="J85" i="29"/>
  <c r="N89" i="31"/>
  <c r="N89" i="30"/>
  <c r="N89" i="29"/>
  <c r="H97" i="11"/>
  <c r="L98" i="31"/>
  <c r="L98" i="30"/>
  <c r="L98" i="29"/>
  <c r="H98" s="1"/>
  <c r="J117" i="31"/>
  <c r="J117" i="30"/>
  <c r="J117" i="29"/>
  <c r="I113" i="11"/>
  <c r="N114" i="31"/>
  <c r="N114" i="29"/>
  <c r="N114" i="30"/>
  <c r="H137" i="11"/>
  <c r="L138" i="31"/>
  <c r="L138" i="30"/>
  <c r="L138" i="29"/>
  <c r="H138" s="1"/>
  <c r="J149" i="31"/>
  <c r="K149" s="1"/>
  <c r="J149" i="30"/>
  <c r="K149" s="1"/>
  <c r="J149" i="29"/>
  <c r="K149" s="1"/>
  <c r="L155" i="31"/>
  <c r="M155" s="1"/>
  <c r="L155" i="30"/>
  <c r="M155" s="1"/>
  <c r="L155" i="29"/>
  <c r="M155" s="1"/>
  <c r="H171" i="11"/>
  <c r="L172" i="31"/>
  <c r="L172" i="30"/>
  <c r="H172" s="1"/>
  <c r="L172" i="29"/>
  <c r="G191" i="11"/>
  <c r="J192" i="31"/>
  <c r="J192" i="30"/>
  <c r="J192" i="29"/>
  <c r="I200" i="11"/>
  <c r="N201" i="31"/>
  <c r="N201" i="30"/>
  <c r="N201" i="29"/>
  <c r="I272" i="11"/>
  <c r="N273" i="31"/>
  <c r="N273" i="29"/>
  <c r="I273" s="1"/>
  <c r="N273" i="30"/>
  <c r="I284" i="11"/>
  <c r="N285" i="31"/>
  <c r="N285" i="30"/>
  <c r="N285" i="29"/>
  <c r="H294" i="11"/>
  <c r="L295" i="31"/>
  <c r="L295" i="30"/>
  <c r="L295" i="29"/>
  <c r="J311" i="31"/>
  <c r="K311" s="1"/>
  <c r="J311" i="30"/>
  <c r="K311" s="1"/>
  <c r="J311" i="29"/>
  <c r="K311" s="1"/>
  <c r="L316" i="31"/>
  <c r="M316" s="1"/>
  <c r="L316" i="30"/>
  <c r="M316" s="1"/>
  <c r="L316" i="29"/>
  <c r="M316" s="1"/>
  <c r="N335" i="31"/>
  <c r="O335" s="1"/>
  <c r="N335" i="30"/>
  <c r="O335" s="1"/>
  <c r="N335" i="29"/>
  <c r="O335" s="1"/>
  <c r="G353" i="11"/>
  <c r="J354" i="31"/>
  <c r="J354" i="30"/>
  <c r="J354" i="29"/>
  <c r="L360" i="31"/>
  <c r="M360" s="1"/>
  <c r="L360" i="29"/>
  <c r="M360" s="1"/>
  <c r="L360" i="30"/>
  <c r="M360" s="1"/>
  <c r="N402" i="31"/>
  <c r="O402" s="1"/>
  <c r="N402" i="30"/>
  <c r="O402" s="1"/>
  <c r="N402" i="29"/>
  <c r="O402" s="1"/>
  <c r="J411" i="31"/>
  <c r="K411" s="1"/>
  <c r="J411" i="30"/>
  <c r="K411" s="1"/>
  <c r="J411" i="29"/>
  <c r="K411" s="1"/>
  <c r="I1148" i="30"/>
  <c r="H822" i="31"/>
  <c r="H821" s="1"/>
  <c r="H820" s="1"/>
  <c r="H819" s="1"/>
  <c r="H818" s="1"/>
  <c r="H817" s="1"/>
  <c r="H816" s="1"/>
  <c r="H815" s="1"/>
  <c r="K1119" i="30"/>
  <c r="G1114"/>
  <c r="M1105" i="29"/>
  <c r="I822" i="31"/>
  <c r="I821" s="1"/>
  <c r="I820" s="1"/>
  <c r="I819" s="1"/>
  <c r="I818" s="1"/>
  <c r="I817" s="1"/>
  <c r="I816" s="1"/>
  <c r="I815" s="1"/>
  <c r="O822"/>
  <c r="M1132"/>
  <c r="K1147" i="30"/>
  <c r="K1086"/>
  <c r="G1082"/>
  <c r="G1081" s="1"/>
  <c r="G1080" s="1"/>
  <c r="G1079" s="1"/>
  <c r="N994" i="31"/>
  <c r="N994" i="30"/>
  <c r="N994" i="29"/>
  <c r="O994" s="1"/>
  <c r="I1039" i="31"/>
  <c r="K1120" i="29"/>
  <c r="M1133" i="31"/>
  <c r="G1127" i="30"/>
  <c r="G1126" s="1"/>
  <c r="G1125" s="1"/>
  <c r="G1124" s="1"/>
  <c r="O429"/>
  <c r="I429"/>
  <c r="I428" s="1"/>
  <c r="I427" s="1"/>
  <c r="I426" s="1"/>
  <c r="I425" s="1"/>
  <c r="I424" s="1"/>
  <c r="I423" s="1"/>
  <c r="I422" s="1"/>
  <c r="H1127" i="29"/>
  <c r="H1126" s="1"/>
  <c r="H1125" s="1"/>
  <c r="H1124" s="1"/>
  <c r="O1129"/>
  <c r="M1105" i="30"/>
  <c r="H1101"/>
  <c r="H1100" s="1"/>
  <c r="H1099" s="1"/>
  <c r="H1098" s="1"/>
  <c r="I997" i="29"/>
  <c r="I996" s="1"/>
  <c r="H997" i="30"/>
  <c r="H996" s="1"/>
  <c r="M997"/>
  <c r="N806" i="31"/>
  <c r="O806" s="1"/>
  <c r="N806" i="30"/>
  <c r="O806" s="1"/>
  <c r="N806" i="29"/>
  <c r="O806" s="1"/>
  <c r="G46" i="11"/>
  <c r="J47" i="31"/>
  <c r="J47" i="30"/>
  <c r="J47" i="29"/>
  <c r="H100" i="11"/>
  <c r="L101" i="31"/>
  <c r="L101" i="30"/>
  <c r="L101" i="29"/>
  <c r="H175" i="11"/>
  <c r="L176" i="31"/>
  <c r="L176" i="30"/>
  <c r="L176" i="29"/>
  <c r="H176" s="1"/>
  <c r="L320" i="31"/>
  <c r="M320" s="1"/>
  <c r="L320" i="30"/>
  <c r="M320" s="1"/>
  <c r="L320" i="29"/>
  <c r="M320" s="1"/>
  <c r="G995" i="31"/>
  <c r="G994" s="1"/>
  <c r="K995"/>
  <c r="H995" i="29"/>
  <c r="H994" s="1"/>
  <c r="M995"/>
  <c r="N996" i="31"/>
  <c r="N996" i="30"/>
  <c r="N996" i="29"/>
  <c r="G800" i="11"/>
  <c r="G796" s="1"/>
  <c r="J801" i="31"/>
  <c r="J801" i="30"/>
  <c r="J801" i="29"/>
  <c r="H811" i="11"/>
  <c r="L812" i="31"/>
  <c r="L812" i="30"/>
  <c r="L812" i="29"/>
  <c r="N35" i="31"/>
  <c r="O35" s="1"/>
  <c r="N35" i="30"/>
  <c r="O35" s="1"/>
  <c r="N35" i="29"/>
  <c r="O35" s="1"/>
  <c r="H82" i="11"/>
  <c r="L83" i="31"/>
  <c r="L83" i="30"/>
  <c r="L83" i="29"/>
  <c r="H106" i="11"/>
  <c r="L107" i="31"/>
  <c r="L107" i="30"/>
  <c r="L107" i="29"/>
  <c r="H145" i="11"/>
  <c r="L146" i="31"/>
  <c r="L146" i="30"/>
  <c r="H146" s="1"/>
  <c r="L146" i="29"/>
  <c r="H180" i="11"/>
  <c r="L181" i="31"/>
  <c r="L181" i="30"/>
  <c r="L181" i="29"/>
  <c r="J316" i="31"/>
  <c r="K316" s="1"/>
  <c r="J316" i="30"/>
  <c r="K316" s="1"/>
  <c r="J316" i="29"/>
  <c r="K316" s="1"/>
  <c r="I397" i="11"/>
  <c r="N398" i="31"/>
  <c r="N398" i="30"/>
  <c r="I398" s="1"/>
  <c r="N398" i="29"/>
  <c r="I822"/>
  <c r="I821" s="1"/>
  <c r="I820" s="1"/>
  <c r="I819" s="1"/>
  <c r="I818" s="1"/>
  <c r="I817" s="1"/>
  <c r="I816" s="1"/>
  <c r="I815" s="1"/>
  <c r="M1122"/>
  <c r="N17" i="31"/>
  <c r="O17" s="1"/>
  <c r="N17" i="30"/>
  <c r="O17" s="1"/>
  <c r="N17" i="29"/>
  <c r="O17" s="1"/>
  <c r="H53" i="11"/>
  <c r="L54" i="31"/>
  <c r="L54" i="30"/>
  <c r="L54" i="29"/>
  <c r="I106" i="11"/>
  <c r="N107" i="31"/>
  <c r="N107" i="30"/>
  <c r="N107" i="29"/>
  <c r="I107" s="1"/>
  <c r="G171" i="11"/>
  <c r="J172" i="31"/>
  <c r="J172" i="30"/>
  <c r="J172" i="29"/>
  <c r="L306" i="31"/>
  <c r="M306" s="1"/>
  <c r="L306" i="30"/>
  <c r="M306" s="1"/>
  <c r="L306" i="29"/>
  <c r="M306" s="1"/>
  <c r="L350" i="31"/>
  <c r="M350" s="1"/>
  <c r="L350" i="30"/>
  <c r="M350" s="1"/>
  <c r="L350" i="29"/>
  <c r="M350" s="1"/>
  <c r="J402" i="31"/>
  <c r="K402" s="1"/>
  <c r="J402" i="30"/>
  <c r="K402" s="1"/>
  <c r="J402" i="29"/>
  <c r="K402" s="1"/>
  <c r="H822" i="30"/>
  <c r="H821" s="1"/>
  <c r="H820" s="1"/>
  <c r="H819" s="1"/>
  <c r="H818" s="1"/>
  <c r="H817" s="1"/>
  <c r="H816" s="1"/>
  <c r="H815" s="1"/>
  <c r="M822"/>
  <c r="O822"/>
  <c r="I822"/>
  <c r="I821" s="1"/>
  <c r="I820" s="1"/>
  <c r="I819" s="1"/>
  <c r="I818" s="1"/>
  <c r="I995" i="31"/>
  <c r="I994" s="1"/>
  <c r="O995"/>
  <c r="I1100"/>
  <c r="I1099" s="1"/>
  <c r="I1098" s="1"/>
  <c r="I1097" s="1"/>
  <c r="I1096" s="1"/>
  <c r="H1160" i="29"/>
  <c r="H1159" s="1"/>
  <c r="H1158" s="1"/>
  <c r="H1157" s="1"/>
  <c r="H1148" s="1"/>
  <c r="O1012" i="30"/>
  <c r="I1007"/>
  <c r="K1144" i="31"/>
  <c r="J802"/>
  <c r="K802" s="1"/>
  <c r="J802" i="30"/>
  <c r="K802" s="1"/>
  <c r="J802" i="29"/>
  <c r="K802" s="1"/>
  <c r="N11" i="31"/>
  <c r="O11" s="1"/>
  <c r="N11" i="30"/>
  <c r="O11" s="1"/>
  <c r="N11" i="29"/>
  <c r="O11" s="1"/>
  <c r="J22" i="31"/>
  <c r="J22" i="30"/>
  <c r="J22" i="29"/>
  <c r="G22" s="1"/>
  <c r="L26" i="31"/>
  <c r="M26" s="1"/>
  <c r="L26" i="30"/>
  <c r="M26" s="1"/>
  <c r="L26" i="29"/>
  <c r="M26" s="1"/>
  <c r="N39" i="31"/>
  <c r="O39" s="1"/>
  <c r="N39" i="30"/>
  <c r="O39" s="1"/>
  <c r="N39" i="29"/>
  <c r="O39" s="1"/>
  <c r="G59" i="11"/>
  <c r="J60" i="31"/>
  <c r="J60" i="30"/>
  <c r="J60" i="29"/>
  <c r="L72" i="31"/>
  <c r="M72" s="1"/>
  <c r="L72" i="30"/>
  <c r="M72" s="1"/>
  <c r="L72" i="29"/>
  <c r="M72" s="1"/>
  <c r="H84" i="11"/>
  <c r="L85" i="31"/>
  <c r="L85" i="30"/>
  <c r="L85" i="29"/>
  <c r="G91" i="11"/>
  <c r="J92" i="31"/>
  <c r="J92" i="29"/>
  <c r="J92" i="30"/>
  <c r="I97" i="11"/>
  <c r="N98" i="31"/>
  <c r="N98" i="30"/>
  <c r="N98" i="29"/>
  <c r="L117" i="31"/>
  <c r="L117" i="29"/>
  <c r="L117" i="30"/>
  <c r="H117" s="1"/>
  <c r="M117" s="1"/>
  <c r="G128" i="11"/>
  <c r="J129" i="31"/>
  <c r="G129" s="1"/>
  <c r="J129" i="30"/>
  <c r="J129" i="29"/>
  <c r="I137" i="11"/>
  <c r="N138" i="31"/>
  <c r="N138" i="29"/>
  <c r="I138" s="1"/>
  <c r="N138" i="30"/>
  <c r="N149" i="31"/>
  <c r="O149" s="1"/>
  <c r="N149" i="30"/>
  <c r="O149" s="1"/>
  <c r="N149" i="29"/>
  <c r="O149" s="1"/>
  <c r="G162" i="11"/>
  <c r="J163" i="31"/>
  <c r="J163" i="30"/>
  <c r="J163" i="29"/>
  <c r="I171" i="11"/>
  <c r="N172" i="31"/>
  <c r="N172" i="30"/>
  <c r="N172" i="29"/>
  <c r="H191" i="11"/>
  <c r="L192" i="31"/>
  <c r="L192" i="30"/>
  <c r="L192" i="29"/>
  <c r="H192" s="1"/>
  <c r="N202" i="31"/>
  <c r="O202" s="1"/>
  <c r="N202" i="30"/>
  <c r="O202" s="1"/>
  <c r="N202" i="29"/>
  <c r="O202" s="1"/>
  <c r="H272" i="11"/>
  <c r="L273" i="31"/>
  <c r="L273" i="30"/>
  <c r="L273" i="29"/>
  <c r="H273" s="1"/>
  <c r="G287" i="11"/>
  <c r="J288" i="31"/>
  <c r="J288" i="30"/>
  <c r="J288" i="29"/>
  <c r="I294" i="11"/>
  <c r="N295" i="31"/>
  <c r="N295" i="29"/>
  <c r="N295" i="30"/>
  <c r="N311" i="31"/>
  <c r="O311" s="1"/>
  <c r="N311" i="30"/>
  <c r="O311" s="1"/>
  <c r="N311" i="29"/>
  <c r="O311" s="1"/>
  <c r="J320" i="31"/>
  <c r="K320" s="1"/>
  <c r="J320" i="30"/>
  <c r="K320" s="1"/>
  <c r="J320" i="29"/>
  <c r="K320" s="1"/>
  <c r="L335" i="31"/>
  <c r="M335" s="1"/>
  <c r="L335" i="30"/>
  <c r="M335" s="1"/>
  <c r="L335" i="29"/>
  <c r="M335" s="1"/>
  <c r="H353" i="11"/>
  <c r="L354" i="31"/>
  <c r="L354" i="30"/>
  <c r="L354" i="29"/>
  <c r="G374" i="11"/>
  <c r="J375" i="31"/>
  <c r="J375" i="30"/>
  <c r="J375" i="29"/>
  <c r="L402" i="31"/>
  <c r="M402" s="1"/>
  <c r="L402" i="30"/>
  <c r="M402" s="1"/>
  <c r="L402" i="29"/>
  <c r="M402" s="1"/>
  <c r="N411" i="31"/>
  <c r="O411" s="1"/>
  <c r="N411" i="30"/>
  <c r="O411" s="1"/>
  <c r="N411" i="29"/>
  <c r="O411" s="1"/>
  <c r="K1176" i="30"/>
  <c r="M1119" i="29"/>
  <c r="G1039" i="31"/>
  <c r="L821"/>
  <c r="L821" i="30"/>
  <c r="M821" s="1"/>
  <c r="L821" i="29"/>
  <c r="M1123" i="30"/>
  <c r="K1106"/>
  <c r="K995" i="29"/>
  <c r="G994"/>
  <c r="K1146"/>
  <c r="N821" i="31"/>
  <c r="N821" i="30"/>
  <c r="O821" s="1"/>
  <c r="N821" i="29"/>
  <c r="G1138" i="30"/>
  <c r="G1137" s="1"/>
  <c r="G1136" s="1"/>
  <c r="G1135" s="1"/>
  <c r="G1134" s="1"/>
  <c r="K1105"/>
  <c r="G1148"/>
  <c r="G822" i="29"/>
  <c r="G821" s="1"/>
  <c r="G820" s="1"/>
  <c r="G819" s="1"/>
  <c r="G818" s="1"/>
  <c r="G817" s="1"/>
  <c r="G816" s="1"/>
  <c r="G815" s="1"/>
  <c r="H1127" i="30"/>
  <c r="H1126" s="1"/>
  <c r="H1125" s="1"/>
  <c r="H1124" s="1"/>
  <c r="K1119" i="29"/>
  <c r="G1114"/>
  <c r="K1130" i="30"/>
  <c r="M1120"/>
  <c r="K1086" i="29"/>
  <c r="G1082"/>
  <c r="G1081" s="1"/>
  <c r="G1080" s="1"/>
  <c r="G1079" s="1"/>
  <c r="I429" i="31"/>
  <c r="I428" s="1"/>
  <c r="I427" s="1"/>
  <c r="I426" s="1"/>
  <c r="I425" s="1"/>
  <c r="I424" s="1"/>
  <c r="I423" s="1"/>
  <c r="I422" s="1"/>
  <c r="O1122" i="30"/>
  <c r="O1105" i="29"/>
  <c r="I1101"/>
  <c r="I1100" s="1"/>
  <c r="I1099" s="1"/>
  <c r="I1098" s="1"/>
  <c r="I1097" s="1"/>
  <c r="I1096" s="1"/>
  <c r="M1146" i="31"/>
  <c r="H1145"/>
  <c r="H1138" s="1"/>
  <c r="H1137" s="1"/>
  <c r="H1136" s="1"/>
  <c r="H1135" s="1"/>
  <c r="H1134" s="1"/>
  <c r="O1087" i="30"/>
  <c r="K1143" i="29"/>
  <c r="K1132"/>
  <c r="O1129" i="30"/>
  <c r="O1086" i="29"/>
  <c r="I1082"/>
  <c r="I1081" s="1"/>
  <c r="I1080" s="1"/>
  <c r="I1079" s="1"/>
  <c r="I1039" s="1"/>
  <c r="I997" i="30"/>
  <c r="I996" s="1"/>
  <c r="O997"/>
  <c r="H997" i="31"/>
  <c r="H996" s="1"/>
  <c r="J797"/>
  <c r="K797" s="1"/>
  <c r="J797" i="30"/>
  <c r="K797" s="1"/>
  <c r="J797" i="29"/>
  <c r="K797" s="1"/>
  <c r="N22" i="31"/>
  <c r="N22" i="30"/>
  <c r="N22" i="29"/>
  <c r="I22" s="1"/>
  <c r="H79" i="11"/>
  <c r="H78" s="1"/>
  <c r="L80" i="31"/>
  <c r="L80" i="30"/>
  <c r="L80" i="29"/>
  <c r="G122" i="11"/>
  <c r="J123" i="31"/>
  <c r="J123" i="30"/>
  <c r="J123" i="29"/>
  <c r="I162" i="11"/>
  <c r="N163" i="31"/>
  <c r="N163" i="30"/>
  <c r="N163" i="29"/>
  <c r="I287" i="11"/>
  <c r="N288" i="31"/>
  <c r="N288" i="30"/>
  <c r="I288" s="1"/>
  <c r="N288" i="29"/>
  <c r="H341" i="11"/>
  <c r="L342" i="31"/>
  <c r="H342" s="1"/>
  <c r="L342" i="30"/>
  <c r="L342" i="29"/>
  <c r="H342" s="1"/>
  <c r="G420" i="11"/>
  <c r="J421" i="31"/>
  <c r="J421" i="30"/>
  <c r="J421" i="29"/>
  <c r="G421" s="1"/>
  <c r="G997" i="30"/>
  <c r="G996" s="1"/>
  <c r="G429" i="29"/>
  <c r="G428" s="1"/>
  <c r="G427" s="1"/>
  <c r="G426" s="1"/>
  <c r="G425" s="1"/>
  <c r="G424" s="1"/>
  <c r="G423" s="1"/>
  <c r="G422" s="1"/>
  <c r="I1096" i="30"/>
  <c r="K1105" i="29"/>
  <c r="G1101"/>
  <c r="J17" i="31"/>
  <c r="K17" s="1"/>
  <c r="J17" i="30"/>
  <c r="K17" s="1"/>
  <c r="J17" i="29"/>
  <c r="K17" s="1"/>
  <c r="L68" i="31"/>
  <c r="M68" s="1"/>
  <c r="L68" i="30"/>
  <c r="M68" s="1"/>
  <c r="L68" i="29"/>
  <c r="M68" s="1"/>
  <c r="L94" i="31"/>
  <c r="M94" s="1"/>
  <c r="L94" i="30"/>
  <c r="M94" s="1"/>
  <c r="L94" i="29"/>
  <c r="M94" s="1"/>
  <c r="I132" i="11"/>
  <c r="N133" i="31"/>
  <c r="I133" s="1"/>
  <c r="N133" i="30"/>
  <c r="N133" i="29"/>
  <c r="I166" i="11"/>
  <c r="N167" i="31"/>
  <c r="N167" i="30"/>
  <c r="N167" i="29"/>
  <c r="N209" i="31"/>
  <c r="O209" s="1"/>
  <c r="N209" i="30"/>
  <c r="O209" s="1"/>
  <c r="N209" i="29"/>
  <c r="O209" s="1"/>
  <c r="N306" i="31"/>
  <c r="O306" s="1"/>
  <c r="N306" i="29"/>
  <c r="O306" s="1"/>
  <c r="N306" i="30"/>
  <c r="O306" s="1"/>
  <c r="N350" i="31"/>
  <c r="O350" s="1"/>
  <c r="N350" i="30"/>
  <c r="O350" s="1"/>
  <c r="N350" i="29"/>
  <c r="O350" s="1"/>
  <c r="N407" i="31"/>
  <c r="O407" s="1"/>
  <c r="N407" i="30"/>
  <c r="O407" s="1"/>
  <c r="N407" i="29"/>
  <c r="O407" s="1"/>
  <c r="I995" i="30"/>
  <c r="I994" s="1"/>
  <c r="I990" s="1"/>
  <c r="O1119" i="29"/>
  <c r="I1114"/>
  <c r="H800" i="11"/>
  <c r="L801" i="31"/>
  <c r="L801" i="30"/>
  <c r="L801" i="29"/>
  <c r="H801" s="1"/>
  <c r="J26" i="31"/>
  <c r="K26" s="1"/>
  <c r="J26" i="30"/>
  <c r="K26" s="1"/>
  <c r="J26" i="29"/>
  <c r="K26" s="1"/>
  <c r="J72" i="31"/>
  <c r="K72" s="1"/>
  <c r="J72" i="30"/>
  <c r="K72" s="1"/>
  <c r="J72" i="29"/>
  <c r="K72" s="1"/>
  <c r="G97" i="11"/>
  <c r="G93" s="1"/>
  <c r="J98" i="31"/>
  <c r="J98" i="30"/>
  <c r="J98" i="29"/>
  <c r="N155" i="31"/>
  <c r="O155" s="1"/>
  <c r="N155" i="30"/>
  <c r="O155" s="1"/>
  <c r="N155" i="29"/>
  <c r="O155" s="1"/>
  <c r="L209" i="31"/>
  <c r="M209" s="1"/>
  <c r="L209" i="30"/>
  <c r="M209" s="1"/>
  <c r="L209" i="29"/>
  <c r="M209" s="1"/>
  <c r="G294" i="11"/>
  <c r="J295" i="31"/>
  <c r="J295" i="30"/>
  <c r="J295" i="29"/>
  <c r="G335" i="11"/>
  <c r="J336" i="31"/>
  <c r="J336" i="30"/>
  <c r="J336" i="29"/>
  <c r="L407" i="31"/>
  <c r="M407" s="1"/>
  <c r="L407" i="30"/>
  <c r="M407" s="1"/>
  <c r="L407" i="29"/>
  <c r="M407" s="1"/>
  <c r="G1127"/>
  <c r="G1126" s="1"/>
  <c r="G1125" s="1"/>
  <c r="G1124" s="1"/>
  <c r="O1012" i="31"/>
  <c r="I1007"/>
  <c r="I429" i="29"/>
  <c r="I428" s="1"/>
  <c r="I427" s="1"/>
  <c r="I426" s="1"/>
  <c r="I425" s="1"/>
  <c r="I424" s="1"/>
  <c r="I423" s="1"/>
  <c r="I422" s="1"/>
  <c r="N802" i="31"/>
  <c r="O802" s="1"/>
  <c r="N802" i="30"/>
  <c r="O802" s="1"/>
  <c r="N802" i="29"/>
  <c r="O802" s="1"/>
  <c r="J806" i="31"/>
  <c r="K806" s="1"/>
  <c r="J806" i="30"/>
  <c r="K806" s="1"/>
  <c r="J806" i="29"/>
  <c r="K806" s="1"/>
  <c r="L11" i="31"/>
  <c r="M11" s="1"/>
  <c r="L11" i="30"/>
  <c r="M11" s="1"/>
  <c r="L11" i="29"/>
  <c r="M11" s="1"/>
  <c r="L22" i="31"/>
  <c r="H22" s="1"/>
  <c r="L22" i="30"/>
  <c r="L22" i="29"/>
  <c r="H22" s="1"/>
  <c r="J30" i="31"/>
  <c r="K30" s="1"/>
  <c r="J30" i="30"/>
  <c r="K30" s="1"/>
  <c r="J30" i="29"/>
  <c r="K30" s="1"/>
  <c r="L39" i="31"/>
  <c r="M39" s="1"/>
  <c r="L39" i="29"/>
  <c r="M39" s="1"/>
  <c r="L39" i="30"/>
  <c r="M39" s="1"/>
  <c r="H59" i="11"/>
  <c r="L60" i="31"/>
  <c r="L60" i="30"/>
  <c r="L60" i="29"/>
  <c r="G79" i="11"/>
  <c r="G78" s="1"/>
  <c r="J80" i="31"/>
  <c r="J80" i="30"/>
  <c r="J80" i="29"/>
  <c r="G80" s="1"/>
  <c r="I84" i="11"/>
  <c r="N85" i="31"/>
  <c r="I85" s="1"/>
  <c r="N85" i="30"/>
  <c r="N85" i="29"/>
  <c r="H91" i="11"/>
  <c r="L92" i="31"/>
  <c r="L92" i="30"/>
  <c r="L92" i="29"/>
  <c r="G100" i="11"/>
  <c r="J101" i="31"/>
  <c r="J101" i="30"/>
  <c r="J101" i="29"/>
  <c r="N117" i="31"/>
  <c r="I117" s="1"/>
  <c r="O117" s="1"/>
  <c r="N117" i="30"/>
  <c r="N117" i="29"/>
  <c r="H128" i="11"/>
  <c r="L129" i="31"/>
  <c r="L129" i="30"/>
  <c r="H129" s="1"/>
  <c r="L129" i="29"/>
  <c r="G141" i="11"/>
  <c r="J142" i="31"/>
  <c r="J142" i="30"/>
  <c r="J142" i="29"/>
  <c r="G142" s="1"/>
  <c r="L149" i="31"/>
  <c r="M149" s="1"/>
  <c r="L149" i="29"/>
  <c r="M149" s="1"/>
  <c r="L149" i="30"/>
  <c r="M149" s="1"/>
  <c r="H162" i="11"/>
  <c r="L163" i="31"/>
  <c r="L163" i="30"/>
  <c r="L163" i="29"/>
  <c r="G175" i="11"/>
  <c r="J176" i="31"/>
  <c r="J176" i="30"/>
  <c r="J176" i="29"/>
  <c r="I191" i="11"/>
  <c r="N192" i="31"/>
  <c r="N192" i="30"/>
  <c r="N192" i="29"/>
  <c r="I192" s="1"/>
  <c r="L202" i="31"/>
  <c r="M202" s="1"/>
  <c r="L202" i="29"/>
  <c r="M202" s="1"/>
  <c r="L202" i="30"/>
  <c r="M202" s="1"/>
  <c r="G272" i="11"/>
  <c r="J273" i="31"/>
  <c r="J273" i="30"/>
  <c r="J273" i="29"/>
  <c r="H287" i="11"/>
  <c r="L288" i="31"/>
  <c r="L288" i="30"/>
  <c r="L288" i="29"/>
  <c r="H288" s="1"/>
  <c r="G300" i="11"/>
  <c r="J301" i="31"/>
  <c r="G301" s="1"/>
  <c r="J301" i="30"/>
  <c r="J301" i="29"/>
  <c r="L311" i="31"/>
  <c r="M311" s="1"/>
  <c r="L311" i="29"/>
  <c r="M311" s="1"/>
  <c r="L311" i="30"/>
  <c r="M311" s="1"/>
  <c r="N320" i="31"/>
  <c r="O320" s="1"/>
  <c r="N320" i="30"/>
  <c r="O320" s="1"/>
  <c r="N320" i="29"/>
  <c r="O320" s="1"/>
  <c r="G341" i="11"/>
  <c r="J342" i="31"/>
  <c r="J342" i="30"/>
  <c r="J342" i="29"/>
  <c r="I353" i="11"/>
  <c r="N354" i="31"/>
  <c r="N354" i="30"/>
  <c r="N354" i="29"/>
  <c r="H374" i="11"/>
  <c r="L375" i="31"/>
  <c r="L375" i="30"/>
  <c r="L375" i="29"/>
  <c r="G405" i="11"/>
  <c r="J406" i="31"/>
  <c r="J406" i="30"/>
  <c r="J406" i="29"/>
  <c r="L411" i="31"/>
  <c r="M411" s="1"/>
  <c r="L411" i="30"/>
  <c r="M411" s="1"/>
  <c r="L411" i="29"/>
  <c r="M411" s="1"/>
  <c r="H1039" i="30"/>
  <c r="O1130" i="29"/>
  <c r="G997"/>
  <c r="G996" s="1"/>
  <c r="O1140"/>
  <c r="M1013" i="30"/>
  <c r="G995"/>
  <c r="G994" s="1"/>
  <c r="M1105" i="31"/>
  <c r="M1146" i="29"/>
  <c r="H1145"/>
  <c r="H1138" s="1"/>
  <c r="H1137" s="1"/>
  <c r="H1136" s="1"/>
  <c r="H1135" s="1"/>
  <c r="H1134" s="1"/>
  <c r="K1105" i="31"/>
  <c r="G822" i="30"/>
  <c r="G821" s="1"/>
  <c r="G820" s="1"/>
  <c r="G819" s="1"/>
  <c r="G818" s="1"/>
  <c r="G817" s="1"/>
  <c r="G816" s="1"/>
  <c r="G815" s="1"/>
  <c r="K822"/>
  <c r="M1129"/>
  <c r="K1106" i="29"/>
  <c r="O1147" i="30"/>
  <c r="K1147" i="29"/>
  <c r="N428" i="31"/>
  <c r="N428" i="30"/>
  <c r="O428" s="1"/>
  <c r="N428" i="29"/>
  <c r="O1122" i="31"/>
  <c r="O1086" i="30"/>
  <c r="I1082"/>
  <c r="I1081" s="1"/>
  <c r="I1080" s="1"/>
  <c r="I1079" s="1"/>
  <c r="K1132"/>
  <c r="O1129" i="31"/>
  <c r="O1141" i="29"/>
  <c r="H1148" i="31"/>
  <c r="I997"/>
  <c r="I996" s="1"/>
  <c r="O997"/>
  <c r="K1144" i="30"/>
  <c r="L996" i="31"/>
  <c r="L996" i="30"/>
  <c r="L996" i="29"/>
  <c r="I796" i="11"/>
  <c r="H796"/>
  <c r="I310"/>
  <c r="H148"/>
  <c r="H87"/>
  <c r="I21"/>
  <c r="G209"/>
  <c r="G87"/>
  <c r="H195"/>
  <c r="H21"/>
  <c r="I87"/>
  <c r="I148"/>
  <c r="G349"/>
  <c r="H349"/>
  <c r="G310"/>
  <c r="G21"/>
  <c r="I93"/>
  <c r="H93"/>
  <c r="G148"/>
  <c r="M997" i="31" l="1"/>
  <c r="K821" i="29"/>
  <c r="K428"/>
  <c r="K997"/>
  <c r="M429" i="31"/>
  <c r="K822"/>
  <c r="K996" i="30"/>
  <c r="O995"/>
  <c r="M822" i="29"/>
  <c r="O428"/>
  <c r="O821" i="31"/>
  <c r="O996" i="29"/>
  <c r="K995" i="30"/>
  <c r="O429" i="29"/>
  <c r="K429"/>
  <c r="K822"/>
  <c r="M428"/>
  <c r="K996"/>
  <c r="K429" i="30"/>
  <c r="L78" i="31"/>
  <c r="L78" i="30"/>
  <c r="L78" i="29"/>
  <c r="J78" i="31"/>
  <c r="J78" i="30"/>
  <c r="J78" i="29"/>
  <c r="L93" i="31"/>
  <c r="L93" i="30"/>
  <c r="L93" i="29"/>
  <c r="I192" i="30"/>
  <c r="I191" s="1"/>
  <c r="I190" s="1"/>
  <c r="I189" s="1"/>
  <c r="I188" s="1"/>
  <c r="I187" s="1"/>
  <c r="O192"/>
  <c r="L21" i="31"/>
  <c r="L21" i="30"/>
  <c r="L21" i="29"/>
  <c r="N796" i="31"/>
  <c r="N796" i="30"/>
  <c r="N796" i="29"/>
  <c r="J100" i="31"/>
  <c r="J100" i="30"/>
  <c r="K100" s="1"/>
  <c r="J100" i="29"/>
  <c r="L59" i="31"/>
  <c r="M59" s="1"/>
  <c r="L59" i="30"/>
  <c r="L59" i="29"/>
  <c r="G336" i="31"/>
  <c r="G335" s="1"/>
  <c r="G334" s="1"/>
  <c r="G333" s="1"/>
  <c r="G332" s="1"/>
  <c r="J287"/>
  <c r="J287" i="29"/>
  <c r="J287" i="30"/>
  <c r="K287" s="1"/>
  <c r="G163" i="29"/>
  <c r="G162" s="1"/>
  <c r="G161" s="1"/>
  <c r="G160" s="1"/>
  <c r="K163"/>
  <c r="G92" i="31"/>
  <c r="I107"/>
  <c r="I106" s="1"/>
  <c r="I105" s="1"/>
  <c r="I104" s="1"/>
  <c r="I103" s="1"/>
  <c r="N397"/>
  <c r="N397" i="30"/>
  <c r="N397" i="29"/>
  <c r="H83"/>
  <c r="H82" s="1"/>
  <c r="N284" i="31"/>
  <c r="N284" i="30"/>
  <c r="N284" i="29"/>
  <c r="H138" i="30"/>
  <c r="H137" s="1"/>
  <c r="O54" i="29"/>
  <c r="I53"/>
  <c r="I52" s="1"/>
  <c r="I51" s="1"/>
  <c r="I50" s="1"/>
  <c r="I49" s="1"/>
  <c r="I181" i="30"/>
  <c r="I180" s="1"/>
  <c r="N329" i="31"/>
  <c r="N329" i="30"/>
  <c r="N329" i="29"/>
  <c r="G114"/>
  <c r="G113" s="1"/>
  <c r="G112" s="1"/>
  <c r="K114"/>
  <c r="I60" i="30"/>
  <c r="I59" s="1"/>
  <c r="I58" s="1"/>
  <c r="I57" s="1"/>
  <c r="I56" s="1"/>
  <c r="I55" s="1"/>
  <c r="O60"/>
  <c r="H398" i="31"/>
  <c r="H397" s="1"/>
  <c r="H396" s="1"/>
  <c r="G307" i="29"/>
  <c r="G306" s="1"/>
  <c r="G305" s="1"/>
  <c r="G304" s="1"/>
  <c r="G303" s="1"/>
  <c r="G302" s="1"/>
  <c r="J145" i="31"/>
  <c r="J145" i="30"/>
  <c r="J145" i="29"/>
  <c r="N122" i="31"/>
  <c r="N122" i="29"/>
  <c r="N122" i="30"/>
  <c r="K812" i="29"/>
  <c r="G811"/>
  <c r="G810" s="1"/>
  <c r="G809" s="1"/>
  <c r="I406" i="31"/>
  <c r="I405" s="1"/>
  <c r="I401" s="1"/>
  <c r="I400" s="1"/>
  <c r="I399" s="1"/>
  <c r="J329"/>
  <c r="J329" i="30"/>
  <c r="J329" i="29"/>
  <c r="K329" s="1"/>
  <c r="L282" i="31"/>
  <c r="L282" i="30"/>
  <c r="L282" i="29"/>
  <c r="G133" i="30"/>
  <c r="G132" s="1"/>
  <c r="G131" s="1"/>
  <c r="G130" s="1"/>
  <c r="L141" i="31"/>
  <c r="L141" i="30"/>
  <c r="L141" i="29"/>
  <c r="L349" i="31"/>
  <c r="L349" i="30"/>
  <c r="L349" i="29"/>
  <c r="L195" i="31"/>
  <c r="L195" i="30"/>
  <c r="L195" i="29"/>
  <c r="J405" i="31"/>
  <c r="J405" i="30"/>
  <c r="J405" i="29"/>
  <c r="N353" i="31"/>
  <c r="N353" i="30"/>
  <c r="O353" s="1"/>
  <c r="N353" i="29"/>
  <c r="H288" i="30"/>
  <c r="H287" s="1"/>
  <c r="H286" s="1"/>
  <c r="H92" i="29"/>
  <c r="H91" s="1"/>
  <c r="H90" s="1"/>
  <c r="L800" i="31"/>
  <c r="L800" i="30"/>
  <c r="L800" i="29"/>
  <c r="I163"/>
  <c r="I162" s="1"/>
  <c r="I161" s="1"/>
  <c r="I160" s="1"/>
  <c r="H80"/>
  <c r="H79" s="1"/>
  <c r="M80"/>
  <c r="G375" i="30"/>
  <c r="G374" s="1"/>
  <c r="G373" s="1"/>
  <c r="G372" s="1"/>
  <c r="G371" s="1"/>
  <c r="G370" s="1"/>
  <c r="M273" i="29"/>
  <c r="H272"/>
  <c r="H271" s="1"/>
  <c r="H270" s="1"/>
  <c r="G163" i="30"/>
  <c r="G162" s="1"/>
  <c r="G161" s="1"/>
  <c r="G160" s="1"/>
  <c r="H117" i="31"/>
  <c r="M117"/>
  <c r="G60" i="29"/>
  <c r="G59" s="1"/>
  <c r="G58" s="1"/>
  <c r="G57" s="1"/>
  <c r="G56" s="1"/>
  <c r="G55" s="1"/>
  <c r="N106" i="31"/>
  <c r="N106" i="30"/>
  <c r="N106" i="29"/>
  <c r="O106" s="1"/>
  <c r="M146" i="30"/>
  <c r="H145"/>
  <c r="H812" i="31"/>
  <c r="H811" s="1"/>
  <c r="H810" s="1"/>
  <c r="H809" s="1"/>
  <c r="M176" i="29"/>
  <c r="H175"/>
  <c r="G47"/>
  <c r="G46" s="1"/>
  <c r="H295"/>
  <c r="H294" s="1"/>
  <c r="H293" s="1"/>
  <c r="H292" s="1"/>
  <c r="G192"/>
  <c r="G191" s="1"/>
  <c r="G190" s="1"/>
  <c r="G189" s="1"/>
  <c r="G188" s="1"/>
  <c r="G187" s="1"/>
  <c r="H138" i="31"/>
  <c r="H137" s="1"/>
  <c r="H136" s="1"/>
  <c r="H135" s="1"/>
  <c r="G138"/>
  <c r="G137" s="1"/>
  <c r="G136" s="1"/>
  <c r="G135" s="1"/>
  <c r="K138"/>
  <c r="G201" i="29"/>
  <c r="G200" s="1"/>
  <c r="G114" i="30"/>
  <c r="G113" s="1"/>
  <c r="G112" s="1"/>
  <c r="H406" i="29"/>
  <c r="H405" s="1"/>
  <c r="H401" s="1"/>
  <c r="H400" s="1"/>
  <c r="H399" s="1"/>
  <c r="G315" i="30"/>
  <c r="G314" s="1"/>
  <c r="G310" s="1"/>
  <c r="I129" i="31"/>
  <c r="I128" s="1"/>
  <c r="I127" s="1"/>
  <c r="I126" s="1"/>
  <c r="I60"/>
  <c r="I59" s="1"/>
  <c r="I58" s="1"/>
  <c r="I57" s="1"/>
  <c r="I56" s="1"/>
  <c r="I55" s="1"/>
  <c r="I48" s="1"/>
  <c r="L397"/>
  <c r="M397" s="1"/>
  <c r="L397" i="30"/>
  <c r="L397" i="29"/>
  <c r="G307" i="30"/>
  <c r="G306" s="1"/>
  <c r="G305" s="1"/>
  <c r="G304" s="1"/>
  <c r="G303" s="1"/>
  <c r="G302" s="1"/>
  <c r="H133" i="29"/>
  <c r="H132" s="1"/>
  <c r="H131" s="1"/>
  <c r="H130" s="1"/>
  <c r="I88" i="30"/>
  <c r="O88"/>
  <c r="H23" i="29"/>
  <c r="H21" s="1"/>
  <c r="H20" s="1"/>
  <c r="M23"/>
  <c r="N405" i="31"/>
  <c r="N405" i="30"/>
  <c r="N405" i="29"/>
  <c r="I342"/>
  <c r="I341" s="1"/>
  <c r="I340" s="1"/>
  <c r="I339" s="1"/>
  <c r="I338" s="1"/>
  <c r="I337" s="1"/>
  <c r="G291" i="30"/>
  <c r="G290" s="1"/>
  <c r="G289" s="1"/>
  <c r="G210" i="29"/>
  <c r="G209" s="1"/>
  <c r="G208" s="1"/>
  <c r="G207" s="1"/>
  <c r="G206" s="1"/>
  <c r="K210"/>
  <c r="I154" i="31"/>
  <c r="I153" s="1"/>
  <c r="O101"/>
  <c r="U101"/>
  <c r="I100"/>
  <c r="H47" i="30"/>
  <c r="M47" s="1"/>
  <c r="G23" i="31"/>
  <c r="S23" s="1"/>
  <c r="L300"/>
  <c r="L300" i="30"/>
  <c r="L300" i="29"/>
  <c r="J87" i="31"/>
  <c r="J87" i="30"/>
  <c r="J87" i="29"/>
  <c r="J175" i="31"/>
  <c r="J175" i="30"/>
  <c r="J175" i="29"/>
  <c r="K142"/>
  <c r="G141"/>
  <c r="G140" s="1"/>
  <c r="G139" s="1"/>
  <c r="I117"/>
  <c r="O117" s="1"/>
  <c r="H92" i="30"/>
  <c r="H91" s="1"/>
  <c r="H90" s="1"/>
  <c r="G80"/>
  <c r="G79" s="1"/>
  <c r="G295" i="29"/>
  <c r="G294" s="1"/>
  <c r="G293" s="1"/>
  <c r="G292" s="1"/>
  <c r="I133" i="30"/>
  <c r="I132" s="1"/>
  <c r="I131" s="1"/>
  <c r="I130" s="1"/>
  <c r="H342"/>
  <c r="H341" s="1"/>
  <c r="H340" s="1"/>
  <c r="H339" s="1"/>
  <c r="H338" s="1"/>
  <c r="H337" s="1"/>
  <c r="M342"/>
  <c r="I163"/>
  <c r="I162" s="1"/>
  <c r="H80"/>
  <c r="H79" s="1"/>
  <c r="G375" i="31"/>
  <c r="G374" s="1"/>
  <c r="G373" s="1"/>
  <c r="G372" s="1"/>
  <c r="G371" s="1"/>
  <c r="G370" s="1"/>
  <c r="K375"/>
  <c r="I295" i="29"/>
  <c r="I294" s="1"/>
  <c r="I293" s="1"/>
  <c r="I292" s="1"/>
  <c r="H273" i="30"/>
  <c r="H272" s="1"/>
  <c r="H271" s="1"/>
  <c r="H270" s="1"/>
  <c r="H192" i="31"/>
  <c r="H191" s="1"/>
  <c r="H190" s="1"/>
  <c r="H189" s="1"/>
  <c r="H188" s="1"/>
  <c r="H187" s="1"/>
  <c r="G163"/>
  <c r="G162" s="1"/>
  <c r="G161" s="1"/>
  <c r="G160" s="1"/>
  <c r="N137"/>
  <c r="N137" i="30"/>
  <c r="N137" i="29"/>
  <c r="I98"/>
  <c r="I97" s="1"/>
  <c r="H85"/>
  <c r="H84" s="1"/>
  <c r="M85"/>
  <c r="K60" i="30"/>
  <c r="G60"/>
  <c r="G59" s="1"/>
  <c r="O994" i="31"/>
  <c r="I990"/>
  <c r="I989" s="1"/>
  <c r="I988" s="1"/>
  <c r="G172" i="29"/>
  <c r="G171" s="1"/>
  <c r="G170" s="1"/>
  <c r="G169" s="1"/>
  <c r="H54"/>
  <c r="H53" s="1"/>
  <c r="H52" s="1"/>
  <c r="M54"/>
  <c r="M146" i="31"/>
  <c r="H146"/>
  <c r="H145" s="1"/>
  <c r="H144" s="1"/>
  <c r="H143" s="1"/>
  <c r="H83"/>
  <c r="M83"/>
  <c r="L811"/>
  <c r="L811" i="30"/>
  <c r="L811" i="29"/>
  <c r="H176" i="30"/>
  <c r="H175" s="1"/>
  <c r="M176"/>
  <c r="G47"/>
  <c r="K47" s="1"/>
  <c r="H295"/>
  <c r="H294" s="1"/>
  <c r="H293" s="1"/>
  <c r="H292" s="1"/>
  <c r="M295"/>
  <c r="O273" i="29"/>
  <c r="I272"/>
  <c r="G192" i="30"/>
  <c r="G191" s="1"/>
  <c r="G190" s="1"/>
  <c r="L137" i="31"/>
  <c r="L137" i="30"/>
  <c r="L137" i="29"/>
  <c r="M98"/>
  <c r="H97"/>
  <c r="H93" s="1"/>
  <c r="G85" i="30"/>
  <c r="G84" s="1"/>
  <c r="K84" s="1"/>
  <c r="I54" i="31"/>
  <c r="I53" s="1"/>
  <c r="I52" s="1"/>
  <c r="I51" s="1"/>
  <c r="I50" s="1"/>
  <c r="I49" s="1"/>
  <c r="I801"/>
  <c r="I800" s="1"/>
  <c r="L284"/>
  <c r="L284" i="30"/>
  <c r="L284" i="29"/>
  <c r="N180" i="31"/>
  <c r="O180" s="1"/>
  <c r="N180" i="30"/>
  <c r="N180" i="29"/>
  <c r="J137" i="31"/>
  <c r="J137" i="30"/>
  <c r="J137" i="29"/>
  <c r="I83"/>
  <c r="I82" s="1"/>
  <c r="O83"/>
  <c r="I812" i="30"/>
  <c r="I811" s="1"/>
  <c r="I810" s="1"/>
  <c r="I809" s="1"/>
  <c r="I291"/>
  <c r="I290" s="1"/>
  <c r="O291"/>
  <c r="G201"/>
  <c r="G200" s="1"/>
  <c r="G195" s="1"/>
  <c r="G194" s="1"/>
  <c r="G193" s="1"/>
  <c r="K201"/>
  <c r="G114" i="31"/>
  <c r="G113" s="1"/>
  <c r="G112" s="1"/>
  <c r="K114"/>
  <c r="J53"/>
  <c r="K53" s="1"/>
  <c r="J53" i="30"/>
  <c r="J53" i="29"/>
  <c r="H406" i="30"/>
  <c r="H405" s="1"/>
  <c r="H401" s="1"/>
  <c r="H400" s="1"/>
  <c r="H399" s="1"/>
  <c r="G315" i="31"/>
  <c r="G314" s="1"/>
  <c r="G310" s="1"/>
  <c r="N128"/>
  <c r="N128" i="30"/>
  <c r="N128" i="29"/>
  <c r="N59" i="31"/>
  <c r="N59" i="29"/>
  <c r="N59" i="30"/>
  <c r="O59" s="1"/>
  <c r="N420" i="31"/>
  <c r="N420" i="30"/>
  <c r="N420" i="29"/>
  <c r="H330" i="31"/>
  <c r="H329" s="1"/>
  <c r="H328" s="1"/>
  <c r="H327" s="1"/>
  <c r="H326" s="1"/>
  <c r="H325" s="1"/>
  <c r="G307"/>
  <c r="G306" s="1"/>
  <c r="G305" s="1"/>
  <c r="G304" s="1"/>
  <c r="G303" s="1"/>
  <c r="G302" s="1"/>
  <c r="K307"/>
  <c r="I283"/>
  <c r="I282" s="1"/>
  <c r="G181" i="29"/>
  <c r="G180" s="1"/>
  <c r="K181"/>
  <c r="H133" i="30"/>
  <c r="H132" s="1"/>
  <c r="H131" s="1"/>
  <c r="H130" s="1"/>
  <c r="K107"/>
  <c r="G106"/>
  <c r="G105" s="1"/>
  <c r="G104" s="1"/>
  <c r="G103" s="1"/>
  <c r="G102" s="1"/>
  <c r="I88" i="31"/>
  <c r="O88"/>
  <c r="O47" i="29"/>
  <c r="I46"/>
  <c r="I45" s="1"/>
  <c r="I44" s="1"/>
  <c r="I43" s="1"/>
  <c r="I42" s="1"/>
  <c r="H23" i="30"/>
  <c r="T23" s="1"/>
  <c r="G812" i="31"/>
  <c r="G811" s="1"/>
  <c r="G810" s="1"/>
  <c r="G809" s="1"/>
  <c r="M995" i="30"/>
  <c r="K821"/>
  <c r="H421" i="29"/>
  <c r="H420" s="1"/>
  <c r="H419" s="1"/>
  <c r="H418" s="1"/>
  <c r="H417" s="1"/>
  <c r="H416" s="1"/>
  <c r="H415" s="1"/>
  <c r="H414" s="1"/>
  <c r="M421"/>
  <c r="K398"/>
  <c r="G397"/>
  <c r="G396" s="1"/>
  <c r="G395" s="1"/>
  <c r="G394" s="1"/>
  <c r="G393" s="1"/>
  <c r="O342" i="30"/>
  <c r="I341"/>
  <c r="I340" s="1"/>
  <c r="I339" s="1"/>
  <c r="I338" s="1"/>
  <c r="I337" s="1"/>
  <c r="H315"/>
  <c r="H314" s="1"/>
  <c r="H310" s="1"/>
  <c r="G291" i="29"/>
  <c r="G290" s="1"/>
  <c r="G289" s="1"/>
  <c r="K291"/>
  <c r="G210" i="30"/>
  <c r="G209" s="1"/>
  <c r="N175" i="31"/>
  <c r="N175" i="30"/>
  <c r="N175" i="29"/>
  <c r="N153" i="31"/>
  <c r="N153" i="30"/>
  <c r="N153" i="29"/>
  <c r="J132" i="31"/>
  <c r="K132" s="1"/>
  <c r="J132" i="30"/>
  <c r="J132" i="29"/>
  <c r="N100" i="31"/>
  <c r="N100" i="30"/>
  <c r="N100" i="29"/>
  <c r="O100" s="1"/>
  <c r="I80" i="30"/>
  <c r="I79" s="1"/>
  <c r="O80"/>
  <c r="H47" i="31"/>
  <c r="H46" s="1"/>
  <c r="H45" s="1"/>
  <c r="H44" s="1"/>
  <c r="H43" s="1"/>
  <c r="H16" i="29"/>
  <c r="H15" s="1"/>
  <c r="I375"/>
  <c r="I374" s="1"/>
  <c r="I373" s="1"/>
  <c r="I372" s="1"/>
  <c r="I371" s="1"/>
  <c r="I370" s="1"/>
  <c r="O375"/>
  <c r="G88" i="30"/>
  <c r="G87" s="1"/>
  <c r="G86" s="1"/>
  <c r="L310" i="31"/>
  <c r="L310" i="29"/>
  <c r="L310" i="30"/>
  <c r="K342" i="31"/>
  <c r="G342"/>
  <c r="G341" s="1"/>
  <c r="G340" s="1"/>
  <c r="G339" s="1"/>
  <c r="G338" s="1"/>
  <c r="G337" s="1"/>
  <c r="J310"/>
  <c r="J310" i="30"/>
  <c r="J310" i="29"/>
  <c r="N310" i="31"/>
  <c r="N310" i="30"/>
  <c r="N310" i="29"/>
  <c r="G406" i="31"/>
  <c r="G405" s="1"/>
  <c r="G401" s="1"/>
  <c r="G400" s="1"/>
  <c r="G399" s="1"/>
  <c r="I354"/>
  <c r="I353" s="1"/>
  <c r="M288" i="29"/>
  <c r="H287"/>
  <c r="H286" s="1"/>
  <c r="G176" i="30"/>
  <c r="G175" s="1"/>
  <c r="H129" i="31"/>
  <c r="H128" s="1"/>
  <c r="H127" s="1"/>
  <c r="H126" s="1"/>
  <c r="N84"/>
  <c r="O84" s="1"/>
  <c r="N84" i="30"/>
  <c r="N84" i="29"/>
  <c r="H22" i="30"/>
  <c r="H801" i="31"/>
  <c r="H800" s="1"/>
  <c r="H796" s="1"/>
  <c r="H795" s="1"/>
  <c r="N166"/>
  <c r="N166" i="30"/>
  <c r="N166" i="29"/>
  <c r="J420" i="31"/>
  <c r="J420" i="30"/>
  <c r="J420" i="29"/>
  <c r="N287" i="31"/>
  <c r="N287" i="29"/>
  <c r="N287" i="30"/>
  <c r="J122" i="31"/>
  <c r="J122" i="29"/>
  <c r="J122" i="30"/>
  <c r="I1018" i="29"/>
  <c r="G375"/>
  <c r="G374" s="1"/>
  <c r="G373" s="1"/>
  <c r="G372" s="1"/>
  <c r="G371" s="1"/>
  <c r="G370" s="1"/>
  <c r="M192"/>
  <c r="H191"/>
  <c r="H190" s="1"/>
  <c r="H189" s="1"/>
  <c r="H188" s="1"/>
  <c r="H187" s="1"/>
  <c r="O138"/>
  <c r="I137"/>
  <c r="I136" s="1"/>
  <c r="I135" s="1"/>
  <c r="H117"/>
  <c r="M117" s="1"/>
  <c r="H146"/>
  <c r="H145" s="1"/>
  <c r="H144" s="1"/>
  <c r="H143" s="1"/>
  <c r="M146"/>
  <c r="H812" i="30"/>
  <c r="H811" s="1"/>
  <c r="H810" s="1"/>
  <c r="L100" i="31"/>
  <c r="L100" i="30"/>
  <c r="L100" i="29"/>
  <c r="M100" s="1"/>
  <c r="I1018" i="31"/>
  <c r="N200"/>
  <c r="O200" s="1"/>
  <c r="N200" i="30"/>
  <c r="N200" i="29"/>
  <c r="O200" s="1"/>
  <c r="L171" i="31"/>
  <c r="L171" i="30"/>
  <c r="L171" i="29"/>
  <c r="G117" i="30"/>
  <c r="K117" s="1"/>
  <c r="I89" i="31"/>
  <c r="U89" s="1"/>
  <c r="I801" i="30"/>
  <c r="I800" s="1"/>
  <c r="H285"/>
  <c r="H284" s="1"/>
  <c r="M284" s="1"/>
  <c r="G138"/>
  <c r="G137" s="1"/>
  <c r="G136" s="1"/>
  <c r="G135" s="1"/>
  <c r="J284" i="31"/>
  <c r="J284" i="30"/>
  <c r="J284" i="29"/>
  <c r="G54" i="30"/>
  <c r="K54" s="1"/>
  <c r="G315" i="29"/>
  <c r="G314" s="1"/>
  <c r="G310" s="1"/>
  <c r="G309" s="1"/>
  <c r="G308" s="1"/>
  <c r="I129" i="30"/>
  <c r="I128" s="1"/>
  <c r="I127" s="1"/>
  <c r="I126" s="1"/>
  <c r="O421"/>
  <c r="I421"/>
  <c r="I420" s="1"/>
  <c r="I419" s="1"/>
  <c r="I418" s="1"/>
  <c r="I417" s="1"/>
  <c r="I416" s="1"/>
  <c r="I415" s="1"/>
  <c r="I414" s="1"/>
  <c r="H330" i="29"/>
  <c r="H329" s="1"/>
  <c r="H328" s="1"/>
  <c r="H327" s="1"/>
  <c r="H326" s="1"/>
  <c r="H325" s="1"/>
  <c r="M330"/>
  <c r="I283" i="30"/>
  <c r="I282" s="1"/>
  <c r="H167" i="31"/>
  <c r="H166" s="1"/>
  <c r="H165" s="1"/>
  <c r="H164" s="1"/>
  <c r="O88" i="29"/>
  <c r="N300" i="31"/>
  <c r="N300" i="30"/>
  <c r="N300" i="29"/>
  <c r="I176" i="30"/>
  <c r="I175" s="1"/>
  <c r="I154" i="29"/>
  <c r="I153" s="1"/>
  <c r="I101" i="30"/>
  <c r="I100" s="1"/>
  <c r="I99" s="1"/>
  <c r="O101"/>
  <c r="H88" i="31"/>
  <c r="T88" s="1"/>
  <c r="H47" i="29"/>
  <c r="H46" s="1"/>
  <c r="H45" s="1"/>
  <c r="H44" s="1"/>
  <c r="H43" s="1"/>
  <c r="H42" s="1"/>
  <c r="H301" i="31"/>
  <c r="H300" s="1"/>
  <c r="H299" s="1"/>
  <c r="H298" s="1"/>
  <c r="H297" s="1"/>
  <c r="H296" s="1"/>
  <c r="L796"/>
  <c r="M796" s="1"/>
  <c r="L796" i="30"/>
  <c r="L796" i="29"/>
  <c r="H1018" i="30"/>
  <c r="G176" i="31"/>
  <c r="G175" s="1"/>
  <c r="L128"/>
  <c r="L128" i="30"/>
  <c r="L128" i="29"/>
  <c r="K80"/>
  <c r="G79"/>
  <c r="M22" i="31"/>
  <c r="T22"/>
  <c r="J335"/>
  <c r="J335" i="30"/>
  <c r="K335" s="1"/>
  <c r="J335" i="29"/>
  <c r="K335" s="1"/>
  <c r="I133"/>
  <c r="I132" s="1"/>
  <c r="I131" s="1"/>
  <c r="I130" s="1"/>
  <c r="M342"/>
  <c r="H341"/>
  <c r="H340" s="1"/>
  <c r="H339" s="1"/>
  <c r="H338" s="1"/>
  <c r="H337" s="1"/>
  <c r="O295" i="30"/>
  <c r="I295"/>
  <c r="I294" s="1"/>
  <c r="I293" s="1"/>
  <c r="I292" s="1"/>
  <c r="H192"/>
  <c r="H191" s="1"/>
  <c r="H190" s="1"/>
  <c r="H189" s="1"/>
  <c r="H188" s="1"/>
  <c r="H187" s="1"/>
  <c r="M192"/>
  <c r="I138" i="31"/>
  <c r="I137" s="1"/>
  <c r="I136" s="1"/>
  <c r="I135" s="1"/>
  <c r="J91"/>
  <c r="J91" i="30"/>
  <c r="J91" i="29"/>
  <c r="H83" i="30"/>
  <c r="H82" s="1"/>
  <c r="I273"/>
  <c r="I272" s="1"/>
  <c r="I271" s="1"/>
  <c r="I270" s="1"/>
  <c r="G117" i="31"/>
  <c r="K117" s="1"/>
  <c r="G85" i="29"/>
  <c r="G84" s="1"/>
  <c r="I54" i="30"/>
  <c r="O54" s="1"/>
  <c r="I801" i="29"/>
  <c r="I800" s="1"/>
  <c r="I796" s="1"/>
  <c r="H285" i="31"/>
  <c r="H284" s="1"/>
  <c r="H281" s="1"/>
  <c r="I181"/>
  <c r="I180" s="1"/>
  <c r="H89"/>
  <c r="M89"/>
  <c r="I812" i="29"/>
  <c r="I811" s="1"/>
  <c r="I810" s="1"/>
  <c r="I809" s="1"/>
  <c r="I291"/>
  <c r="I290" s="1"/>
  <c r="I289" s="1"/>
  <c r="G54" i="31"/>
  <c r="G53" s="1"/>
  <c r="G52" s="1"/>
  <c r="G51" s="1"/>
  <c r="G50" s="1"/>
  <c r="G49" s="1"/>
  <c r="H1018"/>
  <c r="I421"/>
  <c r="I420" s="1"/>
  <c r="I419" s="1"/>
  <c r="I418" s="1"/>
  <c r="I417" s="1"/>
  <c r="I416" s="1"/>
  <c r="I415" s="1"/>
  <c r="I414" s="1"/>
  <c r="H330" i="30"/>
  <c r="H329" s="1"/>
  <c r="H328" s="1"/>
  <c r="H327" s="1"/>
  <c r="H326" s="1"/>
  <c r="H325" s="1"/>
  <c r="I283" i="29"/>
  <c r="I282" s="1"/>
  <c r="L166" i="31"/>
  <c r="M166" s="1"/>
  <c r="L166" i="30"/>
  <c r="L166" i="29"/>
  <c r="G107"/>
  <c r="G106" s="1"/>
  <c r="G105" s="1"/>
  <c r="G104" s="1"/>
  <c r="G103" s="1"/>
  <c r="G102" s="1"/>
  <c r="K107"/>
  <c r="K812" i="30"/>
  <c r="G811"/>
  <c r="G810" s="1"/>
  <c r="G809" s="1"/>
  <c r="M315" i="29"/>
  <c r="H314"/>
  <c r="O176" i="31"/>
  <c r="I175"/>
  <c r="G133"/>
  <c r="G132" s="1"/>
  <c r="G131" s="1"/>
  <c r="G130" s="1"/>
  <c r="O80" i="29"/>
  <c r="I79"/>
  <c r="G88"/>
  <c r="G87" s="1"/>
  <c r="G86" s="1"/>
  <c r="K88"/>
  <c r="J349" i="31"/>
  <c r="J349" i="30"/>
  <c r="J349" i="29"/>
  <c r="G281" i="11"/>
  <c r="K994" i="30"/>
  <c r="G990"/>
  <c r="G989" s="1"/>
  <c r="G988" s="1"/>
  <c r="H375" i="29"/>
  <c r="H374" s="1"/>
  <c r="H373" s="1"/>
  <c r="H372" s="1"/>
  <c r="H371" s="1"/>
  <c r="H370" s="1"/>
  <c r="M375"/>
  <c r="G342"/>
  <c r="G341" s="1"/>
  <c r="G340" s="1"/>
  <c r="G339" s="1"/>
  <c r="G338" s="1"/>
  <c r="G337" s="1"/>
  <c r="H288" i="31"/>
  <c r="H287" s="1"/>
  <c r="H286" s="1"/>
  <c r="G147" i="11"/>
  <c r="J148" i="31"/>
  <c r="K148" s="1"/>
  <c r="J148" i="30"/>
  <c r="K148" s="1"/>
  <c r="J148" i="29"/>
  <c r="K148" s="1"/>
  <c r="I195" i="11"/>
  <c r="I349"/>
  <c r="M996" i="30"/>
  <c r="O428" i="31"/>
  <c r="H375" i="30"/>
  <c r="H374" s="1"/>
  <c r="H373" s="1"/>
  <c r="H372" s="1"/>
  <c r="H371" s="1"/>
  <c r="H370" s="1"/>
  <c r="M375"/>
  <c r="G342"/>
  <c r="G341" s="1"/>
  <c r="G340" s="1"/>
  <c r="G339" s="1"/>
  <c r="G338" s="1"/>
  <c r="G337" s="1"/>
  <c r="L287" i="31"/>
  <c r="L287" i="30"/>
  <c r="M287" s="1"/>
  <c r="L287" i="29"/>
  <c r="O192"/>
  <c r="I191"/>
  <c r="I190" s="1"/>
  <c r="I189" s="1"/>
  <c r="I188" s="1"/>
  <c r="I187" s="1"/>
  <c r="H163"/>
  <c r="H162" s="1"/>
  <c r="M163"/>
  <c r="G142" i="30"/>
  <c r="G141" s="1"/>
  <c r="G140" s="1"/>
  <c r="G139" s="1"/>
  <c r="I117"/>
  <c r="O117" s="1"/>
  <c r="H92" i="31"/>
  <c r="M92" s="1"/>
  <c r="G80"/>
  <c r="K80" s="1"/>
  <c r="H1100"/>
  <c r="H1099" s="1"/>
  <c r="H1098" s="1"/>
  <c r="H1097" s="1"/>
  <c r="H1096" s="1"/>
  <c r="G295" i="30"/>
  <c r="G294" s="1"/>
  <c r="G293" s="1"/>
  <c r="G292" s="1"/>
  <c r="K295"/>
  <c r="O133" i="31"/>
  <c r="I132"/>
  <c r="I131" s="1"/>
  <c r="I130" s="1"/>
  <c r="K997" i="30"/>
  <c r="M342" i="31"/>
  <c r="H341"/>
  <c r="H340" s="1"/>
  <c r="H339" s="1"/>
  <c r="H338" s="1"/>
  <c r="H337" s="1"/>
  <c r="I163"/>
  <c r="I162" s="1"/>
  <c r="I161" s="1"/>
  <c r="I160" s="1"/>
  <c r="H80"/>
  <c r="M80"/>
  <c r="M996"/>
  <c r="O429"/>
  <c r="O821" i="29"/>
  <c r="M821"/>
  <c r="J374" i="31"/>
  <c r="J374" i="30"/>
  <c r="K374" s="1"/>
  <c r="J374" i="29"/>
  <c r="I295" i="31"/>
  <c r="I294" s="1"/>
  <c r="I293" s="1"/>
  <c r="I292" s="1"/>
  <c r="H273"/>
  <c r="H272" s="1"/>
  <c r="H271" s="1"/>
  <c r="H270" s="1"/>
  <c r="M273"/>
  <c r="L191"/>
  <c r="L191" i="30"/>
  <c r="L191" i="29"/>
  <c r="J162" i="31"/>
  <c r="J162" i="30"/>
  <c r="J162" i="29"/>
  <c r="G129"/>
  <c r="G128" s="1"/>
  <c r="G127" s="1"/>
  <c r="G126" s="1"/>
  <c r="K129"/>
  <c r="I98" i="30"/>
  <c r="I97" s="1"/>
  <c r="I93" s="1"/>
  <c r="M85"/>
  <c r="H85"/>
  <c r="H84" s="1"/>
  <c r="G60" i="31"/>
  <c r="G59" s="1"/>
  <c r="G58" s="1"/>
  <c r="G57" s="1"/>
  <c r="G56" s="1"/>
  <c r="G55" s="1"/>
  <c r="G48" s="1"/>
  <c r="K22" i="29"/>
  <c r="G21"/>
  <c r="G20" s="1"/>
  <c r="I817" i="30"/>
  <c r="I816" s="1"/>
  <c r="I815" s="1"/>
  <c r="G172"/>
  <c r="G171" s="1"/>
  <c r="G170" s="1"/>
  <c r="G169" s="1"/>
  <c r="H54"/>
  <c r="M54" s="1"/>
  <c r="O822" i="29"/>
  <c r="L145" i="31"/>
  <c r="M145" s="1"/>
  <c r="L145" i="30"/>
  <c r="L145" i="29"/>
  <c r="L82" i="31"/>
  <c r="L82" i="30"/>
  <c r="L82" i="29"/>
  <c r="G801"/>
  <c r="G800" s="1"/>
  <c r="H990"/>
  <c r="H989" s="1"/>
  <c r="H988" s="1"/>
  <c r="H970" s="1"/>
  <c r="H823" s="1"/>
  <c r="H814" s="1"/>
  <c r="H176" i="31"/>
  <c r="H175" s="1"/>
  <c r="G47"/>
  <c r="G46" s="1"/>
  <c r="G45" s="1"/>
  <c r="G44" s="1"/>
  <c r="G43" s="1"/>
  <c r="O997" i="29"/>
  <c r="O994" i="30"/>
  <c r="H295" i="31"/>
  <c r="H294" s="1"/>
  <c r="H293" s="1"/>
  <c r="H292" s="1"/>
  <c r="I273"/>
  <c r="I272" s="1"/>
  <c r="I271" s="1"/>
  <c r="I270" s="1"/>
  <c r="G192"/>
  <c r="G191" s="1"/>
  <c r="G190" s="1"/>
  <c r="G189" s="1"/>
  <c r="G188" s="1"/>
  <c r="G187" s="1"/>
  <c r="I114" i="30"/>
  <c r="I113" s="1"/>
  <c r="I112" s="1"/>
  <c r="H98"/>
  <c r="H97" s="1"/>
  <c r="G85" i="31"/>
  <c r="K85"/>
  <c r="N53"/>
  <c r="O53" s="1"/>
  <c r="N53" i="30"/>
  <c r="N53" i="29"/>
  <c r="N800" i="31"/>
  <c r="N800" i="30"/>
  <c r="N800" i="29"/>
  <c r="O800" s="1"/>
  <c r="H201"/>
  <c r="H200" s="1"/>
  <c r="H195" s="1"/>
  <c r="H194" s="1"/>
  <c r="H193" s="1"/>
  <c r="M201"/>
  <c r="I146" i="30"/>
  <c r="I145" s="1"/>
  <c r="I144" s="1"/>
  <c r="I143" s="1"/>
  <c r="H114" i="29"/>
  <c r="H113" s="1"/>
  <c r="H112" s="1"/>
  <c r="I83" i="30"/>
  <c r="I82" s="1"/>
  <c r="I812" i="31"/>
  <c r="I811" s="1"/>
  <c r="I810" s="1"/>
  <c r="I809" s="1"/>
  <c r="O812"/>
  <c r="I291"/>
  <c r="I290" s="1"/>
  <c r="I289" s="1"/>
  <c r="G201"/>
  <c r="G200" s="1"/>
  <c r="J113"/>
  <c r="K113" s="1"/>
  <c r="J113" i="30"/>
  <c r="J113" i="29"/>
  <c r="I23"/>
  <c r="I21" s="1"/>
  <c r="I20" s="1"/>
  <c r="M406" i="31"/>
  <c r="H405"/>
  <c r="H401" s="1"/>
  <c r="H400" s="1"/>
  <c r="H399" s="1"/>
  <c r="J314"/>
  <c r="K314" s="1"/>
  <c r="J314" i="30"/>
  <c r="K314" s="1"/>
  <c r="J314" i="29"/>
  <c r="H154"/>
  <c r="H153" s="1"/>
  <c r="I92"/>
  <c r="I91" s="1"/>
  <c r="I90" s="1"/>
  <c r="M995" i="31"/>
  <c r="I990" i="29"/>
  <c r="I989" s="1"/>
  <c r="I988" s="1"/>
  <c r="I970" s="1"/>
  <c r="K429" i="31"/>
  <c r="L329"/>
  <c r="L329" i="30"/>
  <c r="L329" i="29"/>
  <c r="J306" i="31"/>
  <c r="K306" s="1"/>
  <c r="J306" i="30"/>
  <c r="J306" i="29"/>
  <c r="N282" i="31"/>
  <c r="N282" i="30"/>
  <c r="N282" i="29"/>
  <c r="G181" i="30"/>
  <c r="G180" s="1"/>
  <c r="H133" i="31"/>
  <c r="H132" s="1"/>
  <c r="H131" s="1"/>
  <c r="H130" s="1"/>
  <c r="M133"/>
  <c r="G107"/>
  <c r="G106" s="1"/>
  <c r="G105" s="1"/>
  <c r="G104" s="1"/>
  <c r="G103" s="1"/>
  <c r="G102" s="1"/>
  <c r="K107"/>
  <c r="K83" i="29"/>
  <c r="G82"/>
  <c r="O47" i="30"/>
  <c r="U47"/>
  <c r="I46"/>
  <c r="H23" i="31"/>
  <c r="T23" s="1"/>
  <c r="J811"/>
  <c r="K811" s="1"/>
  <c r="J811" i="29"/>
  <c r="J811" i="30"/>
  <c r="M994"/>
  <c r="H990"/>
  <c r="H989" s="1"/>
  <c r="H988" s="1"/>
  <c r="K821" i="31"/>
  <c r="H421" i="30"/>
  <c r="H420" s="1"/>
  <c r="H419" s="1"/>
  <c r="H418" s="1"/>
  <c r="H417" s="1"/>
  <c r="H416" s="1"/>
  <c r="H415" s="1"/>
  <c r="H414" s="1"/>
  <c r="G398"/>
  <c r="G397" s="1"/>
  <c r="G396" s="1"/>
  <c r="G395" s="1"/>
  <c r="G394" s="1"/>
  <c r="G393" s="1"/>
  <c r="K398"/>
  <c r="I342" i="31"/>
  <c r="I341" s="1"/>
  <c r="I340" s="1"/>
  <c r="M315"/>
  <c r="H314"/>
  <c r="H310" s="1"/>
  <c r="G291"/>
  <c r="G290" s="1"/>
  <c r="G289" s="1"/>
  <c r="G210"/>
  <c r="K210"/>
  <c r="K167" i="29"/>
  <c r="G166"/>
  <c r="I142"/>
  <c r="I141" s="1"/>
  <c r="I140" s="1"/>
  <c r="I139" s="1"/>
  <c r="H123"/>
  <c r="H122" s="1"/>
  <c r="H121" s="1"/>
  <c r="H120" s="1"/>
  <c r="H119" s="1"/>
  <c r="H118" s="1"/>
  <c r="I80" i="31"/>
  <c r="O80" s="1"/>
  <c r="L46"/>
  <c r="L46" i="30"/>
  <c r="L46" i="29"/>
  <c r="H16" i="30"/>
  <c r="M16"/>
  <c r="I375"/>
  <c r="I374" s="1"/>
  <c r="I373" s="1"/>
  <c r="I372" s="1"/>
  <c r="I371" s="1"/>
  <c r="I370" s="1"/>
  <c r="O375"/>
  <c r="G88" i="31"/>
  <c r="J796"/>
  <c r="J796" i="30"/>
  <c r="J796" i="29"/>
  <c r="H375" i="31"/>
  <c r="H374" s="1"/>
  <c r="H373" s="1"/>
  <c r="G273" i="29"/>
  <c r="G272" s="1"/>
  <c r="G271" s="1"/>
  <c r="G270" s="1"/>
  <c r="K273"/>
  <c r="H163" i="30"/>
  <c r="H162" s="1"/>
  <c r="H161" s="1"/>
  <c r="H160" s="1"/>
  <c r="G142" i="31"/>
  <c r="G141" s="1"/>
  <c r="G140" s="1"/>
  <c r="G139" s="1"/>
  <c r="L91"/>
  <c r="L91" i="30"/>
  <c r="L91" i="29"/>
  <c r="M91" s="1"/>
  <c r="G295" i="31"/>
  <c r="G294" s="1"/>
  <c r="G293" s="1"/>
  <c r="G292" s="1"/>
  <c r="N132"/>
  <c r="O132" s="1"/>
  <c r="N132" i="30"/>
  <c r="O132" s="1"/>
  <c r="N132" i="29"/>
  <c r="O132" s="1"/>
  <c r="L341" i="31"/>
  <c r="M341" s="1"/>
  <c r="L341" i="30"/>
  <c r="L341" i="29"/>
  <c r="M341" s="1"/>
  <c r="L79" i="31"/>
  <c r="L79" i="30"/>
  <c r="M79" s="1"/>
  <c r="L79" i="29"/>
  <c r="M79" s="1"/>
  <c r="H354"/>
  <c r="H353" s="1"/>
  <c r="N294" i="31"/>
  <c r="N294" i="30"/>
  <c r="O294" s="1"/>
  <c r="N294" i="29"/>
  <c r="O294" s="1"/>
  <c r="H85" i="31"/>
  <c r="M85" s="1"/>
  <c r="N272"/>
  <c r="N272" i="30"/>
  <c r="O272" s="1"/>
  <c r="N272" i="29"/>
  <c r="J191" i="31"/>
  <c r="K191" s="1"/>
  <c r="J191" i="30"/>
  <c r="K191" s="1"/>
  <c r="J191" i="29"/>
  <c r="I114"/>
  <c r="I113" s="1"/>
  <c r="I112" s="1"/>
  <c r="I146"/>
  <c r="I145" s="1"/>
  <c r="I144" s="1"/>
  <c r="I143" s="1"/>
  <c r="O146"/>
  <c r="I83" i="31"/>
  <c r="O83" s="1"/>
  <c r="N290"/>
  <c r="N290" i="30"/>
  <c r="N290" i="29"/>
  <c r="J200" i="31"/>
  <c r="J200" i="30"/>
  <c r="K200" s="1"/>
  <c r="J200" i="29"/>
  <c r="O23" i="30"/>
  <c r="U23"/>
  <c r="L405" i="31"/>
  <c r="L405" i="30"/>
  <c r="L405" i="29"/>
  <c r="H154" i="30"/>
  <c r="H153" s="1"/>
  <c r="H148" s="1"/>
  <c r="H147" s="1"/>
  <c r="I92"/>
  <c r="I91" s="1"/>
  <c r="I90" s="1"/>
  <c r="M994" i="31"/>
  <c r="H990"/>
  <c r="H989" s="1"/>
  <c r="H988" s="1"/>
  <c r="H970" s="1"/>
  <c r="J106"/>
  <c r="K106" s="1"/>
  <c r="J106" i="30"/>
  <c r="J106" i="29"/>
  <c r="K106" s="1"/>
  <c r="G83" i="30"/>
  <c r="G82" s="1"/>
  <c r="I16" i="29"/>
  <c r="I15" s="1"/>
  <c r="O16"/>
  <c r="G1096" i="31"/>
  <c r="G398"/>
  <c r="G397" s="1"/>
  <c r="G396" s="1"/>
  <c r="G395" s="1"/>
  <c r="G394" s="1"/>
  <c r="G393" s="1"/>
  <c r="L314"/>
  <c r="M314" s="1"/>
  <c r="L314" i="30"/>
  <c r="L314" i="29"/>
  <c r="G167" i="30"/>
  <c r="G166" s="1"/>
  <c r="H123"/>
  <c r="H122" s="1"/>
  <c r="H121" s="1"/>
  <c r="H120" s="1"/>
  <c r="H119" s="1"/>
  <c r="H118" s="1"/>
  <c r="M16" i="31"/>
  <c r="T16"/>
  <c r="H15"/>
  <c r="I375"/>
  <c r="I374" s="1"/>
  <c r="I373" s="1"/>
  <c r="I372" s="1"/>
  <c r="I371" s="1"/>
  <c r="I370" s="1"/>
  <c r="G16" i="30"/>
  <c r="K16" s="1"/>
  <c r="N93" i="31"/>
  <c r="N93" i="30"/>
  <c r="N93" i="29"/>
  <c r="J93" i="31"/>
  <c r="J93" i="30"/>
  <c r="J93" i="29"/>
  <c r="I281" i="11"/>
  <c r="J341" i="31"/>
  <c r="K341" s="1"/>
  <c r="J341" i="30"/>
  <c r="J341" i="29"/>
  <c r="G273" i="30"/>
  <c r="G272" s="1"/>
  <c r="G271" s="1"/>
  <c r="G270" s="1"/>
  <c r="H163" i="31"/>
  <c r="H162" s="1"/>
  <c r="H161" s="1"/>
  <c r="H160" s="1"/>
  <c r="H159" s="1"/>
  <c r="G101" i="29"/>
  <c r="G100" s="1"/>
  <c r="G99" s="1"/>
  <c r="K101"/>
  <c r="J294" i="31"/>
  <c r="J294" i="30"/>
  <c r="K294" s="1"/>
  <c r="J294" i="29"/>
  <c r="G98" i="30"/>
  <c r="G97" s="1"/>
  <c r="G93" s="1"/>
  <c r="K98"/>
  <c r="I167" i="29"/>
  <c r="I166" s="1"/>
  <c r="I165" s="1"/>
  <c r="I164" s="1"/>
  <c r="G123"/>
  <c r="G122" s="1"/>
  <c r="G121" s="1"/>
  <c r="G120" s="1"/>
  <c r="G119" s="1"/>
  <c r="G118" s="1"/>
  <c r="G1039"/>
  <c r="G1018" s="1"/>
  <c r="H354" i="30"/>
  <c r="H353" s="1"/>
  <c r="G288" i="29"/>
  <c r="G287" s="1"/>
  <c r="G286" s="1"/>
  <c r="K288"/>
  <c r="I172" i="30"/>
  <c r="I171" s="1"/>
  <c r="I170" s="1"/>
  <c r="I169" s="1"/>
  <c r="K129" i="31"/>
  <c r="G128"/>
  <c r="G127" s="1"/>
  <c r="G126" s="1"/>
  <c r="G125" s="1"/>
  <c r="L84"/>
  <c r="L84" i="30"/>
  <c r="M84" s="1"/>
  <c r="L84" i="29"/>
  <c r="M84" s="1"/>
  <c r="L53" i="31"/>
  <c r="L53" i="30"/>
  <c r="L53" i="29"/>
  <c r="M53" s="1"/>
  <c r="H181" i="30"/>
  <c r="H180" s="1"/>
  <c r="G801" i="31"/>
  <c r="G800" s="1"/>
  <c r="G796" s="1"/>
  <c r="G795" s="1"/>
  <c r="G794" s="1"/>
  <c r="G793" s="1"/>
  <c r="H101" i="29"/>
  <c r="H100" s="1"/>
  <c r="H99" s="1"/>
  <c r="M101"/>
  <c r="G1039" i="30"/>
  <c r="G354"/>
  <c r="G353" s="1"/>
  <c r="I285" i="29"/>
  <c r="I284" s="1"/>
  <c r="O284" s="1"/>
  <c r="H172"/>
  <c r="H171" s="1"/>
  <c r="H170" s="1"/>
  <c r="H169" s="1"/>
  <c r="L97" i="31"/>
  <c r="L97" i="30"/>
  <c r="L97" i="29"/>
  <c r="H114" i="31"/>
  <c r="H113" s="1"/>
  <c r="H112" s="1"/>
  <c r="H154"/>
  <c r="H153" s="1"/>
  <c r="H148" s="1"/>
  <c r="H147" s="1"/>
  <c r="M154"/>
  <c r="O315" i="30"/>
  <c r="I314"/>
  <c r="G211"/>
  <c r="K211"/>
  <c r="J180" i="31"/>
  <c r="J180" i="30"/>
  <c r="K180" s="1"/>
  <c r="J180" i="29"/>
  <c r="K180" s="1"/>
  <c r="I123"/>
  <c r="I122" s="1"/>
  <c r="I121" s="1"/>
  <c r="I120" s="1"/>
  <c r="I119" s="1"/>
  <c r="I118" s="1"/>
  <c r="O123"/>
  <c r="K83" i="31"/>
  <c r="S83"/>
  <c r="G82"/>
  <c r="I16" i="30"/>
  <c r="O16"/>
  <c r="J397" i="31"/>
  <c r="J397" i="30"/>
  <c r="K397" s="1"/>
  <c r="J397" i="29"/>
  <c r="K397" s="1"/>
  <c r="I301" i="30"/>
  <c r="I300" s="1"/>
  <c r="I299" s="1"/>
  <c r="I298" s="1"/>
  <c r="I297" s="1"/>
  <c r="I142" i="31"/>
  <c r="I141" s="1"/>
  <c r="I140" s="1"/>
  <c r="I139" s="1"/>
  <c r="M123"/>
  <c r="H123"/>
  <c r="H122" s="1"/>
  <c r="H121" s="1"/>
  <c r="H120" s="1"/>
  <c r="H119" s="1"/>
  <c r="H118" s="1"/>
  <c r="L15"/>
  <c r="M15" s="1"/>
  <c r="L15" i="29"/>
  <c r="L15" i="30"/>
  <c r="H142" i="29"/>
  <c r="H141" s="1"/>
  <c r="H140" s="1"/>
  <c r="H139" s="1"/>
  <c r="M142"/>
  <c r="G195" i="11"/>
  <c r="N148" i="31"/>
  <c r="N148" i="30"/>
  <c r="N148" i="29"/>
  <c r="L87" i="31"/>
  <c r="L87" i="30"/>
  <c r="L87" i="29"/>
  <c r="H281" i="11"/>
  <c r="I1039" i="30"/>
  <c r="G406" i="29"/>
  <c r="G405" s="1"/>
  <c r="G401" s="1"/>
  <c r="G400" s="1"/>
  <c r="G399" s="1"/>
  <c r="G392" s="1"/>
  <c r="G391" s="1"/>
  <c r="I354"/>
  <c r="I353" s="1"/>
  <c r="K301" i="31"/>
  <c r="G300"/>
  <c r="G299" s="1"/>
  <c r="G298" s="1"/>
  <c r="G297" s="1"/>
  <c r="G296" s="1"/>
  <c r="G273"/>
  <c r="G272" s="1"/>
  <c r="G271" s="1"/>
  <c r="G270" s="1"/>
  <c r="K273"/>
  <c r="N191"/>
  <c r="N191" i="30"/>
  <c r="O191" s="1"/>
  <c r="N191" i="29"/>
  <c r="O191" s="1"/>
  <c r="L162" i="31"/>
  <c r="L162" i="30"/>
  <c r="L162" i="29"/>
  <c r="H129"/>
  <c r="H128" s="1"/>
  <c r="M129"/>
  <c r="G101" i="30"/>
  <c r="G100" s="1"/>
  <c r="G99" s="1"/>
  <c r="K101"/>
  <c r="I85"/>
  <c r="I84" s="1"/>
  <c r="H60"/>
  <c r="H59" s="1"/>
  <c r="H58" s="1"/>
  <c r="H57" s="1"/>
  <c r="G336" i="29"/>
  <c r="G335" s="1"/>
  <c r="G334" s="1"/>
  <c r="G333" s="1"/>
  <c r="G332" s="1"/>
  <c r="G331" s="1"/>
  <c r="K336"/>
  <c r="G98" i="31"/>
  <c r="K98" s="1"/>
  <c r="M801" i="29"/>
  <c r="H800"/>
  <c r="I989" i="30"/>
  <c r="I988" s="1"/>
  <c r="I167"/>
  <c r="I166" s="1"/>
  <c r="I165" s="1"/>
  <c r="I164" s="1"/>
  <c r="G1100" i="29"/>
  <c r="G1099" s="1"/>
  <c r="G1098" s="1"/>
  <c r="G1097" s="1"/>
  <c r="G1096" s="1"/>
  <c r="G421" i="30"/>
  <c r="G420" s="1"/>
  <c r="G419" s="1"/>
  <c r="G418" s="1"/>
  <c r="G417" s="1"/>
  <c r="G416" s="1"/>
  <c r="G415" s="1"/>
  <c r="G414" s="1"/>
  <c r="K421"/>
  <c r="O288"/>
  <c r="I287"/>
  <c r="I286" s="1"/>
  <c r="G123"/>
  <c r="G122" s="1"/>
  <c r="G121" s="1"/>
  <c r="G120" s="1"/>
  <c r="G119" s="1"/>
  <c r="G118" s="1"/>
  <c r="I22"/>
  <c r="O22" s="1"/>
  <c r="G1018" i="31"/>
  <c r="H354"/>
  <c r="H353" s="1"/>
  <c r="G288" i="30"/>
  <c r="G287" s="1"/>
  <c r="G286" s="1"/>
  <c r="I172" i="31"/>
  <c r="I171" s="1"/>
  <c r="I170" s="1"/>
  <c r="I169" s="1"/>
  <c r="J128"/>
  <c r="K128" s="1"/>
  <c r="J128" i="30"/>
  <c r="J128" i="29"/>
  <c r="G92" i="30"/>
  <c r="G91" s="1"/>
  <c r="O107" i="29"/>
  <c r="I106"/>
  <c r="I105" s="1"/>
  <c r="I104" s="1"/>
  <c r="I103" s="1"/>
  <c r="I102" s="1"/>
  <c r="O398" i="30"/>
  <c r="I397"/>
  <c r="I396" s="1"/>
  <c r="I395" s="1"/>
  <c r="I394" s="1"/>
  <c r="I393" s="1"/>
  <c r="H181" i="31"/>
  <c r="H180" s="1"/>
  <c r="M181"/>
  <c r="H107"/>
  <c r="H106" s="1"/>
  <c r="H105" s="1"/>
  <c r="H104" s="1"/>
  <c r="H103" s="1"/>
  <c r="H102" s="1"/>
  <c r="J800"/>
  <c r="J800" i="30"/>
  <c r="J800" i="29"/>
  <c r="H101" i="30"/>
  <c r="H100" s="1"/>
  <c r="H99" s="1"/>
  <c r="H1097"/>
  <c r="H1096" s="1"/>
  <c r="G1100"/>
  <c r="G1099" s="1"/>
  <c r="G1098" s="1"/>
  <c r="G1097" s="1"/>
  <c r="G1096" s="1"/>
  <c r="K354" i="31"/>
  <c r="G354"/>
  <c r="G353" s="1"/>
  <c r="I285" i="30"/>
  <c r="I284" s="1"/>
  <c r="I201"/>
  <c r="I200" s="1"/>
  <c r="M172"/>
  <c r="H171"/>
  <c r="H170" s="1"/>
  <c r="H169" s="1"/>
  <c r="N113" i="31"/>
  <c r="N113" i="30"/>
  <c r="O113" s="1"/>
  <c r="N113" i="29"/>
  <c r="I89"/>
  <c r="O89" s="1"/>
  <c r="L200" i="31"/>
  <c r="L200" i="30"/>
  <c r="L200" i="29"/>
  <c r="N145" i="31"/>
  <c r="N145" i="29"/>
  <c r="O145" s="1"/>
  <c r="N145" i="30"/>
  <c r="O145" s="1"/>
  <c r="L113" i="31"/>
  <c r="L113" i="30"/>
  <c r="L113" i="29"/>
  <c r="M113" s="1"/>
  <c r="M994"/>
  <c r="K428" i="30"/>
  <c r="O330"/>
  <c r="I329"/>
  <c r="I328" s="1"/>
  <c r="I327" s="1"/>
  <c r="I326" s="1"/>
  <c r="I325" s="1"/>
  <c r="I324" s="1"/>
  <c r="I323" s="1"/>
  <c r="G285" i="29"/>
  <c r="G284" s="1"/>
  <c r="K89" i="31"/>
  <c r="S89"/>
  <c r="G283"/>
  <c r="G282" s="1"/>
  <c r="K283"/>
  <c r="L153"/>
  <c r="M153" s="1"/>
  <c r="L153" i="29"/>
  <c r="L153" i="30"/>
  <c r="M153" s="1"/>
  <c r="N91" i="31"/>
  <c r="N91" i="29"/>
  <c r="N91" i="30"/>
  <c r="H398"/>
  <c r="H397" s="1"/>
  <c r="H396" s="1"/>
  <c r="H395" s="1"/>
  <c r="H394" s="1"/>
  <c r="H393" s="1"/>
  <c r="M398"/>
  <c r="I315" i="31"/>
  <c r="I314" s="1"/>
  <c r="I310" s="1"/>
  <c r="I309" s="1"/>
  <c r="I308" s="1"/>
  <c r="O315"/>
  <c r="H291"/>
  <c r="H290" s="1"/>
  <c r="H289" s="1"/>
  <c r="G211"/>
  <c r="K211" s="1"/>
  <c r="H167" i="29"/>
  <c r="H166" s="1"/>
  <c r="H165" s="1"/>
  <c r="H164" s="1"/>
  <c r="G146" i="30"/>
  <c r="G145" s="1"/>
  <c r="G144" s="1"/>
  <c r="G143" s="1"/>
  <c r="I123"/>
  <c r="I122" s="1"/>
  <c r="I121" s="1"/>
  <c r="I120" s="1"/>
  <c r="I119" s="1"/>
  <c r="I118" s="1"/>
  <c r="J82" i="31"/>
  <c r="J82" i="30"/>
  <c r="J82" i="29"/>
  <c r="O16" i="31"/>
  <c r="I15"/>
  <c r="U16"/>
  <c r="K996"/>
  <c r="I406" i="29"/>
  <c r="I405" s="1"/>
  <c r="G330" i="30"/>
  <c r="G329" s="1"/>
  <c r="G328" s="1"/>
  <c r="G327" s="1"/>
  <c r="G326" s="1"/>
  <c r="G325" s="1"/>
  <c r="I301" i="29"/>
  <c r="I300" s="1"/>
  <c r="I299" s="1"/>
  <c r="I298" s="1"/>
  <c r="I297" s="1"/>
  <c r="I296" s="1"/>
  <c r="H283" i="30"/>
  <c r="H282" s="1"/>
  <c r="J166" i="31"/>
  <c r="J166" i="29"/>
  <c r="J166" i="30"/>
  <c r="N141" i="31"/>
  <c r="N141" i="30"/>
  <c r="O141" s="1"/>
  <c r="N141" i="29"/>
  <c r="L122" i="31"/>
  <c r="M122" s="1"/>
  <c r="L122" i="30"/>
  <c r="L122" i="29"/>
  <c r="H88"/>
  <c r="M88"/>
  <c r="H301"/>
  <c r="H300" s="1"/>
  <c r="H299" s="1"/>
  <c r="H298" s="1"/>
  <c r="H297" s="1"/>
  <c r="H296" s="1"/>
  <c r="M301"/>
  <c r="H142" i="30"/>
  <c r="H141" s="1"/>
  <c r="H140" s="1"/>
  <c r="H139" s="1"/>
  <c r="G16" i="31"/>
  <c r="J209"/>
  <c r="J209" i="30"/>
  <c r="J209" i="29"/>
  <c r="G301"/>
  <c r="G300" s="1"/>
  <c r="G299" s="1"/>
  <c r="G298" s="1"/>
  <c r="G297" s="1"/>
  <c r="G296" s="1"/>
  <c r="J79" i="31"/>
  <c r="J79" i="30"/>
  <c r="K79" s="1"/>
  <c r="J79" i="29"/>
  <c r="K79" s="1"/>
  <c r="G98"/>
  <c r="G97" s="1"/>
  <c r="G93" s="1"/>
  <c r="N162" i="31"/>
  <c r="N162" i="30"/>
  <c r="N162" i="29"/>
  <c r="L272" i="31"/>
  <c r="M272" s="1"/>
  <c r="L272" i="30"/>
  <c r="L272" i="29"/>
  <c r="I172"/>
  <c r="I171" s="1"/>
  <c r="I170" s="1"/>
  <c r="I169" s="1"/>
  <c r="G129" i="30"/>
  <c r="G128" s="1"/>
  <c r="G127" s="1"/>
  <c r="G126" s="1"/>
  <c r="I98" i="31"/>
  <c r="O98" s="1"/>
  <c r="J59"/>
  <c r="J59" i="30"/>
  <c r="J59" i="29"/>
  <c r="G22" i="30"/>
  <c r="K22"/>
  <c r="G172" i="31"/>
  <c r="G171" s="1"/>
  <c r="G170" s="1"/>
  <c r="G169" s="1"/>
  <c r="K172"/>
  <c r="H54"/>
  <c r="H53" s="1"/>
  <c r="H52" s="1"/>
  <c r="H181" i="29"/>
  <c r="H180" s="1"/>
  <c r="H107"/>
  <c r="H106" s="1"/>
  <c r="H105" s="1"/>
  <c r="H104" s="1"/>
  <c r="H103" s="1"/>
  <c r="H102" s="1"/>
  <c r="M107"/>
  <c r="G801" i="30"/>
  <c r="G800" s="1"/>
  <c r="G796" s="1"/>
  <c r="G795" s="1"/>
  <c r="G794" s="1"/>
  <c r="G793" s="1"/>
  <c r="L175" i="31"/>
  <c r="L175" i="30"/>
  <c r="L175" i="29"/>
  <c r="M175" s="1"/>
  <c r="J46" i="31"/>
  <c r="K46" s="1"/>
  <c r="J46" i="30"/>
  <c r="J46" i="29"/>
  <c r="G354"/>
  <c r="G353" s="1"/>
  <c r="G349" s="1"/>
  <c r="G348" s="1"/>
  <c r="G347" s="1"/>
  <c r="G346" s="1"/>
  <c r="K354"/>
  <c r="L294" i="31"/>
  <c r="L294" i="29"/>
  <c r="L294" i="30"/>
  <c r="H98" i="31"/>
  <c r="M98" s="1"/>
  <c r="J84"/>
  <c r="J84" i="30"/>
  <c r="J84" i="29"/>
  <c r="H201" i="30"/>
  <c r="H200" s="1"/>
  <c r="H195" s="1"/>
  <c r="H194" s="1"/>
  <c r="H193" s="1"/>
  <c r="H114"/>
  <c r="H113" s="1"/>
  <c r="N811" i="31"/>
  <c r="O811" s="1"/>
  <c r="N811" i="30"/>
  <c r="N811" i="29"/>
  <c r="G283"/>
  <c r="G282" s="1"/>
  <c r="K283"/>
  <c r="I315"/>
  <c r="I314" s="1"/>
  <c r="H291"/>
  <c r="H290" s="1"/>
  <c r="H289" s="1"/>
  <c r="G181" i="31"/>
  <c r="G180" s="1"/>
  <c r="K181"/>
  <c r="L132"/>
  <c r="M132" s="1"/>
  <c r="L132" i="30"/>
  <c r="L132" i="29"/>
  <c r="I47" i="31"/>
  <c r="I46" s="1"/>
  <c r="I45" s="1"/>
  <c r="I44" s="1"/>
  <c r="I43" s="1"/>
  <c r="H421"/>
  <c r="H420" s="1"/>
  <c r="H419" s="1"/>
  <c r="H418" s="1"/>
  <c r="H417" s="1"/>
  <c r="H416" s="1"/>
  <c r="H415" s="1"/>
  <c r="H414" s="1"/>
  <c r="N341"/>
  <c r="N341" i="30"/>
  <c r="O341" s="1"/>
  <c r="N341" i="29"/>
  <c r="J290" i="31"/>
  <c r="J290" i="30"/>
  <c r="K290" s="1"/>
  <c r="J290" i="29"/>
  <c r="K290" s="1"/>
  <c r="O142" i="30"/>
  <c r="I142"/>
  <c r="I141" s="1"/>
  <c r="I140" s="1"/>
  <c r="I139" s="1"/>
  <c r="N79" i="31"/>
  <c r="N79" i="30"/>
  <c r="O79" s="1"/>
  <c r="N79" i="29"/>
  <c r="N21" i="31"/>
  <c r="N21" i="30"/>
  <c r="N21" i="29"/>
  <c r="L374" i="31"/>
  <c r="L374" i="30"/>
  <c r="M374" s="1"/>
  <c r="L374" i="29"/>
  <c r="G301" i="30"/>
  <c r="G300" s="1"/>
  <c r="I192" i="31"/>
  <c r="I191" s="1"/>
  <c r="I190" s="1"/>
  <c r="I189" s="1"/>
  <c r="I188" s="1"/>
  <c r="I187" s="1"/>
  <c r="J141"/>
  <c r="K141" s="1"/>
  <c r="J141" i="30"/>
  <c r="K141" s="1"/>
  <c r="J141" i="29"/>
  <c r="K141" s="1"/>
  <c r="I85"/>
  <c r="I84" s="1"/>
  <c r="H60"/>
  <c r="H59" s="1"/>
  <c r="H58" s="1"/>
  <c r="H57" s="1"/>
  <c r="H56" s="1"/>
  <c r="H55" s="1"/>
  <c r="K421"/>
  <c r="G420"/>
  <c r="G419" s="1"/>
  <c r="G418" s="1"/>
  <c r="G417" s="1"/>
  <c r="G416" s="1"/>
  <c r="G415" s="1"/>
  <c r="G414" s="1"/>
  <c r="I288"/>
  <c r="I287" s="1"/>
  <c r="I286" s="1"/>
  <c r="O288"/>
  <c r="O22"/>
  <c r="M821" i="31"/>
  <c r="N97"/>
  <c r="N97" i="30"/>
  <c r="N97" i="29"/>
  <c r="G22" i="31"/>
  <c r="K22" s="1"/>
  <c r="J171"/>
  <c r="K171" s="1"/>
  <c r="J171" i="30"/>
  <c r="J171" i="29"/>
  <c r="K171" s="1"/>
  <c r="I398"/>
  <c r="I397" s="1"/>
  <c r="I396" s="1"/>
  <c r="I395" s="1"/>
  <c r="I394" s="1"/>
  <c r="I393" s="1"/>
  <c r="H107" i="30"/>
  <c r="H106" s="1"/>
  <c r="H105" s="1"/>
  <c r="H104" s="1"/>
  <c r="H103" s="1"/>
  <c r="H102" s="1"/>
  <c r="K994" i="31"/>
  <c r="G990"/>
  <c r="G989" s="1"/>
  <c r="G988" s="1"/>
  <c r="I201" i="29"/>
  <c r="I200" s="1"/>
  <c r="I195" s="1"/>
  <c r="I194" s="1"/>
  <c r="I193" s="1"/>
  <c r="O201"/>
  <c r="I114" i="31"/>
  <c r="I113" s="1"/>
  <c r="I112" s="1"/>
  <c r="H201"/>
  <c r="H200" s="1"/>
  <c r="M201"/>
  <c r="I146"/>
  <c r="I145" s="1"/>
  <c r="I144" s="1"/>
  <c r="I143" s="1"/>
  <c r="N82"/>
  <c r="N82" i="29"/>
  <c r="N82" i="30"/>
  <c r="I330" i="29"/>
  <c r="I329" s="1"/>
  <c r="I328" s="1"/>
  <c r="I327" s="1"/>
  <c r="I326" s="1"/>
  <c r="I325" s="1"/>
  <c r="G285" i="30"/>
  <c r="G284" s="1"/>
  <c r="G89"/>
  <c r="K89"/>
  <c r="I23" i="31"/>
  <c r="U23" s="1"/>
  <c r="G283" i="30"/>
  <c r="G282" s="1"/>
  <c r="K283"/>
  <c r="I92" i="31"/>
  <c r="H291" i="30"/>
  <c r="H290" s="1"/>
  <c r="H289" s="1"/>
  <c r="K146" i="29"/>
  <c r="G145"/>
  <c r="G144" s="1"/>
  <c r="G143" s="1"/>
  <c r="N46" i="31"/>
  <c r="N46" i="30"/>
  <c r="O46" s="1"/>
  <c r="N46" i="29"/>
  <c r="O46" s="1"/>
  <c r="L420" i="31"/>
  <c r="L420" i="30"/>
  <c r="L420" i="29"/>
  <c r="G330"/>
  <c r="G329" s="1"/>
  <c r="G328" s="1"/>
  <c r="G327" s="1"/>
  <c r="G326" s="1"/>
  <c r="G325" s="1"/>
  <c r="K330"/>
  <c r="H283"/>
  <c r="H282" s="1"/>
  <c r="M283"/>
  <c r="G167" i="31"/>
  <c r="G166" s="1"/>
  <c r="G165" s="1"/>
  <c r="G164" s="1"/>
  <c r="N374"/>
  <c r="N374" i="30"/>
  <c r="N374" i="29"/>
  <c r="O374" s="1"/>
  <c r="G16"/>
  <c r="G15" s="1"/>
  <c r="J21" i="31"/>
  <c r="J21" i="30"/>
  <c r="J21" i="29"/>
  <c r="N87" i="31"/>
  <c r="N87" i="30"/>
  <c r="N87" i="29"/>
  <c r="L148" i="31"/>
  <c r="M148" s="1"/>
  <c r="L148" i="30"/>
  <c r="L148" i="29"/>
  <c r="I78" i="11"/>
  <c r="O996" i="31"/>
  <c r="G406" i="30"/>
  <c r="G405" s="1"/>
  <c r="G401" s="1"/>
  <c r="G400" s="1"/>
  <c r="G399" s="1"/>
  <c r="I354"/>
  <c r="I353" s="1"/>
  <c r="I349" s="1"/>
  <c r="I348" s="1"/>
  <c r="I347" s="1"/>
  <c r="I346" s="1"/>
  <c r="O354"/>
  <c r="J300" i="31"/>
  <c r="J300" i="30"/>
  <c r="J300" i="29"/>
  <c r="K300" s="1"/>
  <c r="J272" i="31"/>
  <c r="K272" s="1"/>
  <c r="J272" i="29"/>
  <c r="J272" i="30"/>
  <c r="G176" i="29"/>
  <c r="G175" s="1"/>
  <c r="M129" i="30"/>
  <c r="H128"/>
  <c r="H127" s="1"/>
  <c r="H126" s="1"/>
  <c r="G101" i="31"/>
  <c r="O85"/>
  <c r="U85"/>
  <c r="I84"/>
  <c r="U84" s="1"/>
  <c r="M60"/>
  <c r="H60"/>
  <c r="H59" s="1"/>
  <c r="H58" s="1"/>
  <c r="H57" s="1"/>
  <c r="H56" s="1"/>
  <c r="H55" s="1"/>
  <c r="M22" i="29"/>
  <c r="G336" i="30"/>
  <c r="G335" s="1"/>
  <c r="G334" s="1"/>
  <c r="G333" s="1"/>
  <c r="G332" s="1"/>
  <c r="G331" s="1"/>
  <c r="J97" i="31"/>
  <c r="J97" i="30"/>
  <c r="K97" s="1"/>
  <c r="J97" i="29"/>
  <c r="H801" i="30"/>
  <c r="H800" s="1"/>
  <c r="I167" i="31"/>
  <c r="I166" s="1"/>
  <c r="I165" s="1"/>
  <c r="I164" s="1"/>
  <c r="G421"/>
  <c r="G420" s="1"/>
  <c r="G419" s="1"/>
  <c r="G418" s="1"/>
  <c r="G417" s="1"/>
  <c r="G416" s="1"/>
  <c r="G415" s="1"/>
  <c r="G414" s="1"/>
  <c r="I288"/>
  <c r="I287" s="1"/>
  <c r="I286" s="1"/>
  <c r="G123"/>
  <c r="G122" s="1"/>
  <c r="G121" s="1"/>
  <c r="K123"/>
  <c r="I22"/>
  <c r="O996" i="30"/>
  <c r="K994" i="29"/>
  <c r="G990"/>
  <c r="L353" i="31"/>
  <c r="L353" i="29"/>
  <c r="L353" i="30"/>
  <c r="G288" i="31"/>
  <c r="G287" s="1"/>
  <c r="G286" s="1"/>
  <c r="N171"/>
  <c r="N171" i="30"/>
  <c r="N171" i="29"/>
  <c r="I138" i="30"/>
  <c r="I137" s="1"/>
  <c r="I136" s="1"/>
  <c r="I135" s="1"/>
  <c r="G92" i="29"/>
  <c r="G91" s="1"/>
  <c r="G90" s="1"/>
  <c r="I107" i="30"/>
  <c r="I106" s="1"/>
  <c r="I105" s="1"/>
  <c r="I104" s="1"/>
  <c r="I103" s="1"/>
  <c r="I102" s="1"/>
  <c r="O107"/>
  <c r="I398" i="31"/>
  <c r="I397" s="1"/>
  <c r="I396" s="1"/>
  <c r="I395" s="1"/>
  <c r="I394" s="1"/>
  <c r="I393" s="1"/>
  <c r="L180"/>
  <c r="L180" i="30"/>
  <c r="L180" i="29"/>
  <c r="M180" s="1"/>
  <c r="L106" i="31"/>
  <c r="L106" i="29"/>
  <c r="M106" s="1"/>
  <c r="L106" i="30"/>
  <c r="M106" s="1"/>
  <c r="H812" i="29"/>
  <c r="H811" s="1"/>
  <c r="H810" s="1"/>
  <c r="H809" s="1"/>
  <c r="H101" i="31"/>
  <c r="M101" s="1"/>
  <c r="M822"/>
  <c r="J353"/>
  <c r="J353" i="30"/>
  <c r="J353" i="29"/>
  <c r="K353" s="1"/>
  <c r="I285" i="31"/>
  <c r="I284" s="1"/>
  <c r="I201"/>
  <c r="I200" s="1"/>
  <c r="I195" s="1"/>
  <c r="I194" s="1"/>
  <c r="I193" s="1"/>
  <c r="H172"/>
  <c r="H171" s="1"/>
  <c r="H170" s="1"/>
  <c r="H169" s="1"/>
  <c r="M138" i="29"/>
  <c r="H137"/>
  <c r="H136" s="1"/>
  <c r="H135" s="1"/>
  <c r="G117"/>
  <c r="K117"/>
  <c r="I89" i="30"/>
  <c r="O89"/>
  <c r="H285" i="29"/>
  <c r="H284" s="1"/>
  <c r="H281" s="1"/>
  <c r="H280" s="1"/>
  <c r="I181"/>
  <c r="I180" s="1"/>
  <c r="G138"/>
  <c r="G137" s="1"/>
  <c r="G136" s="1"/>
  <c r="G135" s="1"/>
  <c r="K138"/>
  <c r="H89"/>
  <c r="M89" s="1"/>
  <c r="K428" i="31"/>
  <c r="I330"/>
  <c r="I329" s="1"/>
  <c r="I328" s="1"/>
  <c r="I327" s="1"/>
  <c r="I326" s="1"/>
  <c r="I325" s="1"/>
  <c r="K285"/>
  <c r="G284"/>
  <c r="G54" i="29"/>
  <c r="G53" s="1"/>
  <c r="G52" s="1"/>
  <c r="G51" s="1"/>
  <c r="G50" s="1"/>
  <c r="G49" s="1"/>
  <c r="J282" i="31"/>
  <c r="K282" s="1"/>
  <c r="J282" i="30"/>
  <c r="K282" s="1"/>
  <c r="J282" i="29"/>
  <c r="I129"/>
  <c r="I128" s="1"/>
  <c r="I127" s="1"/>
  <c r="I126" s="1"/>
  <c r="I60"/>
  <c r="I59" s="1"/>
  <c r="I58" s="1"/>
  <c r="I57" s="1"/>
  <c r="I56" s="1"/>
  <c r="I55" s="1"/>
  <c r="I421"/>
  <c r="I420" s="1"/>
  <c r="I419" s="1"/>
  <c r="I418" s="1"/>
  <c r="I417" s="1"/>
  <c r="I416" s="1"/>
  <c r="I415" s="1"/>
  <c r="I414" s="1"/>
  <c r="O421"/>
  <c r="H398"/>
  <c r="H397" s="1"/>
  <c r="H396" s="1"/>
  <c r="H395" s="1"/>
  <c r="H394" s="1"/>
  <c r="H393" s="1"/>
  <c r="N314" i="31"/>
  <c r="O314" s="1"/>
  <c r="N314" i="30"/>
  <c r="N314" i="29"/>
  <c r="L290" i="31"/>
  <c r="L290" i="30"/>
  <c r="M290" s="1"/>
  <c r="L290" i="29"/>
  <c r="M290" s="1"/>
  <c r="H167" i="30"/>
  <c r="H166" s="1"/>
  <c r="H165" s="1"/>
  <c r="H164" s="1"/>
  <c r="G146" i="31"/>
  <c r="G145" s="1"/>
  <c r="G144" s="1"/>
  <c r="G143" s="1"/>
  <c r="I123"/>
  <c r="I122" s="1"/>
  <c r="I121" s="1"/>
  <c r="I120" s="1"/>
  <c r="I119" s="1"/>
  <c r="I118" s="1"/>
  <c r="N15"/>
  <c r="O15" s="1"/>
  <c r="N15" i="30"/>
  <c r="N15" i="29"/>
  <c r="K997" i="31"/>
  <c r="I406" i="30"/>
  <c r="I405" s="1"/>
  <c r="I401" s="1"/>
  <c r="I400" s="1"/>
  <c r="I399" s="1"/>
  <c r="I392" s="1"/>
  <c r="I391" s="1"/>
  <c r="I390" s="1"/>
  <c r="G330" i="31"/>
  <c r="G329" s="1"/>
  <c r="G328" s="1"/>
  <c r="G327" s="1"/>
  <c r="G326" s="1"/>
  <c r="G325" s="1"/>
  <c r="I301"/>
  <c r="I300" s="1"/>
  <c r="I299" s="1"/>
  <c r="I298" s="1"/>
  <c r="I297" s="1"/>
  <c r="I296" s="1"/>
  <c r="M283"/>
  <c r="H282"/>
  <c r="I176" i="29"/>
  <c r="I175" s="1"/>
  <c r="O154" i="30"/>
  <c r="I153"/>
  <c r="I148" s="1"/>
  <c r="I147" s="1"/>
  <c r="G133" i="29"/>
  <c r="G132" s="1"/>
  <c r="G131" s="1"/>
  <c r="G130" s="1"/>
  <c r="K133"/>
  <c r="I101"/>
  <c r="I100" s="1"/>
  <c r="I99" s="1"/>
  <c r="H88" i="30"/>
  <c r="H87" s="1"/>
  <c r="H86" s="1"/>
  <c r="K23"/>
  <c r="S23"/>
  <c r="H301"/>
  <c r="H300" s="1"/>
  <c r="H299" s="1"/>
  <c r="H142" i="31"/>
  <c r="H141" s="1"/>
  <c r="H140" s="1"/>
  <c r="H139" s="1"/>
  <c r="J15"/>
  <c r="J15" i="30"/>
  <c r="J15" i="29"/>
  <c r="I792" i="11"/>
  <c r="H792"/>
  <c r="G792"/>
  <c r="I786"/>
  <c r="H786"/>
  <c r="G786"/>
  <c r="H779"/>
  <c r="I779"/>
  <c r="G780"/>
  <c r="I776"/>
  <c r="H776"/>
  <c r="G776"/>
  <c r="I772"/>
  <c r="H772"/>
  <c r="G772"/>
  <c r="I767"/>
  <c r="G767"/>
  <c r="H768"/>
  <c r="I764"/>
  <c r="H764"/>
  <c r="G764"/>
  <c r="I762"/>
  <c r="H762"/>
  <c r="G762"/>
  <c r="I758"/>
  <c r="H758"/>
  <c r="G758"/>
  <c r="I755"/>
  <c r="H755"/>
  <c r="G755"/>
  <c r="I751"/>
  <c r="H751"/>
  <c r="G751"/>
  <c r="I747"/>
  <c r="H747"/>
  <c r="G747"/>
  <c r="I745"/>
  <c r="H745"/>
  <c r="G745"/>
  <c r="I740"/>
  <c r="H740"/>
  <c r="G740"/>
  <c r="I738"/>
  <c r="H738"/>
  <c r="G738"/>
  <c r="I730"/>
  <c r="H730"/>
  <c r="G730"/>
  <c r="I726"/>
  <c r="H726"/>
  <c r="G726"/>
  <c r="I722"/>
  <c r="H722"/>
  <c r="G722"/>
  <c r="I718"/>
  <c r="H718"/>
  <c r="G718"/>
  <c r="I714"/>
  <c r="H714"/>
  <c r="G714"/>
  <c r="I710"/>
  <c r="H710"/>
  <c r="G710"/>
  <c r="I706"/>
  <c r="H706"/>
  <c r="G706"/>
  <c r="I700"/>
  <c r="H700"/>
  <c r="G700"/>
  <c r="I693"/>
  <c r="H693"/>
  <c r="G693"/>
  <c r="I687"/>
  <c r="H687"/>
  <c r="G687"/>
  <c r="I685"/>
  <c r="H685"/>
  <c r="G685"/>
  <c r="H678"/>
  <c r="I678"/>
  <c r="G679"/>
  <c r="I675"/>
  <c r="H675"/>
  <c r="G675"/>
  <c r="I673"/>
  <c r="H673"/>
  <c r="G673"/>
  <c r="J668"/>
  <c r="I669"/>
  <c r="H669"/>
  <c r="G669"/>
  <c r="H664"/>
  <c r="I665"/>
  <c r="G665"/>
  <c r="I661"/>
  <c r="H661"/>
  <c r="G661"/>
  <c r="I659"/>
  <c r="H659"/>
  <c r="G659"/>
  <c r="I654"/>
  <c r="H654"/>
  <c r="G654"/>
  <c r="I652"/>
  <c r="H652"/>
  <c r="G652"/>
  <c r="I644"/>
  <c r="H644"/>
  <c r="G644"/>
  <c r="I642"/>
  <c r="H642"/>
  <c r="G642"/>
  <c r="I281" i="31" l="1"/>
  <c r="O282"/>
  <c r="K420" i="30"/>
  <c r="K59" i="29"/>
  <c r="K811"/>
  <c r="K122" i="30"/>
  <c r="K420" i="31"/>
  <c r="K175"/>
  <c r="K23"/>
  <c r="I159" i="29"/>
  <c r="O406" i="30"/>
  <c r="O181" i="29"/>
  <c r="M106" i="31"/>
  <c r="K421"/>
  <c r="O811" i="29"/>
  <c r="M181"/>
  <c r="M200"/>
  <c r="O172" i="31"/>
  <c r="M60" i="30"/>
  <c r="M162"/>
  <c r="K397" i="31"/>
  <c r="M354" i="30"/>
  <c r="K294" i="29"/>
  <c r="K341"/>
  <c r="O93" i="30"/>
  <c r="M123"/>
  <c r="O114" i="29"/>
  <c r="O92"/>
  <c r="O114" i="30"/>
  <c r="M330"/>
  <c r="M83"/>
  <c r="M167" i="31"/>
  <c r="H125"/>
  <c r="O310"/>
  <c r="M315" i="30"/>
  <c r="H324" i="31"/>
  <c r="H323" s="1"/>
  <c r="O128" i="30"/>
  <c r="M80"/>
  <c r="M92"/>
  <c r="K315"/>
  <c r="K405" i="29"/>
  <c r="M398" i="31"/>
  <c r="I392"/>
  <c r="I391" s="1"/>
  <c r="I390" s="1"/>
  <c r="M163"/>
  <c r="O812" i="30"/>
  <c r="O82"/>
  <c r="K162" i="29"/>
  <c r="K310"/>
  <c r="K137"/>
  <c r="M141"/>
  <c r="H279"/>
  <c r="H278" s="1"/>
  <c r="O201" i="31"/>
  <c r="O171" i="29"/>
  <c r="K176"/>
  <c r="K16"/>
  <c r="G324"/>
  <c r="G323" s="1"/>
  <c r="M294" i="30"/>
  <c r="M167" i="29"/>
  <c r="O285" i="30"/>
  <c r="K288"/>
  <c r="K123"/>
  <c r="O84"/>
  <c r="K406" i="29"/>
  <c r="M97"/>
  <c r="G209" i="31"/>
  <c r="G208" s="1"/>
  <c r="G207" s="1"/>
  <c r="G206" s="1"/>
  <c r="M421" i="30"/>
  <c r="M154" i="29"/>
  <c r="M114"/>
  <c r="K192" i="31"/>
  <c r="M176"/>
  <c r="K374" i="29"/>
  <c r="M100" i="30"/>
  <c r="O163"/>
  <c r="H392" i="29"/>
  <c r="H391" s="1"/>
  <c r="H390" s="1"/>
  <c r="K47"/>
  <c r="O106" i="30"/>
  <c r="O397" i="31"/>
  <c r="I125" i="30"/>
  <c r="I124" s="1"/>
  <c r="M46" i="29"/>
  <c r="O128" i="31"/>
  <c r="I48" i="29"/>
  <c r="K287" i="31"/>
  <c r="M88" i="30"/>
  <c r="O129" i="29"/>
  <c r="M180" i="31"/>
  <c r="M420" i="29"/>
  <c r="M291" i="30"/>
  <c r="M107"/>
  <c r="O97"/>
  <c r="M60" i="29"/>
  <c r="M374"/>
  <c r="O341" i="31"/>
  <c r="M114" i="30"/>
  <c r="M294" i="29"/>
  <c r="M314" i="30"/>
  <c r="M405" i="31"/>
  <c r="O290"/>
  <c r="M329" i="30"/>
  <c r="K349" i="29"/>
  <c r="H324"/>
  <c r="H323" s="1"/>
  <c r="M171" i="30"/>
  <c r="O287" i="29"/>
  <c r="H794" i="31"/>
  <c r="H793" s="1"/>
  <c r="O420"/>
  <c r="H392" i="30"/>
  <c r="H391" s="1"/>
  <c r="H390" s="1"/>
  <c r="M397" i="29"/>
  <c r="K375" i="30"/>
  <c r="M59" i="29"/>
  <c r="O300" i="31"/>
  <c r="G392"/>
  <c r="G391" s="1"/>
  <c r="G390" s="1"/>
  <c r="K84" i="29"/>
  <c r="O113" i="31"/>
  <c r="I134" i="30"/>
  <c r="O811"/>
  <c r="M162" i="31"/>
  <c r="M145" i="29"/>
  <c r="K122" i="31"/>
  <c r="O301"/>
  <c r="O285"/>
  <c r="M812" i="29"/>
  <c r="O398" i="31"/>
  <c r="O171"/>
  <c r="K97" i="29"/>
  <c r="K272" i="30"/>
  <c r="K406"/>
  <c r="O374"/>
  <c r="M420"/>
  <c r="O330" i="29"/>
  <c r="O114" i="31"/>
  <c r="O315" i="29"/>
  <c r="M294" i="31"/>
  <c r="M175"/>
  <c r="G125" i="30"/>
  <c r="K98" i="29"/>
  <c r="M122" i="30"/>
  <c r="M283"/>
  <c r="O91" i="29"/>
  <c r="O113"/>
  <c r="M107" i="31"/>
  <c r="M354"/>
  <c r="O167" i="29"/>
  <c r="M354"/>
  <c r="K142" i="31"/>
  <c r="K314" i="29"/>
  <c r="K801"/>
  <c r="H78" i="30"/>
  <c r="M166"/>
  <c r="K375" i="29"/>
  <c r="M16"/>
  <c r="K85" i="30"/>
  <c r="K172" i="29"/>
  <c r="O98"/>
  <c r="O405" i="31"/>
  <c r="K60" i="29"/>
  <c r="K133" i="30"/>
  <c r="O406" i="31"/>
  <c r="K145" i="30"/>
  <c r="I658" i="11"/>
  <c r="N659" i="31"/>
  <c r="N659" i="30"/>
  <c r="N659" i="29"/>
  <c r="I659" s="1"/>
  <c r="H686" i="11"/>
  <c r="L687" i="31"/>
  <c r="L687" i="30"/>
  <c r="L687" i="29"/>
  <c r="I713" i="11"/>
  <c r="N714" i="31"/>
  <c r="N714" i="30"/>
  <c r="I714" s="1"/>
  <c r="N714" i="29"/>
  <c r="I746" i="11"/>
  <c r="N747" i="31"/>
  <c r="N747" i="30"/>
  <c r="N747" i="29"/>
  <c r="I775" i="11"/>
  <c r="N776" i="31"/>
  <c r="N776" i="30"/>
  <c r="N776" i="29"/>
  <c r="H51" i="31"/>
  <c r="H50" s="1"/>
  <c r="H49" s="1"/>
  <c r="H48" s="1"/>
  <c r="M53"/>
  <c r="G87"/>
  <c r="K87" s="1"/>
  <c r="S88"/>
  <c r="M97" i="30"/>
  <c r="H93"/>
  <c r="H77" s="1"/>
  <c r="H76" s="1"/>
  <c r="H75" s="1"/>
  <c r="H42" i="31"/>
  <c r="T42" s="1"/>
  <c r="T43"/>
  <c r="M195" i="30"/>
  <c r="G91" i="31"/>
  <c r="S92"/>
  <c r="H739" i="11"/>
  <c r="L740" i="31"/>
  <c r="L740" i="30"/>
  <c r="L740" i="29"/>
  <c r="H740" s="1"/>
  <c r="G281"/>
  <c r="G280" s="1"/>
  <c r="G279" s="1"/>
  <c r="G278" s="1"/>
  <c r="G277" s="1"/>
  <c r="G276" s="1"/>
  <c r="U98" i="31"/>
  <c r="I97"/>
  <c r="K79"/>
  <c r="M282" i="30"/>
  <c r="H281"/>
  <c r="H280" s="1"/>
  <c r="H279" s="1"/>
  <c r="H278" s="1"/>
  <c r="K800"/>
  <c r="M172" i="29"/>
  <c r="N281" i="31"/>
  <c r="O281" s="1"/>
  <c r="N281" i="30"/>
  <c r="N281" i="29"/>
  <c r="K166" i="30"/>
  <c r="G165"/>
  <c r="G164" s="1"/>
  <c r="G159" s="1"/>
  <c r="I823" i="29"/>
  <c r="I814" s="1"/>
  <c r="K200" i="31"/>
  <c r="G195"/>
  <c r="G194" s="1"/>
  <c r="G193" s="1"/>
  <c r="G125" i="29"/>
  <c r="S80" i="31"/>
  <c r="G79"/>
  <c r="M162" i="29"/>
  <c r="H161"/>
  <c r="H160" s="1"/>
  <c r="M314"/>
  <c r="H310"/>
  <c r="H87" i="31"/>
  <c r="T89"/>
  <c r="I53" i="30"/>
  <c r="U54"/>
  <c r="M128"/>
  <c r="G53"/>
  <c r="S54"/>
  <c r="O84" i="29"/>
  <c r="O420"/>
  <c r="M284"/>
  <c r="O272"/>
  <c r="I271"/>
  <c r="I270" s="1"/>
  <c r="K163" i="31"/>
  <c r="K87" i="29"/>
  <c r="K310" i="30"/>
  <c r="G309"/>
  <c r="G308" s="1"/>
  <c r="G134" i="31"/>
  <c r="G124" s="1"/>
  <c r="K46" i="29"/>
  <c r="G45"/>
  <c r="G44" s="1"/>
  <c r="G43" s="1"/>
  <c r="G42" s="1"/>
  <c r="K145" i="31"/>
  <c r="O397" i="29"/>
  <c r="G641" i="11"/>
  <c r="J642" i="31"/>
  <c r="J642" i="30"/>
  <c r="J642" i="29"/>
  <c r="I651" i="11"/>
  <c r="N652" i="31"/>
  <c r="N652" i="30"/>
  <c r="N652" i="29"/>
  <c r="H660" i="11"/>
  <c r="L661" i="31"/>
  <c r="L661" i="30"/>
  <c r="L661" i="29"/>
  <c r="N678" i="31"/>
  <c r="O678" s="1"/>
  <c r="N678" i="29"/>
  <c r="O678" s="1"/>
  <c r="N678" i="30"/>
  <c r="O678" s="1"/>
  <c r="G692" i="11"/>
  <c r="J693" i="31"/>
  <c r="J693" i="30"/>
  <c r="J693" i="29"/>
  <c r="I705" i="11"/>
  <c r="N706" i="31"/>
  <c r="N706" i="29"/>
  <c r="N706" i="30"/>
  <c r="H717" i="11"/>
  <c r="L718" i="31"/>
  <c r="L718" i="30"/>
  <c r="L718" i="29"/>
  <c r="G729" i="11"/>
  <c r="J730" i="31"/>
  <c r="J730" i="30"/>
  <c r="J730" i="29"/>
  <c r="I739" i="11"/>
  <c r="N740" i="31"/>
  <c r="N740" i="30"/>
  <c r="N740" i="29"/>
  <c r="H750" i="11"/>
  <c r="L751" i="31"/>
  <c r="L751" i="30"/>
  <c r="L751" i="29"/>
  <c r="G761" i="11"/>
  <c r="J762" i="31"/>
  <c r="J762" i="30"/>
  <c r="J762" i="29"/>
  <c r="N767" i="31"/>
  <c r="O767" s="1"/>
  <c r="N767" i="30"/>
  <c r="O767" s="1"/>
  <c r="N767" i="29"/>
  <c r="O767" s="1"/>
  <c r="N779" i="31"/>
  <c r="O779" s="1"/>
  <c r="N779" i="30"/>
  <c r="O779" s="1"/>
  <c r="N779" i="29"/>
  <c r="O779" s="1"/>
  <c r="K330" i="31"/>
  <c r="O123"/>
  <c r="M290"/>
  <c r="O60" i="29"/>
  <c r="K54"/>
  <c r="T101" i="31"/>
  <c r="H100"/>
  <c r="O138" i="30"/>
  <c r="G120" i="31"/>
  <c r="G119" s="1"/>
  <c r="G118" s="1"/>
  <c r="M801" i="30"/>
  <c r="K300" i="31"/>
  <c r="M148" i="30"/>
  <c r="K15" i="29"/>
  <c r="G10"/>
  <c r="O46" i="31"/>
  <c r="G281" i="30"/>
  <c r="G280" s="1"/>
  <c r="G279" s="1"/>
  <c r="G278" s="1"/>
  <c r="I324" i="29"/>
  <c r="I323" s="1"/>
  <c r="G21" i="31"/>
  <c r="S22"/>
  <c r="M374"/>
  <c r="M421"/>
  <c r="K801" i="30"/>
  <c r="K129"/>
  <c r="O162" i="29"/>
  <c r="K301"/>
  <c r="M142" i="30"/>
  <c r="O141" i="29"/>
  <c r="O301"/>
  <c r="U15" i="31"/>
  <c r="I10"/>
  <c r="K146" i="30"/>
  <c r="O145" i="31"/>
  <c r="K353"/>
  <c r="G349"/>
  <c r="G348" s="1"/>
  <c r="G347" s="1"/>
  <c r="G346" s="1"/>
  <c r="K800"/>
  <c r="U22" i="30"/>
  <c r="I21"/>
  <c r="G97" i="31"/>
  <c r="S98"/>
  <c r="O191"/>
  <c r="G390" i="29"/>
  <c r="O148" i="30"/>
  <c r="O285" i="29"/>
  <c r="K801" i="31"/>
  <c r="K93" i="29"/>
  <c r="O375" i="31"/>
  <c r="K167" i="30"/>
  <c r="O15" i="29"/>
  <c r="I10"/>
  <c r="I9" s="1"/>
  <c r="I8" s="1"/>
  <c r="I7" s="1"/>
  <c r="I6" s="1"/>
  <c r="I5" s="1"/>
  <c r="O92" i="30"/>
  <c r="I82" i="31"/>
  <c r="U82" s="1"/>
  <c r="U83"/>
  <c r="O294"/>
  <c r="M341" i="30"/>
  <c r="M91"/>
  <c r="M375" i="31"/>
  <c r="M123" i="29"/>
  <c r="K291" i="31"/>
  <c r="M23"/>
  <c r="K306" i="29"/>
  <c r="K201" i="31"/>
  <c r="O53" i="29"/>
  <c r="K800"/>
  <c r="G796"/>
  <c r="H53" i="30"/>
  <c r="M53" s="1"/>
  <c r="T54"/>
  <c r="K60" i="31"/>
  <c r="O295"/>
  <c r="G970" i="30"/>
  <c r="O283" i="29"/>
  <c r="K54" i="31"/>
  <c r="O181"/>
  <c r="K85" i="29"/>
  <c r="M82" i="30"/>
  <c r="K335" i="31"/>
  <c r="M128"/>
  <c r="M301"/>
  <c r="O154" i="29"/>
  <c r="I87"/>
  <c r="I86" s="1"/>
  <c r="K284"/>
  <c r="O801" i="30"/>
  <c r="M171" i="31"/>
  <c r="M100"/>
  <c r="K122" i="29"/>
  <c r="O166"/>
  <c r="O354" i="31"/>
  <c r="K88" i="30"/>
  <c r="I78"/>
  <c r="O153"/>
  <c r="O420"/>
  <c r="K315" i="31"/>
  <c r="O82" i="29"/>
  <c r="M811"/>
  <c r="H51"/>
  <c r="H50" s="1"/>
  <c r="H49" s="1"/>
  <c r="H48" s="1"/>
  <c r="M192" i="31"/>
  <c r="O133" i="30"/>
  <c r="K87"/>
  <c r="H46"/>
  <c r="M46" s="1"/>
  <c r="T47"/>
  <c r="K291"/>
  <c r="M397"/>
  <c r="M406" i="29"/>
  <c r="M138" i="31"/>
  <c r="O106"/>
  <c r="M282" i="29"/>
  <c r="K307"/>
  <c r="O329"/>
  <c r="M138" i="30"/>
  <c r="O397"/>
  <c r="M59"/>
  <c r="M21" i="29"/>
  <c r="H668" i="11"/>
  <c r="L669" i="31"/>
  <c r="L669" i="30"/>
  <c r="L669" i="29"/>
  <c r="H767" i="11"/>
  <c r="L768" i="31"/>
  <c r="L768" i="30"/>
  <c r="L768" i="29"/>
  <c r="H768" s="1"/>
  <c r="I21" i="31"/>
  <c r="U22"/>
  <c r="I91"/>
  <c r="O91" s="1"/>
  <c r="U92"/>
  <c r="S16"/>
  <c r="G15"/>
  <c r="H823"/>
  <c r="H814" s="1"/>
  <c r="U80"/>
  <c r="I79"/>
  <c r="G189" i="30"/>
  <c r="G188" s="1"/>
  <c r="G187" s="1"/>
  <c r="G331" i="31"/>
  <c r="G660" i="11"/>
  <c r="J661" i="31"/>
  <c r="J661" i="30"/>
  <c r="J661" i="29"/>
  <c r="H705" i="11"/>
  <c r="L706" i="31"/>
  <c r="L706" i="30"/>
  <c r="H706" s="1"/>
  <c r="L706" i="29"/>
  <c r="J767" i="31"/>
  <c r="K767" s="1"/>
  <c r="J767" i="30"/>
  <c r="K767" s="1"/>
  <c r="J767" i="29"/>
  <c r="K767" s="1"/>
  <c r="H125" i="30"/>
  <c r="G653" i="11"/>
  <c r="J654" i="31"/>
  <c r="J654" i="30"/>
  <c r="J654" i="29"/>
  <c r="G672" i="11"/>
  <c r="J673" i="31"/>
  <c r="J673" i="30"/>
  <c r="J673" i="29"/>
  <c r="H692" i="11"/>
  <c r="L693" i="31"/>
  <c r="L693" i="30"/>
  <c r="L693" i="29"/>
  <c r="I717" i="11"/>
  <c r="N718" i="31"/>
  <c r="N718" i="30"/>
  <c r="N718" i="29"/>
  <c r="G744" i="11"/>
  <c r="J745" i="31"/>
  <c r="J745" i="29"/>
  <c r="G745" s="1"/>
  <c r="J745" i="30"/>
  <c r="I750" i="11"/>
  <c r="N751" i="31"/>
  <c r="N751" i="30"/>
  <c r="N751" i="29"/>
  <c r="G771" i="11"/>
  <c r="J772" i="31"/>
  <c r="J772" i="30"/>
  <c r="J772" i="29"/>
  <c r="G989"/>
  <c r="G988" s="1"/>
  <c r="G970" s="1"/>
  <c r="G823" s="1"/>
  <c r="G814" s="1"/>
  <c r="I1018" i="30"/>
  <c r="M91" i="31"/>
  <c r="H372"/>
  <c r="H371" s="1"/>
  <c r="H370" s="1"/>
  <c r="K306" i="30"/>
  <c r="M82" i="29"/>
  <c r="K162" i="30"/>
  <c r="H91" i="31"/>
  <c r="T92"/>
  <c r="J147"/>
  <c r="K147" s="1"/>
  <c r="J147" i="30"/>
  <c r="K147" s="1"/>
  <c r="J147" i="29"/>
  <c r="K147" s="1"/>
  <c r="I78"/>
  <c r="O282"/>
  <c r="I281"/>
  <c r="K91"/>
  <c r="H21" i="31"/>
  <c r="O153" i="29"/>
  <c r="I148"/>
  <c r="I147" s="1"/>
  <c r="I134" s="1"/>
  <c r="K284" i="30"/>
  <c r="O800"/>
  <c r="I796"/>
  <c r="I795" s="1"/>
  <c r="I794" s="1"/>
  <c r="I793" s="1"/>
  <c r="H809"/>
  <c r="O166"/>
  <c r="O353" i="31"/>
  <c r="I349"/>
  <c r="I348" s="1"/>
  <c r="I347" s="1"/>
  <c r="I346" s="1"/>
  <c r="I280"/>
  <c r="I279" s="1"/>
  <c r="I278" s="1"/>
  <c r="I277" s="1"/>
  <c r="I276" s="1"/>
  <c r="K310"/>
  <c r="G309"/>
  <c r="G308" s="1"/>
  <c r="M284"/>
  <c r="M811" i="30"/>
  <c r="I99" i="31"/>
  <c r="U100"/>
  <c r="H134"/>
  <c r="M800"/>
  <c r="O329" i="30"/>
  <c r="M137"/>
  <c r="H136"/>
  <c r="H135" s="1"/>
  <c r="I641" i="11"/>
  <c r="N642" i="31"/>
  <c r="N642" i="30"/>
  <c r="N642" i="29"/>
  <c r="I642" s="1"/>
  <c r="H653" i="11"/>
  <c r="L654" i="31"/>
  <c r="L654" i="30"/>
  <c r="L654" i="29"/>
  <c r="G664" i="11"/>
  <c r="J665" i="31"/>
  <c r="J665" i="30"/>
  <c r="J665" i="29"/>
  <c r="H672" i="11"/>
  <c r="H671" s="1"/>
  <c r="L673" i="31"/>
  <c r="L673" i="30"/>
  <c r="L673" i="29"/>
  <c r="G684" i="11"/>
  <c r="J685" i="31"/>
  <c r="J685" i="30"/>
  <c r="J685" i="29"/>
  <c r="I692" i="11"/>
  <c r="N693" i="31"/>
  <c r="N693" i="30"/>
  <c r="N693" i="29"/>
  <c r="H709" i="11"/>
  <c r="L710" i="31"/>
  <c r="L710" i="30"/>
  <c r="L710" i="29"/>
  <c r="G721" i="11"/>
  <c r="J722" i="31"/>
  <c r="J722" i="30"/>
  <c r="J722" i="29"/>
  <c r="I729" i="11"/>
  <c r="N730" i="31"/>
  <c r="N730" i="30"/>
  <c r="I730" s="1"/>
  <c r="N730" i="29"/>
  <c r="H744" i="11"/>
  <c r="L745" i="31"/>
  <c r="L745" i="29"/>
  <c r="L745" i="30"/>
  <c r="G754" i="11"/>
  <c r="J755" i="31"/>
  <c r="J755" i="30"/>
  <c r="J755" i="29"/>
  <c r="I761" i="11"/>
  <c r="N762" i="31"/>
  <c r="N762" i="30"/>
  <c r="N762" i="29"/>
  <c r="H771" i="11"/>
  <c r="L772" i="31"/>
  <c r="L772" i="30"/>
  <c r="L772" i="29"/>
  <c r="G785" i="11"/>
  <c r="J786" i="31"/>
  <c r="J786" i="30"/>
  <c r="J786" i="29"/>
  <c r="O176"/>
  <c r="K146" i="31"/>
  <c r="G134" i="29"/>
  <c r="G124" s="1"/>
  <c r="O171" i="30"/>
  <c r="O288" i="31"/>
  <c r="O23"/>
  <c r="O398" i="29"/>
  <c r="O192" i="31"/>
  <c r="O21" i="29"/>
  <c r="O47" i="31"/>
  <c r="M291" i="29"/>
  <c r="K46" i="30"/>
  <c r="S22"/>
  <c r="G21"/>
  <c r="O172" i="29"/>
  <c r="O162" i="31"/>
  <c r="K209" i="29"/>
  <c r="O141" i="31"/>
  <c r="K330" i="30"/>
  <c r="G281" i="31"/>
  <c r="G280" s="1"/>
  <c r="G279" s="1"/>
  <c r="G278" s="1"/>
  <c r="G277" s="1"/>
  <c r="G276" s="1"/>
  <c r="M200" i="30"/>
  <c r="K92"/>
  <c r="O167"/>
  <c r="M128" i="29"/>
  <c r="H127"/>
  <c r="H126" s="1"/>
  <c r="H125" s="1"/>
  <c r="J195" i="31"/>
  <c r="J195" i="30"/>
  <c r="K195" s="1"/>
  <c r="J195" i="29"/>
  <c r="O142" i="31"/>
  <c r="U16" i="30"/>
  <c r="I15"/>
  <c r="K180" i="31"/>
  <c r="M114"/>
  <c r="K354" i="30"/>
  <c r="M181"/>
  <c r="M353"/>
  <c r="H349"/>
  <c r="H348" s="1"/>
  <c r="H347" s="1"/>
  <c r="H346" s="1"/>
  <c r="K93"/>
  <c r="K273"/>
  <c r="T15" i="31"/>
  <c r="H10"/>
  <c r="K83" i="30"/>
  <c r="M154"/>
  <c r="O272" i="31"/>
  <c r="M353" i="29"/>
  <c r="H349"/>
  <c r="H348" s="1"/>
  <c r="H347" s="1"/>
  <c r="H346" s="1"/>
  <c r="H15" i="30"/>
  <c r="T16"/>
  <c r="O142" i="29"/>
  <c r="M310" i="31"/>
  <c r="H309"/>
  <c r="H308" s="1"/>
  <c r="U46" i="30"/>
  <c r="I45"/>
  <c r="O23" i="29"/>
  <c r="O291" i="31"/>
  <c r="O146" i="30"/>
  <c r="K47" i="31"/>
  <c r="K172" i="30"/>
  <c r="K162" i="31"/>
  <c r="H79"/>
  <c r="T80"/>
  <c r="M287" i="29"/>
  <c r="M288" i="31"/>
  <c r="J281"/>
  <c r="J281" i="30"/>
  <c r="K281" s="1"/>
  <c r="J281" i="29"/>
  <c r="K281" s="1"/>
  <c r="H324" i="30"/>
  <c r="H323" s="1"/>
  <c r="O291" i="29"/>
  <c r="M285" i="31"/>
  <c r="K176"/>
  <c r="M47" i="29"/>
  <c r="O176" i="30"/>
  <c r="O129"/>
  <c r="K284" i="31"/>
  <c r="O89"/>
  <c r="M812" i="30"/>
  <c r="O287"/>
  <c r="O166" i="31"/>
  <c r="M129"/>
  <c r="K406"/>
  <c r="O100" i="30"/>
  <c r="O175" i="29"/>
  <c r="M310" i="30"/>
  <c r="H309"/>
  <c r="H308" s="1"/>
  <c r="U88" i="31"/>
  <c r="I87"/>
  <c r="O283"/>
  <c r="M406" i="30"/>
  <c r="K137"/>
  <c r="O801" i="31"/>
  <c r="M137" i="29"/>
  <c r="M811" i="31"/>
  <c r="O97" i="29"/>
  <c r="I93"/>
  <c r="O93" s="1"/>
  <c r="M273" i="30"/>
  <c r="K295" i="29"/>
  <c r="M300"/>
  <c r="O342"/>
  <c r="I87" i="30"/>
  <c r="O60" i="31"/>
  <c r="K114" i="30"/>
  <c r="K192" i="29"/>
  <c r="M812" i="31"/>
  <c r="G48" i="29"/>
  <c r="M92"/>
  <c r="K405" i="30"/>
  <c r="M282" i="31"/>
  <c r="O122" i="30"/>
  <c r="H395" i="31"/>
  <c r="H394" s="1"/>
  <c r="H393" s="1"/>
  <c r="H392" s="1"/>
  <c r="H391" s="1"/>
  <c r="H390" s="1"/>
  <c r="O329"/>
  <c r="O107"/>
  <c r="K287" i="29"/>
  <c r="K100"/>
  <c r="M21" i="31"/>
  <c r="I674" i="11"/>
  <c r="N675" i="31"/>
  <c r="N675" i="30"/>
  <c r="N675" i="29"/>
  <c r="G705" i="11"/>
  <c r="J706" i="31"/>
  <c r="J706" i="30"/>
  <c r="J706" i="29"/>
  <c r="G739" i="11"/>
  <c r="J740" i="31"/>
  <c r="J740" i="30"/>
  <c r="G740" s="1"/>
  <c r="J740" i="29"/>
  <c r="H757" i="11"/>
  <c r="L758" i="31"/>
  <c r="L758" i="30"/>
  <c r="L758" i="29"/>
  <c r="H791" i="11"/>
  <c r="L792" i="31"/>
  <c r="L792" i="30"/>
  <c r="L792" i="29"/>
  <c r="H792" s="1"/>
  <c r="G100" i="31"/>
  <c r="S101"/>
  <c r="G970"/>
  <c r="O353" i="29"/>
  <c r="I349"/>
  <c r="I348" s="1"/>
  <c r="I347" s="1"/>
  <c r="I346" s="1"/>
  <c r="G15" i="30"/>
  <c r="K15" s="1"/>
  <c r="S16"/>
  <c r="T22"/>
  <c r="H21"/>
  <c r="M21" s="1"/>
  <c r="K209"/>
  <c r="G208"/>
  <c r="G207" s="1"/>
  <c r="G206" s="1"/>
  <c r="H651" i="11"/>
  <c r="L652" i="31"/>
  <c r="L652" i="30"/>
  <c r="L652" i="29"/>
  <c r="H652" s="1"/>
  <c r="I668" i="11"/>
  <c r="N669" i="31"/>
  <c r="N669" i="30"/>
  <c r="N669" i="29"/>
  <c r="I686" i="11"/>
  <c r="N687" i="31"/>
  <c r="N687" i="30"/>
  <c r="N687" i="29"/>
  <c r="I687" s="1"/>
  <c r="G717" i="11"/>
  <c r="J718" i="31"/>
  <c r="J718" i="30"/>
  <c r="J718" i="29"/>
  <c r="G750" i="11"/>
  <c r="J751" i="31"/>
  <c r="J751" i="30"/>
  <c r="J751" i="29"/>
  <c r="I757" i="11"/>
  <c r="N758" i="31"/>
  <c r="N758" i="30"/>
  <c r="N758" i="29"/>
  <c r="I791" i="11"/>
  <c r="N792" i="31"/>
  <c r="N792" i="30"/>
  <c r="N792" i="29"/>
  <c r="I792" s="1"/>
  <c r="M800" i="30"/>
  <c r="H796"/>
  <c r="H795" s="1"/>
  <c r="O79" i="31"/>
  <c r="H641" i="11"/>
  <c r="L642" i="31"/>
  <c r="L642" i="30"/>
  <c r="L642" i="29"/>
  <c r="L678" i="31"/>
  <c r="M678" s="1"/>
  <c r="L678" i="30"/>
  <c r="M678" s="1"/>
  <c r="L678" i="29"/>
  <c r="M678" s="1"/>
  <c r="H729" i="11"/>
  <c r="L730" i="31"/>
  <c r="L730" i="30"/>
  <c r="L730" i="29"/>
  <c r="L779" i="31"/>
  <c r="M779" s="1"/>
  <c r="L779" i="30"/>
  <c r="M779" s="1"/>
  <c r="L779" i="29"/>
  <c r="M779" s="1"/>
  <c r="G643" i="11"/>
  <c r="J644" i="31"/>
  <c r="J644" i="30"/>
  <c r="J644" i="29"/>
  <c r="I672" i="11"/>
  <c r="N673" i="31"/>
  <c r="N673" i="30"/>
  <c r="N673" i="29"/>
  <c r="I673" s="1"/>
  <c r="I709" i="11"/>
  <c r="N710" i="31"/>
  <c r="N710" i="30"/>
  <c r="N710" i="29"/>
  <c r="G737" i="11"/>
  <c r="J738" i="31"/>
  <c r="J738" i="30"/>
  <c r="J738" i="29"/>
  <c r="G763" i="11"/>
  <c r="J764" i="31"/>
  <c r="J764" i="30"/>
  <c r="G764" s="1"/>
  <c r="J764" i="29"/>
  <c r="O21" i="30"/>
  <c r="K82"/>
  <c r="O91"/>
  <c r="K91"/>
  <c r="G90"/>
  <c r="M180"/>
  <c r="K796"/>
  <c r="M329" i="29"/>
  <c r="G42" i="31"/>
  <c r="S42" s="1"/>
  <c r="S43"/>
  <c r="M191" i="29"/>
  <c r="H280" i="31"/>
  <c r="H279" s="1"/>
  <c r="H278" s="1"/>
  <c r="H277" s="1"/>
  <c r="H276" s="1"/>
  <c r="G134" i="30"/>
  <c r="O175"/>
  <c r="O800" i="31"/>
  <c r="I796"/>
  <c r="I795" s="1"/>
  <c r="I794" s="1"/>
  <c r="I793" s="1"/>
  <c r="O137" i="29"/>
  <c r="K405" i="31"/>
  <c r="O122" i="29"/>
  <c r="O284" i="30"/>
  <c r="I102" i="31"/>
  <c r="H643" i="11"/>
  <c r="L644" i="31"/>
  <c r="L644" i="30"/>
  <c r="L644" i="29"/>
  <c r="G658" i="11"/>
  <c r="J659" i="31"/>
  <c r="J659" i="30"/>
  <c r="J659" i="29"/>
  <c r="L664" i="31"/>
  <c r="M664" s="1"/>
  <c r="L664" i="30"/>
  <c r="M664" s="1"/>
  <c r="L664" i="29"/>
  <c r="M664" s="1"/>
  <c r="G674" i="11"/>
  <c r="G671" s="1"/>
  <c r="J675" i="31"/>
  <c r="J675" i="30"/>
  <c r="J675" i="29"/>
  <c r="I684" i="11"/>
  <c r="N685" i="31"/>
  <c r="N685" i="30"/>
  <c r="N685" i="29"/>
  <c r="H699" i="11"/>
  <c r="L700" i="31"/>
  <c r="L700" i="30"/>
  <c r="L700" i="29"/>
  <c r="G713" i="11"/>
  <c r="J714" i="31"/>
  <c r="J714" i="30"/>
  <c r="J714" i="29"/>
  <c r="I721" i="11"/>
  <c r="N722" i="31"/>
  <c r="N722" i="30"/>
  <c r="N722" i="29"/>
  <c r="H737" i="11"/>
  <c r="L738" i="31"/>
  <c r="L738" i="30"/>
  <c r="L738" i="29"/>
  <c r="G746" i="11"/>
  <c r="J747" i="31"/>
  <c r="J747" i="30"/>
  <c r="J747" i="29"/>
  <c r="I754" i="11"/>
  <c r="N755" i="31"/>
  <c r="N755" i="30"/>
  <c r="N755" i="29"/>
  <c r="H763" i="11"/>
  <c r="H760" s="1"/>
  <c r="L764" i="31"/>
  <c r="L764" i="30"/>
  <c r="L764" i="29"/>
  <c r="G775" i="11"/>
  <c r="J776" i="31"/>
  <c r="J776" i="30"/>
  <c r="J776" i="29"/>
  <c r="I785" i="11"/>
  <c r="N786" i="31"/>
  <c r="N786" i="30"/>
  <c r="N786" i="29"/>
  <c r="I786" s="1"/>
  <c r="M142" i="31"/>
  <c r="O101" i="29"/>
  <c r="M167" i="30"/>
  <c r="M398" i="29"/>
  <c r="K282"/>
  <c r="O330" i="31"/>
  <c r="K288"/>
  <c r="K336" i="30"/>
  <c r="K272" i="29"/>
  <c r="G392" i="30"/>
  <c r="G391" s="1"/>
  <c r="G390" s="1"/>
  <c r="O374" i="31"/>
  <c r="O146"/>
  <c r="K301" i="30"/>
  <c r="O21" i="31"/>
  <c r="K290"/>
  <c r="M132" i="29"/>
  <c r="O314"/>
  <c r="I310"/>
  <c r="I309" s="1"/>
  <c r="I308" s="1"/>
  <c r="M113" i="30"/>
  <c r="H112"/>
  <c r="M272" i="29"/>
  <c r="K209" i="31"/>
  <c r="H87" i="29"/>
  <c r="H86" s="1"/>
  <c r="O406"/>
  <c r="O201" i="30"/>
  <c r="M101"/>
  <c r="K128" i="29"/>
  <c r="M353" i="31"/>
  <c r="H349"/>
  <c r="H348" s="1"/>
  <c r="H347" s="1"/>
  <c r="H346" s="1"/>
  <c r="I970" i="30"/>
  <c r="H56"/>
  <c r="H55" s="1"/>
  <c r="O301"/>
  <c r="G1018"/>
  <c r="K398" i="31"/>
  <c r="K106" i="30"/>
  <c r="M405" i="29"/>
  <c r="O290"/>
  <c r="M163" i="30"/>
  <c r="K796" i="31"/>
  <c r="K166" i="29"/>
  <c r="G165"/>
  <c r="G164" s="1"/>
  <c r="G159" s="1"/>
  <c r="O342" i="31"/>
  <c r="K181" i="30"/>
  <c r="M153" i="29"/>
  <c r="H148"/>
  <c r="H147" s="1"/>
  <c r="K113"/>
  <c r="G84" i="31"/>
  <c r="S84" s="1"/>
  <c r="S85"/>
  <c r="O273"/>
  <c r="O98" i="30"/>
  <c r="M191"/>
  <c r="K374" i="31"/>
  <c r="O163"/>
  <c r="K142" i="30"/>
  <c r="M287" i="31"/>
  <c r="N349"/>
  <c r="O349" s="1"/>
  <c r="N349" i="30"/>
  <c r="O349" s="1"/>
  <c r="N349" i="29"/>
  <c r="K342"/>
  <c r="K133" i="31"/>
  <c r="O421"/>
  <c r="O812" i="29"/>
  <c r="O801"/>
  <c r="O273" i="30"/>
  <c r="O138" i="31"/>
  <c r="O133" i="29"/>
  <c r="G78"/>
  <c r="G77" s="1"/>
  <c r="G76" s="1"/>
  <c r="G75" s="1"/>
  <c r="M88" i="31"/>
  <c r="O300" i="29"/>
  <c r="O283" i="30"/>
  <c r="K315" i="29"/>
  <c r="K138" i="30"/>
  <c r="O287" i="31"/>
  <c r="M801"/>
  <c r="K176" i="30"/>
  <c r="O310" i="29"/>
  <c r="M15"/>
  <c r="H10"/>
  <c r="H9" s="1"/>
  <c r="H8" s="1"/>
  <c r="H7" s="1"/>
  <c r="H6" s="1"/>
  <c r="H5" s="1"/>
  <c r="K132"/>
  <c r="O175" i="31"/>
  <c r="K812"/>
  <c r="O59"/>
  <c r="K53" i="29"/>
  <c r="O290" i="30"/>
  <c r="I289"/>
  <c r="O180" i="29"/>
  <c r="O54" i="31"/>
  <c r="M137"/>
  <c r="T83"/>
  <c r="H82"/>
  <c r="T82" s="1"/>
  <c r="O137" i="30"/>
  <c r="O295" i="29"/>
  <c r="O162" i="30"/>
  <c r="I161"/>
  <c r="I160" s="1"/>
  <c r="I159" s="1"/>
  <c r="K80"/>
  <c r="K175" i="29"/>
  <c r="M300" i="31"/>
  <c r="O154"/>
  <c r="M133" i="29"/>
  <c r="O129" i="31"/>
  <c r="K201" i="29"/>
  <c r="M295"/>
  <c r="M145" i="30"/>
  <c r="H144"/>
  <c r="H143" s="1"/>
  <c r="H78" i="29"/>
  <c r="M288" i="30"/>
  <c r="M141"/>
  <c r="K329"/>
  <c r="O122" i="31"/>
  <c r="O181" i="30"/>
  <c r="O284" i="31"/>
  <c r="K100"/>
  <c r="M78" i="30"/>
  <c r="G651" i="11"/>
  <c r="J652" i="31"/>
  <c r="J652" i="30"/>
  <c r="J652" i="29"/>
  <c r="H725" i="11"/>
  <c r="L726" i="31"/>
  <c r="L726" i="30"/>
  <c r="L726" i="29"/>
  <c r="H298" i="30"/>
  <c r="N78" i="31"/>
  <c r="N78" i="30"/>
  <c r="O78" s="1"/>
  <c r="N78" i="29"/>
  <c r="M171"/>
  <c r="G159" i="31"/>
  <c r="G678" i="11"/>
  <c r="J679" i="31"/>
  <c r="J679" i="30"/>
  <c r="J679" i="29"/>
  <c r="G679" s="1"/>
  <c r="I725" i="11"/>
  <c r="N726" i="31"/>
  <c r="N726" i="30"/>
  <c r="N726" i="29"/>
  <c r="G779" i="11"/>
  <c r="J780" i="31"/>
  <c r="J780" i="30"/>
  <c r="G780" s="1"/>
  <c r="J780" i="29"/>
  <c r="K21" i="31"/>
  <c r="M200"/>
  <c r="H195"/>
  <c r="H194" s="1"/>
  <c r="H193" s="1"/>
  <c r="I660" i="11"/>
  <c r="N661" i="31"/>
  <c r="N661" i="29"/>
  <c r="N661" i="30"/>
  <c r="G709" i="11"/>
  <c r="J710" i="31"/>
  <c r="J710" i="30"/>
  <c r="J710" i="29"/>
  <c r="G710" s="1"/>
  <c r="H761" i="11"/>
  <c r="L762" i="31"/>
  <c r="L762" i="30"/>
  <c r="H762" s="1"/>
  <c r="L762" i="29"/>
  <c r="G324" i="31"/>
  <c r="G323" s="1"/>
  <c r="G124" i="30"/>
  <c r="I653" i="11"/>
  <c r="N654" i="31"/>
  <c r="N654" i="30"/>
  <c r="N654" i="29"/>
  <c r="I664" i="11"/>
  <c r="N665" i="31"/>
  <c r="N665" i="30"/>
  <c r="N665" i="29"/>
  <c r="H684" i="11"/>
  <c r="L685" i="31"/>
  <c r="L685" i="30"/>
  <c r="L685" i="29"/>
  <c r="G699" i="11"/>
  <c r="J700" i="31"/>
  <c r="J700" i="30"/>
  <c r="J700" i="29"/>
  <c r="H721" i="11"/>
  <c r="L722" i="31"/>
  <c r="L722" i="30"/>
  <c r="L722" i="29"/>
  <c r="I744" i="11"/>
  <c r="N745" i="31"/>
  <c r="N745" i="30"/>
  <c r="N745" i="29"/>
  <c r="H754" i="11"/>
  <c r="L755" i="31"/>
  <c r="L755" i="30"/>
  <c r="L755" i="29"/>
  <c r="H755" s="1"/>
  <c r="I771" i="11"/>
  <c r="N772" i="31"/>
  <c r="N772" i="30"/>
  <c r="N772" i="29"/>
  <c r="H785" i="11"/>
  <c r="L786" i="31"/>
  <c r="L786" i="30"/>
  <c r="H786" s="1"/>
  <c r="L786" i="29"/>
  <c r="U43" i="31"/>
  <c r="I42"/>
  <c r="U42" s="1"/>
  <c r="H97"/>
  <c r="M97" s="1"/>
  <c r="T98"/>
  <c r="G324" i="30"/>
  <c r="G323" s="1"/>
  <c r="L281" i="31"/>
  <c r="M281" s="1"/>
  <c r="L281" i="29"/>
  <c r="M281" s="1"/>
  <c r="L281" i="30"/>
  <c r="M281" s="1"/>
  <c r="K82" i="31"/>
  <c r="S82"/>
  <c r="K353" i="30"/>
  <c r="G349"/>
  <c r="G348" s="1"/>
  <c r="G347" s="1"/>
  <c r="G346" s="1"/>
  <c r="H970"/>
  <c r="I159" i="31"/>
  <c r="K91"/>
  <c r="H124"/>
  <c r="O100"/>
  <c r="O59" i="29"/>
  <c r="K137" i="31"/>
  <c r="I970"/>
  <c r="M300" i="30"/>
  <c r="I643" i="11"/>
  <c r="N644" i="31"/>
  <c r="N644" i="30"/>
  <c r="N644" i="29"/>
  <c r="H658" i="11"/>
  <c r="L659" i="31"/>
  <c r="L659" i="30"/>
  <c r="L659" i="29"/>
  <c r="G668" i="11"/>
  <c r="J669" i="31"/>
  <c r="J669" i="30"/>
  <c r="J669" i="29"/>
  <c r="H674" i="11"/>
  <c r="L675" i="31"/>
  <c r="L675" i="30"/>
  <c r="L675" i="29"/>
  <c r="G686" i="11"/>
  <c r="G683" s="1"/>
  <c r="J687" i="31"/>
  <c r="J687" i="30"/>
  <c r="J687" i="29"/>
  <c r="I699" i="11"/>
  <c r="N700" i="31"/>
  <c r="N700" i="30"/>
  <c r="N700" i="29"/>
  <c r="H713" i="11"/>
  <c r="L714" i="31"/>
  <c r="L714" i="30"/>
  <c r="H714" s="1"/>
  <c r="L714" i="29"/>
  <c r="G725" i="11"/>
  <c r="J726" i="31"/>
  <c r="J726" i="30"/>
  <c r="J726" i="29"/>
  <c r="I737" i="11"/>
  <c r="N738" i="31"/>
  <c r="N738" i="30"/>
  <c r="I738" s="1"/>
  <c r="N738" i="29"/>
  <c r="I738" s="1"/>
  <c r="H746" i="11"/>
  <c r="L747" i="31"/>
  <c r="L747" i="30"/>
  <c r="L747" i="29"/>
  <c r="G757" i="11"/>
  <c r="J758" i="31"/>
  <c r="J758" i="30"/>
  <c r="J758" i="29"/>
  <c r="I763" i="11"/>
  <c r="N764" i="31"/>
  <c r="N764" i="30"/>
  <c r="N764" i="29"/>
  <c r="H775" i="11"/>
  <c r="L776" i="31"/>
  <c r="L776" i="30"/>
  <c r="L776" i="29"/>
  <c r="G791" i="11"/>
  <c r="J792" i="31"/>
  <c r="J792" i="30"/>
  <c r="J792" i="29"/>
  <c r="G792" s="1"/>
  <c r="M301" i="30"/>
  <c r="M285" i="29"/>
  <c r="M172" i="31"/>
  <c r="K92" i="29"/>
  <c r="O22" i="31"/>
  <c r="O167"/>
  <c r="K101"/>
  <c r="K21" i="29"/>
  <c r="K167" i="31"/>
  <c r="M420"/>
  <c r="O92"/>
  <c r="K285" i="30"/>
  <c r="K171"/>
  <c r="O85" i="29"/>
  <c r="K300" i="30"/>
  <c r="G299"/>
  <c r="G298" s="1"/>
  <c r="G297" s="1"/>
  <c r="G296" s="1"/>
  <c r="O79" i="29"/>
  <c r="O341"/>
  <c r="M132" i="30"/>
  <c r="M201"/>
  <c r="M175"/>
  <c r="M54" i="31"/>
  <c r="K59"/>
  <c r="M272" i="30"/>
  <c r="K16" i="31"/>
  <c r="M122" i="29"/>
  <c r="K166" i="31"/>
  <c r="O405" i="29"/>
  <c r="I401"/>
  <c r="I400" s="1"/>
  <c r="I399" s="1"/>
  <c r="I392" s="1"/>
  <c r="I391" s="1"/>
  <c r="I390" s="1"/>
  <c r="O123" i="30"/>
  <c r="M291" i="31"/>
  <c r="K285" i="29"/>
  <c r="M113" i="31"/>
  <c r="O200" i="30"/>
  <c r="I195"/>
  <c r="I194" s="1"/>
  <c r="I193" s="1"/>
  <c r="K128"/>
  <c r="M800" i="29"/>
  <c r="H796"/>
  <c r="H795" s="1"/>
  <c r="H794" s="1"/>
  <c r="H793" s="1"/>
  <c r="O85" i="30"/>
  <c r="O354" i="29"/>
  <c r="M87" i="30"/>
  <c r="M15"/>
  <c r="I296"/>
  <c r="O314"/>
  <c r="I310"/>
  <c r="O172"/>
  <c r="K123" i="29"/>
  <c r="K294" i="31"/>
  <c r="K341" i="30"/>
  <c r="M405"/>
  <c r="K191" i="29"/>
  <c r="H84" i="31"/>
  <c r="T85"/>
  <c r="K295"/>
  <c r="H159" i="30"/>
  <c r="K88" i="31"/>
  <c r="M46"/>
  <c r="I339"/>
  <c r="I338" s="1"/>
  <c r="I337" s="1"/>
  <c r="K811" i="30"/>
  <c r="K82" i="29"/>
  <c r="M329" i="31"/>
  <c r="K113" i="30"/>
  <c r="O83"/>
  <c r="M98"/>
  <c r="M295" i="31"/>
  <c r="M191"/>
  <c r="K342" i="30"/>
  <c r="N195" i="31"/>
  <c r="O195" s="1"/>
  <c r="N195" i="29"/>
  <c r="O195" s="1"/>
  <c r="N195" i="30"/>
  <c r="M166" i="29"/>
  <c r="O796"/>
  <c r="I795"/>
  <c r="I125"/>
  <c r="M796"/>
  <c r="O300" i="30"/>
  <c r="O282"/>
  <c r="I281"/>
  <c r="M285"/>
  <c r="K420" i="29"/>
  <c r="M22" i="30"/>
  <c r="M47" i="31"/>
  <c r="K132" i="30"/>
  <c r="K210"/>
  <c r="M23"/>
  <c r="M133"/>
  <c r="M330" i="31"/>
  <c r="O128" i="29"/>
  <c r="K53" i="30"/>
  <c r="O180"/>
  <c r="K192"/>
  <c r="G46"/>
  <c r="S47"/>
  <c r="K59"/>
  <c r="G58"/>
  <c r="G57" s="1"/>
  <c r="G56" s="1"/>
  <c r="G55" s="1"/>
  <c r="O137" i="31"/>
  <c r="G78" i="30"/>
  <c r="K78" s="1"/>
  <c r="K175"/>
  <c r="O153" i="31"/>
  <c r="I148"/>
  <c r="I147" s="1"/>
  <c r="I134" s="1"/>
  <c r="O405" i="30"/>
  <c r="K307"/>
  <c r="I125" i="31"/>
  <c r="K200" i="29"/>
  <c r="G195"/>
  <c r="G194" s="1"/>
  <c r="G193" s="1"/>
  <c r="K163" i="30"/>
  <c r="O163" i="29"/>
  <c r="M195"/>
  <c r="M141" i="31"/>
  <c r="K329"/>
  <c r="K145" i="29"/>
  <c r="M83"/>
  <c r="K92" i="31"/>
  <c r="K336"/>
  <c r="M93" i="29"/>
  <c r="I657" i="11"/>
  <c r="I639"/>
  <c r="H639"/>
  <c r="G639"/>
  <c r="I269"/>
  <c r="H269"/>
  <c r="G269"/>
  <c r="I262"/>
  <c r="H262"/>
  <c r="G262"/>
  <c r="I254"/>
  <c r="H254"/>
  <c r="G254"/>
  <c r="I246"/>
  <c r="H246"/>
  <c r="G246"/>
  <c r="I237"/>
  <c r="H237"/>
  <c r="G237"/>
  <c r="I233"/>
  <c r="H233"/>
  <c r="G233"/>
  <c r="I228"/>
  <c r="H228"/>
  <c r="G228"/>
  <c r="I224"/>
  <c r="H224"/>
  <c r="G224"/>
  <c r="H218"/>
  <c r="G218"/>
  <c r="I219"/>
  <c r="H1501"/>
  <c r="I1501"/>
  <c r="G1501"/>
  <c r="I1497"/>
  <c r="H1497"/>
  <c r="G1497"/>
  <c r="I1495"/>
  <c r="H1495"/>
  <c r="G1495"/>
  <c r="H1492"/>
  <c r="I1492"/>
  <c r="G1492"/>
  <c r="O349" i="29" l="1"/>
  <c r="M349" i="31"/>
  <c r="O82"/>
  <c r="I280" i="30"/>
  <c r="I279" s="1"/>
  <c r="I278" s="1"/>
  <c r="I277" s="1"/>
  <c r="I276" s="1"/>
  <c r="I275" s="1"/>
  <c r="O796"/>
  <c r="K195" i="31"/>
  <c r="H275"/>
  <c r="K281"/>
  <c r="I671" i="11"/>
  <c r="M148" i="29"/>
  <c r="G275"/>
  <c r="J683" i="31"/>
  <c r="J683" i="30"/>
  <c r="J683" i="29"/>
  <c r="N671" i="31"/>
  <c r="O671" s="1"/>
  <c r="N671" i="30"/>
  <c r="N671" i="29"/>
  <c r="I232" i="11"/>
  <c r="N233" i="31"/>
  <c r="N233" i="30"/>
  <c r="N233" i="29"/>
  <c r="G638" i="11"/>
  <c r="J639" i="31"/>
  <c r="J639" i="30"/>
  <c r="J639" i="29"/>
  <c r="J757" i="31"/>
  <c r="J757" i="30"/>
  <c r="J757" i="29"/>
  <c r="J668" i="31"/>
  <c r="J668" i="30"/>
  <c r="J668" i="29"/>
  <c r="H685"/>
  <c r="H684" s="1"/>
  <c r="I823" i="30"/>
  <c r="I814" s="1"/>
  <c r="H700"/>
  <c r="H699" s="1"/>
  <c r="H698" s="1"/>
  <c r="H697" s="1"/>
  <c r="H696" s="1"/>
  <c r="H695" s="1"/>
  <c r="G644" i="29"/>
  <c r="G643" s="1"/>
  <c r="K644"/>
  <c r="G751" i="30"/>
  <c r="G750" s="1"/>
  <c r="G749" s="1"/>
  <c r="G748" s="1"/>
  <c r="K751"/>
  <c r="H758" i="31"/>
  <c r="H757" s="1"/>
  <c r="H756" s="1"/>
  <c r="U87"/>
  <c r="I86"/>
  <c r="G786" i="29"/>
  <c r="G785" s="1"/>
  <c r="G784" s="1"/>
  <c r="G783" s="1"/>
  <c r="G782" s="1"/>
  <c r="G781" s="1"/>
  <c r="H654"/>
  <c r="H653" s="1"/>
  <c r="I718"/>
  <c r="I717" s="1"/>
  <c r="I716" s="1"/>
  <c r="I715" s="1"/>
  <c r="L668" i="31"/>
  <c r="L668" i="30"/>
  <c r="L668" i="29"/>
  <c r="J729" i="31"/>
  <c r="J729" i="29"/>
  <c r="J729" i="30"/>
  <c r="H661" i="29"/>
  <c r="H660" s="1"/>
  <c r="G642"/>
  <c r="G641" s="1"/>
  <c r="L739" i="31"/>
  <c r="L739" i="30"/>
  <c r="M739" s="1"/>
  <c r="L739" i="29"/>
  <c r="G236" i="11"/>
  <c r="J237" i="31"/>
  <c r="J237" i="30"/>
  <c r="J237" i="29"/>
  <c r="I764"/>
  <c r="I763" s="1"/>
  <c r="O764"/>
  <c r="G726"/>
  <c r="G725" s="1"/>
  <c r="G724" s="1"/>
  <c r="G723" s="1"/>
  <c r="I700"/>
  <c r="I699" s="1"/>
  <c r="I698" s="1"/>
  <c r="I697" s="1"/>
  <c r="I696" s="1"/>
  <c r="I695" s="1"/>
  <c r="H675"/>
  <c r="H674" s="1"/>
  <c r="M786" i="30"/>
  <c r="H785"/>
  <c r="H784" s="1"/>
  <c r="H783" s="1"/>
  <c r="H782" s="1"/>
  <c r="H781" s="1"/>
  <c r="H755"/>
  <c r="H754" s="1"/>
  <c r="H753" s="1"/>
  <c r="H722"/>
  <c r="H721" s="1"/>
  <c r="H720" s="1"/>
  <c r="H719" s="1"/>
  <c r="M722"/>
  <c r="H685"/>
  <c r="H684" s="1"/>
  <c r="M685"/>
  <c r="I654"/>
  <c r="I653" s="1"/>
  <c r="J709" i="31"/>
  <c r="J709" i="30"/>
  <c r="J709" i="29"/>
  <c r="N725" i="31"/>
  <c r="N725" i="30"/>
  <c r="O725" s="1"/>
  <c r="N725" i="29"/>
  <c r="H726"/>
  <c r="H725" s="1"/>
  <c r="H724" s="1"/>
  <c r="K349" i="30"/>
  <c r="O87" i="31"/>
  <c r="I786"/>
  <c r="I785" s="1"/>
  <c r="I784" s="1"/>
  <c r="I783" s="1"/>
  <c r="I782" s="1"/>
  <c r="I781" s="1"/>
  <c r="O786"/>
  <c r="H764"/>
  <c r="H763" s="1"/>
  <c r="G747"/>
  <c r="G746" s="1"/>
  <c r="I722"/>
  <c r="I721" s="1"/>
  <c r="I720" s="1"/>
  <c r="I719" s="1"/>
  <c r="O722"/>
  <c r="H700"/>
  <c r="H699" s="1"/>
  <c r="H698" s="1"/>
  <c r="H697" s="1"/>
  <c r="H696" s="1"/>
  <c r="M700"/>
  <c r="G675"/>
  <c r="G674" s="1"/>
  <c r="G657" i="11"/>
  <c r="J658" i="31"/>
  <c r="J658" i="30"/>
  <c r="J658" i="29"/>
  <c r="K764" i="30"/>
  <c r="G763"/>
  <c r="I710"/>
  <c r="I709" s="1"/>
  <c r="G644"/>
  <c r="G643" s="1"/>
  <c r="K644"/>
  <c r="H730" i="29"/>
  <c r="H729" s="1"/>
  <c r="H728" s="1"/>
  <c r="H727" s="1"/>
  <c r="H642" i="30"/>
  <c r="H641" s="1"/>
  <c r="M642"/>
  <c r="I792" i="31"/>
  <c r="I791" s="1"/>
  <c r="I790" s="1"/>
  <c r="I789" s="1"/>
  <c r="I788" s="1"/>
  <c r="I787" s="1"/>
  <c r="G751"/>
  <c r="G750" s="1"/>
  <c r="G749" s="1"/>
  <c r="G748" s="1"/>
  <c r="K751"/>
  <c r="I687"/>
  <c r="I686" s="1"/>
  <c r="H652"/>
  <c r="H651" s="1"/>
  <c r="S100"/>
  <c r="G99"/>
  <c r="S99" s="1"/>
  <c r="L757"/>
  <c r="L757" i="30"/>
  <c r="L757" i="29"/>
  <c r="J705" i="31"/>
  <c r="J705" i="30"/>
  <c r="J705" i="29"/>
  <c r="T10" i="31"/>
  <c r="S21" i="30"/>
  <c r="G20"/>
  <c r="G786"/>
  <c r="G785" s="1"/>
  <c r="G784" s="1"/>
  <c r="G783" s="1"/>
  <c r="G782" s="1"/>
  <c r="G781" s="1"/>
  <c r="I762"/>
  <c r="I761" s="1"/>
  <c r="I760" s="1"/>
  <c r="I759" s="1"/>
  <c r="H745" i="29"/>
  <c r="H744" s="1"/>
  <c r="G722" i="30"/>
  <c r="G721" s="1"/>
  <c r="G720" s="1"/>
  <c r="G719" s="1"/>
  <c r="I693"/>
  <c r="I692" s="1"/>
  <c r="I691" s="1"/>
  <c r="I690" s="1"/>
  <c r="I689" s="1"/>
  <c r="I688" s="1"/>
  <c r="H673"/>
  <c r="H672" s="1"/>
  <c r="M673"/>
  <c r="H654"/>
  <c r="H653" s="1"/>
  <c r="H650" s="1"/>
  <c r="H649" s="1"/>
  <c r="H648" s="1"/>
  <c r="I751"/>
  <c r="I750" s="1"/>
  <c r="I749" s="1"/>
  <c r="I748" s="1"/>
  <c r="O751"/>
  <c r="I718"/>
  <c r="I717" s="1"/>
  <c r="I716" s="1"/>
  <c r="I715" s="1"/>
  <c r="O718"/>
  <c r="G673"/>
  <c r="G672" s="1"/>
  <c r="K673"/>
  <c r="H124"/>
  <c r="G661" i="29"/>
  <c r="G660" s="1"/>
  <c r="S15" i="31"/>
  <c r="G10"/>
  <c r="M768" i="29"/>
  <c r="H767"/>
  <c r="H766" s="1"/>
  <c r="H765" s="1"/>
  <c r="K78"/>
  <c r="M349"/>
  <c r="T46" i="30"/>
  <c r="H45"/>
  <c r="K796" i="29"/>
  <c r="G795"/>
  <c r="G794" s="1"/>
  <c r="G793" s="1"/>
  <c r="G9"/>
  <c r="G8" s="1"/>
  <c r="G7" s="1"/>
  <c r="G6" s="1"/>
  <c r="G5" s="1"/>
  <c r="G762"/>
  <c r="G761" s="1"/>
  <c r="K762"/>
  <c r="I740"/>
  <c r="I739" s="1"/>
  <c r="O740"/>
  <c r="H718"/>
  <c r="H717" s="1"/>
  <c r="H716" s="1"/>
  <c r="H715" s="1"/>
  <c r="G693"/>
  <c r="G692" s="1"/>
  <c r="G691" s="1"/>
  <c r="G690" s="1"/>
  <c r="G689" s="1"/>
  <c r="G688" s="1"/>
  <c r="H661" i="30"/>
  <c r="H660" s="1"/>
  <c r="M661"/>
  <c r="G642"/>
  <c r="G641" s="1"/>
  <c r="I52"/>
  <c r="U53"/>
  <c r="S79" i="31"/>
  <c r="G78"/>
  <c r="U97"/>
  <c r="I93"/>
  <c r="I747"/>
  <c r="I746" s="1"/>
  <c r="H687"/>
  <c r="H686" s="1"/>
  <c r="I1491" i="11"/>
  <c r="N1492" i="31"/>
  <c r="N1492" i="30"/>
  <c r="N1492" i="29"/>
  <c r="G1500" i="11"/>
  <c r="J1501" i="31"/>
  <c r="J1501" i="30"/>
  <c r="J1501" i="29"/>
  <c r="I223" i="11"/>
  <c r="N224" i="31"/>
  <c r="N224" i="30"/>
  <c r="I224" s="1"/>
  <c r="N224" i="29"/>
  <c r="I224" s="1"/>
  <c r="H236" i="11"/>
  <c r="L237" i="31"/>
  <c r="L237" i="30"/>
  <c r="L237" i="29"/>
  <c r="G261" i="11"/>
  <c r="J262" i="31"/>
  <c r="J262" i="30"/>
  <c r="J262" i="29"/>
  <c r="I638" i="11"/>
  <c r="N639" i="31"/>
  <c r="N639" i="30"/>
  <c r="N639" i="29"/>
  <c r="M84" i="31"/>
  <c r="T84"/>
  <c r="G792" i="30"/>
  <c r="G791" s="1"/>
  <c r="G790" s="1"/>
  <c r="G789" s="1"/>
  <c r="G788" s="1"/>
  <c r="G787" s="1"/>
  <c r="I764"/>
  <c r="I763" s="1"/>
  <c r="H747"/>
  <c r="H746" s="1"/>
  <c r="G726"/>
  <c r="G725" s="1"/>
  <c r="G724" s="1"/>
  <c r="G723" s="1"/>
  <c r="I700"/>
  <c r="I699" s="1"/>
  <c r="I698" s="1"/>
  <c r="I697" s="1"/>
  <c r="I696" s="1"/>
  <c r="I695" s="1"/>
  <c r="H675"/>
  <c r="H674" s="1"/>
  <c r="H659"/>
  <c r="H658" s="1"/>
  <c r="M82" i="31"/>
  <c r="H786"/>
  <c r="H785" s="1"/>
  <c r="H784" s="1"/>
  <c r="H783" s="1"/>
  <c r="H782" s="1"/>
  <c r="H781" s="1"/>
  <c r="M786"/>
  <c r="H755"/>
  <c r="H754" s="1"/>
  <c r="H753" s="1"/>
  <c r="H722"/>
  <c r="H721" s="1"/>
  <c r="H720" s="1"/>
  <c r="H719" s="1"/>
  <c r="M722"/>
  <c r="H685"/>
  <c r="H684" s="1"/>
  <c r="M685"/>
  <c r="I654"/>
  <c r="I653" s="1"/>
  <c r="H762" i="29"/>
  <c r="H761" s="1"/>
  <c r="H760" s="1"/>
  <c r="I661" i="30"/>
  <c r="I660" s="1"/>
  <c r="G780" i="29"/>
  <c r="G779" s="1"/>
  <c r="G778" s="1"/>
  <c r="G777" s="1"/>
  <c r="K679"/>
  <c r="G678"/>
  <c r="G677" s="1"/>
  <c r="G676" s="1"/>
  <c r="H726" i="30"/>
  <c r="H725" s="1"/>
  <c r="H724" s="1"/>
  <c r="H723" s="1"/>
  <c r="M78" i="29"/>
  <c r="H77"/>
  <c r="H76" s="1"/>
  <c r="H75" s="1"/>
  <c r="N785" i="31"/>
  <c r="O785" s="1"/>
  <c r="N785" i="30"/>
  <c r="N785" i="29"/>
  <c r="L763" i="31"/>
  <c r="L763" i="30"/>
  <c r="L763" i="29"/>
  <c r="J746" i="31"/>
  <c r="J746" i="30"/>
  <c r="J746" i="29"/>
  <c r="N721" i="31"/>
  <c r="O721" s="1"/>
  <c r="N721" i="29"/>
  <c r="N721" i="30"/>
  <c r="L699" i="31"/>
  <c r="M699" s="1"/>
  <c r="L699" i="30"/>
  <c r="L699" i="29"/>
  <c r="J674" i="31"/>
  <c r="J674" i="30"/>
  <c r="J674" i="29"/>
  <c r="H644"/>
  <c r="H643" s="1"/>
  <c r="G764" i="31"/>
  <c r="G763" s="1"/>
  <c r="I710"/>
  <c r="I709" s="1"/>
  <c r="G644"/>
  <c r="G643" s="1"/>
  <c r="H730" i="30"/>
  <c r="H729" s="1"/>
  <c r="H728" s="1"/>
  <c r="H727" s="1"/>
  <c r="M730"/>
  <c r="H642" i="31"/>
  <c r="H641" s="1"/>
  <c r="N791"/>
  <c r="N791" i="30"/>
  <c r="N791" i="29"/>
  <c r="J750" i="31"/>
  <c r="K750" s="1"/>
  <c r="J750" i="29"/>
  <c r="J750" i="30"/>
  <c r="K750" s="1"/>
  <c r="N686" i="31"/>
  <c r="N686" i="30"/>
  <c r="N686" i="29"/>
  <c r="L651" i="31"/>
  <c r="M651" s="1"/>
  <c r="L651" i="30"/>
  <c r="L651" i="29"/>
  <c r="S15" i="30"/>
  <c r="G10"/>
  <c r="M792" i="29"/>
  <c r="H791"/>
  <c r="H790" s="1"/>
  <c r="H789" s="1"/>
  <c r="H788" s="1"/>
  <c r="H787" s="1"/>
  <c r="G740"/>
  <c r="G739" s="1"/>
  <c r="K740"/>
  <c r="I675"/>
  <c r="I674" s="1"/>
  <c r="T15" i="30"/>
  <c r="H10"/>
  <c r="G275" i="31"/>
  <c r="G786"/>
  <c r="G785" s="1"/>
  <c r="G784" s="1"/>
  <c r="G783" s="1"/>
  <c r="G782" s="1"/>
  <c r="G781" s="1"/>
  <c r="I762"/>
  <c r="I761" s="1"/>
  <c r="H745"/>
  <c r="H744" s="1"/>
  <c r="G722"/>
  <c r="G721" s="1"/>
  <c r="G720" s="1"/>
  <c r="G719" s="1"/>
  <c r="I693"/>
  <c r="I692" s="1"/>
  <c r="I691" s="1"/>
  <c r="I690" s="1"/>
  <c r="I689" s="1"/>
  <c r="I688" s="1"/>
  <c r="H673"/>
  <c r="H672" s="1"/>
  <c r="H654"/>
  <c r="H653" s="1"/>
  <c r="M654"/>
  <c r="H134" i="30"/>
  <c r="O281" i="29"/>
  <c r="I280"/>
  <c r="I279" s="1"/>
  <c r="I278" s="1"/>
  <c r="I277" s="1"/>
  <c r="I276" s="1"/>
  <c r="I275" s="1"/>
  <c r="H90" i="31"/>
  <c r="T90" s="1"/>
  <c r="T91"/>
  <c r="I751"/>
  <c r="I750" s="1"/>
  <c r="I718"/>
  <c r="I717" s="1"/>
  <c r="I716" s="1"/>
  <c r="I715" s="1"/>
  <c r="G673"/>
  <c r="G672" s="1"/>
  <c r="G661" i="30"/>
  <c r="G660" s="1"/>
  <c r="K661"/>
  <c r="H768"/>
  <c r="H767" s="1"/>
  <c r="H766" s="1"/>
  <c r="H765" s="1"/>
  <c r="G823"/>
  <c r="G814" s="1"/>
  <c r="H99" i="31"/>
  <c r="T100"/>
  <c r="G762" i="30"/>
  <c r="G761" s="1"/>
  <c r="K762"/>
  <c r="I740"/>
  <c r="I739" s="1"/>
  <c r="O740"/>
  <c r="H718"/>
  <c r="H717" s="1"/>
  <c r="H716" s="1"/>
  <c r="H715" s="1"/>
  <c r="G693"/>
  <c r="G692" s="1"/>
  <c r="G691" s="1"/>
  <c r="G690" s="1"/>
  <c r="G689" s="1"/>
  <c r="G688" s="1"/>
  <c r="H661" i="31"/>
  <c r="H660" s="1"/>
  <c r="M661"/>
  <c r="G642"/>
  <c r="G641" s="1"/>
  <c r="M195"/>
  <c r="O148" i="29"/>
  <c r="G90" i="31"/>
  <c r="S90" s="1"/>
  <c r="S91"/>
  <c r="N746"/>
  <c r="N746" i="30"/>
  <c r="N746" i="29"/>
  <c r="L686" i="31"/>
  <c r="L686" i="30"/>
  <c r="L686" i="29"/>
  <c r="G223" i="11"/>
  <c r="J224" i="31"/>
  <c r="J224" i="30"/>
  <c r="J224" i="29"/>
  <c r="L760" i="31"/>
  <c r="L760" i="30"/>
  <c r="L760" i="29"/>
  <c r="I794"/>
  <c r="I793" s="1"/>
  <c r="L713" i="31"/>
  <c r="M713" s="1"/>
  <c r="L713" i="29"/>
  <c r="L713" i="30"/>
  <c r="H722" i="29"/>
  <c r="H721" s="1"/>
  <c r="H720" s="1"/>
  <c r="H719" s="1"/>
  <c r="M722"/>
  <c r="G710" i="31"/>
  <c r="G709" s="1"/>
  <c r="H764" i="30"/>
  <c r="H763" s="1"/>
  <c r="G675"/>
  <c r="G674" s="1"/>
  <c r="K675"/>
  <c r="I710" i="29"/>
  <c r="I709" s="1"/>
  <c r="O710"/>
  <c r="I792" i="30"/>
  <c r="I791" s="1"/>
  <c r="I790" s="1"/>
  <c r="I789" s="1"/>
  <c r="I788" s="1"/>
  <c r="I787" s="1"/>
  <c r="H652"/>
  <c r="H651" s="1"/>
  <c r="G706" i="31"/>
  <c r="G705" s="1"/>
  <c r="G704" s="1"/>
  <c r="G703" s="1"/>
  <c r="O87" i="30"/>
  <c r="I86"/>
  <c r="I77" s="1"/>
  <c r="I76" s="1"/>
  <c r="I75" s="1"/>
  <c r="I762" i="29"/>
  <c r="I761" s="1"/>
  <c r="I693"/>
  <c r="I692" s="1"/>
  <c r="I691" s="1"/>
  <c r="I690" s="1"/>
  <c r="I689" s="1"/>
  <c r="I688" s="1"/>
  <c r="O693"/>
  <c r="G673"/>
  <c r="G672" s="1"/>
  <c r="H52" i="30"/>
  <c r="T53"/>
  <c r="L750" i="31"/>
  <c r="M750" s="1"/>
  <c r="L750" i="30"/>
  <c r="L750" i="29"/>
  <c r="I747" i="30"/>
  <c r="I746" s="1"/>
  <c r="G1491" i="11"/>
  <c r="J1492" i="31"/>
  <c r="J1492" i="30"/>
  <c r="J1492" i="29"/>
  <c r="H223" i="11"/>
  <c r="L224" i="31"/>
  <c r="L224" i="30"/>
  <c r="L224" i="29"/>
  <c r="J671" i="31"/>
  <c r="J671" i="29"/>
  <c r="J671" i="30"/>
  <c r="K792" i="29"/>
  <c r="G791"/>
  <c r="G790" s="1"/>
  <c r="G789" s="1"/>
  <c r="G788" s="1"/>
  <c r="G787" s="1"/>
  <c r="H261" i="11"/>
  <c r="L262" i="31"/>
  <c r="L262" i="30"/>
  <c r="L262" i="29"/>
  <c r="I124" i="31"/>
  <c r="H747"/>
  <c r="H746" s="1"/>
  <c r="M746" s="1"/>
  <c r="I700"/>
  <c r="I699" s="1"/>
  <c r="I698" s="1"/>
  <c r="I697" s="1"/>
  <c r="I696" s="1"/>
  <c r="I695" s="1"/>
  <c r="H659"/>
  <c r="H658" s="1"/>
  <c r="H657" s="1"/>
  <c r="H656" s="1"/>
  <c r="H93"/>
  <c r="T97"/>
  <c r="L785"/>
  <c r="M785" s="1"/>
  <c r="L785" i="30"/>
  <c r="M785" s="1"/>
  <c r="L785" i="29"/>
  <c r="L754" i="31"/>
  <c r="L754" i="30"/>
  <c r="M754" s="1"/>
  <c r="L754" i="29"/>
  <c r="L721" i="31"/>
  <c r="M721" s="1"/>
  <c r="L721" i="30"/>
  <c r="L721" i="29"/>
  <c r="M721" s="1"/>
  <c r="L684" i="31"/>
  <c r="M684" s="1"/>
  <c r="L684" i="30"/>
  <c r="M684" s="1"/>
  <c r="L684" i="29"/>
  <c r="N653" i="31"/>
  <c r="O653" s="1"/>
  <c r="N653" i="29"/>
  <c r="N653" i="30"/>
  <c r="K780"/>
  <c r="G779"/>
  <c r="G778" s="1"/>
  <c r="G777" s="1"/>
  <c r="G679"/>
  <c r="G678" s="1"/>
  <c r="G677" s="1"/>
  <c r="G676" s="1"/>
  <c r="H726" i="31"/>
  <c r="H725" s="1"/>
  <c r="H724" s="1"/>
  <c r="H723" s="1"/>
  <c r="M726"/>
  <c r="G776" i="29"/>
  <c r="G775" s="1"/>
  <c r="G774" s="1"/>
  <c r="G773" s="1"/>
  <c r="I755"/>
  <c r="I754" s="1"/>
  <c r="I753" s="1"/>
  <c r="H738"/>
  <c r="H737" s="1"/>
  <c r="G714"/>
  <c r="G713" s="1"/>
  <c r="I685"/>
  <c r="I684" s="1"/>
  <c r="H644" i="30"/>
  <c r="H643" s="1"/>
  <c r="J763" i="31"/>
  <c r="K763" s="1"/>
  <c r="J763" i="30"/>
  <c r="K763" s="1"/>
  <c r="J763" i="29"/>
  <c r="N709" i="31"/>
  <c r="N709" i="30"/>
  <c r="N709" i="29"/>
  <c r="O709" s="1"/>
  <c r="J643" i="31"/>
  <c r="J643" i="30"/>
  <c r="J643" i="29"/>
  <c r="H730" i="31"/>
  <c r="H729" s="1"/>
  <c r="H728" s="1"/>
  <c r="H727" s="1"/>
  <c r="L641"/>
  <c r="L641" i="30"/>
  <c r="L641" i="29"/>
  <c r="I758"/>
  <c r="I757" s="1"/>
  <c r="I756" s="1"/>
  <c r="G718"/>
  <c r="G717" s="1"/>
  <c r="G716" s="1"/>
  <c r="G715" s="1"/>
  <c r="I669"/>
  <c r="I668" s="1"/>
  <c r="I667" s="1"/>
  <c r="I666" s="1"/>
  <c r="O669"/>
  <c r="M93" i="30"/>
  <c r="H792"/>
  <c r="H791" s="1"/>
  <c r="H790" s="1"/>
  <c r="H789" s="1"/>
  <c r="H788" s="1"/>
  <c r="H787" s="1"/>
  <c r="K740"/>
  <c r="G739"/>
  <c r="I675"/>
  <c r="I674" s="1"/>
  <c r="T79" i="31"/>
  <c r="H78"/>
  <c r="O15" i="30"/>
  <c r="U15"/>
  <c r="I10"/>
  <c r="O87" i="29"/>
  <c r="J785" i="31"/>
  <c r="J785" i="30"/>
  <c r="J785" i="29"/>
  <c r="K785" s="1"/>
  <c r="N761" i="31"/>
  <c r="O761" s="1"/>
  <c r="N761" i="30"/>
  <c r="N761" i="29"/>
  <c r="L744" i="31"/>
  <c r="M744" s="1"/>
  <c r="L744" i="30"/>
  <c r="L744" i="29"/>
  <c r="J721" i="31"/>
  <c r="J721" i="30"/>
  <c r="K721" s="1"/>
  <c r="J721" i="29"/>
  <c r="K721" s="1"/>
  <c r="N692" i="31"/>
  <c r="O692" s="1"/>
  <c r="N692" i="30"/>
  <c r="N692" i="29"/>
  <c r="O692" s="1"/>
  <c r="L672" i="31"/>
  <c r="L672" i="30"/>
  <c r="M672" s="1"/>
  <c r="L672" i="29"/>
  <c r="L653" i="31"/>
  <c r="M653" s="1"/>
  <c r="L653" i="29"/>
  <c r="L653" i="30"/>
  <c r="N750" i="31"/>
  <c r="N750" i="30"/>
  <c r="O750" s="1"/>
  <c r="N750" i="29"/>
  <c r="N717" i="31"/>
  <c r="O717" s="1"/>
  <c r="N717" i="30"/>
  <c r="O717" s="1"/>
  <c r="N717" i="29"/>
  <c r="O717" s="1"/>
  <c r="J672" i="31"/>
  <c r="K672" s="1"/>
  <c r="J672" i="30"/>
  <c r="K672" s="1"/>
  <c r="J672" i="29"/>
  <c r="G661" i="31"/>
  <c r="G660" s="1"/>
  <c r="H768"/>
  <c r="H767" s="1"/>
  <c r="H766" s="1"/>
  <c r="H765" s="1"/>
  <c r="G762"/>
  <c r="G761" s="1"/>
  <c r="I740"/>
  <c r="I739" s="1"/>
  <c r="H718"/>
  <c r="H717" s="1"/>
  <c r="H716" s="1"/>
  <c r="H715" s="1"/>
  <c r="G693"/>
  <c r="G692" s="1"/>
  <c r="G691" s="1"/>
  <c r="G690" s="1"/>
  <c r="G689" s="1"/>
  <c r="G688" s="1"/>
  <c r="L660"/>
  <c r="L660" i="30"/>
  <c r="L660" i="29"/>
  <c r="J641" i="31"/>
  <c r="J641" i="30"/>
  <c r="K641" s="1"/>
  <c r="J641" i="29"/>
  <c r="T87" i="31"/>
  <c r="H86"/>
  <c r="G86"/>
  <c r="S86" s="1"/>
  <c r="S87"/>
  <c r="I776" i="29"/>
  <c r="I775" s="1"/>
  <c r="I774" s="1"/>
  <c r="I773" s="1"/>
  <c r="I714"/>
  <c r="I713" s="1"/>
  <c r="O659"/>
  <c r="I658"/>
  <c r="G1494" i="11"/>
  <c r="J1495" i="31"/>
  <c r="J1495" i="30"/>
  <c r="J1495" i="29"/>
  <c r="H1500" i="11"/>
  <c r="L1501" i="31"/>
  <c r="L1501" i="30"/>
  <c r="L1501" i="29"/>
  <c r="H227" i="11"/>
  <c r="L228" i="31"/>
  <c r="L228" i="30"/>
  <c r="L228" i="29"/>
  <c r="H228" s="1"/>
  <c r="J246" i="31"/>
  <c r="J246" i="30"/>
  <c r="J246" i="29"/>
  <c r="I261" i="11"/>
  <c r="N262" i="31"/>
  <c r="N262" i="30"/>
  <c r="N262" i="29"/>
  <c r="H657" i="11"/>
  <c r="G760"/>
  <c r="K349" i="31"/>
  <c r="O310" i="30"/>
  <c r="I309"/>
  <c r="I308" s="1"/>
  <c r="J791" i="31"/>
  <c r="J791" i="30"/>
  <c r="K791" s="1"/>
  <c r="J791" i="29"/>
  <c r="N763" i="31"/>
  <c r="N763" i="30"/>
  <c r="N763" i="29"/>
  <c r="O763" s="1"/>
  <c r="L746" i="31"/>
  <c r="L746" i="30"/>
  <c r="L746" i="29"/>
  <c r="J725" i="31"/>
  <c r="K725" s="1"/>
  <c r="J725" i="30"/>
  <c r="J725" i="29"/>
  <c r="N699" i="31"/>
  <c r="N699" i="30"/>
  <c r="N699" i="29"/>
  <c r="L674" i="31"/>
  <c r="L674" i="30"/>
  <c r="L674" i="29"/>
  <c r="L658" i="31"/>
  <c r="L658" i="30"/>
  <c r="L658" i="29"/>
  <c r="I823" i="31"/>
  <c r="I814" s="1"/>
  <c r="I772" i="29"/>
  <c r="I771" s="1"/>
  <c r="I770" s="1"/>
  <c r="I769" s="1"/>
  <c r="O772"/>
  <c r="I745"/>
  <c r="I744" s="1"/>
  <c r="G700"/>
  <c r="G699" s="1"/>
  <c r="G698" s="1"/>
  <c r="G697" s="1"/>
  <c r="G696" s="1"/>
  <c r="G695" s="1"/>
  <c r="I665"/>
  <c r="I664" s="1"/>
  <c r="I663" s="1"/>
  <c r="I662" s="1"/>
  <c r="H762" i="31"/>
  <c r="H761" s="1"/>
  <c r="M762"/>
  <c r="O661"/>
  <c r="I661"/>
  <c r="I660" s="1"/>
  <c r="G780"/>
  <c r="G779" s="1"/>
  <c r="G778" s="1"/>
  <c r="G777" s="1"/>
  <c r="G679"/>
  <c r="G678" s="1"/>
  <c r="G677" s="1"/>
  <c r="G676" s="1"/>
  <c r="O78" i="29"/>
  <c r="L725" i="31"/>
  <c r="M725" s="1"/>
  <c r="L725" i="30"/>
  <c r="L725" i="29"/>
  <c r="M725" s="1"/>
  <c r="G776" i="30"/>
  <c r="G775" s="1"/>
  <c r="G774" s="1"/>
  <c r="G773" s="1"/>
  <c r="I755"/>
  <c r="I754" s="1"/>
  <c r="I753" s="1"/>
  <c r="H738"/>
  <c r="H737" s="1"/>
  <c r="M738"/>
  <c r="G714"/>
  <c r="G713" s="1"/>
  <c r="I685"/>
  <c r="I684" s="1"/>
  <c r="H644" i="31"/>
  <c r="H643" s="1"/>
  <c r="G738" i="29"/>
  <c r="G737" s="1"/>
  <c r="G736" s="1"/>
  <c r="G735" s="1"/>
  <c r="G734" s="1"/>
  <c r="O673"/>
  <c r="I672"/>
  <c r="L729" i="31"/>
  <c r="L729" i="29"/>
  <c r="M729" s="1"/>
  <c r="L729" i="30"/>
  <c r="M729" s="1"/>
  <c r="I758"/>
  <c r="I757" s="1"/>
  <c r="I756" s="1"/>
  <c r="G718"/>
  <c r="G717" s="1"/>
  <c r="G716" s="1"/>
  <c r="G715" s="1"/>
  <c r="I669"/>
  <c r="I668" s="1"/>
  <c r="I667" s="1"/>
  <c r="I666" s="1"/>
  <c r="H792" i="31"/>
  <c r="H791" s="1"/>
  <c r="H790" s="1"/>
  <c r="H789" s="1"/>
  <c r="H788" s="1"/>
  <c r="H787" s="1"/>
  <c r="G740"/>
  <c r="G739" s="1"/>
  <c r="K740"/>
  <c r="I675"/>
  <c r="I674" s="1"/>
  <c r="U45" i="30"/>
  <c r="I44"/>
  <c r="H772" i="29"/>
  <c r="H771" s="1"/>
  <c r="H770" s="1"/>
  <c r="H769" s="1"/>
  <c r="G755"/>
  <c r="G754" s="1"/>
  <c r="G753" s="1"/>
  <c r="I730"/>
  <c r="I729" s="1"/>
  <c r="I728" s="1"/>
  <c r="I727" s="1"/>
  <c r="O730"/>
  <c r="H710"/>
  <c r="H709" s="1"/>
  <c r="G685"/>
  <c r="G684" s="1"/>
  <c r="K685"/>
  <c r="G665"/>
  <c r="G664" s="1"/>
  <c r="G663" s="1"/>
  <c r="G662" s="1"/>
  <c r="O642"/>
  <c r="I641"/>
  <c r="O641" s="1"/>
  <c r="U99" i="31"/>
  <c r="G772" i="29"/>
  <c r="G771" s="1"/>
  <c r="G770" s="1"/>
  <c r="G769" s="1"/>
  <c r="G745" i="30"/>
  <c r="G744" s="1"/>
  <c r="H693" i="29"/>
  <c r="H692" s="1"/>
  <c r="H691" s="1"/>
  <c r="H690" s="1"/>
  <c r="H689" s="1"/>
  <c r="H688" s="1"/>
  <c r="G654"/>
  <c r="G653" s="1"/>
  <c r="J660" i="31"/>
  <c r="J660" i="30"/>
  <c r="K660" s="1"/>
  <c r="J660" i="29"/>
  <c r="U79" i="31"/>
  <c r="I78"/>
  <c r="U91"/>
  <c r="I90"/>
  <c r="L767"/>
  <c r="L767" i="30"/>
  <c r="L767" i="29"/>
  <c r="M767" s="1"/>
  <c r="K97" i="31"/>
  <c r="S97"/>
  <c r="G93"/>
  <c r="G20"/>
  <c r="S20" s="1"/>
  <c r="S21"/>
  <c r="J761"/>
  <c r="J761" i="30"/>
  <c r="K761" s="1"/>
  <c r="J761" i="29"/>
  <c r="K761" s="1"/>
  <c r="N739" i="31"/>
  <c r="O739" s="1"/>
  <c r="N739" i="30"/>
  <c r="N739" i="29"/>
  <c r="L717" i="31"/>
  <c r="L717" i="29"/>
  <c r="M717" s="1"/>
  <c r="L717" i="30"/>
  <c r="J692" i="31"/>
  <c r="J692" i="30"/>
  <c r="K692" s="1"/>
  <c r="J692" i="29"/>
  <c r="I652"/>
  <c r="I651" s="1"/>
  <c r="O796" i="31"/>
  <c r="G52" i="30"/>
  <c r="S53"/>
  <c r="M310" i="29"/>
  <c r="H309"/>
  <c r="H308" s="1"/>
  <c r="M79" i="31"/>
  <c r="I776" i="30"/>
  <c r="I775" s="1"/>
  <c r="I774" s="1"/>
  <c r="I773" s="1"/>
  <c r="O714"/>
  <c r="I713"/>
  <c r="I659"/>
  <c r="I658" s="1"/>
  <c r="O659"/>
  <c r="H1496" i="11"/>
  <c r="L1497" i="31"/>
  <c r="L1497" i="30"/>
  <c r="L1497" i="29"/>
  <c r="H253" i="11"/>
  <c r="L254" i="31"/>
  <c r="L254" i="30"/>
  <c r="L254" i="29"/>
  <c r="N737" i="31"/>
  <c r="N737" i="30"/>
  <c r="N737" i="29"/>
  <c r="N643" i="31"/>
  <c r="N643" i="30"/>
  <c r="N643" i="29"/>
  <c r="H786"/>
  <c r="H785" s="1"/>
  <c r="H784" s="1"/>
  <c r="H783" s="1"/>
  <c r="H782" s="1"/>
  <c r="H781" s="1"/>
  <c r="M786"/>
  <c r="G747" i="30"/>
  <c r="G746" s="1"/>
  <c r="K746" s="1"/>
  <c r="G659" i="31"/>
  <c r="G658" s="1"/>
  <c r="I687" i="30"/>
  <c r="I686" s="1"/>
  <c r="H745"/>
  <c r="H744" s="1"/>
  <c r="H743" s="1"/>
  <c r="H742" s="1"/>
  <c r="H673" i="29"/>
  <c r="H672" s="1"/>
  <c r="H671" s="1"/>
  <c r="H670" s="1"/>
  <c r="H687" i="30"/>
  <c r="H686" s="1"/>
  <c r="I1496" i="11"/>
  <c r="N1497" i="31"/>
  <c r="I1497" s="1"/>
  <c r="N1497" i="30"/>
  <c r="N1497" i="29"/>
  <c r="H638" i="11"/>
  <c r="L639" i="31"/>
  <c r="L639" i="30"/>
  <c r="L639" i="29"/>
  <c r="G77" i="30"/>
  <c r="G76" s="1"/>
  <c r="G75" s="1"/>
  <c r="I1500" i="11"/>
  <c r="N1501" i="31"/>
  <c r="N1501" i="30"/>
  <c r="N1501" i="29"/>
  <c r="G227" i="11"/>
  <c r="J228" i="31"/>
  <c r="J228" i="30"/>
  <c r="J228" i="29"/>
  <c r="I236" i="11"/>
  <c r="N237" i="31"/>
  <c r="N237" i="30"/>
  <c r="N237" i="29"/>
  <c r="L671" i="31"/>
  <c r="L671" i="30"/>
  <c r="L671" i="29"/>
  <c r="G792" i="31"/>
  <c r="G791" s="1"/>
  <c r="G790" s="1"/>
  <c r="G789" s="1"/>
  <c r="G788" s="1"/>
  <c r="G787" s="1"/>
  <c r="G726"/>
  <c r="G725" s="1"/>
  <c r="G724" s="1"/>
  <c r="G723" s="1"/>
  <c r="I661" i="29"/>
  <c r="I660" s="1"/>
  <c r="H1494" i="11"/>
  <c r="L1495" i="31"/>
  <c r="L1495" i="30"/>
  <c r="L1495" i="29"/>
  <c r="I227" i="11"/>
  <c r="N228" i="31"/>
  <c r="N228" i="30"/>
  <c r="N228" i="29"/>
  <c r="H683" i="11"/>
  <c r="O195" i="30"/>
  <c r="H776" i="29"/>
  <c r="H775" s="1"/>
  <c r="H774" s="1"/>
  <c r="H773" s="1"/>
  <c r="M776"/>
  <c r="O738"/>
  <c r="I737"/>
  <c r="G687"/>
  <c r="G686" s="1"/>
  <c r="I644"/>
  <c r="I643" s="1"/>
  <c r="I745" i="30"/>
  <c r="I744" s="1"/>
  <c r="I743" s="1"/>
  <c r="I742" s="1"/>
  <c r="G700"/>
  <c r="G699" s="1"/>
  <c r="G698" s="1"/>
  <c r="G697" s="1"/>
  <c r="G696" s="1"/>
  <c r="G695" s="1"/>
  <c r="I665"/>
  <c r="I664" s="1"/>
  <c r="I663" s="1"/>
  <c r="I662" s="1"/>
  <c r="L761" i="31"/>
  <c r="M761" s="1"/>
  <c r="L761" i="30"/>
  <c r="L761" i="29"/>
  <c r="N660" i="31"/>
  <c r="O660" s="1"/>
  <c r="N660" i="30"/>
  <c r="N660" i="29"/>
  <c r="J779" i="31"/>
  <c r="K779" s="1"/>
  <c r="J779" i="30"/>
  <c r="J779" i="29"/>
  <c r="K779" s="1"/>
  <c r="J678" i="31"/>
  <c r="J678" i="30"/>
  <c r="J678" i="29"/>
  <c r="K678" s="1"/>
  <c r="G652"/>
  <c r="G651" s="1"/>
  <c r="M87"/>
  <c r="G776" i="31"/>
  <c r="G775" s="1"/>
  <c r="G774" s="1"/>
  <c r="G773" s="1"/>
  <c r="H738"/>
  <c r="H737" s="1"/>
  <c r="G714"/>
  <c r="G713" s="1"/>
  <c r="I685"/>
  <c r="I684" s="1"/>
  <c r="L643"/>
  <c r="M643" s="1"/>
  <c r="L643" i="30"/>
  <c r="L643" i="29"/>
  <c r="I673" i="30"/>
  <c r="I672" s="1"/>
  <c r="I671" s="1"/>
  <c r="I670" s="1"/>
  <c r="I758" i="31"/>
  <c r="I757" s="1"/>
  <c r="I756" s="1"/>
  <c r="L791"/>
  <c r="L791" i="30"/>
  <c r="L791" i="29"/>
  <c r="M791" s="1"/>
  <c r="J739" i="31"/>
  <c r="J739" i="30"/>
  <c r="J739" i="29"/>
  <c r="K739" s="1"/>
  <c r="H772" i="30"/>
  <c r="H771" s="1"/>
  <c r="H770" s="1"/>
  <c r="H769" s="1"/>
  <c r="G755"/>
  <c r="G754" s="1"/>
  <c r="G753" s="1"/>
  <c r="H710"/>
  <c r="H709" s="1"/>
  <c r="G665"/>
  <c r="G664" s="1"/>
  <c r="G663" s="1"/>
  <c r="G662" s="1"/>
  <c r="K665"/>
  <c r="M349"/>
  <c r="I124" i="29"/>
  <c r="K745"/>
  <c r="G744"/>
  <c r="G654" i="30"/>
  <c r="G653" s="1"/>
  <c r="K21"/>
  <c r="I20"/>
  <c r="U21"/>
  <c r="G730" i="29"/>
  <c r="G729" s="1"/>
  <c r="G728" s="1"/>
  <c r="G727" s="1"/>
  <c r="K730"/>
  <c r="I706" i="30"/>
  <c r="I705" s="1"/>
  <c r="I704" s="1"/>
  <c r="I703" s="1"/>
  <c r="I652"/>
  <c r="I651" s="1"/>
  <c r="I776" i="31"/>
  <c r="I775" s="1"/>
  <c r="I774" s="1"/>
  <c r="I773" s="1"/>
  <c r="I714"/>
  <c r="I713" s="1"/>
  <c r="I1494" i="11"/>
  <c r="N1495" i="31"/>
  <c r="N1495" i="30"/>
  <c r="N1495" i="29"/>
  <c r="I1495" s="1"/>
  <c r="H776" i="30"/>
  <c r="H775" s="1"/>
  <c r="H774" s="1"/>
  <c r="H773" s="1"/>
  <c r="G758"/>
  <c r="G757" s="1"/>
  <c r="G756" s="1"/>
  <c r="O738"/>
  <c r="I737"/>
  <c r="M714"/>
  <c r="H713"/>
  <c r="G687"/>
  <c r="G686" s="1"/>
  <c r="G669"/>
  <c r="G668" s="1"/>
  <c r="G667" s="1"/>
  <c r="G666" s="1"/>
  <c r="I644"/>
  <c r="I643" s="1"/>
  <c r="O97" i="31"/>
  <c r="I772"/>
  <c r="I771" s="1"/>
  <c r="I770" s="1"/>
  <c r="I769" s="1"/>
  <c r="O772"/>
  <c r="I745"/>
  <c r="I744" s="1"/>
  <c r="I743" s="1"/>
  <c r="I742" s="1"/>
  <c r="O745"/>
  <c r="G700"/>
  <c r="G699" s="1"/>
  <c r="G698" s="1"/>
  <c r="G697" s="1"/>
  <c r="G696" s="1"/>
  <c r="G695" s="1"/>
  <c r="I665"/>
  <c r="I664" s="1"/>
  <c r="I663" s="1"/>
  <c r="I662" s="1"/>
  <c r="K84"/>
  <c r="K710" i="29"/>
  <c r="G709"/>
  <c r="I726"/>
  <c r="I725" s="1"/>
  <c r="I724" s="1"/>
  <c r="I723" s="1"/>
  <c r="O726"/>
  <c r="O78" i="31"/>
  <c r="G652" i="30"/>
  <c r="G651" s="1"/>
  <c r="J775" i="31"/>
  <c r="J775" i="30"/>
  <c r="J775" i="29"/>
  <c r="N754" i="31"/>
  <c r="O754" s="1"/>
  <c r="N754" i="30"/>
  <c r="N754" i="29"/>
  <c r="L737" i="31"/>
  <c r="L737" i="30"/>
  <c r="L737" i="29"/>
  <c r="J713" i="31"/>
  <c r="K713" s="1"/>
  <c r="J713" i="30"/>
  <c r="J713" i="29"/>
  <c r="I683" i="11"/>
  <c r="N684" i="31"/>
  <c r="O684" s="1"/>
  <c r="N684" i="30"/>
  <c r="O684" s="1"/>
  <c r="N684" i="29"/>
  <c r="G659"/>
  <c r="G658" s="1"/>
  <c r="G738" i="31"/>
  <c r="G737" s="1"/>
  <c r="I673"/>
  <c r="I672" s="1"/>
  <c r="I671" s="1"/>
  <c r="I670" s="1"/>
  <c r="O673"/>
  <c r="N757"/>
  <c r="N757" i="29"/>
  <c r="N757" i="30"/>
  <c r="J717" i="31"/>
  <c r="J717" i="30"/>
  <c r="K717" s="1"/>
  <c r="J717" i="29"/>
  <c r="K717" s="1"/>
  <c r="N668" i="31"/>
  <c r="N668" i="30"/>
  <c r="O668" s="1"/>
  <c r="N668" i="29"/>
  <c r="O668" s="1"/>
  <c r="G823" i="31"/>
  <c r="G814" s="1"/>
  <c r="H758" i="29"/>
  <c r="H757" s="1"/>
  <c r="H756" s="1"/>
  <c r="G706"/>
  <c r="G705" s="1"/>
  <c r="G704" s="1"/>
  <c r="G703" s="1"/>
  <c r="K195"/>
  <c r="H772" i="31"/>
  <c r="H771" s="1"/>
  <c r="H770" s="1"/>
  <c r="H769" s="1"/>
  <c r="G755"/>
  <c r="G754" s="1"/>
  <c r="G753" s="1"/>
  <c r="K755"/>
  <c r="O730"/>
  <c r="I730"/>
  <c r="I729" s="1"/>
  <c r="I728" s="1"/>
  <c r="I727" s="1"/>
  <c r="H710"/>
  <c r="H709" s="1"/>
  <c r="G685"/>
  <c r="G684" s="1"/>
  <c r="G665"/>
  <c r="G664" s="1"/>
  <c r="G663" s="1"/>
  <c r="G662" s="1"/>
  <c r="I642"/>
  <c r="I641" s="1"/>
  <c r="O53" i="30"/>
  <c r="O148" i="31"/>
  <c r="G772"/>
  <c r="G771" s="1"/>
  <c r="G770" s="1"/>
  <c r="G769" s="1"/>
  <c r="G745"/>
  <c r="G744" s="1"/>
  <c r="K745"/>
  <c r="H693"/>
  <c r="H692" s="1"/>
  <c r="H691" s="1"/>
  <c r="H690" s="1"/>
  <c r="H689" s="1"/>
  <c r="H688" s="1"/>
  <c r="G654"/>
  <c r="G653" s="1"/>
  <c r="M706" i="30"/>
  <c r="H705"/>
  <c r="H704" s="1"/>
  <c r="H703" s="1"/>
  <c r="H669"/>
  <c r="H668" s="1"/>
  <c r="H667" s="1"/>
  <c r="H666" s="1"/>
  <c r="H751"/>
  <c r="H750" s="1"/>
  <c r="H749" s="1"/>
  <c r="H748" s="1"/>
  <c r="G730"/>
  <c r="G729" s="1"/>
  <c r="G728" s="1"/>
  <c r="G727" s="1"/>
  <c r="I706" i="29"/>
  <c r="I705" s="1"/>
  <c r="O706"/>
  <c r="I652" i="31"/>
  <c r="I651" s="1"/>
  <c r="O281" i="30"/>
  <c r="H740"/>
  <c r="H739" s="1"/>
  <c r="N775" i="31"/>
  <c r="N775" i="30"/>
  <c r="O775" s="1"/>
  <c r="N775" i="29"/>
  <c r="O775" s="1"/>
  <c r="N713" i="31"/>
  <c r="N713" i="29"/>
  <c r="O713" s="1"/>
  <c r="N713" i="30"/>
  <c r="N658" i="31"/>
  <c r="N658" i="30"/>
  <c r="N658" i="29"/>
  <c r="L775" i="31"/>
  <c r="L775" i="30"/>
  <c r="L775" i="29"/>
  <c r="J686" i="31"/>
  <c r="J686" i="30"/>
  <c r="J686" i="29"/>
  <c r="M755"/>
  <c r="H754"/>
  <c r="H753" s="1"/>
  <c r="H752" s="1"/>
  <c r="I654"/>
  <c r="I653" s="1"/>
  <c r="I726" i="31"/>
  <c r="I725" s="1"/>
  <c r="I724" s="1"/>
  <c r="I723" s="1"/>
  <c r="J651"/>
  <c r="J651" i="30"/>
  <c r="K651" s="1"/>
  <c r="J651" i="29"/>
  <c r="K651" s="1"/>
  <c r="I786" i="30"/>
  <c r="I785" s="1"/>
  <c r="I784" s="1"/>
  <c r="I783" s="1"/>
  <c r="I782" s="1"/>
  <c r="I781" s="1"/>
  <c r="I722"/>
  <c r="I721" s="1"/>
  <c r="I720" s="1"/>
  <c r="I719" s="1"/>
  <c r="G764" i="29"/>
  <c r="G763" s="1"/>
  <c r="G760" s="1"/>
  <c r="G759" s="1"/>
  <c r="H642"/>
  <c r="H641" s="1"/>
  <c r="G722"/>
  <c r="G721" s="1"/>
  <c r="G720" s="1"/>
  <c r="G719" s="1"/>
  <c r="K722"/>
  <c r="I751"/>
  <c r="I750" s="1"/>
  <c r="I749" s="1"/>
  <c r="I748" s="1"/>
  <c r="L705" i="31"/>
  <c r="L705" i="30"/>
  <c r="L705" i="29"/>
  <c r="N705" i="31"/>
  <c r="N705" i="30"/>
  <c r="N705" i="29"/>
  <c r="I253" i="11"/>
  <c r="N254" i="31"/>
  <c r="I254" s="1"/>
  <c r="N254" i="29"/>
  <c r="N254" i="30"/>
  <c r="H747" i="29"/>
  <c r="H746" s="1"/>
  <c r="H659"/>
  <c r="H658" s="1"/>
  <c r="H1491" i="11"/>
  <c r="L1492" i="31"/>
  <c r="L1492" i="30"/>
  <c r="L1492" i="29"/>
  <c r="N657" i="31"/>
  <c r="N657" i="29"/>
  <c r="N657" i="30"/>
  <c r="I764" i="31"/>
  <c r="I763" s="1"/>
  <c r="I760" s="1"/>
  <c r="I759" s="1"/>
  <c r="H675"/>
  <c r="H674" s="1"/>
  <c r="M762" i="30"/>
  <c r="H761"/>
  <c r="I218" i="11"/>
  <c r="N219" i="31"/>
  <c r="I219" s="1"/>
  <c r="I218" s="1"/>
  <c r="I217" s="1"/>
  <c r="I216" s="1"/>
  <c r="N219" i="29"/>
  <c r="I219" s="1"/>
  <c r="I218" s="1"/>
  <c r="I217" s="1"/>
  <c r="I216" s="1"/>
  <c r="N219" i="30"/>
  <c r="I219" s="1"/>
  <c r="I218" s="1"/>
  <c r="I217" s="1"/>
  <c r="I216" s="1"/>
  <c r="L246" i="31"/>
  <c r="L246" i="30"/>
  <c r="L246" i="29"/>
  <c r="H246" s="1"/>
  <c r="M246" s="1"/>
  <c r="G268" i="11"/>
  <c r="J269" i="31"/>
  <c r="J269" i="30"/>
  <c r="J269" i="29"/>
  <c r="I324" i="31"/>
  <c r="I323" s="1"/>
  <c r="G758" i="29"/>
  <c r="G757" s="1"/>
  <c r="G756" s="1"/>
  <c r="K758"/>
  <c r="H714"/>
  <c r="H713" s="1"/>
  <c r="M713" s="1"/>
  <c r="G669"/>
  <c r="G668" s="1"/>
  <c r="G667" s="1"/>
  <c r="G666" s="1"/>
  <c r="H823" i="30"/>
  <c r="H814" s="1"/>
  <c r="I772"/>
  <c r="I771" s="1"/>
  <c r="I770" s="1"/>
  <c r="I769" s="1"/>
  <c r="O772"/>
  <c r="I755" i="31"/>
  <c r="I754" s="1"/>
  <c r="I753" s="1"/>
  <c r="G738" i="30"/>
  <c r="G737" s="1"/>
  <c r="H794"/>
  <c r="H793" s="1"/>
  <c r="K718" i="31"/>
  <c r="G718"/>
  <c r="G717" s="1"/>
  <c r="G716" s="1"/>
  <c r="G715" s="1"/>
  <c r="I669"/>
  <c r="I668" s="1"/>
  <c r="I667" s="1"/>
  <c r="I666" s="1"/>
  <c r="N674"/>
  <c r="N674" i="30"/>
  <c r="N674" i="29"/>
  <c r="O730" i="30"/>
  <c r="I729"/>
  <c r="I728" s="1"/>
  <c r="I727" s="1"/>
  <c r="G685"/>
  <c r="G684" s="1"/>
  <c r="I642"/>
  <c r="I641" s="1"/>
  <c r="I77" i="29"/>
  <c r="I76" s="1"/>
  <c r="I75" s="1"/>
  <c r="G772" i="30"/>
  <c r="G771" s="1"/>
  <c r="G770" s="1"/>
  <c r="G769" s="1"/>
  <c r="H693"/>
  <c r="H692" s="1"/>
  <c r="M693"/>
  <c r="H706" i="29"/>
  <c r="H705" s="1"/>
  <c r="H704" s="1"/>
  <c r="H703" s="1"/>
  <c r="H669"/>
  <c r="H668" s="1"/>
  <c r="H667" s="1"/>
  <c r="H666" s="1"/>
  <c r="U10" i="31"/>
  <c r="H751" i="29"/>
  <c r="H750" s="1"/>
  <c r="M740"/>
  <c r="H739"/>
  <c r="I659" i="31"/>
  <c r="I658" s="1"/>
  <c r="I657" s="1"/>
  <c r="I656" s="1"/>
  <c r="I655" s="1"/>
  <c r="J218"/>
  <c r="K218" s="1"/>
  <c r="J218" i="30"/>
  <c r="K218" s="1"/>
  <c r="J218" i="29"/>
  <c r="K218" s="1"/>
  <c r="G232" i="11"/>
  <c r="J233" i="31"/>
  <c r="J233" i="30"/>
  <c r="J233" i="29"/>
  <c r="G233" s="1"/>
  <c r="N246" i="31"/>
  <c r="N246" i="30"/>
  <c r="N246" i="29"/>
  <c r="H268" i="11"/>
  <c r="L269" i="31"/>
  <c r="L269" i="30"/>
  <c r="L269" i="29"/>
  <c r="G1496" i="11"/>
  <c r="J1497" i="31"/>
  <c r="J1497" i="30"/>
  <c r="J1497" i="29"/>
  <c r="L218" i="31"/>
  <c r="M218" s="1"/>
  <c r="L218" i="30"/>
  <c r="M218" s="1"/>
  <c r="L218" i="29"/>
  <c r="M218" s="1"/>
  <c r="H232" i="11"/>
  <c r="L233" i="31"/>
  <c r="L233" i="30"/>
  <c r="L233" i="29"/>
  <c r="G253" i="11"/>
  <c r="J254" i="31"/>
  <c r="J254" i="29"/>
  <c r="G254" s="1"/>
  <c r="J254" i="30"/>
  <c r="I268" i="11"/>
  <c r="N269" i="31"/>
  <c r="N269" i="30"/>
  <c r="N269" i="29"/>
  <c r="I760" i="11"/>
  <c r="S46" i="30"/>
  <c r="G45"/>
  <c r="H776" i="31"/>
  <c r="H775" s="1"/>
  <c r="H774" s="1"/>
  <c r="H773" s="1"/>
  <c r="G758"/>
  <c r="G757" s="1"/>
  <c r="G756" s="1"/>
  <c r="I738"/>
  <c r="I737" s="1"/>
  <c r="I736" s="1"/>
  <c r="I735" s="1"/>
  <c r="I734" s="1"/>
  <c r="H714"/>
  <c r="H713" s="1"/>
  <c r="G687"/>
  <c r="G686" s="1"/>
  <c r="K687"/>
  <c r="G669"/>
  <c r="G668" s="1"/>
  <c r="G667" s="1"/>
  <c r="G666" s="1"/>
  <c r="I644"/>
  <c r="I643" s="1"/>
  <c r="H134" i="29"/>
  <c r="H124" s="1"/>
  <c r="N771" i="31"/>
  <c r="O771" s="1"/>
  <c r="N771" i="30"/>
  <c r="O771" s="1"/>
  <c r="N771" i="29"/>
  <c r="O771" s="1"/>
  <c r="N744" i="31"/>
  <c r="N744" i="30"/>
  <c r="N744" i="29"/>
  <c r="J699" i="31"/>
  <c r="K699" s="1"/>
  <c r="J699" i="30"/>
  <c r="K699" s="1"/>
  <c r="J699" i="29"/>
  <c r="N664" i="31"/>
  <c r="N664" i="30"/>
  <c r="N664" i="29"/>
  <c r="G710" i="30"/>
  <c r="G709" s="1"/>
  <c r="K710"/>
  <c r="I726"/>
  <c r="I725" s="1"/>
  <c r="I724" s="1"/>
  <c r="I723" s="1"/>
  <c r="O726"/>
  <c r="H297"/>
  <c r="H296" s="1"/>
  <c r="G652" i="31"/>
  <c r="G651" s="1"/>
  <c r="O786" i="29"/>
  <c r="I785"/>
  <c r="I784" s="1"/>
  <c r="I783" s="1"/>
  <c r="I782" s="1"/>
  <c r="I781" s="1"/>
  <c r="H764"/>
  <c r="H763" s="1"/>
  <c r="G747"/>
  <c r="G746" s="1"/>
  <c r="K747"/>
  <c r="I722"/>
  <c r="I721" s="1"/>
  <c r="I720" s="1"/>
  <c r="I719" s="1"/>
  <c r="H700"/>
  <c r="H699" s="1"/>
  <c r="H698" s="1"/>
  <c r="G675"/>
  <c r="G674" s="1"/>
  <c r="G659" i="30"/>
  <c r="G658" s="1"/>
  <c r="K659"/>
  <c r="J737" i="31"/>
  <c r="J737" i="30"/>
  <c r="K737" s="1"/>
  <c r="J737" i="29"/>
  <c r="N672" i="31"/>
  <c r="O672" s="1"/>
  <c r="N672" i="30"/>
  <c r="N672" i="29"/>
  <c r="O792"/>
  <c r="I791"/>
  <c r="I790" s="1"/>
  <c r="I789" s="1"/>
  <c r="I788" s="1"/>
  <c r="I787" s="1"/>
  <c r="G751"/>
  <c r="G750" s="1"/>
  <c r="G749" s="1"/>
  <c r="G748" s="1"/>
  <c r="O687"/>
  <c r="I686"/>
  <c r="O686" s="1"/>
  <c r="M652"/>
  <c r="H651"/>
  <c r="T21" i="30"/>
  <c r="H20"/>
  <c r="H758"/>
  <c r="H757" s="1"/>
  <c r="H756" s="1"/>
  <c r="G706"/>
  <c r="G705" s="1"/>
  <c r="G704" s="1"/>
  <c r="G703" s="1"/>
  <c r="K15" i="31"/>
  <c r="L771"/>
  <c r="L771" i="30"/>
  <c r="M771" s="1"/>
  <c r="L771" i="29"/>
  <c r="J754" i="31"/>
  <c r="J754" i="30"/>
  <c r="J754" i="29"/>
  <c r="N729" i="31"/>
  <c r="O729" s="1"/>
  <c r="N729" i="30"/>
  <c r="N729" i="29"/>
  <c r="O729" s="1"/>
  <c r="L709" i="31"/>
  <c r="M709" s="1"/>
  <c r="L709" i="30"/>
  <c r="M709" s="1"/>
  <c r="L709" i="29"/>
  <c r="J684" i="31"/>
  <c r="J684" i="30"/>
  <c r="K684" s="1"/>
  <c r="J684" i="29"/>
  <c r="K684" s="1"/>
  <c r="J664" i="31"/>
  <c r="K664" s="1"/>
  <c r="J664" i="30"/>
  <c r="K664" s="1"/>
  <c r="J664" i="29"/>
  <c r="N641" i="31"/>
  <c r="N641" i="30"/>
  <c r="O641" s="1"/>
  <c r="N641" i="29"/>
  <c r="T21" i="31"/>
  <c r="H20"/>
  <c r="T20" s="1"/>
  <c r="J771"/>
  <c r="K771" s="1"/>
  <c r="J771" i="30"/>
  <c r="K771" s="1"/>
  <c r="J771" i="29"/>
  <c r="J744" i="31"/>
  <c r="J744" i="30"/>
  <c r="K744" s="1"/>
  <c r="J744" i="29"/>
  <c r="L692" i="31"/>
  <c r="M692" s="1"/>
  <c r="L692" i="30"/>
  <c r="L692" i="29"/>
  <c r="M692" s="1"/>
  <c r="J653" i="31"/>
  <c r="K653" s="1"/>
  <c r="J653" i="30"/>
  <c r="J653" i="29"/>
  <c r="H706" i="31"/>
  <c r="H705" s="1"/>
  <c r="H704" s="1"/>
  <c r="H703" s="1"/>
  <c r="I20"/>
  <c r="U20" s="1"/>
  <c r="U21"/>
  <c r="H669"/>
  <c r="H668" s="1"/>
  <c r="H667" s="1"/>
  <c r="H666" s="1"/>
  <c r="G277" i="30"/>
  <c r="G276" s="1"/>
  <c r="G275" s="1"/>
  <c r="H751" i="31"/>
  <c r="H750" s="1"/>
  <c r="H749" s="1"/>
  <c r="H748" s="1"/>
  <c r="M751"/>
  <c r="G730"/>
  <c r="G729" s="1"/>
  <c r="G728" s="1"/>
  <c r="G727" s="1"/>
  <c r="K730"/>
  <c r="I706"/>
  <c r="I705" s="1"/>
  <c r="I704" s="1"/>
  <c r="I703" s="1"/>
  <c r="N651"/>
  <c r="N651" i="30"/>
  <c r="N651" i="29"/>
  <c r="O651" s="1"/>
  <c r="H159"/>
  <c r="H740" i="31"/>
  <c r="H739" s="1"/>
  <c r="M796" i="30"/>
  <c r="M87" i="31"/>
  <c r="I747" i="29"/>
  <c r="I746" s="1"/>
  <c r="O746" s="1"/>
  <c r="H687"/>
  <c r="H686" s="1"/>
  <c r="M687"/>
  <c r="I1490" i="11"/>
  <c r="I630"/>
  <c r="H630"/>
  <c r="G630"/>
  <c r="I627"/>
  <c r="H627"/>
  <c r="G627"/>
  <c r="I624"/>
  <c r="H624"/>
  <c r="G624"/>
  <c r="I621"/>
  <c r="H621"/>
  <c r="G621"/>
  <c r="I617"/>
  <c r="H617"/>
  <c r="G617"/>
  <c r="I615"/>
  <c r="H615"/>
  <c r="G615"/>
  <c r="H604"/>
  <c r="I604"/>
  <c r="G604"/>
  <c r="G600"/>
  <c r="H601"/>
  <c r="H596"/>
  <c r="I596"/>
  <c r="G596"/>
  <c r="I595"/>
  <c r="H595"/>
  <c r="G595"/>
  <c r="G591"/>
  <c r="H593"/>
  <c r="H592"/>
  <c r="I587"/>
  <c r="H587"/>
  <c r="G587"/>
  <c r="I581"/>
  <c r="H581"/>
  <c r="G581"/>
  <c r="I577"/>
  <c r="H577"/>
  <c r="G577"/>
  <c r="I575"/>
  <c r="H575"/>
  <c r="G575"/>
  <c r="I573"/>
  <c r="H573"/>
  <c r="G573"/>
  <c r="I569"/>
  <c r="H569"/>
  <c r="G569"/>
  <c r="I562"/>
  <c r="H562"/>
  <c r="G562"/>
  <c r="I556"/>
  <c r="H556"/>
  <c r="G556"/>
  <c r="I553"/>
  <c r="H553"/>
  <c r="G553"/>
  <c r="I546"/>
  <c r="H546"/>
  <c r="G546"/>
  <c r="I544"/>
  <c r="H544"/>
  <c r="G544"/>
  <c r="I538"/>
  <c r="H538"/>
  <c r="G538"/>
  <c r="I536"/>
  <c r="H536"/>
  <c r="G536"/>
  <c r="I529"/>
  <c r="H529"/>
  <c r="G529"/>
  <c r="I523"/>
  <c r="H523"/>
  <c r="G523"/>
  <c r="I521"/>
  <c r="H521"/>
  <c r="G521"/>
  <c r="I515"/>
  <c r="H515"/>
  <c r="G515"/>
  <c r="I510"/>
  <c r="H510"/>
  <c r="G510"/>
  <c r="I503"/>
  <c r="H504"/>
  <c r="G504"/>
  <c r="I499"/>
  <c r="H499"/>
  <c r="G499"/>
  <c r="I495"/>
  <c r="H495"/>
  <c r="G495"/>
  <c r="I493"/>
  <c r="H493"/>
  <c r="G493"/>
  <c r="I491"/>
  <c r="H491"/>
  <c r="G491"/>
  <c r="G487"/>
  <c r="H489"/>
  <c r="H488"/>
  <c r="I485"/>
  <c r="H485"/>
  <c r="G485"/>
  <c r="H481"/>
  <c r="I481"/>
  <c r="G481"/>
  <c r="I480"/>
  <c r="H480"/>
  <c r="G480"/>
  <c r="H476"/>
  <c r="I476"/>
  <c r="G476"/>
  <c r="I470"/>
  <c r="H470"/>
  <c r="G470"/>
  <c r="I464"/>
  <c r="H464"/>
  <c r="G464"/>
  <c r="I462"/>
  <c r="H462"/>
  <c r="G462"/>
  <c r="H455"/>
  <c r="I455"/>
  <c r="G456"/>
  <c r="I453"/>
  <c r="H453"/>
  <c r="G453"/>
  <c r="I449"/>
  <c r="H449"/>
  <c r="G449"/>
  <c r="I447"/>
  <c r="H447"/>
  <c r="G447"/>
  <c r="I445"/>
  <c r="H445"/>
  <c r="G445"/>
  <c r="I442"/>
  <c r="H442"/>
  <c r="G442"/>
  <c r="H438"/>
  <c r="I438"/>
  <c r="G438"/>
  <c r="K668" i="29" l="1"/>
  <c r="O644" i="31"/>
  <c r="M767" i="30"/>
  <c r="M684" i="29"/>
  <c r="M754" i="31"/>
  <c r="O693"/>
  <c r="M687"/>
  <c r="M757" i="30"/>
  <c r="H752"/>
  <c r="O747" i="29"/>
  <c r="M763"/>
  <c r="M751"/>
  <c r="K738" i="30"/>
  <c r="M659" i="29"/>
  <c r="O726" i="31"/>
  <c r="K654"/>
  <c r="K665"/>
  <c r="K713" i="30"/>
  <c r="K775" i="29"/>
  <c r="I736" i="30"/>
  <c r="I735" s="1"/>
  <c r="I734" s="1"/>
  <c r="K652" i="29"/>
  <c r="M745" i="30"/>
  <c r="M767" i="31"/>
  <c r="M772" i="29"/>
  <c r="M792" i="31"/>
  <c r="O699" i="29"/>
  <c r="K721" i="31"/>
  <c r="O675" i="30"/>
  <c r="K718" i="29"/>
  <c r="K673"/>
  <c r="M652" i="30"/>
  <c r="M686" i="31"/>
  <c r="G671"/>
  <c r="G670" s="1"/>
  <c r="K722"/>
  <c r="M651" i="30"/>
  <c r="O710" i="31"/>
  <c r="M747" i="30"/>
  <c r="O747" i="31"/>
  <c r="O693" i="30"/>
  <c r="O710"/>
  <c r="K675" i="31"/>
  <c r="K641" i="29"/>
  <c r="K658" i="31"/>
  <c r="M755"/>
  <c r="O729" i="30"/>
  <c r="O744" i="29"/>
  <c r="G752" i="31"/>
  <c r="K692"/>
  <c r="O744"/>
  <c r="I752"/>
  <c r="I683" i="29"/>
  <c r="I682" s="1"/>
  <c r="I681" s="1"/>
  <c r="I680" s="1"/>
  <c r="O706" i="31"/>
  <c r="K744" i="29"/>
  <c r="G657" i="30"/>
  <c r="G656" s="1"/>
  <c r="O664"/>
  <c r="K686" i="31"/>
  <c r="O642" i="30"/>
  <c r="O669" i="31"/>
  <c r="O705"/>
  <c r="O653" i="29"/>
  <c r="G657"/>
  <c r="G656" s="1"/>
  <c r="K775" i="31"/>
  <c r="O644" i="30"/>
  <c r="I683" i="31"/>
  <c r="I682" s="1"/>
  <c r="I681" s="1"/>
  <c r="I680" s="1"/>
  <c r="O687" i="30"/>
  <c r="M658" i="29"/>
  <c r="O699" i="31"/>
  <c r="M768"/>
  <c r="M672"/>
  <c r="I752" i="29"/>
  <c r="O718" i="31"/>
  <c r="K764"/>
  <c r="H683"/>
  <c r="H682" s="1"/>
  <c r="H681" s="1"/>
  <c r="H680" s="1"/>
  <c r="K792" i="30"/>
  <c r="K722"/>
  <c r="H9" i="31"/>
  <c r="H8" s="1"/>
  <c r="I650" i="30"/>
  <c r="I649" s="1"/>
  <c r="I648" s="1"/>
  <c r="M675" i="29"/>
  <c r="K786"/>
  <c r="M739"/>
  <c r="M686"/>
  <c r="G650" i="31"/>
  <c r="G649" s="1"/>
  <c r="G648" s="1"/>
  <c r="M705" i="29"/>
  <c r="O658"/>
  <c r="O775" i="31"/>
  <c r="M669" i="30"/>
  <c r="G743" i="31"/>
  <c r="G742" s="1"/>
  <c r="M758" i="29"/>
  <c r="K717" i="31"/>
  <c r="K700"/>
  <c r="O652" i="30"/>
  <c r="K654"/>
  <c r="M710"/>
  <c r="O685" i="31"/>
  <c r="K726"/>
  <c r="O643"/>
  <c r="O776" i="30"/>
  <c r="O652" i="29"/>
  <c r="O739"/>
  <c r="K772"/>
  <c r="M710"/>
  <c r="O758" i="30"/>
  <c r="O709"/>
  <c r="M721"/>
  <c r="M713"/>
  <c r="O746" i="31"/>
  <c r="O751"/>
  <c r="M642"/>
  <c r="K705" i="29"/>
  <c r="H650" i="31"/>
  <c r="H649" s="1"/>
  <c r="H648" s="1"/>
  <c r="M730" i="29"/>
  <c r="K757" i="31"/>
  <c r="O738"/>
  <c r="O737"/>
  <c r="O705" i="30"/>
  <c r="G736" i="31"/>
  <c r="G735" s="1"/>
  <c r="G734" s="1"/>
  <c r="K671"/>
  <c r="O641"/>
  <c r="M771" i="29"/>
  <c r="M714" i="31"/>
  <c r="M706" i="29"/>
  <c r="G683" i="30"/>
  <c r="G682" s="1"/>
  <c r="G681" s="1"/>
  <c r="G680" s="1"/>
  <c r="O706"/>
  <c r="M791" i="31"/>
  <c r="K792"/>
  <c r="K659"/>
  <c r="O739" i="30"/>
  <c r="I683"/>
  <c r="I682" s="1"/>
  <c r="I681" s="1"/>
  <c r="I680" s="1"/>
  <c r="K791" i="29"/>
  <c r="O692" i="30"/>
  <c r="O709" i="31"/>
  <c r="O755" i="29"/>
  <c r="M768" i="30"/>
  <c r="M673" i="31"/>
  <c r="O686"/>
  <c r="K780" i="29"/>
  <c r="O700" i="30"/>
  <c r="K661" i="29"/>
  <c r="O687" i="31"/>
  <c r="O725" i="29"/>
  <c r="O700"/>
  <c r="K729" i="31"/>
  <c r="L455"/>
  <c r="M455" s="1"/>
  <c r="L455" i="29"/>
  <c r="M455" s="1"/>
  <c r="L455" i="30"/>
  <c r="M455" s="1"/>
  <c r="H494" i="11"/>
  <c r="L495" i="31"/>
  <c r="L495" i="30"/>
  <c r="H495" s="1"/>
  <c r="L495" i="29"/>
  <c r="I555" i="11"/>
  <c r="N556" i="31"/>
  <c r="N556" i="30"/>
  <c r="N556" i="29"/>
  <c r="J600"/>
  <c r="K600" s="1"/>
  <c r="J600" i="31"/>
  <c r="K600" s="1"/>
  <c r="J600" i="30"/>
  <c r="K600" s="1"/>
  <c r="T20"/>
  <c r="O657" i="31"/>
  <c r="M775"/>
  <c r="I1495" i="30"/>
  <c r="I1494" s="1"/>
  <c r="I1501" i="31"/>
  <c r="I1500" s="1"/>
  <c r="I1499" s="1"/>
  <c r="H228"/>
  <c r="H227" s="1"/>
  <c r="H226" s="1"/>
  <c r="H225" s="1"/>
  <c r="M760" i="29"/>
  <c r="H759"/>
  <c r="O93" i="31"/>
  <c r="U93"/>
  <c r="T9"/>
  <c r="G561" i="11"/>
  <c r="J562" i="31"/>
  <c r="J562" i="30"/>
  <c r="J562" i="29"/>
  <c r="H269"/>
  <c r="H268" s="1"/>
  <c r="H267" s="1"/>
  <c r="H266" s="1"/>
  <c r="H265" s="1"/>
  <c r="H264" s="1"/>
  <c r="H263" s="1"/>
  <c r="H255" s="1"/>
  <c r="G233" i="30"/>
  <c r="G232" s="1"/>
  <c r="G231" s="1"/>
  <c r="G230" s="1"/>
  <c r="K233"/>
  <c r="H246"/>
  <c r="M246" s="1"/>
  <c r="H1492" i="29"/>
  <c r="H1491" s="1"/>
  <c r="O786" i="30"/>
  <c r="O705" i="29"/>
  <c r="I704"/>
  <c r="I703" s="1"/>
  <c r="I1495" i="31"/>
  <c r="I1494" s="1"/>
  <c r="O1494" s="1"/>
  <c r="M738"/>
  <c r="K678" i="30"/>
  <c r="M761" i="29"/>
  <c r="O745" i="30"/>
  <c r="H1495"/>
  <c r="H1494" s="1"/>
  <c r="M1494" s="1"/>
  <c r="N236" i="31"/>
  <c r="N236" i="30"/>
  <c r="O236" s="1"/>
  <c r="N236" i="29"/>
  <c r="N1500" i="31"/>
  <c r="N1500" i="30"/>
  <c r="N1500" i="29"/>
  <c r="I1497" i="30"/>
  <c r="I1496" s="1"/>
  <c r="H254" i="29"/>
  <c r="H253" s="1"/>
  <c r="H252" s="1"/>
  <c r="H251" s="1"/>
  <c r="H250" s="1"/>
  <c r="H249" s="1"/>
  <c r="H248" s="1"/>
  <c r="H247" s="1"/>
  <c r="K739" i="31"/>
  <c r="H736" i="30"/>
  <c r="H735" s="1"/>
  <c r="H734" s="1"/>
  <c r="H760" i="31"/>
  <c r="H759" s="1"/>
  <c r="M746" i="29"/>
  <c r="K791" i="31"/>
  <c r="I262"/>
  <c r="I261" s="1"/>
  <c r="I260" s="1"/>
  <c r="I259" s="1"/>
  <c r="I258" s="1"/>
  <c r="I257" s="1"/>
  <c r="I256" s="1"/>
  <c r="L227"/>
  <c r="M227" s="1"/>
  <c r="L227" i="30"/>
  <c r="L227" i="29"/>
  <c r="M227" s="1"/>
  <c r="J1494" i="31"/>
  <c r="J1494" i="30"/>
  <c r="J1494" i="29"/>
  <c r="K762" i="31"/>
  <c r="T78"/>
  <c r="H77"/>
  <c r="M78"/>
  <c r="M641" i="29"/>
  <c r="M644" i="30"/>
  <c r="M747" i="31"/>
  <c r="G1492" i="30"/>
  <c r="G1491" s="1"/>
  <c r="O791"/>
  <c r="K746" i="29"/>
  <c r="G262" i="30"/>
  <c r="G261" s="1"/>
  <c r="G260" s="1"/>
  <c r="K262"/>
  <c r="O224"/>
  <c r="I223"/>
  <c r="I222" s="1"/>
  <c r="I221" s="1"/>
  <c r="I1492"/>
  <c r="I1491" s="1"/>
  <c r="M660"/>
  <c r="M739" i="31"/>
  <c r="M668" i="29"/>
  <c r="K668" i="30"/>
  <c r="J638" i="31"/>
  <c r="J638" i="30"/>
  <c r="J638" i="29"/>
  <c r="G444" i="11"/>
  <c r="J445" i="31"/>
  <c r="J445" i="30"/>
  <c r="J445" i="29"/>
  <c r="I448" i="11"/>
  <c r="N449" i="31"/>
  <c r="N449" i="30"/>
  <c r="N449" i="29"/>
  <c r="I449" s="1"/>
  <c r="H461" i="11"/>
  <c r="L462" i="31"/>
  <c r="L462" i="30"/>
  <c r="L462" i="29"/>
  <c r="J476" i="31"/>
  <c r="K476" s="1"/>
  <c r="J476" i="30"/>
  <c r="K476" s="1"/>
  <c r="J476" i="29"/>
  <c r="K476" s="1"/>
  <c r="L481" i="31"/>
  <c r="M481" s="1"/>
  <c r="L481" i="30"/>
  <c r="M481" s="1"/>
  <c r="L481" i="29"/>
  <c r="M481" s="1"/>
  <c r="H490" i="11"/>
  <c r="L491" i="31"/>
  <c r="L491" i="30"/>
  <c r="L491" i="29"/>
  <c r="G498" i="11"/>
  <c r="J499" i="31"/>
  <c r="J499" i="30"/>
  <c r="J499" i="29"/>
  <c r="I509" i="11"/>
  <c r="N510" i="31"/>
  <c r="N510" i="30"/>
  <c r="N510" i="29"/>
  <c r="I510" s="1"/>
  <c r="H522" i="11"/>
  <c r="L523" i="31"/>
  <c r="L523" i="30"/>
  <c r="L523" i="29"/>
  <c r="H523" s="1"/>
  <c r="G537" i="11"/>
  <c r="G534" s="1"/>
  <c r="J538" i="31"/>
  <c r="J538" i="30"/>
  <c r="J538" i="29"/>
  <c r="I545" i="11"/>
  <c r="N546" i="31"/>
  <c r="N546" i="30"/>
  <c r="N546" i="29"/>
  <c r="H561" i="11"/>
  <c r="L562" i="31"/>
  <c r="L562" i="30"/>
  <c r="L562" i="29"/>
  <c r="H562" s="1"/>
  <c r="G574" i="11"/>
  <c r="J575" i="31"/>
  <c r="J575" i="30"/>
  <c r="J575" i="29"/>
  <c r="I580" i="11"/>
  <c r="N581" i="31"/>
  <c r="N581" i="29"/>
  <c r="N581" i="30"/>
  <c r="H594" i="11"/>
  <c r="L595" i="31"/>
  <c r="L595" i="29"/>
  <c r="L595" i="30"/>
  <c r="N604" i="31"/>
  <c r="O604" s="1"/>
  <c r="N604" i="30"/>
  <c r="O604" s="1"/>
  <c r="N604" i="29"/>
  <c r="O604" s="1"/>
  <c r="G620" i="11"/>
  <c r="J621" i="31"/>
  <c r="J621" i="30"/>
  <c r="J621" i="29"/>
  <c r="I626" i="11"/>
  <c r="N627" i="31"/>
  <c r="N627" i="30"/>
  <c r="N627" i="29"/>
  <c r="M771" i="31"/>
  <c r="M651" i="29"/>
  <c r="H650"/>
  <c r="H649" s="1"/>
  <c r="H648" s="1"/>
  <c r="K675"/>
  <c r="M764"/>
  <c r="K699"/>
  <c r="G254" i="30"/>
  <c r="G253" s="1"/>
  <c r="G252" s="1"/>
  <c r="H269"/>
  <c r="H268" s="1"/>
  <c r="H267" s="1"/>
  <c r="M269"/>
  <c r="G233" i="31"/>
  <c r="G232" s="1"/>
  <c r="G231" s="1"/>
  <c r="G230" s="1"/>
  <c r="M669" i="29"/>
  <c r="O674"/>
  <c r="G736" i="30"/>
  <c r="G735" s="1"/>
  <c r="G734" s="1"/>
  <c r="H246" i="31"/>
  <c r="M246" s="1"/>
  <c r="M675"/>
  <c r="H1492" i="30"/>
  <c r="H1491" s="1"/>
  <c r="M642" i="29"/>
  <c r="M740" i="30"/>
  <c r="K730"/>
  <c r="K772" i="31"/>
  <c r="K685"/>
  <c r="M772"/>
  <c r="O757" i="30"/>
  <c r="K659" i="29"/>
  <c r="K775" i="30"/>
  <c r="K669"/>
  <c r="K758"/>
  <c r="N1494" i="31"/>
  <c r="N1494" i="30"/>
  <c r="N1494" i="29"/>
  <c r="G743"/>
  <c r="G742" s="1"/>
  <c r="K755" i="30"/>
  <c r="M791"/>
  <c r="M643"/>
  <c r="K776" i="31"/>
  <c r="K678"/>
  <c r="M761" i="30"/>
  <c r="O644" i="29"/>
  <c r="H1495" i="31"/>
  <c r="H1494" s="1"/>
  <c r="M1495"/>
  <c r="G228" i="29"/>
  <c r="G227" s="1"/>
  <c r="G226" s="1"/>
  <c r="G225" s="1"/>
  <c r="O1497" i="31"/>
  <c r="I1496"/>
  <c r="H254" i="30"/>
  <c r="H253" s="1"/>
  <c r="H252" s="1"/>
  <c r="H251" s="1"/>
  <c r="H250" s="1"/>
  <c r="H249" s="1"/>
  <c r="H248" s="1"/>
  <c r="H247" s="1"/>
  <c r="O658"/>
  <c r="I657"/>
  <c r="I656" s="1"/>
  <c r="I655" s="1"/>
  <c r="I647" s="1"/>
  <c r="M717"/>
  <c r="K761" i="31"/>
  <c r="K654" i="29"/>
  <c r="I275" i="31"/>
  <c r="G683" i="29"/>
  <c r="G682" s="1"/>
  <c r="G681" s="1"/>
  <c r="G680" s="1"/>
  <c r="M644" i="31"/>
  <c r="O755" i="30"/>
  <c r="K679" i="31"/>
  <c r="O665" i="29"/>
  <c r="M674" i="31"/>
  <c r="N261"/>
  <c r="N261" i="30"/>
  <c r="N261" i="29"/>
  <c r="H1501"/>
  <c r="H1500" s="1"/>
  <c r="H1499" s="1"/>
  <c r="I657"/>
  <c r="I656" s="1"/>
  <c r="T86" i="31"/>
  <c r="K693"/>
  <c r="M672" i="29"/>
  <c r="K785" i="30"/>
  <c r="O685" i="29"/>
  <c r="K776"/>
  <c r="G1492" i="31"/>
  <c r="G1491" s="1"/>
  <c r="K1492"/>
  <c r="T52" i="30"/>
  <c r="H51"/>
  <c r="K642" i="31"/>
  <c r="O750"/>
  <c r="I749"/>
  <c r="I748" s="1"/>
  <c r="I741" s="1"/>
  <c r="I733" s="1"/>
  <c r="I732" s="1"/>
  <c r="I731" s="1"/>
  <c r="O791"/>
  <c r="O654"/>
  <c r="K726" i="30"/>
  <c r="G262" i="31"/>
  <c r="G261" s="1"/>
  <c r="G260" s="1"/>
  <c r="G259" s="1"/>
  <c r="G258" s="1"/>
  <c r="K262"/>
  <c r="I224"/>
  <c r="I223" s="1"/>
  <c r="I222" s="1"/>
  <c r="I1492"/>
  <c r="I1491" s="1"/>
  <c r="S78"/>
  <c r="G77"/>
  <c r="K78"/>
  <c r="K693" i="29"/>
  <c r="G671" i="30"/>
  <c r="G670" s="1"/>
  <c r="G655" s="1"/>
  <c r="H671"/>
  <c r="H670" s="1"/>
  <c r="O762"/>
  <c r="K705"/>
  <c r="M652" i="31"/>
  <c r="M641" i="30"/>
  <c r="H695" i="31"/>
  <c r="O725"/>
  <c r="H683" i="30"/>
  <c r="H682" s="1"/>
  <c r="H681" s="1"/>
  <c r="H680" s="1"/>
  <c r="K642" i="29"/>
  <c r="M668" i="30"/>
  <c r="U86" i="31"/>
  <c r="M700" i="30"/>
  <c r="K668" i="31"/>
  <c r="I233" i="29"/>
  <c r="I232" s="1"/>
  <c r="I231" s="1"/>
  <c r="I230" s="1"/>
  <c r="I229" s="1"/>
  <c r="H441" i="11"/>
  <c r="H437" s="1"/>
  <c r="L442" i="31"/>
  <c r="L442" i="30"/>
  <c r="L442" i="29"/>
  <c r="J481" i="31"/>
  <c r="K481" s="1"/>
  <c r="J481" i="30"/>
  <c r="K481" s="1"/>
  <c r="J481" i="29"/>
  <c r="K481" s="1"/>
  <c r="G509" i="11"/>
  <c r="J510" i="31"/>
  <c r="J510" i="30"/>
  <c r="J510" i="29"/>
  <c r="G510" s="1"/>
  <c r="G545" i="11"/>
  <c r="J546" i="31"/>
  <c r="J546" i="30"/>
  <c r="J546" i="29"/>
  <c r="G580" i="11"/>
  <c r="J581" i="31"/>
  <c r="J581" i="30"/>
  <c r="J581" i="29"/>
  <c r="G626" i="11"/>
  <c r="J627" i="31"/>
  <c r="J627" i="30"/>
  <c r="J627" i="29"/>
  <c r="I269" i="31"/>
  <c r="I268" s="1"/>
  <c r="I267" s="1"/>
  <c r="I266" s="1"/>
  <c r="I265" s="1"/>
  <c r="I264" s="1"/>
  <c r="I263" s="1"/>
  <c r="I255" s="1"/>
  <c r="J1496"/>
  <c r="J1496" i="30"/>
  <c r="J1496" i="29"/>
  <c r="H736" i="31"/>
  <c r="H735" s="1"/>
  <c r="H734" s="1"/>
  <c r="L1496"/>
  <c r="L1496" i="30"/>
  <c r="L1496" i="29"/>
  <c r="G752"/>
  <c r="G1495" i="31"/>
  <c r="G1494" s="1"/>
  <c r="O761" i="29"/>
  <c r="I760"/>
  <c r="I759" s="1"/>
  <c r="K643" i="31"/>
  <c r="I1492" i="29"/>
  <c r="I1491" s="1"/>
  <c r="M744"/>
  <c r="H743"/>
  <c r="H742" s="1"/>
  <c r="G461" i="11"/>
  <c r="G460" s="1"/>
  <c r="J462" i="31"/>
  <c r="J462" i="30"/>
  <c r="J462" i="29"/>
  <c r="G490" i="11"/>
  <c r="J491" i="31"/>
  <c r="G491" s="1"/>
  <c r="J491" i="30"/>
  <c r="J491" i="29"/>
  <c r="I535" i="11"/>
  <c r="N536" i="31"/>
  <c r="N536" i="30"/>
  <c r="N536" i="29"/>
  <c r="I536" s="1"/>
  <c r="H580" i="11"/>
  <c r="L581" i="31"/>
  <c r="L581" i="30"/>
  <c r="L581" i="29"/>
  <c r="I616" i="11"/>
  <c r="N617" i="31"/>
  <c r="N617" i="30"/>
  <c r="N617" i="29"/>
  <c r="I617" s="1"/>
  <c r="M776" i="31"/>
  <c r="N476"/>
  <c r="O476" s="1"/>
  <c r="N476" i="30"/>
  <c r="O476" s="1"/>
  <c r="N476" i="29"/>
  <c r="O476" s="1"/>
  <c r="I522" i="11"/>
  <c r="N523" i="31"/>
  <c r="N523" i="30"/>
  <c r="N523" i="29"/>
  <c r="G586" i="11"/>
  <c r="J587" i="31"/>
  <c r="J587" i="29"/>
  <c r="J587" i="30"/>
  <c r="G629" i="11"/>
  <c r="J630" i="31"/>
  <c r="J630" i="29"/>
  <c r="J630" i="30"/>
  <c r="O672"/>
  <c r="S45"/>
  <c r="G44"/>
  <c r="G683" i="31"/>
  <c r="G682" s="1"/>
  <c r="G681" s="1"/>
  <c r="G680" s="1"/>
  <c r="O757" i="29"/>
  <c r="G655"/>
  <c r="G752" i="30"/>
  <c r="L683" i="31"/>
  <c r="M683" s="1"/>
  <c r="L683" i="30"/>
  <c r="L683" i="29"/>
  <c r="L1494" i="31"/>
  <c r="L1494" i="30"/>
  <c r="L1494" i="29"/>
  <c r="M1494" s="1"/>
  <c r="M671"/>
  <c r="G228" i="30"/>
  <c r="G227" s="1"/>
  <c r="G226" s="1"/>
  <c r="G225" s="1"/>
  <c r="N1496" i="31"/>
  <c r="N1496" i="30"/>
  <c r="N1496" i="29"/>
  <c r="O643"/>
  <c r="H254" i="31"/>
  <c r="H253" s="1"/>
  <c r="H252" s="1"/>
  <c r="H251" s="1"/>
  <c r="H250" s="1"/>
  <c r="H249" s="1"/>
  <c r="H248" s="1"/>
  <c r="H247" s="1"/>
  <c r="G51" i="30"/>
  <c r="S52"/>
  <c r="U90" i="31"/>
  <c r="U44" i="30"/>
  <c r="I43"/>
  <c r="I752"/>
  <c r="I741" s="1"/>
  <c r="G246" i="29"/>
  <c r="K246" s="1"/>
  <c r="H1501" i="30"/>
  <c r="H1500" s="1"/>
  <c r="H1499" s="1"/>
  <c r="K785" i="31"/>
  <c r="O653" i="30"/>
  <c r="M93" i="31"/>
  <c r="T93"/>
  <c r="H262" i="29"/>
  <c r="H261" s="1"/>
  <c r="H260" s="1"/>
  <c r="H259" s="1"/>
  <c r="H258" s="1"/>
  <c r="H257" s="1"/>
  <c r="H256" s="1"/>
  <c r="J1491" i="31"/>
  <c r="K1491" s="1"/>
  <c r="J1491" i="30"/>
  <c r="K1491" s="1"/>
  <c r="J1491" i="29"/>
  <c r="G224"/>
  <c r="G223" s="1"/>
  <c r="G222" s="1"/>
  <c r="G221" s="1"/>
  <c r="H743" i="31"/>
  <c r="H742" s="1"/>
  <c r="M699" i="29"/>
  <c r="J261" i="31"/>
  <c r="J261" i="30"/>
  <c r="J261" i="29"/>
  <c r="N223" i="31"/>
  <c r="O223" s="1"/>
  <c r="N223" i="30"/>
  <c r="O223" s="1"/>
  <c r="N223" i="29"/>
  <c r="N1491" i="31"/>
  <c r="O1491" s="1"/>
  <c r="N1491" i="30"/>
  <c r="N1491" i="29"/>
  <c r="O1491" s="1"/>
  <c r="K705" i="31"/>
  <c r="K658" i="29"/>
  <c r="G237"/>
  <c r="G236" s="1"/>
  <c r="K237"/>
  <c r="M668" i="31"/>
  <c r="K757" i="29"/>
  <c r="I233" i="30"/>
  <c r="I232" s="1"/>
  <c r="I231" s="1"/>
  <c r="I230" s="1"/>
  <c r="O233"/>
  <c r="J438" i="31"/>
  <c r="K438" s="1"/>
  <c r="J438" i="30"/>
  <c r="K438" s="1"/>
  <c r="J438" i="29"/>
  <c r="K438" s="1"/>
  <c r="I444" i="11"/>
  <c r="N445" i="31"/>
  <c r="N445" i="30"/>
  <c r="N445" i="29"/>
  <c r="H452" i="11"/>
  <c r="L453" i="31"/>
  <c r="L453" i="30"/>
  <c r="H453" s="1"/>
  <c r="L453" i="29"/>
  <c r="G463" i="11"/>
  <c r="J464" i="31"/>
  <c r="J464" i="30"/>
  <c r="J464" i="29"/>
  <c r="L476" i="31"/>
  <c r="M476" s="1"/>
  <c r="L476" i="30"/>
  <c r="M476" s="1"/>
  <c r="L476" i="29"/>
  <c r="M476" s="1"/>
  <c r="H484" i="11"/>
  <c r="L485" i="31"/>
  <c r="L485" i="30"/>
  <c r="L485" i="29"/>
  <c r="G492" i="11"/>
  <c r="J493" i="31"/>
  <c r="J493" i="30"/>
  <c r="J493" i="29"/>
  <c r="I498" i="11"/>
  <c r="N499" i="31"/>
  <c r="N499" i="30"/>
  <c r="N499" i="29"/>
  <c r="H514" i="11"/>
  <c r="L515" i="31"/>
  <c r="L515" i="30"/>
  <c r="L515" i="29"/>
  <c r="G528" i="11"/>
  <c r="J529" i="31"/>
  <c r="J529" i="30"/>
  <c r="G529" s="1"/>
  <c r="J529" i="29"/>
  <c r="I537" i="11"/>
  <c r="N538" i="31"/>
  <c r="N538" i="30"/>
  <c r="N538" i="29"/>
  <c r="H552" i="11"/>
  <c r="L553" i="31"/>
  <c r="L553" i="30"/>
  <c r="L553" i="29"/>
  <c r="G568" i="11"/>
  <c r="J569" i="31"/>
  <c r="J569" i="30"/>
  <c r="G569" s="1"/>
  <c r="J569" i="29"/>
  <c r="I574" i="11"/>
  <c r="N575" i="31"/>
  <c r="N575" i="30"/>
  <c r="N575" i="29"/>
  <c r="H586" i="11"/>
  <c r="L587" i="31"/>
  <c r="L587" i="30"/>
  <c r="L587" i="29"/>
  <c r="J596" i="31"/>
  <c r="K596" s="1"/>
  <c r="J596" i="30"/>
  <c r="K596" s="1"/>
  <c r="J596" i="29"/>
  <c r="K596" s="1"/>
  <c r="G614" i="11"/>
  <c r="J615" i="31"/>
  <c r="J615" i="30"/>
  <c r="J615" i="29"/>
  <c r="I620" i="11"/>
  <c r="N621" i="31"/>
  <c r="N621" i="30"/>
  <c r="N621" i="29"/>
  <c r="H629" i="11"/>
  <c r="L630" i="31"/>
  <c r="L630" i="30"/>
  <c r="L630" i="29"/>
  <c r="M706" i="31"/>
  <c r="K706" i="30"/>
  <c r="M700" i="29"/>
  <c r="G254" i="31"/>
  <c r="G253" s="1"/>
  <c r="G252" s="1"/>
  <c r="G251" s="1"/>
  <c r="G250" s="1"/>
  <c r="G249" s="1"/>
  <c r="G248" s="1"/>
  <c r="G247" s="1"/>
  <c r="L268"/>
  <c r="L268" i="30"/>
  <c r="M268" s="1"/>
  <c r="L268" i="29"/>
  <c r="O755" i="31"/>
  <c r="K669" i="29"/>
  <c r="G269"/>
  <c r="G268" s="1"/>
  <c r="G267" s="1"/>
  <c r="G266" s="1"/>
  <c r="G265" s="1"/>
  <c r="G264" s="1"/>
  <c r="G263" s="1"/>
  <c r="O764" i="31"/>
  <c r="L1491"/>
  <c r="L1491" i="30"/>
  <c r="L1491" i="29"/>
  <c r="I254"/>
  <c r="I253" s="1"/>
  <c r="I252" s="1"/>
  <c r="I251" s="1"/>
  <c r="I250" s="1"/>
  <c r="I249" s="1"/>
  <c r="I248" s="1"/>
  <c r="I247" s="1"/>
  <c r="O254"/>
  <c r="M705" i="30"/>
  <c r="K764" i="29"/>
  <c r="K651" i="31"/>
  <c r="K686" i="30"/>
  <c r="O713"/>
  <c r="H277"/>
  <c r="H276" s="1"/>
  <c r="H275" s="1"/>
  <c r="M751"/>
  <c r="M710" i="31"/>
  <c r="O757"/>
  <c r="O684" i="29"/>
  <c r="M737" i="30"/>
  <c r="K709" i="29"/>
  <c r="K687" i="30"/>
  <c r="M776"/>
  <c r="O714" i="31"/>
  <c r="M772" i="30"/>
  <c r="K779"/>
  <c r="O665"/>
  <c r="K687" i="29"/>
  <c r="I228"/>
  <c r="I227" s="1"/>
  <c r="I226" s="1"/>
  <c r="I225" s="1"/>
  <c r="O661"/>
  <c r="M671" i="30"/>
  <c r="G228" i="31"/>
  <c r="G227" s="1"/>
  <c r="G226" s="1"/>
  <c r="G225" s="1"/>
  <c r="H639" i="29"/>
  <c r="H638" s="1"/>
  <c r="M687" i="30"/>
  <c r="O686"/>
  <c r="O643"/>
  <c r="L253" i="31"/>
  <c r="L253" i="30"/>
  <c r="M253" s="1"/>
  <c r="L253" i="29"/>
  <c r="M717" i="31"/>
  <c r="M693" i="29"/>
  <c r="M709"/>
  <c r="O669" i="30"/>
  <c r="M729" i="31"/>
  <c r="O685" i="30"/>
  <c r="K776"/>
  <c r="K780" i="31"/>
  <c r="K700" i="29"/>
  <c r="O699" i="30"/>
  <c r="G246"/>
  <c r="K246" s="1"/>
  <c r="H1501" i="31"/>
  <c r="H1500" s="1"/>
  <c r="H1499" s="1"/>
  <c r="M1501"/>
  <c r="O714" i="29"/>
  <c r="M718" i="31"/>
  <c r="K661"/>
  <c r="O750" i="29"/>
  <c r="M744" i="30"/>
  <c r="O674"/>
  <c r="M730" i="31"/>
  <c r="K763" i="29"/>
  <c r="K714"/>
  <c r="M754"/>
  <c r="M659" i="31"/>
  <c r="H262" i="30"/>
  <c r="H261" s="1"/>
  <c r="H260" s="1"/>
  <c r="H259" s="1"/>
  <c r="H258" s="1"/>
  <c r="H257" s="1"/>
  <c r="H256" s="1"/>
  <c r="M262"/>
  <c r="H224" i="29"/>
  <c r="H223" s="1"/>
  <c r="H222" s="1"/>
  <c r="H221" s="1"/>
  <c r="O747" i="30"/>
  <c r="K672" i="29"/>
  <c r="G671"/>
  <c r="G670" s="1"/>
  <c r="K706" i="31"/>
  <c r="K674" i="30"/>
  <c r="G224"/>
  <c r="G223" s="1"/>
  <c r="G222" s="1"/>
  <c r="G221" s="1"/>
  <c r="M660" i="31"/>
  <c r="G760" i="30"/>
  <c r="G759" s="1"/>
  <c r="M745" i="31"/>
  <c r="T10" i="30"/>
  <c r="H9"/>
  <c r="M641" i="31"/>
  <c r="G760"/>
  <c r="G759" s="1"/>
  <c r="M699" i="30"/>
  <c r="M659"/>
  <c r="M746"/>
  <c r="I639" i="29"/>
  <c r="I638" s="1"/>
  <c r="H237"/>
  <c r="H236" s="1"/>
  <c r="H235" s="1"/>
  <c r="H234" s="1"/>
  <c r="G1501"/>
  <c r="G1500" s="1"/>
  <c r="G1499" s="1"/>
  <c r="K1501"/>
  <c r="M718"/>
  <c r="S10" i="31"/>
  <c r="G9"/>
  <c r="K786" i="30"/>
  <c r="M757" i="29"/>
  <c r="K658" i="30"/>
  <c r="K709"/>
  <c r="M674" i="29"/>
  <c r="G237" i="30"/>
  <c r="G236" s="1"/>
  <c r="K237"/>
  <c r="M661" i="29"/>
  <c r="O718"/>
  <c r="M758" i="31"/>
  <c r="K757" i="30"/>
  <c r="I233" i="31"/>
  <c r="I232" s="1"/>
  <c r="I231" s="1"/>
  <c r="I230" s="1"/>
  <c r="G448" i="11"/>
  <c r="J449" i="31"/>
  <c r="J449" i="30"/>
  <c r="J449" i="29"/>
  <c r="J487" i="31"/>
  <c r="K487" s="1"/>
  <c r="J487" i="30"/>
  <c r="K487" s="1"/>
  <c r="J487" i="29"/>
  <c r="K487" s="1"/>
  <c r="H535" i="11"/>
  <c r="L536" i="31"/>
  <c r="L536" i="30"/>
  <c r="L536" i="29"/>
  <c r="H536" s="1"/>
  <c r="J591" i="31"/>
  <c r="K591" s="1"/>
  <c r="J591" i="30"/>
  <c r="K591" s="1"/>
  <c r="J591" i="29"/>
  <c r="K591" s="1"/>
  <c r="N1490" i="31"/>
  <c r="N1490" i="30"/>
  <c r="N1490" i="29"/>
  <c r="H233" i="31"/>
  <c r="H232" s="1"/>
  <c r="H231" s="1"/>
  <c r="H230" s="1"/>
  <c r="M233"/>
  <c r="I237"/>
  <c r="I236" s="1"/>
  <c r="I235" s="1"/>
  <c r="I234" s="1"/>
  <c r="H277" i="29"/>
  <c r="H276" s="1"/>
  <c r="H275" s="1"/>
  <c r="O224"/>
  <c r="I223"/>
  <c r="I222" s="1"/>
  <c r="I221" s="1"/>
  <c r="I441" i="11"/>
  <c r="N442" i="31"/>
  <c r="N442" i="30"/>
  <c r="N442" i="29"/>
  <c r="N481" i="31"/>
  <c r="O481" s="1"/>
  <c r="N481" i="30"/>
  <c r="O481" s="1"/>
  <c r="N481" i="29"/>
  <c r="O481" s="1"/>
  <c r="G522" i="11"/>
  <c r="J523" i="31"/>
  <c r="J523" i="30"/>
  <c r="J523" i="29"/>
  <c r="G523" s="1"/>
  <c r="G594" i="11"/>
  <c r="J595" i="31"/>
  <c r="J595" i="30"/>
  <c r="J595" i="29"/>
  <c r="L232" i="31"/>
  <c r="L232" i="30"/>
  <c r="L232" i="29"/>
  <c r="H444" i="11"/>
  <c r="L445" i="31"/>
  <c r="L445" i="30"/>
  <c r="H445" s="1"/>
  <c r="L445" i="29"/>
  <c r="I461" i="11"/>
  <c r="N462" i="31"/>
  <c r="N462" i="30"/>
  <c r="N462" i="29"/>
  <c r="G514" i="11"/>
  <c r="J515" i="31"/>
  <c r="J515" i="30"/>
  <c r="J515" i="29"/>
  <c r="G552" i="11"/>
  <c r="J553" i="31"/>
  <c r="J553" i="29"/>
  <c r="J553" i="30"/>
  <c r="H574" i="11"/>
  <c r="L575" i="31"/>
  <c r="L575" i="30"/>
  <c r="L575" i="29"/>
  <c r="L604" i="31"/>
  <c r="M604" s="1"/>
  <c r="L604" i="29"/>
  <c r="M604" s="1"/>
  <c r="L604" i="30"/>
  <c r="M604" s="1"/>
  <c r="K674" i="29"/>
  <c r="H269" i="31"/>
  <c r="H268" s="1"/>
  <c r="H267" s="1"/>
  <c r="H266" s="1"/>
  <c r="H265" s="1"/>
  <c r="H264" s="1"/>
  <c r="H263" s="1"/>
  <c r="H1492"/>
  <c r="H1491" s="1"/>
  <c r="O658"/>
  <c r="N438"/>
  <c r="O438" s="1"/>
  <c r="N438" i="30"/>
  <c r="O438" s="1"/>
  <c r="N438" i="29"/>
  <c r="O438" s="1"/>
  <c r="I452" i="11"/>
  <c r="N453" i="31"/>
  <c r="N453" i="30"/>
  <c r="I453" s="1"/>
  <c r="N453" i="29"/>
  <c r="G479" i="11"/>
  <c r="J480" i="31"/>
  <c r="J480" i="30"/>
  <c r="J480" i="29"/>
  <c r="G480" s="1"/>
  <c r="I484" i="11"/>
  <c r="N485" i="31"/>
  <c r="N485" i="30"/>
  <c r="N485" i="29"/>
  <c r="G503" i="11"/>
  <c r="J504" i="31"/>
  <c r="J504" i="30"/>
  <c r="J504" i="29"/>
  <c r="G504" s="1"/>
  <c r="H528" i="11"/>
  <c r="L529" i="31"/>
  <c r="L529" i="30"/>
  <c r="L529" i="29"/>
  <c r="I552" i="11"/>
  <c r="N553" i="31"/>
  <c r="N553" i="30"/>
  <c r="N553" i="29"/>
  <c r="I553" s="1"/>
  <c r="G576" i="11"/>
  <c r="J577" i="31"/>
  <c r="J577" i="30"/>
  <c r="J577" i="29"/>
  <c r="N596" i="31"/>
  <c r="O596" s="1"/>
  <c r="N596" i="30"/>
  <c r="O596" s="1"/>
  <c r="N596" i="29"/>
  <c r="O596" s="1"/>
  <c r="H614" i="11"/>
  <c r="L615" i="31"/>
  <c r="L615" i="30"/>
  <c r="L615" i="29"/>
  <c r="G623" i="11"/>
  <c r="J624" i="31"/>
  <c r="J624" i="30"/>
  <c r="J624" i="29"/>
  <c r="K754"/>
  <c r="H697"/>
  <c r="H696" s="1"/>
  <c r="H695" s="1"/>
  <c r="N760" i="31"/>
  <c r="O760" s="1"/>
  <c r="N760" i="30"/>
  <c r="O760" s="1"/>
  <c r="N760" i="29"/>
  <c r="I246"/>
  <c r="O246" s="1"/>
  <c r="G269" i="30"/>
  <c r="G268" s="1"/>
  <c r="G267" s="1"/>
  <c r="G266" s="1"/>
  <c r="G265" s="1"/>
  <c r="G264" s="1"/>
  <c r="G263" s="1"/>
  <c r="K269"/>
  <c r="O254" i="31"/>
  <c r="I253"/>
  <c r="I252" s="1"/>
  <c r="I251" s="1"/>
  <c r="I250" s="1"/>
  <c r="I249" s="1"/>
  <c r="I248" s="1"/>
  <c r="I247" s="1"/>
  <c r="M705"/>
  <c r="M737"/>
  <c r="K686" i="29"/>
  <c r="M686" i="30"/>
  <c r="K93" i="31"/>
  <c r="S93"/>
  <c r="J760"/>
  <c r="J760" i="30"/>
  <c r="J760" i="29"/>
  <c r="K760" s="1"/>
  <c r="L1500" i="31"/>
  <c r="M1500" s="1"/>
  <c r="L1500" i="30"/>
  <c r="L1500" i="29"/>
  <c r="M1500" s="1"/>
  <c r="K660" i="31"/>
  <c r="U10" i="30"/>
  <c r="I9"/>
  <c r="O746"/>
  <c r="S10"/>
  <c r="G9"/>
  <c r="H657"/>
  <c r="H656" s="1"/>
  <c r="H655" s="1"/>
  <c r="H647" s="1"/>
  <c r="I639"/>
  <c r="I638" s="1"/>
  <c r="G1501"/>
  <c r="G1500" s="1"/>
  <c r="G1499" s="1"/>
  <c r="K746" i="31"/>
  <c r="G237"/>
  <c r="G236" s="1"/>
  <c r="K237"/>
  <c r="K683" i="29"/>
  <c r="L438" i="31"/>
  <c r="M438" s="1"/>
  <c r="L438" i="30"/>
  <c r="M438" s="1"/>
  <c r="L438" i="29"/>
  <c r="M438" s="1"/>
  <c r="H446" i="11"/>
  <c r="L447" i="31"/>
  <c r="L447" i="30"/>
  <c r="L447" i="29"/>
  <c r="G455" i="11"/>
  <c r="J456" i="31"/>
  <c r="J456" i="30"/>
  <c r="J456" i="29"/>
  <c r="G456" s="1"/>
  <c r="I463" i="11"/>
  <c r="I460" s="1"/>
  <c r="N464" i="31"/>
  <c r="N464" i="30"/>
  <c r="N464" i="29"/>
  <c r="H479" i="11"/>
  <c r="H475" s="1"/>
  <c r="L480" i="31"/>
  <c r="L480" i="30"/>
  <c r="H480" s="1"/>
  <c r="L480" i="29"/>
  <c r="H480" s="1"/>
  <c r="I488" i="11"/>
  <c r="L488" i="31"/>
  <c r="L488" i="30"/>
  <c r="L488" i="29"/>
  <c r="I492" i="11"/>
  <c r="N493" i="31"/>
  <c r="N493" i="30"/>
  <c r="I493" s="1"/>
  <c r="N493" i="29"/>
  <c r="H503" i="11"/>
  <c r="L504" i="31"/>
  <c r="L504" i="30"/>
  <c r="L504" i="29"/>
  <c r="G520" i="11"/>
  <c r="J521" i="31"/>
  <c r="J521" i="30"/>
  <c r="G521" s="1"/>
  <c r="J521" i="29"/>
  <c r="I528" i="11"/>
  <c r="N529" i="31"/>
  <c r="N529" i="30"/>
  <c r="N529" i="29"/>
  <c r="H543" i="11"/>
  <c r="L544" i="31"/>
  <c r="L544" i="30"/>
  <c r="L544" i="29"/>
  <c r="H544" s="1"/>
  <c r="G555" i="11"/>
  <c r="J556" i="31"/>
  <c r="J556" i="30"/>
  <c r="J556" i="29"/>
  <c r="G556" s="1"/>
  <c r="I568" i="11"/>
  <c r="N569" i="31"/>
  <c r="N569" i="30"/>
  <c r="N569" i="29"/>
  <c r="H576" i="11"/>
  <c r="L577" i="31"/>
  <c r="L577" i="30"/>
  <c r="L577" i="29"/>
  <c r="I592" i="11"/>
  <c r="L592" i="31"/>
  <c r="L592" i="30"/>
  <c r="H592" s="1"/>
  <c r="L592" i="29"/>
  <c r="L596" i="31"/>
  <c r="M596" s="1"/>
  <c r="L596" i="30"/>
  <c r="M596" s="1"/>
  <c r="L596" i="29"/>
  <c r="M596" s="1"/>
  <c r="I614" i="11"/>
  <c r="N615" i="31"/>
  <c r="I615" s="1"/>
  <c r="N615" i="30"/>
  <c r="N615" i="29"/>
  <c r="H623" i="11"/>
  <c r="L624" i="31"/>
  <c r="L624" i="30"/>
  <c r="L624" i="29"/>
  <c r="H624" s="1"/>
  <c r="H1490" i="11"/>
  <c r="K653" i="29"/>
  <c r="K744" i="31"/>
  <c r="K684"/>
  <c r="K754" i="30"/>
  <c r="M758"/>
  <c r="K751" i="29"/>
  <c r="O722"/>
  <c r="K652" i="31"/>
  <c r="O744" i="30"/>
  <c r="K669" i="31"/>
  <c r="K758"/>
  <c r="I269" i="29"/>
  <c r="I268" s="1"/>
  <c r="I267" s="1"/>
  <c r="I266" s="1"/>
  <c r="I265" s="1"/>
  <c r="I264" s="1"/>
  <c r="I263" s="1"/>
  <c r="O269"/>
  <c r="H233"/>
  <c r="H232" s="1"/>
  <c r="H231" s="1"/>
  <c r="H230" s="1"/>
  <c r="G1497" i="30"/>
  <c r="G1496" s="1"/>
  <c r="I246"/>
  <c r="O246"/>
  <c r="M750" i="29"/>
  <c r="H749"/>
  <c r="H748" s="1"/>
  <c r="M692" i="30"/>
  <c r="H691"/>
  <c r="H690" s="1"/>
  <c r="H689" s="1"/>
  <c r="H688" s="1"/>
  <c r="K685"/>
  <c r="M714" i="29"/>
  <c r="G269" i="31"/>
  <c r="G268" s="1"/>
  <c r="G267" s="1"/>
  <c r="G266" s="1"/>
  <c r="N218"/>
  <c r="O218" s="1"/>
  <c r="N218" i="30"/>
  <c r="O218" s="1"/>
  <c r="N218" i="29"/>
  <c r="O218" s="1"/>
  <c r="H657"/>
  <c r="H656" s="1"/>
  <c r="H655" s="1"/>
  <c r="N253" i="31"/>
  <c r="N253" i="30"/>
  <c r="N253" i="29"/>
  <c r="O751"/>
  <c r="O722" i="30"/>
  <c r="M775" i="29"/>
  <c r="O713" i="31"/>
  <c r="O652"/>
  <c r="M693"/>
  <c r="K706" i="29"/>
  <c r="O668" i="31"/>
  <c r="O754" i="29"/>
  <c r="K652" i="30"/>
  <c r="O776" i="31"/>
  <c r="U20" i="30"/>
  <c r="O758" i="31"/>
  <c r="O660" i="29"/>
  <c r="O737"/>
  <c r="I736"/>
  <c r="I735" s="1"/>
  <c r="I734" s="1"/>
  <c r="I228" i="31"/>
  <c r="I227" s="1"/>
  <c r="I226" s="1"/>
  <c r="I225" s="1"/>
  <c r="O228"/>
  <c r="I237" i="29"/>
  <c r="I236" s="1"/>
  <c r="I235" s="1"/>
  <c r="I234" s="1"/>
  <c r="O237"/>
  <c r="I1501"/>
  <c r="I1500" s="1"/>
  <c r="I1499" s="1"/>
  <c r="H639" i="31"/>
  <c r="H638" s="1"/>
  <c r="G657"/>
  <c r="G656" s="1"/>
  <c r="H1497" i="30"/>
  <c r="H1496" s="1"/>
  <c r="M1496" s="1"/>
  <c r="I650" i="29"/>
  <c r="I649" s="1"/>
  <c r="I648" s="1"/>
  <c r="K745" i="30"/>
  <c r="O675" i="31"/>
  <c r="K718" i="30"/>
  <c r="K714"/>
  <c r="O745" i="29"/>
  <c r="M658" i="30"/>
  <c r="K725" i="29"/>
  <c r="O763" i="31"/>
  <c r="L657"/>
  <c r="M657" s="1"/>
  <c r="L657" i="30"/>
  <c r="L657" i="29"/>
  <c r="M228"/>
  <c r="H227"/>
  <c r="H226" s="1"/>
  <c r="H225" s="1"/>
  <c r="G1495"/>
  <c r="G1494" s="1"/>
  <c r="K1495"/>
  <c r="O776"/>
  <c r="K641" i="31"/>
  <c r="O740"/>
  <c r="K643" i="29"/>
  <c r="M738"/>
  <c r="O700" i="31"/>
  <c r="L261"/>
  <c r="L261" i="30"/>
  <c r="M261" s="1"/>
  <c r="L261" i="29"/>
  <c r="H224" i="31"/>
  <c r="H223" s="1"/>
  <c r="H222" s="1"/>
  <c r="H221" s="1"/>
  <c r="H215" s="1"/>
  <c r="M764" i="30"/>
  <c r="J223" i="31"/>
  <c r="J223" i="30"/>
  <c r="J223" i="29"/>
  <c r="K223" s="1"/>
  <c r="K693" i="30"/>
  <c r="T99" i="31"/>
  <c r="K673"/>
  <c r="H671"/>
  <c r="H670" s="1"/>
  <c r="O762"/>
  <c r="K750" i="29"/>
  <c r="M644"/>
  <c r="O721" i="30"/>
  <c r="M763" i="31"/>
  <c r="O661" i="30"/>
  <c r="M675"/>
  <c r="O764"/>
  <c r="I639" i="31"/>
  <c r="I638" s="1"/>
  <c r="H237"/>
  <c r="H236" s="1"/>
  <c r="H235" s="1"/>
  <c r="H234" s="1"/>
  <c r="G1501"/>
  <c r="G1500" s="1"/>
  <c r="G1499" s="1"/>
  <c r="K1501"/>
  <c r="T45" i="30"/>
  <c r="H44"/>
  <c r="M757" i="31"/>
  <c r="K643" i="30"/>
  <c r="J657" i="31"/>
  <c r="J657" i="30"/>
  <c r="J657" i="29"/>
  <c r="K657" s="1"/>
  <c r="K747" i="31"/>
  <c r="M726" i="29"/>
  <c r="M755" i="30"/>
  <c r="J236" i="31"/>
  <c r="J236" i="30"/>
  <c r="J236" i="29"/>
  <c r="K729" i="30"/>
  <c r="M654" i="29"/>
  <c r="H683"/>
  <c r="H682" s="1"/>
  <c r="H681" s="1"/>
  <c r="H680" s="1"/>
  <c r="G639"/>
  <c r="G638" s="1"/>
  <c r="K683" i="30"/>
  <c r="H469" i="11"/>
  <c r="L470" i="31"/>
  <c r="L470" i="30"/>
  <c r="L470" i="29"/>
  <c r="I520" i="11"/>
  <c r="N521" i="31"/>
  <c r="N521" i="30"/>
  <c r="N521" i="29"/>
  <c r="H572" i="11"/>
  <c r="L573" i="31"/>
  <c r="L573" i="29"/>
  <c r="L573" i="30"/>
  <c r="H616" i="11"/>
  <c r="L617" i="31"/>
  <c r="L617" i="30"/>
  <c r="L617" i="29"/>
  <c r="K233"/>
  <c r="G232"/>
  <c r="G231" s="1"/>
  <c r="G230" s="1"/>
  <c r="H1495"/>
  <c r="H1494" s="1"/>
  <c r="M1495"/>
  <c r="I1497"/>
  <c r="I1496" s="1"/>
  <c r="O1497"/>
  <c r="I262" i="30"/>
  <c r="I261" s="1"/>
  <c r="I260" s="1"/>
  <c r="I259" s="1"/>
  <c r="I258" s="1"/>
  <c r="I257" s="1"/>
  <c r="I256" s="1"/>
  <c r="G1492" i="29"/>
  <c r="G1491" s="1"/>
  <c r="O791"/>
  <c r="O785" i="30"/>
  <c r="G262" i="29"/>
  <c r="G261" s="1"/>
  <c r="G260" s="1"/>
  <c r="G259" s="1"/>
  <c r="G258" s="1"/>
  <c r="G257" s="1"/>
  <c r="G256" s="1"/>
  <c r="G639" i="31"/>
  <c r="G638" s="1"/>
  <c r="K639"/>
  <c r="H448" i="11"/>
  <c r="L449" i="31"/>
  <c r="L449" i="30"/>
  <c r="L449" i="29"/>
  <c r="H449" s="1"/>
  <c r="I469" i="11"/>
  <c r="N470" i="31"/>
  <c r="N470" i="30"/>
  <c r="N470" i="29"/>
  <c r="I470" s="1"/>
  <c r="I494" i="11"/>
  <c r="N495" i="31"/>
  <c r="N495" i="30"/>
  <c r="N495" i="29"/>
  <c r="I495" s="1"/>
  <c r="H509" i="11"/>
  <c r="L510" i="31"/>
  <c r="L510" i="30"/>
  <c r="L510" i="29"/>
  <c r="H545" i="11"/>
  <c r="L546" i="31"/>
  <c r="L546" i="30"/>
  <c r="L546" i="29"/>
  <c r="I572" i="11"/>
  <c r="N573" i="31"/>
  <c r="N573" i="30"/>
  <c r="I573" s="1"/>
  <c r="N573" i="29"/>
  <c r="J604" i="31"/>
  <c r="K604" s="1"/>
  <c r="J604" i="30"/>
  <c r="K604" s="1"/>
  <c r="J604" i="29"/>
  <c r="K604" s="1"/>
  <c r="H626" i="11"/>
  <c r="L627" i="31"/>
  <c r="L627" i="30"/>
  <c r="L627" i="29"/>
  <c r="K664"/>
  <c r="O664" i="31"/>
  <c r="N268"/>
  <c r="N268" i="30"/>
  <c r="N268" i="29"/>
  <c r="O268" s="1"/>
  <c r="G452" i="11"/>
  <c r="J453" i="31"/>
  <c r="J453" i="30"/>
  <c r="J453" i="29"/>
  <c r="G484" i="11"/>
  <c r="J485" i="31"/>
  <c r="J485" i="30"/>
  <c r="J485" i="29"/>
  <c r="I490" i="11"/>
  <c r="N491" i="31"/>
  <c r="N491" i="30"/>
  <c r="N491" i="29"/>
  <c r="H498" i="11"/>
  <c r="L499" i="31"/>
  <c r="L499" i="30"/>
  <c r="L499" i="29"/>
  <c r="H537" i="11"/>
  <c r="L538" i="31"/>
  <c r="L538" i="30"/>
  <c r="L538" i="29"/>
  <c r="I561" i="11"/>
  <c r="N562" i="31"/>
  <c r="N562" i="30"/>
  <c r="N562" i="29"/>
  <c r="I562" s="1"/>
  <c r="I594" i="11"/>
  <c r="N595" i="31"/>
  <c r="N595" i="30"/>
  <c r="N595" i="29"/>
  <c r="H620" i="11"/>
  <c r="L621" i="31"/>
  <c r="L621" i="30"/>
  <c r="L621" i="29"/>
  <c r="K254"/>
  <c r="G253"/>
  <c r="G252" s="1"/>
  <c r="G251" s="1"/>
  <c r="G250" s="1"/>
  <c r="G249" s="1"/>
  <c r="G248" s="1"/>
  <c r="G247" s="1"/>
  <c r="J232" i="31"/>
  <c r="J232" i="30"/>
  <c r="J232" i="29"/>
  <c r="I254" i="30"/>
  <c r="I253" s="1"/>
  <c r="I252" s="1"/>
  <c r="I251" s="1"/>
  <c r="I250" s="1"/>
  <c r="I249" s="1"/>
  <c r="I248" s="1"/>
  <c r="I247" s="1"/>
  <c r="G446" i="11"/>
  <c r="J447" i="31"/>
  <c r="J447" i="30"/>
  <c r="J447" i="29"/>
  <c r="G447" s="1"/>
  <c r="H463" i="11"/>
  <c r="L464" i="31"/>
  <c r="L464" i="30"/>
  <c r="L464" i="29"/>
  <c r="H492" i="11"/>
  <c r="L493" i="31"/>
  <c r="L493" i="30"/>
  <c r="L493" i="29"/>
  <c r="I514" i="11"/>
  <c r="N515" i="31"/>
  <c r="N515" i="30"/>
  <c r="N515" i="29"/>
  <c r="G543" i="11"/>
  <c r="J544" i="31"/>
  <c r="J544" i="30"/>
  <c r="J544" i="29"/>
  <c r="G544" s="1"/>
  <c r="H568" i="11"/>
  <c r="L569" i="31"/>
  <c r="L569" i="30"/>
  <c r="L569" i="29"/>
  <c r="I586" i="11"/>
  <c r="N587" i="31"/>
  <c r="N587" i="30"/>
  <c r="N587" i="29"/>
  <c r="I587" s="1"/>
  <c r="I629" i="11"/>
  <c r="N630" i="31"/>
  <c r="N630" i="30"/>
  <c r="N630" i="29"/>
  <c r="I630" s="1"/>
  <c r="K737"/>
  <c r="J253" i="31"/>
  <c r="K253" s="1"/>
  <c r="J253" i="30"/>
  <c r="K253" s="1"/>
  <c r="J253" i="29"/>
  <c r="G1497"/>
  <c r="G1496" s="1"/>
  <c r="K1496" s="1"/>
  <c r="I228" i="30"/>
  <c r="I227" s="1"/>
  <c r="I226" s="1"/>
  <c r="I225" s="1"/>
  <c r="J227" i="31"/>
  <c r="J227" i="29"/>
  <c r="J227" i="30"/>
  <c r="H639"/>
  <c r="H638" s="1"/>
  <c r="H1497" i="29"/>
  <c r="H1496" s="1"/>
  <c r="M1497"/>
  <c r="U78" i="31"/>
  <c r="I77"/>
  <c r="O672" i="29"/>
  <c r="I671"/>
  <c r="I670" s="1"/>
  <c r="G246" i="31"/>
  <c r="K246"/>
  <c r="K713" i="29"/>
  <c r="H262" i="31"/>
  <c r="H261" s="1"/>
  <c r="H260" s="1"/>
  <c r="H259" s="1"/>
  <c r="H258" s="1"/>
  <c r="H257" s="1"/>
  <c r="H256" s="1"/>
  <c r="H224" i="30"/>
  <c r="H223" s="1"/>
  <c r="H222" s="1"/>
  <c r="H221" s="1"/>
  <c r="G224" i="31"/>
  <c r="G223" s="1"/>
  <c r="G222" s="1"/>
  <c r="G221" s="1"/>
  <c r="M763" i="30"/>
  <c r="H237"/>
  <c r="H236" s="1"/>
  <c r="H235" s="1"/>
  <c r="H234" s="1"/>
  <c r="M237"/>
  <c r="U52"/>
  <c r="I51"/>
  <c r="S20"/>
  <c r="K709" i="31"/>
  <c r="N232"/>
  <c r="O232" s="1"/>
  <c r="N232" i="30"/>
  <c r="O232" s="1"/>
  <c r="N232" i="29"/>
  <c r="G441" i="11"/>
  <c r="G437" s="1"/>
  <c r="J442" i="31"/>
  <c r="J442" i="30"/>
  <c r="J442" i="29"/>
  <c r="G442" s="1"/>
  <c r="I446" i="11"/>
  <c r="N447" i="31"/>
  <c r="N447" i="30"/>
  <c r="N447" i="29"/>
  <c r="N455" i="31"/>
  <c r="O455" s="1"/>
  <c r="N455" i="30"/>
  <c r="O455" s="1"/>
  <c r="N455" i="29"/>
  <c r="O455" s="1"/>
  <c r="G469" i="11"/>
  <c r="J470" i="31"/>
  <c r="J470" i="30"/>
  <c r="G470" s="1"/>
  <c r="J470" i="29"/>
  <c r="I479" i="11"/>
  <c r="N480" i="31"/>
  <c r="N480" i="30"/>
  <c r="N480" i="29"/>
  <c r="I489" i="11"/>
  <c r="L489" i="31"/>
  <c r="L489" i="30"/>
  <c r="L489" i="29"/>
  <c r="G494" i="11"/>
  <c r="J495" i="31"/>
  <c r="J495" i="30"/>
  <c r="J495" i="29"/>
  <c r="N503" i="31"/>
  <c r="O503" s="1"/>
  <c r="N503" i="30"/>
  <c r="O503" s="1"/>
  <c r="N503" i="29"/>
  <c r="O503" s="1"/>
  <c r="H520" i="11"/>
  <c r="L521" i="31"/>
  <c r="L521" i="30"/>
  <c r="L521" i="29"/>
  <c r="H521" s="1"/>
  <c r="G535" i="11"/>
  <c r="J536" i="31"/>
  <c r="J536" i="30"/>
  <c r="J536" i="29"/>
  <c r="I543" i="11"/>
  <c r="N544" i="31"/>
  <c r="N544" i="30"/>
  <c r="N544" i="29"/>
  <c r="H555" i="11"/>
  <c r="L556" i="31"/>
  <c r="L556" i="29"/>
  <c r="H556" s="1"/>
  <c r="L556" i="30"/>
  <c r="G572" i="11"/>
  <c r="J573" i="31"/>
  <c r="J573" i="30"/>
  <c r="J573" i="29"/>
  <c r="I576" i="11"/>
  <c r="N577" i="31"/>
  <c r="N577" i="30"/>
  <c r="N577" i="29"/>
  <c r="I593" i="11"/>
  <c r="L593" i="31"/>
  <c r="L593" i="30"/>
  <c r="H593" s="1"/>
  <c r="M593" s="1"/>
  <c r="L593" i="29"/>
  <c r="L601" i="31"/>
  <c r="L601" i="30"/>
  <c r="L601" i="29"/>
  <c r="G616" i="11"/>
  <c r="G613" s="1"/>
  <c r="J617" i="31"/>
  <c r="J617" i="30"/>
  <c r="J617" i="29"/>
  <c r="G617" s="1"/>
  <c r="I623" i="11"/>
  <c r="N624" i="31"/>
  <c r="N624" i="30"/>
  <c r="N624" i="29"/>
  <c r="G1490" i="11"/>
  <c r="M740" i="31"/>
  <c r="M669"/>
  <c r="K653" i="30"/>
  <c r="K771" i="29"/>
  <c r="K754" i="31"/>
  <c r="K737"/>
  <c r="O664" i="29"/>
  <c r="O269" i="30"/>
  <c r="I269"/>
  <c r="I268" s="1"/>
  <c r="I267" s="1"/>
  <c r="I266" s="1"/>
  <c r="I265" s="1"/>
  <c r="I264" s="1"/>
  <c r="I263" s="1"/>
  <c r="I255" s="1"/>
  <c r="H233"/>
  <c r="H232" s="1"/>
  <c r="H231" s="1"/>
  <c r="H230" s="1"/>
  <c r="G1497" i="31"/>
  <c r="G1496" s="1"/>
  <c r="K1497"/>
  <c r="I246"/>
  <c r="O246" s="1"/>
  <c r="O659"/>
  <c r="I9"/>
  <c r="K772" i="30"/>
  <c r="J268" i="31"/>
  <c r="K268" s="1"/>
  <c r="J268" i="30"/>
  <c r="K268" s="1"/>
  <c r="J268" i="29"/>
  <c r="K268" s="1"/>
  <c r="H760" i="30"/>
  <c r="H759" s="1"/>
  <c r="H741" s="1"/>
  <c r="M747" i="29"/>
  <c r="O654"/>
  <c r="M775" i="30"/>
  <c r="O651" i="31"/>
  <c r="I650"/>
  <c r="O642"/>
  <c r="K738"/>
  <c r="N683"/>
  <c r="N683" i="30"/>
  <c r="N683" i="29"/>
  <c r="O683" s="1"/>
  <c r="O754" i="30"/>
  <c r="G650"/>
  <c r="G649" s="1"/>
  <c r="G648" s="1"/>
  <c r="O665" i="31"/>
  <c r="O1495" i="29"/>
  <c r="I1494"/>
  <c r="O651" i="30"/>
  <c r="K739"/>
  <c r="O673"/>
  <c r="K714" i="31"/>
  <c r="G650" i="29"/>
  <c r="G649" s="1"/>
  <c r="G648" s="1"/>
  <c r="O660" i="30"/>
  <c r="K700"/>
  <c r="N227" i="31"/>
  <c r="O227" s="1"/>
  <c r="N227" i="30"/>
  <c r="O227" s="1"/>
  <c r="N227" i="29"/>
  <c r="I237" i="30"/>
  <c r="I236" s="1"/>
  <c r="I235" s="1"/>
  <c r="I234" s="1"/>
  <c r="O237"/>
  <c r="I1501"/>
  <c r="I1500" s="1"/>
  <c r="I1499" s="1"/>
  <c r="L638" i="31"/>
  <c r="M638" s="1"/>
  <c r="L638" i="29"/>
  <c r="L638" i="30"/>
  <c r="M638" s="1"/>
  <c r="M673" i="29"/>
  <c r="K747" i="30"/>
  <c r="O737"/>
  <c r="H1497" i="31"/>
  <c r="H1496" s="1"/>
  <c r="K692" i="29"/>
  <c r="G743" i="30"/>
  <c r="G742" s="1"/>
  <c r="K665" i="29"/>
  <c r="K755"/>
  <c r="O674" i="31"/>
  <c r="K738" i="29"/>
  <c r="M725" i="30"/>
  <c r="I743" i="29"/>
  <c r="I742" s="1"/>
  <c r="M658" i="31"/>
  <c r="K725" i="30"/>
  <c r="I262" i="29"/>
  <c r="I261" s="1"/>
  <c r="I260" s="1"/>
  <c r="I259" s="1"/>
  <c r="I258" s="1"/>
  <c r="I257" s="1"/>
  <c r="I256" s="1"/>
  <c r="H228" i="30"/>
  <c r="H227" s="1"/>
  <c r="H226" s="1"/>
  <c r="H225" s="1"/>
  <c r="K1495"/>
  <c r="G1495"/>
  <c r="G1494" s="1"/>
  <c r="K1494" s="1"/>
  <c r="M660" i="29"/>
  <c r="M653" i="30"/>
  <c r="O761"/>
  <c r="M792"/>
  <c r="O758" i="29"/>
  <c r="M737"/>
  <c r="H736"/>
  <c r="H735" s="1"/>
  <c r="H734" s="1"/>
  <c r="K679" i="30"/>
  <c r="M785" i="29"/>
  <c r="L223" i="31"/>
  <c r="M223" s="1"/>
  <c r="L223" i="30"/>
  <c r="M223" s="1"/>
  <c r="L223" i="29"/>
  <c r="M750" i="30"/>
  <c r="O762" i="29"/>
  <c r="O792" i="30"/>
  <c r="K710" i="31"/>
  <c r="M718" i="30"/>
  <c r="K786" i="31"/>
  <c r="O675" i="29"/>
  <c r="K644" i="31"/>
  <c r="M643" i="29"/>
  <c r="O721"/>
  <c r="O785"/>
  <c r="M726" i="30"/>
  <c r="M762" i="29"/>
  <c r="H752" i="31"/>
  <c r="M674" i="30"/>
  <c r="O763"/>
  <c r="N638" i="31"/>
  <c r="N638" i="29"/>
  <c r="N638" i="30"/>
  <c r="L236" i="31"/>
  <c r="L236" i="30"/>
  <c r="L236" i="29"/>
  <c r="J1500" i="31"/>
  <c r="K1500" s="1"/>
  <c r="J1500" i="30"/>
  <c r="J1500" i="29"/>
  <c r="K1500" s="1"/>
  <c r="K642" i="30"/>
  <c r="K660" i="29"/>
  <c r="M654" i="30"/>
  <c r="M745" i="29"/>
  <c r="O792" i="31"/>
  <c r="K674"/>
  <c r="M764"/>
  <c r="H723" i="29"/>
  <c r="O654" i="30"/>
  <c r="K726" i="29"/>
  <c r="K729"/>
  <c r="M653"/>
  <c r="M685"/>
  <c r="G639" i="30"/>
  <c r="G638" s="1"/>
  <c r="O671"/>
  <c r="K683" i="31"/>
  <c r="H460" i="11"/>
  <c r="I534"/>
  <c r="G475"/>
  <c r="I437"/>
  <c r="H600"/>
  <c r="I601"/>
  <c r="H591"/>
  <c r="I487"/>
  <c r="H487"/>
  <c r="G741" i="30" l="1"/>
  <c r="K1496" i="31"/>
  <c r="I646" i="30"/>
  <c r="G741" i="31"/>
  <c r="G733" s="1"/>
  <c r="G732" s="1"/>
  <c r="G731" s="1"/>
  <c r="M254"/>
  <c r="G741" i="29"/>
  <c r="G733" s="1"/>
  <c r="G732" s="1"/>
  <c r="G731" s="1"/>
  <c r="M236" i="31"/>
  <c r="M1497"/>
  <c r="I542" i="11"/>
  <c r="K227" i="30"/>
  <c r="K1492" i="29"/>
  <c r="K657" i="30"/>
  <c r="M237" i="31"/>
  <c r="M639"/>
  <c r="O253" i="30"/>
  <c r="M253" i="29"/>
  <c r="K261" i="30"/>
  <c r="M254"/>
  <c r="M254" i="29"/>
  <c r="K657" i="31"/>
  <c r="K261"/>
  <c r="M224" i="30"/>
  <c r="K227" i="31"/>
  <c r="K232" i="29"/>
  <c r="O262" i="30"/>
  <c r="O639" i="29"/>
  <c r="M253" i="31"/>
  <c r="O228" i="29"/>
  <c r="M1491" i="30"/>
  <c r="M683" i="29"/>
  <c r="M1496" i="31"/>
  <c r="O261" i="30"/>
  <c r="O262" i="31"/>
  <c r="O1496" i="30"/>
  <c r="M1492" i="29"/>
  <c r="M228" i="31"/>
  <c r="H255"/>
  <c r="K227" i="29"/>
  <c r="K236"/>
  <c r="M232" i="31"/>
  <c r="M228" i="30"/>
  <c r="O683"/>
  <c r="K232"/>
  <c r="M224" i="31"/>
  <c r="O657" i="30"/>
  <c r="H741" i="31"/>
  <c r="H733" s="1"/>
  <c r="H732" s="1"/>
  <c r="H731" s="1"/>
  <c r="M683" i="30"/>
  <c r="O261" i="31"/>
  <c r="K1492" i="30"/>
  <c r="G215" i="31"/>
  <c r="H229"/>
  <c r="O253"/>
  <c r="O261" i="29"/>
  <c r="M223"/>
  <c r="O262"/>
  <c r="O683" i="31"/>
  <c r="M262"/>
  <c r="K232"/>
  <c r="K639" i="29"/>
  <c r="H646" i="30"/>
  <c r="M1500"/>
  <c r="M1492" i="31"/>
  <c r="M224" i="29"/>
  <c r="K254" i="31"/>
  <c r="K228" i="30"/>
  <c r="O224" i="31"/>
  <c r="K228" i="29"/>
  <c r="K233" i="31"/>
  <c r="K638" i="29"/>
  <c r="N542" i="31"/>
  <c r="N542" i="30"/>
  <c r="N542" i="29"/>
  <c r="I733" i="30"/>
  <c r="I732" s="1"/>
  <c r="I731" s="1"/>
  <c r="J613" i="31"/>
  <c r="J613" i="30"/>
  <c r="J613" i="29"/>
  <c r="N460" i="31"/>
  <c r="N460" i="30"/>
  <c r="N460" i="29"/>
  <c r="L475" i="31"/>
  <c r="L475" i="30"/>
  <c r="L475" i="29"/>
  <c r="N593" i="31"/>
  <c r="N593" i="30"/>
  <c r="N593" i="29"/>
  <c r="L520" i="31"/>
  <c r="M520" s="1"/>
  <c r="L520" i="30"/>
  <c r="L520" i="29"/>
  <c r="I447" i="30"/>
  <c r="I446" s="1"/>
  <c r="H493" i="31"/>
  <c r="H492" s="1"/>
  <c r="I491" i="29"/>
  <c r="I490" s="1"/>
  <c r="L545" i="31"/>
  <c r="L545" i="30"/>
  <c r="L545" i="29"/>
  <c r="L448" i="31"/>
  <c r="L448" i="30"/>
  <c r="L448" i="29"/>
  <c r="I521" i="31"/>
  <c r="I520" s="1"/>
  <c r="K556" i="29"/>
  <c r="G555"/>
  <c r="G554" s="1"/>
  <c r="H447"/>
  <c r="H446" s="1"/>
  <c r="M447"/>
  <c r="N452" i="31"/>
  <c r="N452" i="30"/>
  <c r="N452" i="29"/>
  <c r="H229"/>
  <c r="H630" i="30"/>
  <c r="H629" s="1"/>
  <c r="H628" s="1"/>
  <c r="H515" i="31"/>
  <c r="H514" s="1"/>
  <c r="H513" s="1"/>
  <c r="H512" s="1"/>
  <c r="H511" s="1"/>
  <c r="M515"/>
  <c r="O536" i="29"/>
  <c r="I535"/>
  <c r="J626" i="31"/>
  <c r="J626" i="30"/>
  <c r="J626" i="29"/>
  <c r="G575" i="31"/>
  <c r="G574" s="1"/>
  <c r="K575"/>
  <c r="G499"/>
  <c r="G498" s="1"/>
  <c r="G497" s="1"/>
  <c r="G496" s="1"/>
  <c r="G536" i="29"/>
  <c r="G535" s="1"/>
  <c r="H229" i="30"/>
  <c r="J543" i="31"/>
  <c r="J543" i="30"/>
  <c r="K543" s="1"/>
  <c r="J543" i="29"/>
  <c r="J446" i="31"/>
  <c r="J446" i="30"/>
  <c r="J446" i="29"/>
  <c r="I595" i="30"/>
  <c r="I594" s="1"/>
  <c r="H538"/>
  <c r="H537" s="1"/>
  <c r="M538"/>
  <c r="I491"/>
  <c r="I490" s="1"/>
  <c r="G453"/>
  <c r="G452" s="1"/>
  <c r="G451" s="1"/>
  <c r="K453"/>
  <c r="I573" i="29"/>
  <c r="I572" s="1"/>
  <c r="H510"/>
  <c r="H509" s="1"/>
  <c r="H508" s="1"/>
  <c r="H507" s="1"/>
  <c r="H506" s="1"/>
  <c r="M510"/>
  <c r="O470"/>
  <c r="I469"/>
  <c r="K1491"/>
  <c r="G1490"/>
  <c r="G1489" s="1"/>
  <c r="G1488" s="1"/>
  <c r="L616" i="31"/>
  <c r="L616" i="30"/>
  <c r="L616" i="29"/>
  <c r="N520" i="31"/>
  <c r="O520" s="1"/>
  <c r="N520" i="30"/>
  <c r="N520" i="29"/>
  <c r="T44" i="30"/>
  <c r="H43"/>
  <c r="K223"/>
  <c r="M261" i="31"/>
  <c r="M624" i="29"/>
  <c r="H623"/>
  <c r="H622" s="1"/>
  <c r="H577" i="30"/>
  <c r="H576" s="1"/>
  <c r="M577"/>
  <c r="G556"/>
  <c r="G555" s="1"/>
  <c r="G554" s="1"/>
  <c r="I529"/>
  <c r="I528" s="1"/>
  <c r="I527" s="1"/>
  <c r="I526" s="1"/>
  <c r="I525" s="1"/>
  <c r="I524" s="1"/>
  <c r="O529"/>
  <c r="H504"/>
  <c r="H503" s="1"/>
  <c r="H502" s="1"/>
  <c r="H501" s="1"/>
  <c r="H500" s="1"/>
  <c r="H488"/>
  <c r="M488" s="1"/>
  <c r="I464"/>
  <c r="I463" s="1"/>
  <c r="H447"/>
  <c r="H446" s="1"/>
  <c r="M447"/>
  <c r="L614" i="31"/>
  <c r="L614" i="30"/>
  <c r="L614" i="29"/>
  <c r="O553"/>
  <c r="I552"/>
  <c r="I551" s="1"/>
  <c r="K504"/>
  <c r="G503"/>
  <c r="G502" s="1"/>
  <c r="G501" s="1"/>
  <c r="G500" s="1"/>
  <c r="K480"/>
  <c r="G479"/>
  <c r="G553" i="30"/>
  <c r="G552" s="1"/>
  <c r="G551" s="1"/>
  <c r="K553"/>
  <c r="I462" i="29"/>
  <c r="I461" s="1"/>
  <c r="J594" i="31"/>
  <c r="J594" i="30"/>
  <c r="J594" i="29"/>
  <c r="I442"/>
  <c r="I441" s="1"/>
  <c r="L535" i="31"/>
  <c r="M535" s="1"/>
  <c r="L535" i="30"/>
  <c r="L535" i="29"/>
  <c r="K236" i="30"/>
  <c r="H630" i="31"/>
  <c r="H629" s="1"/>
  <c r="G615"/>
  <c r="G614" s="1"/>
  <c r="K615"/>
  <c r="L586"/>
  <c r="M586" s="1"/>
  <c r="L586" i="30"/>
  <c r="M586" s="1"/>
  <c r="L586" i="29"/>
  <c r="J568" i="31"/>
  <c r="J568" i="30"/>
  <c r="J568" i="29"/>
  <c r="N537" i="31"/>
  <c r="N537" i="30"/>
  <c r="N537" i="29"/>
  <c r="L514" i="31"/>
  <c r="M514" s="1"/>
  <c r="L514" i="30"/>
  <c r="L514" i="29"/>
  <c r="J492" i="31"/>
  <c r="J492" i="30"/>
  <c r="J492" i="29"/>
  <c r="G464"/>
  <c r="G463" s="1"/>
  <c r="K464"/>
  <c r="I445"/>
  <c r="I444" s="1"/>
  <c r="G630"/>
  <c r="G629" s="1"/>
  <c r="G628" s="1"/>
  <c r="K630"/>
  <c r="I523" i="30"/>
  <c r="I522" s="1"/>
  <c r="I617"/>
  <c r="I616" s="1"/>
  <c r="O617"/>
  <c r="I536"/>
  <c r="I535" s="1"/>
  <c r="G462"/>
  <c r="G461" s="1"/>
  <c r="G460" s="1"/>
  <c r="G459" s="1"/>
  <c r="G458" s="1"/>
  <c r="G457" s="1"/>
  <c r="G581" i="29"/>
  <c r="G580" s="1"/>
  <c r="G579" s="1"/>
  <c r="G578" s="1"/>
  <c r="K510"/>
  <c r="G509"/>
  <c r="G508" s="1"/>
  <c r="G507" s="1"/>
  <c r="G506" s="1"/>
  <c r="H442" i="30"/>
  <c r="H441" s="1"/>
  <c r="H437" s="1"/>
  <c r="G257" i="31"/>
  <c r="G256" s="1"/>
  <c r="H266" i="30"/>
  <c r="G621" i="31"/>
  <c r="G620" s="1"/>
  <c r="G619" s="1"/>
  <c r="K621"/>
  <c r="L594"/>
  <c r="L594" i="30"/>
  <c r="L594" i="29"/>
  <c r="J574" i="31"/>
  <c r="J574" i="30"/>
  <c r="J574" i="29"/>
  <c r="N545" i="31"/>
  <c r="N545" i="30"/>
  <c r="O545" s="1"/>
  <c r="N545" i="29"/>
  <c r="L522" i="31"/>
  <c r="L522" i="30"/>
  <c r="L522" i="29"/>
  <c r="J498" i="31"/>
  <c r="J498" i="30"/>
  <c r="J498" i="29"/>
  <c r="K498" s="1"/>
  <c r="I449" i="30"/>
  <c r="I448" s="1"/>
  <c r="O448" s="1"/>
  <c r="K638"/>
  <c r="I1490"/>
  <c r="I1489" s="1"/>
  <c r="I1488" s="1"/>
  <c r="I1481" s="1"/>
  <c r="O1500" i="29"/>
  <c r="H1490"/>
  <c r="H1489" s="1"/>
  <c r="H1488" s="1"/>
  <c r="H1481" s="1"/>
  <c r="O1501" i="31"/>
  <c r="M495" i="30"/>
  <c r="H494"/>
  <c r="I591" i="11"/>
  <c r="K639" i="30"/>
  <c r="I741" i="29"/>
  <c r="I733" s="1"/>
  <c r="I732" s="1"/>
  <c r="I731" s="1"/>
  <c r="O1494"/>
  <c r="I8" i="31"/>
  <c r="U9"/>
  <c r="I624" i="29"/>
  <c r="I623" s="1"/>
  <c r="I622" s="1"/>
  <c r="O624"/>
  <c r="H601"/>
  <c r="H600" s="1"/>
  <c r="H599" s="1"/>
  <c r="I577" i="30"/>
  <c r="I576" s="1"/>
  <c r="O577"/>
  <c r="M556" i="29"/>
  <c r="H555"/>
  <c r="H554" s="1"/>
  <c r="G536" i="30"/>
  <c r="G535" s="1"/>
  <c r="K536"/>
  <c r="H489" i="31"/>
  <c r="M489" s="1"/>
  <c r="G470"/>
  <c r="G469" s="1"/>
  <c r="K470"/>
  <c r="N446"/>
  <c r="N446" i="30"/>
  <c r="O446" s="1"/>
  <c r="N446" i="29"/>
  <c r="K1497"/>
  <c r="O630"/>
  <c r="I629"/>
  <c r="I628" s="1"/>
  <c r="H569"/>
  <c r="H568" s="1"/>
  <c r="H567" s="1"/>
  <c r="H566" s="1"/>
  <c r="I515"/>
  <c r="I514" s="1"/>
  <c r="I513" s="1"/>
  <c r="I512" s="1"/>
  <c r="I511" s="1"/>
  <c r="H464"/>
  <c r="H463" s="1"/>
  <c r="M464"/>
  <c r="I595" i="31"/>
  <c r="I594" s="1"/>
  <c r="O594" s="1"/>
  <c r="H538"/>
  <c r="H537" s="1"/>
  <c r="M538"/>
  <c r="I491"/>
  <c r="I490" s="1"/>
  <c r="G453"/>
  <c r="G452" s="1"/>
  <c r="G451" s="1"/>
  <c r="H627" i="29"/>
  <c r="H626" s="1"/>
  <c r="H625" s="1"/>
  <c r="O573" i="30"/>
  <c r="I572"/>
  <c r="H510"/>
  <c r="H509" s="1"/>
  <c r="H508" s="1"/>
  <c r="H507" s="1"/>
  <c r="H506" s="1"/>
  <c r="I470"/>
  <c r="I469" s="1"/>
  <c r="O470"/>
  <c r="H573"/>
  <c r="H572" s="1"/>
  <c r="H470" i="29"/>
  <c r="H469" s="1"/>
  <c r="K223" i="31"/>
  <c r="M1497" i="30"/>
  <c r="O253" i="29"/>
  <c r="K269" i="31"/>
  <c r="I255" i="29"/>
  <c r="H624" i="30"/>
  <c r="H623" s="1"/>
  <c r="H622" s="1"/>
  <c r="M624"/>
  <c r="H577" i="31"/>
  <c r="H576" s="1"/>
  <c r="G556"/>
  <c r="G555" s="1"/>
  <c r="G554" s="1"/>
  <c r="K556"/>
  <c r="I529"/>
  <c r="I528" s="1"/>
  <c r="I527" s="1"/>
  <c r="I526" s="1"/>
  <c r="I525" s="1"/>
  <c r="I524" s="1"/>
  <c r="O529"/>
  <c r="H504"/>
  <c r="H503" s="1"/>
  <c r="H502" s="1"/>
  <c r="H501" s="1"/>
  <c r="H500" s="1"/>
  <c r="H488"/>
  <c r="I464"/>
  <c r="I463" s="1"/>
  <c r="O464"/>
  <c r="H447"/>
  <c r="H446" s="1"/>
  <c r="S9" i="30"/>
  <c r="G8"/>
  <c r="G624" i="29"/>
  <c r="G623" s="1"/>
  <c r="G622" s="1"/>
  <c r="I553" i="30"/>
  <c r="I552" s="1"/>
  <c r="I551" s="1"/>
  <c r="G504"/>
  <c r="G503" s="1"/>
  <c r="G502" s="1"/>
  <c r="G501" s="1"/>
  <c r="G500" s="1"/>
  <c r="G480"/>
  <c r="G479" s="1"/>
  <c r="K480"/>
  <c r="G553" i="29"/>
  <c r="G552" s="1"/>
  <c r="G551" s="1"/>
  <c r="G550" s="1"/>
  <c r="G549" s="1"/>
  <c r="G548" s="1"/>
  <c r="I462" i="30"/>
  <c r="I461" s="1"/>
  <c r="M232" i="29"/>
  <c r="K523"/>
  <c r="G522"/>
  <c r="I442" i="30"/>
  <c r="I441" s="1"/>
  <c r="I437" s="1"/>
  <c r="O237" i="31"/>
  <c r="O1490"/>
  <c r="O233"/>
  <c r="S9"/>
  <c r="G8"/>
  <c r="O638" i="29"/>
  <c r="T9" i="30"/>
  <c r="H8"/>
  <c r="M639" i="29"/>
  <c r="M1491"/>
  <c r="L629" i="31"/>
  <c r="L629" i="30"/>
  <c r="L629" i="29"/>
  <c r="J614" i="31"/>
  <c r="K614" s="1"/>
  <c r="J614" i="29"/>
  <c r="J614" i="30"/>
  <c r="I575" i="29"/>
  <c r="I574" s="1"/>
  <c r="H553"/>
  <c r="H552" s="1"/>
  <c r="M553"/>
  <c r="G529"/>
  <c r="G528" s="1"/>
  <c r="G527" s="1"/>
  <c r="G526" s="1"/>
  <c r="G525" s="1"/>
  <c r="G524" s="1"/>
  <c r="I499"/>
  <c r="I498" s="1"/>
  <c r="I497" s="1"/>
  <c r="I496" s="1"/>
  <c r="H485"/>
  <c r="H484" s="1"/>
  <c r="G464" i="30"/>
  <c r="G463" s="1"/>
  <c r="K464"/>
  <c r="I445"/>
  <c r="I444" s="1"/>
  <c r="I443" s="1"/>
  <c r="O1491"/>
  <c r="M262" i="29"/>
  <c r="M1501" i="30"/>
  <c r="M1494" i="31"/>
  <c r="G630"/>
  <c r="G629" s="1"/>
  <c r="G628" s="1"/>
  <c r="I523"/>
  <c r="I522" s="1"/>
  <c r="I617"/>
  <c r="I616" s="1"/>
  <c r="I536"/>
  <c r="I535" s="1"/>
  <c r="G462"/>
  <c r="G461" s="1"/>
  <c r="O269"/>
  <c r="G581" i="30"/>
  <c r="G580" s="1"/>
  <c r="G579" s="1"/>
  <c r="G578" s="1"/>
  <c r="K581"/>
  <c r="G510"/>
  <c r="G509" s="1"/>
  <c r="G508" s="1"/>
  <c r="G507" s="1"/>
  <c r="G506" s="1"/>
  <c r="G505" s="1"/>
  <c r="H442" i="31"/>
  <c r="H441" s="1"/>
  <c r="S77"/>
  <c r="G76"/>
  <c r="G1490"/>
  <c r="G1489" s="1"/>
  <c r="G1488" s="1"/>
  <c r="K254" i="30"/>
  <c r="J620" i="31"/>
  <c r="J620" i="29"/>
  <c r="J620" i="30"/>
  <c r="K620" s="1"/>
  <c r="I581"/>
  <c r="I580" s="1"/>
  <c r="I579" s="1"/>
  <c r="I578" s="1"/>
  <c r="M562" i="29"/>
  <c r="H561"/>
  <c r="H560" s="1"/>
  <c r="G538"/>
  <c r="G537" s="1"/>
  <c r="O510"/>
  <c r="I509"/>
  <c r="H491"/>
  <c r="H490" s="1"/>
  <c r="I449" i="31"/>
  <c r="I448" s="1"/>
  <c r="K638"/>
  <c r="O1492" i="30"/>
  <c r="M227"/>
  <c r="H733"/>
  <c r="H732" s="1"/>
  <c r="H731" s="1"/>
  <c r="O1500"/>
  <c r="G562" i="29"/>
  <c r="G561" s="1"/>
  <c r="G560" s="1"/>
  <c r="G559" s="1"/>
  <c r="G558" s="1"/>
  <c r="G557" s="1"/>
  <c r="K562"/>
  <c r="H495" i="31"/>
  <c r="H494" s="1"/>
  <c r="N437"/>
  <c r="N437" i="30"/>
  <c r="N437" i="29"/>
  <c r="N543" i="31"/>
  <c r="N543" i="30"/>
  <c r="N543" i="29"/>
  <c r="G544" i="31"/>
  <c r="G543" s="1"/>
  <c r="I595" i="29"/>
  <c r="I594" s="1"/>
  <c r="H577"/>
  <c r="H576" s="1"/>
  <c r="M577"/>
  <c r="I529"/>
  <c r="I528" s="1"/>
  <c r="O529"/>
  <c r="I464"/>
  <c r="I463" s="1"/>
  <c r="O464"/>
  <c r="N484" i="31"/>
  <c r="N484" i="30"/>
  <c r="N484" i="29"/>
  <c r="G215" i="30"/>
  <c r="H587" i="31"/>
  <c r="H586" s="1"/>
  <c r="H585" s="1"/>
  <c r="H584" s="1"/>
  <c r="H583" s="1"/>
  <c r="H582" s="1"/>
  <c r="M587"/>
  <c r="G493"/>
  <c r="G492" s="1"/>
  <c r="U43" i="30"/>
  <c r="I42"/>
  <c r="G630"/>
  <c r="G629" s="1"/>
  <c r="G628" s="1"/>
  <c r="H442" i="29"/>
  <c r="H441" s="1"/>
  <c r="H595" i="31"/>
  <c r="H594" s="1"/>
  <c r="M594" s="1"/>
  <c r="I475" i="11"/>
  <c r="J1490" i="31"/>
  <c r="K1490" s="1"/>
  <c r="J1490" i="30"/>
  <c r="J1490" i="29"/>
  <c r="H556" i="30"/>
  <c r="H555" s="1"/>
  <c r="H554" s="1"/>
  <c r="K470"/>
  <c r="G469"/>
  <c r="I624"/>
  <c r="I623" s="1"/>
  <c r="I622" s="1"/>
  <c r="O624"/>
  <c r="G536" i="31"/>
  <c r="G535" s="1"/>
  <c r="H464" i="30"/>
  <c r="H463" s="1"/>
  <c r="L537" i="31"/>
  <c r="L537" i="30"/>
  <c r="M537" s="1"/>
  <c r="L537" i="29"/>
  <c r="H627" i="30"/>
  <c r="H626" s="1"/>
  <c r="H625" s="1"/>
  <c r="H573" i="29"/>
  <c r="H572" s="1"/>
  <c r="H470" i="30"/>
  <c r="H469" s="1"/>
  <c r="H624" i="31"/>
  <c r="H623" s="1"/>
  <c r="H622" s="1"/>
  <c r="L576"/>
  <c r="L576" i="30"/>
  <c r="L576" i="29"/>
  <c r="J555" i="31"/>
  <c r="J555" i="30"/>
  <c r="J555" i="29"/>
  <c r="K555" s="1"/>
  <c r="N528" i="31"/>
  <c r="N528" i="30"/>
  <c r="N528" i="29"/>
  <c r="L503" i="31"/>
  <c r="L503" i="30"/>
  <c r="L503" i="29"/>
  <c r="N488" i="31"/>
  <c r="N488" i="30"/>
  <c r="N488" i="29"/>
  <c r="N463" i="31"/>
  <c r="N463" i="30"/>
  <c r="N463" i="29"/>
  <c r="L446" i="31"/>
  <c r="L446" i="30"/>
  <c r="M446" s="1"/>
  <c r="L446" i="29"/>
  <c r="M446" s="1"/>
  <c r="G624" i="30"/>
  <c r="G623" s="1"/>
  <c r="G622" s="1"/>
  <c r="I553" i="31"/>
  <c r="I552" s="1"/>
  <c r="I551" s="1"/>
  <c r="O553"/>
  <c r="G504"/>
  <c r="G503" s="1"/>
  <c r="G502" s="1"/>
  <c r="G501" s="1"/>
  <c r="G500" s="1"/>
  <c r="G480"/>
  <c r="G479" s="1"/>
  <c r="G553"/>
  <c r="G552" s="1"/>
  <c r="G551" s="1"/>
  <c r="I462"/>
  <c r="I461" s="1"/>
  <c r="O462"/>
  <c r="M232" i="30"/>
  <c r="G523"/>
  <c r="G522" s="1"/>
  <c r="I442" i="31"/>
  <c r="I441" s="1"/>
  <c r="I229"/>
  <c r="M638" i="29"/>
  <c r="I621"/>
  <c r="I620" s="1"/>
  <c r="I619" s="1"/>
  <c r="I575" i="30"/>
  <c r="I574" s="1"/>
  <c r="O575"/>
  <c r="H553"/>
  <c r="H552" s="1"/>
  <c r="H551" s="1"/>
  <c r="M553"/>
  <c r="K529"/>
  <c r="G528"/>
  <c r="G527" s="1"/>
  <c r="G526" s="1"/>
  <c r="I499"/>
  <c r="I498" s="1"/>
  <c r="I497" s="1"/>
  <c r="I496" s="1"/>
  <c r="H485"/>
  <c r="H484" s="1"/>
  <c r="M484" s="1"/>
  <c r="G464" i="31"/>
  <c r="G463" s="1"/>
  <c r="I445"/>
  <c r="I444" s="1"/>
  <c r="J629"/>
  <c r="J629" i="30"/>
  <c r="J629" i="29"/>
  <c r="K629" s="1"/>
  <c r="N522" i="31"/>
  <c r="N522" i="30"/>
  <c r="O522" s="1"/>
  <c r="N522" i="29"/>
  <c r="N616" i="31"/>
  <c r="N616" i="30"/>
  <c r="N616" i="29"/>
  <c r="N535" i="31"/>
  <c r="O535" s="1"/>
  <c r="N535" i="30"/>
  <c r="N535" i="29"/>
  <c r="J461" i="31"/>
  <c r="J461" i="30"/>
  <c r="J461" i="29"/>
  <c r="G581" i="31"/>
  <c r="G580" s="1"/>
  <c r="G579" s="1"/>
  <c r="G578" s="1"/>
  <c r="G510"/>
  <c r="G509" s="1"/>
  <c r="G508" s="1"/>
  <c r="G507" s="1"/>
  <c r="G506" s="1"/>
  <c r="L441"/>
  <c r="L441" i="30"/>
  <c r="M441" s="1"/>
  <c r="L441" i="29"/>
  <c r="K671"/>
  <c r="G733" i="30"/>
  <c r="G732" s="1"/>
  <c r="G731" s="1"/>
  <c r="G251"/>
  <c r="G250" s="1"/>
  <c r="G249" s="1"/>
  <c r="G248" s="1"/>
  <c r="G247" s="1"/>
  <c r="I627" i="29"/>
  <c r="I626" s="1"/>
  <c r="I625" s="1"/>
  <c r="O627"/>
  <c r="I581"/>
  <c r="I580" s="1"/>
  <c r="I579" s="1"/>
  <c r="I578" s="1"/>
  <c r="H562" i="30"/>
  <c r="H561" s="1"/>
  <c r="H560" s="1"/>
  <c r="H559" s="1"/>
  <c r="H558" s="1"/>
  <c r="H557" s="1"/>
  <c r="M562"/>
  <c r="G538"/>
  <c r="G537" s="1"/>
  <c r="I510"/>
  <c r="I509" s="1"/>
  <c r="I508" s="1"/>
  <c r="I507" s="1"/>
  <c r="I506" s="1"/>
  <c r="H491"/>
  <c r="H490" s="1"/>
  <c r="N448" i="31"/>
  <c r="N448" i="30"/>
  <c r="N448" i="29"/>
  <c r="M760" i="30"/>
  <c r="T77" i="31"/>
  <c r="H76"/>
  <c r="O1500"/>
  <c r="G562" i="30"/>
  <c r="G561" s="1"/>
  <c r="G560" s="1"/>
  <c r="G559" s="1"/>
  <c r="G558" s="1"/>
  <c r="G557" s="1"/>
  <c r="L494" i="31"/>
  <c r="L494" i="30"/>
  <c r="L494" i="29"/>
  <c r="L600"/>
  <c r="L600" i="31"/>
  <c r="L600" i="30"/>
  <c r="J475" i="31"/>
  <c r="J475" i="30"/>
  <c r="J475" i="29"/>
  <c r="H542" i="11"/>
  <c r="K1500" i="30"/>
  <c r="O1501"/>
  <c r="G647" i="29"/>
  <c r="G646" s="1"/>
  <c r="O657"/>
  <c r="I624" i="31"/>
  <c r="I623" s="1"/>
  <c r="I622" s="1"/>
  <c r="H601"/>
  <c r="H600" s="1"/>
  <c r="H599" s="1"/>
  <c r="N576"/>
  <c r="N576" i="30"/>
  <c r="N576" i="29"/>
  <c r="L555" i="31"/>
  <c r="L555" i="30"/>
  <c r="M555" s="1"/>
  <c r="L555" i="29"/>
  <c r="M555" s="1"/>
  <c r="J535" i="31"/>
  <c r="J535" i="30"/>
  <c r="J535" i="29"/>
  <c r="K535" s="1"/>
  <c r="G495"/>
  <c r="G494" s="1"/>
  <c r="K495"/>
  <c r="I480"/>
  <c r="I479" s="1"/>
  <c r="O480"/>
  <c r="G442" i="30"/>
  <c r="G441" s="1"/>
  <c r="K224" i="31"/>
  <c r="O228" i="30"/>
  <c r="K253" i="29"/>
  <c r="I630" i="31"/>
  <c r="I629" s="1"/>
  <c r="I628" s="1"/>
  <c r="O630"/>
  <c r="H569"/>
  <c r="H568" s="1"/>
  <c r="H567" s="1"/>
  <c r="H566" s="1"/>
  <c r="I515"/>
  <c r="I514" s="1"/>
  <c r="I513" s="1"/>
  <c r="O515"/>
  <c r="H464"/>
  <c r="H463" s="1"/>
  <c r="O254" i="30"/>
  <c r="H621" i="29"/>
  <c r="H620" s="1"/>
  <c r="H619" s="1"/>
  <c r="M621"/>
  <c r="O562"/>
  <c r="I561"/>
  <c r="I560" s="1"/>
  <c r="I559" s="1"/>
  <c r="I558" s="1"/>
  <c r="I557" s="1"/>
  <c r="H499"/>
  <c r="H498" s="1"/>
  <c r="H497" s="1"/>
  <c r="H496" s="1"/>
  <c r="M499"/>
  <c r="G485"/>
  <c r="G484" s="1"/>
  <c r="H627" i="31"/>
  <c r="H626" s="1"/>
  <c r="H625" s="1"/>
  <c r="N572"/>
  <c r="N572" i="30"/>
  <c r="N572" i="29"/>
  <c r="L509" i="31"/>
  <c r="M509" s="1"/>
  <c r="L509" i="30"/>
  <c r="L509" i="29"/>
  <c r="M509" s="1"/>
  <c r="N469" i="31"/>
  <c r="N469" i="30"/>
  <c r="N469" i="29"/>
  <c r="K262"/>
  <c r="H573" i="31"/>
  <c r="H572" s="1"/>
  <c r="M573"/>
  <c r="H470"/>
  <c r="H469" s="1"/>
  <c r="M657" i="29"/>
  <c r="G655" i="31"/>
  <c r="G647" s="1"/>
  <c r="G646" s="1"/>
  <c r="L623"/>
  <c r="M623" s="1"/>
  <c r="L623" i="30"/>
  <c r="L623" i="29"/>
  <c r="M623" s="1"/>
  <c r="H592"/>
  <c r="H591" s="1"/>
  <c r="I569"/>
  <c r="I568" s="1"/>
  <c r="I567" s="1"/>
  <c r="I566" s="1"/>
  <c r="M544"/>
  <c r="H543"/>
  <c r="G521"/>
  <c r="G520" s="1"/>
  <c r="K521"/>
  <c r="I493"/>
  <c r="I492" s="1"/>
  <c r="O492" s="1"/>
  <c r="M480"/>
  <c r="H479"/>
  <c r="K456"/>
  <c r="G455"/>
  <c r="G454" s="1"/>
  <c r="K1501" i="30"/>
  <c r="O760" i="29"/>
  <c r="G624" i="31"/>
  <c r="G623" s="1"/>
  <c r="G622" s="1"/>
  <c r="K624"/>
  <c r="N552"/>
  <c r="O552" s="1"/>
  <c r="N552" i="30"/>
  <c r="O552" s="1"/>
  <c r="N552" i="29"/>
  <c r="O552" s="1"/>
  <c r="J503" i="31"/>
  <c r="J503" i="30"/>
  <c r="K503" s="1"/>
  <c r="J503" i="29"/>
  <c r="K503" s="1"/>
  <c r="J479" i="31"/>
  <c r="J479" i="30"/>
  <c r="J479" i="29"/>
  <c r="K479" s="1"/>
  <c r="J552" i="31"/>
  <c r="K552" s="1"/>
  <c r="J552" i="30"/>
  <c r="J552" i="29"/>
  <c r="N461" i="31"/>
  <c r="N461" i="29"/>
  <c r="O461" s="1"/>
  <c r="N461" i="30"/>
  <c r="G523" i="31"/>
  <c r="G522" s="1"/>
  <c r="K523"/>
  <c r="N441"/>
  <c r="N441" i="30"/>
  <c r="N441" i="29"/>
  <c r="K228" i="31"/>
  <c r="M1491"/>
  <c r="M268" i="29"/>
  <c r="I621" i="30"/>
  <c r="I620" s="1"/>
  <c r="I619" s="1"/>
  <c r="O621"/>
  <c r="I575" i="31"/>
  <c r="I574" s="1"/>
  <c r="H553"/>
  <c r="H552" s="1"/>
  <c r="H551" s="1"/>
  <c r="G529"/>
  <c r="G528" s="1"/>
  <c r="G527" s="1"/>
  <c r="G526" s="1"/>
  <c r="G525" s="1"/>
  <c r="G524" s="1"/>
  <c r="I499"/>
  <c r="I498" s="1"/>
  <c r="I497" s="1"/>
  <c r="I496" s="1"/>
  <c r="H485"/>
  <c r="H484" s="1"/>
  <c r="J463"/>
  <c r="J463" i="30"/>
  <c r="J463" i="29"/>
  <c r="K463" s="1"/>
  <c r="N444" i="31"/>
  <c r="N444" i="30"/>
  <c r="N444" i="29"/>
  <c r="O223"/>
  <c r="K224"/>
  <c r="I215" i="30"/>
  <c r="G587"/>
  <c r="G586" s="1"/>
  <c r="G585" s="1"/>
  <c r="G584" s="1"/>
  <c r="G583" s="1"/>
  <c r="G582" s="1"/>
  <c r="K587"/>
  <c r="H581" i="29"/>
  <c r="H580" s="1"/>
  <c r="H579" s="1"/>
  <c r="H578" s="1"/>
  <c r="G491"/>
  <c r="G490" s="1"/>
  <c r="K491"/>
  <c r="H741"/>
  <c r="H733" s="1"/>
  <c r="H732" s="1"/>
  <c r="H731" s="1"/>
  <c r="J580" i="31"/>
  <c r="J580" i="30"/>
  <c r="K580" s="1"/>
  <c r="J580" i="29"/>
  <c r="J509" i="31"/>
  <c r="J509" i="30"/>
  <c r="J509" i="29"/>
  <c r="K509" s="1"/>
  <c r="O233"/>
  <c r="O1492" i="31"/>
  <c r="M760"/>
  <c r="O1496"/>
  <c r="O1494" i="30"/>
  <c r="M1492"/>
  <c r="I627"/>
  <c r="I626" s="1"/>
  <c r="I625" s="1"/>
  <c r="O627"/>
  <c r="I581" i="31"/>
  <c r="I580" s="1"/>
  <c r="I579" s="1"/>
  <c r="I578" s="1"/>
  <c r="H562"/>
  <c r="H561" s="1"/>
  <c r="H560" s="1"/>
  <c r="H559" s="1"/>
  <c r="H558" s="1"/>
  <c r="H557" s="1"/>
  <c r="G538"/>
  <c r="G537" s="1"/>
  <c r="K538"/>
  <c r="I510"/>
  <c r="I509" s="1"/>
  <c r="I508" s="1"/>
  <c r="I507" s="1"/>
  <c r="I506" s="1"/>
  <c r="H491"/>
  <c r="H490" s="1"/>
  <c r="M491"/>
  <c r="H462" i="29"/>
  <c r="H461" s="1"/>
  <c r="H460" s="1"/>
  <c r="H459" s="1"/>
  <c r="H458" s="1"/>
  <c r="H457" s="1"/>
  <c r="M462"/>
  <c r="G445"/>
  <c r="G444" s="1"/>
  <c r="K445"/>
  <c r="G1490" i="30"/>
  <c r="G1489" s="1"/>
  <c r="G1488" s="1"/>
  <c r="O236" i="29"/>
  <c r="G562" i="31"/>
  <c r="G561" s="1"/>
  <c r="G560" s="1"/>
  <c r="G559" s="1"/>
  <c r="G558" s="1"/>
  <c r="G557" s="1"/>
  <c r="K562"/>
  <c r="O1495" i="30"/>
  <c r="I556" i="29"/>
  <c r="I555" s="1"/>
  <c r="I554" s="1"/>
  <c r="O556"/>
  <c r="N487" i="31"/>
  <c r="N487" i="30"/>
  <c r="N487" i="29"/>
  <c r="G617" i="31"/>
  <c r="G616" s="1"/>
  <c r="K617"/>
  <c r="H489" i="29"/>
  <c r="M489"/>
  <c r="G447" i="31"/>
  <c r="G446" s="1"/>
  <c r="K447"/>
  <c r="L1490"/>
  <c r="L1490" i="30"/>
  <c r="L1490" i="29"/>
  <c r="M1490" s="1"/>
  <c r="H504"/>
  <c r="H503" s="1"/>
  <c r="H502" s="1"/>
  <c r="H501" s="1"/>
  <c r="H500" s="1"/>
  <c r="H615" i="31"/>
  <c r="H614" s="1"/>
  <c r="J576"/>
  <c r="J576" i="30"/>
  <c r="J576" i="29"/>
  <c r="L528" i="31"/>
  <c r="L528" i="30"/>
  <c r="L528" i="29"/>
  <c r="L574" i="31"/>
  <c r="L574" i="30"/>
  <c r="L574" i="29"/>
  <c r="L444" i="31"/>
  <c r="M444" s="1"/>
  <c r="L444" i="29"/>
  <c r="L444" i="30"/>
  <c r="J448" i="31"/>
  <c r="J448" i="30"/>
  <c r="J448" i="29"/>
  <c r="G615" i="30"/>
  <c r="G614" s="1"/>
  <c r="K615"/>
  <c r="I538" i="31"/>
  <c r="I537" s="1"/>
  <c r="O537" s="1"/>
  <c r="I523" i="29"/>
  <c r="I522" s="1"/>
  <c r="G462"/>
  <c r="G461" s="1"/>
  <c r="H523" i="31"/>
  <c r="H522" s="1"/>
  <c r="H495" i="29"/>
  <c r="H494" s="1"/>
  <c r="M494" s="1"/>
  <c r="H590" i="11"/>
  <c r="L591" i="31"/>
  <c r="L591" i="30"/>
  <c r="L591" i="29"/>
  <c r="N586" i="31"/>
  <c r="N586" i="30"/>
  <c r="N586" i="29"/>
  <c r="J460" i="31"/>
  <c r="J460" i="30"/>
  <c r="J460" i="29"/>
  <c r="H601" i="30"/>
  <c r="H600" s="1"/>
  <c r="H599" s="1"/>
  <c r="K442" i="29"/>
  <c r="G441"/>
  <c r="H569" i="30"/>
  <c r="H568" s="1"/>
  <c r="H567" s="1"/>
  <c r="H566" s="1"/>
  <c r="N594" i="31"/>
  <c r="N594" i="30"/>
  <c r="N594" i="29"/>
  <c r="J452" i="31"/>
  <c r="J452" i="30"/>
  <c r="K452" s="1"/>
  <c r="J452" i="29"/>
  <c r="I573" i="31"/>
  <c r="I572" s="1"/>
  <c r="I470"/>
  <c r="I469" s="1"/>
  <c r="N534"/>
  <c r="N534" i="30"/>
  <c r="N534" i="29"/>
  <c r="G647" i="30"/>
  <c r="G646" s="1"/>
  <c r="G573" i="29"/>
  <c r="G572" s="1"/>
  <c r="M521"/>
  <c r="H520"/>
  <c r="I480" i="30"/>
  <c r="I479" s="1"/>
  <c r="N629" i="31"/>
  <c r="O629" s="1"/>
  <c r="N629" i="30"/>
  <c r="O629" s="1"/>
  <c r="N629" i="29"/>
  <c r="L568" i="31"/>
  <c r="L568" i="30"/>
  <c r="L568" i="29"/>
  <c r="M568" s="1"/>
  <c r="N514" i="31"/>
  <c r="N514" i="30"/>
  <c r="N514" i="29"/>
  <c r="L463" i="31"/>
  <c r="M463" s="1"/>
  <c r="L463" i="30"/>
  <c r="M463" s="1"/>
  <c r="L463" i="29"/>
  <c r="M463" s="1"/>
  <c r="H621" i="30"/>
  <c r="H620" s="1"/>
  <c r="H619" s="1"/>
  <c r="H499"/>
  <c r="H498" s="1"/>
  <c r="H497" s="1"/>
  <c r="H496" s="1"/>
  <c r="H546" i="29"/>
  <c r="H545" s="1"/>
  <c r="M449"/>
  <c r="H448"/>
  <c r="M448" s="1"/>
  <c r="L572" i="31"/>
  <c r="M572" s="1"/>
  <c r="L572" i="30"/>
  <c r="M572" s="1"/>
  <c r="L572" i="29"/>
  <c r="K1496" i="30"/>
  <c r="I615" i="29"/>
  <c r="I614" s="1"/>
  <c r="I569" i="30"/>
  <c r="I568" s="1"/>
  <c r="I567" s="1"/>
  <c r="I566" s="1"/>
  <c r="O569"/>
  <c r="K521"/>
  <c r="G520"/>
  <c r="G519" s="1"/>
  <c r="G518" s="1"/>
  <c r="G517" s="1"/>
  <c r="G516" s="1"/>
  <c r="M480"/>
  <c r="H479"/>
  <c r="G577" i="29"/>
  <c r="G576" s="1"/>
  <c r="I485"/>
  <c r="I484" s="1"/>
  <c r="O485"/>
  <c r="G515"/>
  <c r="G514" s="1"/>
  <c r="K515"/>
  <c r="G449"/>
  <c r="G448" s="1"/>
  <c r="K448" s="1"/>
  <c r="I621" i="31"/>
  <c r="I620" s="1"/>
  <c r="I619" s="1"/>
  <c r="N574"/>
  <c r="N574" i="30"/>
  <c r="N574" i="29"/>
  <c r="J528" i="31"/>
  <c r="J528" i="30"/>
  <c r="J528" i="29"/>
  <c r="L484" i="31"/>
  <c r="L484" i="30"/>
  <c r="L484" i="29"/>
  <c r="H453"/>
  <c r="H452" s="1"/>
  <c r="H451" s="1"/>
  <c r="H450" s="1"/>
  <c r="M453"/>
  <c r="S51" i="30"/>
  <c r="G50"/>
  <c r="G587" i="29"/>
  <c r="G586" s="1"/>
  <c r="G585" s="1"/>
  <c r="G584" s="1"/>
  <c r="G583" s="1"/>
  <c r="G582" s="1"/>
  <c r="H581" i="30"/>
  <c r="H580" s="1"/>
  <c r="H579" s="1"/>
  <c r="H578" s="1"/>
  <c r="M581"/>
  <c r="K1494" i="31"/>
  <c r="G546" i="29"/>
  <c r="G545" s="1"/>
  <c r="L561" i="31"/>
  <c r="M561" s="1"/>
  <c r="L561" i="30"/>
  <c r="M561" s="1"/>
  <c r="L561" i="29"/>
  <c r="N509" i="31"/>
  <c r="O509" s="1"/>
  <c r="N509" i="30"/>
  <c r="N509" i="29"/>
  <c r="H462" i="30"/>
  <c r="H461" s="1"/>
  <c r="M462"/>
  <c r="G590" i="11"/>
  <c r="H613"/>
  <c r="M236" i="29"/>
  <c r="I229" i="30"/>
  <c r="I649" i="31"/>
  <c r="I648" s="1"/>
  <c r="I647" s="1"/>
  <c r="I646" s="1"/>
  <c r="K617" i="29"/>
  <c r="G616"/>
  <c r="G573" i="30"/>
  <c r="G572" s="1"/>
  <c r="K573"/>
  <c r="I544"/>
  <c r="I543" s="1"/>
  <c r="H521"/>
  <c r="H520" s="1"/>
  <c r="M521"/>
  <c r="G495" i="31"/>
  <c r="G494" s="1"/>
  <c r="I480"/>
  <c r="I479" s="1"/>
  <c r="O480"/>
  <c r="J441"/>
  <c r="J441" i="30"/>
  <c r="J441" i="29"/>
  <c r="U51" i="30"/>
  <c r="I50"/>
  <c r="M1496" i="29"/>
  <c r="O587"/>
  <c r="I586"/>
  <c r="I585" s="1"/>
  <c r="I584" s="1"/>
  <c r="I583" s="1"/>
  <c r="I582" s="1"/>
  <c r="K544"/>
  <c r="G543"/>
  <c r="G542" s="1"/>
  <c r="G541" s="1"/>
  <c r="G540" s="1"/>
  <c r="G539" s="1"/>
  <c r="H493"/>
  <c r="H492" s="1"/>
  <c r="K447"/>
  <c r="G446"/>
  <c r="H621" i="31"/>
  <c r="H620" s="1"/>
  <c r="H619" s="1"/>
  <c r="I562"/>
  <c r="I561" s="1"/>
  <c r="I560" s="1"/>
  <c r="I559" s="1"/>
  <c r="I558" s="1"/>
  <c r="I557" s="1"/>
  <c r="H499"/>
  <c r="H498" s="1"/>
  <c r="H497" s="1"/>
  <c r="M499"/>
  <c r="G485"/>
  <c r="G484" s="1"/>
  <c r="K485"/>
  <c r="O268" i="30"/>
  <c r="H546"/>
  <c r="H545" s="1"/>
  <c r="I495"/>
  <c r="I494" s="1"/>
  <c r="H449"/>
  <c r="H448" s="1"/>
  <c r="H617" i="29"/>
  <c r="H616" s="1"/>
  <c r="M616" s="1"/>
  <c r="M617"/>
  <c r="I521"/>
  <c r="I520" s="1"/>
  <c r="H214" i="31"/>
  <c r="H213" s="1"/>
  <c r="H212" s="1"/>
  <c r="K1497" i="30"/>
  <c r="I615"/>
  <c r="I614" s="1"/>
  <c r="H592" i="31"/>
  <c r="M592" s="1"/>
  <c r="I569"/>
  <c r="I568" s="1"/>
  <c r="I567" s="1"/>
  <c r="I566" s="1"/>
  <c r="O569"/>
  <c r="H544"/>
  <c r="H543" s="1"/>
  <c r="G521"/>
  <c r="G520" s="1"/>
  <c r="G519" s="1"/>
  <c r="G518" s="1"/>
  <c r="G517" s="1"/>
  <c r="G516" s="1"/>
  <c r="I493"/>
  <c r="I492" s="1"/>
  <c r="H480"/>
  <c r="H479" s="1"/>
  <c r="G456"/>
  <c r="G455" s="1"/>
  <c r="G454" s="1"/>
  <c r="O639" i="30"/>
  <c r="H655" i="31"/>
  <c r="K760" i="30"/>
  <c r="H615" i="29"/>
  <c r="H614" s="1"/>
  <c r="H613" s="1"/>
  <c r="H612" s="1"/>
  <c r="G577" i="30"/>
  <c r="G576" s="1"/>
  <c r="K577"/>
  <c r="H529"/>
  <c r="H528" s="1"/>
  <c r="M529"/>
  <c r="I485"/>
  <c r="I484" s="1"/>
  <c r="O485"/>
  <c r="O453"/>
  <c r="I452"/>
  <c r="I451" s="1"/>
  <c r="I450" s="1"/>
  <c r="H1490" i="31"/>
  <c r="H1489" s="1"/>
  <c r="H1488" s="1"/>
  <c r="H575" i="30"/>
  <c r="H574" s="1"/>
  <c r="G515"/>
  <c r="G514" s="1"/>
  <c r="G513" s="1"/>
  <c r="G512" s="1"/>
  <c r="G511" s="1"/>
  <c r="M445"/>
  <c r="H444"/>
  <c r="G595" i="29"/>
  <c r="G594" s="1"/>
  <c r="K595"/>
  <c r="I215"/>
  <c r="I214" s="1"/>
  <c r="I213" s="1"/>
  <c r="I212" s="1"/>
  <c r="M536"/>
  <c r="H535"/>
  <c r="G449" i="30"/>
  <c r="G448" s="1"/>
  <c r="K449"/>
  <c r="K269" i="29"/>
  <c r="M268" i="31"/>
  <c r="N620"/>
  <c r="O620" s="1"/>
  <c r="N620" i="30"/>
  <c r="N620" i="29"/>
  <c r="H587"/>
  <c r="H586" s="1"/>
  <c r="H585" s="1"/>
  <c r="H584" s="1"/>
  <c r="H583" s="1"/>
  <c r="H582" s="1"/>
  <c r="M587"/>
  <c r="G569"/>
  <c r="G568" s="1"/>
  <c r="G567" s="1"/>
  <c r="G566" s="1"/>
  <c r="I538"/>
  <c r="I537" s="1"/>
  <c r="O538"/>
  <c r="H515"/>
  <c r="H514" s="1"/>
  <c r="H513" s="1"/>
  <c r="H512" s="1"/>
  <c r="H511" s="1"/>
  <c r="G493"/>
  <c r="G492" s="1"/>
  <c r="K493"/>
  <c r="M453" i="30"/>
  <c r="H452"/>
  <c r="H451" s="1"/>
  <c r="H450" s="1"/>
  <c r="G587" i="31"/>
  <c r="G586" s="1"/>
  <c r="G585" s="1"/>
  <c r="G584" s="1"/>
  <c r="G583" s="1"/>
  <c r="G582" s="1"/>
  <c r="K587"/>
  <c r="H581"/>
  <c r="H580" s="1"/>
  <c r="H579" s="1"/>
  <c r="H578" s="1"/>
  <c r="K491"/>
  <c r="G490"/>
  <c r="O1492" i="29"/>
  <c r="K1495" i="31"/>
  <c r="G627" i="30"/>
  <c r="G626" s="1"/>
  <c r="G625" s="1"/>
  <c r="K627"/>
  <c r="G546"/>
  <c r="G545" s="1"/>
  <c r="I221" i="31"/>
  <c r="I215" s="1"/>
  <c r="I214" s="1"/>
  <c r="I213" s="1"/>
  <c r="I212" s="1"/>
  <c r="M1501" i="29"/>
  <c r="N626" i="31"/>
  <c r="N626" i="30"/>
  <c r="O626" s="1"/>
  <c r="N626" i="29"/>
  <c r="O626" s="1"/>
  <c r="H595" i="30"/>
  <c r="H594" s="1"/>
  <c r="G575" i="29"/>
  <c r="G574" s="1"/>
  <c r="K575"/>
  <c r="I546"/>
  <c r="I545" s="1"/>
  <c r="M523"/>
  <c r="H522"/>
  <c r="M522" s="1"/>
  <c r="G499"/>
  <c r="G498" s="1"/>
  <c r="G497" s="1"/>
  <c r="G496" s="1"/>
  <c r="H462" i="31"/>
  <c r="H461" s="1"/>
  <c r="H460" s="1"/>
  <c r="H459" s="1"/>
  <c r="H458" s="1"/>
  <c r="H457" s="1"/>
  <c r="G445"/>
  <c r="G444" s="1"/>
  <c r="K445"/>
  <c r="G259" i="30"/>
  <c r="G258" s="1"/>
  <c r="G257" s="1"/>
  <c r="G256" s="1"/>
  <c r="G255" s="1"/>
  <c r="K671"/>
  <c r="K1494" i="29"/>
  <c r="O236" i="31"/>
  <c r="I556"/>
  <c r="I555" s="1"/>
  <c r="I554" s="1"/>
  <c r="J572"/>
  <c r="J572" i="30"/>
  <c r="J572" i="29"/>
  <c r="K572" s="1"/>
  <c r="G470"/>
  <c r="G469" s="1"/>
  <c r="I587" i="31"/>
  <c r="I586" s="1"/>
  <c r="I585" s="1"/>
  <c r="I584" s="1"/>
  <c r="I583" s="1"/>
  <c r="I582" s="1"/>
  <c r="H538" i="29"/>
  <c r="H537" s="1"/>
  <c r="M538"/>
  <c r="G453"/>
  <c r="G452" s="1"/>
  <c r="G451" s="1"/>
  <c r="K453"/>
  <c r="N494" i="31"/>
  <c r="N494" i="30"/>
  <c r="N494" i="29"/>
  <c r="H617" i="31"/>
  <c r="H616" s="1"/>
  <c r="N614"/>
  <c r="N614" i="30"/>
  <c r="N614" i="29"/>
  <c r="H488"/>
  <c r="H487" s="1"/>
  <c r="J514" i="31"/>
  <c r="J514" i="30"/>
  <c r="J514" i="29"/>
  <c r="G595" i="31"/>
  <c r="G594" s="1"/>
  <c r="G590" s="1"/>
  <c r="G589" s="1"/>
  <c r="G588" s="1"/>
  <c r="H536"/>
  <c r="H535" s="1"/>
  <c r="G569"/>
  <c r="G568" s="1"/>
  <c r="G567" s="1"/>
  <c r="G566" s="1"/>
  <c r="K569"/>
  <c r="L452"/>
  <c r="L452" i="30"/>
  <c r="M452" s="1"/>
  <c r="L452" i="29"/>
  <c r="M452" s="1"/>
  <c r="O617"/>
  <c r="I616"/>
  <c r="J545" i="31"/>
  <c r="J545" i="29"/>
  <c r="J545" i="30"/>
  <c r="G621"/>
  <c r="G620" s="1"/>
  <c r="G619" s="1"/>
  <c r="K621"/>
  <c r="I546" i="31"/>
  <c r="I545" s="1"/>
  <c r="O449" i="29"/>
  <c r="I448"/>
  <c r="I613" i="11"/>
  <c r="M233" i="30"/>
  <c r="J616" i="31"/>
  <c r="J616" i="30"/>
  <c r="J616" i="29"/>
  <c r="I577"/>
  <c r="I576" s="1"/>
  <c r="H489" i="30"/>
  <c r="M489" s="1"/>
  <c r="I447" i="31"/>
  <c r="I446" s="1"/>
  <c r="L492"/>
  <c r="L492" i="30"/>
  <c r="L492" i="29"/>
  <c r="M492" s="1"/>
  <c r="I600" i="11"/>
  <c r="N601" i="31"/>
  <c r="N601" i="30"/>
  <c r="N601" i="29"/>
  <c r="J534" i="31"/>
  <c r="J534" i="30"/>
  <c r="J534" i="29"/>
  <c r="O638" i="31"/>
  <c r="I577"/>
  <c r="I576" s="1"/>
  <c r="H556"/>
  <c r="H555" s="1"/>
  <c r="H554" s="1"/>
  <c r="N489"/>
  <c r="N489" i="30"/>
  <c r="N489" i="29"/>
  <c r="J469" i="31"/>
  <c r="K469" s="1"/>
  <c r="J469" i="30"/>
  <c r="K469" s="1"/>
  <c r="J469" i="29"/>
  <c r="K469" s="1"/>
  <c r="U77" i="31"/>
  <c r="I76"/>
  <c r="I630" i="30"/>
  <c r="I629" s="1"/>
  <c r="I628" s="1"/>
  <c r="I515"/>
  <c r="I514" s="1"/>
  <c r="I513" s="1"/>
  <c r="I512" s="1"/>
  <c r="I511" s="1"/>
  <c r="O515"/>
  <c r="N490" i="31"/>
  <c r="N490" i="30"/>
  <c r="N490" i="29"/>
  <c r="H510" i="31"/>
  <c r="H509" s="1"/>
  <c r="H508" s="1"/>
  <c r="H507" s="1"/>
  <c r="H506" s="1"/>
  <c r="G265"/>
  <c r="G264" s="1"/>
  <c r="G263" s="1"/>
  <c r="L437"/>
  <c r="L437" i="30"/>
  <c r="M437" s="1"/>
  <c r="L437" i="29"/>
  <c r="L460" i="31"/>
  <c r="L460" i="30"/>
  <c r="L460" i="29"/>
  <c r="M460" s="1"/>
  <c r="N623" i="31"/>
  <c r="N623" i="30"/>
  <c r="N623" i="29"/>
  <c r="H593"/>
  <c r="M593" s="1"/>
  <c r="I544"/>
  <c r="I543" s="1"/>
  <c r="I542" s="1"/>
  <c r="I541" s="1"/>
  <c r="I540" s="1"/>
  <c r="I539" s="1"/>
  <c r="O544"/>
  <c r="G495" i="30"/>
  <c r="G494" s="1"/>
  <c r="G442" i="31"/>
  <c r="G441" s="1"/>
  <c r="I562" i="30"/>
  <c r="I561" s="1"/>
  <c r="I560" s="1"/>
  <c r="I559" s="1"/>
  <c r="I558" s="1"/>
  <c r="I557" s="1"/>
  <c r="G485"/>
  <c r="G484" s="1"/>
  <c r="K485"/>
  <c r="L626" i="31"/>
  <c r="M626" s="1"/>
  <c r="L626" i="30"/>
  <c r="M626" s="1"/>
  <c r="L626" i="29"/>
  <c r="O495"/>
  <c r="I494"/>
  <c r="O494" s="1"/>
  <c r="L469" i="31"/>
  <c r="M469" s="1"/>
  <c r="L469" i="30"/>
  <c r="L469" i="29"/>
  <c r="M657" i="30"/>
  <c r="M592"/>
  <c r="H591"/>
  <c r="H544"/>
  <c r="H543" s="1"/>
  <c r="M544"/>
  <c r="O493"/>
  <c r="I492"/>
  <c r="G456"/>
  <c r="G455" s="1"/>
  <c r="G454" s="1"/>
  <c r="M671" i="31"/>
  <c r="J623"/>
  <c r="K623" s="1"/>
  <c r="J623" i="30"/>
  <c r="J623" i="29"/>
  <c r="K623" s="1"/>
  <c r="H529"/>
  <c r="H528" s="1"/>
  <c r="H527" s="1"/>
  <c r="H526" s="1"/>
  <c r="H525" s="1"/>
  <c r="H524" s="1"/>
  <c r="M529"/>
  <c r="I453"/>
  <c r="I452" s="1"/>
  <c r="I451" s="1"/>
  <c r="I450" s="1"/>
  <c r="O453"/>
  <c r="H575"/>
  <c r="H574" s="1"/>
  <c r="M574" s="1"/>
  <c r="H445"/>
  <c r="H444" s="1"/>
  <c r="H443" s="1"/>
  <c r="J522" i="31"/>
  <c r="J522" i="30"/>
  <c r="K522" s="1"/>
  <c r="J522" i="29"/>
  <c r="L552" i="31"/>
  <c r="M552" s="1"/>
  <c r="L552" i="30"/>
  <c r="M552" s="1"/>
  <c r="L552" i="29"/>
  <c r="N498" i="31"/>
  <c r="O498" s="1"/>
  <c r="N498" i="29"/>
  <c r="O498" s="1"/>
  <c r="N498" i="30"/>
  <c r="G215" i="29"/>
  <c r="S44" i="30"/>
  <c r="G43"/>
  <c r="G491"/>
  <c r="G490" s="1"/>
  <c r="K491"/>
  <c r="G627" i="29"/>
  <c r="G626" s="1"/>
  <c r="G625" s="1"/>
  <c r="I1490" i="31"/>
  <c r="I1489" s="1"/>
  <c r="I1488" s="1"/>
  <c r="I655" i="29"/>
  <c r="I647" s="1"/>
  <c r="I646" s="1"/>
  <c r="H1490" i="30"/>
  <c r="H1489" s="1"/>
  <c r="H1488" s="1"/>
  <c r="I627" i="31"/>
  <c r="I626" s="1"/>
  <c r="I625" s="1"/>
  <c r="N580"/>
  <c r="O580" s="1"/>
  <c r="N580" i="30"/>
  <c r="O580" s="1"/>
  <c r="N580" i="29"/>
  <c r="J537" i="31"/>
  <c r="J537" i="30"/>
  <c r="J537" i="29"/>
  <c r="L490" i="31"/>
  <c r="L490" i="30"/>
  <c r="L490" i="29"/>
  <c r="G445" i="30"/>
  <c r="G444" s="1"/>
  <c r="G443" s="1"/>
  <c r="J561" i="31"/>
  <c r="J561" i="30"/>
  <c r="K561" s="1"/>
  <c r="J561" i="29"/>
  <c r="I556" i="30"/>
  <c r="I555" s="1"/>
  <c r="I554" s="1"/>
  <c r="L487" i="31"/>
  <c r="L487" i="30"/>
  <c r="L487" i="29"/>
  <c r="G542" i="11"/>
  <c r="H534"/>
  <c r="J437" i="31"/>
  <c r="J437" i="30"/>
  <c r="J437" i="29"/>
  <c r="M236" i="30"/>
  <c r="O227" i="29"/>
  <c r="G617" i="30"/>
  <c r="G616" s="1"/>
  <c r="K617"/>
  <c r="H593" i="31"/>
  <c r="M593"/>
  <c r="G573"/>
  <c r="G572" s="1"/>
  <c r="I544"/>
  <c r="I543" s="1"/>
  <c r="I542" s="1"/>
  <c r="I541" s="1"/>
  <c r="I540" s="1"/>
  <c r="I539" s="1"/>
  <c r="H521"/>
  <c r="H520" s="1"/>
  <c r="M521"/>
  <c r="J494"/>
  <c r="K494" s="1"/>
  <c r="J494" i="30"/>
  <c r="J494" i="29"/>
  <c r="N479" i="31"/>
  <c r="N479" i="30"/>
  <c r="O479" s="1"/>
  <c r="N479" i="29"/>
  <c r="I447"/>
  <c r="I446" s="1"/>
  <c r="O446" s="1"/>
  <c r="O447"/>
  <c r="O232"/>
  <c r="H215" i="30"/>
  <c r="H214" s="1"/>
  <c r="H213" s="1"/>
  <c r="H212" s="1"/>
  <c r="M639"/>
  <c r="I587"/>
  <c r="I586" s="1"/>
  <c r="I585" s="1"/>
  <c r="I584" s="1"/>
  <c r="I583" s="1"/>
  <c r="I582" s="1"/>
  <c r="O587"/>
  <c r="G544"/>
  <c r="G543" s="1"/>
  <c r="K544"/>
  <c r="H493"/>
  <c r="H492" s="1"/>
  <c r="M493"/>
  <c r="K447"/>
  <c r="G447"/>
  <c r="G446" s="1"/>
  <c r="L620" i="31"/>
  <c r="L620" i="30"/>
  <c r="L620" i="29"/>
  <c r="N561" i="31"/>
  <c r="O561" s="1"/>
  <c r="N561" i="30"/>
  <c r="N561" i="29"/>
  <c r="O561" s="1"/>
  <c r="L498" i="31"/>
  <c r="L498" i="30"/>
  <c r="M498" s="1"/>
  <c r="L498" i="29"/>
  <c r="J484" i="31"/>
  <c r="J484" i="30"/>
  <c r="J484" i="29"/>
  <c r="K484" s="1"/>
  <c r="O268" i="31"/>
  <c r="H546"/>
  <c r="H545" s="1"/>
  <c r="I495"/>
  <c r="I494" s="1"/>
  <c r="H449"/>
  <c r="H448" s="1"/>
  <c r="O1496" i="29"/>
  <c r="H617" i="30"/>
  <c r="H616" s="1"/>
  <c r="M617"/>
  <c r="I521"/>
  <c r="I520" s="1"/>
  <c r="I519" s="1"/>
  <c r="I518" s="1"/>
  <c r="I517" s="1"/>
  <c r="I516" s="1"/>
  <c r="O671" i="29"/>
  <c r="K236" i="31"/>
  <c r="O639"/>
  <c r="M261" i="29"/>
  <c r="O1501"/>
  <c r="M233"/>
  <c r="O615" i="31"/>
  <c r="I614"/>
  <c r="N592"/>
  <c r="N592" i="30"/>
  <c r="N592" i="29"/>
  <c r="I592" s="1"/>
  <c r="N568" i="31"/>
  <c r="O568" s="1"/>
  <c r="N568" i="30"/>
  <c r="N568" i="29"/>
  <c r="L543" i="31"/>
  <c r="L543" i="30"/>
  <c r="M543" s="1"/>
  <c r="L543" i="29"/>
  <c r="J520" i="31"/>
  <c r="J520" i="30"/>
  <c r="J520" i="29"/>
  <c r="K520" s="1"/>
  <c r="N492" i="31"/>
  <c r="N492" i="29"/>
  <c r="N492" i="30"/>
  <c r="O492" s="1"/>
  <c r="L479" i="31"/>
  <c r="L479" i="30"/>
  <c r="M479" s="1"/>
  <c r="L479" i="29"/>
  <c r="J455" i="31"/>
  <c r="K455" s="1"/>
  <c r="J455" i="30"/>
  <c r="J455" i="29"/>
  <c r="K455" s="1"/>
  <c r="O638" i="30"/>
  <c r="U9"/>
  <c r="I8"/>
  <c r="K760" i="31"/>
  <c r="H615" i="30"/>
  <c r="H614" s="1"/>
  <c r="M615"/>
  <c r="G577" i="31"/>
  <c r="G576" s="1"/>
  <c r="H529"/>
  <c r="H528" s="1"/>
  <c r="H527" s="1"/>
  <c r="H526" s="1"/>
  <c r="H525" s="1"/>
  <c r="H524" s="1"/>
  <c r="M529"/>
  <c r="I485"/>
  <c r="I484" s="1"/>
  <c r="I453"/>
  <c r="I452" s="1"/>
  <c r="I451" s="1"/>
  <c r="I450" s="1"/>
  <c r="O453"/>
  <c r="M269"/>
  <c r="H575"/>
  <c r="H574" s="1"/>
  <c r="M575"/>
  <c r="G515"/>
  <c r="G514" s="1"/>
  <c r="G513" s="1"/>
  <c r="G512" s="1"/>
  <c r="G511" s="1"/>
  <c r="H445"/>
  <c r="H444" s="1"/>
  <c r="M445"/>
  <c r="G595" i="30"/>
  <c r="G594" s="1"/>
  <c r="H536"/>
  <c r="H535" s="1"/>
  <c r="H534" s="1"/>
  <c r="H533" s="1"/>
  <c r="H532" s="1"/>
  <c r="H531" s="1"/>
  <c r="G449" i="31"/>
  <c r="G448" s="1"/>
  <c r="M237" i="29"/>
  <c r="K224" i="30"/>
  <c r="H215" i="29"/>
  <c r="H214" s="1"/>
  <c r="H213" s="1"/>
  <c r="H212" s="1"/>
  <c r="G255"/>
  <c r="H630"/>
  <c r="H629" s="1"/>
  <c r="H628" s="1"/>
  <c r="M630"/>
  <c r="G615"/>
  <c r="G614" s="1"/>
  <c r="G613" s="1"/>
  <c r="G612" s="1"/>
  <c r="H587" i="30"/>
  <c r="H586" s="1"/>
  <c r="H585" s="1"/>
  <c r="H584" s="1"/>
  <c r="H583" s="1"/>
  <c r="H582" s="1"/>
  <c r="M587"/>
  <c r="K569"/>
  <c r="G568"/>
  <c r="G567" s="1"/>
  <c r="G566" s="1"/>
  <c r="I538"/>
  <c r="I537" s="1"/>
  <c r="H515"/>
  <c r="H514" s="1"/>
  <c r="H513" s="1"/>
  <c r="H512" s="1"/>
  <c r="H511" s="1"/>
  <c r="G493"/>
  <c r="G492" s="1"/>
  <c r="H453" i="31"/>
  <c r="H452" s="1"/>
  <c r="H451" s="1"/>
  <c r="H450" s="1"/>
  <c r="K261" i="29"/>
  <c r="J586" i="31"/>
  <c r="J586" i="30"/>
  <c r="J586" i="29"/>
  <c r="L580" i="31"/>
  <c r="M580" s="1"/>
  <c r="L580" i="30"/>
  <c r="M580" s="1"/>
  <c r="L580" i="29"/>
  <c r="J490" i="31"/>
  <c r="J490" i="30"/>
  <c r="J490" i="29"/>
  <c r="I1490"/>
  <c r="I1489" s="1"/>
  <c r="I1488" s="1"/>
  <c r="I1481" s="1"/>
  <c r="G627" i="31"/>
  <c r="G626" s="1"/>
  <c r="G625" s="1"/>
  <c r="K627"/>
  <c r="G546"/>
  <c r="G545" s="1"/>
  <c r="H50" i="30"/>
  <c r="T51"/>
  <c r="H647" i="29"/>
  <c r="H646" s="1"/>
  <c r="G621"/>
  <c r="G620" s="1"/>
  <c r="G619" s="1"/>
  <c r="K621"/>
  <c r="H595"/>
  <c r="H594" s="1"/>
  <c r="G575" i="30"/>
  <c r="G574" s="1"/>
  <c r="I546"/>
  <c r="I545" s="1"/>
  <c r="O546"/>
  <c r="H523"/>
  <c r="H522" s="1"/>
  <c r="M523"/>
  <c r="G499"/>
  <c r="G498" s="1"/>
  <c r="G497" s="1"/>
  <c r="G496" s="1"/>
  <c r="L461" i="31"/>
  <c r="L461" i="30"/>
  <c r="L461" i="29"/>
  <c r="M461" s="1"/>
  <c r="J444" i="31"/>
  <c r="J444" i="30"/>
  <c r="J444" i="29"/>
  <c r="O1497" i="30"/>
  <c r="M1495"/>
  <c r="O1495" i="31"/>
  <c r="M269" i="29"/>
  <c r="H7" i="31"/>
  <c r="T8"/>
  <c r="N555"/>
  <c r="N555" i="30"/>
  <c r="O555" s="1"/>
  <c r="N555" i="29"/>
  <c r="O555" s="1"/>
  <c r="I1520" i="11"/>
  <c r="H1520"/>
  <c r="G1520"/>
  <c r="I1514"/>
  <c r="H1514"/>
  <c r="G1514"/>
  <c r="I1510"/>
  <c r="H1510"/>
  <c r="G1510"/>
  <c r="H1486"/>
  <c r="I1486"/>
  <c r="G1487"/>
  <c r="I1480"/>
  <c r="H1480"/>
  <c r="G1480"/>
  <c r="I1474"/>
  <c r="H1474"/>
  <c r="G1474"/>
  <c r="G1470"/>
  <c r="I1471"/>
  <c r="H1471"/>
  <c r="H1466"/>
  <c r="I1466"/>
  <c r="G1467"/>
  <c r="I1465"/>
  <c r="H1465"/>
  <c r="G1465"/>
  <c r="I1462"/>
  <c r="H1462"/>
  <c r="G1462"/>
  <c r="I1459"/>
  <c r="H1459"/>
  <c r="G1459"/>
  <c r="I1455"/>
  <c r="H1455"/>
  <c r="G1455"/>
  <c r="H1450"/>
  <c r="I1450"/>
  <c r="G1450"/>
  <c r="I1449"/>
  <c r="H1449"/>
  <c r="G1449"/>
  <c r="I1442"/>
  <c r="H1442"/>
  <c r="G1442"/>
  <c r="I1435"/>
  <c r="H1435"/>
  <c r="G1435"/>
  <c r="G1426"/>
  <c r="I1427"/>
  <c r="H1427"/>
  <c r="I1424"/>
  <c r="H1424"/>
  <c r="G1424"/>
  <c r="H1419"/>
  <c r="I1419"/>
  <c r="G1420"/>
  <c r="H1416"/>
  <c r="I1416"/>
  <c r="G1417"/>
  <c r="I1414"/>
  <c r="H1414"/>
  <c r="G1414"/>
  <c r="H1410"/>
  <c r="G1410"/>
  <c r="I1411"/>
  <c r="H571" i="29" l="1"/>
  <c r="H570" s="1"/>
  <c r="O445"/>
  <c r="I519"/>
  <c r="I518" s="1"/>
  <c r="I517" s="1"/>
  <c r="I516" s="1"/>
  <c r="K537" i="31"/>
  <c r="K543" i="29"/>
  <c r="M616" i="30"/>
  <c r="M446" i="31"/>
  <c r="M447"/>
  <c r="K444" i="29"/>
  <c r="K490" i="30"/>
  <c r="O492" i="31"/>
  <c r="O568" i="30"/>
  <c r="G542"/>
  <c r="G541" s="1"/>
  <c r="G540" s="1"/>
  <c r="G539" s="1"/>
  <c r="O544" i="31"/>
  <c r="O623" i="30"/>
  <c r="O447" i="31"/>
  <c r="H534"/>
  <c r="H533" s="1"/>
  <c r="H532" s="1"/>
  <c r="H531" s="1"/>
  <c r="M537" i="29"/>
  <c r="K577"/>
  <c r="O615"/>
  <c r="M546"/>
  <c r="M574" i="31"/>
  <c r="M504" i="29"/>
  <c r="O581" i="31"/>
  <c r="O469" i="30"/>
  <c r="M627" i="31"/>
  <c r="O522"/>
  <c r="O463" i="29"/>
  <c r="M503" i="31"/>
  <c r="M442" i="29"/>
  <c r="K538"/>
  <c r="K462" i="31"/>
  <c r="M485" i="29"/>
  <c r="I519" i="31"/>
  <c r="I518" s="1"/>
  <c r="I517" s="1"/>
  <c r="I516" s="1"/>
  <c r="M520" i="30"/>
  <c r="M492"/>
  <c r="O629" i="29"/>
  <c r="H443" i="31"/>
  <c r="K616" i="30"/>
  <c r="M469"/>
  <c r="K580" i="31"/>
  <c r="G475" i="30"/>
  <c r="K576" i="31"/>
  <c r="K455" i="30"/>
  <c r="K484" i="31"/>
  <c r="M620" i="30"/>
  <c r="M487" i="31"/>
  <c r="K442"/>
  <c r="H505"/>
  <c r="M556"/>
  <c r="O587"/>
  <c r="M574" i="30"/>
  <c r="K456" i="31"/>
  <c r="I475"/>
  <c r="M484" i="29"/>
  <c r="K448" i="30"/>
  <c r="M528" i="29"/>
  <c r="O461" i="31"/>
  <c r="O469"/>
  <c r="M494" i="30"/>
  <c r="O535"/>
  <c r="O442" i="31"/>
  <c r="M556" i="30"/>
  <c r="O484" i="29"/>
  <c r="M576"/>
  <c r="G460" i="31"/>
  <c r="G459" s="1"/>
  <c r="G458" s="1"/>
  <c r="G457" s="1"/>
  <c r="O499" i="29"/>
  <c r="O553" i="30"/>
  <c r="O463" i="31"/>
  <c r="M470" i="29"/>
  <c r="O446" i="31"/>
  <c r="K492" i="30"/>
  <c r="K568" i="29"/>
  <c r="M630" i="31"/>
  <c r="O520" i="30"/>
  <c r="K626"/>
  <c r="M493" i="31"/>
  <c r="M614" i="29"/>
  <c r="I613" i="31"/>
  <c r="I612" s="1"/>
  <c r="I611" s="1"/>
  <c r="I610" s="1"/>
  <c r="I609" s="1"/>
  <c r="I608" s="1"/>
  <c r="K546" i="30"/>
  <c r="O543"/>
  <c r="O568" i="29"/>
  <c r="M600"/>
  <c r="M510" i="30"/>
  <c r="K498" i="31"/>
  <c r="K444"/>
  <c r="M580" i="29"/>
  <c r="K493" i="30"/>
  <c r="K615" i="29"/>
  <c r="M449" i="31"/>
  <c r="M498" i="29"/>
  <c r="O498" i="30"/>
  <c r="K522" i="31"/>
  <c r="M510"/>
  <c r="O576" i="29"/>
  <c r="O546" i="31"/>
  <c r="O546" i="29"/>
  <c r="G486" i="31"/>
  <c r="O620" i="29"/>
  <c r="K576" i="30"/>
  <c r="M480" i="31"/>
  <c r="O615" i="30"/>
  <c r="O494"/>
  <c r="K495" i="31"/>
  <c r="I618"/>
  <c r="O514"/>
  <c r="O480" i="30"/>
  <c r="O470" i="31"/>
  <c r="O444" i="29"/>
  <c r="K552"/>
  <c r="K485"/>
  <c r="K535" i="30"/>
  <c r="M601" i="31"/>
  <c r="O528" i="30"/>
  <c r="M629" i="29"/>
  <c r="H487" i="31"/>
  <c r="K568" i="30"/>
  <c r="O594"/>
  <c r="K536" i="29"/>
  <c r="O447" i="30"/>
  <c r="M444" i="29"/>
  <c r="K580"/>
  <c r="O543"/>
  <c r="K499" i="31"/>
  <c r="O523"/>
  <c r="O623" i="29"/>
  <c r="K614" i="30"/>
  <c r="K575"/>
  <c r="M536"/>
  <c r="H613"/>
  <c r="H612" s="1"/>
  <c r="O495" i="31"/>
  <c r="K446" i="30"/>
  <c r="K573" i="31"/>
  <c r="K561" i="29"/>
  <c r="M445"/>
  <c r="O545" i="31"/>
  <c r="M515" i="29"/>
  <c r="O620" i="30"/>
  <c r="M615" i="29"/>
  <c r="O509" i="30"/>
  <c r="M621"/>
  <c r="G460" i="29"/>
  <c r="G459" s="1"/>
  <c r="G458" s="1"/>
  <c r="G457" s="1"/>
  <c r="O510" i="31"/>
  <c r="K552" i="30"/>
  <c r="O569" i="29"/>
  <c r="M509" i="30"/>
  <c r="K475"/>
  <c r="K562"/>
  <c r="K581" i="31"/>
  <c r="O528"/>
  <c r="M470" i="30"/>
  <c r="K536" i="31"/>
  <c r="K544"/>
  <c r="O617"/>
  <c r="O462" i="30"/>
  <c r="M504" i="31"/>
  <c r="G450"/>
  <c r="K581" i="29"/>
  <c r="I460"/>
  <c r="I459" s="1"/>
  <c r="I458" s="1"/>
  <c r="I457" s="1"/>
  <c r="K446"/>
  <c r="G534"/>
  <c r="G533" s="1"/>
  <c r="G532" s="1"/>
  <c r="G531" s="1"/>
  <c r="G530" s="1"/>
  <c r="O452" i="31"/>
  <c r="M448"/>
  <c r="G1413" i="11"/>
  <c r="J1414" i="31"/>
  <c r="J1414" i="30"/>
  <c r="J1414" i="29"/>
  <c r="H1426" i="11"/>
  <c r="L1427" i="31"/>
  <c r="L1427" i="30"/>
  <c r="L1427" i="29"/>
  <c r="G1464" i="11"/>
  <c r="J1465" i="31"/>
  <c r="J1465" i="30"/>
  <c r="J1465" i="29"/>
  <c r="J1470" i="31"/>
  <c r="K1470" s="1"/>
  <c r="J1470" i="30"/>
  <c r="K1470" s="1"/>
  <c r="J1470" i="29"/>
  <c r="K1470" s="1"/>
  <c r="G1519" i="11"/>
  <c r="J1520" i="31"/>
  <c r="J1520" i="30"/>
  <c r="J1520" i="29"/>
  <c r="U76" i="31"/>
  <c r="I75"/>
  <c r="I601" i="29"/>
  <c r="I600" s="1"/>
  <c r="I599" s="1"/>
  <c r="H542" i="31"/>
  <c r="H541" s="1"/>
  <c r="H540" s="1"/>
  <c r="H539" s="1"/>
  <c r="M591" i="29"/>
  <c r="H590"/>
  <c r="H589" s="1"/>
  <c r="H588" s="1"/>
  <c r="G505" i="31"/>
  <c r="I443"/>
  <c r="H559" i="29"/>
  <c r="H558" s="1"/>
  <c r="H557" s="1"/>
  <c r="O574"/>
  <c r="T43" i="30"/>
  <c r="H42"/>
  <c r="I1410" i="11"/>
  <c r="N1411" i="31"/>
  <c r="N1411" i="30"/>
  <c r="N1411" i="29"/>
  <c r="G1448" i="11"/>
  <c r="J1449" i="31"/>
  <c r="J1449" i="30"/>
  <c r="J1449" i="29"/>
  <c r="H1464" i="11"/>
  <c r="L1465" i="31"/>
  <c r="L1465" i="30"/>
  <c r="L1465" i="29"/>
  <c r="L1486" i="31"/>
  <c r="M1486" s="1"/>
  <c r="L1486" i="30"/>
  <c r="M1486" s="1"/>
  <c r="L1486" i="29"/>
  <c r="M1486" s="1"/>
  <c r="T50" i="30"/>
  <c r="H49"/>
  <c r="M620" i="31"/>
  <c r="N613"/>
  <c r="O613" s="1"/>
  <c r="N613" i="30"/>
  <c r="N613" i="29"/>
  <c r="M462" i="31"/>
  <c r="H1481"/>
  <c r="H496"/>
  <c r="K528" i="29"/>
  <c r="K576"/>
  <c r="K452"/>
  <c r="O586" i="30"/>
  <c r="M1490" i="31"/>
  <c r="H550"/>
  <c r="H549" s="1"/>
  <c r="H548" s="1"/>
  <c r="H547" s="1"/>
  <c r="M470"/>
  <c r="M555"/>
  <c r="K475"/>
  <c r="K629" i="30"/>
  <c r="O574"/>
  <c r="K479" i="31"/>
  <c r="G475"/>
  <c r="G474" s="1"/>
  <c r="G473" s="1"/>
  <c r="G472" s="1"/>
  <c r="I488"/>
  <c r="O488" s="1"/>
  <c r="N475"/>
  <c r="N475" i="30"/>
  <c r="O475" s="1"/>
  <c r="N475" i="29"/>
  <c r="O449" i="31"/>
  <c r="I460" i="30"/>
  <c r="I459" s="1"/>
  <c r="I458" s="1"/>
  <c r="I457" s="1"/>
  <c r="M522"/>
  <c r="O1490"/>
  <c r="J1410" i="31"/>
  <c r="K1410" s="1"/>
  <c r="J1410" i="30"/>
  <c r="K1410" s="1"/>
  <c r="J1410" i="29"/>
  <c r="K1410" s="1"/>
  <c r="G1419" i="11"/>
  <c r="J1420" i="31"/>
  <c r="J1420" i="30"/>
  <c r="J1420" i="29"/>
  <c r="G1420" s="1"/>
  <c r="J1426" i="31"/>
  <c r="K1426" s="1"/>
  <c r="J1426" i="30"/>
  <c r="K1426" s="1"/>
  <c r="J1426" i="29"/>
  <c r="K1426" s="1"/>
  <c r="H1448" i="11"/>
  <c r="L1449" i="31"/>
  <c r="H1449" s="1"/>
  <c r="L1449" i="30"/>
  <c r="L1449" i="29"/>
  <c r="G1458" i="11"/>
  <c r="J1459" i="31"/>
  <c r="J1459" i="30"/>
  <c r="J1459" i="29"/>
  <c r="I1464" i="11"/>
  <c r="N1465" i="31"/>
  <c r="I1465" s="1"/>
  <c r="N1465" i="30"/>
  <c r="N1465" i="29"/>
  <c r="H1473" i="11"/>
  <c r="L1474" i="31"/>
  <c r="H1474" s="1"/>
  <c r="L1474" i="30"/>
  <c r="L1474" i="29"/>
  <c r="G1509" i="11"/>
  <c r="J1510" i="31"/>
  <c r="J1510" i="30"/>
  <c r="J1510" i="29"/>
  <c r="G1510" s="1"/>
  <c r="I1519" i="11"/>
  <c r="N1520" i="31"/>
  <c r="N1520" i="30"/>
  <c r="I1520" s="1"/>
  <c r="N1520" i="29"/>
  <c r="K499" i="30"/>
  <c r="M595" i="29"/>
  <c r="K546" i="31"/>
  <c r="M453"/>
  <c r="K577"/>
  <c r="M543"/>
  <c r="O521" i="30"/>
  <c r="O479" i="31"/>
  <c r="G571"/>
  <c r="G570" s="1"/>
  <c r="G565" s="1"/>
  <c r="G564" s="1"/>
  <c r="G563" s="1"/>
  <c r="K437" i="29"/>
  <c r="O556" i="30"/>
  <c r="M490"/>
  <c r="O627" i="31"/>
  <c r="G486" i="30"/>
  <c r="G474" s="1"/>
  <c r="G473" s="1"/>
  <c r="G472" s="1"/>
  <c r="M575" i="29"/>
  <c r="H542" i="30"/>
  <c r="H541" s="1"/>
  <c r="H540" s="1"/>
  <c r="H539" s="1"/>
  <c r="O490"/>
  <c r="O577" i="31"/>
  <c r="I601"/>
  <c r="I600" s="1"/>
  <c r="I599" s="1"/>
  <c r="O601"/>
  <c r="O448" i="29"/>
  <c r="K545" i="31"/>
  <c r="M536"/>
  <c r="M488" i="29"/>
  <c r="K470"/>
  <c r="K499"/>
  <c r="M595" i="30"/>
  <c r="K545"/>
  <c r="M581" i="31"/>
  <c r="K569" i="29"/>
  <c r="K594"/>
  <c r="G590"/>
  <c r="G589" s="1"/>
  <c r="G588" s="1"/>
  <c r="M479" i="31"/>
  <c r="H475"/>
  <c r="I565"/>
  <c r="I564" s="1"/>
  <c r="O495" i="30"/>
  <c r="O562" i="31"/>
  <c r="O544" i="30"/>
  <c r="M461"/>
  <c r="H460"/>
  <c r="H459" s="1"/>
  <c r="H458" s="1"/>
  <c r="H457" s="1"/>
  <c r="K546" i="29"/>
  <c r="K528" i="30"/>
  <c r="K449" i="29"/>
  <c r="H475" i="30"/>
  <c r="M475" s="1"/>
  <c r="M499"/>
  <c r="O514"/>
  <c r="O586" i="31"/>
  <c r="M523"/>
  <c r="G613" i="30"/>
  <c r="G612" s="1"/>
  <c r="I214"/>
  <c r="I213" s="1"/>
  <c r="I212" s="1"/>
  <c r="M553" i="31"/>
  <c r="K503"/>
  <c r="G519" i="29"/>
  <c r="G518" s="1"/>
  <c r="G517" s="1"/>
  <c r="G516" s="1"/>
  <c r="M623" i="30"/>
  <c r="M600"/>
  <c r="O448" i="31"/>
  <c r="O616" i="29"/>
  <c r="K629" i="31"/>
  <c r="O499" i="30"/>
  <c r="O621" i="29"/>
  <c r="K523" i="30"/>
  <c r="K480" i="31"/>
  <c r="M503" i="29"/>
  <c r="K555" i="31"/>
  <c r="H467" i="30"/>
  <c r="H466" s="1"/>
  <c r="H465" s="1"/>
  <c r="H468"/>
  <c r="M464"/>
  <c r="G468"/>
  <c r="G467"/>
  <c r="G466" s="1"/>
  <c r="G465" s="1"/>
  <c r="O484"/>
  <c r="O543" i="31"/>
  <c r="M491" i="29"/>
  <c r="O581" i="30"/>
  <c r="K614" i="29"/>
  <c r="T8" i="30"/>
  <c r="H7"/>
  <c r="K553" i="29"/>
  <c r="K624"/>
  <c r="M488" i="31"/>
  <c r="M577"/>
  <c r="I468" i="30"/>
  <c r="I467"/>
  <c r="I466" s="1"/>
  <c r="I465" s="1"/>
  <c r="K453" i="31"/>
  <c r="G534" i="30"/>
  <c r="I590" i="11"/>
  <c r="N591" i="31"/>
  <c r="N591" i="30"/>
  <c r="N591" i="29"/>
  <c r="M522" i="31"/>
  <c r="M594" i="30"/>
  <c r="M442"/>
  <c r="O536"/>
  <c r="M514" i="29"/>
  <c r="K568" i="31"/>
  <c r="O442" i="29"/>
  <c r="G550" i="30"/>
  <c r="G549" s="1"/>
  <c r="G548" s="1"/>
  <c r="G547" s="1"/>
  <c r="M614"/>
  <c r="H487"/>
  <c r="M487" s="1"/>
  <c r="M576"/>
  <c r="G450"/>
  <c r="O535" i="29"/>
  <c r="I534"/>
  <c r="I533" s="1"/>
  <c r="I532" s="1"/>
  <c r="I531" s="1"/>
  <c r="I530" s="1"/>
  <c r="O452"/>
  <c r="O521" i="31"/>
  <c r="O491" i="29"/>
  <c r="I593"/>
  <c r="O593" s="1"/>
  <c r="L1419" i="31"/>
  <c r="M1419" s="1"/>
  <c r="L1419" i="30"/>
  <c r="M1419" s="1"/>
  <c r="L1419" i="29"/>
  <c r="M1419" s="1"/>
  <c r="N1416" i="31"/>
  <c r="O1416" s="1"/>
  <c r="N1416" i="30"/>
  <c r="O1416" s="1"/>
  <c r="N1416" i="29"/>
  <c r="O1416" s="1"/>
  <c r="I1441" i="11"/>
  <c r="N1442" i="31"/>
  <c r="N1442" i="30"/>
  <c r="N1442" i="29"/>
  <c r="I1442" s="1"/>
  <c r="H1454" i="11"/>
  <c r="L1455" i="31"/>
  <c r="L1455" i="30"/>
  <c r="L1455" i="29"/>
  <c r="N1486" i="31"/>
  <c r="O1486" s="1"/>
  <c r="N1486" i="30"/>
  <c r="O1486" s="1"/>
  <c r="N1486" i="29"/>
  <c r="O1486" s="1"/>
  <c r="U8" i="30"/>
  <c r="I7"/>
  <c r="I592" i="31"/>
  <c r="O592"/>
  <c r="K514"/>
  <c r="O586" i="29"/>
  <c r="M1490" i="30"/>
  <c r="H467" i="31"/>
  <c r="H466" s="1"/>
  <c r="H465" s="1"/>
  <c r="H468"/>
  <c r="G550"/>
  <c r="G549" s="1"/>
  <c r="G548" s="1"/>
  <c r="G547" s="1"/>
  <c r="I488" i="30"/>
  <c r="M616" i="31"/>
  <c r="I571" i="29"/>
  <c r="I570" s="1"/>
  <c r="I565" s="1"/>
  <c r="I564" s="1"/>
  <c r="M545" i="31"/>
  <c r="L1416"/>
  <c r="M1416" s="1"/>
  <c r="L1416" i="30"/>
  <c r="M1416" s="1"/>
  <c r="L1416" i="29"/>
  <c r="M1416" s="1"/>
  <c r="I1426" i="11"/>
  <c r="N1427" i="31"/>
  <c r="N1427" i="30"/>
  <c r="N1427" i="29"/>
  <c r="I1454" i="11"/>
  <c r="N1455" i="31"/>
  <c r="N1455" i="30"/>
  <c r="N1455" i="29"/>
  <c r="I1455" s="1"/>
  <c r="G1473" i="11"/>
  <c r="J1474" i="31"/>
  <c r="J1474" i="30"/>
  <c r="J1474" i="29"/>
  <c r="H1519" i="11"/>
  <c r="L1520" i="31"/>
  <c r="L1520" i="30"/>
  <c r="H1520" s="1"/>
  <c r="L1520" i="29"/>
  <c r="M461" i="31"/>
  <c r="K490"/>
  <c r="O538" i="30"/>
  <c r="K623"/>
  <c r="O562"/>
  <c r="M460" i="31"/>
  <c r="I601" i="30"/>
  <c r="I600" s="1"/>
  <c r="I599" s="1"/>
  <c r="G571" i="29"/>
  <c r="G570" s="1"/>
  <c r="M493"/>
  <c r="H519" i="30"/>
  <c r="H518" s="1"/>
  <c r="H517" s="1"/>
  <c r="H516" s="1"/>
  <c r="S50"/>
  <c r="G49"/>
  <c r="O614" i="29"/>
  <c r="O514"/>
  <c r="K441"/>
  <c r="G437"/>
  <c r="H618"/>
  <c r="H611" s="1"/>
  <c r="H610" s="1"/>
  <c r="H609" s="1"/>
  <c r="H608" s="1"/>
  <c r="O479"/>
  <c r="I475"/>
  <c r="M485" i="30"/>
  <c r="O441" i="31"/>
  <c r="I437"/>
  <c r="K555" i="30"/>
  <c r="U42"/>
  <c r="O616" i="31"/>
  <c r="I550" i="30"/>
  <c r="I549" s="1"/>
  <c r="I548" s="1"/>
  <c r="I547" s="1"/>
  <c r="K462"/>
  <c r="K492" i="31"/>
  <c r="M629"/>
  <c r="H628"/>
  <c r="K626"/>
  <c r="O490" i="29"/>
  <c r="L1410" i="31"/>
  <c r="M1410" s="1"/>
  <c r="L1410" i="30"/>
  <c r="M1410" s="1"/>
  <c r="L1410" i="29"/>
  <c r="M1410" s="1"/>
  <c r="N1419" i="31"/>
  <c r="O1419" s="1"/>
  <c r="N1419" i="30"/>
  <c r="O1419" s="1"/>
  <c r="N1419" i="29"/>
  <c r="O1419" s="1"/>
  <c r="G1434" i="11"/>
  <c r="J1435" i="31"/>
  <c r="J1435" i="30"/>
  <c r="J1435" i="29"/>
  <c r="I1448" i="11"/>
  <c r="N1449" i="31"/>
  <c r="N1449" i="30"/>
  <c r="N1449" i="29"/>
  <c r="H1458" i="11"/>
  <c r="L1459" i="31"/>
  <c r="L1459" i="30"/>
  <c r="L1459" i="29"/>
  <c r="G1466" i="11"/>
  <c r="J1467" i="31"/>
  <c r="J1467" i="30"/>
  <c r="J1467" i="29"/>
  <c r="I1473" i="11"/>
  <c r="N1474" i="31"/>
  <c r="N1474" i="30"/>
  <c r="N1474" i="29"/>
  <c r="H1509" i="11"/>
  <c r="L1510" i="31"/>
  <c r="L1510" i="30"/>
  <c r="L1510" i="29"/>
  <c r="H1510" s="1"/>
  <c r="M594"/>
  <c r="K595" i="30"/>
  <c r="M546" i="31"/>
  <c r="M498"/>
  <c r="M490"/>
  <c r="S43" i="30"/>
  <c r="G42"/>
  <c r="M591"/>
  <c r="H590"/>
  <c r="H589" s="1"/>
  <c r="H588" s="1"/>
  <c r="M626" i="29"/>
  <c r="O490" i="31"/>
  <c r="O576"/>
  <c r="N600" i="29"/>
  <c r="O600" s="1"/>
  <c r="N600" i="31"/>
  <c r="O600" s="1"/>
  <c r="N600" i="30"/>
  <c r="O600" s="1"/>
  <c r="O577" i="29"/>
  <c r="I613"/>
  <c r="I612" s="1"/>
  <c r="H530" i="31"/>
  <c r="M487" i="29"/>
  <c r="H486"/>
  <c r="O494" i="31"/>
  <c r="G467" i="29"/>
  <c r="G466" s="1"/>
  <c r="G465" s="1"/>
  <c r="G468"/>
  <c r="G565"/>
  <c r="G564" s="1"/>
  <c r="H443" i="30"/>
  <c r="O493" i="31"/>
  <c r="O521" i="29"/>
  <c r="M546" i="30"/>
  <c r="I542"/>
  <c r="I541" s="1"/>
  <c r="I540" s="1"/>
  <c r="I539" s="1"/>
  <c r="K545" i="29"/>
  <c r="K528" i="31"/>
  <c r="M572" i="29"/>
  <c r="I475" i="30"/>
  <c r="K452" i="31"/>
  <c r="M601" i="30"/>
  <c r="K462" i="29"/>
  <c r="M615" i="31"/>
  <c r="M485"/>
  <c r="O575"/>
  <c r="O441" i="30"/>
  <c r="G450" i="29"/>
  <c r="M543"/>
  <c r="H542"/>
  <c r="H541" s="1"/>
  <c r="H540" s="1"/>
  <c r="H539" s="1"/>
  <c r="H571" i="31"/>
  <c r="H570" s="1"/>
  <c r="M464"/>
  <c r="K494" i="29"/>
  <c r="M600" i="31"/>
  <c r="M491" i="30"/>
  <c r="O581" i="29"/>
  <c r="O616" i="30"/>
  <c r="I618" i="29"/>
  <c r="K504" i="31"/>
  <c r="M503" i="30"/>
  <c r="M573" i="29"/>
  <c r="M595" i="31"/>
  <c r="K493"/>
  <c r="O484"/>
  <c r="O595" i="29"/>
  <c r="M490"/>
  <c r="S76" i="31"/>
  <c r="G75"/>
  <c r="O445" i="30"/>
  <c r="K529" i="29"/>
  <c r="O442" i="30"/>
  <c r="G547" i="29"/>
  <c r="H486" i="31"/>
  <c r="M576"/>
  <c r="H505" i="30"/>
  <c r="O491" i="31"/>
  <c r="O515" i="29"/>
  <c r="O449" i="30"/>
  <c r="O545" i="29"/>
  <c r="H436" i="30"/>
  <c r="H435" s="1"/>
  <c r="H434" s="1"/>
  <c r="I534"/>
  <c r="I533" s="1"/>
  <c r="I532" s="1"/>
  <c r="I531" s="1"/>
  <c r="I443" i="29"/>
  <c r="M514" i="30"/>
  <c r="M586" i="29"/>
  <c r="O441"/>
  <c r="I437"/>
  <c r="G475"/>
  <c r="M614" i="31"/>
  <c r="M504" i="30"/>
  <c r="O520" i="29"/>
  <c r="O469"/>
  <c r="I467"/>
  <c r="I466" s="1"/>
  <c r="I465" s="1"/>
  <c r="I468"/>
  <c r="O491" i="30"/>
  <c r="K446" i="31"/>
  <c r="O452" i="30"/>
  <c r="M492" i="31"/>
  <c r="I593" i="30"/>
  <c r="O593"/>
  <c r="J1450" i="31"/>
  <c r="K1450" s="1"/>
  <c r="J1450" i="30"/>
  <c r="K1450" s="1"/>
  <c r="J1450" i="29"/>
  <c r="K1450" s="1"/>
  <c r="N1466" i="31"/>
  <c r="O1466" s="1"/>
  <c r="N1466" i="30"/>
  <c r="O1466" s="1"/>
  <c r="N1466" i="29"/>
  <c r="O1466" s="1"/>
  <c r="I1509" i="11"/>
  <c r="N1510" i="31"/>
  <c r="N1510" i="30"/>
  <c r="N1510" i="29"/>
  <c r="K594" i="30"/>
  <c r="G590"/>
  <c r="G589" s="1"/>
  <c r="G588" s="1"/>
  <c r="H618" i="31"/>
  <c r="H613"/>
  <c r="H612" s="1"/>
  <c r="H611" s="1"/>
  <c r="H610" s="1"/>
  <c r="H609" s="1"/>
  <c r="H608" s="1"/>
  <c r="M484"/>
  <c r="H486" i="30"/>
  <c r="K461" i="29"/>
  <c r="G525" i="30"/>
  <c r="G524" s="1"/>
  <c r="O509" i="29"/>
  <c r="I508"/>
  <c r="I507" s="1"/>
  <c r="I506" s="1"/>
  <c r="I505" s="1"/>
  <c r="I436" i="30"/>
  <c r="I435" s="1"/>
  <c r="I434" s="1"/>
  <c r="M448"/>
  <c r="I593" i="31"/>
  <c r="O593"/>
  <c r="G1423" i="11"/>
  <c r="J1424" i="31"/>
  <c r="J1424" i="30"/>
  <c r="J1424" i="29"/>
  <c r="I1434" i="11"/>
  <c r="N1435" i="31"/>
  <c r="N1435" i="30"/>
  <c r="N1435" i="29"/>
  <c r="G1461" i="11"/>
  <c r="J1462" i="31"/>
  <c r="G1462" s="1"/>
  <c r="G1461" s="1"/>
  <c r="G1460" s="1"/>
  <c r="J1462" i="30"/>
  <c r="G1462" s="1"/>
  <c r="G1461" s="1"/>
  <c r="G1460" s="1"/>
  <c r="J1462" i="29"/>
  <c r="G1462" s="1"/>
  <c r="G1461" s="1"/>
  <c r="G1460" s="1"/>
  <c r="H1479" i="11"/>
  <c r="L1480" i="31"/>
  <c r="L1480" i="30"/>
  <c r="L1480" i="29"/>
  <c r="H1480" s="1"/>
  <c r="O555" i="31"/>
  <c r="L534"/>
  <c r="M534" s="1"/>
  <c r="L534" i="30"/>
  <c r="M534" s="1"/>
  <c r="L534" i="29"/>
  <c r="M534" s="1"/>
  <c r="K537" i="30"/>
  <c r="G255" i="31"/>
  <c r="M621"/>
  <c r="K572" i="30"/>
  <c r="G571"/>
  <c r="G570" s="1"/>
  <c r="G565" s="1"/>
  <c r="G564" s="1"/>
  <c r="G563" s="1"/>
  <c r="H618"/>
  <c r="H611" s="1"/>
  <c r="H610" s="1"/>
  <c r="H609" s="1"/>
  <c r="H608" s="1"/>
  <c r="H519" i="29"/>
  <c r="H518" s="1"/>
  <c r="H517" s="1"/>
  <c r="H516" s="1"/>
  <c r="K509" i="30"/>
  <c r="M479" i="29"/>
  <c r="H475"/>
  <c r="I505" i="30"/>
  <c r="O522" i="29"/>
  <c r="O463" i="30"/>
  <c r="O437"/>
  <c r="K620" i="29"/>
  <c r="M441" i="31"/>
  <c r="H437"/>
  <c r="H436" s="1"/>
  <c r="H435" s="1"/>
  <c r="H434" s="1"/>
  <c r="H433" s="1"/>
  <c r="K630"/>
  <c r="H565" i="29"/>
  <c r="H564" s="1"/>
  <c r="U8" i="31"/>
  <c r="I7"/>
  <c r="G618"/>
  <c r="O537" i="29"/>
  <c r="O542"/>
  <c r="I1413" i="11"/>
  <c r="N1414" i="31"/>
  <c r="N1414" i="30"/>
  <c r="N1414" i="29"/>
  <c r="I1414" s="1"/>
  <c r="H1423" i="11"/>
  <c r="L1424" i="31"/>
  <c r="L1424" i="30"/>
  <c r="L1424" i="29"/>
  <c r="G1441" i="11"/>
  <c r="J1442" i="31"/>
  <c r="J1442" i="30"/>
  <c r="J1442" i="29"/>
  <c r="L1450" i="31"/>
  <c r="M1450" s="1"/>
  <c r="L1450" i="30"/>
  <c r="M1450" s="1"/>
  <c r="L1450" i="29"/>
  <c r="M1450" s="1"/>
  <c r="H1461" i="11"/>
  <c r="L1462" i="31"/>
  <c r="H1462" s="1"/>
  <c r="H1461" s="1"/>
  <c r="H1460" s="1"/>
  <c r="L1462" i="30"/>
  <c r="H1462" s="1"/>
  <c r="H1461" s="1"/>
  <c r="H1460" s="1"/>
  <c r="L1462" i="29"/>
  <c r="H1462" s="1"/>
  <c r="H1461" s="1"/>
  <c r="H1460" s="1"/>
  <c r="H1470" i="11"/>
  <c r="L1471" i="31"/>
  <c r="H1471" s="1"/>
  <c r="L1471" i="30"/>
  <c r="L1471" i="29"/>
  <c r="I1479" i="11"/>
  <c r="N1480" i="31"/>
  <c r="I1480" s="1"/>
  <c r="N1480" i="30"/>
  <c r="N1480" i="29"/>
  <c r="H1513" i="11"/>
  <c r="L1514" i="31"/>
  <c r="L1514" i="30"/>
  <c r="L1514" i="29"/>
  <c r="K586" i="30"/>
  <c r="M515"/>
  <c r="O485" i="31"/>
  <c r="K520" i="30"/>
  <c r="O592" i="29"/>
  <c r="J542" i="31"/>
  <c r="J542" i="30"/>
  <c r="K542" s="1"/>
  <c r="J542" i="29"/>
  <c r="K542" s="1"/>
  <c r="K561" i="31"/>
  <c r="I1481"/>
  <c r="K456" i="30"/>
  <c r="M469" i="29"/>
  <c r="K494" i="30"/>
  <c r="O623" i="31"/>
  <c r="I489" i="30"/>
  <c r="O489" s="1"/>
  <c r="O614" i="31"/>
  <c r="K572"/>
  <c r="O626"/>
  <c r="H534" i="29"/>
  <c r="H533" s="1"/>
  <c r="H532" s="1"/>
  <c r="H531" s="1"/>
  <c r="K515" i="30"/>
  <c r="K521" i="31"/>
  <c r="O614" i="30"/>
  <c r="I613"/>
  <c r="I612" s="1"/>
  <c r="G443" i="29"/>
  <c r="K616"/>
  <c r="J590" i="31"/>
  <c r="K590" s="1"/>
  <c r="J590" i="30"/>
  <c r="J590" i="29"/>
  <c r="K590" s="1"/>
  <c r="M561"/>
  <c r="O574" i="31"/>
  <c r="M568"/>
  <c r="I467"/>
  <c r="I466" s="1"/>
  <c r="I465" s="1"/>
  <c r="I468"/>
  <c r="K460" i="30"/>
  <c r="L590" i="31"/>
  <c r="L590" i="30"/>
  <c r="M590" s="1"/>
  <c r="L590" i="29"/>
  <c r="O523"/>
  <c r="O1490"/>
  <c r="K509" i="31"/>
  <c r="O444" i="30"/>
  <c r="O499" i="31"/>
  <c r="I618" i="30"/>
  <c r="K479"/>
  <c r="O572"/>
  <c r="I512" i="31"/>
  <c r="I511" s="1"/>
  <c r="I505" s="1"/>
  <c r="K441" i="30"/>
  <c r="G437"/>
  <c r="G436" s="1"/>
  <c r="G435" s="1"/>
  <c r="G434" s="1"/>
  <c r="G433" s="1"/>
  <c r="L542" i="31"/>
  <c r="M542" s="1"/>
  <c r="L542" i="30"/>
  <c r="M542" s="1"/>
  <c r="L542" i="29"/>
  <c r="O510" i="30"/>
  <c r="K461" i="31"/>
  <c r="K463"/>
  <c r="I460"/>
  <c r="I459" s="1"/>
  <c r="I458" s="1"/>
  <c r="I457" s="1"/>
  <c r="I550"/>
  <c r="I549" s="1"/>
  <c r="I548" s="1"/>
  <c r="I547" s="1"/>
  <c r="M624"/>
  <c r="M627" i="30"/>
  <c r="K1490" i="29"/>
  <c r="M441"/>
  <c r="H437"/>
  <c r="G542" i="31"/>
  <c r="G541" s="1"/>
  <c r="G540" s="1"/>
  <c r="G539" s="1"/>
  <c r="O437"/>
  <c r="K537" i="29"/>
  <c r="K620" i="31"/>
  <c r="M442"/>
  <c r="O536"/>
  <c r="K463" i="30"/>
  <c r="M552" i="29"/>
  <c r="H551"/>
  <c r="H550" s="1"/>
  <c r="H549" s="1"/>
  <c r="H548" s="1"/>
  <c r="H547" s="1"/>
  <c r="G7" i="31"/>
  <c r="S8"/>
  <c r="K504" i="30"/>
  <c r="H571"/>
  <c r="H570" s="1"/>
  <c r="H565" s="1"/>
  <c r="H564" s="1"/>
  <c r="H563" s="1"/>
  <c r="M537" i="31"/>
  <c r="M569" i="29"/>
  <c r="G468" i="31"/>
  <c r="G467"/>
  <c r="G466" s="1"/>
  <c r="G465" s="1"/>
  <c r="O576" i="30"/>
  <c r="K498"/>
  <c r="K574" i="29"/>
  <c r="H265" i="30"/>
  <c r="H264" s="1"/>
  <c r="H263" s="1"/>
  <c r="H255" s="1"/>
  <c r="O537"/>
  <c r="M535" i="29"/>
  <c r="K594" i="31"/>
  <c r="H505" i="29"/>
  <c r="K543" i="31"/>
  <c r="K574"/>
  <c r="M545" i="29"/>
  <c r="H1434" i="11"/>
  <c r="L1435" i="31"/>
  <c r="L1435" i="30"/>
  <c r="L1435" i="29"/>
  <c r="I1458" i="11"/>
  <c r="N1459" i="31"/>
  <c r="N1459" i="30"/>
  <c r="N1459" i="29"/>
  <c r="G1479" i="11"/>
  <c r="J1480" i="31"/>
  <c r="J1480" i="30"/>
  <c r="J1480" i="29"/>
  <c r="H1481" i="30"/>
  <c r="M437" i="31"/>
  <c r="I571"/>
  <c r="I570" s="1"/>
  <c r="T76"/>
  <c r="H75"/>
  <c r="O594" i="29"/>
  <c r="S8" i="30"/>
  <c r="G7"/>
  <c r="H1413" i="11"/>
  <c r="L1414" i="31"/>
  <c r="L1414" i="30"/>
  <c r="L1414" i="29"/>
  <c r="N1450" i="31"/>
  <c r="O1450" s="1"/>
  <c r="N1450" i="30"/>
  <c r="O1450" s="1"/>
  <c r="N1450" i="29"/>
  <c r="O1450" s="1"/>
  <c r="L1466" i="31"/>
  <c r="M1466" s="1"/>
  <c r="L1466" i="30"/>
  <c r="M1466" s="1"/>
  <c r="L1466" i="29"/>
  <c r="M1466" s="1"/>
  <c r="G1513" i="11"/>
  <c r="J1514" i="31"/>
  <c r="J1514" i="30"/>
  <c r="G1514" s="1"/>
  <c r="J1514" i="29"/>
  <c r="K444" i="30"/>
  <c r="G618" i="29"/>
  <c r="G611" s="1"/>
  <c r="G610" s="1"/>
  <c r="G609" s="1"/>
  <c r="G608" s="1"/>
  <c r="K586"/>
  <c r="O561" i="30"/>
  <c r="H591" i="31"/>
  <c r="H590" s="1"/>
  <c r="H589" s="1"/>
  <c r="H588" s="1"/>
  <c r="K441"/>
  <c r="G437"/>
  <c r="I489" i="29"/>
  <c r="O489" s="1"/>
  <c r="K595" i="31"/>
  <c r="H647"/>
  <c r="H646" s="1"/>
  <c r="L613"/>
  <c r="M613" s="1"/>
  <c r="L613" i="30"/>
  <c r="M613" s="1"/>
  <c r="L613" i="29"/>
  <c r="M613" s="1"/>
  <c r="K514"/>
  <c r="G513"/>
  <c r="G512" s="1"/>
  <c r="G511" s="1"/>
  <c r="G505" s="1"/>
  <c r="M568" i="30"/>
  <c r="K448" i="31"/>
  <c r="K490" i="29"/>
  <c r="G486"/>
  <c r="O572"/>
  <c r="K461" i="30"/>
  <c r="O445" i="31"/>
  <c r="K535"/>
  <c r="G534"/>
  <c r="G533" s="1"/>
  <c r="G532" s="1"/>
  <c r="G531" s="1"/>
  <c r="M629" i="30"/>
  <c r="K522" i="29"/>
  <c r="H468"/>
  <c r="H467"/>
  <c r="H466" s="1"/>
  <c r="H465" s="1"/>
  <c r="I571" i="30"/>
  <c r="I570" s="1"/>
  <c r="I565" s="1"/>
  <c r="I564" s="1"/>
  <c r="G1416" i="11"/>
  <c r="J1417" i="31"/>
  <c r="J1417" i="30"/>
  <c r="J1417" i="29"/>
  <c r="I1423" i="11"/>
  <c r="N1424" i="31"/>
  <c r="N1424" i="30"/>
  <c r="N1424" i="29"/>
  <c r="H1441" i="11"/>
  <c r="L1442" i="31"/>
  <c r="L1442" i="30"/>
  <c r="H1442" s="1"/>
  <c r="L1442" i="29"/>
  <c r="G1454" i="11"/>
  <c r="J1455" i="31"/>
  <c r="J1455" i="30"/>
  <c r="J1455" i="29"/>
  <c r="I1461" i="11"/>
  <c r="N1462" i="31"/>
  <c r="I1462" s="1"/>
  <c r="I1461" s="1"/>
  <c r="I1460" s="1"/>
  <c r="N1462" i="30"/>
  <c r="I1462" s="1"/>
  <c r="I1461" s="1"/>
  <c r="I1460" s="1"/>
  <c r="N1462" i="29"/>
  <c r="I1462" s="1"/>
  <c r="I1461" s="1"/>
  <c r="I1460" s="1"/>
  <c r="I1470" i="11"/>
  <c r="N1471" i="31"/>
  <c r="N1471" i="30"/>
  <c r="N1471" i="29"/>
  <c r="G1486" i="11"/>
  <c r="J1487" i="31"/>
  <c r="J1487" i="30"/>
  <c r="J1487" i="29"/>
  <c r="I1513" i="11"/>
  <c r="N1514" i="31"/>
  <c r="I1514" s="1"/>
  <c r="N1514" i="30"/>
  <c r="N1514" i="29"/>
  <c r="H6" i="31"/>
  <c r="T7"/>
  <c r="K586"/>
  <c r="K449"/>
  <c r="K515"/>
  <c r="K520"/>
  <c r="I592" i="30"/>
  <c r="O592" s="1"/>
  <c r="M620" i="29"/>
  <c r="H519" i="31"/>
  <c r="H518" s="1"/>
  <c r="H517" s="1"/>
  <c r="H516" s="1"/>
  <c r="K445" i="30"/>
  <c r="O580" i="29"/>
  <c r="K627"/>
  <c r="K484" i="30"/>
  <c r="K495"/>
  <c r="O630"/>
  <c r="I489" i="31"/>
  <c r="O489"/>
  <c r="K534"/>
  <c r="K616"/>
  <c r="G618" i="30"/>
  <c r="M452" i="31"/>
  <c r="K514" i="30"/>
  <c r="M617" i="31"/>
  <c r="O556"/>
  <c r="G443"/>
  <c r="M575" i="30"/>
  <c r="M528"/>
  <c r="H527"/>
  <c r="H526" s="1"/>
  <c r="H525" s="1"/>
  <c r="H524" s="1"/>
  <c r="M544" i="31"/>
  <c r="M449" i="30"/>
  <c r="U50"/>
  <c r="I49"/>
  <c r="K587" i="29"/>
  <c r="O621" i="31"/>
  <c r="K573" i="29"/>
  <c r="O573" i="31"/>
  <c r="M569" i="30"/>
  <c r="K460" i="31"/>
  <c r="M495" i="29"/>
  <c r="O538" i="31"/>
  <c r="M444" i="30"/>
  <c r="M528" i="31"/>
  <c r="M562"/>
  <c r="M581" i="29"/>
  <c r="O444" i="31"/>
  <c r="K529"/>
  <c r="O461" i="30"/>
  <c r="O493" i="29"/>
  <c r="M592"/>
  <c r="O572" i="31"/>
  <c r="M569"/>
  <c r="K442" i="30"/>
  <c r="O624" i="31"/>
  <c r="K475" i="29"/>
  <c r="M494" i="31"/>
  <c r="K538" i="30"/>
  <c r="K510" i="31"/>
  <c r="K464"/>
  <c r="H550" i="30"/>
  <c r="H549" s="1"/>
  <c r="H548" s="1"/>
  <c r="H547" s="1"/>
  <c r="K553" i="31"/>
  <c r="K624" i="30"/>
  <c r="I488" i="29"/>
  <c r="O488" s="1"/>
  <c r="K1490" i="30"/>
  <c r="K630"/>
  <c r="O528" i="29"/>
  <c r="I527"/>
  <c r="I526" s="1"/>
  <c r="I525" s="1"/>
  <c r="I524" s="1"/>
  <c r="M495" i="31"/>
  <c r="K510" i="30"/>
  <c r="I534" i="31"/>
  <c r="I533" s="1"/>
  <c r="I532" s="1"/>
  <c r="I531" s="1"/>
  <c r="I530" s="1"/>
  <c r="O575" i="29"/>
  <c r="M573" i="30"/>
  <c r="M627" i="29"/>
  <c r="O595" i="31"/>
  <c r="M601" i="29"/>
  <c r="K574" i="30"/>
  <c r="O523"/>
  <c r="K492" i="29"/>
  <c r="G613" i="31"/>
  <c r="G612" s="1"/>
  <c r="G611" s="1"/>
  <c r="G610" s="1"/>
  <c r="G609" s="1"/>
  <c r="G608" s="1"/>
  <c r="M535" i="30"/>
  <c r="O462" i="29"/>
  <c r="I550"/>
  <c r="I549" s="1"/>
  <c r="I548" s="1"/>
  <c r="I547" s="1"/>
  <c r="O464" i="30"/>
  <c r="K556"/>
  <c r="O573" i="29"/>
  <c r="O595" i="30"/>
  <c r="K626" i="29"/>
  <c r="M630" i="30"/>
  <c r="M545"/>
  <c r="M520" i="29"/>
  <c r="M475" i="31"/>
  <c r="K613" i="29"/>
  <c r="O542" i="31"/>
  <c r="G1407" i="11"/>
  <c r="I1408"/>
  <c r="H1408"/>
  <c r="G1405"/>
  <c r="H1405"/>
  <c r="I1405"/>
  <c r="G1402"/>
  <c r="H1402"/>
  <c r="I1402"/>
  <c r="G1396"/>
  <c r="H1396"/>
  <c r="I1396"/>
  <c r="I1389"/>
  <c r="H1389"/>
  <c r="G1389"/>
  <c r="G1386"/>
  <c r="H1386"/>
  <c r="I1386"/>
  <c r="H1371"/>
  <c r="I1380"/>
  <c r="H1380"/>
  <c r="G1380"/>
  <c r="I1371"/>
  <c r="G1372"/>
  <c r="I1364"/>
  <c r="H1364"/>
  <c r="G1364"/>
  <c r="I1361"/>
  <c r="H1361"/>
  <c r="G1361"/>
  <c r="I1356"/>
  <c r="H1356"/>
  <c r="G1356"/>
  <c r="I530" i="30" l="1"/>
  <c r="I487"/>
  <c r="I486" s="1"/>
  <c r="G436" i="31"/>
  <c r="G435" s="1"/>
  <c r="G434" s="1"/>
  <c r="G433" s="1"/>
  <c r="O534" i="30"/>
  <c r="I591" i="31"/>
  <c r="I590" s="1"/>
  <c r="I589" s="1"/>
  <c r="I588" s="1"/>
  <c r="I563" s="1"/>
  <c r="O475"/>
  <c r="O460" i="29"/>
  <c r="G611" i="30"/>
  <c r="G610" s="1"/>
  <c r="G609" s="1"/>
  <c r="G608" s="1"/>
  <c r="I591" i="29"/>
  <c r="I590" s="1"/>
  <c r="I589" s="1"/>
  <c r="I588" s="1"/>
  <c r="I563" s="1"/>
  <c r="O534"/>
  <c r="O601"/>
  <c r="K460"/>
  <c r="H433" i="30"/>
  <c r="I487" i="29"/>
  <c r="O542" i="30"/>
  <c r="M542" i="29"/>
  <c r="G471" i="30"/>
  <c r="G471" i="31"/>
  <c r="O613" i="29"/>
  <c r="K534"/>
  <c r="O591"/>
  <c r="H530"/>
  <c r="O613" i="30"/>
  <c r="G1417"/>
  <c r="G1416" s="1"/>
  <c r="G1415" s="1"/>
  <c r="K1417"/>
  <c r="H1414"/>
  <c r="H1413" s="1"/>
  <c r="H1412" s="1"/>
  <c r="H1480" i="31"/>
  <c r="H1479" s="1"/>
  <c r="H1478" s="1"/>
  <c r="H1477" s="1"/>
  <c r="H1476" s="1"/>
  <c r="H1475" s="1"/>
  <c r="M1480"/>
  <c r="H1459"/>
  <c r="H1458" s="1"/>
  <c r="H1457" s="1"/>
  <c r="H1449" i="29"/>
  <c r="H1448" s="1"/>
  <c r="H1447" s="1"/>
  <c r="H1446" s="1"/>
  <c r="I1379" i="11"/>
  <c r="N1380" i="31"/>
  <c r="N1380" i="30"/>
  <c r="N1380" i="29"/>
  <c r="G1404" i="11"/>
  <c r="J1405" i="31"/>
  <c r="J1405" i="30"/>
  <c r="J1405" i="29"/>
  <c r="G1417" i="31"/>
  <c r="G1416" s="1"/>
  <c r="G1415" s="1"/>
  <c r="H1414"/>
  <c r="H1413" s="1"/>
  <c r="T75"/>
  <c r="I1459" i="30"/>
  <c r="I1458" s="1"/>
  <c r="I1457" s="1"/>
  <c r="O460" i="31"/>
  <c r="K542"/>
  <c r="I474" i="30"/>
  <c r="I473" s="1"/>
  <c r="I472" s="1"/>
  <c r="I471" s="1"/>
  <c r="L1458" i="31"/>
  <c r="L1458" i="30"/>
  <c r="L1458" i="29"/>
  <c r="H1455" i="30"/>
  <c r="H1454" s="1"/>
  <c r="H1453" s="1"/>
  <c r="H1452" s="1"/>
  <c r="G563" i="29"/>
  <c r="I1465" i="30"/>
  <c r="I1464" s="1"/>
  <c r="G1420" i="31"/>
  <c r="G1419" s="1"/>
  <c r="G1418" s="1"/>
  <c r="G1449" i="30"/>
  <c r="G1448" s="1"/>
  <c r="G1447" s="1"/>
  <c r="G1446" s="1"/>
  <c r="K1449"/>
  <c r="H1427" i="31"/>
  <c r="H1426" s="1"/>
  <c r="H1425" s="1"/>
  <c r="G1363" i="11"/>
  <c r="J1364" i="31"/>
  <c r="J1364" i="30"/>
  <c r="J1364" i="29"/>
  <c r="L1371" i="31"/>
  <c r="M1371" s="1"/>
  <c r="L1371" i="30"/>
  <c r="M1371" s="1"/>
  <c r="L1371" i="29"/>
  <c r="M1371" s="1"/>
  <c r="H1395" i="11"/>
  <c r="L1396" i="31"/>
  <c r="L1396" i="30"/>
  <c r="H1396" s="1"/>
  <c r="L1396" i="29"/>
  <c r="H1407" i="11"/>
  <c r="L1408" i="31"/>
  <c r="L1408" i="30"/>
  <c r="L1408" i="29"/>
  <c r="H5" i="31"/>
  <c r="T6"/>
  <c r="J1486"/>
  <c r="J1486" i="30"/>
  <c r="J1486" i="29"/>
  <c r="N1461" i="31"/>
  <c r="O1461" s="1"/>
  <c r="N1461" i="30"/>
  <c r="O1461" s="1"/>
  <c r="N1461" i="29"/>
  <c r="O1461" s="1"/>
  <c r="L1441" i="31"/>
  <c r="L1441" i="30"/>
  <c r="L1441" i="29"/>
  <c r="J1416" i="31"/>
  <c r="K1416" s="1"/>
  <c r="J1416" i="30"/>
  <c r="K1416" s="1"/>
  <c r="J1416" i="29"/>
  <c r="L1413" i="31"/>
  <c r="L1413" i="30"/>
  <c r="M1413" s="1"/>
  <c r="L1413" i="29"/>
  <c r="I1459" i="31"/>
  <c r="I1458" s="1"/>
  <c r="I1457" s="1"/>
  <c r="M437" i="29"/>
  <c r="H436"/>
  <c r="H435" s="1"/>
  <c r="H434" s="1"/>
  <c r="H433" s="1"/>
  <c r="K590" i="30"/>
  <c r="H1514"/>
  <c r="H1513" s="1"/>
  <c r="H1512" s="1"/>
  <c r="H1471"/>
  <c r="H1470" s="1"/>
  <c r="H1469" s="1"/>
  <c r="H1424" i="31"/>
  <c r="H1423" s="1"/>
  <c r="H1422" s="1"/>
  <c r="M1424"/>
  <c r="G1424" i="29"/>
  <c r="G1423" s="1"/>
  <c r="K1424"/>
  <c r="M1510"/>
  <c r="H1509"/>
  <c r="H1508" s="1"/>
  <c r="H1507" s="1"/>
  <c r="G1467"/>
  <c r="G1466" s="1"/>
  <c r="K1467"/>
  <c r="I1449"/>
  <c r="I1448" s="1"/>
  <c r="O475"/>
  <c r="O601" i="30"/>
  <c r="G1474" i="31"/>
  <c r="G1473" s="1"/>
  <c r="G1472" s="1"/>
  <c r="K1474"/>
  <c r="I1427"/>
  <c r="I1426" s="1"/>
  <c r="I1425" s="1"/>
  <c r="U7" i="30"/>
  <c r="I6"/>
  <c r="H1455" i="31"/>
  <c r="H1454" s="1"/>
  <c r="H1453" s="1"/>
  <c r="H1452" s="1"/>
  <c r="M1455"/>
  <c r="O591" i="30"/>
  <c r="G1510" i="31"/>
  <c r="G1509" s="1"/>
  <c r="K1510"/>
  <c r="O1465"/>
  <c r="I1464"/>
  <c r="M1449"/>
  <c r="H1448"/>
  <c r="H1447" s="1"/>
  <c r="H1446" s="1"/>
  <c r="J1419"/>
  <c r="K1419" s="1"/>
  <c r="J1419" i="30"/>
  <c r="J1419" i="29"/>
  <c r="G1449" i="31"/>
  <c r="G1448" s="1"/>
  <c r="G1447" s="1"/>
  <c r="G1446" s="1"/>
  <c r="M460" i="30"/>
  <c r="L1426" i="31"/>
  <c r="L1426" i="30"/>
  <c r="L1426" i="29"/>
  <c r="M1426" s="1"/>
  <c r="H1404" i="11"/>
  <c r="L1405" i="31"/>
  <c r="L1405" i="30"/>
  <c r="L1405" i="29"/>
  <c r="G1487" i="30"/>
  <c r="G1486" s="1"/>
  <c r="G1485" s="1"/>
  <c r="G1484" s="1"/>
  <c r="G1483" s="1"/>
  <c r="G1482" s="1"/>
  <c r="G1481" s="1"/>
  <c r="M1442"/>
  <c r="H1441"/>
  <c r="H1440" s="1"/>
  <c r="H1439" s="1"/>
  <c r="H1438" s="1"/>
  <c r="H1437" s="1"/>
  <c r="H1436" s="1"/>
  <c r="J1513" i="31"/>
  <c r="J1513" i="30"/>
  <c r="J1513" i="29"/>
  <c r="I1459"/>
  <c r="I1458" s="1"/>
  <c r="I1457" s="1"/>
  <c r="N1479" i="31"/>
  <c r="N1479" i="30"/>
  <c r="N1479" i="29"/>
  <c r="L1461" i="31"/>
  <c r="M1461" s="1"/>
  <c r="L1461" i="30"/>
  <c r="M1461" s="1"/>
  <c r="L1461" i="29"/>
  <c r="M1461" s="1"/>
  <c r="H1424"/>
  <c r="H1423" s="1"/>
  <c r="H1422" s="1"/>
  <c r="I1435" i="31"/>
  <c r="I1434" s="1"/>
  <c r="I1433" s="1"/>
  <c r="I1432" s="1"/>
  <c r="I1431" s="1"/>
  <c r="I1430" s="1"/>
  <c r="I1429" s="1"/>
  <c r="S75"/>
  <c r="I1474"/>
  <c r="I1473" s="1"/>
  <c r="I1472" s="1"/>
  <c r="G1435"/>
  <c r="G1434" s="1"/>
  <c r="G1433" s="1"/>
  <c r="G1432" s="1"/>
  <c r="G1431" s="1"/>
  <c r="G1430" s="1"/>
  <c r="G1429" s="1"/>
  <c r="K1435"/>
  <c r="G1474" i="29"/>
  <c r="G1473" s="1"/>
  <c r="G1472" s="1"/>
  <c r="I1427"/>
  <c r="I1426" s="1"/>
  <c r="I1425" s="1"/>
  <c r="H1455"/>
  <c r="H1454" s="1"/>
  <c r="H1453" s="1"/>
  <c r="H1452" s="1"/>
  <c r="K1510"/>
  <c r="G1509"/>
  <c r="G1508" s="1"/>
  <c r="G1507" s="1"/>
  <c r="G1506" s="1"/>
  <c r="G1505" s="1"/>
  <c r="I1465"/>
  <c r="I1464" s="1"/>
  <c r="G1420" i="30"/>
  <c r="G1419" s="1"/>
  <c r="G1418" s="1"/>
  <c r="G1449" i="29"/>
  <c r="G1448" s="1"/>
  <c r="T42" i="30"/>
  <c r="U75" i="31"/>
  <c r="H1427" i="30"/>
  <c r="H1426" s="1"/>
  <c r="H1425" s="1"/>
  <c r="M1427"/>
  <c r="I1360" i="11"/>
  <c r="N1361" i="31"/>
  <c r="I1361" s="1"/>
  <c r="N1361" i="30"/>
  <c r="N1361" i="29"/>
  <c r="I1395" i="11"/>
  <c r="N1396" i="31"/>
  <c r="N1396" i="30"/>
  <c r="N1396" i="29"/>
  <c r="G1487" i="31"/>
  <c r="G1486" s="1"/>
  <c r="G1485" s="1"/>
  <c r="G1484" s="1"/>
  <c r="H1442"/>
  <c r="H1441" s="1"/>
  <c r="H1440" s="1"/>
  <c r="H1439" s="1"/>
  <c r="H1438" s="1"/>
  <c r="H1437" s="1"/>
  <c r="H1436" s="1"/>
  <c r="M590"/>
  <c r="H1514" i="29"/>
  <c r="H1513" s="1"/>
  <c r="H1512" s="1"/>
  <c r="H1511" s="1"/>
  <c r="H1471"/>
  <c r="H1470" s="1"/>
  <c r="H1469" s="1"/>
  <c r="M1471"/>
  <c r="H1424" i="30"/>
  <c r="H1423" s="1"/>
  <c r="H1422" s="1"/>
  <c r="H1421" s="1"/>
  <c r="M475" i="29"/>
  <c r="H474"/>
  <c r="H473" s="1"/>
  <c r="H472" s="1"/>
  <c r="H471" s="1"/>
  <c r="L1479" i="31"/>
  <c r="L1479" i="30"/>
  <c r="L1479" i="29"/>
  <c r="N1434" i="31"/>
  <c r="N1434" i="30"/>
  <c r="O1434" s="1"/>
  <c r="N1434" i="29"/>
  <c r="K437" i="30"/>
  <c r="N1473" i="31"/>
  <c r="N1473" i="30"/>
  <c r="N1473" i="29"/>
  <c r="J1434" i="31"/>
  <c r="J1434" i="30"/>
  <c r="J1434" i="29"/>
  <c r="K1434" s="1"/>
  <c r="G1474" i="30"/>
  <c r="G1473" s="1"/>
  <c r="G1472" s="1"/>
  <c r="I1427"/>
  <c r="I1426" s="1"/>
  <c r="I1425" s="1"/>
  <c r="G1510"/>
  <c r="G1509" s="1"/>
  <c r="G1508" s="1"/>
  <c r="G1507" s="1"/>
  <c r="K1510"/>
  <c r="H1449"/>
  <c r="H1448" s="1"/>
  <c r="H1447" s="1"/>
  <c r="H1446" s="1"/>
  <c r="H1363" i="11"/>
  <c r="L1364" i="31"/>
  <c r="L1364" i="30"/>
  <c r="L1364" i="29"/>
  <c r="I1385" i="11"/>
  <c r="N1386" i="31"/>
  <c r="N1386" i="30"/>
  <c r="N1386" i="29"/>
  <c r="I1386" s="1"/>
  <c r="G1395" i="11"/>
  <c r="J1396" i="31"/>
  <c r="J1396" i="30"/>
  <c r="G1396" s="1"/>
  <c r="J1396" i="29"/>
  <c r="I1407" i="11"/>
  <c r="N1408" i="31"/>
  <c r="N1408" i="30"/>
  <c r="N1408" i="29"/>
  <c r="I1408" s="1"/>
  <c r="I1514"/>
  <c r="I1513" s="1"/>
  <c r="O1514"/>
  <c r="I1471"/>
  <c r="I1470" s="1"/>
  <c r="I1469" s="1"/>
  <c r="G1455"/>
  <c r="G1454" s="1"/>
  <c r="G1453" s="1"/>
  <c r="G1452" s="1"/>
  <c r="I1424"/>
  <c r="I1423" s="1"/>
  <c r="I1422" s="1"/>
  <c r="O460" i="30"/>
  <c r="G530" i="31"/>
  <c r="G432" s="1"/>
  <c r="G431" s="1"/>
  <c r="K437"/>
  <c r="N1458"/>
  <c r="N1458" i="30"/>
  <c r="N1458" i="29"/>
  <c r="H1514" i="31"/>
  <c r="H1513" s="1"/>
  <c r="H1512" s="1"/>
  <c r="H1511" s="1"/>
  <c r="M1471"/>
  <c r="H1470"/>
  <c r="H1469" s="1"/>
  <c r="L1423"/>
  <c r="M1423" s="1"/>
  <c r="L1423" i="30"/>
  <c r="L1423" i="29"/>
  <c r="I6" i="31"/>
  <c r="U7"/>
  <c r="G1424" i="30"/>
  <c r="G1423" s="1"/>
  <c r="G1422" s="1"/>
  <c r="G1421" s="1"/>
  <c r="I433"/>
  <c r="I1510" i="29"/>
  <c r="I1509" s="1"/>
  <c r="I1508" s="1"/>
  <c r="I1507" s="1"/>
  <c r="O1510"/>
  <c r="G474"/>
  <c r="G473" s="1"/>
  <c r="G472" s="1"/>
  <c r="G471" s="1"/>
  <c r="O487" i="30"/>
  <c r="I611" i="29"/>
  <c r="I610" s="1"/>
  <c r="I609" s="1"/>
  <c r="I608" s="1"/>
  <c r="H1510" i="30"/>
  <c r="H1509" s="1"/>
  <c r="H1508" s="1"/>
  <c r="H1507" s="1"/>
  <c r="G1467"/>
  <c r="G1466" s="1"/>
  <c r="I1449"/>
  <c r="I1448" s="1"/>
  <c r="I1447" s="1"/>
  <c r="I1446" s="1"/>
  <c r="J1473" i="31"/>
  <c r="K1473" s="1"/>
  <c r="J1473" i="30"/>
  <c r="J1473" i="29"/>
  <c r="N1426" i="31"/>
  <c r="O1426" s="1"/>
  <c r="N1426" i="30"/>
  <c r="N1426" i="29"/>
  <c r="H565" i="31"/>
  <c r="H564" s="1"/>
  <c r="H563" s="1"/>
  <c r="L1454"/>
  <c r="M1454" s="1"/>
  <c r="L1454" i="30"/>
  <c r="L1454" i="29"/>
  <c r="H474" i="30"/>
  <c r="H473" s="1"/>
  <c r="H472" s="1"/>
  <c r="H471" s="1"/>
  <c r="J1509" i="31"/>
  <c r="J1509" i="30"/>
  <c r="K1509" s="1"/>
  <c r="J1509" i="29"/>
  <c r="N1464" i="31"/>
  <c r="O1464" s="1"/>
  <c r="N1464" i="30"/>
  <c r="N1464" i="29"/>
  <c r="O1464" s="1"/>
  <c r="L1448" i="31"/>
  <c r="L1448" i="30"/>
  <c r="L1448" i="29"/>
  <c r="I487" i="31"/>
  <c r="J1448"/>
  <c r="J1448" i="30"/>
  <c r="K1448" s="1"/>
  <c r="J1448" i="29"/>
  <c r="G1465"/>
  <c r="G1464" s="1"/>
  <c r="G1414"/>
  <c r="G1413" s="1"/>
  <c r="G1412" s="1"/>
  <c r="H1379" i="11"/>
  <c r="L1380" i="31"/>
  <c r="L1380" i="30"/>
  <c r="L1380" i="29"/>
  <c r="G1355" i="11"/>
  <c r="J1356" i="31"/>
  <c r="J1356" i="30"/>
  <c r="J1356" i="29"/>
  <c r="I1363" i="11"/>
  <c r="N1364" i="31"/>
  <c r="N1364" i="30"/>
  <c r="N1364" i="29"/>
  <c r="H1385" i="11"/>
  <c r="L1386" i="31"/>
  <c r="L1386" i="30"/>
  <c r="L1386" i="29"/>
  <c r="H1386" s="1"/>
  <c r="G1406" i="11"/>
  <c r="J1407" i="31"/>
  <c r="K1407" s="1"/>
  <c r="J1407" i="30"/>
  <c r="K1407" s="1"/>
  <c r="J1407" i="29"/>
  <c r="K1407" s="1"/>
  <c r="I1514" i="30"/>
  <c r="I1513" s="1"/>
  <c r="I1512" s="1"/>
  <c r="I1511" s="1"/>
  <c r="O1514"/>
  <c r="I1471"/>
  <c r="I1470" s="1"/>
  <c r="I1469" s="1"/>
  <c r="I1424"/>
  <c r="I1423" s="1"/>
  <c r="I1422" s="1"/>
  <c r="M591" i="31"/>
  <c r="H1435" i="29"/>
  <c r="H1434" s="1"/>
  <c r="H1433" s="1"/>
  <c r="H1432" s="1"/>
  <c r="H1431" s="1"/>
  <c r="H1430" s="1"/>
  <c r="H1429" s="1"/>
  <c r="M1435"/>
  <c r="L1470" i="31"/>
  <c r="L1470" i="30"/>
  <c r="L1470" i="29"/>
  <c r="G1442"/>
  <c r="G1441" s="1"/>
  <c r="G1440" s="1"/>
  <c r="G1439" s="1"/>
  <c r="G1438" s="1"/>
  <c r="G1437" s="1"/>
  <c r="G1436" s="1"/>
  <c r="O437"/>
  <c r="I436"/>
  <c r="O1442"/>
  <c r="I1441"/>
  <c r="I1440" s="1"/>
  <c r="I1439" s="1"/>
  <c r="I1438" s="1"/>
  <c r="I1437" s="1"/>
  <c r="I1436" s="1"/>
  <c r="H1474"/>
  <c r="H1473" s="1"/>
  <c r="H1472" s="1"/>
  <c r="H1465"/>
  <c r="H1464" s="1"/>
  <c r="M1465"/>
  <c r="G1414" i="30"/>
  <c r="G1413" s="1"/>
  <c r="G1412" s="1"/>
  <c r="H1355" i="11"/>
  <c r="L1356" i="31"/>
  <c r="L1356" i="30"/>
  <c r="L1356" i="29"/>
  <c r="G1371" i="11"/>
  <c r="J1372" i="31"/>
  <c r="J1372" i="30"/>
  <c r="J1372" i="29"/>
  <c r="H1401" i="11"/>
  <c r="L1402" i="31"/>
  <c r="L1402" i="30"/>
  <c r="L1402" i="29"/>
  <c r="O1514" i="31"/>
  <c r="I1513"/>
  <c r="I1512" s="1"/>
  <c r="I1511" s="1"/>
  <c r="G1455"/>
  <c r="G1454" s="1"/>
  <c r="G1453" s="1"/>
  <c r="G1452" s="1"/>
  <c r="G1514" i="29"/>
  <c r="G1513" s="1"/>
  <c r="G1512" s="1"/>
  <c r="G1511" s="1"/>
  <c r="G1480" i="30"/>
  <c r="G1479" s="1"/>
  <c r="G1478" s="1"/>
  <c r="G1477" s="1"/>
  <c r="G1476" s="1"/>
  <c r="G1475" s="1"/>
  <c r="G1442"/>
  <c r="G1441" s="1"/>
  <c r="G1440" s="1"/>
  <c r="G1439" s="1"/>
  <c r="G1438" s="1"/>
  <c r="G1437" s="1"/>
  <c r="G1436" s="1"/>
  <c r="K1442"/>
  <c r="O1414"/>
  <c r="I1414"/>
  <c r="I1413" s="1"/>
  <c r="I1412" s="1"/>
  <c r="J1461" i="31"/>
  <c r="K1461" s="1"/>
  <c r="J1461" i="30"/>
  <c r="K1461" s="1"/>
  <c r="J1461" i="29"/>
  <c r="K1461" s="1"/>
  <c r="I1510" i="31"/>
  <c r="I1509" s="1"/>
  <c r="I1508" s="1"/>
  <c r="I1507" s="1"/>
  <c r="O1510"/>
  <c r="S42" i="30"/>
  <c r="L1509" i="31"/>
  <c r="L1509" i="30"/>
  <c r="M1509" s="1"/>
  <c r="L1509" i="29"/>
  <c r="M1509" s="1"/>
  <c r="N1448" i="31"/>
  <c r="N1448" i="30"/>
  <c r="N1448" i="29"/>
  <c r="M1520" i="30"/>
  <c r="H1519"/>
  <c r="H1518" s="1"/>
  <c r="H1517" s="1"/>
  <c r="H1516" s="1"/>
  <c r="H1515" s="1"/>
  <c r="I1455"/>
  <c r="I1454" s="1"/>
  <c r="I1453" s="1"/>
  <c r="I1452" s="1"/>
  <c r="I1442"/>
  <c r="I1441" s="1"/>
  <c r="I1440" s="1"/>
  <c r="I1439" s="1"/>
  <c r="I1438" s="1"/>
  <c r="I1437" s="1"/>
  <c r="I1436" s="1"/>
  <c r="H1474"/>
  <c r="H1473" s="1"/>
  <c r="H1472" s="1"/>
  <c r="G1459"/>
  <c r="G1458" s="1"/>
  <c r="G1457" s="1"/>
  <c r="K1459"/>
  <c r="H1465"/>
  <c r="H1464" s="1"/>
  <c r="M1465"/>
  <c r="G1465" i="31"/>
  <c r="G1464" s="1"/>
  <c r="I1355" i="11"/>
  <c r="N1356" i="31"/>
  <c r="N1356" i="30"/>
  <c r="N1356" i="29"/>
  <c r="G1401" i="11"/>
  <c r="J1402" i="31"/>
  <c r="J1402" i="30"/>
  <c r="J1402" i="29"/>
  <c r="U49" i="30"/>
  <c r="I48"/>
  <c r="N1513" i="31"/>
  <c r="N1513" i="30"/>
  <c r="N1513" i="29"/>
  <c r="N1470" i="31"/>
  <c r="N1470" i="30"/>
  <c r="O1470" s="1"/>
  <c r="N1470" i="29"/>
  <c r="O1470" s="1"/>
  <c r="J1454" i="31"/>
  <c r="J1454" i="30"/>
  <c r="J1454" i="29"/>
  <c r="N1423" i="31"/>
  <c r="N1423" i="30"/>
  <c r="O1423" s="1"/>
  <c r="N1423" i="29"/>
  <c r="O1423" s="1"/>
  <c r="K1514" i="30"/>
  <c r="G1513"/>
  <c r="G1512" s="1"/>
  <c r="G1511" s="1"/>
  <c r="G1480" i="31"/>
  <c r="G1479" s="1"/>
  <c r="G1478" s="1"/>
  <c r="G1477" s="1"/>
  <c r="G1476" s="1"/>
  <c r="G1475" s="1"/>
  <c r="H1435"/>
  <c r="H1434" s="1"/>
  <c r="H1433" s="1"/>
  <c r="H1432" s="1"/>
  <c r="H1431" s="1"/>
  <c r="H1430" s="1"/>
  <c r="H1429" s="1"/>
  <c r="I611" i="30"/>
  <c r="I610" s="1"/>
  <c r="I609" s="1"/>
  <c r="I608" s="1"/>
  <c r="I1480"/>
  <c r="I1479" s="1"/>
  <c r="I1478" s="1"/>
  <c r="I1477" s="1"/>
  <c r="I1476" s="1"/>
  <c r="I1475" s="1"/>
  <c r="G1442" i="31"/>
  <c r="G1441" s="1"/>
  <c r="G1440" s="1"/>
  <c r="G1439" s="1"/>
  <c r="G1438" s="1"/>
  <c r="G1437" s="1"/>
  <c r="G1436" s="1"/>
  <c r="I1414"/>
  <c r="I1413" s="1"/>
  <c r="I1412" s="1"/>
  <c r="M1480" i="29"/>
  <c r="H1479"/>
  <c r="H1478" s="1"/>
  <c r="H1477" s="1"/>
  <c r="H1476" s="1"/>
  <c r="H1475" s="1"/>
  <c r="I1435"/>
  <c r="I1434" s="1"/>
  <c r="I1433" s="1"/>
  <c r="I1432" s="1"/>
  <c r="I1431" s="1"/>
  <c r="I1430" s="1"/>
  <c r="I1429" s="1"/>
  <c r="O1435"/>
  <c r="N1509" i="31"/>
  <c r="O1509" s="1"/>
  <c r="N1509" i="30"/>
  <c r="N1509" i="29"/>
  <c r="O1509" s="1"/>
  <c r="I591" i="30"/>
  <c r="I590" s="1"/>
  <c r="I589" s="1"/>
  <c r="I588" s="1"/>
  <c r="I1474" i="29"/>
  <c r="I1473" s="1"/>
  <c r="I1472" s="1"/>
  <c r="H1459"/>
  <c r="H1458" s="1"/>
  <c r="H1457" s="1"/>
  <c r="G1435"/>
  <c r="G1434" s="1"/>
  <c r="G1433" s="1"/>
  <c r="G1432" s="1"/>
  <c r="G1431" s="1"/>
  <c r="G1430" s="1"/>
  <c r="G1429" s="1"/>
  <c r="K1435"/>
  <c r="I436" i="31"/>
  <c r="I435" s="1"/>
  <c r="I434" s="1"/>
  <c r="I433" s="1"/>
  <c r="H1520"/>
  <c r="H1519" s="1"/>
  <c r="H1518" s="1"/>
  <c r="H1517" s="1"/>
  <c r="H1516" s="1"/>
  <c r="H1515" s="1"/>
  <c r="O1455"/>
  <c r="I1455"/>
  <c r="I1454" s="1"/>
  <c r="I1453" s="1"/>
  <c r="I1452" s="1"/>
  <c r="I1442"/>
  <c r="I1441" s="1"/>
  <c r="I1440" s="1"/>
  <c r="I1439" s="1"/>
  <c r="I1438" s="1"/>
  <c r="I1437" s="1"/>
  <c r="I1436" s="1"/>
  <c r="O1442"/>
  <c r="K534" i="30"/>
  <c r="G533"/>
  <c r="G532" s="1"/>
  <c r="T7"/>
  <c r="H6"/>
  <c r="H474" i="31"/>
  <c r="H473" s="1"/>
  <c r="H472" s="1"/>
  <c r="H471" s="1"/>
  <c r="H432" s="1"/>
  <c r="H431" s="1"/>
  <c r="H530" i="30"/>
  <c r="I1520" i="31"/>
  <c r="I1519" s="1"/>
  <c r="I1518" s="1"/>
  <c r="I1517" s="1"/>
  <c r="I1516" s="1"/>
  <c r="I1515" s="1"/>
  <c r="O1520"/>
  <c r="M1474"/>
  <c r="H1473"/>
  <c r="H1472" s="1"/>
  <c r="G1459"/>
  <c r="G1458" s="1"/>
  <c r="G1457" s="1"/>
  <c r="K613"/>
  <c r="H1465"/>
  <c r="H1464" s="1"/>
  <c r="I1411"/>
  <c r="I1410" s="1"/>
  <c r="I1409" s="1"/>
  <c r="G1520"/>
  <c r="G1519" s="1"/>
  <c r="G1518" s="1"/>
  <c r="G1517" s="1"/>
  <c r="G1516" s="1"/>
  <c r="G1515" s="1"/>
  <c r="K1520"/>
  <c r="J1464"/>
  <c r="K1464" s="1"/>
  <c r="J1464" i="30"/>
  <c r="J1464" i="29"/>
  <c r="J1413" i="31"/>
  <c r="K1413" s="1"/>
  <c r="J1413" i="30"/>
  <c r="K1413" s="1"/>
  <c r="J1413" i="29"/>
  <c r="H1360" i="11"/>
  <c r="L1361" i="31"/>
  <c r="L1361" i="30"/>
  <c r="L1361" i="29"/>
  <c r="I1388" i="11"/>
  <c r="N1389" i="31"/>
  <c r="N1389" i="30"/>
  <c r="N1389" i="29"/>
  <c r="I1401" i="11"/>
  <c r="N1402" i="31"/>
  <c r="N1402" i="30"/>
  <c r="N1402" i="29"/>
  <c r="G1455" i="30"/>
  <c r="G1454" s="1"/>
  <c r="G1453" s="1"/>
  <c r="G1452" s="1"/>
  <c r="S7"/>
  <c r="G6"/>
  <c r="G1480" i="29"/>
  <c r="G1479" s="1"/>
  <c r="G1478" s="1"/>
  <c r="G1477" s="1"/>
  <c r="G1476" s="1"/>
  <c r="G1475" s="1"/>
  <c r="L1513" i="31"/>
  <c r="L1513" i="30"/>
  <c r="M1513" s="1"/>
  <c r="L1513" i="29"/>
  <c r="O1414"/>
  <c r="I1413"/>
  <c r="I1412" s="1"/>
  <c r="G1424" i="31"/>
  <c r="G1423" s="1"/>
  <c r="G1422" s="1"/>
  <c r="G1421" s="1"/>
  <c r="I1510" i="30"/>
  <c r="I1509" s="1"/>
  <c r="I1508" s="1"/>
  <c r="I1507" s="1"/>
  <c r="H1510" i="31"/>
  <c r="H1509" s="1"/>
  <c r="H1508" s="1"/>
  <c r="H1507" s="1"/>
  <c r="M1510"/>
  <c r="G1467"/>
  <c r="G1466" s="1"/>
  <c r="I1449"/>
  <c r="I1448" s="1"/>
  <c r="I1447" s="1"/>
  <c r="I1446" s="1"/>
  <c r="S49" i="30"/>
  <c r="G48"/>
  <c r="H1520" i="29"/>
  <c r="H1519" s="1"/>
  <c r="H1518" s="1"/>
  <c r="H1517" s="1"/>
  <c r="H1516" s="1"/>
  <c r="H1515" s="1"/>
  <c r="O1455"/>
  <c r="I1454"/>
  <c r="I1453" s="1"/>
  <c r="I1452" s="1"/>
  <c r="N590" i="31"/>
  <c r="N590" i="30"/>
  <c r="O590" s="1"/>
  <c r="N590" i="29"/>
  <c r="O590" s="1"/>
  <c r="I1520"/>
  <c r="I1519" s="1"/>
  <c r="I1518" s="1"/>
  <c r="I1517" s="1"/>
  <c r="I1516" s="1"/>
  <c r="I1515" s="1"/>
  <c r="G1459"/>
  <c r="G1458" s="1"/>
  <c r="G1457" s="1"/>
  <c r="I1411"/>
  <c r="I1410" s="1"/>
  <c r="G1520"/>
  <c r="G1519" s="1"/>
  <c r="G1518" s="1"/>
  <c r="G1517" s="1"/>
  <c r="G1516" s="1"/>
  <c r="G1515" s="1"/>
  <c r="K1520"/>
  <c r="K1465" i="30"/>
  <c r="G1465"/>
  <c r="G1464" s="1"/>
  <c r="G1385" i="11"/>
  <c r="J1386" i="31"/>
  <c r="J1386" i="30"/>
  <c r="J1386" i="29"/>
  <c r="I1471" i="31"/>
  <c r="I1470" s="1"/>
  <c r="I1469" s="1"/>
  <c r="O1471"/>
  <c r="I1424"/>
  <c r="I1423" s="1"/>
  <c r="I1422" s="1"/>
  <c r="I1421" s="1"/>
  <c r="O534"/>
  <c r="H1435" i="30"/>
  <c r="H1434" s="1"/>
  <c r="H1433" s="1"/>
  <c r="H1432" s="1"/>
  <c r="H1431" s="1"/>
  <c r="H1430" s="1"/>
  <c r="H1429" s="1"/>
  <c r="I1480" i="29"/>
  <c r="I1479" s="1"/>
  <c r="I1478" s="1"/>
  <c r="I1477" s="1"/>
  <c r="I1476" s="1"/>
  <c r="I1475" s="1"/>
  <c r="O1480"/>
  <c r="H563"/>
  <c r="J1423" i="31"/>
  <c r="J1423" i="30"/>
  <c r="J1423" i="29"/>
  <c r="J1466" i="31"/>
  <c r="J1466" i="30"/>
  <c r="J1466" i="29"/>
  <c r="O1520" i="30"/>
  <c r="I1519"/>
  <c r="I1518" s="1"/>
  <c r="I1517" s="1"/>
  <c r="I1516" s="1"/>
  <c r="I1515" s="1"/>
  <c r="I1411"/>
  <c r="I1410" s="1"/>
  <c r="I1409" s="1"/>
  <c r="G1520"/>
  <c r="G1519" s="1"/>
  <c r="G1518" s="1"/>
  <c r="G1517" s="1"/>
  <c r="G1516" s="1"/>
  <c r="G1515" s="1"/>
  <c r="K1520"/>
  <c r="G1414" i="31"/>
  <c r="G1413" s="1"/>
  <c r="G1412" s="1"/>
  <c r="N1371"/>
  <c r="N1371" i="30"/>
  <c r="N1371" i="29"/>
  <c r="G1388" i="11"/>
  <c r="J1389" i="31"/>
  <c r="J1389" i="30"/>
  <c r="J1389" i="29"/>
  <c r="G1360" i="11"/>
  <c r="J1361" i="31"/>
  <c r="J1361" i="30"/>
  <c r="J1361" i="29"/>
  <c r="G1379" i="11"/>
  <c r="J1380" i="31"/>
  <c r="J1380" i="30"/>
  <c r="J1380" i="29"/>
  <c r="H1388" i="11"/>
  <c r="L1389" i="31"/>
  <c r="L1389" i="30"/>
  <c r="L1389" i="29"/>
  <c r="I1404" i="11"/>
  <c r="N1405" i="31"/>
  <c r="N1405" i="30"/>
  <c r="N1405" i="29"/>
  <c r="G1487"/>
  <c r="G1486" s="1"/>
  <c r="G1485" s="1"/>
  <c r="G1484" s="1"/>
  <c r="G1483" s="1"/>
  <c r="G1482" s="1"/>
  <c r="G1481" s="1"/>
  <c r="K1487"/>
  <c r="H1442"/>
  <c r="H1441" s="1"/>
  <c r="H1440" s="1"/>
  <c r="H1439" s="1"/>
  <c r="H1438" s="1"/>
  <c r="H1437" s="1"/>
  <c r="H1436" s="1"/>
  <c r="G1417"/>
  <c r="G1416" s="1"/>
  <c r="G1415" s="1"/>
  <c r="G1514" i="31"/>
  <c r="G1513" s="1"/>
  <c r="G1512" s="1"/>
  <c r="G1511" s="1"/>
  <c r="H1414" i="29"/>
  <c r="H1413" s="1"/>
  <c r="H1412" s="1"/>
  <c r="M1414"/>
  <c r="J1479" i="31"/>
  <c r="K1479" s="1"/>
  <c r="J1479" i="30"/>
  <c r="K1479" s="1"/>
  <c r="J1479" i="29"/>
  <c r="K1479" s="1"/>
  <c r="L1434" i="31"/>
  <c r="M1434" s="1"/>
  <c r="L1434" i="30"/>
  <c r="L1434" i="29"/>
  <c r="S7" i="31"/>
  <c r="G6"/>
  <c r="M590" i="29"/>
  <c r="O1480" i="31"/>
  <c r="I1479"/>
  <c r="I1478" s="1"/>
  <c r="I1477" s="1"/>
  <c r="I1476" s="1"/>
  <c r="I1475" s="1"/>
  <c r="J1441"/>
  <c r="J1441" i="30"/>
  <c r="J1441" i="29"/>
  <c r="N1413" i="31"/>
  <c r="N1413" i="30"/>
  <c r="O1413" s="1"/>
  <c r="N1413" i="29"/>
  <c r="H1480" i="30"/>
  <c r="H1479" s="1"/>
  <c r="H1478" s="1"/>
  <c r="H1477" s="1"/>
  <c r="H1476" s="1"/>
  <c r="H1475" s="1"/>
  <c r="I1435"/>
  <c r="I1434" s="1"/>
  <c r="I1433" s="1"/>
  <c r="I1432" s="1"/>
  <c r="I1431" s="1"/>
  <c r="I1430" s="1"/>
  <c r="I1429" s="1"/>
  <c r="O1435"/>
  <c r="I1474"/>
  <c r="I1473" s="1"/>
  <c r="I1472" s="1"/>
  <c r="H1459"/>
  <c r="H1458" s="1"/>
  <c r="G1435"/>
  <c r="G1434" s="1"/>
  <c r="G1433" s="1"/>
  <c r="G1432" s="1"/>
  <c r="G1431" s="1"/>
  <c r="G1430" s="1"/>
  <c r="G1429" s="1"/>
  <c r="K1435"/>
  <c r="G436" i="29"/>
  <c r="G435" s="1"/>
  <c r="G434" s="1"/>
  <c r="G433" s="1"/>
  <c r="L1519" i="31"/>
  <c r="L1519" i="30"/>
  <c r="L1519" i="29"/>
  <c r="N1454" i="31"/>
  <c r="O1454" s="1"/>
  <c r="N1454" i="30"/>
  <c r="N1454" i="29"/>
  <c r="K613" i="30"/>
  <c r="O488"/>
  <c r="N1441" i="31"/>
  <c r="O1441" s="1"/>
  <c r="N1441" i="30"/>
  <c r="N1441" i="29"/>
  <c r="N1519" i="31"/>
  <c r="N1519" i="30"/>
  <c r="N1519" i="29"/>
  <c r="O1519" s="1"/>
  <c r="L1473" i="31"/>
  <c r="M1473" s="1"/>
  <c r="L1473" i="30"/>
  <c r="M1473" s="1"/>
  <c r="L1473" i="29"/>
  <c r="J1458" i="31"/>
  <c r="J1458" i="30"/>
  <c r="K1458" s="1"/>
  <c r="J1458" i="29"/>
  <c r="K1458" s="1"/>
  <c r="K1420"/>
  <c r="G1419"/>
  <c r="G1418" s="1"/>
  <c r="T49" i="30"/>
  <c r="H48"/>
  <c r="L1464" i="31"/>
  <c r="L1464" i="30"/>
  <c r="L1464" i="29"/>
  <c r="N1410" i="31"/>
  <c r="O1410" s="1"/>
  <c r="N1410" i="30"/>
  <c r="O1410" s="1"/>
  <c r="N1410" i="29"/>
  <c r="J1519" i="31"/>
  <c r="J1519" i="30"/>
  <c r="J1519" i="29"/>
  <c r="K1519" s="1"/>
  <c r="H1427"/>
  <c r="H1426" s="1"/>
  <c r="H1425" s="1"/>
  <c r="O1705" i="11"/>
  <c r="O1703"/>
  <c r="O1702"/>
  <c r="O1701"/>
  <c r="O1698"/>
  <c r="O1696"/>
  <c r="O1694"/>
  <c r="O1693"/>
  <c r="O1685"/>
  <c r="O1684"/>
  <c r="O1683"/>
  <c r="O1680"/>
  <c r="O1679"/>
  <c r="O1677"/>
  <c r="O1675"/>
  <c r="O1674"/>
  <c r="O1669"/>
  <c r="O1665"/>
  <c r="O1661"/>
  <c r="O1657"/>
  <c r="O1656"/>
  <c r="O1654"/>
  <c r="O1652"/>
  <c r="O1651"/>
  <c r="O1646"/>
  <c r="O1641"/>
  <c r="O1637"/>
  <c r="O1636"/>
  <c r="O1634"/>
  <c r="O1632"/>
  <c r="O1631"/>
  <c r="O1627"/>
  <c r="O1621"/>
  <c r="O1612"/>
  <c r="O1611"/>
  <c r="O1610"/>
  <c r="O1606"/>
  <c r="O1598"/>
  <c r="O1597"/>
  <c r="O1595"/>
  <c r="O1594"/>
  <c r="O1592"/>
  <c r="O1591"/>
  <c r="O1585"/>
  <c r="O1584"/>
  <c r="O1577"/>
  <c r="O1576"/>
  <c r="O1569"/>
  <c r="O1564"/>
  <c r="O1563"/>
  <c r="O1560"/>
  <c r="O1552"/>
  <c r="O1549"/>
  <c r="O1545"/>
  <c r="O1544"/>
  <c r="O1541"/>
  <c r="O1540"/>
  <c r="O1538"/>
  <c r="O1536"/>
  <c r="O1535"/>
  <c r="O1530"/>
  <c r="O1521"/>
  <c r="O1520"/>
  <c r="O1514"/>
  <c r="O1510"/>
  <c r="O1502"/>
  <c r="O1501"/>
  <c r="O1498"/>
  <c r="O1497"/>
  <c r="O1495"/>
  <c r="O1493"/>
  <c r="O1492"/>
  <c r="O1487"/>
  <c r="O1486"/>
  <c r="O1480"/>
  <c r="O1474"/>
  <c r="O1471"/>
  <c r="O1467"/>
  <c r="O1466"/>
  <c r="O1465"/>
  <c r="O1459"/>
  <c r="O1455"/>
  <c r="O1451"/>
  <c r="O1450"/>
  <c r="O1449"/>
  <c r="O1442"/>
  <c r="O1435"/>
  <c r="O1427"/>
  <c r="O1424"/>
  <c r="O1420"/>
  <c r="O1419"/>
  <c r="O1417"/>
  <c r="O1416"/>
  <c r="O1414"/>
  <c r="O1411"/>
  <c r="O1408"/>
  <c r="O1405"/>
  <c r="O1402"/>
  <c r="O1396"/>
  <c r="O1389"/>
  <c r="O1386"/>
  <c r="O1380"/>
  <c r="O1373"/>
  <c r="O1372"/>
  <c r="O1364"/>
  <c r="O1361"/>
  <c r="O1356"/>
  <c r="O1347"/>
  <c r="O1346"/>
  <c r="O1343"/>
  <c r="O1335"/>
  <c r="O1332"/>
  <c r="O1325"/>
  <c r="O1316"/>
  <c r="O1313"/>
  <c r="O1312"/>
  <c r="O1310"/>
  <c r="O1302"/>
  <c r="O1299"/>
  <c r="O1292"/>
  <c r="O1289"/>
  <c r="O1287"/>
  <c r="O1286"/>
  <c r="O1282"/>
  <c r="O1281"/>
  <c r="O1278"/>
  <c r="O1277"/>
  <c r="O1275"/>
  <c r="O1273"/>
  <c r="O1272"/>
  <c r="O1264"/>
  <c r="O1263"/>
  <c r="O1262"/>
  <c r="O1260"/>
  <c r="O1259"/>
  <c r="O1252"/>
  <c r="O1249"/>
  <c r="O1246"/>
  <c r="O1239"/>
  <c r="O1230"/>
  <c r="O1227"/>
  <c r="O1226"/>
  <c r="O1224"/>
  <c r="O1216"/>
  <c r="O1209"/>
  <c r="O1206"/>
  <c r="O1204"/>
  <c r="O1202"/>
  <c r="O1199"/>
  <c r="O1198"/>
  <c r="O1195"/>
  <c r="O1194"/>
  <c r="O1192"/>
  <c r="O1190"/>
  <c r="O1189"/>
  <c r="O1181"/>
  <c r="O1180"/>
  <c r="O1179"/>
  <c r="O1177"/>
  <c r="O1176"/>
  <c r="O1169"/>
  <c r="O1166"/>
  <c r="O1163"/>
  <c r="O1156"/>
  <c r="O1147"/>
  <c r="O1144"/>
  <c r="O1143"/>
  <c r="O1141"/>
  <c r="O1133"/>
  <c r="O1130"/>
  <c r="O1123"/>
  <c r="O1120"/>
  <c r="O1118"/>
  <c r="O1116"/>
  <c r="O1113"/>
  <c r="O1112"/>
  <c r="O1109"/>
  <c r="O1108"/>
  <c r="O1106"/>
  <c r="O1104"/>
  <c r="O1103"/>
  <c r="O1095"/>
  <c r="O1094"/>
  <c r="O1093"/>
  <c r="O1090"/>
  <c r="O1089"/>
  <c r="O1087"/>
  <c r="O1085"/>
  <c r="O1084"/>
  <c r="O1078"/>
  <c r="O1077"/>
  <c r="O1075"/>
  <c r="O1074"/>
  <c r="O1068"/>
  <c r="O1064"/>
  <c r="O1060"/>
  <c r="O1058"/>
  <c r="O1053"/>
  <c r="O1046"/>
  <c r="O1038"/>
  <c r="O1037"/>
  <c r="O1032"/>
  <c r="O1026"/>
  <c r="O1017"/>
  <c r="O1016"/>
  <c r="O1015"/>
  <c r="O1013"/>
  <c r="O1010"/>
  <c r="O1009"/>
  <c r="O1006"/>
  <c r="O1004"/>
  <c r="O1001"/>
  <c r="O1000"/>
  <c r="O997"/>
  <c r="O995"/>
  <c r="O993"/>
  <c r="O992"/>
  <c r="O987"/>
  <c r="O984"/>
  <c r="O983"/>
  <c r="O981"/>
  <c r="O976"/>
  <c r="O969"/>
  <c r="O966"/>
  <c r="O959"/>
  <c r="O954"/>
  <c r="O950"/>
  <c r="O946"/>
  <c r="O944"/>
  <c r="O940"/>
  <c r="O937"/>
  <c r="O934"/>
  <c r="O931"/>
  <c r="O928"/>
  <c r="O927"/>
  <c r="O925"/>
  <c r="O922"/>
  <c r="O919"/>
  <c r="O916"/>
  <c r="O913"/>
  <c r="O910"/>
  <c r="O905"/>
  <c r="O903"/>
  <c r="O900"/>
  <c r="O898"/>
  <c r="O895"/>
  <c r="O892"/>
  <c r="O890"/>
  <c r="O887"/>
  <c r="O883"/>
  <c r="O881"/>
  <c r="O878"/>
  <c r="O876"/>
  <c r="O873"/>
  <c r="O871"/>
  <c r="O868"/>
  <c r="O866"/>
  <c r="O863"/>
  <c r="O861"/>
  <c r="O858"/>
  <c r="O856"/>
  <c r="O853"/>
  <c r="O851"/>
  <c r="O848"/>
  <c r="O845"/>
  <c r="O843"/>
  <c r="O840"/>
  <c r="O838"/>
  <c r="O836"/>
  <c r="O835"/>
  <c r="O832"/>
  <c r="O830"/>
  <c r="O822"/>
  <c r="O813"/>
  <c r="O812"/>
  <c r="O808"/>
  <c r="O807"/>
  <c r="O801"/>
  <c r="O799"/>
  <c r="O798"/>
  <c r="O792"/>
  <c r="O786"/>
  <c r="O780"/>
  <c r="O779"/>
  <c r="O776"/>
  <c r="O772"/>
  <c r="O768"/>
  <c r="O767"/>
  <c r="O764"/>
  <c r="O762"/>
  <c r="O758"/>
  <c r="O755"/>
  <c r="O751"/>
  <c r="O747"/>
  <c r="O745"/>
  <c r="O740"/>
  <c r="O738"/>
  <c r="O730"/>
  <c r="O726"/>
  <c r="O722"/>
  <c r="O718"/>
  <c r="O714"/>
  <c r="O710"/>
  <c r="O706"/>
  <c r="O700"/>
  <c r="O693"/>
  <c r="O687"/>
  <c r="O685"/>
  <c r="O679"/>
  <c r="O678"/>
  <c r="O675"/>
  <c r="O673"/>
  <c r="O669"/>
  <c r="O665"/>
  <c r="O661"/>
  <c r="O659"/>
  <c r="O654"/>
  <c r="O652"/>
  <c r="O644"/>
  <c r="O642"/>
  <c r="O639"/>
  <c r="O631"/>
  <c r="O630"/>
  <c r="O627"/>
  <c r="O624"/>
  <c r="O621"/>
  <c r="O617"/>
  <c r="O615"/>
  <c r="O607"/>
  <c r="O605"/>
  <c r="O602"/>
  <c r="O601"/>
  <c r="O598"/>
  <c r="O597"/>
  <c r="O595"/>
  <c r="O593"/>
  <c r="O592"/>
  <c r="O587"/>
  <c r="O581"/>
  <c r="O577"/>
  <c r="O575"/>
  <c r="O573"/>
  <c r="O569"/>
  <c r="O562"/>
  <c r="O556"/>
  <c r="O553"/>
  <c r="O546"/>
  <c r="O544"/>
  <c r="O538"/>
  <c r="O536"/>
  <c r="O529"/>
  <c r="O523"/>
  <c r="O521"/>
  <c r="O515"/>
  <c r="O510"/>
  <c r="O504"/>
  <c r="O503"/>
  <c r="O499"/>
  <c r="O495"/>
  <c r="O493"/>
  <c r="O491"/>
  <c r="O489"/>
  <c r="O488"/>
  <c r="O485"/>
  <c r="O483"/>
  <c r="O482"/>
  <c r="O480"/>
  <c r="O478"/>
  <c r="O477"/>
  <c r="O470"/>
  <c r="O464"/>
  <c r="O462"/>
  <c r="O456"/>
  <c r="O455"/>
  <c r="O453"/>
  <c r="O449"/>
  <c r="O447"/>
  <c r="O445"/>
  <c r="O442"/>
  <c r="O440"/>
  <c r="O439"/>
  <c r="O430"/>
  <c r="O429"/>
  <c r="O421"/>
  <c r="O413"/>
  <c r="O412"/>
  <c r="O409"/>
  <c r="O408"/>
  <c r="O406"/>
  <c r="O404"/>
  <c r="O403"/>
  <c r="O398"/>
  <c r="O389"/>
  <c r="O375"/>
  <c r="O362"/>
  <c r="O361"/>
  <c r="O358"/>
  <c r="O357"/>
  <c r="O356"/>
  <c r="O354"/>
  <c r="O352"/>
  <c r="O351"/>
  <c r="O343"/>
  <c r="O342"/>
  <c r="O336"/>
  <c r="O335"/>
  <c r="O330"/>
  <c r="O322"/>
  <c r="O321"/>
  <c r="O318"/>
  <c r="O317"/>
  <c r="O315"/>
  <c r="O313"/>
  <c r="O312"/>
  <c r="O307"/>
  <c r="O306"/>
  <c r="O301"/>
  <c r="O295"/>
  <c r="O291"/>
  <c r="O288"/>
  <c r="O285"/>
  <c r="O283"/>
  <c r="O274"/>
  <c r="O273"/>
  <c r="O269"/>
  <c r="O262"/>
  <c r="O254"/>
  <c r="O246"/>
  <c r="O238"/>
  <c r="O237"/>
  <c r="O233"/>
  <c r="O228"/>
  <c r="O224"/>
  <c r="O220"/>
  <c r="O211"/>
  <c r="O210"/>
  <c r="O205"/>
  <c r="O204"/>
  <c r="O203"/>
  <c r="O201"/>
  <c r="O198"/>
  <c r="O197"/>
  <c r="O192"/>
  <c r="O181"/>
  <c r="O176"/>
  <c r="O172"/>
  <c r="O167"/>
  <c r="O163"/>
  <c r="O157"/>
  <c r="O156"/>
  <c r="O154"/>
  <c r="O152"/>
  <c r="O150"/>
  <c r="O146"/>
  <c r="O142"/>
  <c r="O138"/>
  <c r="O133"/>
  <c r="O129"/>
  <c r="O123"/>
  <c r="O117"/>
  <c r="O114"/>
  <c r="O107"/>
  <c r="O101"/>
  <c r="O98"/>
  <c r="O96"/>
  <c r="O95"/>
  <c r="O92"/>
  <c r="O89"/>
  <c r="O88"/>
  <c r="O85"/>
  <c r="O83"/>
  <c r="O81"/>
  <c r="O80"/>
  <c r="O74"/>
  <c r="O73"/>
  <c r="O70"/>
  <c r="O69"/>
  <c r="O61"/>
  <c r="O60"/>
  <c r="O54"/>
  <c r="O47"/>
  <c r="O41"/>
  <c r="O40"/>
  <c r="O37"/>
  <c r="O36"/>
  <c r="O32"/>
  <c r="O31"/>
  <c r="O28"/>
  <c r="O27"/>
  <c r="O23"/>
  <c r="O22"/>
  <c r="O19"/>
  <c r="O18"/>
  <c r="O16"/>
  <c r="O14"/>
  <c r="O13"/>
  <c r="M13"/>
  <c r="M14"/>
  <c r="M16"/>
  <c r="M18"/>
  <c r="M19"/>
  <c r="M22"/>
  <c r="M23"/>
  <c r="M27"/>
  <c r="M28"/>
  <c r="M31"/>
  <c r="M32"/>
  <c r="M36"/>
  <c r="M37"/>
  <c r="M40"/>
  <c r="M41"/>
  <c r="M47"/>
  <c r="M54"/>
  <c r="M60"/>
  <c r="M61"/>
  <c r="M69"/>
  <c r="M70"/>
  <c r="M73"/>
  <c r="M74"/>
  <c r="M80"/>
  <c r="M81"/>
  <c r="M83"/>
  <c r="M85"/>
  <c r="M88"/>
  <c r="M89"/>
  <c r="M92"/>
  <c r="M95"/>
  <c r="M96"/>
  <c r="M98"/>
  <c r="M101"/>
  <c r="M107"/>
  <c r="M114"/>
  <c r="M117"/>
  <c r="M123"/>
  <c r="M129"/>
  <c r="M133"/>
  <c r="M138"/>
  <c r="M142"/>
  <c r="M146"/>
  <c r="M150"/>
  <c r="M152"/>
  <c r="M154"/>
  <c r="M156"/>
  <c r="M157"/>
  <c r="M163"/>
  <c r="M167"/>
  <c r="M172"/>
  <c r="M176"/>
  <c r="M181"/>
  <c r="M192"/>
  <c r="M197"/>
  <c r="M198"/>
  <c r="M201"/>
  <c r="M203"/>
  <c r="M204"/>
  <c r="M205"/>
  <c r="M210"/>
  <c r="M211"/>
  <c r="M220"/>
  <c r="M224"/>
  <c r="M228"/>
  <c r="M233"/>
  <c r="M237"/>
  <c r="M238"/>
  <c r="M246"/>
  <c r="M254"/>
  <c r="M262"/>
  <c r="M269"/>
  <c r="M273"/>
  <c r="M274"/>
  <c r="M283"/>
  <c r="M285"/>
  <c r="M288"/>
  <c r="M291"/>
  <c r="M295"/>
  <c r="M301"/>
  <c r="M306"/>
  <c r="M307"/>
  <c r="M312"/>
  <c r="M313"/>
  <c r="M315"/>
  <c r="M317"/>
  <c r="M318"/>
  <c r="M321"/>
  <c r="M322"/>
  <c r="M330"/>
  <c r="M335"/>
  <c r="M336"/>
  <c r="M342"/>
  <c r="M343"/>
  <c r="M351"/>
  <c r="M352"/>
  <c r="M354"/>
  <c r="M356"/>
  <c r="M357"/>
  <c r="M358"/>
  <c r="M361"/>
  <c r="M362"/>
  <c r="M375"/>
  <c r="M389"/>
  <c r="M398"/>
  <c r="M403"/>
  <c r="M404"/>
  <c r="M406"/>
  <c r="M408"/>
  <c r="M409"/>
  <c r="M412"/>
  <c r="M413"/>
  <c r="M421"/>
  <c r="M429"/>
  <c r="M430"/>
  <c r="M439"/>
  <c r="M440"/>
  <c r="M442"/>
  <c r="M445"/>
  <c r="M447"/>
  <c r="M449"/>
  <c r="M453"/>
  <c r="M455"/>
  <c r="M456"/>
  <c r="M462"/>
  <c r="M464"/>
  <c r="M470"/>
  <c r="M477"/>
  <c r="M478"/>
  <c r="M480"/>
  <c r="M482"/>
  <c r="M483"/>
  <c r="M485"/>
  <c r="M488"/>
  <c r="M489"/>
  <c r="M491"/>
  <c r="M493"/>
  <c r="M495"/>
  <c r="M499"/>
  <c r="M504"/>
  <c r="M510"/>
  <c r="M515"/>
  <c r="M521"/>
  <c r="M523"/>
  <c r="M529"/>
  <c r="M536"/>
  <c r="M538"/>
  <c r="M544"/>
  <c r="M546"/>
  <c r="M553"/>
  <c r="M556"/>
  <c r="M562"/>
  <c r="M569"/>
  <c r="M573"/>
  <c r="M575"/>
  <c r="M577"/>
  <c r="M581"/>
  <c r="M587"/>
  <c r="M592"/>
  <c r="M593"/>
  <c r="M595"/>
  <c r="M597"/>
  <c r="M598"/>
  <c r="M601"/>
  <c r="M602"/>
  <c r="M605"/>
  <c r="M607"/>
  <c r="M615"/>
  <c r="M617"/>
  <c r="M621"/>
  <c r="M624"/>
  <c r="M627"/>
  <c r="M630"/>
  <c r="M631"/>
  <c r="M639"/>
  <c r="M642"/>
  <c r="M644"/>
  <c r="M652"/>
  <c r="M654"/>
  <c r="M659"/>
  <c r="M661"/>
  <c r="M664"/>
  <c r="M665"/>
  <c r="M669"/>
  <c r="M673"/>
  <c r="M675"/>
  <c r="M678"/>
  <c r="M679"/>
  <c r="M685"/>
  <c r="M687"/>
  <c r="M693"/>
  <c r="M700"/>
  <c r="M706"/>
  <c r="M710"/>
  <c r="M714"/>
  <c r="M718"/>
  <c r="M722"/>
  <c r="M726"/>
  <c r="M730"/>
  <c r="M738"/>
  <c r="M740"/>
  <c r="M745"/>
  <c r="M747"/>
  <c r="M751"/>
  <c r="M755"/>
  <c r="M758"/>
  <c r="M762"/>
  <c r="M764"/>
  <c r="M768"/>
  <c r="M772"/>
  <c r="M776"/>
  <c r="M779"/>
  <c r="M780"/>
  <c r="M786"/>
  <c r="M792"/>
  <c r="M798"/>
  <c r="M799"/>
  <c r="M801"/>
  <c r="M807"/>
  <c r="M808"/>
  <c r="M812"/>
  <c r="M813"/>
  <c r="M822"/>
  <c r="M830"/>
  <c r="M832"/>
  <c r="M835"/>
  <c r="M836"/>
  <c r="M838"/>
  <c r="M840"/>
  <c r="M843"/>
  <c r="M845"/>
  <c r="M848"/>
  <c r="M851"/>
  <c r="M853"/>
  <c r="M856"/>
  <c r="M858"/>
  <c r="M861"/>
  <c r="M863"/>
  <c r="M866"/>
  <c r="M868"/>
  <c r="M871"/>
  <c r="M873"/>
  <c r="M876"/>
  <c r="M878"/>
  <c r="M881"/>
  <c r="M883"/>
  <c r="M887"/>
  <c r="M890"/>
  <c r="M892"/>
  <c r="M895"/>
  <c r="M898"/>
  <c r="M900"/>
  <c r="M903"/>
  <c r="M905"/>
  <c r="M910"/>
  <c r="M913"/>
  <c r="M916"/>
  <c r="M919"/>
  <c r="M922"/>
  <c r="M925"/>
  <c r="M927"/>
  <c r="M928"/>
  <c r="M931"/>
  <c r="M934"/>
  <c r="M937"/>
  <c r="M940"/>
  <c r="M944"/>
  <c r="M946"/>
  <c r="M950"/>
  <c r="M954"/>
  <c r="M959"/>
  <c r="M966"/>
  <c r="M969"/>
  <c r="M976"/>
  <c r="M981"/>
  <c r="M983"/>
  <c r="M984"/>
  <c r="M987"/>
  <c r="M992"/>
  <c r="M993"/>
  <c r="M995"/>
  <c r="M997"/>
  <c r="M1000"/>
  <c r="M1001"/>
  <c r="M1004"/>
  <c r="M1006"/>
  <c r="M1009"/>
  <c r="M1010"/>
  <c r="M1013"/>
  <c r="M1015"/>
  <c r="M1016"/>
  <c r="M1017"/>
  <c r="M1026"/>
  <c r="M1032"/>
  <c r="M1037"/>
  <c r="M1038"/>
  <c r="M1046"/>
  <c r="M1053"/>
  <c r="M1058"/>
  <c r="M1060"/>
  <c r="M1064"/>
  <c r="M1068"/>
  <c r="M1074"/>
  <c r="M1075"/>
  <c r="M1077"/>
  <c r="M1078"/>
  <c r="M1084"/>
  <c r="M1085"/>
  <c r="M1087"/>
  <c r="M1089"/>
  <c r="M1090"/>
  <c r="M1093"/>
  <c r="M1094"/>
  <c r="M1095"/>
  <c r="M1103"/>
  <c r="M1104"/>
  <c r="M1106"/>
  <c r="M1108"/>
  <c r="M1109"/>
  <c r="M1112"/>
  <c r="M1113"/>
  <c r="M1116"/>
  <c r="M1118"/>
  <c r="M1120"/>
  <c r="M1123"/>
  <c r="M1130"/>
  <c r="M1133"/>
  <c r="M1141"/>
  <c r="M1143"/>
  <c r="M1144"/>
  <c r="M1147"/>
  <c r="M1156"/>
  <c r="M1163"/>
  <c r="M1166"/>
  <c r="M1169"/>
  <c r="M1176"/>
  <c r="M1177"/>
  <c r="M1179"/>
  <c r="M1180"/>
  <c r="M1181"/>
  <c r="M1189"/>
  <c r="M1190"/>
  <c r="M1192"/>
  <c r="M1194"/>
  <c r="M1195"/>
  <c r="M1198"/>
  <c r="M1199"/>
  <c r="M1202"/>
  <c r="M1204"/>
  <c r="M1206"/>
  <c r="M1209"/>
  <c r="M1216"/>
  <c r="M1224"/>
  <c r="M1226"/>
  <c r="M1227"/>
  <c r="M1230"/>
  <c r="M1239"/>
  <c r="M1246"/>
  <c r="M1249"/>
  <c r="M1252"/>
  <c r="M1259"/>
  <c r="M1260"/>
  <c r="M1262"/>
  <c r="M1263"/>
  <c r="M1264"/>
  <c r="M1272"/>
  <c r="M1273"/>
  <c r="M1275"/>
  <c r="M1277"/>
  <c r="M1278"/>
  <c r="M1281"/>
  <c r="M1282"/>
  <c r="M1286"/>
  <c r="M1287"/>
  <c r="M1289"/>
  <c r="M1292"/>
  <c r="M1299"/>
  <c r="M1302"/>
  <c r="M1310"/>
  <c r="M1312"/>
  <c r="M1313"/>
  <c r="M1316"/>
  <c r="M1325"/>
  <c r="M1332"/>
  <c r="M1335"/>
  <c r="M1343"/>
  <c r="M1346"/>
  <c r="M1347"/>
  <c r="M1356"/>
  <c r="M1361"/>
  <c r="M1364"/>
  <c r="M1372"/>
  <c r="M1373"/>
  <c r="M1380"/>
  <c r="M1386"/>
  <c r="M1389"/>
  <c r="M1396"/>
  <c r="M1402"/>
  <c r="M1405"/>
  <c r="M1408"/>
  <c r="M1410"/>
  <c r="M1411"/>
  <c r="M1414"/>
  <c r="M1416"/>
  <c r="M1417"/>
  <c r="M1419"/>
  <c r="M1420"/>
  <c r="M1424"/>
  <c r="M1427"/>
  <c r="M1435"/>
  <c r="M1442"/>
  <c r="M1449"/>
  <c r="M1450"/>
  <c r="M1451"/>
  <c r="M1455"/>
  <c r="M1459"/>
  <c r="M1465"/>
  <c r="M1466"/>
  <c r="M1467"/>
  <c r="M1471"/>
  <c r="M1474"/>
  <c r="M1480"/>
  <c r="M1486"/>
  <c r="M1487"/>
  <c r="M1492"/>
  <c r="M1493"/>
  <c r="M1495"/>
  <c r="M1497"/>
  <c r="M1498"/>
  <c r="M1501"/>
  <c r="M1502"/>
  <c r="M1510"/>
  <c r="M1514"/>
  <c r="M1520"/>
  <c r="M1521"/>
  <c r="M1530"/>
  <c r="M1535"/>
  <c r="M1536"/>
  <c r="M1538"/>
  <c r="M1540"/>
  <c r="M1541"/>
  <c r="M1544"/>
  <c r="M1545"/>
  <c r="M1549"/>
  <c r="M1552"/>
  <c r="M1560"/>
  <c r="M1563"/>
  <c r="M1564"/>
  <c r="M1569"/>
  <c r="M1576"/>
  <c r="M1577"/>
  <c r="M1584"/>
  <c r="M1585"/>
  <c r="M1591"/>
  <c r="M1592"/>
  <c r="M1594"/>
  <c r="M1595"/>
  <c r="M1597"/>
  <c r="M1598"/>
  <c r="M1606"/>
  <c r="M1610"/>
  <c r="M1611"/>
  <c r="M1612"/>
  <c r="M1621"/>
  <c r="M1627"/>
  <c r="M1631"/>
  <c r="M1632"/>
  <c r="M1634"/>
  <c r="M1636"/>
  <c r="M1637"/>
  <c r="M1641"/>
  <c r="M1646"/>
  <c r="M1651"/>
  <c r="M1652"/>
  <c r="M1654"/>
  <c r="M1656"/>
  <c r="M1657"/>
  <c r="M1661"/>
  <c r="M1665"/>
  <c r="M1669"/>
  <c r="M1674"/>
  <c r="M1675"/>
  <c r="M1677"/>
  <c r="M1679"/>
  <c r="M1680"/>
  <c r="M1683"/>
  <c r="M1684"/>
  <c r="M1685"/>
  <c r="M1693"/>
  <c r="M1694"/>
  <c r="M1696"/>
  <c r="M1698"/>
  <c r="M1701"/>
  <c r="M1702"/>
  <c r="M1703"/>
  <c r="M1705"/>
  <c r="K13"/>
  <c r="K14"/>
  <c r="K16"/>
  <c r="K18"/>
  <c r="K19"/>
  <c r="K22"/>
  <c r="K23"/>
  <c r="K27"/>
  <c r="K28"/>
  <c r="K31"/>
  <c r="K32"/>
  <c r="K36"/>
  <c r="K37"/>
  <c r="K40"/>
  <c r="K41"/>
  <c r="K47"/>
  <c r="K54"/>
  <c r="K60"/>
  <c r="K61"/>
  <c r="K69"/>
  <c r="K70"/>
  <c r="K73"/>
  <c r="K74"/>
  <c r="K80"/>
  <c r="K81"/>
  <c r="K83"/>
  <c r="K85"/>
  <c r="K88"/>
  <c r="K89"/>
  <c r="K92"/>
  <c r="K95"/>
  <c r="K96"/>
  <c r="K98"/>
  <c r="K101"/>
  <c r="K107"/>
  <c r="K114"/>
  <c r="K117"/>
  <c r="K123"/>
  <c r="K129"/>
  <c r="K133"/>
  <c r="K138"/>
  <c r="K142"/>
  <c r="K146"/>
  <c r="K150"/>
  <c r="K152"/>
  <c r="K153"/>
  <c r="K154"/>
  <c r="K156"/>
  <c r="K157"/>
  <c r="K163"/>
  <c r="K167"/>
  <c r="K172"/>
  <c r="K176"/>
  <c r="K181"/>
  <c r="K192"/>
  <c r="K197"/>
  <c r="K198"/>
  <c r="K201"/>
  <c r="K203"/>
  <c r="K204"/>
  <c r="K205"/>
  <c r="K210"/>
  <c r="K211"/>
  <c r="K220"/>
  <c r="K224"/>
  <c r="K228"/>
  <c r="K233"/>
  <c r="K237"/>
  <c r="K246"/>
  <c r="K254"/>
  <c r="K262"/>
  <c r="K269"/>
  <c r="K273"/>
  <c r="K274"/>
  <c r="K283"/>
  <c r="K285"/>
  <c r="K288"/>
  <c r="K291"/>
  <c r="K295"/>
  <c r="K301"/>
  <c r="K307"/>
  <c r="K312"/>
  <c r="K313"/>
  <c r="K315"/>
  <c r="K317"/>
  <c r="K318"/>
  <c r="K321"/>
  <c r="K322"/>
  <c r="K330"/>
  <c r="K336"/>
  <c r="K342"/>
  <c r="K343"/>
  <c r="K351"/>
  <c r="K352"/>
  <c r="K354"/>
  <c r="K356"/>
  <c r="K357"/>
  <c r="K358"/>
  <c r="K361"/>
  <c r="K362"/>
  <c r="K375"/>
  <c r="K389"/>
  <c r="K398"/>
  <c r="K403"/>
  <c r="K404"/>
  <c r="K406"/>
  <c r="K408"/>
  <c r="K409"/>
  <c r="K412"/>
  <c r="K413"/>
  <c r="K421"/>
  <c r="K429"/>
  <c r="K430"/>
  <c r="K439"/>
  <c r="K440"/>
  <c r="K442"/>
  <c r="K445"/>
  <c r="K447"/>
  <c r="K449"/>
  <c r="K453"/>
  <c r="K456"/>
  <c r="K462"/>
  <c r="K464"/>
  <c r="K470"/>
  <c r="K477"/>
  <c r="K478"/>
  <c r="K480"/>
  <c r="K482"/>
  <c r="K483"/>
  <c r="K485"/>
  <c r="K488"/>
  <c r="K489"/>
  <c r="K491"/>
  <c r="K493"/>
  <c r="K495"/>
  <c r="K499"/>
  <c r="K504"/>
  <c r="K510"/>
  <c r="K515"/>
  <c r="K521"/>
  <c r="K523"/>
  <c r="K529"/>
  <c r="K536"/>
  <c r="K538"/>
  <c r="K544"/>
  <c r="K546"/>
  <c r="K553"/>
  <c r="K556"/>
  <c r="K562"/>
  <c r="K569"/>
  <c r="K573"/>
  <c r="K575"/>
  <c r="K577"/>
  <c r="K581"/>
  <c r="K587"/>
  <c r="K592"/>
  <c r="K593"/>
  <c r="K595"/>
  <c r="K597"/>
  <c r="K598"/>
  <c r="K601"/>
  <c r="K602"/>
  <c r="K605"/>
  <c r="K607"/>
  <c r="K615"/>
  <c r="K617"/>
  <c r="K621"/>
  <c r="K624"/>
  <c r="K627"/>
  <c r="K630"/>
  <c r="K631"/>
  <c r="K639"/>
  <c r="K642"/>
  <c r="K644"/>
  <c r="K652"/>
  <c r="K654"/>
  <c r="K659"/>
  <c r="K661"/>
  <c r="K665"/>
  <c r="K669"/>
  <c r="K673"/>
  <c r="K675"/>
  <c r="K679"/>
  <c r="K685"/>
  <c r="K687"/>
  <c r="K693"/>
  <c r="K700"/>
  <c r="K706"/>
  <c r="K710"/>
  <c r="K714"/>
  <c r="K718"/>
  <c r="K722"/>
  <c r="K726"/>
  <c r="K730"/>
  <c r="K738"/>
  <c r="K740"/>
  <c r="K745"/>
  <c r="K747"/>
  <c r="K751"/>
  <c r="K755"/>
  <c r="K758"/>
  <c r="K762"/>
  <c r="K764"/>
  <c r="K767"/>
  <c r="K768"/>
  <c r="K772"/>
  <c r="K776"/>
  <c r="K780"/>
  <c r="K786"/>
  <c r="K792"/>
  <c r="K798"/>
  <c r="K799"/>
  <c r="K801"/>
  <c r="K807"/>
  <c r="K808"/>
  <c r="K812"/>
  <c r="K813"/>
  <c r="K822"/>
  <c r="K830"/>
  <c r="K832"/>
  <c r="K835"/>
  <c r="K836"/>
  <c r="K838"/>
  <c r="K840"/>
  <c r="K843"/>
  <c r="K845"/>
  <c r="K848"/>
  <c r="K851"/>
  <c r="K853"/>
  <c r="K856"/>
  <c r="K858"/>
  <c r="K861"/>
  <c r="K863"/>
  <c r="K866"/>
  <c r="K868"/>
  <c r="K871"/>
  <c r="K873"/>
  <c r="K876"/>
  <c r="K878"/>
  <c r="K881"/>
  <c r="K883"/>
  <c r="K887"/>
  <c r="K890"/>
  <c r="K892"/>
  <c r="K894"/>
  <c r="K895"/>
  <c r="K898"/>
  <c r="K900"/>
  <c r="K903"/>
  <c r="K905"/>
  <c r="K910"/>
  <c r="K913"/>
  <c r="K916"/>
  <c r="K919"/>
  <c r="K922"/>
  <c r="K925"/>
  <c r="K928"/>
  <c r="K931"/>
  <c r="K934"/>
  <c r="K937"/>
  <c r="K940"/>
  <c r="K944"/>
  <c r="K946"/>
  <c r="K950"/>
  <c r="K954"/>
  <c r="K959"/>
  <c r="K966"/>
  <c r="K969"/>
  <c r="K976"/>
  <c r="K981"/>
  <c r="K983"/>
  <c r="K984"/>
  <c r="K987"/>
  <c r="K992"/>
  <c r="K993"/>
  <c r="K995"/>
  <c r="K997"/>
  <c r="K1000"/>
  <c r="K1001"/>
  <c r="K1004"/>
  <c r="K1006"/>
  <c r="K1009"/>
  <c r="K1010"/>
  <c r="K1012"/>
  <c r="K1013"/>
  <c r="K1015"/>
  <c r="K1016"/>
  <c r="K1017"/>
  <c r="K1026"/>
  <c r="K1032"/>
  <c r="K1038"/>
  <c r="K1046"/>
  <c r="K1053"/>
  <c r="K1058"/>
  <c r="K1060"/>
  <c r="K1063"/>
  <c r="K1064"/>
  <c r="K1067"/>
  <c r="K1068"/>
  <c r="K1075"/>
  <c r="K1078"/>
  <c r="K1084"/>
  <c r="K1085"/>
  <c r="K1087"/>
  <c r="K1089"/>
  <c r="K1090"/>
  <c r="K1093"/>
  <c r="K1094"/>
  <c r="K1095"/>
  <c r="K1103"/>
  <c r="K1104"/>
  <c r="K1106"/>
  <c r="K1108"/>
  <c r="K1109"/>
  <c r="K1112"/>
  <c r="K1113"/>
  <c r="K1116"/>
  <c r="K1118"/>
  <c r="K1120"/>
  <c r="K1123"/>
  <c r="K1130"/>
  <c r="K1133"/>
  <c r="K1141"/>
  <c r="K1144"/>
  <c r="K1147"/>
  <c r="K1156"/>
  <c r="K1163"/>
  <c r="K1166"/>
  <c r="K1169"/>
  <c r="K1177"/>
  <c r="K1180"/>
  <c r="K1181"/>
  <c r="K1189"/>
  <c r="K1190"/>
  <c r="K1192"/>
  <c r="K1194"/>
  <c r="K1195"/>
  <c r="K1198"/>
  <c r="K1199"/>
  <c r="K1202"/>
  <c r="K1204"/>
  <c r="K1206"/>
  <c r="K1209"/>
  <c r="K1216"/>
  <c r="K1224"/>
  <c r="K1227"/>
  <c r="K1230"/>
  <c r="K1239"/>
  <c r="K1246"/>
  <c r="K1249"/>
  <c r="K1252"/>
  <c r="K1260"/>
  <c r="K1263"/>
  <c r="K1264"/>
  <c r="K1272"/>
  <c r="K1273"/>
  <c r="K1275"/>
  <c r="K1277"/>
  <c r="K1278"/>
  <c r="K1281"/>
  <c r="K1282"/>
  <c r="K1286"/>
  <c r="K1287"/>
  <c r="K1289"/>
  <c r="K1292"/>
  <c r="K1299"/>
  <c r="K1302"/>
  <c r="K1310"/>
  <c r="K1313"/>
  <c r="K1316"/>
  <c r="K1325"/>
  <c r="K1332"/>
  <c r="K1335"/>
  <c r="K1343"/>
  <c r="K1346"/>
  <c r="K1347"/>
  <c r="K1356"/>
  <c r="K1361"/>
  <c r="K1364"/>
  <c r="K1372"/>
  <c r="K1373"/>
  <c r="K1380"/>
  <c r="K1386"/>
  <c r="K1389"/>
  <c r="K1396"/>
  <c r="K1402"/>
  <c r="K1405"/>
  <c r="K1407"/>
  <c r="K1408"/>
  <c r="K1409"/>
  <c r="K1410"/>
  <c r="K1411"/>
  <c r="K1414"/>
  <c r="K1417"/>
  <c r="K1420"/>
  <c r="K1424"/>
  <c r="K1426"/>
  <c r="K1427"/>
  <c r="K1435"/>
  <c r="K1442"/>
  <c r="K1449"/>
  <c r="K1450"/>
  <c r="K1451"/>
  <c r="K1455"/>
  <c r="K1459"/>
  <c r="K1465"/>
  <c r="K1467"/>
  <c r="K1468"/>
  <c r="K1470"/>
  <c r="K1471"/>
  <c r="K1474"/>
  <c r="K1480"/>
  <c r="K1487"/>
  <c r="K1492"/>
  <c r="K1493"/>
  <c r="K1495"/>
  <c r="K1497"/>
  <c r="K1498"/>
  <c r="K1501"/>
  <c r="K1502"/>
  <c r="K1510"/>
  <c r="K1514"/>
  <c r="K1520"/>
  <c r="K1521"/>
  <c r="K1530"/>
  <c r="K1535"/>
  <c r="K1536"/>
  <c r="K1538"/>
  <c r="K1540"/>
  <c r="K1541"/>
  <c r="K1544"/>
  <c r="K1545"/>
  <c r="K1549"/>
  <c r="K1552"/>
  <c r="K1560"/>
  <c r="K1564"/>
  <c r="K1569"/>
  <c r="K1577"/>
  <c r="K1584"/>
  <c r="K1585"/>
  <c r="K1591"/>
  <c r="K1592"/>
  <c r="K1594"/>
  <c r="K1595"/>
  <c r="K1598"/>
  <c r="K1606"/>
  <c r="K1611"/>
  <c r="K1612"/>
  <c r="K1621"/>
  <c r="K1627"/>
  <c r="K1631"/>
  <c r="K1632"/>
  <c r="K1634"/>
  <c r="K1636"/>
  <c r="K1637"/>
  <c r="K1641"/>
  <c r="K1646"/>
  <c r="K1651"/>
  <c r="K1652"/>
  <c r="K1654"/>
  <c r="K1656"/>
  <c r="K1657"/>
  <c r="K1661"/>
  <c r="K1665"/>
  <c r="K1669"/>
  <c r="K1674"/>
  <c r="K1675"/>
  <c r="K1677"/>
  <c r="K1679"/>
  <c r="K1680"/>
  <c r="K1683"/>
  <c r="K1684"/>
  <c r="K1685"/>
  <c r="K1693"/>
  <c r="K1694"/>
  <c r="K1696"/>
  <c r="K1698"/>
  <c r="K1701"/>
  <c r="K1702"/>
  <c r="K1703"/>
  <c r="K1704"/>
  <c r="K1705"/>
  <c r="N1704"/>
  <c r="L1704"/>
  <c r="N1700"/>
  <c r="L1700"/>
  <c r="L1699" s="1"/>
  <c r="J1700"/>
  <c r="J1699" s="1"/>
  <c r="N1697"/>
  <c r="L1697"/>
  <c r="J1697"/>
  <c r="N1695"/>
  <c r="L1695"/>
  <c r="J1695"/>
  <c r="N1692"/>
  <c r="L1692"/>
  <c r="J1692"/>
  <c r="N1682"/>
  <c r="L1682"/>
  <c r="L1681" s="1"/>
  <c r="J1682"/>
  <c r="J1681" s="1"/>
  <c r="N1678"/>
  <c r="L1678"/>
  <c r="J1678"/>
  <c r="N1676"/>
  <c r="L1676"/>
  <c r="J1676"/>
  <c r="N1673"/>
  <c r="L1673"/>
  <c r="J1673"/>
  <c r="N1668"/>
  <c r="N1667" s="1"/>
  <c r="L1668"/>
  <c r="J1668"/>
  <c r="N1664"/>
  <c r="L1664"/>
  <c r="J1664"/>
  <c r="N1660"/>
  <c r="L1660"/>
  <c r="J1660"/>
  <c r="J1659" s="1"/>
  <c r="N1655"/>
  <c r="L1655"/>
  <c r="J1655"/>
  <c r="N1653"/>
  <c r="L1653"/>
  <c r="J1653"/>
  <c r="N1650"/>
  <c r="L1650"/>
  <c r="J1650"/>
  <c r="N1645"/>
  <c r="L1645"/>
  <c r="J1645"/>
  <c r="J1644" s="1"/>
  <c r="J1643" s="1"/>
  <c r="N1640"/>
  <c r="L1640"/>
  <c r="L1639" s="1"/>
  <c r="L1638" s="1"/>
  <c r="J1640"/>
  <c r="J1639" s="1"/>
  <c r="J1638" s="1"/>
  <c r="N1635"/>
  <c r="L1635"/>
  <c r="J1635"/>
  <c r="N1633"/>
  <c r="L1633"/>
  <c r="J1633"/>
  <c r="N1630"/>
  <c r="L1630"/>
  <c r="J1630"/>
  <c r="N1626"/>
  <c r="L1626"/>
  <c r="J1626"/>
  <c r="N1620"/>
  <c r="L1620"/>
  <c r="J1620"/>
  <c r="J1619" s="1"/>
  <c r="J1618" s="1"/>
  <c r="J1617" s="1"/>
  <c r="J1616" s="1"/>
  <c r="J1610"/>
  <c r="J1609" s="1"/>
  <c r="J1608" s="1"/>
  <c r="N1609"/>
  <c r="L1609"/>
  <c r="L1608" s="1"/>
  <c r="L1607" s="1"/>
  <c r="N1605"/>
  <c r="L1605"/>
  <c r="J1605"/>
  <c r="J1604" s="1"/>
  <c r="J1603" s="1"/>
  <c r="J1597"/>
  <c r="J1596" s="1"/>
  <c r="N1596"/>
  <c r="L1596"/>
  <c r="N1593"/>
  <c r="L1593"/>
  <c r="J1593"/>
  <c r="N1590"/>
  <c r="L1590"/>
  <c r="J1590"/>
  <c r="N1583"/>
  <c r="N1582" s="1"/>
  <c r="N1581" s="1"/>
  <c r="L1583"/>
  <c r="J1583"/>
  <c r="J1582" s="1"/>
  <c r="J1576"/>
  <c r="J1575" s="1"/>
  <c r="J1574" s="1"/>
  <c r="J1573" s="1"/>
  <c r="J1572" s="1"/>
  <c r="J1571" s="1"/>
  <c r="J1570" s="1"/>
  <c r="N1575"/>
  <c r="N1574" s="1"/>
  <c r="L1575"/>
  <c r="N1568"/>
  <c r="L1568"/>
  <c r="L1567" s="1"/>
  <c r="J1568"/>
  <c r="J1567" s="1"/>
  <c r="J1563"/>
  <c r="N1562"/>
  <c r="N1561" s="1"/>
  <c r="L1562"/>
  <c r="L1561" s="1"/>
  <c r="N1559"/>
  <c r="L1559"/>
  <c r="J1559"/>
  <c r="N1551"/>
  <c r="L1551"/>
  <c r="J1551"/>
  <c r="J1550" s="1"/>
  <c r="N1548"/>
  <c r="L1548"/>
  <c r="L1547" s="1"/>
  <c r="J1548"/>
  <c r="J1547" s="1"/>
  <c r="N1543"/>
  <c r="L1543"/>
  <c r="J1543"/>
  <c r="J1542" s="1"/>
  <c r="N1539"/>
  <c r="L1539"/>
  <c r="J1539"/>
  <c r="N1537"/>
  <c r="L1537"/>
  <c r="J1537"/>
  <c r="N1534"/>
  <c r="L1534"/>
  <c r="J1534"/>
  <c r="N1529"/>
  <c r="L1529"/>
  <c r="J1529"/>
  <c r="J1528" s="1"/>
  <c r="N1519"/>
  <c r="L1519"/>
  <c r="J1519"/>
  <c r="N1513"/>
  <c r="N1512" s="1"/>
  <c r="L1513"/>
  <c r="L1512" s="1"/>
  <c r="L1511" s="1"/>
  <c r="J1513"/>
  <c r="J1512" s="1"/>
  <c r="J1511" s="1"/>
  <c r="N1509"/>
  <c r="L1509"/>
  <c r="J1509"/>
  <c r="J1508" s="1"/>
  <c r="N1500"/>
  <c r="N1499" s="1"/>
  <c r="L1500"/>
  <c r="J1500"/>
  <c r="N1496"/>
  <c r="L1496"/>
  <c r="J1496"/>
  <c r="N1494"/>
  <c r="L1494"/>
  <c r="J1494"/>
  <c r="N1491"/>
  <c r="L1491"/>
  <c r="J1491"/>
  <c r="J1486"/>
  <c r="J1485" s="1"/>
  <c r="J1484" s="1"/>
  <c r="J1483" s="1"/>
  <c r="J1482" s="1"/>
  <c r="N1485"/>
  <c r="N1484" s="1"/>
  <c r="L1485"/>
  <c r="N1479"/>
  <c r="L1479"/>
  <c r="L1478" s="1"/>
  <c r="L1477" s="1"/>
  <c r="J1479"/>
  <c r="J1478" s="1"/>
  <c r="J1477" s="1"/>
  <c r="N1473"/>
  <c r="L1473"/>
  <c r="J1473"/>
  <c r="N1470"/>
  <c r="L1470"/>
  <c r="L1469" s="1"/>
  <c r="J1469"/>
  <c r="N1468"/>
  <c r="L1468"/>
  <c r="J1466"/>
  <c r="N1464"/>
  <c r="L1464"/>
  <c r="J1464"/>
  <c r="N1461"/>
  <c r="L1461"/>
  <c r="L1460" s="1"/>
  <c r="J1461"/>
  <c r="J1460" s="1"/>
  <c r="N1458"/>
  <c r="L1458"/>
  <c r="L1457" s="1"/>
  <c r="J1458"/>
  <c r="N1454"/>
  <c r="N1453" s="1"/>
  <c r="L1454"/>
  <c r="L1453" s="1"/>
  <c r="L1452" s="1"/>
  <c r="J1454"/>
  <c r="J1453" s="1"/>
  <c r="N1448"/>
  <c r="L1448"/>
  <c r="J1448"/>
  <c r="J1447" s="1"/>
  <c r="J1446" s="1"/>
  <c r="N1441"/>
  <c r="L1441"/>
  <c r="L1440" s="1"/>
  <c r="J1441"/>
  <c r="J1440" s="1"/>
  <c r="N1434"/>
  <c r="L1434"/>
  <c r="J1434"/>
  <c r="J1433" s="1"/>
  <c r="J1432" s="1"/>
  <c r="J1431" s="1"/>
  <c r="J1430" s="1"/>
  <c r="J1429" s="1"/>
  <c r="N1426"/>
  <c r="L1426"/>
  <c r="L1425" s="1"/>
  <c r="J1425"/>
  <c r="N1423"/>
  <c r="L1423"/>
  <c r="L1422" s="1"/>
  <c r="J1423"/>
  <c r="J1422" s="1"/>
  <c r="J1419"/>
  <c r="J1418" s="1"/>
  <c r="N1418"/>
  <c r="L1418"/>
  <c r="J1416"/>
  <c r="J1415" s="1"/>
  <c r="N1415"/>
  <c r="L1415"/>
  <c r="N1413"/>
  <c r="N1412" s="1"/>
  <c r="L1413"/>
  <c r="J1413"/>
  <c r="N1410"/>
  <c r="N1409" s="1"/>
  <c r="L1409"/>
  <c r="N1407"/>
  <c r="L1407"/>
  <c r="L1406" s="1"/>
  <c r="J1406"/>
  <c r="N1404"/>
  <c r="L1404"/>
  <c r="L1403" s="1"/>
  <c r="J1404"/>
  <c r="J1403" s="1"/>
  <c r="N1401"/>
  <c r="N1400" s="1"/>
  <c r="L1401"/>
  <c r="J1401"/>
  <c r="N1395"/>
  <c r="L1395"/>
  <c r="J1395"/>
  <c r="J1394" s="1"/>
  <c r="N1388"/>
  <c r="L1388"/>
  <c r="J1388"/>
  <c r="N1385"/>
  <c r="L1385"/>
  <c r="J1385"/>
  <c r="J1384" s="1"/>
  <c r="N1379"/>
  <c r="L1379"/>
  <c r="L1378" s="1"/>
  <c r="L1377" s="1"/>
  <c r="L1376" s="1"/>
  <c r="L1375" s="1"/>
  <c r="J1379"/>
  <c r="K1379" s="1"/>
  <c r="N1371"/>
  <c r="O1371" s="1"/>
  <c r="L1371"/>
  <c r="J1371"/>
  <c r="N1363"/>
  <c r="N1362" s="1"/>
  <c r="L1363"/>
  <c r="L1362" s="1"/>
  <c r="J1363"/>
  <c r="J1362" s="1"/>
  <c r="N1360"/>
  <c r="L1360"/>
  <c r="M1360" s="1"/>
  <c r="J1360"/>
  <c r="N1355"/>
  <c r="N1354" s="1"/>
  <c r="N1353" s="1"/>
  <c r="N1352" s="1"/>
  <c r="N1351" s="1"/>
  <c r="L1355"/>
  <c r="L1354" s="1"/>
  <c r="L1353" s="1"/>
  <c r="L1352" s="1"/>
  <c r="L1351" s="1"/>
  <c r="J1355"/>
  <c r="J1354" s="1"/>
  <c r="J1353" s="1"/>
  <c r="J1352" s="1"/>
  <c r="J1351" s="1"/>
  <c r="N1345"/>
  <c r="L1345"/>
  <c r="L1344" s="1"/>
  <c r="J1345"/>
  <c r="J1344" s="1"/>
  <c r="N1342"/>
  <c r="L1342"/>
  <c r="J1342"/>
  <c r="N1334"/>
  <c r="L1334"/>
  <c r="L1333" s="1"/>
  <c r="J1334"/>
  <c r="J1333" s="1"/>
  <c r="N1331"/>
  <c r="N1330" s="1"/>
  <c r="L1331"/>
  <c r="L1330" s="1"/>
  <c r="J1331"/>
  <c r="N1323"/>
  <c r="L1323"/>
  <c r="J1323"/>
  <c r="J1322" s="1"/>
  <c r="N1315"/>
  <c r="L1315"/>
  <c r="L1314" s="1"/>
  <c r="J1315"/>
  <c r="J1312"/>
  <c r="J1311" s="1"/>
  <c r="N1311"/>
  <c r="L1311"/>
  <c r="N1309"/>
  <c r="L1309"/>
  <c r="J1309"/>
  <c r="J1308" s="1"/>
  <c r="N1301"/>
  <c r="L1301"/>
  <c r="J1301"/>
  <c r="N1298"/>
  <c r="N1297" s="1"/>
  <c r="L1298"/>
  <c r="L1297" s="1"/>
  <c r="J1298"/>
  <c r="J1297" s="1"/>
  <c r="N1291"/>
  <c r="L1291"/>
  <c r="J1291"/>
  <c r="J1290" s="1"/>
  <c r="N1288"/>
  <c r="L1288"/>
  <c r="J1288"/>
  <c r="N1284"/>
  <c r="L1284"/>
  <c r="J1284"/>
  <c r="N1280"/>
  <c r="L1280"/>
  <c r="J1280"/>
  <c r="J1279" s="1"/>
  <c r="N1276"/>
  <c r="L1276"/>
  <c r="J1276"/>
  <c r="N1274"/>
  <c r="L1274"/>
  <c r="J1274"/>
  <c r="N1271"/>
  <c r="L1271"/>
  <c r="J1271"/>
  <c r="J1262"/>
  <c r="J1261" s="1"/>
  <c r="N1261"/>
  <c r="L1261"/>
  <c r="J1259"/>
  <c r="J1258" s="1"/>
  <c r="N1258"/>
  <c r="L1258"/>
  <c r="N1251"/>
  <c r="L1251"/>
  <c r="L1250" s="1"/>
  <c r="J1251"/>
  <c r="J1250" s="1"/>
  <c r="N1248"/>
  <c r="N1247" s="1"/>
  <c r="L1248"/>
  <c r="L1247" s="1"/>
  <c r="J1248"/>
  <c r="N1245"/>
  <c r="L1245"/>
  <c r="J1245"/>
  <c r="N1237"/>
  <c r="L1237"/>
  <c r="L1234" s="1"/>
  <c r="J1237"/>
  <c r="J1236" s="1"/>
  <c r="J1235" s="1"/>
  <c r="N1229"/>
  <c r="L1229"/>
  <c r="J1229"/>
  <c r="J1228" s="1"/>
  <c r="J1226"/>
  <c r="J1225" s="1"/>
  <c r="N1225"/>
  <c r="L1225"/>
  <c r="N1223"/>
  <c r="L1223"/>
  <c r="J1223"/>
  <c r="N1215"/>
  <c r="L1215"/>
  <c r="J1215"/>
  <c r="J1214" s="1"/>
  <c r="J1213" s="1"/>
  <c r="J1212" s="1"/>
  <c r="J1211" s="1"/>
  <c r="J1210" s="1"/>
  <c r="N1208"/>
  <c r="L1208"/>
  <c r="J1208"/>
  <c r="J1207" s="1"/>
  <c r="N1205"/>
  <c r="L1205"/>
  <c r="J1205"/>
  <c r="N1201"/>
  <c r="L1201"/>
  <c r="J1201"/>
  <c r="N1197"/>
  <c r="L1197"/>
  <c r="J1197"/>
  <c r="J1196" s="1"/>
  <c r="N1193"/>
  <c r="L1193"/>
  <c r="J1193"/>
  <c r="N1191"/>
  <c r="L1191"/>
  <c r="J1191"/>
  <c r="N1188"/>
  <c r="L1188"/>
  <c r="J1188"/>
  <c r="J1179"/>
  <c r="N1178"/>
  <c r="L1178"/>
  <c r="J1176"/>
  <c r="N1175"/>
  <c r="L1175"/>
  <c r="N1168"/>
  <c r="N1167" s="1"/>
  <c r="L1168"/>
  <c r="J1168"/>
  <c r="N1165"/>
  <c r="L1165"/>
  <c r="J1165"/>
  <c r="N1162"/>
  <c r="L1162"/>
  <c r="J1162"/>
  <c r="J1161" s="1"/>
  <c r="N1154"/>
  <c r="L1154"/>
  <c r="J1154"/>
  <c r="J1153" s="1"/>
  <c r="J1152" s="1"/>
  <c r="N1146"/>
  <c r="L1146"/>
  <c r="L1145" s="1"/>
  <c r="J1146"/>
  <c r="J1143"/>
  <c r="J1142" s="1"/>
  <c r="N1142"/>
  <c r="L1142"/>
  <c r="N1140"/>
  <c r="L1140"/>
  <c r="L1139" s="1"/>
  <c r="J1140"/>
  <c r="J1139" s="1"/>
  <c r="N1132"/>
  <c r="N1131" s="1"/>
  <c r="L1132"/>
  <c r="L1131" s="1"/>
  <c r="J1132"/>
  <c r="N1129"/>
  <c r="N1128" s="1"/>
  <c r="L1129"/>
  <c r="L1128" s="1"/>
  <c r="J1129"/>
  <c r="J1128" s="1"/>
  <c r="N1122"/>
  <c r="L1122"/>
  <c r="J1122"/>
  <c r="J1121" s="1"/>
  <c r="N1119"/>
  <c r="L1119"/>
  <c r="J1119"/>
  <c r="N1115"/>
  <c r="L1115"/>
  <c r="J1115"/>
  <c r="N1111"/>
  <c r="N1110" s="1"/>
  <c r="L1111"/>
  <c r="L1110" s="1"/>
  <c r="J1111"/>
  <c r="J1110" s="1"/>
  <c r="N1107"/>
  <c r="L1107"/>
  <c r="J1107"/>
  <c r="N1105"/>
  <c r="L1105"/>
  <c r="J1105"/>
  <c r="N1102"/>
  <c r="L1102"/>
  <c r="J1102"/>
  <c r="N1092"/>
  <c r="L1092"/>
  <c r="L1091" s="1"/>
  <c r="J1092"/>
  <c r="N1088"/>
  <c r="L1088"/>
  <c r="J1088"/>
  <c r="N1086"/>
  <c r="L1086"/>
  <c r="J1086"/>
  <c r="N1083"/>
  <c r="L1083"/>
  <c r="J1083"/>
  <c r="J1077"/>
  <c r="J1076" s="1"/>
  <c r="N1076"/>
  <c r="L1076"/>
  <c r="J1074"/>
  <c r="J1073" s="1"/>
  <c r="N1073"/>
  <c r="L1073"/>
  <c r="N1067"/>
  <c r="L1067"/>
  <c r="J1066"/>
  <c r="J1065" s="1"/>
  <c r="N1063"/>
  <c r="N1062" s="1"/>
  <c r="L1063"/>
  <c r="J1062"/>
  <c r="J1061" s="1"/>
  <c r="N1059"/>
  <c r="L1059"/>
  <c r="J1059"/>
  <c r="N1057"/>
  <c r="L1057"/>
  <c r="J1057"/>
  <c r="N1052"/>
  <c r="N1051" s="1"/>
  <c r="L1052"/>
  <c r="L1051" s="1"/>
  <c r="L1050" s="1"/>
  <c r="J1052"/>
  <c r="J1051" s="1"/>
  <c r="J1050" s="1"/>
  <c r="J1049" s="1"/>
  <c r="J1048" s="1"/>
  <c r="N1045"/>
  <c r="L1045"/>
  <c r="L1044" s="1"/>
  <c r="L1043" s="1"/>
  <c r="J1045"/>
  <c r="J1044" s="1"/>
  <c r="J1043" s="1"/>
  <c r="J1037"/>
  <c r="N1036"/>
  <c r="L1036"/>
  <c r="N1035"/>
  <c r="L1035"/>
  <c r="L1034" s="1"/>
  <c r="L1033" s="1"/>
  <c r="N1031"/>
  <c r="N1030" s="1"/>
  <c r="L1031"/>
  <c r="L1030" s="1"/>
  <c r="L1029" s="1"/>
  <c r="J1031"/>
  <c r="J1030" s="1"/>
  <c r="J1029" s="1"/>
  <c r="N1025"/>
  <c r="L1025"/>
  <c r="J1025"/>
  <c r="J1024" s="1"/>
  <c r="N1014"/>
  <c r="L1014"/>
  <c r="J1014"/>
  <c r="N1012"/>
  <c r="L1012"/>
  <c r="N1008"/>
  <c r="L1008"/>
  <c r="J1008"/>
  <c r="N1003"/>
  <c r="L1003"/>
  <c r="L1002" s="1"/>
  <c r="J1003"/>
  <c r="N999"/>
  <c r="N998" s="1"/>
  <c r="L999"/>
  <c r="L998" s="1"/>
  <c r="J999"/>
  <c r="N996"/>
  <c r="L996"/>
  <c r="J996"/>
  <c r="N994"/>
  <c r="L994"/>
  <c r="J994"/>
  <c r="N991"/>
  <c r="L991"/>
  <c r="J991"/>
  <c r="N986"/>
  <c r="L986"/>
  <c r="J986"/>
  <c r="J985" s="1"/>
  <c r="N982"/>
  <c r="L982"/>
  <c r="J982"/>
  <c r="N980"/>
  <c r="L980"/>
  <c r="J980"/>
  <c r="N975"/>
  <c r="L975"/>
  <c r="J975"/>
  <c r="J974" s="1"/>
  <c r="N968"/>
  <c r="N967" s="1"/>
  <c r="L968"/>
  <c r="J968"/>
  <c r="N965"/>
  <c r="L965"/>
  <c r="J965"/>
  <c r="J964" s="1"/>
  <c r="N958"/>
  <c r="N957" s="1"/>
  <c r="L958"/>
  <c r="J958"/>
  <c r="N953"/>
  <c r="N952" s="1"/>
  <c r="L953"/>
  <c r="J953"/>
  <c r="N949"/>
  <c r="L949"/>
  <c r="L948" s="1"/>
  <c r="J949"/>
  <c r="N945"/>
  <c r="L945"/>
  <c r="J945"/>
  <c r="N943"/>
  <c r="L943"/>
  <c r="J943"/>
  <c r="N939"/>
  <c r="L939"/>
  <c r="J939"/>
  <c r="J938" s="1"/>
  <c r="N936"/>
  <c r="N935" s="1"/>
  <c r="L936"/>
  <c r="J936"/>
  <c r="J935" s="1"/>
  <c r="N933"/>
  <c r="N932" s="1"/>
  <c r="L933"/>
  <c r="L932" s="1"/>
  <c r="J933"/>
  <c r="N930"/>
  <c r="N929" s="1"/>
  <c r="L930"/>
  <c r="J930"/>
  <c r="J927"/>
  <c r="J926" s="1"/>
  <c r="N926"/>
  <c r="L926"/>
  <c r="N924"/>
  <c r="L924"/>
  <c r="L923" s="1"/>
  <c r="J924"/>
  <c r="J923" s="1"/>
  <c r="N921"/>
  <c r="N920" s="1"/>
  <c r="L921"/>
  <c r="L920" s="1"/>
  <c r="J921"/>
  <c r="N918"/>
  <c r="L918"/>
  <c r="L917" s="1"/>
  <c r="J918"/>
  <c r="N915"/>
  <c r="N914" s="1"/>
  <c r="L915"/>
  <c r="J915"/>
  <c r="J914" s="1"/>
  <c r="N912"/>
  <c r="N911" s="1"/>
  <c r="L912"/>
  <c r="J912"/>
  <c r="N909"/>
  <c r="N908" s="1"/>
  <c r="L909"/>
  <c r="J909"/>
  <c r="N904"/>
  <c r="L904"/>
  <c r="J904"/>
  <c r="N902"/>
  <c r="L902"/>
  <c r="J902"/>
  <c r="N899"/>
  <c r="L899"/>
  <c r="J899"/>
  <c r="N897"/>
  <c r="L897"/>
  <c r="J897"/>
  <c r="N894"/>
  <c r="L894"/>
  <c r="L893" s="1"/>
  <c r="J893"/>
  <c r="N891"/>
  <c r="L891"/>
  <c r="J891"/>
  <c r="N889"/>
  <c r="L889"/>
  <c r="J889"/>
  <c r="N886"/>
  <c r="L886"/>
  <c r="J886"/>
  <c r="J885" s="1"/>
  <c r="N882"/>
  <c r="L882"/>
  <c r="J882"/>
  <c r="N880"/>
  <c r="L880"/>
  <c r="J880"/>
  <c r="N877"/>
  <c r="L877"/>
  <c r="J877"/>
  <c r="N875"/>
  <c r="L875"/>
  <c r="J875"/>
  <c r="N872"/>
  <c r="L872"/>
  <c r="J872"/>
  <c r="N870"/>
  <c r="L870"/>
  <c r="J870"/>
  <c r="N867"/>
  <c r="L867"/>
  <c r="J867"/>
  <c r="N865"/>
  <c r="L865"/>
  <c r="J865"/>
  <c r="N862"/>
  <c r="L862"/>
  <c r="J862"/>
  <c r="N860"/>
  <c r="L860"/>
  <c r="J860"/>
  <c r="N857"/>
  <c r="L857"/>
  <c r="J857"/>
  <c r="N855"/>
  <c r="L855"/>
  <c r="J855"/>
  <c r="N852"/>
  <c r="L852"/>
  <c r="J852"/>
  <c r="N850"/>
  <c r="L850"/>
  <c r="J850"/>
  <c r="N847"/>
  <c r="N846" s="1"/>
  <c r="L847"/>
  <c r="J847"/>
  <c r="J846" s="1"/>
  <c r="N844"/>
  <c r="L844"/>
  <c r="J844"/>
  <c r="N842"/>
  <c r="L842"/>
  <c r="J842"/>
  <c r="N839"/>
  <c r="L839"/>
  <c r="J839"/>
  <c r="N837"/>
  <c r="L837"/>
  <c r="J837"/>
  <c r="N834"/>
  <c r="L834"/>
  <c r="J834"/>
  <c r="N831"/>
  <c r="L831"/>
  <c r="J831"/>
  <c r="N829"/>
  <c r="L829"/>
  <c r="J829"/>
  <c r="N821"/>
  <c r="L821"/>
  <c r="L820" s="1"/>
  <c r="J821"/>
  <c r="N811"/>
  <c r="L811"/>
  <c r="J811"/>
  <c r="J810" s="1"/>
  <c r="J809" s="1"/>
  <c r="N806"/>
  <c r="N805" s="1"/>
  <c r="L806"/>
  <c r="L805" s="1"/>
  <c r="J806"/>
  <c r="J805" s="1"/>
  <c r="N802"/>
  <c r="L802"/>
  <c r="J802"/>
  <c r="N800"/>
  <c r="L800"/>
  <c r="J800"/>
  <c r="N797"/>
  <c r="L797"/>
  <c r="J797"/>
  <c r="N791"/>
  <c r="L791"/>
  <c r="J791"/>
  <c r="N785"/>
  <c r="L785"/>
  <c r="J785"/>
  <c r="J779"/>
  <c r="J778" s="1"/>
  <c r="N778"/>
  <c r="L778"/>
  <c r="N775"/>
  <c r="N774" s="1"/>
  <c r="L775"/>
  <c r="J775"/>
  <c r="J774" s="1"/>
  <c r="N771"/>
  <c r="L771"/>
  <c r="L770" s="1"/>
  <c r="L769" s="1"/>
  <c r="J771"/>
  <c r="J770" s="1"/>
  <c r="L767"/>
  <c r="N766"/>
  <c r="J766"/>
  <c r="J765" s="1"/>
  <c r="N763"/>
  <c r="L763"/>
  <c r="J763"/>
  <c r="N761"/>
  <c r="L761"/>
  <c r="J761"/>
  <c r="N757"/>
  <c r="L757"/>
  <c r="J757"/>
  <c r="N754"/>
  <c r="L754"/>
  <c r="J754"/>
  <c r="N750"/>
  <c r="N749" s="1"/>
  <c r="L750"/>
  <c r="J750"/>
  <c r="J749" s="1"/>
  <c r="N746"/>
  <c r="L746"/>
  <c r="J746"/>
  <c r="N744"/>
  <c r="L744"/>
  <c r="J744"/>
  <c r="N739"/>
  <c r="L739"/>
  <c r="J739"/>
  <c r="N737"/>
  <c r="L737"/>
  <c r="J737"/>
  <c r="N729"/>
  <c r="L729"/>
  <c r="J729"/>
  <c r="N725"/>
  <c r="L725"/>
  <c r="L724" s="1"/>
  <c r="J725"/>
  <c r="J724" s="1"/>
  <c r="J723" s="1"/>
  <c r="N721"/>
  <c r="N720" s="1"/>
  <c r="L721"/>
  <c r="L720" s="1"/>
  <c r="L719" s="1"/>
  <c r="J721"/>
  <c r="N717"/>
  <c r="N716" s="1"/>
  <c r="L717"/>
  <c r="L716" s="1"/>
  <c r="L715" s="1"/>
  <c r="J717"/>
  <c r="N713"/>
  <c r="L713"/>
  <c r="J713"/>
  <c r="N712"/>
  <c r="L712"/>
  <c r="J712"/>
  <c r="N711"/>
  <c r="L711"/>
  <c r="J711"/>
  <c r="N709"/>
  <c r="L709"/>
  <c r="J709"/>
  <c r="N705"/>
  <c r="N704" s="1"/>
  <c r="L705"/>
  <c r="J705"/>
  <c r="J704" s="1"/>
  <c r="J703" s="1"/>
  <c r="N699"/>
  <c r="L699"/>
  <c r="L698" s="1"/>
  <c r="J699"/>
  <c r="N692"/>
  <c r="L692"/>
  <c r="L691" s="1"/>
  <c r="J692"/>
  <c r="N686"/>
  <c r="L686"/>
  <c r="J686"/>
  <c r="N684"/>
  <c r="L684"/>
  <c r="J684"/>
  <c r="J678"/>
  <c r="J677" s="1"/>
  <c r="N677"/>
  <c r="N676" s="1"/>
  <c r="L677"/>
  <c r="N674"/>
  <c r="L674"/>
  <c r="J674"/>
  <c r="N672"/>
  <c r="L672"/>
  <c r="J672"/>
  <c r="N668"/>
  <c r="L668"/>
  <c r="L667" s="1"/>
  <c r="J667"/>
  <c r="J666" s="1"/>
  <c r="N664"/>
  <c r="N663" s="1"/>
  <c r="J664"/>
  <c r="L663"/>
  <c r="L662" s="1"/>
  <c r="N660"/>
  <c r="L660"/>
  <c r="J660"/>
  <c r="N658"/>
  <c r="L658"/>
  <c r="J658"/>
  <c r="N653"/>
  <c r="L653"/>
  <c r="J653"/>
  <c r="N651"/>
  <c r="L651"/>
  <c r="J651"/>
  <c r="N643"/>
  <c r="L643"/>
  <c r="J643"/>
  <c r="N641"/>
  <c r="L641"/>
  <c r="J641"/>
  <c r="N640"/>
  <c r="L640"/>
  <c r="J640"/>
  <c r="N638"/>
  <c r="L638"/>
  <c r="J638"/>
  <c r="N629"/>
  <c r="L629"/>
  <c r="J629"/>
  <c r="J628" s="1"/>
  <c r="N626"/>
  <c r="L626"/>
  <c r="L625" s="1"/>
  <c r="J626"/>
  <c r="J625" s="1"/>
  <c r="N623"/>
  <c r="L623"/>
  <c r="L622" s="1"/>
  <c r="J623"/>
  <c r="J622" s="1"/>
  <c r="N620"/>
  <c r="L620"/>
  <c r="L619" s="1"/>
  <c r="J620"/>
  <c r="N616"/>
  <c r="L616"/>
  <c r="J616"/>
  <c r="N614"/>
  <c r="L614"/>
  <c r="J614"/>
  <c r="N604"/>
  <c r="N603" s="1"/>
  <c r="L604"/>
  <c r="L603" s="1"/>
  <c r="J604"/>
  <c r="N600"/>
  <c r="L600"/>
  <c r="L599" s="1"/>
  <c r="J600"/>
  <c r="J599" s="1"/>
  <c r="N596"/>
  <c r="L596"/>
  <c r="J596"/>
  <c r="N594"/>
  <c r="L594"/>
  <c r="J594"/>
  <c r="N591"/>
  <c r="L591"/>
  <c r="J591"/>
  <c r="N586"/>
  <c r="L586"/>
  <c r="J586"/>
  <c r="J585" s="1"/>
  <c r="N580"/>
  <c r="L580"/>
  <c r="J580"/>
  <c r="N576"/>
  <c r="L576"/>
  <c r="J576"/>
  <c r="N574"/>
  <c r="L574"/>
  <c r="J574"/>
  <c r="N572"/>
  <c r="L572"/>
  <c r="J572"/>
  <c r="N568"/>
  <c r="L568"/>
  <c r="L567" s="1"/>
  <c r="J568"/>
  <c r="N561"/>
  <c r="L561"/>
  <c r="L560" s="1"/>
  <c r="J561"/>
  <c r="N555"/>
  <c r="L555"/>
  <c r="L554" s="1"/>
  <c r="J555"/>
  <c r="N552"/>
  <c r="L552"/>
  <c r="J552"/>
  <c r="J551" s="1"/>
  <c r="N545"/>
  <c r="L545"/>
  <c r="J545"/>
  <c r="N543"/>
  <c r="L543"/>
  <c r="J543"/>
  <c r="N537"/>
  <c r="L537"/>
  <c r="J537"/>
  <c r="N535"/>
  <c r="L535"/>
  <c r="J535"/>
  <c r="N528"/>
  <c r="L528"/>
  <c r="L527" s="1"/>
  <c r="J528"/>
  <c r="N522"/>
  <c r="L522"/>
  <c r="J522"/>
  <c r="N520"/>
  <c r="L520"/>
  <c r="J520"/>
  <c r="N514"/>
  <c r="N513" s="1"/>
  <c r="L514"/>
  <c r="L513" s="1"/>
  <c r="L512" s="1"/>
  <c r="J514"/>
  <c r="N509"/>
  <c r="L509"/>
  <c r="L508" s="1"/>
  <c r="J509"/>
  <c r="L503"/>
  <c r="J503"/>
  <c r="J502" s="1"/>
  <c r="N502"/>
  <c r="N498"/>
  <c r="L498"/>
  <c r="J498"/>
  <c r="N494"/>
  <c r="L494"/>
  <c r="J494"/>
  <c r="N492"/>
  <c r="L492"/>
  <c r="J492"/>
  <c r="N490"/>
  <c r="L490"/>
  <c r="J490"/>
  <c r="N487"/>
  <c r="L487"/>
  <c r="J487"/>
  <c r="N484"/>
  <c r="L484"/>
  <c r="J484"/>
  <c r="N481"/>
  <c r="L481"/>
  <c r="J481"/>
  <c r="N479"/>
  <c r="L479"/>
  <c r="J479"/>
  <c r="N476"/>
  <c r="L476"/>
  <c r="J476"/>
  <c r="N469"/>
  <c r="N468" s="1"/>
  <c r="L469"/>
  <c r="L467" s="1"/>
  <c r="J469"/>
  <c r="N463"/>
  <c r="L463"/>
  <c r="J463"/>
  <c r="N461"/>
  <c r="L461"/>
  <c r="J461"/>
  <c r="J455"/>
  <c r="J454" s="1"/>
  <c r="N454"/>
  <c r="L454"/>
  <c r="N452"/>
  <c r="L452"/>
  <c r="J452"/>
  <c r="J451" s="1"/>
  <c r="N448"/>
  <c r="L448"/>
  <c r="J448"/>
  <c r="N446"/>
  <c r="L446"/>
  <c r="J446"/>
  <c r="N444"/>
  <c r="L444"/>
  <c r="J444"/>
  <c r="N441"/>
  <c r="L441"/>
  <c r="J441"/>
  <c r="N438"/>
  <c r="L438"/>
  <c r="J438"/>
  <c r="N428"/>
  <c r="L428"/>
  <c r="J428"/>
  <c r="N420"/>
  <c r="L420"/>
  <c r="J420"/>
  <c r="N411"/>
  <c r="N410" s="1"/>
  <c r="L411"/>
  <c r="J411"/>
  <c r="J410" s="1"/>
  <c r="N407"/>
  <c r="L407"/>
  <c r="J407"/>
  <c r="N405"/>
  <c r="L405"/>
  <c r="J405"/>
  <c r="N402"/>
  <c r="L402"/>
  <c r="J402"/>
  <c r="N397"/>
  <c r="N396" s="1"/>
  <c r="L397"/>
  <c r="L396" s="1"/>
  <c r="J397"/>
  <c r="N388"/>
  <c r="L388"/>
  <c r="L387" s="1"/>
  <c r="J388"/>
  <c r="J387" s="1"/>
  <c r="N381"/>
  <c r="N380" s="1"/>
  <c r="L381"/>
  <c r="L380" s="1"/>
  <c r="J381"/>
  <c r="N379"/>
  <c r="L379"/>
  <c r="L378" s="1"/>
  <c r="J379"/>
  <c r="J378" s="1"/>
  <c r="N374"/>
  <c r="L374"/>
  <c r="L373" s="1"/>
  <c r="L372" s="1"/>
  <c r="J374"/>
  <c r="N368"/>
  <c r="L368"/>
  <c r="J368"/>
  <c r="N360"/>
  <c r="L360"/>
  <c r="J360"/>
  <c r="N355"/>
  <c r="L355"/>
  <c r="J355"/>
  <c r="N353"/>
  <c r="L353"/>
  <c r="J353"/>
  <c r="N350"/>
  <c r="L350"/>
  <c r="J350"/>
  <c r="N341"/>
  <c r="N340" s="1"/>
  <c r="L341"/>
  <c r="J341"/>
  <c r="J335"/>
  <c r="N334"/>
  <c r="N333" s="1"/>
  <c r="L334"/>
  <c r="N329"/>
  <c r="L329"/>
  <c r="L328" s="1"/>
  <c r="J329"/>
  <c r="N320"/>
  <c r="N319" s="1"/>
  <c r="L320"/>
  <c r="J320"/>
  <c r="N316"/>
  <c r="L316"/>
  <c r="J316"/>
  <c r="N314"/>
  <c r="L314"/>
  <c r="J314"/>
  <c r="N311"/>
  <c r="L311"/>
  <c r="J311"/>
  <c r="J306"/>
  <c r="N305"/>
  <c r="L305"/>
  <c r="N300"/>
  <c r="L300"/>
  <c r="J300"/>
  <c r="N294"/>
  <c r="L294"/>
  <c r="J294"/>
  <c r="N290"/>
  <c r="L290"/>
  <c r="J290"/>
  <c r="J289" s="1"/>
  <c r="N287"/>
  <c r="N286" s="1"/>
  <c r="L287"/>
  <c r="L286" s="1"/>
  <c r="J287"/>
  <c r="N284"/>
  <c r="L284"/>
  <c r="J284"/>
  <c r="N282"/>
  <c r="L282"/>
  <c r="J282"/>
  <c r="N272"/>
  <c r="N271" s="1"/>
  <c r="L272"/>
  <c r="J272"/>
  <c r="N268"/>
  <c r="L268"/>
  <c r="J268"/>
  <c r="J267" s="1"/>
  <c r="N261"/>
  <c r="N260" s="1"/>
  <c r="L261"/>
  <c r="L260" s="1"/>
  <c r="L259" s="1"/>
  <c r="J261"/>
  <c r="N253"/>
  <c r="L253"/>
  <c r="J253"/>
  <c r="N245"/>
  <c r="L245"/>
  <c r="J245"/>
  <c r="J238"/>
  <c r="N236"/>
  <c r="N235" s="1"/>
  <c r="N234" s="1"/>
  <c r="L236"/>
  <c r="J236"/>
  <c r="N232"/>
  <c r="N231" s="1"/>
  <c r="L232"/>
  <c r="J232"/>
  <c r="N227"/>
  <c r="N226" s="1"/>
  <c r="L227"/>
  <c r="J227"/>
  <c r="N223"/>
  <c r="N222" s="1"/>
  <c r="L223"/>
  <c r="J223"/>
  <c r="J222" s="1"/>
  <c r="N218"/>
  <c r="L218"/>
  <c r="J218"/>
  <c r="N209"/>
  <c r="N208" s="1"/>
  <c r="L209"/>
  <c r="L208" s="1"/>
  <c r="J209"/>
  <c r="N202"/>
  <c r="L202"/>
  <c r="J202"/>
  <c r="N200"/>
  <c r="L200"/>
  <c r="J200"/>
  <c r="N196"/>
  <c r="L196"/>
  <c r="J196"/>
  <c r="N191"/>
  <c r="L191"/>
  <c r="J191"/>
  <c r="J190" s="1"/>
  <c r="N186"/>
  <c r="N185" s="1"/>
  <c r="L186"/>
  <c r="J186"/>
  <c r="N182"/>
  <c r="L182"/>
  <c r="J182"/>
  <c r="N180"/>
  <c r="L180"/>
  <c r="J180"/>
  <c r="N177"/>
  <c r="L177"/>
  <c r="J177"/>
  <c r="N175"/>
  <c r="L175"/>
  <c r="J175"/>
  <c r="N171"/>
  <c r="L171"/>
  <c r="J171"/>
  <c r="N166"/>
  <c r="N165" s="1"/>
  <c r="L166"/>
  <c r="J166"/>
  <c r="N162"/>
  <c r="L162"/>
  <c r="J162"/>
  <c r="N155"/>
  <c r="L155"/>
  <c r="J155"/>
  <c r="N153"/>
  <c r="L153"/>
  <c r="N149"/>
  <c r="L149"/>
  <c r="J149"/>
  <c r="N145"/>
  <c r="L145"/>
  <c r="L144" s="1"/>
  <c r="J145"/>
  <c r="N141"/>
  <c r="N140" s="1"/>
  <c r="L141"/>
  <c r="J141"/>
  <c r="J140" s="1"/>
  <c r="N137"/>
  <c r="N136" s="1"/>
  <c r="L137"/>
  <c r="J137"/>
  <c r="N132"/>
  <c r="N131" s="1"/>
  <c r="L132"/>
  <c r="J132"/>
  <c r="N128"/>
  <c r="L128"/>
  <c r="J128"/>
  <c r="N122"/>
  <c r="N121" s="1"/>
  <c r="L122"/>
  <c r="J122"/>
  <c r="N116"/>
  <c r="N115" s="1"/>
  <c r="L116"/>
  <c r="L115" s="1"/>
  <c r="J116"/>
  <c r="N113"/>
  <c r="L113"/>
  <c r="J113"/>
  <c r="J112" s="1"/>
  <c r="N106"/>
  <c r="N105" s="1"/>
  <c r="L106"/>
  <c r="L105" s="1"/>
  <c r="J106"/>
  <c r="N100"/>
  <c r="L100"/>
  <c r="J100"/>
  <c r="N97"/>
  <c r="L97"/>
  <c r="J97"/>
  <c r="N94"/>
  <c r="L94"/>
  <c r="J94"/>
  <c r="N91"/>
  <c r="L91"/>
  <c r="J91"/>
  <c r="N87"/>
  <c r="L87"/>
  <c r="J87"/>
  <c r="N84"/>
  <c r="L84"/>
  <c r="J84"/>
  <c r="N82"/>
  <c r="L82"/>
  <c r="J82"/>
  <c r="N79"/>
  <c r="L79"/>
  <c r="J79"/>
  <c r="N72"/>
  <c r="L72"/>
  <c r="J72"/>
  <c r="J71" s="1"/>
  <c r="N68"/>
  <c r="N67" s="1"/>
  <c r="L68"/>
  <c r="L67" s="1"/>
  <c r="J68"/>
  <c r="N59"/>
  <c r="L59"/>
  <c r="J59"/>
  <c r="J58" s="1"/>
  <c r="N53"/>
  <c r="N52" s="1"/>
  <c r="L53"/>
  <c r="J53"/>
  <c r="N46"/>
  <c r="L46"/>
  <c r="J46"/>
  <c r="N39"/>
  <c r="L39"/>
  <c r="J39"/>
  <c r="J38" s="1"/>
  <c r="N35"/>
  <c r="L35"/>
  <c r="L34" s="1"/>
  <c r="J35"/>
  <c r="N30"/>
  <c r="N29" s="1"/>
  <c r="L30"/>
  <c r="J30"/>
  <c r="N26"/>
  <c r="L26"/>
  <c r="J26"/>
  <c r="J25" s="1"/>
  <c r="N21"/>
  <c r="N20" s="1"/>
  <c r="L21"/>
  <c r="L20" s="1"/>
  <c r="J21"/>
  <c r="N17"/>
  <c r="L17"/>
  <c r="J17"/>
  <c r="N15"/>
  <c r="L15"/>
  <c r="J15"/>
  <c r="N11"/>
  <c r="L11"/>
  <c r="J11"/>
  <c r="M1519" i="31" l="1"/>
  <c r="H432" i="30"/>
  <c r="H431" s="1"/>
  <c r="O1458"/>
  <c r="O591" i="31"/>
  <c r="K1519" i="30"/>
  <c r="O1449" i="31"/>
  <c r="K1459"/>
  <c r="M1520"/>
  <c r="O1414"/>
  <c r="K1465"/>
  <c r="O1455" i="30"/>
  <c r="M1470" i="29"/>
  <c r="K1465"/>
  <c r="M1423"/>
  <c r="K1487" i="31"/>
  <c r="K1420" i="30"/>
  <c r="O1465"/>
  <c r="M1459" i="31"/>
  <c r="I486" i="29"/>
  <c r="I474" s="1"/>
  <c r="I473" s="1"/>
  <c r="I472" s="1"/>
  <c r="I471" s="1"/>
  <c r="O487"/>
  <c r="O590" i="31"/>
  <c r="O1464" i="30"/>
  <c r="O1454"/>
  <c r="K1423" i="31"/>
  <c r="O1513" i="30"/>
  <c r="K1434"/>
  <c r="K1417" i="29"/>
  <c r="O1426"/>
  <c r="M1510" i="30"/>
  <c r="K1424"/>
  <c r="O1424" i="29"/>
  <c r="K1434" i="31"/>
  <c r="M1426"/>
  <c r="H1421"/>
  <c r="M1441" i="30"/>
  <c r="K1441" i="29"/>
  <c r="G1504"/>
  <c r="G1503" s="1"/>
  <c r="M1385" i="11"/>
  <c r="O1441" i="29"/>
  <c r="K1441" i="31"/>
  <c r="I1506" i="30"/>
  <c r="I1505" s="1"/>
  <c r="I1504" s="1"/>
  <c r="I1503" s="1"/>
  <c r="K1413" i="29"/>
  <c r="K1514"/>
  <c r="I1421"/>
  <c r="K1487" i="30"/>
  <c r="M1414" i="31"/>
  <c r="O1413"/>
  <c r="M1464" i="30"/>
  <c r="K1458" i="31"/>
  <c r="O1441" i="30"/>
  <c r="M1519"/>
  <c r="O1520" i="29"/>
  <c r="K1424" i="31"/>
  <c r="O1474" i="29"/>
  <c r="K1454" i="31"/>
  <c r="K1442" i="29"/>
  <c r="O1424" i="30"/>
  <c r="M1448" i="29"/>
  <c r="K1455"/>
  <c r="O1473" i="30"/>
  <c r="M1479" i="31"/>
  <c r="M1442"/>
  <c r="K1449" i="29"/>
  <c r="O1427"/>
  <c r="M1424"/>
  <c r="K1449" i="31"/>
  <c r="K1416" i="29"/>
  <c r="K1420" i="31"/>
  <c r="M1458"/>
  <c r="M1458" i="30"/>
  <c r="H1457"/>
  <c r="I1405" i="31"/>
  <c r="I1404" s="1"/>
  <c r="I1403" s="1"/>
  <c r="G1389" i="30"/>
  <c r="G1388" s="1"/>
  <c r="G1387" s="1"/>
  <c r="H1361" i="31"/>
  <c r="H1360" s="1"/>
  <c r="H1359" s="1"/>
  <c r="M1361"/>
  <c r="U48" i="30"/>
  <c r="M1356" i="31"/>
  <c r="H1356"/>
  <c r="H1355" s="1"/>
  <c r="H1380"/>
  <c r="H1379" s="1"/>
  <c r="H1378" s="1"/>
  <c r="H1377" s="1"/>
  <c r="H1376" s="1"/>
  <c r="H1375" s="1"/>
  <c r="H1405" i="29"/>
  <c r="H1404" s="1"/>
  <c r="H1403" s="1"/>
  <c r="U6" i="30"/>
  <c r="I5"/>
  <c r="M1464" i="31"/>
  <c r="M1519" i="29"/>
  <c r="N1404" i="31"/>
  <c r="N1404" i="30"/>
  <c r="O1404" s="1"/>
  <c r="N1404" i="29"/>
  <c r="J1379" i="31"/>
  <c r="J1379" i="30"/>
  <c r="J1379" i="29"/>
  <c r="G1389" i="31"/>
  <c r="G1388" s="1"/>
  <c r="G1387" s="1"/>
  <c r="K1389"/>
  <c r="K1466" i="30"/>
  <c r="S48"/>
  <c r="M1513" i="29"/>
  <c r="T6" i="30"/>
  <c r="H5"/>
  <c r="I1356" i="31"/>
  <c r="I1355" s="1"/>
  <c r="I1354" s="1"/>
  <c r="I1353" s="1"/>
  <c r="I1352" s="1"/>
  <c r="I1351" s="1"/>
  <c r="L1401"/>
  <c r="L1401" i="30"/>
  <c r="L1401" i="29"/>
  <c r="L1355" i="31"/>
  <c r="L1355" i="30"/>
  <c r="L1355" i="29"/>
  <c r="M1470" i="30"/>
  <c r="J1406" i="31"/>
  <c r="K1406" s="1"/>
  <c r="J1406" i="30"/>
  <c r="K1406" s="1"/>
  <c r="J1406" i="29"/>
  <c r="K1406" s="1"/>
  <c r="L1379" i="31"/>
  <c r="L1379" i="30"/>
  <c r="L1379" i="29"/>
  <c r="M1413"/>
  <c r="M1441" i="31"/>
  <c r="H1396"/>
  <c r="H1395" s="1"/>
  <c r="H1394" s="1"/>
  <c r="H1393" s="1"/>
  <c r="H1392" s="1"/>
  <c r="H1391" s="1"/>
  <c r="M1396"/>
  <c r="J1363"/>
  <c r="K1363" s="1"/>
  <c r="J1363" i="30"/>
  <c r="J1363" i="29"/>
  <c r="N1379" i="31"/>
  <c r="N1379" i="30"/>
  <c r="N1379" i="29"/>
  <c r="K1519" i="31"/>
  <c r="T48" i="30"/>
  <c r="M1473" i="29"/>
  <c r="O1474" i="30"/>
  <c r="O1413" i="29"/>
  <c r="M1442"/>
  <c r="H1389"/>
  <c r="H1388" s="1"/>
  <c r="H1387" s="1"/>
  <c r="G1361"/>
  <c r="G1360" s="1"/>
  <c r="K1361"/>
  <c r="J1388" i="31"/>
  <c r="J1388" i="30"/>
  <c r="K1388" s="1"/>
  <c r="J1388" i="29"/>
  <c r="O1411" i="30"/>
  <c r="K1466" i="31"/>
  <c r="I1389" i="29"/>
  <c r="I1388" s="1"/>
  <c r="I1387" s="1"/>
  <c r="O1389"/>
  <c r="O1411" i="31"/>
  <c r="O1480" i="30"/>
  <c r="N1355" i="31"/>
  <c r="N1355" i="30"/>
  <c r="N1355" i="29"/>
  <c r="M1474" i="30"/>
  <c r="M1509" i="31"/>
  <c r="K1455"/>
  <c r="G1372" i="29"/>
  <c r="G1371" s="1"/>
  <c r="G1370" s="1"/>
  <c r="G1369" s="1"/>
  <c r="G1368" s="1"/>
  <c r="G1367" s="1"/>
  <c r="G1366" s="1"/>
  <c r="K1372"/>
  <c r="K1414" i="30"/>
  <c r="M1470" i="31"/>
  <c r="O1471" i="30"/>
  <c r="M1386" i="29"/>
  <c r="H1385"/>
  <c r="H1384" s="1"/>
  <c r="H1383" s="1"/>
  <c r="H1382" s="1"/>
  <c r="H1381" s="1"/>
  <c r="G1356"/>
  <c r="G1355" s="1"/>
  <c r="G1354" s="1"/>
  <c r="G1353" s="1"/>
  <c r="G1352" s="1"/>
  <c r="G1351" s="1"/>
  <c r="K1414"/>
  <c r="K1448" i="31"/>
  <c r="K1509" i="29"/>
  <c r="O1449" i="30"/>
  <c r="O1471" i="29"/>
  <c r="N1407" i="31"/>
  <c r="N1407" i="30"/>
  <c r="N1407" i="29"/>
  <c r="N1385" i="31"/>
  <c r="N1385" i="30"/>
  <c r="N1385" i="29"/>
  <c r="G1506" i="30"/>
  <c r="G1505" s="1"/>
  <c r="G1504" s="1"/>
  <c r="G1503" s="1"/>
  <c r="K1474"/>
  <c r="I1396" i="31"/>
  <c r="I1395" s="1"/>
  <c r="I1394" s="1"/>
  <c r="I1393" s="1"/>
  <c r="I1392" s="1"/>
  <c r="I1391" s="1"/>
  <c r="O1465" i="29"/>
  <c r="O1479"/>
  <c r="K1513" i="30"/>
  <c r="H1405" i="31"/>
  <c r="H1404" s="1"/>
  <c r="H1403" s="1"/>
  <c r="K1419" i="29"/>
  <c r="K1509" i="31"/>
  <c r="G1508"/>
  <c r="G1507" s="1"/>
  <c r="G1506" s="1"/>
  <c r="G1505" s="1"/>
  <c r="G1504" s="1"/>
  <c r="G1503" s="1"/>
  <c r="O1449" i="29"/>
  <c r="M1514" i="30"/>
  <c r="L1395" i="31"/>
  <c r="L1395" i="30"/>
  <c r="L1395" i="29"/>
  <c r="M1427" i="31"/>
  <c r="G1405" i="29"/>
  <c r="G1404" s="1"/>
  <c r="G1403" s="1"/>
  <c r="M1449"/>
  <c r="G1380" i="31"/>
  <c r="G1379" s="1"/>
  <c r="G1378" s="1"/>
  <c r="G1377" s="1"/>
  <c r="G1376" s="1"/>
  <c r="G1375" s="1"/>
  <c r="S6" i="30"/>
  <c r="G5"/>
  <c r="I1402" i="31"/>
  <c r="I1401" s="1"/>
  <c r="I1400" s="1"/>
  <c r="O1402"/>
  <c r="I1356" i="30"/>
  <c r="I1355" s="1"/>
  <c r="I1354" s="1"/>
  <c r="I1353" s="1"/>
  <c r="I1352" s="1"/>
  <c r="I1351" s="1"/>
  <c r="O1356"/>
  <c r="M1402" i="31"/>
  <c r="H1402"/>
  <c r="H1401" s="1"/>
  <c r="H1400" s="1"/>
  <c r="I1364"/>
  <c r="I1363" s="1"/>
  <c r="I1362" s="1"/>
  <c r="I1408" i="30"/>
  <c r="I1407" s="1"/>
  <c r="I1406" s="1"/>
  <c r="O1408"/>
  <c r="I1386"/>
  <c r="I1385" s="1"/>
  <c r="I1384" s="1"/>
  <c r="I1396" i="29"/>
  <c r="I1395" s="1"/>
  <c r="I1394" s="1"/>
  <c r="I1393" s="1"/>
  <c r="I1392" s="1"/>
  <c r="I1391" s="1"/>
  <c r="M1396" i="30"/>
  <c r="H1395"/>
  <c r="H1394" s="1"/>
  <c r="H1393" s="1"/>
  <c r="H1392" s="1"/>
  <c r="H1391" s="1"/>
  <c r="G1364" i="31"/>
  <c r="G1363" s="1"/>
  <c r="G1362" s="1"/>
  <c r="K1364"/>
  <c r="I1380"/>
  <c r="I1379" s="1"/>
  <c r="I1378" s="1"/>
  <c r="I1377" s="1"/>
  <c r="I1376" s="1"/>
  <c r="I1375" s="1"/>
  <c r="O1380"/>
  <c r="H1506"/>
  <c r="H1505" s="1"/>
  <c r="H1504" s="1"/>
  <c r="H1503" s="1"/>
  <c r="N1401"/>
  <c r="N1401" i="30"/>
  <c r="N1401" i="29"/>
  <c r="L1360" i="31"/>
  <c r="M1360" s="1"/>
  <c r="L1360" i="30"/>
  <c r="L1360" i="29"/>
  <c r="I1421" i="30"/>
  <c r="N1363" i="31"/>
  <c r="O1363" s="1"/>
  <c r="N1363" i="30"/>
  <c r="N1363" i="29"/>
  <c r="O1458" i="31"/>
  <c r="I1408"/>
  <c r="I1407" s="1"/>
  <c r="I1406" s="1"/>
  <c r="I1386"/>
  <c r="I1385" s="1"/>
  <c r="I1384" s="1"/>
  <c r="O1473"/>
  <c r="I1396" i="30"/>
  <c r="I1395" s="1"/>
  <c r="I1394" s="1"/>
  <c r="I1393" s="1"/>
  <c r="I1392" s="1"/>
  <c r="I1391" s="1"/>
  <c r="K1513" i="29"/>
  <c r="H1405" i="30"/>
  <c r="H1404" s="1"/>
  <c r="M1471"/>
  <c r="T5" i="31"/>
  <c r="H1389" i="30"/>
  <c r="H1388" s="1"/>
  <c r="H1387" s="1"/>
  <c r="G1361"/>
  <c r="G1360" s="1"/>
  <c r="G1359" s="1"/>
  <c r="I1371" i="29"/>
  <c r="I1370" s="1"/>
  <c r="I1369" s="1"/>
  <c r="I1368" s="1"/>
  <c r="I1367" s="1"/>
  <c r="I1366" s="1"/>
  <c r="M1435" i="30"/>
  <c r="G1386" i="29"/>
  <c r="G1385" s="1"/>
  <c r="G1384" s="1"/>
  <c r="O1411"/>
  <c r="O1510" i="30"/>
  <c r="M1513" i="31"/>
  <c r="K1455" i="30"/>
  <c r="I1389"/>
  <c r="I1388" s="1"/>
  <c r="I1387" s="1"/>
  <c r="G531"/>
  <c r="G530" s="1"/>
  <c r="O1470" i="31"/>
  <c r="G1402" i="29"/>
  <c r="G1401" s="1"/>
  <c r="G1400" s="1"/>
  <c r="K1402"/>
  <c r="G1463" i="31"/>
  <c r="G1372" i="30"/>
  <c r="G1371" s="1"/>
  <c r="G1370" s="1"/>
  <c r="G1369" s="1"/>
  <c r="G1368" s="1"/>
  <c r="G1367" s="1"/>
  <c r="G1366" s="1"/>
  <c r="K1372"/>
  <c r="H1386"/>
  <c r="H1385" s="1"/>
  <c r="H1384" s="1"/>
  <c r="G1356"/>
  <c r="G1355" s="1"/>
  <c r="G1354" s="1"/>
  <c r="G1353" s="1"/>
  <c r="G1352" s="1"/>
  <c r="G1351" s="1"/>
  <c r="I486" i="31"/>
  <c r="I474" s="1"/>
  <c r="I473" s="1"/>
  <c r="I472" s="1"/>
  <c r="I471" s="1"/>
  <c r="O487"/>
  <c r="O1426" i="30"/>
  <c r="K1467"/>
  <c r="M1514" i="31"/>
  <c r="G1396" i="29"/>
  <c r="G1395" s="1"/>
  <c r="G1394" s="1"/>
  <c r="G1393" s="1"/>
  <c r="G1392" s="1"/>
  <c r="G1391" s="1"/>
  <c r="H1364"/>
  <c r="H1363" s="1"/>
  <c r="H1362" s="1"/>
  <c r="M1364"/>
  <c r="O1434"/>
  <c r="M1424" i="30"/>
  <c r="N1395" i="31"/>
  <c r="O1395" s="1"/>
  <c r="N1395" i="30"/>
  <c r="N1395" i="29"/>
  <c r="O1395" s="1"/>
  <c r="K1474"/>
  <c r="O1435" i="31"/>
  <c r="O1479" i="30"/>
  <c r="K1513" i="31"/>
  <c r="L1404"/>
  <c r="L1404" i="30"/>
  <c r="L1404" i="29"/>
  <c r="M1404" s="1"/>
  <c r="K1419" i="30"/>
  <c r="O1427" i="31"/>
  <c r="O1448" i="29"/>
  <c r="I1447"/>
  <c r="I1446" s="1"/>
  <c r="H1511" i="30"/>
  <c r="H1506" s="1"/>
  <c r="H1505" s="1"/>
  <c r="H1504" s="1"/>
  <c r="H1503" s="1"/>
  <c r="H1408" i="29"/>
  <c r="H1407" s="1"/>
  <c r="H1406" s="1"/>
  <c r="M1455" i="30"/>
  <c r="M1413" i="31"/>
  <c r="H1412"/>
  <c r="G1405" i="30"/>
  <c r="G1404" s="1"/>
  <c r="G1403" s="1"/>
  <c r="K1405"/>
  <c r="G432" i="29"/>
  <c r="G431" s="1"/>
  <c r="H1389" i="31"/>
  <c r="H1388" s="1"/>
  <c r="H1387" s="1"/>
  <c r="G1361"/>
  <c r="G1360" s="1"/>
  <c r="G1359" s="1"/>
  <c r="G1386" i="30"/>
  <c r="G1385" s="1"/>
  <c r="G1384" s="1"/>
  <c r="G1383" s="1"/>
  <c r="G1382" s="1"/>
  <c r="G1381" s="1"/>
  <c r="K1386"/>
  <c r="I432" i="31"/>
  <c r="I431" s="1"/>
  <c r="G1402" i="30"/>
  <c r="G1401" s="1"/>
  <c r="G1400" s="1"/>
  <c r="G1399" s="1"/>
  <c r="G1398" s="1"/>
  <c r="G1397" s="1"/>
  <c r="H1386" i="31"/>
  <c r="H1385" s="1"/>
  <c r="H1384" s="1"/>
  <c r="K1396" i="30"/>
  <c r="G1395"/>
  <c r="G1394" s="1"/>
  <c r="G1393" s="1"/>
  <c r="G1392" s="1"/>
  <c r="G1391" s="1"/>
  <c r="I1361" i="29"/>
  <c r="I1360" s="1"/>
  <c r="I1359" s="1"/>
  <c r="O1361"/>
  <c r="O1479" i="31"/>
  <c r="G1405"/>
  <c r="G1404" s="1"/>
  <c r="G1403" s="1"/>
  <c r="L1388"/>
  <c r="L1388" i="30"/>
  <c r="L1388" i="29"/>
  <c r="J1360" i="31"/>
  <c r="K1360" s="1"/>
  <c r="J1360" i="30"/>
  <c r="J1360" i="29"/>
  <c r="I1371" i="31"/>
  <c r="I1370" s="1"/>
  <c r="I1369" s="1"/>
  <c r="I1368" s="1"/>
  <c r="I1367" s="1"/>
  <c r="I1366" s="1"/>
  <c r="G1386"/>
  <c r="G1385" s="1"/>
  <c r="G1384" s="1"/>
  <c r="J1371"/>
  <c r="J1371" i="30"/>
  <c r="J1371" i="29"/>
  <c r="K1371" s="1"/>
  <c r="M1464"/>
  <c r="J1355" i="31"/>
  <c r="J1355" i="30"/>
  <c r="J1355" i="29"/>
  <c r="K1355" s="1"/>
  <c r="K1464"/>
  <c r="G1463"/>
  <c r="M1448" i="30"/>
  <c r="K1473" i="29"/>
  <c r="I5" i="31"/>
  <c r="U6"/>
  <c r="O1513" i="29"/>
  <c r="I1512"/>
  <c r="I1511" s="1"/>
  <c r="G1396" i="31"/>
  <c r="G1395" s="1"/>
  <c r="G1394" s="1"/>
  <c r="G1393" s="1"/>
  <c r="G1392" s="1"/>
  <c r="G1391" s="1"/>
  <c r="K1396"/>
  <c r="H1364"/>
  <c r="H1363" s="1"/>
  <c r="O1434"/>
  <c r="I1361" i="30"/>
  <c r="I1360" s="1"/>
  <c r="I1359" s="1"/>
  <c r="M1426"/>
  <c r="K1466" i="29"/>
  <c r="K1423"/>
  <c r="G1422"/>
  <c r="K1486"/>
  <c r="M1427"/>
  <c r="O1519" i="30"/>
  <c r="O1454" i="29"/>
  <c r="K1441" i="30"/>
  <c r="M1434" i="29"/>
  <c r="K1514" i="31"/>
  <c r="I1405" i="29"/>
  <c r="I1404" s="1"/>
  <c r="I1403" s="1"/>
  <c r="O1405"/>
  <c r="G1380"/>
  <c r="G1379" s="1"/>
  <c r="G1378" s="1"/>
  <c r="K1380"/>
  <c r="K1414" i="31"/>
  <c r="K1423" i="30"/>
  <c r="J1385" i="31"/>
  <c r="K1385" s="1"/>
  <c r="J1385" i="30"/>
  <c r="J1385" i="29"/>
  <c r="K1459"/>
  <c r="K1467" i="31"/>
  <c r="K1480" i="29"/>
  <c r="I1402"/>
  <c r="I1401" s="1"/>
  <c r="I1400" s="1"/>
  <c r="H1361"/>
  <c r="H1360" s="1"/>
  <c r="H1359" s="1"/>
  <c r="K1464" i="30"/>
  <c r="K1442" i="31"/>
  <c r="K1480"/>
  <c r="K1454" i="29"/>
  <c r="O1513" i="31"/>
  <c r="J1401"/>
  <c r="J1401" i="30"/>
  <c r="J1401" i="29"/>
  <c r="O1442" i="30"/>
  <c r="O1448"/>
  <c r="I1506" i="31"/>
  <c r="I1505" s="1"/>
  <c r="I1504" s="1"/>
  <c r="I1503" s="1"/>
  <c r="K1480" i="30"/>
  <c r="H1402" i="29"/>
  <c r="H1401" s="1"/>
  <c r="H1400" s="1"/>
  <c r="H1356"/>
  <c r="H1355" s="1"/>
  <c r="H1354" s="1"/>
  <c r="H1353" s="1"/>
  <c r="H1352" s="1"/>
  <c r="H1351" s="1"/>
  <c r="I1364"/>
  <c r="I1363" s="1"/>
  <c r="I1362" s="1"/>
  <c r="H1380"/>
  <c r="H1379" s="1"/>
  <c r="H1378" s="1"/>
  <c r="H1377" s="1"/>
  <c r="H1376" s="1"/>
  <c r="H1375" s="1"/>
  <c r="M1380"/>
  <c r="M1448" i="31"/>
  <c r="M1454" i="29"/>
  <c r="K1473" i="30"/>
  <c r="I1506" i="29"/>
  <c r="I1505" s="1"/>
  <c r="I1504" s="1"/>
  <c r="I1503" s="1"/>
  <c r="J1395" i="31"/>
  <c r="K1395" s="1"/>
  <c r="J1395" i="30"/>
  <c r="J1395" i="29"/>
  <c r="L1363" i="31"/>
  <c r="L1363" i="30"/>
  <c r="L1363" i="29"/>
  <c r="M1363" s="1"/>
  <c r="M1479"/>
  <c r="O1361" i="31"/>
  <c r="I1360"/>
  <c r="I1359" s="1"/>
  <c r="H1421" i="29"/>
  <c r="H1506"/>
  <c r="H1505" s="1"/>
  <c r="H1504" s="1"/>
  <c r="H1503" s="1"/>
  <c r="K1486" i="30"/>
  <c r="L1407" i="31"/>
  <c r="M1407" s="1"/>
  <c r="L1407" i="30"/>
  <c r="L1407" i="29"/>
  <c r="M1407" s="1"/>
  <c r="G1364"/>
  <c r="G1363" s="1"/>
  <c r="G1362" s="1"/>
  <c r="M1458"/>
  <c r="I1380"/>
  <c r="I1379" s="1"/>
  <c r="I1378" s="1"/>
  <c r="I1377" s="1"/>
  <c r="I1376" s="1"/>
  <c r="I1375" s="1"/>
  <c r="O1380"/>
  <c r="I563" i="30"/>
  <c r="S6" i="31"/>
  <c r="G5"/>
  <c r="I1371" i="30"/>
  <c r="I1370" s="1"/>
  <c r="I1369" s="1"/>
  <c r="I1368" s="1"/>
  <c r="I1367" s="1"/>
  <c r="I1366" s="1"/>
  <c r="O1410" i="29"/>
  <c r="I1409"/>
  <c r="I1389" i="31"/>
  <c r="I1388" s="1"/>
  <c r="I1387" s="1"/>
  <c r="G1372"/>
  <c r="G1371" s="1"/>
  <c r="G1370" s="1"/>
  <c r="G1369" s="1"/>
  <c r="G1368" s="1"/>
  <c r="G1367" s="1"/>
  <c r="G1366" s="1"/>
  <c r="I435" i="29"/>
  <c r="I434" s="1"/>
  <c r="G1356" i="31"/>
  <c r="G1355" s="1"/>
  <c r="G1354" s="1"/>
  <c r="G1353" s="1"/>
  <c r="G1352" s="1"/>
  <c r="G1351" s="1"/>
  <c r="K1356"/>
  <c r="H1364" i="30"/>
  <c r="H1363" s="1"/>
  <c r="H1362" s="1"/>
  <c r="M1364"/>
  <c r="H1408"/>
  <c r="H1407" s="1"/>
  <c r="H1406" s="1"/>
  <c r="N1388" i="31"/>
  <c r="N1388" i="30"/>
  <c r="N1388" i="29"/>
  <c r="M1465" i="31"/>
  <c r="O1509" i="30"/>
  <c r="M1435" i="31"/>
  <c r="O1423"/>
  <c r="G1402"/>
  <c r="G1401" s="1"/>
  <c r="G1400" s="1"/>
  <c r="L1385"/>
  <c r="M1385" s="1"/>
  <c r="L1385" i="30"/>
  <c r="L1385" i="29"/>
  <c r="H432"/>
  <c r="H431" s="1"/>
  <c r="H1408" i="31"/>
  <c r="H1407" s="1"/>
  <c r="H1406" s="1"/>
  <c r="J1404"/>
  <c r="K1404" s="1"/>
  <c r="J1404" i="30"/>
  <c r="J1404" i="29"/>
  <c r="K1404" s="1"/>
  <c r="O1519" i="31"/>
  <c r="M1459" i="30"/>
  <c r="M1480"/>
  <c r="M1434"/>
  <c r="I1405"/>
  <c r="I1404" s="1"/>
  <c r="I1403" s="1"/>
  <c r="O1405"/>
  <c r="G1380"/>
  <c r="G1379" s="1"/>
  <c r="G1378" s="1"/>
  <c r="G1377" s="1"/>
  <c r="G1376" s="1"/>
  <c r="G1375" s="1"/>
  <c r="K1380"/>
  <c r="G1389" i="29"/>
  <c r="G1388" s="1"/>
  <c r="G1387" s="1"/>
  <c r="O1424" i="31"/>
  <c r="G1463" i="30"/>
  <c r="G1456" s="1"/>
  <c r="M1520" i="29"/>
  <c r="I1402" i="30"/>
  <c r="I1401" s="1"/>
  <c r="I1400" s="1"/>
  <c r="M1361"/>
  <c r="H1361"/>
  <c r="H1360" s="1"/>
  <c r="H1359" s="1"/>
  <c r="M1459" i="29"/>
  <c r="K1454" i="30"/>
  <c r="I1356" i="29"/>
  <c r="I1355" s="1"/>
  <c r="I1354" s="1"/>
  <c r="I1353" s="1"/>
  <c r="I1352" s="1"/>
  <c r="I1351" s="1"/>
  <c r="O1448" i="31"/>
  <c r="H1402" i="30"/>
  <c r="H1401" s="1"/>
  <c r="H1400" s="1"/>
  <c r="H1356"/>
  <c r="H1355" s="1"/>
  <c r="H1354" s="1"/>
  <c r="M1474" i="29"/>
  <c r="I1364" i="30"/>
  <c r="I1363" s="1"/>
  <c r="I1362" s="1"/>
  <c r="H1380"/>
  <c r="H1379" s="1"/>
  <c r="H1378" s="1"/>
  <c r="M1454"/>
  <c r="I432"/>
  <c r="I431" s="1"/>
  <c r="M1423"/>
  <c r="O1458" i="29"/>
  <c r="O1408"/>
  <c r="I1407"/>
  <c r="I1406" s="1"/>
  <c r="O1386"/>
  <c r="I1385"/>
  <c r="I1384" s="1"/>
  <c r="I1383" s="1"/>
  <c r="I1382" s="1"/>
  <c r="I1381" s="1"/>
  <c r="I1374" s="1"/>
  <c r="M1449" i="30"/>
  <c r="O1427"/>
  <c r="O1473" i="29"/>
  <c r="M1479" i="30"/>
  <c r="M1514" i="29"/>
  <c r="G1483" i="31"/>
  <c r="G1482" s="1"/>
  <c r="G1481" s="1"/>
  <c r="N1360"/>
  <c r="N1360" i="30"/>
  <c r="N1360" i="29"/>
  <c r="O1360" s="1"/>
  <c r="K1448"/>
  <c r="G1447"/>
  <c r="G1446" s="1"/>
  <c r="M1455"/>
  <c r="O1474" i="31"/>
  <c r="O1459" i="29"/>
  <c r="O1459" i="31"/>
  <c r="M1441" i="29"/>
  <c r="K1486" i="31"/>
  <c r="H1396" i="29"/>
  <c r="H1395" s="1"/>
  <c r="H1394" s="1"/>
  <c r="H1393" s="1"/>
  <c r="H1392" s="1"/>
  <c r="H1391" s="1"/>
  <c r="G1364" i="30"/>
  <c r="G1363" s="1"/>
  <c r="G1362" s="1"/>
  <c r="O1459"/>
  <c r="K1417" i="31"/>
  <c r="I1380" i="30"/>
  <c r="I1379" s="1"/>
  <c r="I1378" s="1"/>
  <c r="I1377" s="1"/>
  <c r="I1376" s="1"/>
  <c r="I1375" s="1"/>
  <c r="M1414"/>
  <c r="N869" i="11"/>
  <c r="L888"/>
  <c r="L1200"/>
  <c r="L1257"/>
  <c r="L1256" s="1"/>
  <c r="N743"/>
  <c r="N742" s="1"/>
  <c r="L1283"/>
  <c r="J979"/>
  <c r="J978" s="1"/>
  <c r="L542"/>
  <c r="L541" s="1"/>
  <c r="J613"/>
  <c r="J612" s="1"/>
  <c r="J671"/>
  <c r="J670" s="1"/>
  <c r="J849"/>
  <c r="N896"/>
  <c r="J942"/>
  <c r="J941" s="1"/>
  <c r="J1200"/>
  <c r="J195"/>
  <c r="J194" s="1"/>
  <c r="N281"/>
  <c r="J437"/>
  <c r="N467"/>
  <c r="N466" s="1"/>
  <c r="J1082"/>
  <c r="L1127"/>
  <c r="L1126" s="1"/>
  <c r="J1490"/>
  <c r="L78"/>
  <c r="L475"/>
  <c r="M1379"/>
  <c r="J460"/>
  <c r="J459" s="1"/>
  <c r="J458" s="1"/>
  <c r="N657"/>
  <c r="N656" s="1"/>
  <c r="N901"/>
  <c r="L1174"/>
  <c r="L1173" s="1"/>
  <c r="L1172" s="1"/>
  <c r="L1171" s="1"/>
  <c r="J1234"/>
  <c r="J1233" s="1"/>
  <c r="J1232" s="1"/>
  <c r="N1370"/>
  <c r="N1369" s="1"/>
  <c r="N1368" s="1"/>
  <c r="N1367" s="1"/>
  <c r="N1366" s="1"/>
  <c r="J888"/>
  <c r="L1329"/>
  <c r="L1328" s="1"/>
  <c r="L1327" s="1"/>
  <c r="L1326" s="1"/>
  <c r="L1359"/>
  <c r="L1358" s="1"/>
  <c r="L1357" s="1"/>
  <c r="L1350" s="1"/>
  <c r="L1349" s="1"/>
  <c r="J1378"/>
  <c r="J1377" s="1"/>
  <c r="J1376" s="1"/>
  <c r="J1375" s="1"/>
  <c r="L1384"/>
  <c r="K1363"/>
  <c r="N10"/>
  <c r="N104"/>
  <c r="N135"/>
  <c r="N328"/>
  <c r="L359"/>
  <c r="L386"/>
  <c r="L419"/>
  <c r="J443"/>
  <c r="N443"/>
  <c r="N519"/>
  <c r="J784"/>
  <c r="N885"/>
  <c r="L908"/>
  <c r="N979"/>
  <c r="J1002"/>
  <c r="N1542"/>
  <c r="J1558"/>
  <c r="L93"/>
  <c r="L179"/>
  <c r="N207"/>
  <c r="J221"/>
  <c r="N252"/>
  <c r="J305"/>
  <c r="J373"/>
  <c r="L534"/>
  <c r="L559"/>
  <c r="J571"/>
  <c r="L728"/>
  <c r="N736"/>
  <c r="J743"/>
  <c r="N923"/>
  <c r="J932"/>
  <c r="L1028"/>
  <c r="J1463"/>
  <c r="J1476"/>
  <c r="L148"/>
  <c r="L244"/>
  <c r="L333"/>
  <c r="L349"/>
  <c r="J396"/>
  <c r="L497"/>
  <c r="J527"/>
  <c r="N554"/>
  <c r="L704"/>
  <c r="N748"/>
  <c r="J756"/>
  <c r="L760"/>
  <c r="N760"/>
  <c r="L828"/>
  <c r="J952"/>
  <c r="N1044"/>
  <c r="N1050"/>
  <c r="N1061"/>
  <c r="J1072"/>
  <c r="L1214"/>
  <c r="L1233"/>
  <c r="N1234"/>
  <c r="L1290"/>
  <c r="N1403"/>
  <c r="J1412"/>
  <c r="J1581"/>
  <c r="L52"/>
  <c r="L90"/>
  <c r="N164"/>
  <c r="J189"/>
  <c r="L222"/>
  <c r="N293"/>
  <c r="L340"/>
  <c r="L410"/>
  <c r="L507"/>
  <c r="L511"/>
  <c r="J542"/>
  <c r="N773"/>
  <c r="N879"/>
  <c r="N974"/>
  <c r="J990"/>
  <c r="J1533"/>
  <c r="N1672"/>
  <c r="N34"/>
  <c r="L121"/>
  <c r="L140"/>
  <c r="N170"/>
  <c r="N179"/>
  <c r="J226"/>
  <c r="L319"/>
  <c r="L377"/>
  <c r="N387"/>
  <c r="N451"/>
  <c r="N486"/>
  <c r="N508"/>
  <c r="N534"/>
  <c r="L566"/>
  <c r="L697"/>
  <c r="L810"/>
  <c r="J929"/>
  <c r="J1023"/>
  <c r="L1463"/>
  <c r="N1478"/>
  <c r="L1499"/>
  <c r="J1607"/>
  <c r="L1625"/>
  <c r="N38"/>
  <c r="J57"/>
  <c r="N99"/>
  <c r="J144"/>
  <c r="J148"/>
  <c r="N230"/>
  <c r="N229" s="1"/>
  <c r="N45"/>
  <c r="L86"/>
  <c r="J127"/>
  <c r="J131"/>
  <c r="J161"/>
  <c r="L174"/>
  <c r="N174"/>
  <c r="J185"/>
  <c r="L217"/>
  <c r="L235"/>
  <c r="N259"/>
  <c r="J266"/>
  <c r="N270"/>
  <c r="J299"/>
  <c r="L327"/>
  <c r="N367"/>
  <c r="N401"/>
  <c r="N427"/>
  <c r="J450"/>
  <c r="L460"/>
  <c r="N501"/>
  <c r="N512"/>
  <c r="L585"/>
  <c r="N590"/>
  <c r="J590"/>
  <c r="L637"/>
  <c r="N637"/>
  <c r="L650"/>
  <c r="N667"/>
  <c r="J676"/>
  <c r="J683"/>
  <c r="L683"/>
  <c r="L766"/>
  <c r="N770"/>
  <c r="N964"/>
  <c r="N963" s="1"/>
  <c r="J973"/>
  <c r="L1114"/>
  <c r="N1121"/>
  <c r="L1164"/>
  <c r="L1433"/>
  <c r="J1518"/>
  <c r="J1642"/>
  <c r="J1658"/>
  <c r="J1663"/>
  <c r="J1667"/>
  <c r="L45"/>
  <c r="N71"/>
  <c r="N66" s="1"/>
  <c r="N78"/>
  <c r="J86"/>
  <c r="J93"/>
  <c r="L99"/>
  <c r="L170"/>
  <c r="J174"/>
  <c r="J179"/>
  <c r="N190"/>
  <c r="L207"/>
  <c r="J235"/>
  <c r="L252"/>
  <c r="N267"/>
  <c r="N289"/>
  <c r="N304"/>
  <c r="N332"/>
  <c r="L367"/>
  <c r="N378"/>
  <c r="L437"/>
  <c r="J501"/>
  <c r="N560"/>
  <c r="L579"/>
  <c r="L590"/>
  <c r="N599"/>
  <c r="N613"/>
  <c r="L774"/>
  <c r="N790"/>
  <c r="L819"/>
  <c r="J828"/>
  <c r="J841"/>
  <c r="L885"/>
  <c r="N888"/>
  <c r="L896"/>
  <c r="J908"/>
  <c r="L964"/>
  <c r="N1066"/>
  <c r="J1151"/>
  <c r="J1164"/>
  <c r="L1508"/>
  <c r="N1547"/>
  <c r="N1550"/>
  <c r="J1625"/>
  <c r="N1629"/>
  <c r="J1649"/>
  <c r="N1666"/>
  <c r="L25"/>
  <c r="L29"/>
  <c r="J34"/>
  <c r="N51"/>
  <c r="L58"/>
  <c r="L112"/>
  <c r="L111" s="1"/>
  <c r="N120"/>
  <c r="N127"/>
  <c r="L136"/>
  <c r="N139"/>
  <c r="N144"/>
  <c r="L165"/>
  <c r="J170"/>
  <c r="L190"/>
  <c r="L195"/>
  <c r="L231"/>
  <c r="J252"/>
  <c r="L267"/>
  <c r="J293"/>
  <c r="L304"/>
  <c r="J328"/>
  <c r="J334"/>
  <c r="N339"/>
  <c r="N349"/>
  <c r="J386"/>
  <c r="L395"/>
  <c r="L468"/>
  <c r="L502"/>
  <c r="J519"/>
  <c r="N527"/>
  <c r="L551"/>
  <c r="L550" s="1"/>
  <c r="J554"/>
  <c r="J550" s="1"/>
  <c r="J579"/>
  <c r="J584"/>
  <c r="N619"/>
  <c r="N622"/>
  <c r="N625"/>
  <c r="J663"/>
  <c r="N691"/>
  <c r="J720"/>
  <c r="L723"/>
  <c r="N777"/>
  <c r="L790"/>
  <c r="N820"/>
  <c r="L10"/>
  <c r="J20"/>
  <c r="J29"/>
  <c r="J24" s="1"/>
  <c r="J67"/>
  <c r="J66" s="1"/>
  <c r="J78"/>
  <c r="N86"/>
  <c r="N90"/>
  <c r="N93"/>
  <c r="J105"/>
  <c r="J115"/>
  <c r="L127"/>
  <c r="L131"/>
  <c r="J136"/>
  <c r="N148"/>
  <c r="L161"/>
  <c r="J165"/>
  <c r="L185"/>
  <c r="J208"/>
  <c r="N217"/>
  <c r="N221"/>
  <c r="L226"/>
  <c r="J231"/>
  <c r="N244"/>
  <c r="J260"/>
  <c r="J271"/>
  <c r="J281"/>
  <c r="J286"/>
  <c r="L299"/>
  <c r="J310"/>
  <c r="N310"/>
  <c r="N359"/>
  <c r="J380"/>
  <c r="N419"/>
  <c r="N460"/>
  <c r="L486"/>
  <c r="N497"/>
  <c r="J513"/>
  <c r="J560"/>
  <c r="J567"/>
  <c r="L571"/>
  <c r="N571"/>
  <c r="N585"/>
  <c r="L628"/>
  <c r="L618" s="1"/>
  <c r="J637"/>
  <c r="N662"/>
  <c r="L666"/>
  <c r="L676"/>
  <c r="J698"/>
  <c r="N719"/>
  <c r="N724"/>
  <c r="N728"/>
  <c r="J753"/>
  <c r="L756"/>
  <c r="J769"/>
  <c r="L777"/>
  <c r="L784"/>
  <c r="L796"/>
  <c r="N796"/>
  <c r="N810"/>
  <c r="L854"/>
  <c r="J874"/>
  <c r="L874"/>
  <c r="J901"/>
  <c r="L901"/>
  <c r="J917"/>
  <c r="J920"/>
  <c r="L929"/>
  <c r="L952"/>
  <c r="J957"/>
  <c r="J967"/>
  <c r="J998"/>
  <c r="N1029"/>
  <c r="J1042"/>
  <c r="L1056"/>
  <c r="L1072"/>
  <c r="J1101"/>
  <c r="N1114"/>
  <c r="L1161"/>
  <c r="L1196"/>
  <c r="N1207"/>
  <c r="N1214"/>
  <c r="L1228"/>
  <c r="J1244"/>
  <c r="J1247"/>
  <c r="N1290"/>
  <c r="J1314"/>
  <c r="J1321"/>
  <c r="N1344"/>
  <c r="J1387"/>
  <c r="J1383" s="1"/>
  <c r="J1382" s="1"/>
  <c r="J1381" s="1"/>
  <c r="J1393"/>
  <c r="J1400"/>
  <c r="J1472"/>
  <c r="L1566"/>
  <c r="N1573"/>
  <c r="J1589"/>
  <c r="L1619"/>
  <c r="L1644"/>
  <c r="L1663"/>
  <c r="L1691"/>
  <c r="J833"/>
  <c r="J90"/>
  <c r="N225"/>
  <c r="J497"/>
  <c r="J45"/>
  <c r="J99"/>
  <c r="J217"/>
  <c r="J359"/>
  <c r="J419"/>
  <c r="J427"/>
  <c r="L443"/>
  <c r="L466"/>
  <c r="N650"/>
  <c r="N25"/>
  <c r="N24" s="1"/>
  <c r="L38"/>
  <c r="L33" s="1"/>
  <c r="J52"/>
  <c r="N58"/>
  <c r="N112"/>
  <c r="J121"/>
  <c r="N130"/>
  <c r="J139"/>
  <c r="L143"/>
  <c r="L258"/>
  <c r="L293"/>
  <c r="J319"/>
  <c r="J340"/>
  <c r="L371"/>
  <c r="N395"/>
  <c r="L401"/>
  <c r="L427"/>
  <c r="L451"/>
  <c r="N475"/>
  <c r="J475"/>
  <c r="L526"/>
  <c r="J534"/>
  <c r="N542"/>
  <c r="N551"/>
  <c r="L690"/>
  <c r="N715"/>
  <c r="N833"/>
  <c r="L911"/>
  <c r="N938"/>
  <c r="N942"/>
  <c r="N948"/>
  <c r="N956"/>
  <c r="L979"/>
  <c r="N985"/>
  <c r="N1024"/>
  <c r="L1049"/>
  <c r="L1121"/>
  <c r="J1145"/>
  <c r="J1138" s="1"/>
  <c r="L1167"/>
  <c r="J1175"/>
  <c r="J1187"/>
  <c r="N1187"/>
  <c r="L1222"/>
  <c r="L1236"/>
  <c r="J1270"/>
  <c r="L1421"/>
  <c r="J1421"/>
  <c r="N1447"/>
  <c r="L1484"/>
  <c r="N1659"/>
  <c r="N1681"/>
  <c r="L71"/>
  <c r="N161"/>
  <c r="L271"/>
  <c r="L289"/>
  <c r="N299"/>
  <c r="L310"/>
  <c r="J349"/>
  <c r="J367"/>
  <c r="N373"/>
  <c r="J508"/>
  <c r="N628"/>
  <c r="L657"/>
  <c r="L753"/>
  <c r="J773"/>
  <c r="J859"/>
  <c r="N864"/>
  <c r="J869"/>
  <c r="J911"/>
  <c r="L914"/>
  <c r="L947"/>
  <c r="N951"/>
  <c r="L957"/>
  <c r="L967"/>
  <c r="L1024"/>
  <c r="J1028"/>
  <c r="N1056"/>
  <c r="L1066"/>
  <c r="J1091"/>
  <c r="N1127"/>
  <c r="N1139"/>
  <c r="N1153"/>
  <c r="N1161"/>
  <c r="J1167"/>
  <c r="J1178"/>
  <c r="N1196"/>
  <c r="N1200"/>
  <c r="J1222"/>
  <c r="J1221" s="1"/>
  <c r="N1228"/>
  <c r="L1244"/>
  <c r="J1300"/>
  <c r="L1322"/>
  <c r="J1359"/>
  <c r="J1358" s="1"/>
  <c r="J1357" s="1"/>
  <c r="J1350" s="1"/>
  <c r="J1349" s="1"/>
  <c r="K1360"/>
  <c r="L1370"/>
  <c r="L1369" s="1"/>
  <c r="L1368" s="1"/>
  <c r="L1367" s="1"/>
  <c r="L1366" s="1"/>
  <c r="M1371"/>
  <c r="L1394"/>
  <c r="N1440"/>
  <c r="L1447"/>
  <c r="J1452"/>
  <c r="J1457"/>
  <c r="J1507"/>
  <c r="L1528"/>
  <c r="L1550"/>
  <c r="J1566"/>
  <c r="L1574"/>
  <c r="J1602"/>
  <c r="L104"/>
  <c r="N184"/>
  <c r="J244"/>
  <c r="L841"/>
  <c r="J1131"/>
  <c r="J1127" s="1"/>
  <c r="L1138"/>
  <c r="L1439"/>
  <c r="N1511"/>
  <c r="M1363"/>
  <c r="N1279"/>
  <c r="N1283"/>
  <c r="N1308"/>
  <c r="N1322"/>
  <c r="J1341"/>
  <c r="J1370"/>
  <c r="J1369" s="1"/>
  <c r="J1368" s="1"/>
  <c r="J1367" s="1"/>
  <c r="J1366" s="1"/>
  <c r="K1371"/>
  <c r="N1378"/>
  <c r="N1377" s="1"/>
  <c r="N1376" s="1"/>
  <c r="N1375" s="1"/>
  <c r="O1379"/>
  <c r="N1384"/>
  <c r="O1385"/>
  <c r="N1406"/>
  <c r="N1422"/>
  <c r="N1433"/>
  <c r="N1452"/>
  <c r="L1472"/>
  <c r="L1518"/>
  <c r="J1527"/>
  <c r="J1562"/>
  <c r="L1604"/>
  <c r="N1619"/>
  <c r="N1639"/>
  <c r="N1644"/>
  <c r="L1659"/>
  <c r="N1691"/>
  <c r="N567"/>
  <c r="J650"/>
  <c r="N698"/>
  <c r="N703"/>
  <c r="J708"/>
  <c r="L708"/>
  <c r="J728"/>
  <c r="J736"/>
  <c r="L749"/>
  <c r="J760"/>
  <c r="N765"/>
  <c r="J790"/>
  <c r="J820"/>
  <c r="N841"/>
  <c r="N849"/>
  <c r="J864"/>
  <c r="L864"/>
  <c r="N893"/>
  <c r="N917"/>
  <c r="L935"/>
  <c r="L938"/>
  <c r="L942"/>
  <c r="J948"/>
  <c r="L974"/>
  <c r="L985"/>
  <c r="J1007"/>
  <c r="N1034"/>
  <c r="L1042"/>
  <c r="N1145"/>
  <c r="L1153"/>
  <c r="L1207"/>
  <c r="N1250"/>
  <c r="N1257"/>
  <c r="N1270"/>
  <c r="L1279"/>
  <c r="N1300"/>
  <c r="N1296" s="1"/>
  <c r="L1308"/>
  <c r="N1314"/>
  <c r="N1341"/>
  <c r="N1359"/>
  <c r="N1358" s="1"/>
  <c r="N1357" s="1"/>
  <c r="N1350" s="1"/>
  <c r="N1349" s="1"/>
  <c r="O1360"/>
  <c r="N1387"/>
  <c r="N1425"/>
  <c r="N1457"/>
  <c r="N1460"/>
  <c r="N1463"/>
  <c r="L1476"/>
  <c r="L1542"/>
  <c r="N1558"/>
  <c r="N1567"/>
  <c r="N1580"/>
  <c r="N1608"/>
  <c r="N1699"/>
  <c r="L613"/>
  <c r="L671"/>
  <c r="L736"/>
  <c r="J777"/>
  <c r="J796"/>
  <c r="L833"/>
  <c r="J854"/>
  <c r="L869"/>
  <c r="L879"/>
  <c r="N1007"/>
  <c r="J1056"/>
  <c r="J1439"/>
  <c r="J1691"/>
  <c r="O1363"/>
  <c r="N579"/>
  <c r="J603"/>
  <c r="J619"/>
  <c r="J691"/>
  <c r="J716"/>
  <c r="J748"/>
  <c r="N753"/>
  <c r="N756"/>
  <c r="N784"/>
  <c r="N828"/>
  <c r="L846"/>
  <c r="L859"/>
  <c r="N859"/>
  <c r="L990"/>
  <c r="N1002"/>
  <c r="L1062"/>
  <c r="N1072"/>
  <c r="L1082"/>
  <c r="N1091"/>
  <c r="N1164"/>
  <c r="L1187"/>
  <c r="N1222"/>
  <c r="N1244"/>
  <c r="L1300"/>
  <c r="L1341"/>
  <c r="L1340" s="1"/>
  <c r="L1387"/>
  <c r="N1394"/>
  <c r="L1400"/>
  <c r="L1412"/>
  <c r="N1469"/>
  <c r="N1472"/>
  <c r="N1508"/>
  <c r="N1518"/>
  <c r="N1528"/>
  <c r="L1558"/>
  <c r="L1582"/>
  <c r="L1589"/>
  <c r="N1604"/>
  <c r="N1625"/>
  <c r="N1649"/>
  <c r="N1663"/>
  <c r="L1667"/>
  <c r="L849"/>
  <c r="L1007"/>
  <c r="J1114"/>
  <c r="L1490"/>
  <c r="J1499"/>
  <c r="K1385"/>
  <c r="J879"/>
  <c r="N195"/>
  <c r="L281"/>
  <c r="N437"/>
  <c r="L519"/>
  <c r="J896"/>
  <c r="J468"/>
  <c r="J467"/>
  <c r="J10"/>
  <c r="J401"/>
  <c r="J486"/>
  <c r="N671"/>
  <c r="J1330"/>
  <c r="J1329"/>
  <c r="J1035"/>
  <c r="J1036"/>
  <c r="N1333"/>
  <c r="N1329"/>
  <c r="J1546"/>
  <c r="N683"/>
  <c r="N708"/>
  <c r="L743"/>
  <c r="N874"/>
  <c r="N1082"/>
  <c r="N1236"/>
  <c r="J1283"/>
  <c r="J1629"/>
  <c r="J1672"/>
  <c r="N1483"/>
  <c r="N1482"/>
  <c r="J657"/>
  <c r="N854"/>
  <c r="N990"/>
  <c r="N1589"/>
  <c r="L1270"/>
  <c r="N1533"/>
  <c r="L1649"/>
  <c r="L1101"/>
  <c r="N1101"/>
  <c r="N1174"/>
  <c r="J1257"/>
  <c r="N1490"/>
  <c r="L1533"/>
  <c r="L1629"/>
  <c r="L1672"/>
  <c r="G1358" i="30" l="1"/>
  <c r="G1357" s="1"/>
  <c r="G1350" s="1"/>
  <c r="G1349" s="1"/>
  <c r="I1358" i="29"/>
  <c r="I1357" s="1"/>
  <c r="I1350" s="1"/>
  <c r="I1349" s="1"/>
  <c r="O1355"/>
  <c r="M1396"/>
  <c r="M1402" i="30"/>
  <c r="I1399"/>
  <c r="I1398" s="1"/>
  <c r="I1397" s="1"/>
  <c r="I1390" s="1"/>
  <c r="I1365" s="1"/>
  <c r="H1358"/>
  <c r="H1357" s="1"/>
  <c r="O1371"/>
  <c r="M1356" i="29"/>
  <c r="O1361" i="30"/>
  <c r="H1383"/>
  <c r="H1382" s="1"/>
  <c r="H1381" s="1"/>
  <c r="O1389"/>
  <c r="O1371" i="29"/>
  <c r="O1396" i="30"/>
  <c r="O1401" i="31"/>
  <c r="K1363" i="30"/>
  <c r="M1379" i="31"/>
  <c r="O1404"/>
  <c r="I1383" i="30"/>
  <c r="I1382" s="1"/>
  <c r="I1381" s="1"/>
  <c r="O1388"/>
  <c r="I1358"/>
  <c r="I1357" s="1"/>
  <c r="I1350" s="1"/>
  <c r="I1349" s="1"/>
  <c r="K1361" i="31"/>
  <c r="M1408" i="29"/>
  <c r="O1386" i="31"/>
  <c r="M1395"/>
  <c r="O1360" i="30"/>
  <c r="K1371"/>
  <c r="G1399" i="31"/>
  <c r="G1398" s="1"/>
  <c r="G1397" s="1"/>
  <c r="M1408" i="30"/>
  <c r="K1395" i="29"/>
  <c r="K1385" i="30"/>
  <c r="K1386" i="31"/>
  <c r="M1386"/>
  <c r="M1404"/>
  <c r="K1380"/>
  <c r="M1355" i="29"/>
  <c r="G1390" i="30"/>
  <c r="G1365" s="1"/>
  <c r="K1379" i="29"/>
  <c r="K1364" i="30"/>
  <c r="M1356"/>
  <c r="G1374"/>
  <c r="O1364" i="29"/>
  <c r="K1405" i="31"/>
  <c r="M1379" i="29"/>
  <c r="M1355" i="30"/>
  <c r="M1380" i="31"/>
  <c r="O1405"/>
  <c r="G1445" i="30"/>
  <c r="G1444" s="1"/>
  <c r="G1443" s="1"/>
  <c r="M1363" i="31"/>
  <c r="H1362"/>
  <c r="H1358" s="1"/>
  <c r="H1357" s="1"/>
  <c r="M1395" i="30"/>
  <c r="O1371" i="31"/>
  <c r="K1360" i="29"/>
  <c r="G1359"/>
  <c r="G1358" s="1"/>
  <c r="G1357" s="1"/>
  <c r="G1350" s="1"/>
  <c r="G1349" s="1"/>
  <c r="M1380" i="30"/>
  <c r="G1399" i="29"/>
  <c r="O1355" i="30"/>
  <c r="M1379"/>
  <c r="O1356" i="29"/>
  <c r="M1385" i="30"/>
  <c r="O1388" i="29"/>
  <c r="I433"/>
  <c r="I432" s="1"/>
  <c r="I431" s="1"/>
  <c r="O1389" i="31"/>
  <c r="S5"/>
  <c r="H1399" i="29"/>
  <c r="H1398" s="1"/>
  <c r="H1397" s="1"/>
  <c r="H1390" s="1"/>
  <c r="K1401" i="31"/>
  <c r="M1361" i="29"/>
  <c r="K1385"/>
  <c r="K1355" i="31"/>
  <c r="M1388" i="29"/>
  <c r="K1402" i="30"/>
  <c r="M1389" i="31"/>
  <c r="K1396" i="29"/>
  <c r="K1356" i="30"/>
  <c r="K1361"/>
  <c r="M1405"/>
  <c r="O1401" i="29"/>
  <c r="I1358" i="31"/>
  <c r="I1357" s="1"/>
  <c r="I1350" s="1"/>
  <c r="I1349" s="1"/>
  <c r="S5" i="30"/>
  <c r="O1396" i="31"/>
  <c r="O1407" i="30"/>
  <c r="K1388" i="29"/>
  <c r="O1379" i="31"/>
  <c r="M1401"/>
  <c r="O1404" i="29"/>
  <c r="M1405"/>
  <c r="G1421"/>
  <c r="G1383"/>
  <c r="G1382" s="1"/>
  <c r="G1381" s="1"/>
  <c r="U5" i="31"/>
  <c r="M1388" i="30"/>
  <c r="G432"/>
  <c r="G431" s="1"/>
  <c r="M1404"/>
  <c r="H1403"/>
  <c r="H1399" s="1"/>
  <c r="H1398" s="1"/>
  <c r="H1397" s="1"/>
  <c r="H1390" s="1"/>
  <c r="O1401"/>
  <c r="O1407" i="31"/>
  <c r="H1353" i="30"/>
  <c r="H1352" s="1"/>
  <c r="H1351" s="1"/>
  <c r="H1350" s="1"/>
  <c r="H1349" s="1"/>
  <c r="O1402"/>
  <c r="K1389" i="29"/>
  <c r="M1408" i="31"/>
  <c r="K1402"/>
  <c r="O1388"/>
  <c r="K1372"/>
  <c r="M1407" i="30"/>
  <c r="K1395"/>
  <c r="H1374" i="29"/>
  <c r="O1402"/>
  <c r="M1364" i="31"/>
  <c r="G1383"/>
  <c r="G1382" s="1"/>
  <c r="G1381" s="1"/>
  <c r="G1374" s="1"/>
  <c r="G1365" s="1"/>
  <c r="M1388"/>
  <c r="O1395" i="30"/>
  <c r="M1386"/>
  <c r="K1386" i="29"/>
  <c r="M1389" i="30"/>
  <c r="O1408" i="31"/>
  <c r="G1358"/>
  <c r="G1357" s="1"/>
  <c r="G1350" s="1"/>
  <c r="G1349" s="1"/>
  <c r="O1386" i="30"/>
  <c r="H1399" i="31"/>
  <c r="H1398" s="1"/>
  <c r="H1397" s="1"/>
  <c r="H1390" s="1"/>
  <c r="M1395" i="29"/>
  <c r="M1405" i="31"/>
  <c r="K1388"/>
  <c r="K1363" i="29"/>
  <c r="O1356" i="31"/>
  <c r="O1360"/>
  <c r="H1377" i="30"/>
  <c r="H1376" s="1"/>
  <c r="H1375" s="1"/>
  <c r="H1374" s="1"/>
  <c r="O1385"/>
  <c r="O1380"/>
  <c r="O1364"/>
  <c r="G1456" i="29"/>
  <c r="G1445" s="1"/>
  <c r="G1444" s="1"/>
  <c r="G1443" s="1"/>
  <c r="G1428" s="1"/>
  <c r="K1401"/>
  <c r="G1377"/>
  <c r="G1376" s="1"/>
  <c r="G1375" s="1"/>
  <c r="K1371" i="31"/>
  <c r="K1360" i="30"/>
  <c r="O1363" i="29"/>
  <c r="M1360" i="30"/>
  <c r="O1385" i="31"/>
  <c r="O1355"/>
  <c r="M1389" i="29"/>
  <c r="O1379"/>
  <c r="M1401"/>
  <c r="K1379" i="30"/>
  <c r="U5"/>
  <c r="I1399" i="29"/>
  <c r="G1456" i="31"/>
  <c r="O1385" i="29"/>
  <c r="G1390" i="31"/>
  <c r="M1360" i="29"/>
  <c r="T5" i="30"/>
  <c r="I1374"/>
  <c r="K1404"/>
  <c r="M1385" i="29"/>
  <c r="K1364"/>
  <c r="M1363" i="30"/>
  <c r="M1402" i="29"/>
  <c r="K1401" i="30"/>
  <c r="K1355"/>
  <c r="H1383" i="31"/>
  <c r="H1382" s="1"/>
  <c r="H1381" s="1"/>
  <c r="H1374" s="1"/>
  <c r="H1358" i="29"/>
  <c r="H1357" s="1"/>
  <c r="H1350" s="1"/>
  <c r="H1349" s="1"/>
  <c r="I1383" i="31"/>
  <c r="I1382" s="1"/>
  <c r="I1381" s="1"/>
  <c r="O1363" i="30"/>
  <c r="O1396" i="29"/>
  <c r="O1364" i="31"/>
  <c r="I1399"/>
  <c r="I1398" s="1"/>
  <c r="I1397" s="1"/>
  <c r="I1390" s="1"/>
  <c r="K1405" i="29"/>
  <c r="O1407"/>
  <c r="K1356"/>
  <c r="O1379" i="30"/>
  <c r="M1401"/>
  <c r="K1379" i="31"/>
  <c r="M1355"/>
  <c r="H1354"/>
  <c r="H1353" s="1"/>
  <c r="H1352" s="1"/>
  <c r="H1351" s="1"/>
  <c r="K1389" i="30"/>
  <c r="N280" i="11"/>
  <c r="N1421"/>
  <c r="N1221"/>
  <c r="N1220" s="1"/>
  <c r="L474"/>
  <c r="L1221"/>
  <c r="L1220" s="1"/>
  <c r="L1456"/>
  <c r="J309"/>
  <c r="J308" s="1"/>
  <c r="J280"/>
  <c r="J907"/>
  <c r="N1269"/>
  <c r="N1268" s="1"/>
  <c r="N474"/>
  <c r="J436"/>
  <c r="J435" s="1"/>
  <c r="N1546"/>
  <c r="J827"/>
  <c r="J1100"/>
  <c r="J1099" s="1"/>
  <c r="J1160"/>
  <c r="J1159" s="1"/>
  <c r="N1243"/>
  <c r="N1242" s="1"/>
  <c r="L827"/>
  <c r="N907"/>
  <c r="N978"/>
  <c r="N977" s="1"/>
  <c r="J1374"/>
  <c r="L77"/>
  <c r="L76" s="1"/>
  <c r="L309"/>
  <c r="L308" s="1"/>
  <c r="N1186"/>
  <c r="N1185" s="1"/>
  <c r="L1489"/>
  <c r="L1488" s="1"/>
  <c r="N1690"/>
  <c r="N1689" s="1"/>
  <c r="L24"/>
  <c r="L884"/>
  <c r="L110"/>
  <c r="N1173"/>
  <c r="N989"/>
  <c r="J1034"/>
  <c r="J549"/>
  <c r="L518"/>
  <c r="N436"/>
  <c r="N194"/>
  <c r="J1055"/>
  <c r="N1579"/>
  <c r="J707"/>
  <c r="N1432"/>
  <c r="J1340"/>
  <c r="L1438"/>
  <c r="L1137"/>
  <c r="L1393"/>
  <c r="J1174"/>
  <c r="L956"/>
  <c r="J366"/>
  <c r="N550"/>
  <c r="J533"/>
  <c r="L426"/>
  <c r="J51"/>
  <c r="J977"/>
  <c r="J216"/>
  <c r="J496"/>
  <c r="L1643"/>
  <c r="L1565"/>
  <c r="J1392"/>
  <c r="N1028"/>
  <c r="N809"/>
  <c r="L795"/>
  <c r="J559"/>
  <c r="N459"/>
  <c r="N309"/>
  <c r="L298"/>
  <c r="N147"/>
  <c r="J662"/>
  <c r="N526"/>
  <c r="L501"/>
  <c r="L394"/>
  <c r="J333"/>
  <c r="L303"/>
  <c r="L230"/>
  <c r="L189"/>
  <c r="L164"/>
  <c r="N126"/>
  <c r="N125" s="1"/>
  <c r="N50"/>
  <c r="L1507"/>
  <c r="N789"/>
  <c r="N559"/>
  <c r="L366"/>
  <c r="N266"/>
  <c r="N265" s="1"/>
  <c r="J173"/>
  <c r="L1432"/>
  <c r="J972"/>
  <c r="N426"/>
  <c r="J130"/>
  <c r="N65"/>
  <c r="N1477"/>
  <c r="L376"/>
  <c r="J225"/>
  <c r="L120"/>
  <c r="J1532"/>
  <c r="J193"/>
  <c r="L51"/>
  <c r="L1255"/>
  <c r="J304"/>
  <c r="L178"/>
  <c r="J783"/>
  <c r="N518"/>
  <c r="L385"/>
  <c r="N327"/>
  <c r="J1256"/>
  <c r="L1269"/>
  <c r="N1648"/>
  <c r="L1581"/>
  <c r="L1296"/>
  <c r="L989"/>
  <c r="J690"/>
  <c r="N183"/>
  <c r="N1055"/>
  <c r="L1023"/>
  <c r="L656"/>
  <c r="L1482"/>
  <c r="L1483"/>
  <c r="N1340"/>
  <c r="N727"/>
  <c r="J636"/>
  <c r="N584"/>
  <c r="N1628"/>
  <c r="N612"/>
  <c r="J298"/>
  <c r="L234"/>
  <c r="L173"/>
  <c r="J143"/>
  <c r="N169"/>
  <c r="N1671"/>
  <c r="N973"/>
  <c r="N292"/>
  <c r="L1232"/>
  <c r="N1043"/>
  <c r="L759"/>
  <c r="L496"/>
  <c r="L473" s="1"/>
  <c r="L147"/>
  <c r="L558"/>
  <c r="L1532"/>
  <c r="L1100"/>
  <c r="J1671"/>
  <c r="N682"/>
  <c r="L1628"/>
  <c r="N1100"/>
  <c r="J1137"/>
  <c r="N827"/>
  <c r="J1269"/>
  <c r="N1081"/>
  <c r="N707"/>
  <c r="N1328"/>
  <c r="J1328"/>
  <c r="N670"/>
  <c r="J474"/>
  <c r="L549"/>
  <c r="J1489"/>
  <c r="N1662"/>
  <c r="N1624"/>
  <c r="L1588"/>
  <c r="L1557"/>
  <c r="N1517"/>
  <c r="N1393"/>
  <c r="N1071"/>
  <c r="N783"/>
  <c r="N752"/>
  <c r="J715"/>
  <c r="J618"/>
  <c r="J611" s="1"/>
  <c r="N578"/>
  <c r="J1438"/>
  <c r="J1220"/>
  <c r="N1618"/>
  <c r="L1546"/>
  <c r="N1126"/>
  <c r="L752"/>
  <c r="L465"/>
  <c r="J44"/>
  <c r="N1213"/>
  <c r="L1071"/>
  <c r="J697"/>
  <c r="J1648"/>
  <c r="J1624"/>
  <c r="N1065"/>
  <c r="L578"/>
  <c r="N500"/>
  <c r="N400"/>
  <c r="L326"/>
  <c r="L216"/>
  <c r="J160"/>
  <c r="J126"/>
  <c r="L809"/>
  <c r="N533"/>
  <c r="N386"/>
  <c r="N178"/>
  <c r="L139"/>
  <c r="J541"/>
  <c r="L506"/>
  <c r="L339"/>
  <c r="J1580"/>
  <c r="N1233"/>
  <c r="J1071"/>
  <c r="J951"/>
  <c r="N759"/>
  <c r="L243"/>
  <c r="J1475"/>
  <c r="L1027"/>
  <c r="J570"/>
  <c r="L533"/>
  <c r="N103"/>
  <c r="J457"/>
  <c r="J111"/>
  <c r="N77"/>
  <c r="J1296"/>
  <c r="N589"/>
  <c r="J1307"/>
  <c r="L978"/>
  <c r="L1671"/>
  <c r="N1532"/>
  <c r="N1588"/>
  <c r="J1628"/>
  <c r="L742"/>
  <c r="J65"/>
  <c r="J1690"/>
  <c r="N1557"/>
  <c r="N1456"/>
  <c r="N1256"/>
  <c r="N1138"/>
  <c r="N1033"/>
  <c r="J947"/>
  <c r="J819"/>
  <c r="L748"/>
  <c r="J727"/>
  <c r="N697"/>
  <c r="N1638"/>
  <c r="L1517"/>
  <c r="J243"/>
  <c r="L1527"/>
  <c r="L1446"/>
  <c r="J507"/>
  <c r="N160"/>
  <c r="N1023"/>
  <c r="N947"/>
  <c r="N465"/>
  <c r="N394"/>
  <c r="J339"/>
  <c r="L292"/>
  <c r="N649"/>
  <c r="J1588"/>
  <c r="L1055"/>
  <c r="L570"/>
  <c r="N496"/>
  <c r="J259"/>
  <c r="J230"/>
  <c r="J207"/>
  <c r="J164"/>
  <c r="L130"/>
  <c r="N819"/>
  <c r="J719"/>
  <c r="J583"/>
  <c r="L266"/>
  <c r="J1150"/>
  <c r="L963"/>
  <c r="N303"/>
  <c r="J234"/>
  <c r="N189"/>
  <c r="L44"/>
  <c r="N769"/>
  <c r="L682"/>
  <c r="L649"/>
  <c r="L636"/>
  <c r="N511"/>
  <c r="J184"/>
  <c r="L1213"/>
  <c r="N1049"/>
  <c r="L703"/>
  <c r="J526"/>
  <c r="L348"/>
  <c r="N735"/>
  <c r="J1557"/>
  <c r="N1489"/>
  <c r="L1648"/>
  <c r="N962"/>
  <c r="J400"/>
  <c r="L1666"/>
  <c r="N1603"/>
  <c r="N1527"/>
  <c r="N1507"/>
  <c r="L1399"/>
  <c r="L1383"/>
  <c r="L1382" s="1"/>
  <c r="L1381" s="1"/>
  <c r="L1374" s="1"/>
  <c r="L1170"/>
  <c r="L1125"/>
  <c r="L1061"/>
  <c r="L670"/>
  <c r="L1658"/>
  <c r="L1603"/>
  <c r="N1399"/>
  <c r="N1295"/>
  <c r="J1565"/>
  <c r="N1160"/>
  <c r="L689"/>
  <c r="J418"/>
  <c r="J956"/>
  <c r="J1662"/>
  <c r="L459"/>
  <c r="N366"/>
  <c r="J1022"/>
  <c r="N507"/>
  <c r="J395"/>
  <c r="J742"/>
  <c r="L727"/>
  <c r="N206"/>
  <c r="L540"/>
  <c r="L1339"/>
  <c r="J1126"/>
  <c r="J656"/>
  <c r="N1235"/>
  <c r="J9"/>
  <c r="J466"/>
  <c r="L280"/>
  <c r="L735"/>
  <c r="L612"/>
  <c r="L611" s="1"/>
  <c r="N1607"/>
  <c r="N1566"/>
  <c r="L1475"/>
  <c r="N1307"/>
  <c r="L1152"/>
  <c r="L1041"/>
  <c r="L973"/>
  <c r="L941"/>
  <c r="J789"/>
  <c r="J759"/>
  <c r="J735"/>
  <c r="L707"/>
  <c r="J649"/>
  <c r="N566"/>
  <c r="N1643"/>
  <c r="J1561"/>
  <c r="J1526"/>
  <c r="N1321"/>
  <c r="L103"/>
  <c r="L1573"/>
  <c r="J1506"/>
  <c r="N1439"/>
  <c r="L1321"/>
  <c r="L1243"/>
  <c r="N1152"/>
  <c r="L1065"/>
  <c r="J1027"/>
  <c r="N618"/>
  <c r="N372"/>
  <c r="J348"/>
  <c r="N298"/>
  <c r="L270"/>
  <c r="L66"/>
  <c r="N1658"/>
  <c r="N1446"/>
  <c r="L1235"/>
  <c r="L1048"/>
  <c r="N955"/>
  <c r="N941"/>
  <c r="L907"/>
  <c r="N541"/>
  <c r="L525"/>
  <c r="L450"/>
  <c r="L400"/>
  <c r="L370"/>
  <c r="L257"/>
  <c r="J120"/>
  <c r="N57"/>
  <c r="J426"/>
  <c r="L1662"/>
  <c r="L1618"/>
  <c r="N1572"/>
  <c r="J1399"/>
  <c r="J1320"/>
  <c r="J1243"/>
  <c r="J1041"/>
  <c r="L951"/>
  <c r="N795"/>
  <c r="L783"/>
  <c r="J752"/>
  <c r="N723"/>
  <c r="N570"/>
  <c r="J566"/>
  <c r="J512"/>
  <c r="N418"/>
  <c r="J270"/>
  <c r="N243"/>
  <c r="L225"/>
  <c r="N216"/>
  <c r="L184"/>
  <c r="L160"/>
  <c r="J135"/>
  <c r="L126"/>
  <c r="J104"/>
  <c r="J77"/>
  <c r="L9"/>
  <c r="L789"/>
  <c r="N690"/>
  <c r="J578"/>
  <c r="J518"/>
  <c r="J385"/>
  <c r="N338"/>
  <c r="J327"/>
  <c r="J292"/>
  <c r="J251"/>
  <c r="L194"/>
  <c r="J169"/>
  <c r="N143"/>
  <c r="L135"/>
  <c r="N119"/>
  <c r="L57"/>
  <c r="L818"/>
  <c r="L773"/>
  <c r="J500"/>
  <c r="N377"/>
  <c r="N331"/>
  <c r="L251"/>
  <c r="L206"/>
  <c r="J178"/>
  <c r="L169"/>
  <c r="J1666"/>
  <c r="J1517"/>
  <c r="L1160"/>
  <c r="L765"/>
  <c r="J682"/>
  <c r="N666"/>
  <c r="N636"/>
  <c r="J589"/>
  <c r="L584"/>
  <c r="N258"/>
  <c r="N173"/>
  <c r="N44"/>
  <c r="J147"/>
  <c r="J56"/>
  <c r="L1624"/>
  <c r="L696"/>
  <c r="J989"/>
  <c r="L221"/>
  <c r="J188"/>
  <c r="L332"/>
  <c r="J372"/>
  <c r="N251"/>
  <c r="N884"/>
  <c r="L418"/>
  <c r="N9"/>
  <c r="L1307"/>
  <c r="J1456"/>
  <c r="N111"/>
  <c r="N450"/>
  <c r="J1601"/>
  <c r="J377"/>
  <c r="J1081"/>
  <c r="J1186"/>
  <c r="L436"/>
  <c r="N33"/>
  <c r="L589"/>
  <c r="N348"/>
  <c r="J884"/>
  <c r="L1186"/>
  <c r="L1081"/>
  <c r="J795"/>
  <c r="N1383"/>
  <c r="N1382" s="1"/>
  <c r="N1381" s="1"/>
  <c r="N1374" s="1"/>
  <c r="L1690"/>
  <c r="J963"/>
  <c r="J33"/>
  <c r="G1374" i="29" l="1"/>
  <c r="H1365" i="31"/>
  <c r="G1445"/>
  <c r="G1444" s="1"/>
  <c r="G1443" s="1"/>
  <c r="G1348" i="29"/>
  <c r="H1365"/>
  <c r="H1350" i="31"/>
  <c r="H1349" s="1"/>
  <c r="G1398" i="29"/>
  <c r="G1397" s="1"/>
  <c r="G1390" s="1"/>
  <c r="G1365" s="1"/>
  <c r="G1428" i="30"/>
  <c r="G1348" s="1"/>
  <c r="H1365"/>
  <c r="I1374" i="31"/>
  <c r="I1398" i="29"/>
  <c r="I1397" s="1"/>
  <c r="I1390" s="1"/>
  <c r="I1365" s="1"/>
  <c r="J279" i="11"/>
  <c r="N1398"/>
  <c r="N1397" s="1"/>
  <c r="N279"/>
  <c r="N278" s="1"/>
  <c r="N8"/>
  <c r="N7" s="1"/>
  <c r="N741"/>
  <c r="J826"/>
  <c r="L826"/>
  <c r="N473"/>
  <c r="N472" s="1"/>
  <c r="N435"/>
  <c r="N434" s="1"/>
  <c r="N906"/>
  <c r="L8"/>
  <c r="L7" s="1"/>
  <c r="J610"/>
  <c r="J1185"/>
  <c r="J1600"/>
  <c r="L1306"/>
  <c r="L417"/>
  <c r="J55"/>
  <c r="J681"/>
  <c r="L250"/>
  <c r="J326"/>
  <c r="J76"/>
  <c r="L159"/>
  <c r="N242"/>
  <c r="J565"/>
  <c r="L782"/>
  <c r="J1398"/>
  <c r="J425"/>
  <c r="N540"/>
  <c r="L65"/>
  <c r="N297"/>
  <c r="N371"/>
  <c r="L1320"/>
  <c r="L102"/>
  <c r="J734"/>
  <c r="L734"/>
  <c r="L1338"/>
  <c r="J741"/>
  <c r="L458"/>
  <c r="J1098"/>
  <c r="N734"/>
  <c r="N1048"/>
  <c r="L635"/>
  <c r="L43"/>
  <c r="J258"/>
  <c r="J338"/>
  <c r="N1022"/>
  <c r="L1526"/>
  <c r="N696"/>
  <c r="J1689"/>
  <c r="L741"/>
  <c r="J1158"/>
  <c r="N1531"/>
  <c r="J1579"/>
  <c r="N385"/>
  <c r="J159"/>
  <c r="J1647"/>
  <c r="J43"/>
  <c r="J1219"/>
  <c r="L1556"/>
  <c r="J1488"/>
  <c r="N826"/>
  <c r="J297"/>
  <c r="J635"/>
  <c r="L1295"/>
  <c r="N1647"/>
  <c r="J558"/>
  <c r="L588"/>
  <c r="J1445"/>
  <c r="N250"/>
  <c r="L583"/>
  <c r="J384"/>
  <c r="L1617"/>
  <c r="N1445"/>
  <c r="N1642"/>
  <c r="N1241"/>
  <c r="N1526"/>
  <c r="L977"/>
  <c r="L1022"/>
  <c r="L988"/>
  <c r="J1255"/>
  <c r="N1476"/>
  <c r="J971"/>
  <c r="J168"/>
  <c r="L365"/>
  <c r="N49"/>
  <c r="L500"/>
  <c r="L472" s="1"/>
  <c r="L297"/>
  <c r="N458"/>
  <c r="L794"/>
  <c r="N1027"/>
  <c r="L425"/>
  <c r="N549"/>
  <c r="L1392"/>
  <c r="L1437"/>
  <c r="J702"/>
  <c r="J1054"/>
  <c r="N193"/>
  <c r="L517"/>
  <c r="J548"/>
  <c r="N988"/>
  <c r="N1172"/>
  <c r="N1688"/>
  <c r="L1689"/>
  <c r="N347"/>
  <c r="L435"/>
  <c r="N110"/>
  <c r="J187"/>
  <c r="J988"/>
  <c r="N168"/>
  <c r="N264"/>
  <c r="J1516"/>
  <c r="L817"/>
  <c r="N337"/>
  <c r="J134"/>
  <c r="L183"/>
  <c r="J511"/>
  <c r="N565"/>
  <c r="J1040"/>
  <c r="J1319"/>
  <c r="N1571"/>
  <c r="N56"/>
  <c r="L399"/>
  <c r="L906"/>
  <c r="L265"/>
  <c r="J347"/>
  <c r="L1242"/>
  <c r="N1438"/>
  <c r="L1572"/>
  <c r="J962"/>
  <c r="J794"/>
  <c r="J1080"/>
  <c r="J371"/>
  <c r="N689"/>
  <c r="J103"/>
  <c r="N794"/>
  <c r="L1040"/>
  <c r="N1306"/>
  <c r="N365"/>
  <c r="J417"/>
  <c r="L1212"/>
  <c r="L1054"/>
  <c r="J818"/>
  <c r="N1556"/>
  <c r="J110"/>
  <c r="L338"/>
  <c r="J540"/>
  <c r="N532"/>
  <c r="N1617"/>
  <c r="N1516"/>
  <c r="L229"/>
  <c r="L655"/>
  <c r="N1054"/>
  <c r="J689"/>
  <c r="L1268"/>
  <c r="N326"/>
  <c r="N517"/>
  <c r="L1254"/>
  <c r="L369"/>
  <c r="N64"/>
  <c r="N425"/>
  <c r="L1431"/>
  <c r="N558"/>
  <c r="L1506"/>
  <c r="L188"/>
  <c r="L302"/>
  <c r="L393"/>
  <c r="N525"/>
  <c r="N308"/>
  <c r="L1642"/>
  <c r="J50"/>
  <c r="J532"/>
  <c r="J365"/>
  <c r="J1173"/>
  <c r="L1136"/>
  <c r="J1339"/>
  <c r="L75"/>
  <c r="J1033"/>
  <c r="L1219"/>
  <c r="N1219"/>
  <c r="N1184"/>
  <c r="L109"/>
  <c r="N1267"/>
  <c r="L1481"/>
  <c r="J906"/>
  <c r="N134"/>
  <c r="L695"/>
  <c r="N43"/>
  <c r="N257"/>
  <c r="N635"/>
  <c r="L1159"/>
  <c r="N376"/>
  <c r="L56"/>
  <c r="L134"/>
  <c r="J250"/>
  <c r="L125"/>
  <c r="N215"/>
  <c r="N417"/>
  <c r="J1242"/>
  <c r="J119"/>
  <c r="N1151"/>
  <c r="J1505"/>
  <c r="J1525"/>
  <c r="J648"/>
  <c r="J788"/>
  <c r="L1151"/>
  <c r="J465"/>
  <c r="J1021"/>
  <c r="J955"/>
  <c r="L688"/>
  <c r="J399"/>
  <c r="N1488"/>
  <c r="J525"/>
  <c r="J183"/>
  <c r="L681"/>
  <c r="J229"/>
  <c r="J206"/>
  <c r="J1587"/>
  <c r="J506"/>
  <c r="L1516"/>
  <c r="J1306"/>
  <c r="J1295"/>
  <c r="L532"/>
  <c r="L242"/>
  <c r="J1070"/>
  <c r="L505"/>
  <c r="L325"/>
  <c r="L1070"/>
  <c r="N782"/>
  <c r="N1392"/>
  <c r="L548"/>
  <c r="N655"/>
  <c r="N1327"/>
  <c r="N1080"/>
  <c r="N1099"/>
  <c r="J1670"/>
  <c r="L1531"/>
  <c r="N972"/>
  <c r="N971" s="1"/>
  <c r="L168"/>
  <c r="N1339"/>
  <c r="L119"/>
  <c r="J1391"/>
  <c r="J215"/>
  <c r="L1185"/>
  <c r="J376"/>
  <c r="L331"/>
  <c r="L788"/>
  <c r="L972"/>
  <c r="L1398"/>
  <c r="L962"/>
  <c r="N1137"/>
  <c r="N1623"/>
  <c r="L1580"/>
  <c r="L610"/>
  <c r="L384"/>
  <c r="J782"/>
  <c r="J332"/>
  <c r="J278"/>
  <c r="L1080"/>
  <c r="J588"/>
  <c r="N118"/>
  <c r="L193"/>
  <c r="J517"/>
  <c r="J265"/>
  <c r="L256"/>
  <c r="L524"/>
  <c r="N1320"/>
  <c r="N1565"/>
  <c r="L279"/>
  <c r="J8"/>
  <c r="J655"/>
  <c r="J1125"/>
  <c r="L539"/>
  <c r="J394"/>
  <c r="N506"/>
  <c r="N1159"/>
  <c r="N1294"/>
  <c r="L1602"/>
  <c r="L1124"/>
  <c r="N1506"/>
  <c r="N1602"/>
  <c r="N961"/>
  <c r="L1647"/>
  <c r="J1556"/>
  <c r="L347"/>
  <c r="L702"/>
  <c r="L648"/>
  <c r="N188"/>
  <c r="N302"/>
  <c r="J1149"/>
  <c r="J582"/>
  <c r="N818"/>
  <c r="N648"/>
  <c r="N393"/>
  <c r="N159"/>
  <c r="L1445"/>
  <c r="J242"/>
  <c r="N1255"/>
  <c r="J64"/>
  <c r="J1623"/>
  <c r="N1587"/>
  <c r="L1670"/>
  <c r="N588"/>
  <c r="N76"/>
  <c r="N102"/>
  <c r="J434"/>
  <c r="N1232"/>
  <c r="J125"/>
  <c r="L215"/>
  <c r="N399"/>
  <c r="J696"/>
  <c r="N1212"/>
  <c r="N1125"/>
  <c r="J1437"/>
  <c r="N1070"/>
  <c r="L1587"/>
  <c r="J473"/>
  <c r="J1327"/>
  <c r="N702"/>
  <c r="J1268"/>
  <c r="J1136"/>
  <c r="L1623"/>
  <c r="N681"/>
  <c r="L1099"/>
  <c r="L557"/>
  <c r="N1042"/>
  <c r="N1670"/>
  <c r="N611"/>
  <c r="N583"/>
  <c r="J303"/>
  <c r="L50"/>
  <c r="N788"/>
  <c r="L955"/>
  <c r="N1431"/>
  <c r="J1531"/>
  <c r="L565"/>
  <c r="I1365" i="31" l="1"/>
  <c r="G1428"/>
  <c r="J825" i="11"/>
  <c r="J824" s="1"/>
  <c r="J787"/>
  <c r="N214"/>
  <c r="L55"/>
  <c r="N124"/>
  <c r="L1218"/>
  <c r="N970"/>
  <c r="J1172"/>
  <c r="N524"/>
  <c r="N325"/>
  <c r="J688"/>
  <c r="L337"/>
  <c r="N1305"/>
  <c r="J1079"/>
  <c r="L1571"/>
  <c r="L392"/>
  <c r="N263"/>
  <c r="N109"/>
  <c r="L516"/>
  <c r="L471" s="1"/>
  <c r="L1436"/>
  <c r="N457"/>
  <c r="N433" s="1"/>
  <c r="J970"/>
  <c r="L1021"/>
  <c r="L582"/>
  <c r="L1294"/>
  <c r="J296"/>
  <c r="J1481"/>
  <c r="N384"/>
  <c r="L733"/>
  <c r="N695"/>
  <c r="N1021"/>
  <c r="L634"/>
  <c r="L457"/>
  <c r="L1337"/>
  <c r="J733"/>
  <c r="L1319"/>
  <c r="N539"/>
  <c r="J1397"/>
  <c r="J564"/>
  <c r="J680"/>
  <c r="L416"/>
  <c r="J1599"/>
  <c r="J1524"/>
  <c r="N787"/>
  <c r="N1041"/>
  <c r="L1098"/>
  <c r="J1267"/>
  <c r="J695"/>
  <c r="N1586"/>
  <c r="J1555"/>
  <c r="N1601"/>
  <c r="N1293"/>
  <c r="N1266" s="1"/>
  <c r="J647"/>
  <c r="J331"/>
  <c r="L1579"/>
  <c r="L1397"/>
  <c r="N1326"/>
  <c r="L547"/>
  <c r="J1069"/>
  <c r="J1305"/>
  <c r="J524"/>
  <c r="N416"/>
  <c r="N42"/>
  <c r="N6" s="1"/>
  <c r="L1505"/>
  <c r="L1430"/>
  <c r="L647"/>
  <c r="N1555"/>
  <c r="L1047"/>
  <c r="L264"/>
  <c r="J1047"/>
  <c r="N548"/>
  <c r="L364"/>
  <c r="L1616"/>
  <c r="J1444"/>
  <c r="J257"/>
  <c r="N296"/>
  <c r="N277" s="1"/>
  <c r="L158"/>
  <c r="J325"/>
  <c r="N1430"/>
  <c r="N610"/>
  <c r="N1069"/>
  <c r="L214"/>
  <c r="L1444"/>
  <c r="N187"/>
  <c r="J214"/>
  <c r="L118"/>
  <c r="L49"/>
  <c r="N582"/>
  <c r="N680"/>
  <c r="J1135"/>
  <c r="N701"/>
  <c r="J472"/>
  <c r="L1586"/>
  <c r="J1436"/>
  <c r="N1211"/>
  <c r="N392"/>
  <c r="N75"/>
  <c r="J1622"/>
  <c r="N1254"/>
  <c r="J241"/>
  <c r="L346"/>
  <c r="N1505"/>
  <c r="L1601"/>
  <c r="N1158"/>
  <c r="J1124"/>
  <c r="J1097" s="1"/>
  <c r="J7"/>
  <c r="J264"/>
  <c r="L1079"/>
  <c r="J781"/>
  <c r="L609"/>
  <c r="L961"/>
  <c r="L1184"/>
  <c r="N1338"/>
  <c r="N1079"/>
  <c r="N647"/>
  <c r="N1391"/>
  <c r="N1390" s="1"/>
  <c r="L1069"/>
  <c r="L241"/>
  <c r="J1294"/>
  <c r="J1586"/>
  <c r="N1481"/>
  <c r="J1020"/>
  <c r="J433"/>
  <c r="N1150"/>
  <c r="J1241"/>
  <c r="J249"/>
  <c r="N256"/>
  <c r="N424"/>
  <c r="N158"/>
  <c r="J701"/>
  <c r="L793"/>
  <c r="N1475"/>
  <c r="N1444"/>
  <c r="N1622"/>
  <c r="L1555"/>
  <c r="J158"/>
  <c r="L1525"/>
  <c r="L1524" s="1"/>
  <c r="J337"/>
  <c r="N241"/>
  <c r="L249"/>
  <c r="J609"/>
  <c r="N733"/>
  <c r="J393"/>
  <c r="J392" s="1"/>
  <c r="L1515"/>
  <c r="L1158"/>
  <c r="J1338"/>
  <c r="J531"/>
  <c r="L1253"/>
  <c r="N531"/>
  <c r="J416"/>
  <c r="N793"/>
  <c r="N688"/>
  <c r="J961"/>
  <c r="L1241"/>
  <c r="N1570"/>
  <c r="L816"/>
  <c r="N346"/>
  <c r="J1254"/>
  <c r="N1525"/>
  <c r="N1524" s="1"/>
  <c r="J1218"/>
  <c r="J302"/>
  <c r="L1622"/>
  <c r="J1326"/>
  <c r="N1124"/>
  <c r="N817"/>
  <c r="N960"/>
  <c r="N505"/>
  <c r="L278"/>
  <c r="N1319"/>
  <c r="J516"/>
  <c r="L383"/>
  <c r="N1136"/>
  <c r="L787"/>
  <c r="N1098"/>
  <c r="N781"/>
  <c r="J505"/>
  <c r="L680"/>
  <c r="L1150"/>
  <c r="J118"/>
  <c r="N634"/>
  <c r="N1515"/>
  <c r="J124"/>
  <c r="J557"/>
  <c r="J547" s="1"/>
  <c r="L564"/>
  <c r="L701"/>
  <c r="L531"/>
  <c r="L124"/>
  <c r="N1218"/>
  <c r="L1135"/>
  <c r="J364"/>
  <c r="J49"/>
  <c r="J48" s="1"/>
  <c r="L187"/>
  <c r="N557"/>
  <c r="N516"/>
  <c r="L1267"/>
  <c r="N1616"/>
  <c r="J539"/>
  <c r="J109"/>
  <c r="J817"/>
  <c r="L1211"/>
  <c r="N364"/>
  <c r="J102"/>
  <c r="J370"/>
  <c r="J369" s="1"/>
  <c r="J793"/>
  <c r="N1437"/>
  <c r="J346"/>
  <c r="N55"/>
  <c r="J1318"/>
  <c r="N564"/>
  <c r="J1515"/>
  <c r="J1504" s="1"/>
  <c r="L434"/>
  <c r="L1688"/>
  <c r="N1687"/>
  <c r="N1171"/>
  <c r="L1391"/>
  <c r="L424"/>
  <c r="L296"/>
  <c r="L971"/>
  <c r="N1240"/>
  <c r="N1231" s="1"/>
  <c r="J383"/>
  <c r="N249"/>
  <c r="J634"/>
  <c r="N825"/>
  <c r="J42"/>
  <c r="J1157"/>
  <c r="J1688"/>
  <c r="L42"/>
  <c r="N1047"/>
  <c r="N370"/>
  <c r="L64"/>
  <c r="J424"/>
  <c r="L781"/>
  <c r="J75"/>
  <c r="L1305"/>
  <c r="J1184"/>
  <c r="L825"/>
  <c r="G1610"/>
  <c r="K1597"/>
  <c r="K1486"/>
  <c r="K1610" l="1"/>
  <c r="J1610" i="31"/>
  <c r="K1610" s="1"/>
  <c r="J1610" i="30"/>
  <c r="K1610" s="1"/>
  <c r="J1610" i="29"/>
  <c r="K1610" s="1"/>
  <c r="G1348" i="31"/>
  <c r="L1523" i="11"/>
  <c r="N276"/>
  <c r="J816"/>
  <c r="J363"/>
  <c r="J345" s="1"/>
  <c r="N240"/>
  <c r="N1615"/>
  <c r="J694"/>
  <c r="N423"/>
  <c r="N1149"/>
  <c r="L960"/>
  <c r="N1157"/>
  <c r="N1504"/>
  <c r="J1615"/>
  <c r="N391"/>
  <c r="J471"/>
  <c r="J1134"/>
  <c r="J324"/>
  <c r="L646"/>
  <c r="L633"/>
  <c r="N324"/>
  <c r="L1217"/>
  <c r="J423"/>
  <c r="J1687"/>
  <c r="N1436"/>
  <c r="L1210"/>
  <c r="J108"/>
  <c r="L694"/>
  <c r="N1135"/>
  <c r="L277"/>
  <c r="L1615"/>
  <c r="J1253"/>
  <c r="J960"/>
  <c r="N530"/>
  <c r="L240"/>
  <c r="J1503"/>
  <c r="L1318"/>
  <c r="L391"/>
  <c r="N213"/>
  <c r="L824"/>
  <c r="L423"/>
  <c r="J530"/>
  <c r="N732"/>
  <c r="L248"/>
  <c r="L1554"/>
  <c r="N1443"/>
  <c r="J1240"/>
  <c r="J1293"/>
  <c r="J1266" s="1"/>
  <c r="N646"/>
  <c r="N1337"/>
  <c r="L608"/>
  <c r="J263"/>
  <c r="N1253"/>
  <c r="N1210"/>
  <c r="N694"/>
  <c r="J213"/>
  <c r="L1443"/>
  <c r="N1429"/>
  <c r="L108"/>
  <c r="J256"/>
  <c r="N547"/>
  <c r="L263"/>
  <c r="N1554"/>
  <c r="L1429"/>
  <c r="N415"/>
  <c r="J646"/>
  <c r="N1600"/>
  <c r="N1040"/>
  <c r="J1523"/>
  <c r="L415"/>
  <c r="J563"/>
  <c r="L732"/>
  <c r="N383"/>
  <c r="L1293"/>
  <c r="L1020"/>
  <c r="N108"/>
  <c r="L1570"/>
  <c r="N1304"/>
  <c r="L324"/>
  <c r="N563"/>
  <c r="N824"/>
  <c r="L1149"/>
  <c r="J608"/>
  <c r="J6"/>
  <c r="J240"/>
  <c r="L213"/>
  <c r="N609"/>
  <c r="J1443"/>
  <c r="L363"/>
  <c r="L1039"/>
  <c r="L1504"/>
  <c r="J1304"/>
  <c r="J1554"/>
  <c r="N1578"/>
  <c r="L1097"/>
  <c r="L1336"/>
  <c r="N1523"/>
  <c r="N255"/>
  <c r="J1171"/>
  <c r="L1304"/>
  <c r="J633"/>
  <c r="J382"/>
  <c r="L970"/>
  <c r="N1686"/>
  <c r="L433"/>
  <c r="N48"/>
  <c r="N5" s="1"/>
  <c r="L1134"/>
  <c r="N1365"/>
  <c r="J1217"/>
  <c r="J248"/>
  <c r="J1019"/>
  <c r="J1183"/>
  <c r="N248"/>
  <c r="L1390"/>
  <c r="N1170"/>
  <c r="L1687"/>
  <c r="N363"/>
  <c r="N1217"/>
  <c r="L530"/>
  <c r="L563"/>
  <c r="N633"/>
  <c r="J391"/>
  <c r="N1097"/>
  <c r="L382"/>
  <c r="N1318"/>
  <c r="N816"/>
  <c r="J1317"/>
  <c r="L815"/>
  <c r="L1240"/>
  <c r="J415"/>
  <c r="J1337"/>
  <c r="L1157"/>
  <c r="L1600"/>
  <c r="L1578"/>
  <c r="J732"/>
  <c r="N1020"/>
  <c r="L48"/>
  <c r="J1390"/>
  <c r="N369"/>
  <c r="L6"/>
  <c r="J1578"/>
  <c r="J277"/>
  <c r="J1148"/>
  <c r="N471"/>
  <c r="J1039"/>
  <c r="K1466"/>
  <c r="K1448"/>
  <c r="M1448"/>
  <c r="O1448"/>
  <c r="O1410"/>
  <c r="M503"/>
  <c r="K503"/>
  <c r="K411"/>
  <c r="O411"/>
  <c r="N1428" l="1"/>
  <c r="J731"/>
  <c r="L1599"/>
  <c r="J414"/>
  <c r="J1018"/>
  <c r="J1303"/>
  <c r="J1428"/>
  <c r="J5"/>
  <c r="L1148"/>
  <c r="L1096" s="1"/>
  <c r="L1317"/>
  <c r="L276"/>
  <c r="H410"/>
  <c r="M411"/>
  <c r="N1303"/>
  <c r="N1599"/>
  <c r="L247"/>
  <c r="L823"/>
  <c r="L1614"/>
  <c r="N1134"/>
  <c r="L645"/>
  <c r="N1503"/>
  <c r="N1148"/>
  <c r="N239"/>
  <c r="J815"/>
  <c r="L5"/>
  <c r="J1365"/>
  <c r="J1336"/>
  <c r="L1231"/>
  <c r="L1686"/>
  <c r="L1365"/>
  <c r="J247"/>
  <c r="L1303"/>
  <c r="J1170"/>
  <c r="L1503"/>
  <c r="L345"/>
  <c r="N608"/>
  <c r="N823"/>
  <c r="L323"/>
  <c r="L414"/>
  <c r="N645"/>
  <c r="J63"/>
  <c r="J422"/>
  <c r="N323"/>
  <c r="N275" s="1"/>
  <c r="L1183"/>
  <c r="L1266"/>
  <c r="N432"/>
  <c r="N63"/>
  <c r="J432"/>
  <c r="N345"/>
  <c r="J276"/>
  <c r="N815"/>
  <c r="N247"/>
  <c r="L432"/>
  <c r="L212"/>
  <c r="L1019"/>
  <c r="N382"/>
  <c r="J323"/>
  <c r="J344"/>
  <c r="L731"/>
  <c r="N414"/>
  <c r="N1553"/>
  <c r="L63"/>
  <c r="J255"/>
  <c r="N1019"/>
  <c r="J1553"/>
  <c r="J239"/>
  <c r="J645"/>
  <c r="L1428"/>
  <c r="L255"/>
  <c r="J212"/>
  <c r="N1183"/>
  <c r="N1336"/>
  <c r="J1231"/>
  <c r="L1553"/>
  <c r="N731"/>
  <c r="L422"/>
  <c r="N212"/>
  <c r="L239"/>
  <c r="J1686"/>
  <c r="J1614"/>
  <c r="N422"/>
  <c r="N1614"/>
  <c r="J823"/>
  <c r="N1317"/>
  <c r="N1039"/>
  <c r="G1447"/>
  <c r="G410"/>
  <c r="I410"/>
  <c r="K1447" l="1"/>
  <c r="J1447" i="31"/>
  <c r="K1447" s="1"/>
  <c r="J1447" i="30"/>
  <c r="K1447" s="1"/>
  <c r="J1447" i="29"/>
  <c r="K1447" s="1"/>
  <c r="K410" i="11"/>
  <c r="J410" i="31"/>
  <c r="K410" s="1"/>
  <c r="J410" i="30"/>
  <c r="K410" s="1"/>
  <c r="J410" i="29"/>
  <c r="K410" s="1"/>
  <c r="M410" i="11"/>
  <c r="L410" i="31"/>
  <c r="M410" s="1"/>
  <c r="L410" i="30"/>
  <c r="M410" s="1"/>
  <c r="L410" i="29"/>
  <c r="M410" s="1"/>
  <c r="O410" i="11"/>
  <c r="N410" i="31"/>
  <c r="O410" s="1"/>
  <c r="N410" i="30"/>
  <c r="O410" s="1"/>
  <c r="N410" i="29"/>
  <c r="O410" s="1"/>
  <c r="J1265" i="11"/>
  <c r="N1096"/>
  <c r="J390"/>
  <c r="N1613"/>
  <c r="L62"/>
  <c r="N344"/>
  <c r="J1096"/>
  <c r="L1613"/>
  <c r="L814"/>
  <c r="N1018"/>
  <c r="N62"/>
  <c r="J632"/>
  <c r="L1018"/>
  <c r="J275"/>
  <c r="N1182"/>
  <c r="L431"/>
  <c r="N632"/>
  <c r="N1348"/>
  <c r="J1522"/>
  <c r="N1522"/>
  <c r="J1182"/>
  <c r="L1522"/>
  <c r="J1613"/>
  <c r="L1265"/>
  <c r="J62"/>
  <c r="N814"/>
  <c r="L275"/>
  <c r="J814"/>
  <c r="N431"/>
  <c r="L344"/>
  <c r="L632"/>
  <c r="N1265"/>
  <c r="J431"/>
  <c r="L1182"/>
  <c r="L1348"/>
  <c r="J1348"/>
  <c r="N390"/>
  <c r="L390"/>
  <c r="I1704"/>
  <c r="H1704"/>
  <c r="M374"/>
  <c r="K374"/>
  <c r="I1076"/>
  <c r="H1076"/>
  <c r="G1596"/>
  <c r="I1596"/>
  <c r="K1464"/>
  <c r="O1596" l="1"/>
  <c r="N1596" i="31"/>
  <c r="O1596" s="1"/>
  <c r="N1596" i="30"/>
  <c r="O1596" s="1"/>
  <c r="N1596" i="29"/>
  <c r="O1596" s="1"/>
  <c r="M1076" i="11"/>
  <c r="L1076" i="31"/>
  <c r="M1076" s="1"/>
  <c r="L1076" i="30"/>
  <c r="M1076" s="1"/>
  <c r="L1076" i="29"/>
  <c r="M1076" s="1"/>
  <c r="M1704" i="11"/>
  <c r="L1704" i="31"/>
  <c r="L1704" i="30"/>
  <c r="L1704" i="29"/>
  <c r="K1596" i="11"/>
  <c r="J1596" i="31"/>
  <c r="K1596" s="1"/>
  <c r="J1596" i="30"/>
  <c r="K1596" s="1"/>
  <c r="J1596" i="29"/>
  <c r="K1596" s="1"/>
  <c r="O1704" i="11"/>
  <c r="N1704" i="31"/>
  <c r="I1704" s="1"/>
  <c r="O1704" s="1"/>
  <c r="N1704" i="29"/>
  <c r="I1704" s="1"/>
  <c r="O1704" s="1"/>
  <c r="N1704" i="30"/>
  <c r="I1704" s="1"/>
  <c r="O1704" s="1"/>
  <c r="O1076" i="11"/>
  <c r="N1076" i="31"/>
  <c r="O1076" s="1"/>
  <c r="N1076" i="30"/>
  <c r="O1076" s="1"/>
  <c r="N1076" i="29"/>
  <c r="O1076" s="1"/>
  <c r="J1706" i="11"/>
  <c r="L1706"/>
  <c r="G1076"/>
  <c r="K1077"/>
  <c r="N1706"/>
  <c r="G1593"/>
  <c r="H1596"/>
  <c r="I1593"/>
  <c r="H1593"/>
  <c r="O965"/>
  <c r="M965"/>
  <c r="K965"/>
  <c r="M757"/>
  <c r="K757"/>
  <c r="O754"/>
  <c r="M754"/>
  <c r="K754"/>
  <c r="K1593" l="1"/>
  <c r="J1593" i="31"/>
  <c r="K1593" s="1"/>
  <c r="J1593" i="30"/>
  <c r="K1593" s="1"/>
  <c r="J1593" i="29"/>
  <c r="K1593" s="1"/>
  <c r="M1596" i="11"/>
  <c r="L1596" i="31"/>
  <c r="M1596" s="1"/>
  <c r="L1596" i="30"/>
  <c r="M1596" s="1"/>
  <c r="L1596" i="29"/>
  <c r="M1596" s="1"/>
  <c r="K1076" i="11"/>
  <c r="J1076" i="31"/>
  <c r="K1076" s="1"/>
  <c r="J1076" i="30"/>
  <c r="K1076" s="1"/>
  <c r="J1076" i="29"/>
  <c r="K1076" s="1"/>
  <c r="H1704" i="30"/>
  <c r="M1704" s="1"/>
  <c r="O1593" i="11"/>
  <c r="N1593" i="31"/>
  <c r="O1593" s="1"/>
  <c r="N1593" i="30"/>
  <c r="O1593" s="1"/>
  <c r="N1593" i="29"/>
  <c r="O1593" s="1"/>
  <c r="H1704" i="31"/>
  <c r="M1704"/>
  <c r="H1704" i="29"/>
  <c r="M1704" s="1"/>
  <c r="M1593" i="11"/>
  <c r="L1593" i="31"/>
  <c r="M1593" s="1"/>
  <c r="L1593" i="30"/>
  <c r="M1593" s="1"/>
  <c r="L1593" i="29"/>
  <c r="M1593" s="1"/>
  <c r="I756" i="11"/>
  <c r="O757"/>
  <c r="G1463"/>
  <c r="H756"/>
  <c r="G756"/>
  <c r="O59"/>
  <c r="M59"/>
  <c r="K59"/>
  <c r="K53"/>
  <c r="O268"/>
  <c r="K209"/>
  <c r="M756" l="1"/>
  <c r="L756" i="31"/>
  <c r="M756" s="1"/>
  <c r="L756" i="30"/>
  <c r="M756" s="1"/>
  <c r="L756" i="29"/>
  <c r="M756" s="1"/>
  <c r="O756" i="11"/>
  <c r="N756" i="31"/>
  <c r="O756" s="1"/>
  <c r="N756" i="30"/>
  <c r="O756" s="1"/>
  <c r="N756" i="29"/>
  <c r="O756" s="1"/>
  <c r="K756" i="11"/>
  <c r="J756" i="31"/>
  <c r="K756" s="1"/>
  <c r="J756" i="30"/>
  <c r="K756" s="1"/>
  <c r="J756" i="29"/>
  <c r="K756" s="1"/>
  <c r="K1463" i="11"/>
  <c r="J1463" i="31"/>
  <c r="K1463" s="1"/>
  <c r="J1463" i="30"/>
  <c r="K1463" s="1"/>
  <c r="J1463" i="29"/>
  <c r="K1463" s="1"/>
  <c r="H267" i="11"/>
  <c r="M268"/>
  <c r="I260"/>
  <c r="O261"/>
  <c r="G267"/>
  <c r="K268"/>
  <c r="H260"/>
  <c r="M261"/>
  <c r="I52"/>
  <c r="O53"/>
  <c r="G260"/>
  <c r="K261"/>
  <c r="H52"/>
  <c r="M53"/>
  <c r="I58"/>
  <c r="G58"/>
  <c r="H58"/>
  <c r="G52"/>
  <c r="I267"/>
  <c r="O444"/>
  <c r="M444"/>
  <c r="K58" l="1"/>
  <c r="J58" i="31"/>
  <c r="K58" s="1"/>
  <c r="J58" i="30"/>
  <c r="K58" s="1"/>
  <c r="J58" i="29"/>
  <c r="K58" s="1"/>
  <c r="O58" i="11"/>
  <c r="N58" i="31"/>
  <c r="O58" s="1"/>
  <c r="N58" i="30"/>
  <c r="O58" s="1"/>
  <c r="N58" i="29"/>
  <c r="O58" s="1"/>
  <c r="L52" i="31"/>
  <c r="M52" s="1"/>
  <c r="L52" i="30"/>
  <c r="M52" s="1"/>
  <c r="L52" i="29"/>
  <c r="M52" s="1"/>
  <c r="K260" i="11"/>
  <c r="J260" i="31"/>
  <c r="K260" s="1"/>
  <c r="J260" i="30"/>
  <c r="K260" s="1"/>
  <c r="J260" i="29"/>
  <c r="K260" s="1"/>
  <c r="O260" i="11"/>
  <c r="N260" i="31"/>
  <c r="O260" s="1"/>
  <c r="N260" i="30"/>
  <c r="O260" s="1"/>
  <c r="N260" i="29"/>
  <c r="O260" s="1"/>
  <c r="L260" i="31"/>
  <c r="M260" s="1"/>
  <c r="L260" i="30"/>
  <c r="M260" s="1"/>
  <c r="L260" i="29"/>
  <c r="M260" s="1"/>
  <c r="K267" i="11"/>
  <c r="J267" i="31"/>
  <c r="K267" s="1"/>
  <c r="J267" i="30"/>
  <c r="K267" s="1"/>
  <c r="J267" i="29"/>
  <c r="K267" s="1"/>
  <c r="N267" i="31"/>
  <c r="O267" s="1"/>
  <c r="N267" i="30"/>
  <c r="O267" s="1"/>
  <c r="N267" i="29"/>
  <c r="O267" s="1"/>
  <c r="K52" i="11"/>
  <c r="J52" i="31"/>
  <c r="K52" s="1"/>
  <c r="J52" i="30"/>
  <c r="K52" s="1"/>
  <c r="J52" i="29"/>
  <c r="K52" s="1"/>
  <c r="M58" i="11"/>
  <c r="L58" i="31"/>
  <c r="M58" s="1"/>
  <c r="L58" i="30"/>
  <c r="M58" s="1"/>
  <c r="L58" i="29"/>
  <c r="M58" s="1"/>
  <c r="N52" i="31"/>
  <c r="O52" s="1"/>
  <c r="N52" i="30"/>
  <c r="O52" s="1"/>
  <c r="N52" i="29"/>
  <c r="O52" s="1"/>
  <c r="M267" i="11"/>
  <c r="L267" i="31"/>
  <c r="M267" s="1"/>
  <c r="L267" i="30"/>
  <c r="M267" s="1"/>
  <c r="L267" i="29"/>
  <c r="M267" s="1"/>
  <c r="I259" i="11"/>
  <c r="G259"/>
  <c r="I266"/>
  <c r="O267"/>
  <c r="H51"/>
  <c r="M52"/>
  <c r="I51"/>
  <c r="O52"/>
  <c r="H259"/>
  <c r="M260"/>
  <c r="G266"/>
  <c r="H266"/>
  <c r="I57"/>
  <c r="G51"/>
  <c r="G57"/>
  <c r="H57"/>
  <c r="I258"/>
  <c r="O259" l="1"/>
  <c r="N259" i="31"/>
  <c r="O259" s="1"/>
  <c r="N259" i="30"/>
  <c r="O259" s="1"/>
  <c r="N259" i="29"/>
  <c r="O259" s="1"/>
  <c r="M266" i="11"/>
  <c r="L266" i="31"/>
  <c r="M266" s="1"/>
  <c r="L266" i="30"/>
  <c r="M266" s="1"/>
  <c r="L266" i="29"/>
  <c r="M266" s="1"/>
  <c r="K266" i="11"/>
  <c r="J266" i="31"/>
  <c r="K266" s="1"/>
  <c r="J266" i="30"/>
  <c r="K266" s="1"/>
  <c r="J266" i="29"/>
  <c r="K266" s="1"/>
  <c r="O266" i="11"/>
  <c r="N266" i="31"/>
  <c r="O266" s="1"/>
  <c r="N266" i="30"/>
  <c r="O266" s="1"/>
  <c r="N266" i="29"/>
  <c r="O266" s="1"/>
  <c r="K259" i="11"/>
  <c r="J259" i="31"/>
  <c r="K259" s="1"/>
  <c r="J259" i="29"/>
  <c r="K259" s="1"/>
  <c r="J259" i="30"/>
  <c r="K259" s="1"/>
  <c r="O258" i="11"/>
  <c r="N258" i="31"/>
  <c r="O258" s="1"/>
  <c r="N258" i="30"/>
  <c r="O258" s="1"/>
  <c r="N258" i="29"/>
  <c r="O258" s="1"/>
  <c r="M57" i="11"/>
  <c r="L57" i="31"/>
  <c r="M57" s="1"/>
  <c r="L57" i="30"/>
  <c r="M57" s="1"/>
  <c r="L57" i="29"/>
  <c r="M57" s="1"/>
  <c r="N51" i="31"/>
  <c r="O51" s="1"/>
  <c r="N51" i="29"/>
  <c r="O51" s="1"/>
  <c r="N51" i="30"/>
  <c r="O51" s="1"/>
  <c r="K51" i="11"/>
  <c r="J51" i="31"/>
  <c r="K51" s="1"/>
  <c r="J51" i="30"/>
  <c r="K51" s="1"/>
  <c r="J51" i="29"/>
  <c r="K51" s="1"/>
  <c r="L259" i="31"/>
  <c r="M259" s="1"/>
  <c r="L259" i="30"/>
  <c r="M259" s="1"/>
  <c r="L259" i="29"/>
  <c r="M259" s="1"/>
  <c r="K57" i="11"/>
  <c r="J57" i="31"/>
  <c r="K57" s="1"/>
  <c r="J57" i="30"/>
  <c r="K57" s="1"/>
  <c r="J57" i="29"/>
  <c r="K57" s="1"/>
  <c r="O57" i="11"/>
  <c r="N57" i="31"/>
  <c r="O57" s="1"/>
  <c r="N57" i="30"/>
  <c r="O57" s="1"/>
  <c r="N57" i="29"/>
  <c r="O57" s="1"/>
  <c r="L51" i="31"/>
  <c r="M51" s="1"/>
  <c r="L51" i="30"/>
  <c r="M51" s="1"/>
  <c r="L51" i="29"/>
  <c r="M51" s="1"/>
  <c r="G258" i="11"/>
  <c r="O51"/>
  <c r="I50"/>
  <c r="H258"/>
  <c r="M259"/>
  <c r="H50"/>
  <c r="M51"/>
  <c r="I56"/>
  <c r="G50"/>
  <c r="H56"/>
  <c r="G56"/>
  <c r="I257"/>
  <c r="G257"/>
  <c r="O1355"/>
  <c r="M1355"/>
  <c r="K1355"/>
  <c r="M1559"/>
  <c r="H1562"/>
  <c r="N50" i="31" l="1"/>
  <c r="O50" s="1"/>
  <c r="N50" i="30"/>
  <c r="O50" s="1"/>
  <c r="N50" i="29"/>
  <c r="O50" s="1"/>
  <c r="L50" i="31"/>
  <c r="M50" s="1"/>
  <c r="L50" i="30"/>
  <c r="M50" s="1"/>
  <c r="L50" i="29"/>
  <c r="M50" s="1"/>
  <c r="K257" i="11"/>
  <c r="J257" i="31"/>
  <c r="K257" s="1"/>
  <c r="J257" i="30"/>
  <c r="K257" s="1"/>
  <c r="J257" i="29"/>
  <c r="K257" s="1"/>
  <c r="L258" i="31"/>
  <c r="M258" s="1"/>
  <c r="L258" i="30"/>
  <c r="M258" s="1"/>
  <c r="L258" i="29"/>
  <c r="M258" s="1"/>
  <c r="K56" i="11"/>
  <c r="J56" i="31"/>
  <c r="K56" s="1"/>
  <c r="J56" i="30"/>
  <c r="K56" s="1"/>
  <c r="J56" i="29"/>
  <c r="K56" s="1"/>
  <c r="M1562" i="11"/>
  <c r="L1562" i="31"/>
  <c r="M1562" s="1"/>
  <c r="L1562" i="30"/>
  <c r="M1562" s="1"/>
  <c r="L1562" i="29"/>
  <c r="M1562" s="1"/>
  <c r="K50" i="11"/>
  <c r="J50" i="31"/>
  <c r="K50" s="1"/>
  <c r="J50" i="30"/>
  <c r="K50" s="1"/>
  <c r="J50" i="29"/>
  <c r="K50" s="1"/>
  <c r="K258" i="11"/>
  <c r="J258" i="31"/>
  <c r="K258" s="1"/>
  <c r="J258" i="30"/>
  <c r="K258" s="1"/>
  <c r="J258" i="29"/>
  <c r="K258" s="1"/>
  <c r="O257" i="11"/>
  <c r="N257" i="31"/>
  <c r="O257" s="1"/>
  <c r="N257" i="30"/>
  <c r="O257" s="1"/>
  <c r="N257" i="29"/>
  <c r="O257" s="1"/>
  <c r="M56" i="11"/>
  <c r="L56" i="31"/>
  <c r="M56" s="1"/>
  <c r="L56" i="30"/>
  <c r="M56" s="1"/>
  <c r="L56" i="29"/>
  <c r="M56" s="1"/>
  <c r="N56" i="31"/>
  <c r="O56" s="1"/>
  <c r="N56" i="30"/>
  <c r="O56" s="1"/>
  <c r="N56" i="29"/>
  <c r="O56" s="1"/>
  <c r="O50" i="11"/>
  <c r="I49"/>
  <c r="I55"/>
  <c r="O56"/>
  <c r="H257"/>
  <c r="M258"/>
  <c r="M50"/>
  <c r="H49"/>
  <c r="H55"/>
  <c r="G55"/>
  <c r="G49"/>
  <c r="I256"/>
  <c r="G256"/>
  <c r="H1561"/>
  <c r="I1354"/>
  <c r="G1354"/>
  <c r="H1409"/>
  <c r="H1354"/>
  <c r="H1558"/>
  <c r="L257" i="31" l="1"/>
  <c r="M257" s="1"/>
  <c r="L257" i="29"/>
  <c r="M257" s="1"/>
  <c r="L257" i="30"/>
  <c r="M257" s="1"/>
  <c r="K1354" i="11"/>
  <c r="J1354" i="31"/>
  <c r="K1354" s="1"/>
  <c r="J1354" i="30"/>
  <c r="K1354" s="1"/>
  <c r="J1354" i="29"/>
  <c r="K1354" s="1"/>
  <c r="M49" i="11"/>
  <c r="L49" i="31"/>
  <c r="M49" s="1"/>
  <c r="L49" i="30"/>
  <c r="M49" s="1"/>
  <c r="L49" i="29"/>
  <c r="M49" s="1"/>
  <c r="K256" i="11"/>
  <c r="J256" i="31"/>
  <c r="K256" s="1"/>
  <c r="J256" i="30"/>
  <c r="K256" s="1"/>
  <c r="J256" i="29"/>
  <c r="K256" s="1"/>
  <c r="O1354" i="11"/>
  <c r="N1354" i="31"/>
  <c r="O1354" s="1"/>
  <c r="N1354" i="30"/>
  <c r="O1354" s="1"/>
  <c r="N1354" i="29"/>
  <c r="O1354" s="1"/>
  <c r="M1561" i="11"/>
  <c r="L1561" i="31"/>
  <c r="M1561" s="1"/>
  <c r="L1561" i="30"/>
  <c r="M1561" s="1"/>
  <c r="L1561" i="29"/>
  <c r="M1561" s="1"/>
  <c r="O256" i="11"/>
  <c r="N256" i="31"/>
  <c r="O256" s="1"/>
  <c r="N256" i="30"/>
  <c r="O256" s="1"/>
  <c r="N256" i="29"/>
  <c r="O256" s="1"/>
  <c r="K49" i="11"/>
  <c r="J49" i="31"/>
  <c r="K49" s="1"/>
  <c r="J49" i="29"/>
  <c r="K49" s="1"/>
  <c r="J49" i="30"/>
  <c r="K49" s="1"/>
  <c r="O55" i="11"/>
  <c r="N55" i="31"/>
  <c r="O55" s="1"/>
  <c r="N55" i="30"/>
  <c r="O55" s="1"/>
  <c r="N55" i="29"/>
  <c r="O55" s="1"/>
  <c r="M1354" i="11"/>
  <c r="L1354" i="31"/>
  <c r="M1354" s="1"/>
  <c r="L1354" i="30"/>
  <c r="M1354" s="1"/>
  <c r="L1354" i="29"/>
  <c r="M1354" s="1"/>
  <c r="K55" i="11"/>
  <c r="J55" i="31"/>
  <c r="K55" s="1"/>
  <c r="J55" i="30"/>
  <c r="K55" s="1"/>
  <c r="J55" i="29"/>
  <c r="K55" s="1"/>
  <c r="O49" i="11"/>
  <c r="N49" i="31"/>
  <c r="O49" s="1"/>
  <c r="N49" i="30"/>
  <c r="O49" s="1"/>
  <c r="N49" i="29"/>
  <c r="O49" s="1"/>
  <c r="M1558" i="11"/>
  <c r="L1558" i="31"/>
  <c r="M1558" s="1"/>
  <c r="L1558" i="30"/>
  <c r="M1558" s="1"/>
  <c r="L1558" i="29"/>
  <c r="M1558" s="1"/>
  <c r="M1409" i="11"/>
  <c r="L1409" i="31"/>
  <c r="M1409" s="1"/>
  <c r="L1409" i="30"/>
  <c r="M1409" s="1"/>
  <c r="L1409" i="29"/>
  <c r="M1409" s="1"/>
  <c r="M55" i="11"/>
  <c r="L55" i="31"/>
  <c r="M55" s="1"/>
  <c r="L55" i="30"/>
  <c r="M55" s="1"/>
  <c r="L55" i="29"/>
  <c r="M55" s="1"/>
  <c r="H256" i="11"/>
  <c r="M257"/>
  <c r="I48"/>
  <c r="H48"/>
  <c r="G48"/>
  <c r="H1557"/>
  <c r="I1409"/>
  <c r="H1353"/>
  <c r="G1353"/>
  <c r="I1353"/>
  <c r="O821"/>
  <c r="M821"/>
  <c r="K821"/>
  <c r="K48" l="1"/>
  <c r="J48" i="31"/>
  <c r="K48" s="1"/>
  <c r="J48" i="30"/>
  <c r="K48" s="1"/>
  <c r="J48" i="29"/>
  <c r="K48" s="1"/>
  <c r="O48" i="11"/>
  <c r="N48" i="31"/>
  <c r="O48" s="1"/>
  <c r="N48" i="30"/>
  <c r="O48" s="1"/>
  <c r="N48" i="29"/>
  <c r="O48" s="1"/>
  <c r="M48" i="11"/>
  <c r="L48" i="31"/>
  <c r="M48" s="1"/>
  <c r="L48" i="30"/>
  <c r="M48" s="1"/>
  <c r="L48" i="29"/>
  <c r="M48" s="1"/>
  <c r="O1353" i="11"/>
  <c r="N1353" i="31"/>
  <c r="O1353" s="1"/>
  <c r="N1353" i="30"/>
  <c r="O1353" s="1"/>
  <c r="N1353" i="29"/>
  <c r="O1353" s="1"/>
  <c r="M256" i="11"/>
  <c r="L256" i="31"/>
  <c r="M256" s="1"/>
  <c r="L256" i="30"/>
  <c r="M256" s="1"/>
  <c r="L256" i="29"/>
  <c r="M256" s="1"/>
  <c r="O1409" i="11"/>
  <c r="N1409" i="31"/>
  <c r="O1409" s="1"/>
  <c r="N1409" i="30"/>
  <c r="O1409" s="1"/>
  <c r="N1409" i="29"/>
  <c r="O1409" s="1"/>
  <c r="K1353" i="11"/>
  <c r="J1353" i="31"/>
  <c r="K1353" s="1"/>
  <c r="J1353" i="30"/>
  <c r="K1353" s="1"/>
  <c r="J1353" i="29"/>
  <c r="K1353" s="1"/>
  <c r="M1353" i="11"/>
  <c r="L1353" i="31"/>
  <c r="M1353" s="1"/>
  <c r="L1353" i="30"/>
  <c r="M1353" s="1"/>
  <c r="L1353" i="29"/>
  <c r="M1353" s="1"/>
  <c r="M1557" i="11"/>
  <c r="L1557" i="31"/>
  <c r="M1557" s="1"/>
  <c r="L1557" i="30"/>
  <c r="M1557" s="1"/>
  <c r="L1557" i="29"/>
  <c r="M1557" s="1"/>
  <c r="G820" i="11"/>
  <c r="I1352"/>
  <c r="H1352"/>
  <c r="I820"/>
  <c r="G1352"/>
  <c r="H820"/>
  <c r="H1556"/>
  <c r="K1423"/>
  <c r="O1248"/>
  <c r="M1248"/>
  <c r="K1248"/>
  <c r="O1245"/>
  <c r="M1245"/>
  <c r="K1245"/>
  <c r="K820" l="1"/>
  <c r="J820" i="31"/>
  <c r="K820" s="1"/>
  <c r="J820" i="30"/>
  <c r="K820" s="1"/>
  <c r="J820" i="29"/>
  <c r="K820" s="1"/>
  <c r="O820" i="11"/>
  <c r="N820" i="31"/>
  <c r="O820" s="1"/>
  <c r="N820" i="30"/>
  <c r="O820" s="1"/>
  <c r="N820" i="29"/>
  <c r="O820" s="1"/>
  <c r="M1352" i="11"/>
  <c r="L1352" i="31"/>
  <c r="M1352" s="1"/>
  <c r="L1352" i="30"/>
  <c r="M1352" s="1"/>
  <c r="L1352" i="29"/>
  <c r="M1352" s="1"/>
  <c r="O1352" i="11"/>
  <c r="N1352" i="31"/>
  <c r="O1352" s="1"/>
  <c r="N1352" i="30"/>
  <c r="O1352" s="1"/>
  <c r="N1352" i="29"/>
  <c r="O1352" s="1"/>
  <c r="M1556" i="11"/>
  <c r="L1556" i="31"/>
  <c r="M1556" s="1"/>
  <c r="L1556" i="30"/>
  <c r="M1556" s="1"/>
  <c r="L1556" i="29"/>
  <c r="M1556" s="1"/>
  <c r="M820" i="11"/>
  <c r="L820" i="31"/>
  <c r="M820" s="1"/>
  <c r="L820" i="30"/>
  <c r="M820" s="1"/>
  <c r="L820" i="29"/>
  <c r="M820" s="1"/>
  <c r="K1352" i="11"/>
  <c r="J1352" i="31"/>
  <c r="K1352" s="1"/>
  <c r="J1352" i="30"/>
  <c r="K1352" s="1"/>
  <c r="J1352" i="29"/>
  <c r="K1352" s="1"/>
  <c r="H1244" i="11"/>
  <c r="I1247"/>
  <c r="G1244"/>
  <c r="H1247"/>
  <c r="H819"/>
  <c r="I819"/>
  <c r="I1351"/>
  <c r="G1247"/>
  <c r="I1244"/>
  <c r="G1351"/>
  <c r="H1351"/>
  <c r="G819"/>
  <c r="O287"/>
  <c r="M287"/>
  <c r="K287"/>
  <c r="O290"/>
  <c r="M290"/>
  <c r="K290"/>
  <c r="O1244" l="1"/>
  <c r="N1244" i="31"/>
  <c r="O1244" s="1"/>
  <c r="N1244" i="30"/>
  <c r="O1244" s="1"/>
  <c r="N1244" i="29"/>
  <c r="O1244" s="1"/>
  <c r="K819" i="11"/>
  <c r="J819" i="31"/>
  <c r="K819" s="1"/>
  <c r="J819" i="30"/>
  <c r="K819" s="1"/>
  <c r="J819" i="29"/>
  <c r="K819" s="1"/>
  <c r="M1247" i="11"/>
  <c r="L1247" i="31"/>
  <c r="M1247" s="1"/>
  <c r="L1247" i="30"/>
  <c r="M1247" s="1"/>
  <c r="L1247" i="29"/>
  <c r="M1247" s="1"/>
  <c r="M1351" i="11"/>
  <c r="L1351" i="31"/>
  <c r="M1351" s="1"/>
  <c r="L1351" i="30"/>
  <c r="M1351" s="1"/>
  <c r="L1351" i="29"/>
  <c r="M1351" s="1"/>
  <c r="K1244" i="11"/>
  <c r="J1244" i="31"/>
  <c r="K1244" s="1"/>
  <c r="J1244" i="30"/>
  <c r="K1244" s="1"/>
  <c r="J1244" i="29"/>
  <c r="K1244" s="1"/>
  <c r="K1351" i="11"/>
  <c r="J1351" i="31"/>
  <c r="K1351" s="1"/>
  <c r="J1351" i="30"/>
  <c r="K1351" s="1"/>
  <c r="J1351" i="29"/>
  <c r="K1351" s="1"/>
  <c r="O1247" i="11"/>
  <c r="N1247" i="31"/>
  <c r="O1247" s="1"/>
  <c r="N1247" i="30"/>
  <c r="O1247" s="1"/>
  <c r="N1247" i="29"/>
  <c r="O1247" s="1"/>
  <c r="K1247" i="11"/>
  <c r="J1247" i="31"/>
  <c r="K1247" s="1"/>
  <c r="J1247" i="30"/>
  <c r="K1247" s="1"/>
  <c r="J1247" i="29"/>
  <c r="K1247" s="1"/>
  <c r="O1351" i="11"/>
  <c r="N1351" i="31"/>
  <c r="O1351" s="1"/>
  <c r="N1351" i="30"/>
  <c r="O1351" s="1"/>
  <c r="N1351" i="29"/>
  <c r="O1351" s="1"/>
  <c r="O819" i="11"/>
  <c r="N819" i="31"/>
  <c r="O819" s="1"/>
  <c r="N819" i="30"/>
  <c r="O819" s="1"/>
  <c r="N819" i="29"/>
  <c r="O819" s="1"/>
  <c r="M1244" i="11"/>
  <c r="L1244" i="31"/>
  <c r="M1244" s="1"/>
  <c r="L1244" i="30"/>
  <c r="M1244" s="1"/>
  <c r="L1244" i="29"/>
  <c r="M1244" s="1"/>
  <c r="M819" i="11"/>
  <c r="L819" i="31"/>
  <c r="M819" s="1"/>
  <c r="L819" i="30"/>
  <c r="M819" s="1"/>
  <c r="L819" i="29"/>
  <c r="M819" s="1"/>
  <c r="H289" i="11"/>
  <c r="G289"/>
  <c r="I289"/>
  <c r="G818"/>
  <c r="I818"/>
  <c r="H818"/>
  <c r="M818" l="1"/>
  <c r="L818" i="31"/>
  <c r="M818" s="1"/>
  <c r="L818" i="30"/>
  <c r="M818" s="1"/>
  <c r="L818" i="29"/>
  <c r="M818" s="1"/>
  <c r="K818" i="11"/>
  <c r="J818" i="31"/>
  <c r="K818" s="1"/>
  <c r="J818" i="30"/>
  <c r="K818" s="1"/>
  <c r="J818" i="29"/>
  <c r="K818" s="1"/>
  <c r="O289" i="11"/>
  <c r="N289" i="31"/>
  <c r="O289" s="1"/>
  <c r="N289" i="30"/>
  <c r="O289" s="1"/>
  <c r="N289" i="29"/>
  <c r="O289" s="1"/>
  <c r="K289" i="11"/>
  <c r="J289" i="31"/>
  <c r="K289" s="1"/>
  <c r="J289" i="30"/>
  <c r="K289" s="1"/>
  <c r="J289" i="29"/>
  <c r="K289" s="1"/>
  <c r="O818" i="11"/>
  <c r="N818" i="31"/>
  <c r="O818" s="1"/>
  <c r="N818" i="30"/>
  <c r="O818" s="1"/>
  <c r="N818" i="29"/>
  <c r="O818" s="1"/>
  <c r="M289" i="11"/>
  <c r="L289" i="31"/>
  <c r="M289" s="1"/>
  <c r="L289" i="30"/>
  <c r="M289" s="1"/>
  <c r="L289" i="29"/>
  <c r="M289" s="1"/>
  <c r="H817" i="11"/>
  <c r="I817"/>
  <c r="G817"/>
  <c r="I1261"/>
  <c r="H1261"/>
  <c r="I1258"/>
  <c r="H1258"/>
  <c r="K1259"/>
  <c r="K1262"/>
  <c r="I1178"/>
  <c r="H1178"/>
  <c r="I1175"/>
  <c r="H1175"/>
  <c r="O1258" l="1"/>
  <c r="N1258" i="31"/>
  <c r="O1258" s="1"/>
  <c r="N1258" i="30"/>
  <c r="O1258" s="1"/>
  <c r="N1258" i="29"/>
  <c r="O1258" s="1"/>
  <c r="M1261" i="11"/>
  <c r="L1261" i="31"/>
  <c r="M1261" s="1"/>
  <c r="L1261" i="30"/>
  <c r="M1261" s="1"/>
  <c r="L1261" i="29"/>
  <c r="M1261" s="1"/>
  <c r="O1175" i="11"/>
  <c r="N1175" i="31"/>
  <c r="O1175" s="1"/>
  <c r="N1175" i="30"/>
  <c r="O1175" s="1"/>
  <c r="N1175" i="29"/>
  <c r="O1175" s="1"/>
  <c r="O1261" i="11"/>
  <c r="N1261" i="31"/>
  <c r="O1261" s="1"/>
  <c r="N1261" i="30"/>
  <c r="O1261" s="1"/>
  <c r="N1261" i="29"/>
  <c r="O1261" s="1"/>
  <c r="M1178" i="11"/>
  <c r="L1178" i="31"/>
  <c r="M1178" s="1"/>
  <c r="L1178" i="30"/>
  <c r="M1178" s="1"/>
  <c r="L1178" i="29"/>
  <c r="M1178" s="1"/>
  <c r="M1258" i="11"/>
  <c r="L1258" i="31"/>
  <c r="M1258" s="1"/>
  <c r="L1258" i="30"/>
  <c r="M1258" s="1"/>
  <c r="L1258" i="29"/>
  <c r="M1258" s="1"/>
  <c r="M1175" i="11"/>
  <c r="L1175" i="31"/>
  <c r="M1175" s="1"/>
  <c r="L1175" i="30"/>
  <c r="M1175" s="1"/>
  <c r="L1175" i="29"/>
  <c r="M1175" s="1"/>
  <c r="K817" i="11"/>
  <c r="J817" i="31"/>
  <c r="K817" s="1"/>
  <c r="J817" i="30"/>
  <c r="K817" s="1"/>
  <c r="J817" i="29"/>
  <c r="K817" s="1"/>
  <c r="O1178" i="11"/>
  <c r="N1178" i="31"/>
  <c r="O1178" s="1"/>
  <c r="N1178" i="30"/>
  <c r="O1178" s="1"/>
  <c r="N1178" i="29"/>
  <c r="O1178" s="1"/>
  <c r="O817" i="11"/>
  <c r="N817" i="31"/>
  <c r="O817" s="1"/>
  <c r="N817" i="30"/>
  <c r="O817" s="1"/>
  <c r="N817" i="29"/>
  <c r="O817" s="1"/>
  <c r="M817" i="11"/>
  <c r="L817" i="31"/>
  <c r="M817" s="1"/>
  <c r="L817" i="30"/>
  <c r="M817" s="1"/>
  <c r="L817" i="29"/>
  <c r="M817" s="1"/>
  <c r="G816" i="11"/>
  <c r="H816"/>
  <c r="G1258"/>
  <c r="I816"/>
  <c r="G1261"/>
  <c r="K520"/>
  <c r="O816" l="1"/>
  <c r="N816" i="31"/>
  <c r="O816" s="1"/>
  <c r="N816" i="30"/>
  <c r="O816" s="1"/>
  <c r="N816" i="29"/>
  <c r="O816" s="1"/>
  <c r="K1258" i="11"/>
  <c r="J1258" i="31"/>
  <c r="K1258" s="1"/>
  <c r="J1258" i="30"/>
  <c r="K1258" s="1"/>
  <c r="J1258" i="29"/>
  <c r="K1258" s="1"/>
  <c r="M816" i="11"/>
  <c r="L816" i="31"/>
  <c r="M816" s="1"/>
  <c r="L816" i="30"/>
  <c r="M816" s="1"/>
  <c r="L816" i="29"/>
  <c r="M816" s="1"/>
  <c r="K816" i="11"/>
  <c r="J816" i="31"/>
  <c r="K816" s="1"/>
  <c r="J816" i="30"/>
  <c r="K816" s="1"/>
  <c r="J816" i="29"/>
  <c r="K816" s="1"/>
  <c r="K1261" i="11"/>
  <c r="J1261" i="31"/>
  <c r="K1261" s="1"/>
  <c r="J1261" i="30"/>
  <c r="K1261" s="1"/>
  <c r="J1261" i="29"/>
  <c r="K1261" s="1"/>
  <c r="H815" i="11"/>
  <c r="I815"/>
  <c r="K1146"/>
  <c r="K1143"/>
  <c r="O815" l="1"/>
  <c r="N815" i="31"/>
  <c r="O815" s="1"/>
  <c r="N815" i="30"/>
  <c r="O815" s="1"/>
  <c r="N815" i="29"/>
  <c r="O815" s="1"/>
  <c r="M815" i="11"/>
  <c r="L815" i="31"/>
  <c r="M815" s="1"/>
  <c r="L815" i="30"/>
  <c r="M815" s="1"/>
  <c r="L815" i="29"/>
  <c r="M815" s="1"/>
  <c r="O1461" i="11"/>
  <c r="M1461"/>
  <c r="K1461"/>
  <c r="H1460" l="1"/>
  <c r="G1460"/>
  <c r="I1460"/>
  <c r="O1605"/>
  <c r="M1605"/>
  <c r="K1605"/>
  <c r="O1460" l="1"/>
  <c r="N1460" i="31"/>
  <c r="O1460" s="1"/>
  <c r="N1460" i="30"/>
  <c r="O1460" s="1"/>
  <c r="N1460" i="29"/>
  <c r="O1460" s="1"/>
  <c r="K1460" i="11"/>
  <c r="J1460" i="31"/>
  <c r="K1460" s="1"/>
  <c r="J1460" i="30"/>
  <c r="K1460" s="1"/>
  <c r="J1460" i="29"/>
  <c r="K1460" s="1"/>
  <c r="M1460" i="11"/>
  <c r="L1460" i="31"/>
  <c r="M1460" s="1"/>
  <c r="L1460" i="30"/>
  <c r="M1460" s="1"/>
  <c r="L1460" i="29"/>
  <c r="M1460" s="1"/>
  <c r="I1609" i="11"/>
  <c r="H1609"/>
  <c r="M1609" l="1"/>
  <c r="L1609" i="31"/>
  <c r="M1609" s="1"/>
  <c r="L1609" i="30"/>
  <c r="M1609" s="1"/>
  <c r="L1609" i="29"/>
  <c r="M1609" s="1"/>
  <c r="O1609" i="11"/>
  <c r="N1609" i="31"/>
  <c r="O1609" s="1"/>
  <c r="N1609" i="30"/>
  <c r="O1609" s="1"/>
  <c r="N1609" i="29"/>
  <c r="O1609" s="1"/>
  <c r="H1608" i="11"/>
  <c r="I1608"/>
  <c r="G1609"/>
  <c r="K1576"/>
  <c r="H1575"/>
  <c r="I1575"/>
  <c r="K1563"/>
  <c r="O1559"/>
  <c r="K1559"/>
  <c r="O1575" l="1"/>
  <c r="N1575" i="31"/>
  <c r="O1575" s="1"/>
  <c r="N1575" i="30"/>
  <c r="O1575" s="1"/>
  <c r="N1575" i="29"/>
  <c r="O1575" s="1"/>
  <c r="M1575" i="11"/>
  <c r="L1575" i="31"/>
  <c r="M1575" s="1"/>
  <c r="L1575" i="30"/>
  <c r="M1575" s="1"/>
  <c r="L1575" i="29"/>
  <c r="M1575" s="1"/>
  <c r="K1609" i="11"/>
  <c r="J1609" i="31"/>
  <c r="K1609" s="1"/>
  <c r="J1609" i="30"/>
  <c r="K1609" s="1"/>
  <c r="J1609" i="29"/>
  <c r="K1609" s="1"/>
  <c r="O1608" i="11"/>
  <c r="N1608" i="31"/>
  <c r="O1608" s="1"/>
  <c r="N1608" i="30"/>
  <c r="O1608" s="1"/>
  <c r="N1608" i="29"/>
  <c r="O1608" s="1"/>
  <c r="M1608" i="11"/>
  <c r="L1608" i="31"/>
  <c r="M1608" s="1"/>
  <c r="L1608" i="30"/>
  <c r="M1608" s="1"/>
  <c r="L1608" i="29"/>
  <c r="M1608" s="1"/>
  <c r="I1574" i="11"/>
  <c r="H1607"/>
  <c r="G1608"/>
  <c r="H1574"/>
  <c r="I1607"/>
  <c r="G1575"/>
  <c r="O1529"/>
  <c r="M1529"/>
  <c r="K1529"/>
  <c r="M1568"/>
  <c r="O1568"/>
  <c r="K1568"/>
  <c r="M1551"/>
  <c r="O1551"/>
  <c r="M1548"/>
  <c r="O1548"/>
  <c r="K1551"/>
  <c r="K1548"/>
  <c r="M1539"/>
  <c r="O1539"/>
  <c r="K1539"/>
  <c r="O1537"/>
  <c r="M1537"/>
  <c r="K1537"/>
  <c r="M1534"/>
  <c r="O1534"/>
  <c r="K1534"/>
  <c r="K1608" l="1"/>
  <c r="J1608" i="31"/>
  <c r="K1608" s="1"/>
  <c r="J1608" i="30"/>
  <c r="K1608" s="1"/>
  <c r="J1608" i="29"/>
  <c r="K1608" s="1"/>
  <c r="M1607" i="11"/>
  <c r="L1607" i="31"/>
  <c r="M1607" s="1"/>
  <c r="L1607" i="30"/>
  <c r="M1607" s="1"/>
  <c r="L1607" i="29"/>
  <c r="M1607" s="1"/>
  <c r="O1574" i="11"/>
  <c r="N1574" i="31"/>
  <c r="O1574" s="1"/>
  <c r="N1574" i="30"/>
  <c r="O1574" s="1"/>
  <c r="N1574" i="29"/>
  <c r="O1574" s="1"/>
  <c r="M1574" i="11"/>
  <c r="L1574" i="31"/>
  <c r="M1574" s="1"/>
  <c r="L1574" i="30"/>
  <c r="M1574" s="1"/>
  <c r="L1574" i="29"/>
  <c r="M1574" s="1"/>
  <c r="K1575" i="11"/>
  <c r="J1575" i="31"/>
  <c r="K1575" s="1"/>
  <c r="J1575" i="30"/>
  <c r="K1575" s="1"/>
  <c r="J1575" i="29"/>
  <c r="K1575" s="1"/>
  <c r="O1607" i="11"/>
  <c r="N1607" i="31"/>
  <c r="O1607" s="1"/>
  <c r="N1607" i="30"/>
  <c r="O1607" s="1"/>
  <c r="N1607" i="29"/>
  <c r="O1607" s="1"/>
  <c r="H1547" i="11"/>
  <c r="I1547"/>
  <c r="G1574"/>
  <c r="G1607"/>
  <c r="I1573"/>
  <c r="G1547"/>
  <c r="H1573"/>
  <c r="G1583"/>
  <c r="K1547" l="1"/>
  <c r="J1547" i="31"/>
  <c r="K1547" s="1"/>
  <c r="J1547" i="30"/>
  <c r="K1547" s="1"/>
  <c r="J1547" i="29"/>
  <c r="K1547" s="1"/>
  <c r="O1573" i="11"/>
  <c r="N1573" i="31"/>
  <c r="O1573" s="1"/>
  <c r="N1573" i="30"/>
  <c r="O1573" s="1"/>
  <c r="N1573" i="29"/>
  <c r="O1573" s="1"/>
  <c r="K1607" i="11"/>
  <c r="J1607" i="31"/>
  <c r="K1607" s="1"/>
  <c r="J1607" i="30"/>
  <c r="K1607" s="1"/>
  <c r="J1607" i="29"/>
  <c r="K1607" s="1"/>
  <c r="O1547" i="11"/>
  <c r="N1547" i="31"/>
  <c r="O1547" s="1"/>
  <c r="N1547" i="30"/>
  <c r="O1547" s="1"/>
  <c r="N1547" i="29"/>
  <c r="O1547" s="1"/>
  <c r="K1583" i="11"/>
  <c r="J1583" i="31"/>
  <c r="K1583" s="1"/>
  <c r="J1583" i="30"/>
  <c r="K1583" s="1"/>
  <c r="J1583" i="29"/>
  <c r="K1583" s="1"/>
  <c r="M1573" i="11"/>
  <c r="L1573" i="31"/>
  <c r="M1573" s="1"/>
  <c r="L1573" i="30"/>
  <c r="M1573" s="1"/>
  <c r="L1573" i="29"/>
  <c r="M1573" s="1"/>
  <c r="K1574" i="11"/>
  <c r="J1574" i="31"/>
  <c r="K1574" s="1"/>
  <c r="J1574" i="30"/>
  <c r="K1574" s="1"/>
  <c r="J1574" i="29"/>
  <c r="K1574" s="1"/>
  <c r="M1547" i="11"/>
  <c r="L1547" i="31"/>
  <c r="M1547" s="1"/>
  <c r="L1547" i="30"/>
  <c r="M1547" s="1"/>
  <c r="L1547" i="29"/>
  <c r="M1547" s="1"/>
  <c r="G1573" i="11"/>
  <c r="I1572"/>
  <c r="H1572"/>
  <c r="O1543"/>
  <c r="M1543"/>
  <c r="K1543"/>
  <c r="O1572" l="1"/>
  <c r="N1572" i="31"/>
  <c r="O1572" s="1"/>
  <c r="N1572" i="30"/>
  <c r="O1572" s="1"/>
  <c r="N1572" i="29"/>
  <c r="O1572" s="1"/>
  <c r="M1572" i="11"/>
  <c r="L1572" i="31"/>
  <c r="M1572" s="1"/>
  <c r="L1572" i="30"/>
  <c r="M1572" s="1"/>
  <c r="L1572" i="29"/>
  <c r="M1572" s="1"/>
  <c r="K1573" i="11"/>
  <c r="J1573" i="31"/>
  <c r="K1573" s="1"/>
  <c r="J1573" i="30"/>
  <c r="K1573" s="1"/>
  <c r="J1573" i="29"/>
  <c r="K1573" s="1"/>
  <c r="G1572" i="11"/>
  <c r="I1571"/>
  <c r="H1571"/>
  <c r="M1700"/>
  <c r="O1700"/>
  <c r="K1700"/>
  <c r="K1692"/>
  <c r="K1695"/>
  <c r="K1697"/>
  <c r="M1697"/>
  <c r="O1697"/>
  <c r="O1695"/>
  <c r="M1695"/>
  <c r="M1692"/>
  <c r="O1692"/>
  <c r="O428"/>
  <c r="M428"/>
  <c r="K428"/>
  <c r="M1571" l="1"/>
  <c r="L1571" i="31"/>
  <c r="M1571" s="1"/>
  <c r="L1571" i="30"/>
  <c r="M1571" s="1"/>
  <c r="L1571" i="29"/>
  <c r="M1571" s="1"/>
  <c r="O1571" i="11"/>
  <c r="N1571" i="31"/>
  <c r="O1571" s="1"/>
  <c r="N1571" i="30"/>
  <c r="O1571" s="1"/>
  <c r="N1571" i="29"/>
  <c r="O1571" s="1"/>
  <c r="K1572" i="11"/>
  <c r="J1572" i="31"/>
  <c r="K1572" s="1"/>
  <c r="J1572" i="30"/>
  <c r="K1572" s="1"/>
  <c r="J1572" i="29"/>
  <c r="K1572" s="1"/>
  <c r="H1570" i="11"/>
  <c r="G1699"/>
  <c r="I1570"/>
  <c r="G1571"/>
  <c r="O1691"/>
  <c r="M1691"/>
  <c r="M402"/>
  <c r="O402"/>
  <c r="K402"/>
  <c r="O405"/>
  <c r="M405"/>
  <c r="K405"/>
  <c r="O397"/>
  <c r="M397"/>
  <c r="K397"/>
  <c r="K1571" l="1"/>
  <c r="J1571" i="31"/>
  <c r="K1571" s="1"/>
  <c r="J1571" i="30"/>
  <c r="K1571" s="1"/>
  <c r="J1571" i="29"/>
  <c r="K1571" s="1"/>
  <c r="O1570" i="11"/>
  <c r="N1570" i="31"/>
  <c r="O1570" s="1"/>
  <c r="N1570" i="30"/>
  <c r="O1570" s="1"/>
  <c r="N1570" i="29"/>
  <c r="O1570" s="1"/>
  <c r="K1699" i="11"/>
  <c r="J1699" i="31"/>
  <c r="K1699" s="1"/>
  <c r="J1699" i="30"/>
  <c r="K1699" s="1"/>
  <c r="J1699" i="29"/>
  <c r="K1699" s="1"/>
  <c r="M1570" i="11"/>
  <c r="L1570" i="31"/>
  <c r="M1570" s="1"/>
  <c r="L1570" i="30"/>
  <c r="M1570" s="1"/>
  <c r="L1570" i="29"/>
  <c r="M1570" s="1"/>
  <c r="M407" i="11"/>
  <c r="H401"/>
  <c r="O407"/>
  <c r="I401"/>
  <c r="K407"/>
  <c r="G401"/>
  <c r="I396"/>
  <c r="H396"/>
  <c r="G396"/>
  <c r="G1570"/>
  <c r="O420"/>
  <c r="M420"/>
  <c r="K420"/>
  <c r="I388"/>
  <c r="H388"/>
  <c r="G388"/>
  <c r="H381"/>
  <c r="I381"/>
  <c r="G381"/>
  <c r="H379"/>
  <c r="I379"/>
  <c r="G379"/>
  <c r="O374"/>
  <c r="I368"/>
  <c r="H368"/>
  <c r="G368"/>
  <c r="O360"/>
  <c r="M360"/>
  <c r="K360"/>
  <c r="M355"/>
  <c r="O355"/>
  <c r="K355"/>
  <c r="O353"/>
  <c r="M353"/>
  <c r="K353"/>
  <c r="M350"/>
  <c r="O350"/>
  <c r="K350"/>
  <c r="O341"/>
  <c r="M341"/>
  <c r="K341"/>
  <c r="K335"/>
  <c r="O329"/>
  <c r="M329"/>
  <c r="K329"/>
  <c r="M320"/>
  <c r="O320"/>
  <c r="K320"/>
  <c r="M316"/>
  <c r="O316"/>
  <c r="K316"/>
  <c r="O314"/>
  <c r="M314"/>
  <c r="K314"/>
  <c r="M311"/>
  <c r="O311"/>
  <c r="K311"/>
  <c r="K306"/>
  <c r="I305"/>
  <c r="H305"/>
  <c r="O300"/>
  <c r="M300"/>
  <c r="K300"/>
  <c r="O294"/>
  <c r="M294"/>
  <c r="K294"/>
  <c r="O284"/>
  <c r="M284"/>
  <c r="K284"/>
  <c r="O282"/>
  <c r="M282"/>
  <c r="K282"/>
  <c r="K15"/>
  <c r="O368" l="1"/>
  <c r="N368" i="31"/>
  <c r="N368" i="30"/>
  <c r="N368" i="29"/>
  <c r="K388" i="11"/>
  <c r="J388" i="31"/>
  <c r="J388" i="30"/>
  <c r="J388" i="29"/>
  <c r="M396" i="11"/>
  <c r="L396" i="31"/>
  <c r="M396" s="1"/>
  <c r="L396" i="30"/>
  <c r="M396" s="1"/>
  <c r="L396" i="29"/>
  <c r="M396" s="1"/>
  <c r="M388" i="11"/>
  <c r="L388" i="31"/>
  <c r="L388" i="30"/>
  <c r="L388" i="29"/>
  <c r="O396" i="11"/>
  <c r="N396" i="31"/>
  <c r="O396" s="1"/>
  <c r="N396" i="30"/>
  <c r="O396" s="1"/>
  <c r="N396" i="29"/>
  <c r="O396" s="1"/>
  <c r="K379" i="11"/>
  <c r="J379" i="31"/>
  <c r="J379" i="30"/>
  <c r="J379" i="29"/>
  <c r="O388" i="11"/>
  <c r="N388" i="31"/>
  <c r="N388" i="30"/>
  <c r="N388" i="29"/>
  <c r="J401" i="31"/>
  <c r="K401" s="1"/>
  <c r="J401" i="30"/>
  <c r="K401" s="1"/>
  <c r="J401" i="29"/>
  <c r="K401" s="1"/>
  <c r="O379" i="11"/>
  <c r="N379" i="31"/>
  <c r="N379" i="30"/>
  <c r="N379" i="29"/>
  <c r="M305" i="11"/>
  <c r="L305" i="31"/>
  <c r="M305" s="1"/>
  <c r="L305" i="30"/>
  <c r="M305" s="1"/>
  <c r="L305" i="29"/>
  <c r="M305" s="1"/>
  <c r="N401" i="31"/>
  <c r="O401" s="1"/>
  <c r="N401" i="30"/>
  <c r="O401" s="1"/>
  <c r="N401" i="29"/>
  <c r="O401" s="1"/>
  <c r="O305" i="11"/>
  <c r="N305" i="31"/>
  <c r="O305" s="1"/>
  <c r="N305" i="30"/>
  <c r="O305" s="1"/>
  <c r="N305" i="29"/>
  <c r="O305" s="1"/>
  <c r="K368" i="11"/>
  <c r="J368" i="31"/>
  <c r="J368" i="30"/>
  <c r="J368" i="29"/>
  <c r="O381" i="11"/>
  <c r="N381" i="31"/>
  <c r="N381" i="30"/>
  <c r="N381" i="29"/>
  <c r="K1570" i="11"/>
  <c r="J1570" i="31"/>
  <c r="K1570" s="1"/>
  <c r="J1570" i="30"/>
  <c r="K1570" s="1"/>
  <c r="J1570" i="29"/>
  <c r="K1570" s="1"/>
  <c r="L401" i="31"/>
  <c r="M401" s="1"/>
  <c r="L401" i="30"/>
  <c r="M401" s="1"/>
  <c r="L401" i="29"/>
  <c r="M401" s="1"/>
  <c r="M379" i="11"/>
  <c r="L379" i="31"/>
  <c r="L379" i="30"/>
  <c r="L379" i="29"/>
  <c r="K381" i="11"/>
  <c r="J381" i="31"/>
  <c r="J381" i="30"/>
  <c r="J381" i="29"/>
  <c r="M368" i="11"/>
  <c r="L368" i="31"/>
  <c r="L368" i="30"/>
  <c r="L368" i="29"/>
  <c r="H368" s="1"/>
  <c r="M381" i="11"/>
  <c r="L381" i="31"/>
  <c r="L381" i="30"/>
  <c r="L381" i="29"/>
  <c r="K396" i="11"/>
  <c r="J396" i="31"/>
  <c r="K396" s="1"/>
  <c r="J396" i="30"/>
  <c r="K396" s="1"/>
  <c r="J396" i="29"/>
  <c r="K396" s="1"/>
  <c r="H304" i="11"/>
  <c r="I304"/>
  <c r="G395"/>
  <c r="I395"/>
  <c r="H395"/>
  <c r="G305"/>
  <c r="M46"/>
  <c r="O46"/>
  <c r="K46"/>
  <c r="M17"/>
  <c r="O17"/>
  <c r="K17"/>
  <c r="O15"/>
  <c r="M15"/>
  <c r="O21"/>
  <c r="M21"/>
  <c r="K21"/>
  <c r="O11"/>
  <c r="M11"/>
  <c r="K11"/>
  <c r="M35"/>
  <c r="O35"/>
  <c r="K35"/>
  <c r="M39"/>
  <c r="O39"/>
  <c r="K39"/>
  <c r="O30"/>
  <c r="M30"/>
  <c r="K30"/>
  <c r="M26"/>
  <c r="O26"/>
  <c r="K26"/>
  <c r="M1682"/>
  <c r="O1682"/>
  <c r="K1682"/>
  <c r="M1678"/>
  <c r="O1678"/>
  <c r="K1678"/>
  <c r="M1676"/>
  <c r="O1676"/>
  <c r="K1676"/>
  <c r="M1673"/>
  <c r="O1673"/>
  <c r="K1673"/>
  <c r="O1668"/>
  <c r="M1668"/>
  <c r="K1668"/>
  <c r="O1664"/>
  <c r="M1664"/>
  <c r="K1664"/>
  <c r="O1660"/>
  <c r="M1660"/>
  <c r="K1660"/>
  <c r="M1653"/>
  <c r="O1653"/>
  <c r="M1655"/>
  <c r="O1655"/>
  <c r="K1655"/>
  <c r="K1653"/>
  <c r="M1650"/>
  <c r="O1650"/>
  <c r="K1650"/>
  <c r="O1645"/>
  <c r="M1645"/>
  <c r="K1645"/>
  <c r="M1640"/>
  <c r="O1640"/>
  <c r="K1640"/>
  <c r="O1635"/>
  <c r="M1635"/>
  <c r="O1633"/>
  <c r="M1633"/>
  <c r="M1630"/>
  <c r="O1630"/>
  <c r="K1635"/>
  <c r="K1633"/>
  <c r="K1630"/>
  <c r="M1626"/>
  <c r="O1626"/>
  <c r="K1626"/>
  <c r="O1620"/>
  <c r="M1620"/>
  <c r="K1620"/>
  <c r="M1092"/>
  <c r="O1092"/>
  <c r="K1092"/>
  <c r="M1086"/>
  <c r="O1086"/>
  <c r="K1086"/>
  <c r="M1083"/>
  <c r="O1083"/>
  <c r="K1083"/>
  <c r="K1074"/>
  <c r="O1067"/>
  <c r="M1067"/>
  <c r="O1063"/>
  <c r="M1063"/>
  <c r="G1066"/>
  <c r="G1062"/>
  <c r="H379" i="30" l="1"/>
  <c r="H378" s="1"/>
  <c r="M379"/>
  <c r="G368" i="31"/>
  <c r="G367" s="1"/>
  <c r="G366" s="1"/>
  <c r="G365" s="1"/>
  <c r="G364" s="1"/>
  <c r="G363" s="1"/>
  <c r="G388" i="29"/>
  <c r="G387" s="1"/>
  <c r="G386" s="1"/>
  <c r="G385" s="1"/>
  <c r="G384" s="1"/>
  <c r="G383" s="1"/>
  <c r="G382" s="1"/>
  <c r="K305" i="11"/>
  <c r="J305" i="31"/>
  <c r="K305" s="1"/>
  <c r="J305" i="30"/>
  <c r="K305" s="1"/>
  <c r="J305" i="29"/>
  <c r="K305" s="1"/>
  <c r="H379" i="31"/>
  <c r="H378" s="1"/>
  <c r="G388" i="30"/>
  <c r="G387" s="1"/>
  <c r="G386" s="1"/>
  <c r="G385" s="1"/>
  <c r="G384" s="1"/>
  <c r="G383" s="1"/>
  <c r="G382" s="1"/>
  <c r="M395" i="11"/>
  <c r="L395" i="31"/>
  <c r="M395" s="1"/>
  <c r="L395" i="30"/>
  <c r="M395" s="1"/>
  <c r="L395" i="29"/>
  <c r="M395" s="1"/>
  <c r="I381"/>
  <c r="I380" s="1"/>
  <c r="G379" i="31"/>
  <c r="G378" s="1"/>
  <c r="H388"/>
  <c r="H387" s="1"/>
  <c r="H386" s="1"/>
  <c r="H385" s="1"/>
  <c r="H384" s="1"/>
  <c r="H383" s="1"/>
  <c r="H382" s="1"/>
  <c r="M388"/>
  <c r="G388"/>
  <c r="G387" s="1"/>
  <c r="G386" s="1"/>
  <c r="G385" s="1"/>
  <c r="G384" s="1"/>
  <c r="K1066" i="11"/>
  <c r="J1066" i="31"/>
  <c r="K1066" s="1"/>
  <c r="J1066" i="30"/>
  <c r="K1066" s="1"/>
  <c r="J1066" i="29"/>
  <c r="K1066" s="1"/>
  <c r="G381" i="31"/>
  <c r="G380" s="1"/>
  <c r="K381"/>
  <c r="G379" i="29"/>
  <c r="G378" s="1"/>
  <c r="G379" i="30"/>
  <c r="G378" s="1"/>
  <c r="O395" i="11"/>
  <c r="N395" i="31"/>
  <c r="O395" s="1"/>
  <c r="N395" i="30"/>
  <c r="O395" s="1"/>
  <c r="N395" i="29"/>
  <c r="O395" s="1"/>
  <c r="H381"/>
  <c r="H380" s="1"/>
  <c r="G381"/>
  <c r="G380" s="1"/>
  <c r="I381" i="30"/>
  <c r="I380" s="1"/>
  <c r="H381" i="31"/>
  <c r="H380" s="1"/>
  <c r="M381"/>
  <c r="I388" i="30"/>
  <c r="I387" s="1"/>
  <c r="I386" s="1"/>
  <c r="I385" s="1"/>
  <c r="I384" s="1"/>
  <c r="I383" s="1"/>
  <c r="I382" s="1"/>
  <c r="H368"/>
  <c r="H367" s="1"/>
  <c r="H366" s="1"/>
  <c r="H365" s="1"/>
  <c r="H364" s="1"/>
  <c r="H363" s="1"/>
  <c r="H388" i="29"/>
  <c r="H387" s="1"/>
  <c r="H386" s="1"/>
  <c r="H385" s="1"/>
  <c r="H384" s="1"/>
  <c r="H383" s="1"/>
  <c r="H382" s="1"/>
  <c r="H368" i="31"/>
  <c r="H367" s="1"/>
  <c r="H366" s="1"/>
  <c r="H365" s="1"/>
  <c r="H364" s="1"/>
  <c r="H363" s="1"/>
  <c r="H388" i="30"/>
  <c r="H387" s="1"/>
  <c r="H386" s="1"/>
  <c r="H385" s="1"/>
  <c r="H384" s="1"/>
  <c r="K1062" i="11"/>
  <c r="J1062" i="31"/>
  <c r="K1062" s="1"/>
  <c r="J1062" i="30"/>
  <c r="K1062" s="1"/>
  <c r="J1062" i="29"/>
  <c r="K1062" s="1"/>
  <c r="K395" i="11"/>
  <c r="J395" i="31"/>
  <c r="K395" s="1"/>
  <c r="J395" i="30"/>
  <c r="K395" s="1"/>
  <c r="J395" i="29"/>
  <c r="K395" s="1"/>
  <c r="H381" i="30"/>
  <c r="H380" s="1"/>
  <c r="G381"/>
  <c r="G380" s="1"/>
  <c r="G377" s="1"/>
  <c r="G376" s="1"/>
  <c r="G369" s="1"/>
  <c r="I381" i="31"/>
  <c r="I380" s="1"/>
  <c r="I388" i="29"/>
  <c r="I387" s="1"/>
  <c r="I386" s="1"/>
  <c r="I385" s="1"/>
  <c r="I384" s="1"/>
  <c r="I383" s="1"/>
  <c r="I382" s="1"/>
  <c r="I368"/>
  <c r="I367" s="1"/>
  <c r="I366" s="1"/>
  <c r="I365" s="1"/>
  <c r="I364" s="1"/>
  <c r="I363" s="1"/>
  <c r="I368" i="31"/>
  <c r="I367" s="1"/>
  <c r="I366" s="1"/>
  <c r="I365" s="1"/>
  <c r="I364" s="1"/>
  <c r="I363" s="1"/>
  <c r="O304" i="11"/>
  <c r="N304" i="31"/>
  <c r="O304" s="1"/>
  <c r="N304" i="30"/>
  <c r="O304" s="1"/>
  <c r="N304" i="29"/>
  <c r="O304" s="1"/>
  <c r="I379"/>
  <c r="I378" s="1"/>
  <c r="I368" i="30"/>
  <c r="I367" s="1"/>
  <c r="I366" s="1"/>
  <c r="I365" s="1"/>
  <c r="I364" s="1"/>
  <c r="I363" s="1"/>
  <c r="M304" i="11"/>
  <c r="L304" i="31"/>
  <c r="M304" s="1"/>
  <c r="L304" i="30"/>
  <c r="M304" s="1"/>
  <c r="L304" i="29"/>
  <c r="M304" s="1"/>
  <c r="G368"/>
  <c r="G367" s="1"/>
  <c r="G366" s="1"/>
  <c r="G365" s="1"/>
  <c r="G364" s="1"/>
  <c r="G363" s="1"/>
  <c r="I379" i="30"/>
  <c r="I378" s="1"/>
  <c r="I377" s="1"/>
  <c r="I376" s="1"/>
  <c r="I369" s="1"/>
  <c r="I388" i="31"/>
  <c r="I387" s="1"/>
  <c r="I386" s="1"/>
  <c r="I385" s="1"/>
  <c r="I384" s="1"/>
  <c r="I383" s="1"/>
  <c r="I382" s="1"/>
  <c r="O388"/>
  <c r="M368" i="29"/>
  <c r="H367"/>
  <c r="H366" s="1"/>
  <c r="H365" s="1"/>
  <c r="H364" s="1"/>
  <c r="H363" s="1"/>
  <c r="H379"/>
  <c r="H378" s="1"/>
  <c r="H377" s="1"/>
  <c r="H376" s="1"/>
  <c r="H369" s="1"/>
  <c r="G368" i="30"/>
  <c r="G367" s="1"/>
  <c r="G366" s="1"/>
  <c r="G365" s="1"/>
  <c r="G364" s="1"/>
  <c r="G363" s="1"/>
  <c r="I379" i="31"/>
  <c r="I378" s="1"/>
  <c r="O379"/>
  <c r="O1088" i="11"/>
  <c r="I1082"/>
  <c r="M1088"/>
  <c r="H1082"/>
  <c r="K1088"/>
  <c r="G1082"/>
  <c r="I1659"/>
  <c r="G1667"/>
  <c r="I29"/>
  <c r="I394"/>
  <c r="G1061"/>
  <c r="H1091"/>
  <c r="H1659"/>
  <c r="I1663"/>
  <c r="G25"/>
  <c r="G304"/>
  <c r="H394"/>
  <c r="G394"/>
  <c r="I303"/>
  <c r="H1062"/>
  <c r="G1091"/>
  <c r="G1663"/>
  <c r="H25"/>
  <c r="H303"/>
  <c r="G1065"/>
  <c r="H1066"/>
  <c r="I1091"/>
  <c r="G1659"/>
  <c r="H1663"/>
  <c r="I1667"/>
  <c r="G29"/>
  <c r="I25"/>
  <c r="H29"/>
  <c r="H1667"/>
  <c r="M1649"/>
  <c r="O1649"/>
  <c r="K1649"/>
  <c r="I1066"/>
  <c r="I1062"/>
  <c r="M388" i="30" l="1"/>
  <c r="M368" i="31"/>
  <c r="O381" i="30"/>
  <c r="K368" i="31"/>
  <c r="I377"/>
  <c r="I376" s="1"/>
  <c r="I369" s="1"/>
  <c r="O381"/>
  <c r="G377"/>
  <c r="G376" s="1"/>
  <c r="G369" s="1"/>
  <c r="G345" s="1"/>
  <c r="K1667" i="11"/>
  <c r="J1667" i="31"/>
  <c r="K1667" s="1"/>
  <c r="J1667" i="30"/>
  <c r="K1667" s="1"/>
  <c r="J1667" i="29"/>
  <c r="K1667" s="1"/>
  <c r="O1062" i="11"/>
  <c r="N1062" i="31"/>
  <c r="O1062" s="1"/>
  <c r="N1062" i="30"/>
  <c r="O1062" s="1"/>
  <c r="N1062" i="29"/>
  <c r="O1062" s="1"/>
  <c r="K29" i="11"/>
  <c r="J29" i="31"/>
  <c r="K29" s="1"/>
  <c r="J29" i="30"/>
  <c r="K29" s="1"/>
  <c r="J29" i="29"/>
  <c r="K29" s="1"/>
  <c r="M25" i="11"/>
  <c r="L25" i="31"/>
  <c r="M25" s="1"/>
  <c r="L25" i="30"/>
  <c r="M25" s="1"/>
  <c r="L25" i="29"/>
  <c r="M25" s="1"/>
  <c r="K25" i="11"/>
  <c r="J25" i="31"/>
  <c r="K25" s="1"/>
  <c r="J25" i="30"/>
  <c r="K25" s="1"/>
  <c r="J25" i="29"/>
  <c r="K25" s="1"/>
  <c r="O1659" i="11"/>
  <c r="N1659" i="31"/>
  <c r="O1659" s="1"/>
  <c r="N1659" i="30"/>
  <c r="O1659" s="1"/>
  <c r="N1659" i="29"/>
  <c r="O1659" s="1"/>
  <c r="O1066" i="11"/>
  <c r="N1066" i="31"/>
  <c r="O1066" s="1"/>
  <c r="N1066" i="30"/>
  <c r="O1066" s="1"/>
  <c r="N1066" i="29"/>
  <c r="O1066" s="1"/>
  <c r="O1667" i="11"/>
  <c r="N1667" i="31"/>
  <c r="O1667" s="1"/>
  <c r="N1667" i="30"/>
  <c r="O1667" s="1"/>
  <c r="N1667" i="29"/>
  <c r="O1667" s="1"/>
  <c r="K1663" i="11"/>
  <c r="J1663" i="31"/>
  <c r="K1663" s="1"/>
  <c r="J1663" i="30"/>
  <c r="K1663" s="1"/>
  <c r="J1663" i="29"/>
  <c r="K1663" s="1"/>
  <c r="O1663" i="11"/>
  <c r="N1663" i="31"/>
  <c r="O1663" s="1"/>
  <c r="N1663" i="30"/>
  <c r="O1663" s="1"/>
  <c r="N1663" i="29"/>
  <c r="O1663" s="1"/>
  <c r="J1082" i="31"/>
  <c r="K1082" s="1"/>
  <c r="J1082" i="30"/>
  <c r="K1082" s="1"/>
  <c r="J1082" i="29"/>
  <c r="K1082" s="1"/>
  <c r="K368" i="30"/>
  <c r="O379"/>
  <c r="O368"/>
  <c r="O368" i="31"/>
  <c r="K381" i="30"/>
  <c r="M388" i="29"/>
  <c r="K379" i="31"/>
  <c r="K388" i="30"/>
  <c r="K388" i="29"/>
  <c r="M303" i="11"/>
  <c r="L303" i="31"/>
  <c r="M303" s="1"/>
  <c r="L303" i="30"/>
  <c r="M303" s="1"/>
  <c r="L303" i="29"/>
  <c r="M303" s="1"/>
  <c r="K1091" i="11"/>
  <c r="J1091" i="31"/>
  <c r="K1091" s="1"/>
  <c r="J1091" i="30"/>
  <c r="K1091" s="1"/>
  <c r="J1091" i="29"/>
  <c r="K1091" s="1"/>
  <c r="K1659" i="11"/>
  <c r="J1659" i="31"/>
  <c r="K1659" s="1"/>
  <c r="J1659" i="30"/>
  <c r="K1659" s="1"/>
  <c r="J1659" i="29"/>
  <c r="K1659" s="1"/>
  <c r="M1062" i="11"/>
  <c r="L1062" i="31"/>
  <c r="M1062" s="1"/>
  <c r="L1062" i="30"/>
  <c r="M1062" s="1"/>
  <c r="L1062" i="29"/>
  <c r="M1062" s="1"/>
  <c r="M1091" i="11"/>
  <c r="L1091" i="31"/>
  <c r="M1091" s="1"/>
  <c r="L1091" i="30"/>
  <c r="M1091" s="1"/>
  <c r="L1091" i="29"/>
  <c r="M1091" s="1"/>
  <c r="L1082" i="31"/>
  <c r="M1082" s="1"/>
  <c r="L1082" i="30"/>
  <c r="M1082" s="1"/>
  <c r="L1082" i="29"/>
  <c r="M1082" s="1"/>
  <c r="M379"/>
  <c r="K368"/>
  <c r="O379"/>
  <c r="O368"/>
  <c r="M381" i="30"/>
  <c r="M368"/>
  <c r="K381" i="29"/>
  <c r="K379" i="30"/>
  <c r="O381" i="29"/>
  <c r="M379" i="31"/>
  <c r="O25" i="11"/>
  <c r="N25" i="31"/>
  <c r="O25" s="1"/>
  <c r="N25" i="30"/>
  <c r="O25" s="1"/>
  <c r="N25" i="29"/>
  <c r="O25" s="1"/>
  <c r="M1659" i="11"/>
  <c r="L1659" i="31"/>
  <c r="M1659" s="1"/>
  <c r="L1659" i="30"/>
  <c r="M1659" s="1"/>
  <c r="L1659" i="29"/>
  <c r="M1659" s="1"/>
  <c r="G345" i="30"/>
  <c r="G344" s="1"/>
  <c r="I345" i="31"/>
  <c r="I344" s="1"/>
  <c r="O303" i="11"/>
  <c r="N303" i="31"/>
  <c r="O303" s="1"/>
  <c r="N303" i="30"/>
  <c r="O303" s="1"/>
  <c r="N303" i="29"/>
  <c r="O303" s="1"/>
  <c r="K1061" i="11"/>
  <c r="J1061" i="31"/>
  <c r="K1061" s="1"/>
  <c r="J1061" i="30"/>
  <c r="K1061" s="1"/>
  <c r="J1061" i="29"/>
  <c r="K1061" s="1"/>
  <c r="I377"/>
  <c r="I376" s="1"/>
  <c r="I369" s="1"/>
  <c r="I345" s="1"/>
  <c r="I344" s="1"/>
  <c r="M1667" i="11"/>
  <c r="L1667" i="31"/>
  <c r="M1667" s="1"/>
  <c r="L1667" i="30"/>
  <c r="M1667" s="1"/>
  <c r="L1667" i="29"/>
  <c r="M1667" s="1"/>
  <c r="M1066" i="11"/>
  <c r="L1066" i="31"/>
  <c r="M1066" s="1"/>
  <c r="L1066" i="30"/>
  <c r="M1066" s="1"/>
  <c r="L1066" i="29"/>
  <c r="M1066" s="1"/>
  <c r="K394" i="11"/>
  <c r="J394" i="31"/>
  <c r="K394" s="1"/>
  <c r="J394" i="30"/>
  <c r="K394" s="1"/>
  <c r="J394" i="29"/>
  <c r="K394" s="1"/>
  <c r="O394" i="11"/>
  <c r="N394" i="31"/>
  <c r="O394" s="1"/>
  <c r="N394" i="30"/>
  <c r="O394" s="1"/>
  <c r="N394" i="29"/>
  <c r="O394" s="1"/>
  <c r="N1082" i="31"/>
  <c r="O1082" s="1"/>
  <c r="N1082" i="30"/>
  <c r="O1082" s="1"/>
  <c r="N1082" i="29"/>
  <c r="O1082" s="1"/>
  <c r="H345"/>
  <c r="H344" s="1"/>
  <c r="O388"/>
  <c r="H383" i="30"/>
  <c r="H382" s="1"/>
  <c r="O388"/>
  <c r="M381" i="29"/>
  <c r="K379"/>
  <c r="K388" i="31"/>
  <c r="K304" i="11"/>
  <c r="J304" i="31"/>
  <c r="K304" s="1"/>
  <c r="J304" i="30"/>
  <c r="K304" s="1"/>
  <c r="J304" i="29"/>
  <c r="K304" s="1"/>
  <c r="M1663" i="11"/>
  <c r="L1663" i="31"/>
  <c r="M1663" s="1"/>
  <c r="L1663" i="30"/>
  <c r="M1663" s="1"/>
  <c r="L1663" i="29"/>
  <c r="M1663" s="1"/>
  <c r="I345" i="30"/>
  <c r="I344" s="1"/>
  <c r="O1091" i="11"/>
  <c r="N1091" i="31"/>
  <c r="O1091" s="1"/>
  <c r="N1091" i="30"/>
  <c r="O1091" s="1"/>
  <c r="N1091" i="29"/>
  <c r="O1091" s="1"/>
  <c r="H345" i="30"/>
  <c r="H344" s="1"/>
  <c r="H377" i="31"/>
  <c r="H376" s="1"/>
  <c r="H369" s="1"/>
  <c r="H345" s="1"/>
  <c r="H344" s="1"/>
  <c r="M29" i="11"/>
  <c r="L29" i="31"/>
  <c r="M29" s="1"/>
  <c r="L29" i="29"/>
  <c r="M29" s="1"/>
  <c r="L29" i="30"/>
  <c r="M29" s="1"/>
  <c r="K1065" i="11"/>
  <c r="J1065" i="31"/>
  <c r="K1065" s="1"/>
  <c r="J1065" i="30"/>
  <c r="K1065" s="1"/>
  <c r="J1065" i="29"/>
  <c r="K1065" s="1"/>
  <c r="M394" i="11"/>
  <c r="L394" i="31"/>
  <c r="M394" s="1"/>
  <c r="L394" i="30"/>
  <c r="M394" s="1"/>
  <c r="L394" i="29"/>
  <c r="M394" s="1"/>
  <c r="O29" i="11"/>
  <c r="N29" i="31"/>
  <c r="O29" s="1"/>
  <c r="N29" i="30"/>
  <c r="O29" s="1"/>
  <c r="N29" i="29"/>
  <c r="O29" s="1"/>
  <c r="G377"/>
  <c r="G376" s="1"/>
  <c r="G369" s="1"/>
  <c r="G345" s="1"/>
  <c r="G344" s="1"/>
  <c r="G383" i="31"/>
  <c r="G382" s="1"/>
  <c r="H377" i="30"/>
  <c r="H376" s="1"/>
  <c r="H369" s="1"/>
  <c r="G24" i="11"/>
  <c r="I1648"/>
  <c r="H1648"/>
  <c r="H1666"/>
  <c r="I24"/>
  <c r="H1662"/>
  <c r="H1065"/>
  <c r="G1662"/>
  <c r="I302"/>
  <c r="H393"/>
  <c r="H1658"/>
  <c r="G1666"/>
  <c r="G1648"/>
  <c r="I1065"/>
  <c r="I1666"/>
  <c r="G1658"/>
  <c r="H302"/>
  <c r="H1061"/>
  <c r="G393"/>
  <c r="G303"/>
  <c r="I1662"/>
  <c r="I393"/>
  <c r="I1658"/>
  <c r="H24"/>
  <c r="I1061"/>
  <c r="O1057"/>
  <c r="M1057"/>
  <c r="K1057"/>
  <c r="M1059"/>
  <c r="O1059"/>
  <c r="K1059"/>
  <c r="O1052"/>
  <c r="M1052"/>
  <c r="K1052"/>
  <c r="O1658" l="1"/>
  <c r="N1658" i="31"/>
  <c r="O1658" s="1"/>
  <c r="N1658" i="30"/>
  <c r="O1658" s="1"/>
  <c r="N1658" i="29"/>
  <c r="O1658" s="1"/>
  <c r="M1065" i="11"/>
  <c r="L1065" i="31"/>
  <c r="M1065" s="1"/>
  <c r="L1065" i="30"/>
  <c r="M1065" s="1"/>
  <c r="L1065" i="29"/>
  <c r="M1065" s="1"/>
  <c r="G344" i="31"/>
  <c r="O1065" i="11"/>
  <c r="N1065" i="31"/>
  <c r="O1065" s="1"/>
  <c r="N1065" i="29"/>
  <c r="O1065" s="1"/>
  <c r="N1065" i="30"/>
  <c r="O1065" s="1"/>
  <c r="O1662" i="11"/>
  <c r="N1662" i="31"/>
  <c r="O1662" s="1"/>
  <c r="N1662" i="30"/>
  <c r="O1662" s="1"/>
  <c r="N1662" i="29"/>
  <c r="O1662" s="1"/>
  <c r="K1648" i="11"/>
  <c r="J1648" i="31"/>
  <c r="K1648" s="1"/>
  <c r="J1648" i="30"/>
  <c r="K1648" s="1"/>
  <c r="J1648" i="29"/>
  <c r="K1648" s="1"/>
  <c r="O24" i="11"/>
  <c r="N24" i="31"/>
  <c r="O24" s="1"/>
  <c r="N24" i="30"/>
  <c r="O24" s="1"/>
  <c r="N24" i="29"/>
  <c r="O24" s="1"/>
  <c r="O1666" i="11"/>
  <c r="N1666" i="31"/>
  <c r="O1666" s="1"/>
  <c r="N1666" i="30"/>
  <c r="O1666" s="1"/>
  <c r="N1666" i="29"/>
  <c r="O1666" s="1"/>
  <c r="O393" i="11"/>
  <c r="N393" i="31"/>
  <c r="O393" s="1"/>
  <c r="N393" i="30"/>
  <c r="O393" s="1"/>
  <c r="N393" i="29"/>
  <c r="O393" s="1"/>
  <c r="M1662" i="11"/>
  <c r="L1662" i="31"/>
  <c r="M1662" s="1"/>
  <c r="L1662" i="30"/>
  <c r="M1662" s="1"/>
  <c r="L1662" i="29"/>
  <c r="M1662" s="1"/>
  <c r="K303" i="11"/>
  <c r="J303" i="31"/>
  <c r="K303" s="1"/>
  <c r="J303" i="29"/>
  <c r="K303" s="1"/>
  <c r="J303" i="30"/>
  <c r="K303" s="1"/>
  <c r="K1666" i="11"/>
  <c r="J1666" i="31"/>
  <c r="K1666" s="1"/>
  <c r="J1666" i="30"/>
  <c r="K1666" s="1"/>
  <c r="J1666" i="29"/>
  <c r="K1666" s="1"/>
  <c r="M1666" i="11"/>
  <c r="L1666" i="31"/>
  <c r="M1666" s="1"/>
  <c r="L1666" i="30"/>
  <c r="M1666" s="1"/>
  <c r="L1666" i="29"/>
  <c r="M1666" s="1"/>
  <c r="M1658" i="11"/>
  <c r="L1658" i="31"/>
  <c r="M1658" s="1"/>
  <c r="L1658" i="30"/>
  <c r="M1658" s="1"/>
  <c r="L1658" i="29"/>
  <c r="M1658" s="1"/>
  <c r="O1061" i="11"/>
  <c r="N1061" i="31"/>
  <c r="O1061" s="1"/>
  <c r="N1061" i="30"/>
  <c r="O1061" s="1"/>
  <c r="N1061" i="29"/>
  <c r="O1061" s="1"/>
  <c r="M302" i="11"/>
  <c r="L302" i="31"/>
  <c r="M302" s="1"/>
  <c r="L302" i="30"/>
  <c r="M302" s="1"/>
  <c r="L302" i="29"/>
  <c r="M302" s="1"/>
  <c r="O302" i="11"/>
  <c r="N302" i="31"/>
  <c r="O302" s="1"/>
  <c r="N302" i="30"/>
  <c r="O302" s="1"/>
  <c r="N302" i="29"/>
  <c r="O302" s="1"/>
  <c r="K24" i="11"/>
  <c r="J24" i="31"/>
  <c r="K24" s="1"/>
  <c r="J24" i="30"/>
  <c r="K24" s="1"/>
  <c r="J24" i="29"/>
  <c r="K24" s="1"/>
  <c r="K393" i="11"/>
  <c r="J393" i="31"/>
  <c r="K393" s="1"/>
  <c r="J393" i="30"/>
  <c r="K393" s="1"/>
  <c r="J393" i="29"/>
  <c r="K393" s="1"/>
  <c r="M1648" i="11"/>
  <c r="L1648" i="31"/>
  <c r="M1648" s="1"/>
  <c r="L1648" i="30"/>
  <c r="M1648" s="1"/>
  <c r="L1648" i="29"/>
  <c r="M1648" s="1"/>
  <c r="M1061" i="11"/>
  <c r="L1061" i="31"/>
  <c r="M1061" s="1"/>
  <c r="L1061" i="30"/>
  <c r="M1061" s="1"/>
  <c r="L1061" i="29"/>
  <c r="M1061" s="1"/>
  <c r="M393" i="11"/>
  <c r="L393" i="31"/>
  <c r="M393" s="1"/>
  <c r="L393" i="30"/>
  <c r="M393" s="1"/>
  <c r="L393" i="29"/>
  <c r="M393" s="1"/>
  <c r="O1648" i="11"/>
  <c r="N1648" i="31"/>
  <c r="O1648" s="1"/>
  <c r="N1648" i="30"/>
  <c r="O1648" s="1"/>
  <c r="N1648" i="29"/>
  <c r="O1648" s="1"/>
  <c r="M24" i="11"/>
  <c r="L24" i="31"/>
  <c r="M24" s="1"/>
  <c r="L24" i="30"/>
  <c r="M24" s="1"/>
  <c r="L24" i="29"/>
  <c r="M24" s="1"/>
  <c r="K1658" i="11"/>
  <c r="J1658" i="31"/>
  <c r="K1658" s="1"/>
  <c r="J1658" i="30"/>
  <c r="K1658" s="1"/>
  <c r="J1658" i="29"/>
  <c r="K1658" s="1"/>
  <c r="K1662" i="11"/>
  <c r="J1662" i="31"/>
  <c r="K1662" s="1"/>
  <c r="J1662" i="30"/>
  <c r="K1662" s="1"/>
  <c r="J1662" i="29"/>
  <c r="K1662" s="1"/>
  <c r="G1051" i="11"/>
  <c r="I1647"/>
  <c r="G1647"/>
  <c r="H1647"/>
  <c r="I1056"/>
  <c r="G302"/>
  <c r="I1051"/>
  <c r="H1051"/>
  <c r="H1056"/>
  <c r="G1056"/>
  <c r="O1647" l="1"/>
  <c r="N1647" i="31"/>
  <c r="O1647" s="1"/>
  <c r="N1647" i="30"/>
  <c r="O1647" s="1"/>
  <c r="N1647" i="29"/>
  <c r="O1647" s="1"/>
  <c r="M1051" i="11"/>
  <c r="L1051" i="31"/>
  <c r="M1051" s="1"/>
  <c r="L1051" i="30"/>
  <c r="M1051" s="1"/>
  <c r="L1051" i="29"/>
  <c r="M1051" s="1"/>
  <c r="M1056" i="11"/>
  <c r="L1056" i="31"/>
  <c r="M1056" s="1"/>
  <c r="L1056" i="30"/>
  <c r="M1056" s="1"/>
  <c r="L1056" i="29"/>
  <c r="M1056" s="1"/>
  <c r="K1051" i="11"/>
  <c r="J1051" i="31"/>
  <c r="K1051" s="1"/>
  <c r="J1051" i="30"/>
  <c r="K1051" s="1"/>
  <c r="J1051" i="29"/>
  <c r="K1051" s="1"/>
  <c r="O1051" i="11"/>
  <c r="N1051" i="31"/>
  <c r="O1051" s="1"/>
  <c r="N1051" i="30"/>
  <c r="O1051" s="1"/>
  <c r="N1051" i="29"/>
  <c r="O1051" s="1"/>
  <c r="M1647" i="11"/>
  <c r="L1647" i="31"/>
  <c r="M1647" s="1"/>
  <c r="L1647" i="30"/>
  <c r="M1647" s="1"/>
  <c r="L1647" i="29"/>
  <c r="M1647" s="1"/>
  <c r="K1056" i="11"/>
  <c r="J1056" i="31"/>
  <c r="K1056" s="1"/>
  <c r="J1056" i="30"/>
  <c r="K1056" s="1"/>
  <c r="J1056" i="29"/>
  <c r="K1056" s="1"/>
  <c r="K302" i="11"/>
  <c r="J302" i="31"/>
  <c r="K302" s="1"/>
  <c r="J302" i="30"/>
  <c r="K302" s="1"/>
  <c r="J302" i="29"/>
  <c r="K302" s="1"/>
  <c r="O1056" i="11"/>
  <c r="N1056" i="31"/>
  <c r="O1056" s="1"/>
  <c r="N1056" i="30"/>
  <c r="O1056" s="1"/>
  <c r="N1056" i="29"/>
  <c r="O1056" s="1"/>
  <c r="K1647" i="11"/>
  <c r="J1647" i="31"/>
  <c r="K1647" s="1"/>
  <c r="J1647" i="30"/>
  <c r="K1647" s="1"/>
  <c r="J1647" i="29"/>
  <c r="K1647" s="1"/>
  <c r="I1050" i="11"/>
  <c r="G1050"/>
  <c r="H1050"/>
  <c r="O1045"/>
  <c r="M1045"/>
  <c r="K1045"/>
  <c r="K1037"/>
  <c r="I1036"/>
  <c r="H1036"/>
  <c r="I1035"/>
  <c r="H1035"/>
  <c r="O1031"/>
  <c r="M1031"/>
  <c r="K1031"/>
  <c r="O1025"/>
  <c r="M1025"/>
  <c r="K1025"/>
  <c r="O1298"/>
  <c r="M1298"/>
  <c r="K1298"/>
  <c r="O1301"/>
  <c r="M1301"/>
  <c r="K1301"/>
  <c r="O1129"/>
  <c r="M1129"/>
  <c r="K1129"/>
  <c r="M1132"/>
  <c r="O1132"/>
  <c r="K1132"/>
  <c r="M1035" l="1"/>
  <c r="L1035" i="31"/>
  <c r="M1035" s="1"/>
  <c r="L1035" i="30"/>
  <c r="M1035" s="1"/>
  <c r="L1035" i="29"/>
  <c r="M1035" s="1"/>
  <c r="M1050" i="11"/>
  <c r="L1050" i="31"/>
  <c r="M1050" s="1"/>
  <c r="L1050" i="30"/>
  <c r="M1050" s="1"/>
  <c r="L1050" i="29"/>
  <c r="M1050" s="1"/>
  <c r="O1035" i="11"/>
  <c r="N1035" i="31"/>
  <c r="O1035" s="1"/>
  <c r="N1035" i="30"/>
  <c r="O1035" s="1"/>
  <c r="N1035" i="29"/>
  <c r="O1035" s="1"/>
  <c r="M1036" i="11"/>
  <c r="L1036" i="31"/>
  <c r="M1036" s="1"/>
  <c r="L1036" i="30"/>
  <c r="M1036" s="1"/>
  <c r="L1036" i="29"/>
  <c r="M1036" s="1"/>
  <c r="O1050" i="11"/>
  <c r="N1050" i="31"/>
  <c r="O1050" s="1"/>
  <c r="N1050" i="30"/>
  <c r="O1050" s="1"/>
  <c r="N1050" i="29"/>
  <c r="O1050" s="1"/>
  <c r="K1050" i="11"/>
  <c r="J1050" i="31"/>
  <c r="K1050" s="1"/>
  <c r="J1050" i="30"/>
  <c r="K1050" s="1"/>
  <c r="J1050" i="29"/>
  <c r="K1050" s="1"/>
  <c r="O1036" i="11"/>
  <c r="N1036" i="31"/>
  <c r="O1036" s="1"/>
  <c r="N1036" i="30"/>
  <c r="O1036" s="1"/>
  <c r="N1036" i="29"/>
  <c r="O1036" s="1"/>
  <c r="H1034" i="11"/>
  <c r="I1034"/>
  <c r="H1049"/>
  <c r="I1049"/>
  <c r="G1035"/>
  <c r="H1300"/>
  <c r="I1300"/>
  <c r="G1300"/>
  <c r="I1131"/>
  <c r="G1131"/>
  <c r="H1131"/>
  <c r="G1036"/>
  <c r="M1014"/>
  <c r="O1014"/>
  <c r="K1014"/>
  <c r="O1012"/>
  <c r="M1012"/>
  <c r="M1008"/>
  <c r="O1008"/>
  <c r="K1008"/>
  <c r="M1003"/>
  <c r="O1003"/>
  <c r="K1003"/>
  <c r="M999"/>
  <c r="O999"/>
  <c r="K999"/>
  <c r="O994"/>
  <c r="M994"/>
  <c r="K994"/>
  <c r="M991"/>
  <c r="O991"/>
  <c r="K991"/>
  <c r="O986"/>
  <c r="M986"/>
  <c r="K986"/>
  <c r="M980"/>
  <c r="O980"/>
  <c r="M982"/>
  <c r="O982"/>
  <c r="K982"/>
  <c r="K980"/>
  <c r="O975"/>
  <c r="M975"/>
  <c r="K975"/>
  <c r="O968"/>
  <c r="M968"/>
  <c r="K968"/>
  <c r="M958"/>
  <c r="O958"/>
  <c r="K958"/>
  <c r="O953"/>
  <c r="M953"/>
  <c r="K953"/>
  <c r="O949"/>
  <c r="M949"/>
  <c r="K949"/>
  <c r="O945"/>
  <c r="M945"/>
  <c r="K945"/>
  <c r="O943"/>
  <c r="M943"/>
  <c r="K943"/>
  <c r="K1036" l="1"/>
  <c r="J1036" i="31"/>
  <c r="K1036" s="1"/>
  <c r="J1036" i="30"/>
  <c r="K1036" s="1"/>
  <c r="J1036" i="29"/>
  <c r="K1036" s="1"/>
  <c r="O1049" i="11"/>
  <c r="N1049" i="31"/>
  <c r="O1049" s="1"/>
  <c r="N1049" i="30"/>
  <c r="O1049" s="1"/>
  <c r="N1049" i="29"/>
  <c r="O1049" s="1"/>
  <c r="K1131" i="11"/>
  <c r="J1131" i="31"/>
  <c r="K1131" s="1"/>
  <c r="J1131" i="30"/>
  <c r="K1131" s="1"/>
  <c r="J1131" i="29"/>
  <c r="K1131" s="1"/>
  <c r="O1034" i="11"/>
  <c r="N1034" i="31"/>
  <c r="O1034" s="1"/>
  <c r="N1034" i="30"/>
  <c r="O1034" s="1"/>
  <c r="N1034" i="29"/>
  <c r="O1034" s="1"/>
  <c r="O1131" i="11"/>
  <c r="N1131" i="31"/>
  <c r="O1131" s="1"/>
  <c r="N1131" i="30"/>
  <c r="O1131" s="1"/>
  <c r="N1131" i="29"/>
  <c r="O1131" s="1"/>
  <c r="O1300" i="11"/>
  <c r="N1300" i="31"/>
  <c r="O1300" s="1"/>
  <c r="N1300" i="30"/>
  <c r="O1300" s="1"/>
  <c r="N1300" i="29"/>
  <c r="O1300" s="1"/>
  <c r="M1131" i="11"/>
  <c r="L1131" i="31"/>
  <c r="M1131" s="1"/>
  <c r="L1131" i="30"/>
  <c r="M1131" s="1"/>
  <c r="L1131" i="29"/>
  <c r="M1131" s="1"/>
  <c r="M1034" i="11"/>
  <c r="L1034" i="31"/>
  <c r="M1034" s="1"/>
  <c r="L1034" i="30"/>
  <c r="M1034" s="1"/>
  <c r="L1034" i="29"/>
  <c r="M1034" s="1"/>
  <c r="M1300" i="11"/>
  <c r="L1300" i="31"/>
  <c r="M1300" s="1"/>
  <c r="L1300" i="30"/>
  <c r="M1300" s="1"/>
  <c r="L1300" i="29"/>
  <c r="M1300" s="1"/>
  <c r="M1049" i="11"/>
  <c r="L1049" i="31"/>
  <c r="M1049" s="1"/>
  <c r="L1049" i="30"/>
  <c r="M1049" s="1"/>
  <c r="L1049" i="29"/>
  <c r="M1049" s="1"/>
  <c r="K1300" i="11"/>
  <c r="J1300" i="31"/>
  <c r="K1300" s="1"/>
  <c r="J1300" i="30"/>
  <c r="K1300" s="1"/>
  <c r="J1300" i="29"/>
  <c r="K1300" s="1"/>
  <c r="K1035" i="11"/>
  <c r="J1035" i="31"/>
  <c r="K1035" s="1"/>
  <c r="J1035" i="30"/>
  <c r="K1035" s="1"/>
  <c r="J1035" i="29"/>
  <c r="K1035" s="1"/>
  <c r="M996" i="11"/>
  <c r="H990"/>
  <c r="K996"/>
  <c r="G990"/>
  <c r="O996"/>
  <c r="I990"/>
  <c r="G1034"/>
  <c r="I985"/>
  <c r="I948"/>
  <c r="H1048"/>
  <c r="H985"/>
  <c r="I1048"/>
  <c r="I1033"/>
  <c r="H1033"/>
  <c r="H948"/>
  <c r="I952"/>
  <c r="G985"/>
  <c r="O979"/>
  <c r="M979"/>
  <c r="K979"/>
  <c r="O942"/>
  <c r="K942"/>
  <c r="H952"/>
  <c r="M942"/>
  <c r="G948"/>
  <c r="G952"/>
  <c r="O952" l="1"/>
  <c r="N952" i="31"/>
  <c r="O952" s="1"/>
  <c r="N952" i="30"/>
  <c r="O952" s="1"/>
  <c r="N952" i="29"/>
  <c r="O952" s="1"/>
  <c r="M1033" i="11"/>
  <c r="L1033" i="31"/>
  <c r="M1033" s="1"/>
  <c r="L1033" i="30"/>
  <c r="M1033" s="1"/>
  <c r="L1033" i="29"/>
  <c r="M1033" s="1"/>
  <c r="N990" i="31"/>
  <c r="O990" s="1"/>
  <c r="N990" i="30"/>
  <c r="O990" s="1"/>
  <c r="N990" i="29"/>
  <c r="O990" s="1"/>
  <c r="K1034" i="11"/>
  <c r="J1034" i="31"/>
  <c r="K1034" s="1"/>
  <c r="J1034" i="30"/>
  <c r="K1034" s="1"/>
  <c r="J1034" i="29"/>
  <c r="K1034" s="1"/>
  <c r="O1033" i="11"/>
  <c r="N1033" i="31"/>
  <c r="O1033" s="1"/>
  <c r="N1033" i="30"/>
  <c r="O1033" s="1"/>
  <c r="N1033" i="29"/>
  <c r="O1033" s="1"/>
  <c r="O1048" i="11"/>
  <c r="N1048" i="31"/>
  <c r="O1048" s="1"/>
  <c r="N1048" i="30"/>
  <c r="O1048" s="1"/>
  <c r="N1048" i="29"/>
  <c r="O1048" s="1"/>
  <c r="O985" i="11"/>
  <c r="N985" i="31"/>
  <c r="O985" s="1"/>
  <c r="N985" i="30"/>
  <c r="O985" s="1"/>
  <c r="N985" i="29"/>
  <c r="O985" s="1"/>
  <c r="M952" i="11"/>
  <c r="L952" i="31"/>
  <c r="M952" s="1"/>
  <c r="L952" i="30"/>
  <c r="M952" s="1"/>
  <c r="L952" i="29"/>
  <c r="M952" s="1"/>
  <c r="J990" i="31"/>
  <c r="K990" s="1"/>
  <c r="J990" i="30"/>
  <c r="K990" s="1"/>
  <c r="J990" i="29"/>
  <c r="K990" s="1"/>
  <c r="K952" i="11"/>
  <c r="J952" i="31"/>
  <c r="K952" s="1"/>
  <c r="J952" i="30"/>
  <c r="K952" s="1"/>
  <c r="J952" i="29"/>
  <c r="K952" s="1"/>
  <c r="M1048" i="11"/>
  <c r="L1048" i="31"/>
  <c r="M1048" s="1"/>
  <c r="L1048" i="30"/>
  <c r="M1048" s="1"/>
  <c r="L1048" i="29"/>
  <c r="M1048" s="1"/>
  <c r="M948" i="11"/>
  <c r="L948" i="31"/>
  <c r="M948" s="1"/>
  <c r="L948" i="30"/>
  <c r="M948" s="1"/>
  <c r="L948" i="29"/>
  <c r="M948" s="1"/>
  <c r="M985" i="11"/>
  <c r="L985" i="31"/>
  <c r="M985" s="1"/>
  <c r="L985" i="30"/>
  <c r="M985" s="1"/>
  <c r="L985" i="29"/>
  <c r="M985" s="1"/>
  <c r="L990" i="31"/>
  <c r="M990" s="1"/>
  <c r="L990" i="30"/>
  <c r="M990" s="1"/>
  <c r="L990" i="29"/>
  <c r="M990" s="1"/>
  <c r="K948" i="11"/>
  <c r="J948" i="31"/>
  <c r="K948" s="1"/>
  <c r="J948" i="30"/>
  <c r="K948" s="1"/>
  <c r="J948" i="29"/>
  <c r="K948" s="1"/>
  <c r="K985" i="11"/>
  <c r="J985" i="31"/>
  <c r="K985" s="1"/>
  <c r="J985" i="30"/>
  <c r="K985" s="1"/>
  <c r="J985" i="29"/>
  <c r="K985" s="1"/>
  <c r="O948" i="11"/>
  <c r="N948" i="31"/>
  <c r="O948" s="1"/>
  <c r="N948" i="30"/>
  <c r="O948" s="1"/>
  <c r="N948" i="29"/>
  <c r="O948" s="1"/>
  <c r="I947" i="11"/>
  <c r="G978"/>
  <c r="I941"/>
  <c r="H951"/>
  <c r="H947"/>
  <c r="G1033"/>
  <c r="G951"/>
  <c r="I951"/>
  <c r="H941"/>
  <c r="I978"/>
  <c r="G947"/>
  <c r="G941"/>
  <c r="H978"/>
  <c r="M939"/>
  <c r="O939"/>
  <c r="K939"/>
  <c r="M936"/>
  <c r="O936"/>
  <c r="K936"/>
  <c r="M933"/>
  <c r="O933"/>
  <c r="K933"/>
  <c r="M930"/>
  <c r="O930"/>
  <c r="K930"/>
  <c r="K927"/>
  <c r="M924"/>
  <c r="O924"/>
  <c r="K924"/>
  <c r="M921"/>
  <c r="O921"/>
  <c r="K921"/>
  <c r="M918"/>
  <c r="O918"/>
  <c r="K918"/>
  <c r="O915"/>
  <c r="H926"/>
  <c r="H957"/>
  <c r="H964"/>
  <c r="H967"/>
  <c r="H974"/>
  <c r="M990"/>
  <c r="H998"/>
  <c r="H1002"/>
  <c r="H1007"/>
  <c r="H1024"/>
  <c r="H1030"/>
  <c r="H1044"/>
  <c r="H1055"/>
  <c r="H1073"/>
  <c r="M1082"/>
  <c r="M1102"/>
  <c r="M1105"/>
  <c r="M1111"/>
  <c r="M1115"/>
  <c r="M1119"/>
  <c r="M1122"/>
  <c r="H1128"/>
  <c r="M1146"/>
  <c r="M1140"/>
  <c r="H1142"/>
  <c r="M1154"/>
  <c r="M1162"/>
  <c r="M1165"/>
  <c r="M1168"/>
  <c r="M1188"/>
  <c r="M1191"/>
  <c r="M1193"/>
  <c r="M1197"/>
  <c r="M1201"/>
  <c r="M1205"/>
  <c r="M1208"/>
  <c r="M1215"/>
  <c r="M1229"/>
  <c r="M1223"/>
  <c r="H1225"/>
  <c r="M1237"/>
  <c r="M1251"/>
  <c r="M1271"/>
  <c r="M1274"/>
  <c r="M1276"/>
  <c r="M1280"/>
  <c r="M1284"/>
  <c r="M1288"/>
  <c r="M1291"/>
  <c r="H1297"/>
  <c r="M1315"/>
  <c r="M1309"/>
  <c r="H1311"/>
  <c r="M1323"/>
  <c r="M1331"/>
  <c r="M1334"/>
  <c r="M1342"/>
  <c r="M1345"/>
  <c r="M1388"/>
  <c r="M1395"/>
  <c r="M915"/>
  <c r="K915"/>
  <c r="M912"/>
  <c r="O912"/>
  <c r="K912"/>
  <c r="M909"/>
  <c r="O909"/>
  <c r="K909"/>
  <c r="O904"/>
  <c r="M904"/>
  <c r="K904"/>
  <c r="O902"/>
  <c r="M902"/>
  <c r="K902"/>
  <c r="M897"/>
  <c r="O897"/>
  <c r="M899"/>
  <c r="O899"/>
  <c r="K899"/>
  <c r="K897"/>
  <c r="O894"/>
  <c r="M894"/>
  <c r="M889"/>
  <c r="O889"/>
  <c r="M891"/>
  <c r="O891"/>
  <c r="K891"/>
  <c r="K889"/>
  <c r="O886"/>
  <c r="M886"/>
  <c r="K886"/>
  <c r="M880"/>
  <c r="O880"/>
  <c r="M882"/>
  <c r="O882"/>
  <c r="K882"/>
  <c r="K880"/>
  <c r="O877"/>
  <c r="M877"/>
  <c r="K877"/>
  <c r="O875"/>
  <c r="M875"/>
  <c r="K875"/>
  <c r="M870"/>
  <c r="O870"/>
  <c r="M872"/>
  <c r="O872"/>
  <c r="K872"/>
  <c r="K870"/>
  <c r="M865"/>
  <c r="O865"/>
  <c r="M867"/>
  <c r="O867"/>
  <c r="K867"/>
  <c r="K865"/>
  <c r="O862"/>
  <c r="M862"/>
  <c r="K862"/>
  <c r="O860"/>
  <c r="M860"/>
  <c r="K860"/>
  <c r="O857"/>
  <c r="M857"/>
  <c r="K857"/>
  <c r="O855"/>
  <c r="M855"/>
  <c r="K855"/>
  <c r="O852"/>
  <c r="M852"/>
  <c r="O850"/>
  <c r="M850"/>
  <c r="K852"/>
  <c r="K850"/>
  <c r="M847"/>
  <c r="O847"/>
  <c r="K847"/>
  <c r="O844"/>
  <c r="M844"/>
  <c r="K844"/>
  <c r="O842"/>
  <c r="M842"/>
  <c r="K842"/>
  <c r="O837"/>
  <c r="M837"/>
  <c r="O839"/>
  <c r="M839"/>
  <c r="M834"/>
  <c r="O834"/>
  <c r="K839"/>
  <c r="K837"/>
  <c r="K834"/>
  <c r="M829"/>
  <c r="O829"/>
  <c r="M831"/>
  <c r="O831"/>
  <c r="K831"/>
  <c r="K829"/>
  <c r="M629"/>
  <c r="O629"/>
  <c r="K629"/>
  <c r="O626"/>
  <c r="M626"/>
  <c r="K626"/>
  <c r="M623"/>
  <c r="O623"/>
  <c r="K623"/>
  <c r="M620"/>
  <c r="O620"/>
  <c r="K620"/>
  <c r="M614"/>
  <c r="O614"/>
  <c r="M616"/>
  <c r="O616"/>
  <c r="K616"/>
  <c r="K614"/>
  <c r="M604"/>
  <c r="O604"/>
  <c r="K604"/>
  <c r="O600"/>
  <c r="M600"/>
  <c r="K600"/>
  <c r="O594"/>
  <c r="M594"/>
  <c r="M596"/>
  <c r="O596"/>
  <c r="M591"/>
  <c r="O591"/>
  <c r="K596"/>
  <c r="K594"/>
  <c r="K591"/>
  <c r="O586"/>
  <c r="M586"/>
  <c r="K586"/>
  <c r="M580"/>
  <c r="O580"/>
  <c r="K580"/>
  <c r="O574"/>
  <c r="M574"/>
  <c r="M576"/>
  <c r="O576"/>
  <c r="M572"/>
  <c r="O572"/>
  <c r="K576"/>
  <c r="K574"/>
  <c r="K572"/>
  <c r="O568"/>
  <c r="M568"/>
  <c r="K568"/>
  <c r="K552"/>
  <c r="O561"/>
  <c r="M561"/>
  <c r="K561"/>
  <c r="M555"/>
  <c r="O555"/>
  <c r="K555"/>
  <c r="O552"/>
  <c r="M552"/>
  <c r="K951" l="1"/>
  <c r="J951" i="31"/>
  <c r="K951" s="1"/>
  <c r="J951" i="30"/>
  <c r="K951" s="1"/>
  <c r="J951" i="29"/>
  <c r="K951" s="1"/>
  <c r="M1297" i="11"/>
  <c r="L1297" i="31"/>
  <c r="M1297" s="1"/>
  <c r="L1297" i="30"/>
  <c r="M1297" s="1"/>
  <c r="L1297" i="29"/>
  <c r="M1297" s="1"/>
  <c r="M1024" i="11"/>
  <c r="L1024" i="31"/>
  <c r="M1024" s="1"/>
  <c r="L1024" i="30"/>
  <c r="M1024" s="1"/>
  <c r="L1024" i="29"/>
  <c r="M1024" s="1"/>
  <c r="M957" i="11"/>
  <c r="L957" i="31"/>
  <c r="M957" s="1"/>
  <c r="L957" i="30"/>
  <c r="M957" s="1"/>
  <c r="L957" i="29"/>
  <c r="M957" s="1"/>
  <c r="K1033" i="11"/>
  <c r="J1033" i="31"/>
  <c r="K1033" s="1"/>
  <c r="J1033" i="30"/>
  <c r="K1033" s="1"/>
  <c r="J1033" i="29"/>
  <c r="K1033" s="1"/>
  <c r="M1142" i="11"/>
  <c r="L1142" i="31"/>
  <c r="M1142" s="1"/>
  <c r="L1142" i="30"/>
  <c r="M1142" s="1"/>
  <c r="L1142" i="29"/>
  <c r="M1142" s="1"/>
  <c r="M1007" i="11"/>
  <c r="L1007" i="31"/>
  <c r="M1007" s="1"/>
  <c r="L1007" i="30"/>
  <c r="M1007" s="1"/>
  <c r="L1007" i="29"/>
  <c r="M1007" s="1"/>
  <c r="M926" i="11"/>
  <c r="L926" i="31"/>
  <c r="M926" s="1"/>
  <c r="L926" i="30"/>
  <c r="M926" s="1"/>
  <c r="L926" i="29"/>
  <c r="M926" s="1"/>
  <c r="M978" i="11"/>
  <c r="L978" i="31"/>
  <c r="M978" s="1"/>
  <c r="L978" i="30"/>
  <c r="M978" s="1"/>
  <c r="L978" i="29"/>
  <c r="M978" s="1"/>
  <c r="M947" i="11"/>
  <c r="L947" i="31"/>
  <c r="M947" s="1"/>
  <c r="L947" i="30"/>
  <c r="M947" s="1"/>
  <c r="L947" i="29"/>
  <c r="M947" s="1"/>
  <c r="M964" i="11"/>
  <c r="L964" i="31"/>
  <c r="M964" s="1"/>
  <c r="L964" i="30"/>
  <c r="M964" s="1"/>
  <c r="L964" i="29"/>
  <c r="M964" s="1"/>
  <c r="M998" i="11"/>
  <c r="L998" i="31"/>
  <c r="M998" s="1"/>
  <c r="L998" i="30"/>
  <c r="M998" s="1"/>
  <c r="L998" i="29"/>
  <c r="M998" s="1"/>
  <c r="M1128" i="11"/>
  <c r="L1128" i="31"/>
  <c r="M1128" s="1"/>
  <c r="L1128" i="30"/>
  <c r="M1128" s="1"/>
  <c r="L1128" i="29"/>
  <c r="M1128" s="1"/>
  <c r="L1073" i="31"/>
  <c r="M1073" s="1"/>
  <c r="L1073" i="30"/>
  <c r="M1073" s="1"/>
  <c r="L1073" i="29"/>
  <c r="M1073" s="1"/>
  <c r="O978" i="11"/>
  <c r="N978" i="31"/>
  <c r="O978" s="1"/>
  <c r="N978" i="29"/>
  <c r="O978" s="1"/>
  <c r="N978" i="30"/>
  <c r="O978" s="1"/>
  <c r="K978" i="11"/>
  <c r="J978" i="31"/>
  <c r="K978" s="1"/>
  <c r="J978" i="30"/>
  <c r="K978" s="1"/>
  <c r="J978" i="29"/>
  <c r="K978" s="1"/>
  <c r="M1030" i="11"/>
  <c r="L1030" i="31"/>
  <c r="M1030" s="1"/>
  <c r="L1030" i="30"/>
  <c r="M1030" s="1"/>
  <c r="L1030" i="29"/>
  <c r="M1030" s="1"/>
  <c r="M1225" i="11"/>
  <c r="L1225" i="31"/>
  <c r="M1225" s="1"/>
  <c r="L1225" i="30"/>
  <c r="M1225" s="1"/>
  <c r="L1225" i="29"/>
  <c r="M1225" s="1"/>
  <c r="M1311" i="11"/>
  <c r="L1311" i="31"/>
  <c r="M1311" s="1"/>
  <c r="L1311" i="30"/>
  <c r="M1311" s="1"/>
  <c r="L1311" i="29"/>
  <c r="M1311" s="1"/>
  <c r="M1055" i="11"/>
  <c r="L1055" i="31"/>
  <c r="M1055" s="1"/>
  <c r="L1055" i="30"/>
  <c r="M1055" s="1"/>
  <c r="L1055" i="29"/>
  <c r="M1055" s="1"/>
  <c r="M974" i="11"/>
  <c r="L974" i="31"/>
  <c r="M974" s="1"/>
  <c r="L974" i="30"/>
  <c r="M974" s="1"/>
  <c r="L974" i="29"/>
  <c r="M974" s="1"/>
  <c r="M941" i="11"/>
  <c r="L941" i="31"/>
  <c r="M941" s="1"/>
  <c r="L941" i="30"/>
  <c r="M941" s="1"/>
  <c r="L941" i="29"/>
  <c r="M941" s="1"/>
  <c r="O947" i="11"/>
  <c r="N947" i="31"/>
  <c r="O947" s="1"/>
  <c r="N947" i="30"/>
  <c r="O947" s="1"/>
  <c r="N947" i="29"/>
  <c r="O947" s="1"/>
  <c r="M1002" i="11"/>
  <c r="L1002" i="31"/>
  <c r="M1002" s="1"/>
  <c r="L1002" i="30"/>
  <c r="M1002" s="1"/>
  <c r="L1002" i="29"/>
  <c r="M1002" s="1"/>
  <c r="K941" i="11"/>
  <c r="J941" i="31"/>
  <c r="K941" s="1"/>
  <c r="J941" i="30"/>
  <c r="K941" s="1"/>
  <c r="J941" i="29"/>
  <c r="K941" s="1"/>
  <c r="M951" i="11"/>
  <c r="L951" i="31"/>
  <c r="M951" s="1"/>
  <c r="L951" i="30"/>
  <c r="M951" s="1"/>
  <c r="L951" i="29"/>
  <c r="M951" s="1"/>
  <c r="K947" i="11"/>
  <c r="J947" i="31"/>
  <c r="K947" s="1"/>
  <c r="J947" i="30"/>
  <c r="K947" s="1"/>
  <c r="J947" i="29"/>
  <c r="K947" s="1"/>
  <c r="O941" i="11"/>
  <c r="N941" i="31"/>
  <c r="O941" s="1"/>
  <c r="N941" i="30"/>
  <c r="O941" s="1"/>
  <c r="N941" i="29"/>
  <c r="O941" s="1"/>
  <c r="M1044" i="11"/>
  <c r="L1044" i="31"/>
  <c r="M1044" s="1"/>
  <c r="L1044" i="30"/>
  <c r="M1044" s="1"/>
  <c r="L1044" i="29"/>
  <c r="M1044" s="1"/>
  <c r="M967" i="11"/>
  <c r="L967" i="31"/>
  <c r="M967" s="1"/>
  <c r="L967" i="30"/>
  <c r="M967" s="1"/>
  <c r="L967" i="29"/>
  <c r="M967" s="1"/>
  <c r="O951" i="11"/>
  <c r="N951" i="31"/>
  <c r="O951" s="1"/>
  <c r="N951" i="30"/>
  <c r="O951" s="1"/>
  <c r="N951" i="29"/>
  <c r="O951" s="1"/>
  <c r="M1107" i="11"/>
  <c r="H1101"/>
  <c r="H1072"/>
  <c r="M1073"/>
  <c r="H963"/>
  <c r="H1344"/>
  <c r="H1279"/>
  <c r="H1228"/>
  <c r="H1384"/>
  <c r="H1359"/>
  <c r="H1314"/>
  <c r="H1222"/>
  <c r="H1161"/>
  <c r="H1043"/>
  <c r="H917"/>
  <c r="H935"/>
  <c r="H977"/>
  <c r="H1322"/>
  <c r="H1110"/>
  <c r="H932"/>
  <c r="H1387"/>
  <c r="H1362"/>
  <c r="H1333"/>
  <c r="H1308"/>
  <c r="H1207"/>
  <c r="H1139"/>
  <c r="H973"/>
  <c r="H956"/>
  <c r="H920"/>
  <c r="H938"/>
  <c r="G977"/>
  <c r="H1250"/>
  <c r="H1153"/>
  <c r="H1029"/>
  <c r="H1394"/>
  <c r="H1370"/>
  <c r="H1341"/>
  <c r="H1290"/>
  <c r="H1234"/>
  <c r="H1214"/>
  <c r="H1196"/>
  <c r="H1121"/>
  <c r="H1023"/>
  <c r="G917"/>
  <c r="H923"/>
  <c r="H929"/>
  <c r="I977"/>
  <c r="H1164"/>
  <c r="H1145"/>
  <c r="H1167"/>
  <c r="H1054"/>
  <c r="H1296"/>
  <c r="H1127"/>
  <c r="H1378"/>
  <c r="H1114"/>
  <c r="H1200"/>
  <c r="H1081"/>
  <c r="H1283"/>
  <c r="H1257"/>
  <c r="M1187"/>
  <c r="H989"/>
  <c r="H1329"/>
  <c r="M1270"/>
  <c r="H1174"/>
  <c r="H1330"/>
  <c r="H1236"/>
  <c r="I879"/>
  <c r="H879"/>
  <c r="K859"/>
  <c r="G874"/>
  <c r="I869"/>
  <c r="M859"/>
  <c r="O859"/>
  <c r="I864"/>
  <c r="G869"/>
  <c r="H874"/>
  <c r="H864"/>
  <c r="I874"/>
  <c r="H869"/>
  <c r="G879"/>
  <c r="G864"/>
  <c r="K849"/>
  <c r="O854"/>
  <c r="K854"/>
  <c r="M854"/>
  <c r="M849"/>
  <c r="O849"/>
  <c r="O543"/>
  <c r="O545"/>
  <c r="M545"/>
  <c r="M543"/>
  <c r="K545"/>
  <c r="K543"/>
  <c r="O535"/>
  <c r="O537"/>
  <c r="M537"/>
  <c r="K537"/>
  <c r="M535"/>
  <c r="K535"/>
  <c r="O528"/>
  <c r="M528"/>
  <c r="K528"/>
  <c r="M879" l="1"/>
  <c r="L879" i="31"/>
  <c r="M879" s="1"/>
  <c r="L879" i="30"/>
  <c r="M879" s="1"/>
  <c r="L879" i="29"/>
  <c r="M879" s="1"/>
  <c r="M923" i="11"/>
  <c r="L923" i="31"/>
  <c r="M923" s="1"/>
  <c r="L923" i="30"/>
  <c r="M923" s="1"/>
  <c r="L923" i="29"/>
  <c r="M923" s="1"/>
  <c r="M920" i="11"/>
  <c r="L920" i="31"/>
  <c r="M920" s="1"/>
  <c r="L920" i="30"/>
  <c r="M920" s="1"/>
  <c r="L920" i="29"/>
  <c r="M920" s="1"/>
  <c r="K869" i="11"/>
  <c r="J869" i="31"/>
  <c r="K869" s="1"/>
  <c r="J869" i="30"/>
  <c r="K869" s="1"/>
  <c r="J869" i="29"/>
  <c r="K869" s="1"/>
  <c r="O879" i="11"/>
  <c r="N879" i="31"/>
  <c r="O879" s="1"/>
  <c r="N879" i="30"/>
  <c r="O879" s="1"/>
  <c r="N879" i="29"/>
  <c r="O879" s="1"/>
  <c r="M1296" i="11"/>
  <c r="L1296" i="31"/>
  <c r="M1296" s="1"/>
  <c r="L1296" i="30"/>
  <c r="M1296" s="1"/>
  <c r="L1296" i="29"/>
  <c r="M1296" s="1"/>
  <c r="K917" i="11"/>
  <c r="J917" i="31"/>
  <c r="K917" s="1"/>
  <c r="J917" i="30"/>
  <c r="K917" s="1"/>
  <c r="J917" i="29"/>
  <c r="K917" s="1"/>
  <c r="M1370" i="11"/>
  <c r="L1370" i="31"/>
  <c r="M1370" s="1"/>
  <c r="L1370" i="30"/>
  <c r="M1370" s="1"/>
  <c r="L1370" i="29"/>
  <c r="M1370" s="1"/>
  <c r="M956" i="11"/>
  <c r="L956" i="31"/>
  <c r="M956" s="1"/>
  <c r="L956" i="30"/>
  <c r="M956" s="1"/>
  <c r="L956" i="29"/>
  <c r="M956" s="1"/>
  <c r="M932" i="11"/>
  <c r="L932" i="31"/>
  <c r="M932" s="1"/>
  <c r="L932" i="30"/>
  <c r="M932" s="1"/>
  <c r="L932" i="29"/>
  <c r="M932" s="1"/>
  <c r="M1222" i="11"/>
  <c r="L1222" i="31"/>
  <c r="M1222" s="1"/>
  <c r="L1222" i="30"/>
  <c r="M1222" s="1"/>
  <c r="L1222" i="29"/>
  <c r="M1222" s="1"/>
  <c r="O864" i="11"/>
  <c r="N864" i="31"/>
  <c r="O864" s="1"/>
  <c r="N864" i="30"/>
  <c r="O864" s="1"/>
  <c r="N864" i="29"/>
  <c r="O864" s="1"/>
  <c r="M1236" i="11"/>
  <c r="L1236" i="31"/>
  <c r="M1236" s="1"/>
  <c r="L1236" i="30"/>
  <c r="M1236" s="1"/>
  <c r="L1236" i="29"/>
  <c r="M1236" s="1"/>
  <c r="M1257" i="11"/>
  <c r="L1257" i="31"/>
  <c r="M1257" s="1"/>
  <c r="L1257" i="30"/>
  <c r="M1257" s="1"/>
  <c r="L1257" i="29"/>
  <c r="M1257" s="1"/>
  <c r="M1054" i="11"/>
  <c r="L1054" i="31"/>
  <c r="M1054" s="1"/>
  <c r="L1054" i="30"/>
  <c r="M1054" s="1"/>
  <c r="L1054" i="29"/>
  <c r="M1054" s="1"/>
  <c r="M1023" i="11"/>
  <c r="L1023" i="31"/>
  <c r="M1023" s="1"/>
  <c r="L1023" i="30"/>
  <c r="M1023" s="1"/>
  <c r="L1023" i="29"/>
  <c r="M1023" s="1"/>
  <c r="M1394" i="11"/>
  <c r="L1394" i="31"/>
  <c r="M1394" s="1"/>
  <c r="L1394" i="30"/>
  <c r="M1394" s="1"/>
  <c r="L1394" i="29"/>
  <c r="M1394" s="1"/>
  <c r="M973" i="11"/>
  <c r="L973" i="31"/>
  <c r="M973" s="1"/>
  <c r="L973" i="30"/>
  <c r="M973" s="1"/>
  <c r="L973" i="29"/>
  <c r="M973" s="1"/>
  <c r="M1110" i="11"/>
  <c r="L1110" i="31"/>
  <c r="M1110" s="1"/>
  <c r="L1110" i="30"/>
  <c r="M1110" s="1"/>
  <c r="L1110" i="29"/>
  <c r="M1110" s="1"/>
  <c r="M1314" i="11"/>
  <c r="L1314" i="31"/>
  <c r="M1314" s="1"/>
  <c r="L1314" i="30"/>
  <c r="M1314" s="1"/>
  <c r="L1314" i="29"/>
  <c r="M1314" s="1"/>
  <c r="M1072" i="11"/>
  <c r="L1072" i="31"/>
  <c r="M1072" s="1"/>
  <c r="L1072" i="30"/>
  <c r="M1072" s="1"/>
  <c r="L1072" i="29"/>
  <c r="M1072" s="1"/>
  <c r="M989" i="11"/>
  <c r="L989" i="31"/>
  <c r="M989" s="1"/>
  <c r="L989" i="29"/>
  <c r="M989" s="1"/>
  <c r="L989" i="30"/>
  <c r="M989" s="1"/>
  <c r="M1387" i="11"/>
  <c r="L1387" i="31"/>
  <c r="M1387" s="1"/>
  <c r="L1387" i="30"/>
  <c r="M1387" s="1"/>
  <c r="L1387" i="29"/>
  <c r="M1387" s="1"/>
  <c r="M1330" i="11"/>
  <c r="L1330" i="31"/>
  <c r="M1330" s="1"/>
  <c r="L1330" i="30"/>
  <c r="M1330" s="1"/>
  <c r="L1330" i="29"/>
  <c r="M1330" s="1"/>
  <c r="M1121" i="11"/>
  <c r="L1121" i="31"/>
  <c r="M1121" s="1"/>
  <c r="L1121" i="30"/>
  <c r="M1121" s="1"/>
  <c r="L1121" i="29"/>
  <c r="M1121" s="1"/>
  <c r="M1139" i="11"/>
  <c r="L1139" i="31"/>
  <c r="M1139" s="1"/>
  <c r="L1139" i="30"/>
  <c r="M1139" s="1"/>
  <c r="L1139" i="29"/>
  <c r="M1139" s="1"/>
  <c r="M1359" i="11"/>
  <c r="L1359" i="31"/>
  <c r="M1359" s="1"/>
  <c r="L1359" i="30"/>
  <c r="M1359" s="1"/>
  <c r="L1359" i="29"/>
  <c r="M1359" s="1"/>
  <c r="M1174" i="11"/>
  <c r="L1174" i="31"/>
  <c r="M1174" s="1"/>
  <c r="L1174" i="30"/>
  <c r="M1174" s="1"/>
  <c r="L1174" i="29"/>
  <c r="M1174" s="1"/>
  <c r="M1196" i="11"/>
  <c r="L1196" i="31"/>
  <c r="M1196" s="1"/>
  <c r="L1196" i="29"/>
  <c r="M1196" s="1"/>
  <c r="L1196" i="30"/>
  <c r="M1196" s="1"/>
  <c r="M1207" i="11"/>
  <c r="L1207" i="31"/>
  <c r="M1207" s="1"/>
  <c r="L1207" i="30"/>
  <c r="M1207" s="1"/>
  <c r="L1207" i="29"/>
  <c r="M1207" s="1"/>
  <c r="M869" i="11"/>
  <c r="L869" i="31"/>
  <c r="M869" s="1"/>
  <c r="L869" i="30"/>
  <c r="M869" s="1"/>
  <c r="L869" i="29"/>
  <c r="M869" s="1"/>
  <c r="O869" i="11"/>
  <c r="N869" i="31"/>
  <c r="O869" s="1"/>
  <c r="N869" i="30"/>
  <c r="O869" s="1"/>
  <c r="N869" i="29"/>
  <c r="O869" s="1"/>
  <c r="M1200" i="11"/>
  <c r="L1200" i="31"/>
  <c r="M1200" s="1"/>
  <c r="L1200" i="30"/>
  <c r="M1200" s="1"/>
  <c r="L1200" i="29"/>
  <c r="M1200" s="1"/>
  <c r="M1164" i="11"/>
  <c r="L1164" i="31"/>
  <c r="M1164" s="1"/>
  <c r="L1164" i="30"/>
  <c r="M1164" s="1"/>
  <c r="L1164" i="29"/>
  <c r="M1164" s="1"/>
  <c r="M1214" i="11"/>
  <c r="L1214" i="31"/>
  <c r="M1214" s="1"/>
  <c r="L1214" i="30"/>
  <c r="M1214" s="1"/>
  <c r="L1214" i="29"/>
  <c r="M1214" s="1"/>
  <c r="M1250" i="11"/>
  <c r="L1250" i="31"/>
  <c r="M1250" s="1"/>
  <c r="L1250" i="30"/>
  <c r="M1250" s="1"/>
  <c r="L1250" i="29"/>
  <c r="M1250" s="1"/>
  <c r="M1308" i="11"/>
  <c r="L1308" i="31"/>
  <c r="M1308" s="1"/>
  <c r="L1308" i="30"/>
  <c r="M1308" s="1"/>
  <c r="L1308" i="29"/>
  <c r="M1308" s="1"/>
  <c r="M935" i="11"/>
  <c r="L935" i="31"/>
  <c r="M935" s="1"/>
  <c r="L935" i="30"/>
  <c r="M935" s="1"/>
  <c r="L935" i="29"/>
  <c r="M935" s="1"/>
  <c r="M1228" i="11"/>
  <c r="L1228" i="31"/>
  <c r="M1228" s="1"/>
  <c r="L1228" i="30"/>
  <c r="M1228" s="1"/>
  <c r="L1228" i="29"/>
  <c r="M1228" s="1"/>
  <c r="M1127" i="11"/>
  <c r="L1127" i="31"/>
  <c r="M1127" s="1"/>
  <c r="L1127" i="30"/>
  <c r="M1127" s="1"/>
  <c r="L1127" i="29"/>
  <c r="M1127" s="1"/>
  <c r="M1161" i="11"/>
  <c r="L1161" i="31"/>
  <c r="M1161" s="1"/>
  <c r="L1161" i="30"/>
  <c r="M1161" s="1"/>
  <c r="L1161" i="29"/>
  <c r="M1161" s="1"/>
  <c r="K864" i="11"/>
  <c r="J864" i="31"/>
  <c r="K864" s="1"/>
  <c r="J864" i="30"/>
  <c r="K864" s="1"/>
  <c r="J864" i="29"/>
  <c r="K864" s="1"/>
  <c r="M1283" i="11"/>
  <c r="L1283" i="31"/>
  <c r="M1283" s="1"/>
  <c r="L1283" i="30"/>
  <c r="M1283" s="1"/>
  <c r="L1283" i="29"/>
  <c r="M1283" s="1"/>
  <c r="M1029" i="11"/>
  <c r="L1029" i="31"/>
  <c r="M1029" s="1"/>
  <c r="L1029" i="30"/>
  <c r="M1029" s="1"/>
  <c r="L1029" i="29"/>
  <c r="M1029" s="1"/>
  <c r="L1101" i="31"/>
  <c r="M1101" s="1"/>
  <c r="L1101" i="30"/>
  <c r="M1101" s="1"/>
  <c r="L1101" i="29"/>
  <c r="M1101" s="1"/>
  <c r="K879" i="11"/>
  <c r="J879" i="31"/>
  <c r="K879" s="1"/>
  <c r="J879" i="30"/>
  <c r="K879" s="1"/>
  <c r="J879" i="29"/>
  <c r="K879" s="1"/>
  <c r="M1081" i="11"/>
  <c r="L1081" i="31"/>
  <c r="M1081" s="1"/>
  <c r="L1081" i="30"/>
  <c r="M1081" s="1"/>
  <c r="L1081" i="29"/>
  <c r="M1081" s="1"/>
  <c r="M1153" i="11"/>
  <c r="L1153" i="31"/>
  <c r="M1153" s="1"/>
  <c r="L1153" i="30"/>
  <c r="M1153" s="1"/>
  <c r="L1153" i="29"/>
  <c r="M1153" s="1"/>
  <c r="M1384" i="11"/>
  <c r="L1384" i="31"/>
  <c r="M1384" s="1"/>
  <c r="L1384" i="30"/>
  <c r="M1384" s="1"/>
  <c r="L1384" i="29"/>
  <c r="M1384" s="1"/>
  <c r="O874" i="11"/>
  <c r="N874" i="31"/>
  <c r="O874" s="1"/>
  <c r="N874" i="29"/>
  <c r="O874" s="1"/>
  <c r="N874" i="30"/>
  <c r="O874" s="1"/>
  <c r="K874" i="11"/>
  <c r="J874" i="31"/>
  <c r="K874" s="1"/>
  <c r="J874" i="30"/>
  <c r="K874" s="1"/>
  <c r="J874" i="29"/>
  <c r="K874" s="1"/>
  <c r="M1329" i="11"/>
  <c r="L1329" i="31"/>
  <c r="M1329" s="1"/>
  <c r="L1329" i="30"/>
  <c r="M1329" s="1"/>
  <c r="L1329" i="29"/>
  <c r="M1329" s="1"/>
  <c r="M1114" i="11"/>
  <c r="L1114" i="31"/>
  <c r="M1114" s="1"/>
  <c r="L1114" i="30"/>
  <c r="M1114" s="1"/>
  <c r="L1114" i="29"/>
  <c r="M1114" s="1"/>
  <c r="O977" i="11"/>
  <c r="N977" i="31"/>
  <c r="O977" s="1"/>
  <c r="N977" i="30"/>
  <c r="O977" s="1"/>
  <c r="N977" i="29"/>
  <c r="O977" s="1"/>
  <c r="M1234" i="11"/>
  <c r="L1234" i="31"/>
  <c r="M1234" s="1"/>
  <c r="L1234" i="30"/>
  <c r="M1234" s="1"/>
  <c r="L1234" i="29"/>
  <c r="M1234" s="1"/>
  <c r="K977" i="11"/>
  <c r="J977" i="31"/>
  <c r="K977" s="1"/>
  <c r="J977" i="30"/>
  <c r="K977" s="1"/>
  <c r="J977" i="29"/>
  <c r="K977" s="1"/>
  <c r="M1333" i="11"/>
  <c r="L1333" i="31"/>
  <c r="M1333" s="1"/>
  <c r="L1333" i="30"/>
  <c r="M1333" s="1"/>
  <c r="L1333" i="29"/>
  <c r="M1333" s="1"/>
  <c r="M917" i="11"/>
  <c r="L917" i="31"/>
  <c r="M917" s="1"/>
  <c r="L917" i="30"/>
  <c r="M917" s="1"/>
  <c r="L917" i="29"/>
  <c r="M917" s="1"/>
  <c r="M1279" i="11"/>
  <c r="L1279" i="31"/>
  <c r="M1279" s="1"/>
  <c r="L1279" i="30"/>
  <c r="M1279" s="1"/>
  <c r="L1279" i="29"/>
  <c r="M1279" s="1"/>
  <c r="M874" i="11"/>
  <c r="L874" i="31"/>
  <c r="M874" s="1"/>
  <c r="L874" i="29"/>
  <c r="M874" s="1"/>
  <c r="L874" i="30"/>
  <c r="M874" s="1"/>
  <c r="M1341" i="11"/>
  <c r="L1341" i="31"/>
  <c r="M1341" s="1"/>
  <c r="L1341" i="30"/>
  <c r="M1341" s="1"/>
  <c r="L1341" i="29"/>
  <c r="M1341" s="1"/>
  <c r="M963" i="11"/>
  <c r="L963" i="31"/>
  <c r="M963" s="1"/>
  <c r="L963" i="30"/>
  <c r="M963" s="1"/>
  <c r="L963" i="29"/>
  <c r="M963" s="1"/>
  <c r="M1167" i="11"/>
  <c r="L1167" i="31"/>
  <c r="M1167" s="1"/>
  <c r="L1167" i="30"/>
  <c r="M1167" s="1"/>
  <c r="L1167" i="29"/>
  <c r="M1167" s="1"/>
  <c r="M1322" i="11"/>
  <c r="L1322" i="31"/>
  <c r="M1322" s="1"/>
  <c r="L1322" i="30"/>
  <c r="M1322" s="1"/>
  <c r="L1322" i="29"/>
  <c r="M1322" s="1"/>
  <c r="M1145" i="11"/>
  <c r="L1145" i="31"/>
  <c r="M1145" s="1"/>
  <c r="L1145" i="30"/>
  <c r="M1145" s="1"/>
  <c r="L1145" i="29"/>
  <c r="M1145" s="1"/>
  <c r="M977" i="11"/>
  <c r="L977" i="31"/>
  <c r="M977" s="1"/>
  <c r="L977" i="30"/>
  <c r="M977" s="1"/>
  <c r="L977" i="29"/>
  <c r="M977" s="1"/>
  <c r="M864" i="11"/>
  <c r="L864" i="31"/>
  <c r="M864" s="1"/>
  <c r="L864" i="30"/>
  <c r="M864" s="1"/>
  <c r="L864" i="29"/>
  <c r="M864" s="1"/>
  <c r="M1101" i="11"/>
  <c r="M1378"/>
  <c r="L1378" i="31"/>
  <c r="M1378" s="1"/>
  <c r="L1378" i="30"/>
  <c r="M1378" s="1"/>
  <c r="L1378" i="29"/>
  <c r="M1378" s="1"/>
  <c r="M929" i="11"/>
  <c r="L929" i="31"/>
  <c r="M929" s="1"/>
  <c r="L929" i="30"/>
  <c r="M929" s="1"/>
  <c r="L929" i="29"/>
  <c r="M929" s="1"/>
  <c r="M1290" i="11"/>
  <c r="L1290" i="31"/>
  <c r="M1290" s="1"/>
  <c r="L1290" i="30"/>
  <c r="M1290" s="1"/>
  <c r="L1290" i="29"/>
  <c r="M1290" s="1"/>
  <c r="M938" i="11"/>
  <c r="L938" i="31"/>
  <c r="M938" s="1"/>
  <c r="L938" i="30"/>
  <c r="M938" s="1"/>
  <c r="L938" i="29"/>
  <c r="M938" s="1"/>
  <c r="M1362" i="11"/>
  <c r="L1362" i="31"/>
  <c r="M1362" s="1"/>
  <c r="L1362" i="30"/>
  <c r="M1362" s="1"/>
  <c r="L1362" i="29"/>
  <c r="M1362" s="1"/>
  <c r="M1043" i="11"/>
  <c r="L1043" i="31"/>
  <c r="M1043" s="1"/>
  <c r="L1043" i="30"/>
  <c r="M1043" s="1"/>
  <c r="L1043" i="29"/>
  <c r="M1043" s="1"/>
  <c r="M1344" i="11"/>
  <c r="L1344" i="31"/>
  <c r="M1344" s="1"/>
  <c r="L1344" i="30"/>
  <c r="M1344" s="1"/>
  <c r="L1344" i="29"/>
  <c r="M1344" s="1"/>
  <c r="H1307" i="11"/>
  <c r="H1022"/>
  <c r="H1383"/>
  <c r="H1071"/>
  <c r="H1243"/>
  <c r="I527"/>
  <c r="H1377"/>
  <c r="H527"/>
  <c r="H1173"/>
  <c r="H1328"/>
  <c r="H1047"/>
  <c r="H1233"/>
  <c r="H1393"/>
  <c r="H1028"/>
  <c r="H962"/>
  <c r="H1160"/>
  <c r="H1256"/>
  <c r="H1080"/>
  <c r="H1295"/>
  <c r="H972"/>
  <c r="H1321"/>
  <c r="H1340"/>
  <c r="H1138"/>
  <c r="H1221"/>
  <c r="H1042"/>
  <c r="H955"/>
  <c r="H1235"/>
  <c r="H1126"/>
  <c r="H1213"/>
  <c r="H1369"/>
  <c r="H1152"/>
  <c r="H1358"/>
  <c r="H988"/>
  <c r="H1186"/>
  <c r="H1269"/>
  <c r="H1100"/>
  <c r="K542"/>
  <c r="O542"/>
  <c r="M542"/>
  <c r="M1160" l="1"/>
  <c r="L1160" i="31"/>
  <c r="M1160" s="1"/>
  <c r="L1160" i="30"/>
  <c r="M1160" s="1"/>
  <c r="L1160" i="29"/>
  <c r="M1160" s="1"/>
  <c r="M1138" i="11"/>
  <c r="L1138" i="31"/>
  <c r="M1138" s="1"/>
  <c r="L1138" i="30"/>
  <c r="M1138" s="1"/>
  <c r="L1138" i="29"/>
  <c r="M1138" s="1"/>
  <c r="M962" i="11"/>
  <c r="L962" i="31"/>
  <c r="M962" s="1"/>
  <c r="L962" i="30"/>
  <c r="M962" s="1"/>
  <c r="L962" i="29"/>
  <c r="M962" s="1"/>
  <c r="M1377" i="11"/>
  <c r="L1377" i="31"/>
  <c r="M1377" s="1"/>
  <c r="L1377" i="30"/>
  <c r="M1377" s="1"/>
  <c r="L1377" i="29"/>
  <c r="M1377" s="1"/>
  <c r="M1369" i="11"/>
  <c r="L1369" i="31"/>
  <c r="M1369" s="1"/>
  <c r="L1369" i="30"/>
  <c r="M1369" s="1"/>
  <c r="L1369" i="29"/>
  <c r="M1369" s="1"/>
  <c r="M1340" i="11"/>
  <c r="L1340" i="31"/>
  <c r="M1340" s="1"/>
  <c r="L1340" i="30"/>
  <c r="M1340" s="1"/>
  <c r="L1340" i="29"/>
  <c r="M1340" s="1"/>
  <c r="M1028" i="11"/>
  <c r="L1028" i="31"/>
  <c r="M1028" s="1"/>
  <c r="L1028" i="30"/>
  <c r="M1028" s="1"/>
  <c r="L1028" i="29"/>
  <c r="M1028" s="1"/>
  <c r="O527" i="11"/>
  <c r="N527" i="31"/>
  <c r="O527" s="1"/>
  <c r="N527" i="30"/>
  <c r="O527" s="1"/>
  <c r="N527" i="29"/>
  <c r="O527" s="1"/>
  <c r="M527" i="11"/>
  <c r="L527" i="31"/>
  <c r="M527" s="1"/>
  <c r="L527" i="30"/>
  <c r="M527" s="1"/>
  <c r="L527" i="29"/>
  <c r="M527" s="1"/>
  <c r="M1243" i="11"/>
  <c r="L1243" i="31"/>
  <c r="M1243" s="1"/>
  <c r="L1243" i="30"/>
  <c r="M1243" s="1"/>
  <c r="L1243" i="29"/>
  <c r="M1243" s="1"/>
  <c r="M1100" i="11"/>
  <c r="L1100" i="31"/>
  <c r="M1100" s="1"/>
  <c r="L1100" i="30"/>
  <c r="M1100" s="1"/>
  <c r="L1100" i="29"/>
  <c r="M1100" s="1"/>
  <c r="M1233" i="11"/>
  <c r="L1233" i="31"/>
  <c r="M1233" s="1"/>
  <c r="L1233" i="30"/>
  <c r="M1233" s="1"/>
  <c r="L1233" i="29"/>
  <c r="M1233" s="1"/>
  <c r="M1269" i="11"/>
  <c r="L1269" i="31"/>
  <c r="M1269" s="1"/>
  <c r="L1269" i="30"/>
  <c r="M1269" s="1"/>
  <c r="L1269" i="29"/>
  <c r="M1269" s="1"/>
  <c r="M1235" i="11"/>
  <c r="L1235" i="31"/>
  <c r="M1235" s="1"/>
  <c r="L1235" i="30"/>
  <c r="M1235" s="1"/>
  <c r="L1235" i="29"/>
  <c r="M1235" s="1"/>
  <c r="M1295" i="11"/>
  <c r="L1295" i="31"/>
  <c r="M1295" s="1"/>
  <c r="L1295" i="30"/>
  <c r="M1295" s="1"/>
  <c r="L1295" i="29"/>
  <c r="M1295" s="1"/>
  <c r="M1047" i="11"/>
  <c r="L1047" i="31"/>
  <c r="M1047" s="1"/>
  <c r="L1047" i="30"/>
  <c r="M1047" s="1"/>
  <c r="L1047" i="29"/>
  <c r="M1047" s="1"/>
  <c r="M1383" i="11"/>
  <c r="L1383" i="31"/>
  <c r="M1383" s="1"/>
  <c r="L1383" i="30"/>
  <c r="M1383" s="1"/>
  <c r="L1383" i="29"/>
  <c r="M1383" s="1"/>
  <c r="M1221" i="11"/>
  <c r="L1221" i="31"/>
  <c r="M1221" s="1"/>
  <c r="L1221" i="30"/>
  <c r="M1221" s="1"/>
  <c r="L1221" i="29"/>
  <c r="M1221" s="1"/>
  <c r="M1393" i="11"/>
  <c r="L1393" i="31"/>
  <c r="M1393" s="1"/>
  <c r="L1393" i="30"/>
  <c r="M1393" s="1"/>
  <c r="L1393" i="29"/>
  <c r="M1393" s="1"/>
  <c r="M972" i="11"/>
  <c r="L972" i="31"/>
  <c r="M972" s="1"/>
  <c r="L972" i="29"/>
  <c r="M972" s="1"/>
  <c r="L972" i="30"/>
  <c r="M972" s="1"/>
  <c r="M955" i="11"/>
  <c r="L955" i="31"/>
  <c r="M955" s="1"/>
  <c r="L955" i="30"/>
  <c r="M955" s="1"/>
  <c r="L955" i="29"/>
  <c r="M955" s="1"/>
  <c r="M1328" i="11"/>
  <c r="L1328" i="31"/>
  <c r="M1328" s="1"/>
  <c r="L1328" i="30"/>
  <c r="M1328" s="1"/>
  <c r="L1328" i="29"/>
  <c r="M1328" s="1"/>
  <c r="L1022" i="31"/>
  <c r="M1022" s="1"/>
  <c r="L1022" i="30"/>
  <c r="M1022" s="1"/>
  <c r="L1022" i="29"/>
  <c r="M1022" s="1"/>
  <c r="M1358" i="11"/>
  <c r="L1358" i="31"/>
  <c r="M1358" s="1"/>
  <c r="L1358" i="30"/>
  <c r="M1358" s="1"/>
  <c r="L1358" i="29"/>
  <c r="M1358" s="1"/>
  <c r="M1152" i="11"/>
  <c r="L1152" i="31"/>
  <c r="M1152" s="1"/>
  <c r="L1152" i="30"/>
  <c r="M1152" s="1"/>
  <c r="L1152" i="29"/>
  <c r="M1152" s="1"/>
  <c r="M1213" i="11"/>
  <c r="L1213" i="31"/>
  <c r="M1213" s="1"/>
  <c r="L1213" i="30"/>
  <c r="M1213" s="1"/>
  <c r="L1213" i="29"/>
  <c r="M1213" s="1"/>
  <c r="M1321" i="11"/>
  <c r="L1321" i="31"/>
  <c r="M1321" s="1"/>
  <c r="L1321" i="30"/>
  <c r="M1321" s="1"/>
  <c r="L1321" i="29"/>
  <c r="M1321" s="1"/>
  <c r="M1126" i="11"/>
  <c r="L1126" i="31"/>
  <c r="M1126" s="1"/>
  <c r="L1126" i="30"/>
  <c r="M1126" s="1"/>
  <c r="L1126" i="29"/>
  <c r="M1126" s="1"/>
  <c r="M1071" i="11"/>
  <c r="L1071" i="31"/>
  <c r="M1071" s="1"/>
  <c r="L1071" i="30"/>
  <c r="M1071" s="1"/>
  <c r="L1071" i="29"/>
  <c r="M1071" s="1"/>
  <c r="M1186" i="11"/>
  <c r="L1186" i="31"/>
  <c r="M1186" s="1"/>
  <c r="L1186" i="29"/>
  <c r="M1186" s="1"/>
  <c r="L1186" i="30"/>
  <c r="M1186" s="1"/>
  <c r="M1080" i="11"/>
  <c r="L1080" i="31"/>
  <c r="M1080" s="1"/>
  <c r="L1080" i="30"/>
  <c r="M1080" s="1"/>
  <c r="L1080" i="29"/>
  <c r="M1080" s="1"/>
  <c r="M988" i="11"/>
  <c r="L988" i="31"/>
  <c r="M988" s="1"/>
  <c r="L988" i="30"/>
  <c r="M988" s="1"/>
  <c r="L988" i="29"/>
  <c r="M988" s="1"/>
  <c r="M1042" i="11"/>
  <c r="L1042" i="31"/>
  <c r="M1042" s="1"/>
  <c r="L1042" i="30"/>
  <c r="M1042" s="1"/>
  <c r="L1042" i="29"/>
  <c r="M1042" s="1"/>
  <c r="M1256" i="11"/>
  <c r="L1256" i="31"/>
  <c r="M1256" s="1"/>
  <c r="L1256" i="30"/>
  <c r="M1256" s="1"/>
  <c r="L1256" i="29"/>
  <c r="M1256" s="1"/>
  <c r="M1173" i="11"/>
  <c r="L1173" i="31"/>
  <c r="M1173" s="1"/>
  <c r="L1173" i="30"/>
  <c r="M1173" s="1"/>
  <c r="L1173" i="29"/>
  <c r="M1173" s="1"/>
  <c r="M1307" i="11"/>
  <c r="L1307" i="31"/>
  <c r="M1307" s="1"/>
  <c r="L1307" i="30"/>
  <c r="M1307" s="1"/>
  <c r="L1307" i="29"/>
  <c r="M1307" s="1"/>
  <c r="H1021" i="11"/>
  <c r="M1022"/>
  <c r="H1306"/>
  <c r="H1242"/>
  <c r="H1070"/>
  <c r="H1382"/>
  <c r="G541"/>
  <c r="H1357"/>
  <c r="H1041"/>
  <c r="H1392"/>
  <c r="H526"/>
  <c r="H1151"/>
  <c r="H1212"/>
  <c r="H1339"/>
  <c r="H1079"/>
  <c r="H961"/>
  <c r="H1327"/>
  <c r="H1137"/>
  <c r="H1320"/>
  <c r="H1294"/>
  <c r="H1255"/>
  <c r="H1159"/>
  <c r="H1027"/>
  <c r="H1232"/>
  <c r="H1172"/>
  <c r="H1376"/>
  <c r="H1268"/>
  <c r="H971"/>
  <c r="I526"/>
  <c r="I541"/>
  <c r="H541"/>
  <c r="H1099"/>
  <c r="H1185"/>
  <c r="H1368"/>
  <c r="H1125"/>
  <c r="H1220"/>
  <c r="G527"/>
  <c r="M1172" l="1"/>
  <c r="L1172" i="31"/>
  <c r="M1172" s="1"/>
  <c r="L1172" i="30"/>
  <c r="M1172" s="1"/>
  <c r="L1172" i="29"/>
  <c r="M1172" s="1"/>
  <c r="M541" i="11"/>
  <c r="L541" i="31"/>
  <c r="M541" s="1"/>
  <c r="L541" i="30"/>
  <c r="M541" s="1"/>
  <c r="L541" i="29"/>
  <c r="M541" s="1"/>
  <c r="M1027" i="11"/>
  <c r="L1027" i="31"/>
  <c r="M1027" s="1"/>
  <c r="L1027" i="30"/>
  <c r="M1027" s="1"/>
  <c r="L1027" i="29"/>
  <c r="M1027" s="1"/>
  <c r="M1079" i="11"/>
  <c r="L1079" i="31"/>
  <c r="M1079" s="1"/>
  <c r="L1079" i="30"/>
  <c r="M1079" s="1"/>
  <c r="L1079" i="29"/>
  <c r="M1079" s="1"/>
  <c r="K541" i="11"/>
  <c r="J541" i="31"/>
  <c r="K541" s="1"/>
  <c r="J541" i="29"/>
  <c r="K541" s="1"/>
  <c r="J541" i="30"/>
  <c r="K541" s="1"/>
  <c r="M1327" i="11"/>
  <c r="L1327" i="31"/>
  <c r="M1327" s="1"/>
  <c r="L1327" i="30"/>
  <c r="M1327" s="1"/>
  <c r="L1327" i="29"/>
  <c r="M1327" s="1"/>
  <c r="M961" i="11"/>
  <c r="L961" i="31"/>
  <c r="M961" s="1"/>
  <c r="L961" i="30"/>
  <c r="M961" s="1"/>
  <c r="L961" i="29"/>
  <c r="M961" s="1"/>
  <c r="O541" i="11"/>
  <c r="N541" i="31"/>
  <c r="O541" s="1"/>
  <c r="N541" i="30"/>
  <c r="O541" s="1"/>
  <c r="N541" i="29"/>
  <c r="O541" s="1"/>
  <c r="M1382" i="11"/>
  <c r="L1382" i="31"/>
  <c r="M1382" s="1"/>
  <c r="L1382" i="30"/>
  <c r="M1382" s="1"/>
  <c r="L1382" i="29"/>
  <c r="M1382" s="1"/>
  <c r="O526" i="11"/>
  <c r="N526" i="31"/>
  <c r="O526" s="1"/>
  <c r="N526" i="30"/>
  <c r="O526" s="1"/>
  <c r="N526" i="29"/>
  <c r="O526" s="1"/>
  <c r="M1070" i="11"/>
  <c r="L1070" i="31"/>
  <c r="M1070" s="1"/>
  <c r="L1070" i="30"/>
  <c r="M1070" s="1"/>
  <c r="L1070" i="29"/>
  <c r="M1070" s="1"/>
  <c r="M1294" i="11"/>
  <c r="L1294" i="31"/>
  <c r="M1294" s="1"/>
  <c r="L1294" i="30"/>
  <c r="M1294" s="1"/>
  <c r="L1294" i="29"/>
  <c r="M1294" s="1"/>
  <c r="L1242" i="31"/>
  <c r="M1242" s="1"/>
  <c r="L1242" i="30"/>
  <c r="M1242" s="1"/>
  <c r="L1242" i="29"/>
  <c r="M1242" s="1"/>
  <c r="M1041" i="11"/>
  <c r="L1041" i="31"/>
  <c r="M1041" s="1"/>
  <c r="L1041" i="30"/>
  <c r="M1041" s="1"/>
  <c r="L1041" i="29"/>
  <c r="M1041" s="1"/>
  <c r="M1232" i="11"/>
  <c r="L1232" i="31"/>
  <c r="M1232" s="1"/>
  <c r="L1232" i="30"/>
  <c r="M1232" s="1"/>
  <c r="L1232" i="29"/>
  <c r="M1232" s="1"/>
  <c r="K527" i="11"/>
  <c r="J527" i="31"/>
  <c r="K527" s="1"/>
  <c r="J527" i="30"/>
  <c r="K527" s="1"/>
  <c r="J527" i="29"/>
  <c r="K527" s="1"/>
  <c r="M1255" i="11"/>
  <c r="L1255" i="31"/>
  <c r="M1255" s="1"/>
  <c r="L1255" i="30"/>
  <c r="M1255" s="1"/>
  <c r="L1255" i="29"/>
  <c r="M1255" s="1"/>
  <c r="M1220" i="11"/>
  <c r="L1220" i="31"/>
  <c r="M1220" s="1"/>
  <c r="L1220" i="30"/>
  <c r="M1220" s="1"/>
  <c r="L1220" i="29"/>
  <c r="M1220" s="1"/>
  <c r="M1125" i="11"/>
  <c r="L1125" i="31"/>
  <c r="M1125" s="1"/>
  <c r="L1125" i="29"/>
  <c r="M1125" s="1"/>
  <c r="L1125" i="30"/>
  <c r="M1125" s="1"/>
  <c r="M1268" i="11"/>
  <c r="L1268" i="31"/>
  <c r="M1268" s="1"/>
  <c r="L1268" i="30"/>
  <c r="M1268" s="1"/>
  <c r="L1268" i="29"/>
  <c r="M1268" s="1"/>
  <c r="M1320" i="11"/>
  <c r="L1320" i="31"/>
  <c r="M1320" s="1"/>
  <c r="L1320" i="30"/>
  <c r="M1320" s="1"/>
  <c r="L1320" i="29"/>
  <c r="M1320" s="1"/>
  <c r="M526" i="11"/>
  <c r="L526" i="31"/>
  <c r="M526" s="1"/>
  <c r="L526" i="30"/>
  <c r="M526" s="1"/>
  <c r="L526" i="29"/>
  <c r="M526" s="1"/>
  <c r="L1306" i="31"/>
  <c r="M1306" s="1"/>
  <c r="L1306" i="30"/>
  <c r="M1306" s="1"/>
  <c r="L1306" i="29"/>
  <c r="M1306" s="1"/>
  <c r="M1185" i="11"/>
  <c r="L1185" i="31"/>
  <c r="M1185" s="1"/>
  <c r="L1185" i="30"/>
  <c r="M1185" s="1"/>
  <c r="L1185" i="29"/>
  <c r="M1185" s="1"/>
  <c r="M1021" i="11"/>
  <c r="L1021" i="31"/>
  <c r="M1021" s="1"/>
  <c r="L1021" i="30"/>
  <c r="M1021" s="1"/>
  <c r="L1021" i="29"/>
  <c r="M1021" s="1"/>
  <c r="M1099" i="11"/>
  <c r="L1099" i="31"/>
  <c r="M1099" s="1"/>
  <c r="L1099" i="30"/>
  <c r="M1099" s="1"/>
  <c r="L1099" i="29"/>
  <c r="M1099" s="1"/>
  <c r="M1357" i="11"/>
  <c r="L1357" i="31"/>
  <c r="M1357" s="1"/>
  <c r="L1357" i="30"/>
  <c r="M1357" s="1"/>
  <c r="L1357" i="29"/>
  <c r="M1357" s="1"/>
  <c r="M1159" i="11"/>
  <c r="L1159" i="31"/>
  <c r="M1159" s="1"/>
  <c r="L1159" i="30"/>
  <c r="M1159" s="1"/>
  <c r="L1159" i="29"/>
  <c r="M1159" s="1"/>
  <c r="M1339" i="11"/>
  <c r="L1339" i="31"/>
  <c r="M1339" s="1"/>
  <c r="L1339" i="30"/>
  <c r="M1339" s="1"/>
  <c r="L1339" i="29"/>
  <c r="M1339" s="1"/>
  <c r="M1212" i="11"/>
  <c r="L1212" i="31"/>
  <c r="M1212" s="1"/>
  <c r="L1212" i="30"/>
  <c r="M1212" s="1"/>
  <c r="L1212" i="29"/>
  <c r="M1212" s="1"/>
  <c r="M971" i="11"/>
  <c r="L971" i="31"/>
  <c r="M971" s="1"/>
  <c r="L971" i="30"/>
  <c r="M971" s="1"/>
  <c r="L971" i="29"/>
  <c r="M971" s="1"/>
  <c r="M1151" i="11"/>
  <c r="L1151" i="31"/>
  <c r="M1151" s="1"/>
  <c r="L1151" i="30"/>
  <c r="M1151" s="1"/>
  <c r="L1151" i="29"/>
  <c r="M1151" s="1"/>
  <c r="M1368" i="11"/>
  <c r="L1368" i="31"/>
  <c r="M1368" s="1"/>
  <c r="L1368" i="30"/>
  <c r="M1368" s="1"/>
  <c r="L1368" i="29"/>
  <c r="M1368" s="1"/>
  <c r="M1376" i="11"/>
  <c r="L1376" i="31"/>
  <c r="M1376" s="1"/>
  <c r="L1376" i="30"/>
  <c r="M1376" s="1"/>
  <c r="L1376" i="29"/>
  <c r="M1376" s="1"/>
  <c r="M1137" i="11"/>
  <c r="L1137" i="31"/>
  <c r="M1137" s="1"/>
  <c r="L1137" i="30"/>
  <c r="M1137" s="1"/>
  <c r="L1137" i="29"/>
  <c r="M1137" s="1"/>
  <c r="M1392" i="11"/>
  <c r="L1392" i="31"/>
  <c r="M1392" s="1"/>
  <c r="L1392" i="29"/>
  <c r="M1392" s="1"/>
  <c r="L1392" i="30"/>
  <c r="M1392" s="1"/>
  <c r="H1069" i="11"/>
  <c r="H1305"/>
  <c r="M1306"/>
  <c r="H1241"/>
  <c r="M1242"/>
  <c r="H970"/>
  <c r="H1381"/>
  <c r="G526"/>
  <c r="H1124"/>
  <c r="H1184"/>
  <c r="H540"/>
  <c r="I525"/>
  <c r="H1267"/>
  <c r="H1171"/>
  <c r="H1254"/>
  <c r="H1319"/>
  <c r="H1326"/>
  <c r="H960"/>
  <c r="H1338"/>
  <c r="H1211"/>
  <c r="H525"/>
  <c r="H1040"/>
  <c r="G540"/>
  <c r="H1219"/>
  <c r="H1367"/>
  <c r="H1098"/>
  <c r="I540"/>
  <c r="H1375"/>
  <c r="H1158"/>
  <c r="H1293"/>
  <c r="H1136"/>
  <c r="H1150"/>
  <c r="H1391"/>
  <c r="H1350"/>
  <c r="H1020"/>
  <c r="K534"/>
  <c r="M534"/>
  <c r="O534"/>
  <c r="O520"/>
  <c r="O522"/>
  <c r="M522"/>
  <c r="K522"/>
  <c r="M520"/>
  <c r="O514"/>
  <c r="M514"/>
  <c r="K514"/>
  <c r="O509"/>
  <c r="M509"/>
  <c r="K509"/>
  <c r="O498"/>
  <c r="M498"/>
  <c r="K498"/>
  <c r="M494"/>
  <c r="O494"/>
  <c r="K494"/>
  <c r="M492"/>
  <c r="O492"/>
  <c r="K492"/>
  <c r="O490"/>
  <c r="M490"/>
  <c r="K490"/>
  <c r="M487"/>
  <c r="O487"/>
  <c r="K487"/>
  <c r="O484"/>
  <c r="M484"/>
  <c r="K484"/>
  <c r="O481"/>
  <c r="M481"/>
  <c r="O479"/>
  <c r="O476"/>
  <c r="M479"/>
  <c r="M476"/>
  <c r="K481"/>
  <c r="K479"/>
  <c r="K476"/>
  <c r="O469"/>
  <c r="M469"/>
  <c r="K469"/>
  <c r="O463"/>
  <c r="M463"/>
  <c r="O461"/>
  <c r="M461"/>
  <c r="K463"/>
  <c r="K461"/>
  <c r="K455"/>
  <c r="O452"/>
  <c r="M452"/>
  <c r="K452"/>
  <c r="O448"/>
  <c r="M448"/>
  <c r="K448"/>
  <c r="O446"/>
  <c r="M446"/>
  <c r="K446"/>
  <c r="K444"/>
  <c r="O441"/>
  <c r="M441"/>
  <c r="K441"/>
  <c r="O438"/>
  <c r="M438"/>
  <c r="K438"/>
  <c r="O811"/>
  <c r="M811"/>
  <c r="K811"/>
  <c r="O806"/>
  <c r="M806"/>
  <c r="K806"/>
  <c r="O802"/>
  <c r="M802"/>
  <c r="K802"/>
  <c r="O800"/>
  <c r="M800"/>
  <c r="K800"/>
  <c r="O797"/>
  <c r="M797"/>
  <c r="K797"/>
  <c r="O791"/>
  <c r="M791"/>
  <c r="K791"/>
  <c r="O785"/>
  <c r="M785"/>
  <c r="K785"/>
  <c r="K779"/>
  <c r="O775"/>
  <c r="M775"/>
  <c r="K775"/>
  <c r="O771"/>
  <c r="M771"/>
  <c r="K771"/>
  <c r="M767"/>
  <c r="O763"/>
  <c r="M763"/>
  <c r="K763"/>
  <c r="O761"/>
  <c r="M761"/>
  <c r="K761"/>
  <c r="O750"/>
  <c r="M750"/>
  <c r="K750"/>
  <c r="O746"/>
  <c r="O744"/>
  <c r="M746"/>
  <c r="M744"/>
  <c r="K746"/>
  <c r="K744"/>
  <c r="O739"/>
  <c r="O737"/>
  <c r="M739"/>
  <c r="M737"/>
  <c r="K739"/>
  <c r="K737"/>
  <c r="O729"/>
  <c r="M729"/>
  <c r="K729"/>
  <c r="O725"/>
  <c r="M725"/>
  <c r="K725"/>
  <c r="O721"/>
  <c r="M721"/>
  <c r="K721"/>
  <c r="O717"/>
  <c r="M717"/>
  <c r="K717"/>
  <c r="I712"/>
  <c r="I711"/>
  <c r="O709"/>
  <c r="H712"/>
  <c r="H711"/>
  <c r="M709"/>
  <c r="G712"/>
  <c r="G711"/>
  <c r="K709"/>
  <c r="O713"/>
  <c r="M713"/>
  <c r="K713"/>
  <c r="O705"/>
  <c r="M705"/>
  <c r="K705"/>
  <c r="O699"/>
  <c r="M699"/>
  <c r="K699"/>
  <c r="O692"/>
  <c r="M692"/>
  <c r="K692"/>
  <c r="O686"/>
  <c r="O684"/>
  <c r="M686"/>
  <c r="M684"/>
  <c r="K686"/>
  <c r="K684"/>
  <c r="H677"/>
  <c r="I677"/>
  <c r="K678"/>
  <c r="O674"/>
  <c r="M674"/>
  <c r="K674"/>
  <c r="O672"/>
  <c r="M672"/>
  <c r="K672"/>
  <c r="O668"/>
  <c r="M668"/>
  <c r="K668"/>
  <c r="O664"/>
  <c r="K664"/>
  <c r="O660"/>
  <c r="M660"/>
  <c r="O658"/>
  <c r="M658"/>
  <c r="K660"/>
  <c r="K658"/>
  <c r="O653"/>
  <c r="O651"/>
  <c r="M653"/>
  <c r="M651"/>
  <c r="K653"/>
  <c r="K651"/>
  <c r="O643"/>
  <c r="O641"/>
  <c r="I640"/>
  <c r="O638"/>
  <c r="M643"/>
  <c r="M641"/>
  <c r="H640"/>
  <c r="M638"/>
  <c r="K643"/>
  <c r="K641"/>
  <c r="G640"/>
  <c r="K638"/>
  <c r="O1345"/>
  <c r="K1345"/>
  <c r="O1342"/>
  <c r="K1342"/>
  <c r="O1334"/>
  <c r="K1334"/>
  <c r="O1331"/>
  <c r="K1331"/>
  <c r="O1323"/>
  <c r="K1323"/>
  <c r="G1142"/>
  <c r="I1142"/>
  <c r="K1312"/>
  <c r="I1311"/>
  <c r="O1309"/>
  <c r="K1309"/>
  <c r="O1315"/>
  <c r="K1315"/>
  <c r="O1291"/>
  <c r="K1291"/>
  <c r="O1288"/>
  <c r="O1284"/>
  <c r="K1288"/>
  <c r="K1284"/>
  <c r="O1280"/>
  <c r="K1280"/>
  <c r="O1276"/>
  <c r="K1276"/>
  <c r="O1274"/>
  <c r="K1274"/>
  <c r="O1271"/>
  <c r="K1271"/>
  <c r="O1251"/>
  <c r="K1251"/>
  <c r="O1237"/>
  <c r="K1237"/>
  <c r="I1225"/>
  <c r="K1226"/>
  <c r="O1223"/>
  <c r="K1223"/>
  <c r="O1229"/>
  <c r="K1229"/>
  <c r="O1215"/>
  <c r="K1215"/>
  <c r="O1208"/>
  <c r="K1208"/>
  <c r="O1205"/>
  <c r="O1201"/>
  <c r="K1205"/>
  <c r="K1201"/>
  <c r="O1197"/>
  <c r="K1197"/>
  <c r="O1193"/>
  <c r="K1193"/>
  <c r="O1191"/>
  <c r="K1191"/>
  <c r="O1188"/>
  <c r="K1188"/>
  <c r="O1111"/>
  <c r="K1111"/>
  <c r="K1179"/>
  <c r="K1176"/>
  <c r="O1168"/>
  <c r="K1168"/>
  <c r="O1165"/>
  <c r="K1165"/>
  <c r="O1162"/>
  <c r="K1162"/>
  <c r="O1154"/>
  <c r="K1154"/>
  <c r="O1140"/>
  <c r="K1140"/>
  <c r="O1146"/>
  <c r="O1122"/>
  <c r="K1122"/>
  <c r="O1119"/>
  <c r="O1115"/>
  <c r="K1119"/>
  <c r="K1115"/>
  <c r="O1105"/>
  <c r="O1102"/>
  <c r="K1105"/>
  <c r="K1102"/>
  <c r="O155"/>
  <c r="M155"/>
  <c r="K155"/>
  <c r="O153"/>
  <c r="M153"/>
  <c r="O149"/>
  <c r="M149"/>
  <c r="K149"/>
  <c r="O202"/>
  <c r="M202"/>
  <c r="K202"/>
  <c r="O200"/>
  <c r="M200"/>
  <c r="K200"/>
  <c r="O196"/>
  <c r="M196"/>
  <c r="K196"/>
  <c r="O272"/>
  <c r="M272"/>
  <c r="K272"/>
  <c r="O253"/>
  <c r="M253"/>
  <c r="K253"/>
  <c r="I245"/>
  <c r="H245"/>
  <c r="G245"/>
  <c r="O232"/>
  <c r="M232"/>
  <c r="K232"/>
  <c r="G238"/>
  <c r="O236"/>
  <c r="M236"/>
  <c r="K236"/>
  <c r="O227"/>
  <c r="M227"/>
  <c r="K227"/>
  <c r="O223"/>
  <c r="M223"/>
  <c r="K223"/>
  <c r="O218"/>
  <c r="M218"/>
  <c r="K218"/>
  <c r="O191"/>
  <c r="M191"/>
  <c r="K191"/>
  <c r="I186"/>
  <c r="H186"/>
  <c r="G186"/>
  <c r="I182"/>
  <c r="H182"/>
  <c r="G182"/>
  <c r="O180"/>
  <c r="M180"/>
  <c r="K180"/>
  <c r="I177"/>
  <c r="H177"/>
  <c r="G177"/>
  <c r="O175"/>
  <c r="M175"/>
  <c r="K175"/>
  <c r="O171"/>
  <c r="M171"/>
  <c r="K171"/>
  <c r="M1350" l="1"/>
  <c r="L1350" i="31"/>
  <c r="M1350" s="1"/>
  <c r="L1350" i="30"/>
  <c r="M1350" s="1"/>
  <c r="L1350" i="29"/>
  <c r="M1350" s="1"/>
  <c r="M960" i="11"/>
  <c r="L960" i="31"/>
  <c r="M960" s="1"/>
  <c r="L960" i="30"/>
  <c r="M960" s="1"/>
  <c r="L960" i="29"/>
  <c r="M960" s="1"/>
  <c r="M1305" i="11"/>
  <c r="L1305" i="31"/>
  <c r="M1305" s="1"/>
  <c r="L1305" i="30"/>
  <c r="M1305" s="1"/>
  <c r="L1305" i="29"/>
  <c r="M1305" s="1"/>
  <c r="K177" i="11"/>
  <c r="J177" i="31"/>
  <c r="J177" i="30"/>
  <c r="J177" i="29"/>
  <c r="O182" i="11"/>
  <c r="N182" i="31"/>
  <c r="N182" i="30"/>
  <c r="N182" i="29"/>
  <c r="I182" s="1"/>
  <c r="M245" i="11"/>
  <c r="L245" i="31"/>
  <c r="L245" i="29"/>
  <c r="L245" i="30"/>
  <c r="O1142" i="11"/>
  <c r="N1142" i="31"/>
  <c r="O1142" s="1"/>
  <c r="N1142" i="30"/>
  <c r="O1142" s="1"/>
  <c r="N1142" i="29"/>
  <c r="O1142" s="1"/>
  <c r="O677" i="11"/>
  <c r="N677" i="31"/>
  <c r="O677" s="1"/>
  <c r="N677" i="30"/>
  <c r="O677" s="1"/>
  <c r="N677" i="29"/>
  <c r="O677" s="1"/>
  <c r="M711" i="11"/>
  <c r="L711" i="31"/>
  <c r="L711" i="30"/>
  <c r="L711" i="29"/>
  <c r="H711" s="1"/>
  <c r="M711" s="1"/>
  <c r="M1391" i="11"/>
  <c r="L1391" i="31"/>
  <c r="M1391" s="1"/>
  <c r="L1391" i="30"/>
  <c r="M1391" s="1"/>
  <c r="L1391" i="29"/>
  <c r="M1391" s="1"/>
  <c r="M1367" i="11"/>
  <c r="L1367" i="31"/>
  <c r="M1367" s="1"/>
  <c r="L1367" i="30"/>
  <c r="M1367" s="1"/>
  <c r="L1367" i="29"/>
  <c r="M1367" s="1"/>
  <c r="M1326" i="11"/>
  <c r="L1326" i="31"/>
  <c r="M1326" s="1"/>
  <c r="L1326" i="30"/>
  <c r="M1326" s="1"/>
  <c r="L1326" i="29"/>
  <c r="M1326" s="1"/>
  <c r="M1124" i="11"/>
  <c r="L1124" i="31"/>
  <c r="M1124" s="1"/>
  <c r="L1124" i="30"/>
  <c r="M1124" s="1"/>
  <c r="L1124" i="29"/>
  <c r="M1124" s="1"/>
  <c r="M1069" i="11"/>
  <c r="L1069" i="31"/>
  <c r="M1069" s="1"/>
  <c r="L1069" i="30"/>
  <c r="M1069" s="1"/>
  <c r="L1069" i="29"/>
  <c r="M1069" s="1"/>
  <c r="M177" i="11"/>
  <c r="L177" i="31"/>
  <c r="L177" i="30"/>
  <c r="L177" i="29"/>
  <c r="K186" i="11"/>
  <c r="J186" i="31"/>
  <c r="J186" i="30"/>
  <c r="J186" i="29"/>
  <c r="O245" i="11"/>
  <c r="N245" i="31"/>
  <c r="N245" i="30"/>
  <c r="N245" i="29"/>
  <c r="K1142" i="11"/>
  <c r="J1142" i="31"/>
  <c r="K1142" s="1"/>
  <c r="J1142" i="30"/>
  <c r="K1142" s="1"/>
  <c r="J1142" i="29"/>
  <c r="K1142" s="1"/>
  <c r="L640" i="31"/>
  <c r="L640" i="30"/>
  <c r="L640" i="29"/>
  <c r="M677" i="11"/>
  <c r="L677" i="31"/>
  <c r="M677" s="1"/>
  <c r="L677" i="30"/>
  <c r="M677" s="1"/>
  <c r="L677" i="29"/>
  <c r="M677" s="1"/>
  <c r="M712" i="11"/>
  <c r="L712" i="31"/>
  <c r="H712" s="1"/>
  <c r="L712" i="30"/>
  <c r="L712" i="29"/>
  <c r="H712" s="1"/>
  <c r="M1150" i="11"/>
  <c r="L1150" i="31"/>
  <c r="M1150" s="1"/>
  <c r="L1150" i="30"/>
  <c r="M1150" s="1"/>
  <c r="L1150" i="29"/>
  <c r="M1150" s="1"/>
  <c r="M1219" i="11"/>
  <c r="L1219" i="31"/>
  <c r="M1219" s="1"/>
  <c r="L1219" i="30"/>
  <c r="M1219" s="1"/>
  <c r="L1219" i="29"/>
  <c r="M1219" s="1"/>
  <c r="M1319" i="11"/>
  <c r="L1319" i="31"/>
  <c r="M1319" s="1"/>
  <c r="L1319" i="30"/>
  <c r="M1319" s="1"/>
  <c r="L1319" i="29"/>
  <c r="M1319" s="1"/>
  <c r="K526" i="11"/>
  <c r="J526" i="31"/>
  <c r="K526" s="1"/>
  <c r="J526" i="30"/>
  <c r="K526" s="1"/>
  <c r="J526" i="29"/>
  <c r="K526" s="1"/>
  <c r="O177" i="11"/>
  <c r="N177" i="31"/>
  <c r="N177" i="30"/>
  <c r="N177" i="29"/>
  <c r="M1254" i="11"/>
  <c r="L1254" i="31"/>
  <c r="M1254" s="1"/>
  <c r="L1254" i="30"/>
  <c r="M1254" s="1"/>
  <c r="L1254" i="29"/>
  <c r="M1254" s="1"/>
  <c r="O711" i="11"/>
  <c r="N711" i="31"/>
  <c r="N711" i="30"/>
  <c r="N711" i="29"/>
  <c r="I711" s="1"/>
  <c r="O711" s="1"/>
  <c r="M970" i="11"/>
  <c r="L970" i="31"/>
  <c r="M970" s="1"/>
  <c r="L970" i="30"/>
  <c r="M970" s="1"/>
  <c r="L970" i="29"/>
  <c r="M970" s="1"/>
  <c r="O712" i="11"/>
  <c r="N712" i="31"/>
  <c r="N712" i="30"/>
  <c r="I712" s="1"/>
  <c r="O712" s="1"/>
  <c r="N712" i="29"/>
  <c r="L1158" i="31"/>
  <c r="M1158" s="1"/>
  <c r="L1158" i="30"/>
  <c r="M1158" s="1"/>
  <c r="L1158" i="29"/>
  <c r="M1158" s="1"/>
  <c r="M525" i="11"/>
  <c r="L525" i="31"/>
  <c r="M525" s="1"/>
  <c r="L525" i="30"/>
  <c r="M525" s="1"/>
  <c r="L525" i="29"/>
  <c r="M525" s="1"/>
  <c r="M1267" i="11"/>
  <c r="L1267" i="31"/>
  <c r="M1267" s="1"/>
  <c r="L1267" i="30"/>
  <c r="M1267" s="1"/>
  <c r="L1267" i="29"/>
  <c r="M1267" s="1"/>
  <c r="M1098" i="11"/>
  <c r="L1098" i="31"/>
  <c r="M1098" s="1"/>
  <c r="L1098" i="30"/>
  <c r="M1098" s="1"/>
  <c r="L1098" i="29"/>
  <c r="M1098" s="1"/>
  <c r="K540" i="11"/>
  <c r="J540" i="31"/>
  <c r="K540" s="1"/>
  <c r="J540" i="30"/>
  <c r="K540" s="1"/>
  <c r="J540" i="29"/>
  <c r="K540" s="1"/>
  <c r="M1381" i="11"/>
  <c r="L1381" i="31"/>
  <c r="M1381" s="1"/>
  <c r="L1381" i="30"/>
  <c r="M1381" s="1"/>
  <c r="L1381" i="29"/>
  <c r="M1381" s="1"/>
  <c r="O186" i="11"/>
  <c r="N186" i="31"/>
  <c r="N186" i="30"/>
  <c r="I186" s="1"/>
  <c r="N186" i="29"/>
  <c r="M1171" i="11"/>
  <c r="L1171" i="31"/>
  <c r="M1171" s="1"/>
  <c r="L1171" i="30"/>
  <c r="M1171" s="1"/>
  <c r="L1171" i="29"/>
  <c r="M1171" s="1"/>
  <c r="J640" i="31"/>
  <c r="J640" i="30"/>
  <c r="G640" s="1"/>
  <c r="J640" i="29"/>
  <c r="G640" s="1"/>
  <c r="N640" i="31"/>
  <c r="N640" i="30"/>
  <c r="N640" i="29"/>
  <c r="I640" s="1"/>
  <c r="K711" i="11"/>
  <c r="J711" i="31"/>
  <c r="J711" i="30"/>
  <c r="J711" i="29"/>
  <c r="G711" s="1"/>
  <c r="K711" s="1"/>
  <c r="M1375" i="11"/>
  <c r="L1375" i="31"/>
  <c r="M1375" s="1"/>
  <c r="L1375" i="30"/>
  <c r="M1375" s="1"/>
  <c r="L1375" i="29"/>
  <c r="M1375" s="1"/>
  <c r="M1211" i="11"/>
  <c r="L1211" i="31"/>
  <c r="M1211" s="1"/>
  <c r="L1211" i="30"/>
  <c r="M1211" s="1"/>
  <c r="L1211" i="29"/>
  <c r="M1211" s="1"/>
  <c r="O525" i="11"/>
  <c r="N525" i="31"/>
  <c r="O525" s="1"/>
  <c r="N525" i="30"/>
  <c r="O525" s="1"/>
  <c r="N525" i="29"/>
  <c r="O525" s="1"/>
  <c r="M1241" i="11"/>
  <c r="L1241" i="31"/>
  <c r="M1241" s="1"/>
  <c r="L1241" i="30"/>
  <c r="M1241" s="1"/>
  <c r="L1241" i="29"/>
  <c r="M1241" s="1"/>
  <c r="M182" i="11"/>
  <c r="L182" i="31"/>
  <c r="L182" i="30"/>
  <c r="L182" i="29"/>
  <c r="K245" i="11"/>
  <c r="J245" i="31"/>
  <c r="J245" i="30"/>
  <c r="J245" i="29"/>
  <c r="O1225" i="11"/>
  <c r="N1225" i="31"/>
  <c r="O1225" s="1"/>
  <c r="N1225" i="30"/>
  <c r="O1225" s="1"/>
  <c r="N1225" i="29"/>
  <c r="O1225" s="1"/>
  <c r="M1184" i="11"/>
  <c r="L1184" i="31"/>
  <c r="M1184" s="1"/>
  <c r="L1184" i="30"/>
  <c r="M1184" s="1"/>
  <c r="L1184" i="29"/>
  <c r="M1184" s="1"/>
  <c r="M186" i="11"/>
  <c r="L186" i="31"/>
  <c r="L186" i="30"/>
  <c r="L186" i="29"/>
  <c r="M1136" i="11"/>
  <c r="L1136" i="31"/>
  <c r="M1136" s="1"/>
  <c r="L1136" i="30"/>
  <c r="M1136" s="1"/>
  <c r="L1136" i="29"/>
  <c r="M1136" s="1"/>
  <c r="K238" i="11"/>
  <c r="J238" i="31"/>
  <c r="J238" i="29"/>
  <c r="J238" i="30"/>
  <c r="M1293" i="11"/>
  <c r="L1293" i="31"/>
  <c r="M1293" s="1"/>
  <c r="L1293" i="30"/>
  <c r="M1293" s="1"/>
  <c r="L1293" i="29"/>
  <c r="M1293" s="1"/>
  <c r="M1040" i="11"/>
  <c r="L1040" i="31"/>
  <c r="M1040" s="1"/>
  <c r="L1040" i="30"/>
  <c r="M1040" s="1"/>
  <c r="L1040" i="29"/>
  <c r="M1040" s="1"/>
  <c r="K182" i="11"/>
  <c r="J182" i="31"/>
  <c r="J182" i="30"/>
  <c r="J182" i="29"/>
  <c r="G182" s="1"/>
  <c r="O1311" i="11"/>
  <c r="N1311" i="31"/>
  <c r="O1311" s="1"/>
  <c r="N1311" i="30"/>
  <c r="O1311" s="1"/>
  <c r="N1311" i="29"/>
  <c r="O1311" s="1"/>
  <c r="K712" i="11"/>
  <c r="J712" i="31"/>
  <c r="J712" i="30"/>
  <c r="J712" i="29"/>
  <c r="G712" s="1"/>
  <c r="M1020" i="11"/>
  <c r="L1020" i="31"/>
  <c r="M1020" s="1"/>
  <c r="L1020" i="30"/>
  <c r="M1020" s="1"/>
  <c r="L1020" i="29"/>
  <c r="M1020" s="1"/>
  <c r="O540" i="11"/>
  <c r="N540" i="31"/>
  <c r="O540" s="1"/>
  <c r="N540" i="30"/>
  <c r="O540" s="1"/>
  <c r="N540" i="29"/>
  <c r="O540" s="1"/>
  <c r="M1338" i="11"/>
  <c r="L1338" i="31"/>
  <c r="M1338" s="1"/>
  <c r="L1338" i="30"/>
  <c r="M1338" s="1"/>
  <c r="L1338" i="29"/>
  <c r="M1338" s="1"/>
  <c r="M540" i="11"/>
  <c r="L540" i="31"/>
  <c r="M540" s="1"/>
  <c r="L540" i="30"/>
  <c r="M540" s="1"/>
  <c r="L540" i="29"/>
  <c r="M540" s="1"/>
  <c r="O640" i="11"/>
  <c r="I637"/>
  <c r="M640"/>
  <c r="H637"/>
  <c r="K640"/>
  <c r="G637"/>
  <c r="O1107"/>
  <c r="I1101"/>
  <c r="K1107"/>
  <c r="G1101"/>
  <c r="H1240"/>
  <c r="H1157"/>
  <c r="M1158"/>
  <c r="H1304"/>
  <c r="H231"/>
  <c r="I784"/>
  <c r="I676"/>
  <c r="H502"/>
  <c r="H1019"/>
  <c r="I539"/>
  <c r="H1366"/>
  <c r="H1218"/>
  <c r="G539"/>
  <c r="H524"/>
  <c r="H1337"/>
  <c r="H1253"/>
  <c r="H1170"/>
  <c r="I524"/>
  <c r="G525"/>
  <c r="G1311"/>
  <c r="I235"/>
  <c r="G231"/>
  <c r="H784"/>
  <c r="H533"/>
  <c r="H1149"/>
  <c r="H1135"/>
  <c r="H1374"/>
  <c r="H1097"/>
  <c r="H1039"/>
  <c r="H1210"/>
  <c r="H1318"/>
  <c r="H1266"/>
  <c r="H539"/>
  <c r="H170"/>
  <c r="G677"/>
  <c r="G533"/>
  <c r="G170"/>
  <c r="H235"/>
  <c r="H676"/>
  <c r="G784"/>
  <c r="G519"/>
  <c r="I533"/>
  <c r="H1349"/>
  <c r="I502"/>
  <c r="H736"/>
  <c r="I736"/>
  <c r="I691"/>
  <c r="G708"/>
  <c r="O760"/>
  <c r="M760"/>
  <c r="K760"/>
  <c r="G736"/>
  <c r="H691"/>
  <c r="G691"/>
  <c r="G650"/>
  <c r="M671"/>
  <c r="O671"/>
  <c r="K671"/>
  <c r="I650"/>
  <c r="H650"/>
  <c r="G1225"/>
  <c r="I231"/>
  <c r="I170"/>
  <c r="H179"/>
  <c r="G235"/>
  <c r="G179"/>
  <c r="I179"/>
  <c r="K691" l="1"/>
  <c r="J691" i="31"/>
  <c r="K691" s="1"/>
  <c r="J691" i="29"/>
  <c r="K691" s="1"/>
  <c r="J691" i="30"/>
  <c r="K691" s="1"/>
  <c r="N1101" i="31"/>
  <c r="O1101" s="1"/>
  <c r="N1101" i="30"/>
  <c r="O1101" s="1"/>
  <c r="N1101" i="29"/>
  <c r="O1101" s="1"/>
  <c r="K1225" i="11"/>
  <c r="J1225" i="31"/>
  <c r="K1225" s="1"/>
  <c r="J1225" i="30"/>
  <c r="K1225" s="1"/>
  <c r="J1225" i="29"/>
  <c r="K1225" s="1"/>
  <c r="M691" i="11"/>
  <c r="L691" i="31"/>
  <c r="M691" s="1"/>
  <c r="L691" i="29"/>
  <c r="M691" s="1"/>
  <c r="L691" i="30"/>
  <c r="M691" s="1"/>
  <c r="M736" i="11"/>
  <c r="L736" i="31"/>
  <c r="M736" s="1"/>
  <c r="L736" i="30"/>
  <c r="M736" s="1"/>
  <c r="L736" i="29"/>
  <c r="M736" s="1"/>
  <c r="K170" i="11"/>
  <c r="J170" i="31"/>
  <c r="K170" s="1"/>
  <c r="J170" i="30"/>
  <c r="K170" s="1"/>
  <c r="J170" i="29"/>
  <c r="K170" s="1"/>
  <c r="M1039" i="11"/>
  <c r="L1039" i="31"/>
  <c r="M1039" s="1"/>
  <c r="L1039" i="30"/>
  <c r="M1039" s="1"/>
  <c r="L1039" i="29"/>
  <c r="M1039" s="1"/>
  <c r="O235" i="11"/>
  <c r="N235" i="31"/>
  <c r="O235" s="1"/>
  <c r="N235" i="30"/>
  <c r="O235" s="1"/>
  <c r="N235" i="29"/>
  <c r="O235" s="1"/>
  <c r="K539" i="11"/>
  <c r="J539" i="31"/>
  <c r="K539" s="1"/>
  <c r="J539" i="30"/>
  <c r="K539" s="1"/>
  <c r="J539" i="29"/>
  <c r="K539" s="1"/>
  <c r="M231" i="11"/>
  <c r="L231" i="31"/>
  <c r="M231" s="1"/>
  <c r="L231" i="30"/>
  <c r="M231" s="1"/>
  <c r="L231" i="29"/>
  <c r="M231" s="1"/>
  <c r="G712" i="30"/>
  <c r="G708" s="1"/>
  <c r="G707" s="1"/>
  <c r="G702" s="1"/>
  <c r="G701" s="1"/>
  <c r="G694" s="1"/>
  <c r="G182"/>
  <c r="G179" s="1"/>
  <c r="G178" s="1"/>
  <c r="G245"/>
  <c r="G244" s="1"/>
  <c r="G711"/>
  <c r="K711"/>
  <c r="G640" i="31"/>
  <c r="G637" s="1"/>
  <c r="G636" s="1"/>
  <c r="G635" s="1"/>
  <c r="G634" s="1"/>
  <c r="G633" s="1"/>
  <c r="I712" i="29"/>
  <c r="I708" s="1"/>
  <c r="I707" s="1"/>
  <c r="I702" s="1"/>
  <c r="I701" s="1"/>
  <c r="I694" s="1"/>
  <c r="I645" s="1"/>
  <c r="O712"/>
  <c r="I177"/>
  <c r="I174" s="1"/>
  <c r="I173" s="1"/>
  <c r="G186" i="30"/>
  <c r="G185" s="1"/>
  <c r="G184" s="1"/>
  <c r="G183" s="1"/>
  <c r="H245" i="29"/>
  <c r="H244" s="1"/>
  <c r="H243" s="1"/>
  <c r="H242" s="1"/>
  <c r="H241" s="1"/>
  <c r="H240" s="1"/>
  <c r="H239" s="1"/>
  <c r="G177" i="30"/>
  <c r="G174" s="1"/>
  <c r="G173" s="1"/>
  <c r="G168" s="1"/>
  <c r="M650" i="11"/>
  <c r="L650" i="31"/>
  <c r="M650" s="1"/>
  <c r="L650" i="30"/>
  <c r="M650" s="1"/>
  <c r="L650" i="29"/>
  <c r="M650" s="1"/>
  <c r="K736" i="11"/>
  <c r="J736" i="31"/>
  <c r="K736" s="1"/>
  <c r="J736" i="30"/>
  <c r="K736" s="1"/>
  <c r="J736" i="29"/>
  <c r="K736" s="1"/>
  <c r="O502" i="11"/>
  <c r="N502" i="31"/>
  <c r="O502" s="1"/>
  <c r="N502" i="30"/>
  <c r="O502" s="1"/>
  <c r="N502" i="29"/>
  <c r="O502" s="1"/>
  <c r="K533" i="11"/>
  <c r="J533" i="31"/>
  <c r="K533" s="1"/>
  <c r="J533" i="30"/>
  <c r="K533" s="1"/>
  <c r="J533" i="29"/>
  <c r="K533" s="1"/>
  <c r="M1097" i="11"/>
  <c r="L1097" i="31"/>
  <c r="M1097" s="1"/>
  <c r="L1097" i="30"/>
  <c r="M1097" s="1"/>
  <c r="L1097" i="29"/>
  <c r="M1097" s="1"/>
  <c r="K1311" i="11"/>
  <c r="J1311" i="31"/>
  <c r="K1311" s="1"/>
  <c r="J1311" i="30"/>
  <c r="K1311" s="1"/>
  <c r="J1311" i="29"/>
  <c r="K1311" s="1"/>
  <c r="M1218" i="11"/>
  <c r="L1218" i="31"/>
  <c r="M1218" s="1"/>
  <c r="L1218" i="30"/>
  <c r="M1218" s="1"/>
  <c r="L1218" i="29"/>
  <c r="M1218" s="1"/>
  <c r="M1304" i="11"/>
  <c r="L1304" i="31"/>
  <c r="M1304" s="1"/>
  <c r="L1304" i="30"/>
  <c r="M1304" s="1"/>
  <c r="L1304" i="29"/>
  <c r="M1304" s="1"/>
  <c r="K637" i="11"/>
  <c r="J637" i="31"/>
  <c r="J637" i="30"/>
  <c r="J637" i="29"/>
  <c r="G712" i="31"/>
  <c r="G182"/>
  <c r="G179" s="1"/>
  <c r="G178" s="1"/>
  <c r="G245"/>
  <c r="G244" s="1"/>
  <c r="G243" s="1"/>
  <c r="G242" s="1"/>
  <c r="K245"/>
  <c r="G711"/>
  <c r="K711"/>
  <c r="I711" i="30"/>
  <c r="I708" s="1"/>
  <c r="I707" s="1"/>
  <c r="I177"/>
  <c r="I174" s="1"/>
  <c r="I173" s="1"/>
  <c r="G186" i="31"/>
  <c r="G185" s="1"/>
  <c r="G184" s="1"/>
  <c r="G183" s="1"/>
  <c r="K186"/>
  <c r="H245"/>
  <c r="H244" s="1"/>
  <c r="H243" s="1"/>
  <c r="H242" s="1"/>
  <c r="H241" s="1"/>
  <c r="H240" s="1"/>
  <c r="H239" s="1"/>
  <c r="M245"/>
  <c r="G177"/>
  <c r="G174" s="1"/>
  <c r="G173" s="1"/>
  <c r="G168" s="1"/>
  <c r="O231" i="11"/>
  <c r="N231" i="31"/>
  <c r="O231" s="1"/>
  <c r="N231" i="30"/>
  <c r="O231" s="1"/>
  <c r="N231" i="29"/>
  <c r="O231" s="1"/>
  <c r="K231" i="11"/>
  <c r="J231" i="31"/>
  <c r="K231" s="1"/>
  <c r="J231" i="29"/>
  <c r="K231" s="1"/>
  <c r="J231" i="30"/>
  <c r="K231" s="1"/>
  <c r="K182" i="29"/>
  <c r="G179"/>
  <c r="G178" s="1"/>
  <c r="G245"/>
  <c r="G244" s="1"/>
  <c r="G243" s="1"/>
  <c r="G242" s="1"/>
  <c r="G241" s="1"/>
  <c r="G240" s="1"/>
  <c r="G239" s="1"/>
  <c r="K245"/>
  <c r="K640" i="30"/>
  <c r="G637"/>
  <c r="G636" s="1"/>
  <c r="G635" s="1"/>
  <c r="G634" s="1"/>
  <c r="G633" s="1"/>
  <c r="H245"/>
  <c r="H244" s="1"/>
  <c r="H243" s="1"/>
  <c r="O650" i="11"/>
  <c r="N650" i="31"/>
  <c r="O650" s="1"/>
  <c r="N650" i="30"/>
  <c r="O650" s="1"/>
  <c r="N650" i="29"/>
  <c r="O650" s="1"/>
  <c r="K677" i="11"/>
  <c r="J677" i="31"/>
  <c r="K677" s="1"/>
  <c r="J677" i="30"/>
  <c r="K677" s="1"/>
  <c r="J677" i="29"/>
  <c r="K677" s="1"/>
  <c r="M1366" i="11"/>
  <c r="L1366" i="31"/>
  <c r="M1366" s="1"/>
  <c r="L1366" i="30"/>
  <c r="M1366" s="1"/>
  <c r="L1366" i="29"/>
  <c r="M1366" s="1"/>
  <c r="I177" i="31"/>
  <c r="I174" s="1"/>
  <c r="I173" s="1"/>
  <c r="O177"/>
  <c r="M1135" i="11"/>
  <c r="L1135" i="31"/>
  <c r="M1135" s="1"/>
  <c r="L1135" i="30"/>
  <c r="M1135" s="1"/>
  <c r="L1135" i="29"/>
  <c r="M1135" s="1"/>
  <c r="O539" i="11"/>
  <c r="N539" i="31"/>
  <c r="O539" s="1"/>
  <c r="N539" i="30"/>
  <c r="O539" s="1"/>
  <c r="N539" i="29"/>
  <c r="O539" s="1"/>
  <c r="H177"/>
  <c r="H174" s="1"/>
  <c r="H173" s="1"/>
  <c r="H168" s="1"/>
  <c r="K235" i="11"/>
  <c r="J235" i="31"/>
  <c r="J235" i="30"/>
  <c r="J235" i="29"/>
  <c r="K519" i="11"/>
  <c r="J519" i="31"/>
  <c r="K519" s="1"/>
  <c r="J519" i="30"/>
  <c r="K519" s="1"/>
  <c r="J519" i="29"/>
  <c r="K519" s="1"/>
  <c r="M539" i="11"/>
  <c r="L539" i="31"/>
  <c r="M539" s="1"/>
  <c r="L539" i="30"/>
  <c r="M539" s="1"/>
  <c r="L539" i="29"/>
  <c r="M539" s="1"/>
  <c r="M1149" i="11"/>
  <c r="L1149" i="31"/>
  <c r="M1149" s="1"/>
  <c r="L1149" i="30"/>
  <c r="M1149" s="1"/>
  <c r="L1149" i="29"/>
  <c r="M1149" s="1"/>
  <c r="M1170" i="11"/>
  <c r="L1170" i="31"/>
  <c r="M1170" s="1"/>
  <c r="L1170" i="30"/>
  <c r="M1170" s="1"/>
  <c r="L1170" i="29"/>
  <c r="M1170" s="1"/>
  <c r="M1019" i="11"/>
  <c r="L1019" i="31"/>
  <c r="M1019" s="1"/>
  <c r="L1019" i="30"/>
  <c r="M1019" s="1"/>
  <c r="L1019" i="29"/>
  <c r="M1019" s="1"/>
  <c r="M1240" i="11"/>
  <c r="L1240" i="31"/>
  <c r="M1240" s="1"/>
  <c r="L1240" i="30"/>
  <c r="M1240" s="1"/>
  <c r="L1240" i="29"/>
  <c r="M1240" s="1"/>
  <c r="G238"/>
  <c r="G235" s="1"/>
  <c r="G234" s="1"/>
  <c r="G229" s="1"/>
  <c r="K238"/>
  <c r="H186" i="30"/>
  <c r="H185" s="1"/>
  <c r="H184" s="1"/>
  <c r="H183" s="1"/>
  <c r="H182"/>
  <c r="H179" s="1"/>
  <c r="H178" s="1"/>
  <c r="M182"/>
  <c r="I640"/>
  <c r="I637" s="1"/>
  <c r="I636" s="1"/>
  <c r="I635" s="1"/>
  <c r="I634" s="1"/>
  <c r="I633" s="1"/>
  <c r="M712" i="29"/>
  <c r="H708"/>
  <c r="H707" s="1"/>
  <c r="H702" s="1"/>
  <c r="H701" s="1"/>
  <c r="H694" s="1"/>
  <c r="H645" s="1"/>
  <c r="H640"/>
  <c r="H637" s="1"/>
  <c r="H636" s="1"/>
  <c r="H635" s="1"/>
  <c r="H634" s="1"/>
  <c r="H633" s="1"/>
  <c r="I245" i="30"/>
  <c r="I244" s="1"/>
  <c r="I243" s="1"/>
  <c r="I242" s="1"/>
  <c r="I241" s="1"/>
  <c r="O245"/>
  <c r="H177"/>
  <c r="H174" s="1"/>
  <c r="H173" s="1"/>
  <c r="H168" s="1"/>
  <c r="H711"/>
  <c r="M711" s="1"/>
  <c r="I182"/>
  <c r="I179" s="1"/>
  <c r="I178" s="1"/>
  <c r="O736" i="11"/>
  <c r="N736" i="31"/>
  <c r="O736" s="1"/>
  <c r="N736" i="30"/>
  <c r="O736" s="1"/>
  <c r="N736" i="29"/>
  <c r="O736" s="1"/>
  <c r="M1210" i="11"/>
  <c r="L1210" i="31"/>
  <c r="M1210" s="1"/>
  <c r="L1210" i="30"/>
  <c r="M1210" s="1"/>
  <c r="L1210" i="29"/>
  <c r="M1210" s="1"/>
  <c r="O784" i="11"/>
  <c r="N784" i="31"/>
  <c r="O784" s="1"/>
  <c r="N784" i="30"/>
  <c r="O784" s="1"/>
  <c r="N784" i="29"/>
  <c r="O784" s="1"/>
  <c r="K712"/>
  <c r="G708"/>
  <c r="G707" s="1"/>
  <c r="G702" s="1"/>
  <c r="G701" s="1"/>
  <c r="G694" s="1"/>
  <c r="G645" s="1"/>
  <c r="I186" i="31"/>
  <c r="I185" s="1"/>
  <c r="I184" s="1"/>
  <c r="I183" s="1"/>
  <c r="G186" i="29"/>
  <c r="G185" s="1"/>
  <c r="G184" s="1"/>
  <c r="G183" s="1"/>
  <c r="K186"/>
  <c r="G177"/>
  <c r="G174" s="1"/>
  <c r="G173" s="1"/>
  <c r="G168" s="1"/>
  <c r="G158" s="1"/>
  <c r="K177"/>
  <c r="M1374" i="11"/>
  <c r="L1374" i="31"/>
  <c r="M1374" s="1"/>
  <c r="L1374" i="30"/>
  <c r="M1374" s="1"/>
  <c r="L1374" i="29"/>
  <c r="M1374" s="1"/>
  <c r="I711" i="31"/>
  <c r="O711" s="1"/>
  <c r="K179" i="11"/>
  <c r="J179" i="31"/>
  <c r="K179" s="1"/>
  <c r="J179" i="30"/>
  <c r="K179" s="1"/>
  <c r="J179" i="29"/>
  <c r="K179" s="1"/>
  <c r="M170" i="11"/>
  <c r="L170" i="31"/>
  <c r="M170" s="1"/>
  <c r="L170" i="29"/>
  <c r="M170" s="1"/>
  <c r="L170" i="30"/>
  <c r="M170" s="1"/>
  <c r="O524" i="11"/>
  <c r="N524" i="31"/>
  <c r="O524" s="1"/>
  <c r="N524" i="30"/>
  <c r="O524" s="1"/>
  <c r="N524" i="29"/>
  <c r="O524" s="1"/>
  <c r="M1157" i="11"/>
  <c r="L1157" i="31"/>
  <c r="M1157" s="1"/>
  <c r="L1157" i="30"/>
  <c r="M1157" s="1"/>
  <c r="L1157" i="29"/>
  <c r="M1157" s="1"/>
  <c r="G238" i="30"/>
  <c r="G235" s="1"/>
  <c r="G234" s="1"/>
  <c r="G229" s="1"/>
  <c r="K238"/>
  <c r="H182" i="29"/>
  <c r="H179" s="1"/>
  <c r="H178" s="1"/>
  <c r="M182"/>
  <c r="O182"/>
  <c r="I179"/>
  <c r="I178" s="1"/>
  <c r="K708" i="11"/>
  <c r="J708" i="31"/>
  <c r="J708" i="30"/>
  <c r="J708" i="29"/>
  <c r="K784" i="11"/>
  <c r="J784" i="31"/>
  <c r="K784" s="1"/>
  <c r="J784" i="30"/>
  <c r="K784" s="1"/>
  <c r="J784" i="29"/>
  <c r="K784" s="1"/>
  <c r="M1266" i="11"/>
  <c r="L1266" i="31"/>
  <c r="M1266" s="1"/>
  <c r="L1266" i="30"/>
  <c r="M1266" s="1"/>
  <c r="L1266" i="29"/>
  <c r="M1266" s="1"/>
  <c r="M533" i="11"/>
  <c r="L533" i="31"/>
  <c r="M533" s="1"/>
  <c r="L533" i="30"/>
  <c r="M533" s="1"/>
  <c r="L533" i="29"/>
  <c r="M533" s="1"/>
  <c r="M1253" i="11"/>
  <c r="L1253" i="31"/>
  <c r="M1253" s="1"/>
  <c r="L1253" i="30"/>
  <c r="M1253" s="1"/>
  <c r="L1253" i="29"/>
  <c r="M1253" s="1"/>
  <c r="M502" i="11"/>
  <c r="L502" i="31"/>
  <c r="M502" s="1"/>
  <c r="L502" i="30"/>
  <c r="M502" s="1"/>
  <c r="L502" i="29"/>
  <c r="M502" s="1"/>
  <c r="J1101" i="31"/>
  <c r="K1101" s="1"/>
  <c r="J1101" i="30"/>
  <c r="K1101" s="1"/>
  <c r="J1101" i="29"/>
  <c r="K1101" s="1"/>
  <c r="O637" i="11"/>
  <c r="N637" i="31"/>
  <c r="N637" i="30"/>
  <c r="N637" i="29"/>
  <c r="G238" i="31"/>
  <c r="G235" s="1"/>
  <c r="G234" s="1"/>
  <c r="G229" s="1"/>
  <c r="H186"/>
  <c r="H185" s="1"/>
  <c r="H184" s="1"/>
  <c r="H183" s="1"/>
  <c r="M186"/>
  <c r="H182"/>
  <c r="H179" s="1"/>
  <c r="H178" s="1"/>
  <c r="I640"/>
  <c r="I637" s="1"/>
  <c r="I636" s="1"/>
  <c r="I635" s="1"/>
  <c r="I634" s="1"/>
  <c r="O640"/>
  <c r="I186" i="29"/>
  <c r="I185" s="1"/>
  <c r="I184" s="1"/>
  <c r="I183" s="1"/>
  <c r="O186"/>
  <c r="H712" i="30"/>
  <c r="M712" s="1"/>
  <c r="H640"/>
  <c r="H637" s="1"/>
  <c r="H636" s="1"/>
  <c r="H635" s="1"/>
  <c r="H634" s="1"/>
  <c r="H633" s="1"/>
  <c r="I245" i="31"/>
  <c r="I244" s="1"/>
  <c r="I243" s="1"/>
  <c r="I242" s="1"/>
  <c r="I241" s="1"/>
  <c r="I240" s="1"/>
  <c r="I239" s="1"/>
  <c r="H177"/>
  <c r="H174" s="1"/>
  <c r="H173" s="1"/>
  <c r="H168" s="1"/>
  <c r="H158" s="1"/>
  <c r="M177"/>
  <c r="H711"/>
  <c r="H708" s="1"/>
  <c r="H707" s="1"/>
  <c r="M711"/>
  <c r="I182"/>
  <c r="I179" s="1"/>
  <c r="I178" s="1"/>
  <c r="M235" i="11"/>
  <c r="L235" i="31"/>
  <c r="M235" s="1"/>
  <c r="L235" i="30"/>
  <c r="M235" s="1"/>
  <c r="L235" i="29"/>
  <c r="M235" s="1"/>
  <c r="M524" i="11"/>
  <c r="L524" i="31"/>
  <c r="M524" s="1"/>
  <c r="L524" i="30"/>
  <c r="M524" s="1"/>
  <c r="L524" i="29"/>
  <c r="M524" s="1"/>
  <c r="O179" i="11"/>
  <c r="N179" i="31"/>
  <c r="O179" s="1"/>
  <c r="N179" i="30"/>
  <c r="N179" i="29"/>
  <c r="M1349" i="11"/>
  <c r="L1349" i="31"/>
  <c r="M1349" s="1"/>
  <c r="L1349" i="30"/>
  <c r="M1349" s="1"/>
  <c r="L1349" i="29"/>
  <c r="M1349" s="1"/>
  <c r="K525" i="11"/>
  <c r="J525" i="31"/>
  <c r="K525" s="1"/>
  <c r="J525" i="30"/>
  <c r="K525" s="1"/>
  <c r="J525" i="29"/>
  <c r="K525" s="1"/>
  <c r="I712" i="31"/>
  <c r="I708" s="1"/>
  <c r="I707" s="1"/>
  <c r="I702" s="1"/>
  <c r="I701" s="1"/>
  <c r="I694" s="1"/>
  <c r="O712"/>
  <c r="O533" i="11"/>
  <c r="N533" i="31"/>
  <c r="O533" s="1"/>
  <c r="N533" i="30"/>
  <c r="O533" s="1"/>
  <c r="N533" i="29"/>
  <c r="O533" s="1"/>
  <c r="M637" i="11"/>
  <c r="L637" i="31"/>
  <c r="L637" i="30"/>
  <c r="L637" i="29"/>
  <c r="H186"/>
  <c r="H185" s="1"/>
  <c r="H184" s="1"/>
  <c r="H183" s="1"/>
  <c r="O640"/>
  <c r="I637"/>
  <c r="I636" s="1"/>
  <c r="I635" s="1"/>
  <c r="I634" s="1"/>
  <c r="I633" s="1"/>
  <c r="I245"/>
  <c r="I244" s="1"/>
  <c r="I243" s="1"/>
  <c r="I242" s="1"/>
  <c r="I241" s="1"/>
  <c r="I240" s="1"/>
  <c r="I239" s="1"/>
  <c r="M179" i="11"/>
  <c r="L179" i="31"/>
  <c r="M179" s="1"/>
  <c r="L179" i="30"/>
  <c r="M179" s="1"/>
  <c r="L179" i="29"/>
  <c r="M179" s="1"/>
  <c r="O170" i="11"/>
  <c r="N170" i="31"/>
  <c r="O170" s="1"/>
  <c r="N170" i="30"/>
  <c r="O170" s="1"/>
  <c r="N170" i="29"/>
  <c r="O170" s="1"/>
  <c r="K650" i="11"/>
  <c r="J650" i="31"/>
  <c r="K650" s="1"/>
  <c r="J650" i="30"/>
  <c r="K650" s="1"/>
  <c r="J650" i="29"/>
  <c r="K650" s="1"/>
  <c r="O691" i="11"/>
  <c r="N691" i="31"/>
  <c r="O691" s="1"/>
  <c r="N691" i="30"/>
  <c r="O691" s="1"/>
  <c r="N691" i="29"/>
  <c r="O691" s="1"/>
  <c r="M676" i="11"/>
  <c r="L676" i="31"/>
  <c r="M676" s="1"/>
  <c r="L676" i="30"/>
  <c r="M676" s="1"/>
  <c r="L676" i="29"/>
  <c r="M676" s="1"/>
  <c r="M1318" i="11"/>
  <c r="L1318" i="31"/>
  <c r="M1318" s="1"/>
  <c r="L1318" i="30"/>
  <c r="M1318" s="1"/>
  <c r="L1318" i="29"/>
  <c r="M1318" s="1"/>
  <c r="M784" i="11"/>
  <c r="L784" i="31"/>
  <c r="M784" s="1"/>
  <c r="L784" i="30"/>
  <c r="M784" s="1"/>
  <c r="L784" i="29"/>
  <c r="M784" s="1"/>
  <c r="M1337" i="11"/>
  <c r="L1337" i="31"/>
  <c r="M1337" s="1"/>
  <c r="L1337" i="30"/>
  <c r="M1337" s="1"/>
  <c r="L1337" i="29"/>
  <c r="M1337" s="1"/>
  <c r="O676" i="11"/>
  <c r="N676" i="31"/>
  <c r="O676" s="1"/>
  <c r="N676" i="30"/>
  <c r="O676" s="1"/>
  <c r="N676" i="29"/>
  <c r="O676" s="1"/>
  <c r="K640"/>
  <c r="G637"/>
  <c r="G636" s="1"/>
  <c r="G635" s="1"/>
  <c r="G634" s="1"/>
  <c r="G633" s="1"/>
  <c r="O186" i="30"/>
  <c r="I185"/>
  <c r="I184" s="1"/>
  <c r="I183" s="1"/>
  <c r="M712" i="31"/>
  <c r="H640"/>
  <c r="H637" s="1"/>
  <c r="H636" s="1"/>
  <c r="H635" s="1"/>
  <c r="H634" s="1"/>
  <c r="H633" s="1"/>
  <c r="H1231" i="11"/>
  <c r="H1303"/>
  <c r="G502"/>
  <c r="H501"/>
  <c r="H1134"/>
  <c r="H783"/>
  <c r="H690"/>
  <c r="I532"/>
  <c r="G783"/>
  <c r="G532"/>
  <c r="H1018"/>
  <c r="G524"/>
  <c r="H1336"/>
  <c r="I690"/>
  <c r="I501"/>
  <c r="H1148"/>
  <c r="G230"/>
  <c r="H1217"/>
  <c r="I783"/>
  <c r="H230"/>
  <c r="H1183"/>
  <c r="H1317"/>
  <c r="H532"/>
  <c r="I169"/>
  <c r="G690"/>
  <c r="I230"/>
  <c r="G169"/>
  <c r="G676"/>
  <c r="H169"/>
  <c r="O166"/>
  <c r="M166"/>
  <c r="K166"/>
  <c r="O162"/>
  <c r="M162"/>
  <c r="K162"/>
  <c r="O145"/>
  <c r="M145"/>
  <c r="K145"/>
  <c r="O637" i="30" l="1"/>
  <c r="K708" i="29"/>
  <c r="M245"/>
  <c r="I168"/>
  <c r="O179"/>
  <c r="O245"/>
  <c r="M182" i="31"/>
  <c r="G708"/>
  <c r="G707" s="1"/>
  <c r="G702" s="1"/>
  <c r="G701" s="1"/>
  <c r="G694" s="1"/>
  <c r="G645" s="1"/>
  <c r="G632" s="1"/>
  <c r="K186" i="30"/>
  <c r="I632" i="29"/>
  <c r="K235"/>
  <c r="O177" i="30"/>
  <c r="H158" i="29"/>
  <c r="H708" i="30"/>
  <c r="H707" s="1"/>
  <c r="O640"/>
  <c r="O177" i="29"/>
  <c r="G645" i="30"/>
  <c r="G632" s="1"/>
  <c r="K690" i="11"/>
  <c r="J690" i="31"/>
  <c r="K690" s="1"/>
  <c r="J690" i="30"/>
  <c r="K690" s="1"/>
  <c r="J690" i="29"/>
  <c r="K690" s="1"/>
  <c r="K230" i="11"/>
  <c r="J230" i="31"/>
  <c r="K230" s="1"/>
  <c r="J230" i="30"/>
  <c r="K230" s="1"/>
  <c r="J230" i="29"/>
  <c r="K230" s="1"/>
  <c r="K783" i="11"/>
  <c r="J783" i="31"/>
  <c r="K783" s="1"/>
  <c r="J783" i="30"/>
  <c r="K783" s="1"/>
  <c r="J783" i="29"/>
  <c r="K783" s="1"/>
  <c r="M1231" i="11"/>
  <c r="L1231" i="31"/>
  <c r="M1231" s="1"/>
  <c r="L1231" i="30"/>
  <c r="M1231" s="1"/>
  <c r="L1231" i="29"/>
  <c r="M1231" s="1"/>
  <c r="O245" i="31"/>
  <c r="I633"/>
  <c r="G632" i="29"/>
  <c r="H632"/>
  <c r="K637"/>
  <c r="O169" i="11"/>
  <c r="N169" i="31"/>
  <c r="O169" s="1"/>
  <c r="N169" i="30"/>
  <c r="O169" s="1"/>
  <c r="N169" i="29"/>
  <c r="O169" s="1"/>
  <c r="M1148" i="11"/>
  <c r="L1148" i="31"/>
  <c r="M1148" s="1"/>
  <c r="L1148" i="30"/>
  <c r="M1148" s="1"/>
  <c r="L1148" i="29"/>
  <c r="M1148" s="1"/>
  <c r="O532" i="11"/>
  <c r="N532" i="31"/>
  <c r="O532" s="1"/>
  <c r="N532" i="30"/>
  <c r="O532" s="1"/>
  <c r="N532" i="29"/>
  <c r="O532" s="1"/>
  <c r="M640" i="31"/>
  <c r="M186" i="29"/>
  <c r="O182" i="31"/>
  <c r="M640" i="30"/>
  <c r="O637" i="31"/>
  <c r="G214" i="29"/>
  <c r="G213" s="1"/>
  <c r="G212" s="1"/>
  <c r="I168" i="31"/>
  <c r="K637" i="30"/>
  <c r="O230" i="11"/>
  <c r="N230" i="31"/>
  <c r="O230" s="1"/>
  <c r="N230" i="30"/>
  <c r="O230" s="1"/>
  <c r="N230" i="29"/>
  <c r="O230" s="1"/>
  <c r="M1217" i="11"/>
  <c r="L1217" i="31"/>
  <c r="M1217" s="1"/>
  <c r="L1217" i="30"/>
  <c r="M1217" s="1"/>
  <c r="L1217" i="29"/>
  <c r="M1217" s="1"/>
  <c r="M1303" i="11"/>
  <c r="L1303" i="31"/>
  <c r="M1303" s="1"/>
  <c r="L1303" i="30"/>
  <c r="M1303" s="1"/>
  <c r="L1303" i="29"/>
  <c r="M1303" s="1"/>
  <c r="O637"/>
  <c r="M532" i="11"/>
  <c r="L532" i="31"/>
  <c r="M532" s="1"/>
  <c r="L532" i="30"/>
  <c r="M532" s="1"/>
  <c r="L532" i="29"/>
  <c r="M532" s="1"/>
  <c r="M690" i="11"/>
  <c r="L690" i="31"/>
  <c r="M690" s="1"/>
  <c r="L690" i="30"/>
  <c r="M690" s="1"/>
  <c r="L690" i="29"/>
  <c r="M690" s="1"/>
  <c r="H158" i="30"/>
  <c r="M1317" i="11"/>
  <c r="L1317" i="31"/>
  <c r="M1317" s="1"/>
  <c r="L1317" i="30"/>
  <c r="M1317" s="1"/>
  <c r="L1317" i="29"/>
  <c r="M1317" s="1"/>
  <c r="M783" i="11"/>
  <c r="L783" i="31"/>
  <c r="M783" s="1"/>
  <c r="L783" i="30"/>
  <c r="M783" s="1"/>
  <c r="L783" i="29"/>
  <c r="M783" s="1"/>
  <c r="M637"/>
  <c r="K708" i="30"/>
  <c r="M169" i="11"/>
  <c r="L169" i="31"/>
  <c r="M169" s="1"/>
  <c r="L169" i="30"/>
  <c r="M169" s="1"/>
  <c r="L169" i="29"/>
  <c r="M169" s="1"/>
  <c r="M1183" i="11"/>
  <c r="L1183" i="31"/>
  <c r="M1183" s="1"/>
  <c r="L1183" i="30"/>
  <c r="M1183" s="1"/>
  <c r="L1183" i="29"/>
  <c r="M1183" s="1"/>
  <c r="M1336" i="11"/>
  <c r="L1336" i="31"/>
  <c r="M1336" s="1"/>
  <c r="L1336" i="30"/>
  <c r="M1336" s="1"/>
  <c r="L1336" i="29"/>
  <c r="M1336" s="1"/>
  <c r="M1134" i="11"/>
  <c r="L1134" i="31"/>
  <c r="M1134" s="1"/>
  <c r="L1134" i="30"/>
  <c r="M1134" s="1"/>
  <c r="L1134" i="29"/>
  <c r="M1134" s="1"/>
  <c r="M637" i="30"/>
  <c r="I645" i="31"/>
  <c r="H702" i="30"/>
  <c r="H701" s="1"/>
  <c r="H694" s="1"/>
  <c r="K708" i="31"/>
  <c r="K235"/>
  <c r="I168" i="30"/>
  <c r="K182" i="31"/>
  <c r="K177" i="30"/>
  <c r="K532" i="11"/>
  <c r="J532" i="31"/>
  <c r="K532" s="1"/>
  <c r="J532" i="30"/>
  <c r="K532" s="1"/>
  <c r="J532" i="29"/>
  <c r="K532" s="1"/>
  <c r="H242" i="30"/>
  <c r="H241" s="1"/>
  <c r="H240" s="1"/>
  <c r="H239" s="1"/>
  <c r="I702"/>
  <c r="I701" s="1"/>
  <c r="I694" s="1"/>
  <c r="O501" i="11"/>
  <c r="N501" i="31"/>
  <c r="O501" s="1"/>
  <c r="N501" i="30"/>
  <c r="O501" s="1"/>
  <c r="N501" i="29"/>
  <c r="O501" s="1"/>
  <c r="H702" i="31"/>
  <c r="H701" s="1"/>
  <c r="H694" s="1"/>
  <c r="G214" i="30"/>
  <c r="G213" s="1"/>
  <c r="G212" s="1"/>
  <c r="K235"/>
  <c r="K245"/>
  <c r="K676" i="11"/>
  <c r="J676" i="31"/>
  <c r="K676" s="1"/>
  <c r="J676" i="30"/>
  <c r="K676" s="1"/>
  <c r="J676" i="29"/>
  <c r="K676" s="1"/>
  <c r="M230" i="11"/>
  <c r="L230" i="31"/>
  <c r="M230" s="1"/>
  <c r="L230" i="30"/>
  <c r="M230" s="1"/>
  <c r="L230" i="29"/>
  <c r="M230" s="1"/>
  <c r="K524" i="11"/>
  <c r="J524" i="31"/>
  <c r="K524" s="1"/>
  <c r="J524" i="30"/>
  <c r="K524" s="1"/>
  <c r="J524" i="29"/>
  <c r="K524" s="1"/>
  <c r="M501" i="11"/>
  <c r="L501" i="31"/>
  <c r="M501" s="1"/>
  <c r="L501" i="30"/>
  <c r="M501" s="1"/>
  <c r="L501" i="29"/>
  <c r="M501" s="1"/>
  <c r="M637" i="31"/>
  <c r="G214"/>
  <c r="G213" s="1"/>
  <c r="G212" s="1"/>
  <c r="I240" i="30"/>
  <c r="I239" s="1"/>
  <c r="G158"/>
  <c r="K182"/>
  <c r="G158" i="31"/>
  <c r="K637"/>
  <c r="G243" i="30"/>
  <c r="G242" s="1"/>
  <c r="G241" s="1"/>
  <c r="G240" s="1"/>
  <c r="G239" s="1"/>
  <c r="O690" i="11"/>
  <c r="N690" i="31"/>
  <c r="O690" s="1"/>
  <c r="N690" i="30"/>
  <c r="O690" s="1"/>
  <c r="N690" i="29"/>
  <c r="O690" s="1"/>
  <c r="M177" i="30"/>
  <c r="G241" i="31"/>
  <c r="G240" s="1"/>
  <c r="G239" s="1"/>
  <c r="I158" i="29"/>
  <c r="K169" i="11"/>
  <c r="J169" i="31"/>
  <c r="K169" s="1"/>
  <c r="J169" i="30"/>
  <c r="K169" s="1"/>
  <c r="J169" i="29"/>
  <c r="K169" s="1"/>
  <c r="O783" i="11"/>
  <c r="N783" i="31"/>
  <c r="O783" s="1"/>
  <c r="N783" i="30"/>
  <c r="O783" s="1"/>
  <c r="N783" i="29"/>
  <c r="O783" s="1"/>
  <c r="M1018" i="11"/>
  <c r="L1018" i="31"/>
  <c r="M1018" s="1"/>
  <c r="L1018" i="30"/>
  <c r="M1018" s="1"/>
  <c r="L1018" i="29"/>
  <c r="M1018" s="1"/>
  <c r="K502" i="11"/>
  <c r="J502" i="31"/>
  <c r="K502" s="1"/>
  <c r="J502" i="30"/>
  <c r="K502" s="1"/>
  <c r="J502" i="29"/>
  <c r="K502" s="1"/>
  <c r="O179" i="30"/>
  <c r="K238" i="31"/>
  <c r="O186"/>
  <c r="O182" i="30"/>
  <c r="M640" i="29"/>
  <c r="M186" i="30"/>
  <c r="M177" i="29"/>
  <c r="M245" i="30"/>
  <c r="K177" i="31"/>
  <c r="O711" i="30"/>
  <c r="K712" i="31"/>
  <c r="K640"/>
  <c r="K712" i="30"/>
  <c r="G501" i="11"/>
  <c r="H1265"/>
  <c r="I782"/>
  <c r="G782"/>
  <c r="H1182"/>
  <c r="H689"/>
  <c r="I689"/>
  <c r="G531"/>
  <c r="I531"/>
  <c r="H782"/>
  <c r="H500"/>
  <c r="I500"/>
  <c r="G144"/>
  <c r="I144"/>
  <c r="G689"/>
  <c r="H531"/>
  <c r="H1096"/>
  <c r="H144"/>
  <c r="O141"/>
  <c r="M141"/>
  <c r="K141"/>
  <c r="O137"/>
  <c r="M137"/>
  <c r="K137"/>
  <c r="O132"/>
  <c r="M132"/>
  <c r="K132"/>
  <c r="O128"/>
  <c r="M128"/>
  <c r="K128"/>
  <c r="O122"/>
  <c r="M122"/>
  <c r="K122"/>
  <c r="I116"/>
  <c r="H116"/>
  <c r="G116"/>
  <c r="O113"/>
  <c r="M113"/>
  <c r="K113"/>
  <c r="H645" i="31" l="1"/>
  <c r="H632" s="1"/>
  <c r="I632"/>
  <c r="K116" i="11"/>
  <c r="J116" i="31"/>
  <c r="J116" i="30"/>
  <c r="J116" i="29"/>
  <c r="O500" i="11"/>
  <c r="N500" i="31"/>
  <c r="O500" s="1"/>
  <c r="N500" i="30"/>
  <c r="O500" s="1"/>
  <c r="N500" i="29"/>
  <c r="O500" s="1"/>
  <c r="K782" i="11"/>
  <c r="J782" i="31"/>
  <c r="K782" s="1"/>
  <c r="J782" i="30"/>
  <c r="K782" s="1"/>
  <c r="J782" i="29"/>
  <c r="K782" s="1"/>
  <c r="M116" i="11"/>
  <c r="L116" i="31"/>
  <c r="L116" i="30"/>
  <c r="L116" i="29"/>
  <c r="M500" i="11"/>
  <c r="L500" i="31"/>
  <c r="M500" s="1"/>
  <c r="L500" i="30"/>
  <c r="M500" s="1"/>
  <c r="L500" i="29"/>
  <c r="M500" s="1"/>
  <c r="O782" i="11"/>
  <c r="N782" i="31"/>
  <c r="O782" s="1"/>
  <c r="N782" i="30"/>
  <c r="O782" s="1"/>
  <c r="N782" i="29"/>
  <c r="O782" s="1"/>
  <c r="M1182" i="11"/>
  <c r="L1182" i="31"/>
  <c r="M1182" s="1"/>
  <c r="L1182" i="30"/>
  <c r="M1182" s="1"/>
  <c r="L1182" i="29"/>
  <c r="M1182" s="1"/>
  <c r="M144" i="11"/>
  <c r="L144" i="31"/>
  <c r="M144" s="1"/>
  <c r="L144" i="30"/>
  <c r="M144" s="1"/>
  <c r="L144" i="29"/>
  <c r="M144" s="1"/>
  <c r="I158" i="30"/>
  <c r="J501" i="31"/>
  <c r="K501" s="1"/>
  <c r="J501" i="30"/>
  <c r="K501" s="1"/>
  <c r="J501" i="29"/>
  <c r="K501" s="1"/>
  <c r="M531" i="11"/>
  <c r="L531" i="31"/>
  <c r="M531" s="1"/>
  <c r="L531" i="30"/>
  <c r="M531" s="1"/>
  <c r="L531" i="29"/>
  <c r="M531" s="1"/>
  <c r="K531" i="11"/>
  <c r="J531" i="31"/>
  <c r="K531" s="1"/>
  <c r="J531" i="30"/>
  <c r="K531" s="1"/>
  <c r="J531" i="29"/>
  <c r="K531" s="1"/>
  <c r="K144" i="11"/>
  <c r="J144" i="31"/>
  <c r="K144" s="1"/>
  <c r="J144" i="30"/>
  <c r="K144" s="1"/>
  <c r="J144" i="29"/>
  <c r="K144" s="1"/>
  <c r="O116" i="11"/>
  <c r="N116" i="31"/>
  <c r="N116" i="30"/>
  <c r="N116" i="29"/>
  <c r="M782" i="11"/>
  <c r="L782" i="31"/>
  <c r="M782" s="1"/>
  <c r="L782" i="30"/>
  <c r="M782" s="1"/>
  <c r="L782" i="29"/>
  <c r="M782" s="1"/>
  <c r="M1096" i="11"/>
  <c r="L1096" i="31"/>
  <c r="M1096" s="1"/>
  <c r="L1096" i="30"/>
  <c r="M1096" s="1"/>
  <c r="L1096" i="29"/>
  <c r="M1096" s="1"/>
  <c r="K689" i="11"/>
  <c r="J689" i="31"/>
  <c r="K689" s="1"/>
  <c r="J689" i="30"/>
  <c r="K689" s="1"/>
  <c r="J689" i="29"/>
  <c r="K689" s="1"/>
  <c r="O689" i="11"/>
  <c r="N689" i="31"/>
  <c r="O689" s="1"/>
  <c r="N689" i="30"/>
  <c r="O689" s="1"/>
  <c r="N689" i="29"/>
  <c r="O689" s="1"/>
  <c r="H645" i="30"/>
  <c r="H632" s="1"/>
  <c r="I158" i="31"/>
  <c r="M1265" i="11"/>
  <c r="L1265" i="31"/>
  <c r="M1265" s="1"/>
  <c r="L1265" i="30"/>
  <c r="M1265" s="1"/>
  <c r="L1265" i="29"/>
  <c r="M1265" s="1"/>
  <c r="O531" i="11"/>
  <c r="N531" i="31"/>
  <c r="O531" s="1"/>
  <c r="N531" i="30"/>
  <c r="O531" s="1"/>
  <c r="N531" i="29"/>
  <c r="O531" s="1"/>
  <c r="O144" i="11"/>
  <c r="N144" i="31"/>
  <c r="O144" s="1"/>
  <c r="N144" i="30"/>
  <c r="O144" s="1"/>
  <c r="N144" i="29"/>
  <c r="O144" s="1"/>
  <c r="M689" i="11"/>
  <c r="L689" i="31"/>
  <c r="M689" s="1"/>
  <c r="L689" i="30"/>
  <c r="M689" s="1"/>
  <c r="L689" i="29"/>
  <c r="M689" s="1"/>
  <c r="I645" i="30"/>
  <c r="G500" i="11"/>
  <c r="K501"/>
  <c r="G688"/>
  <c r="H781"/>
  <c r="G781"/>
  <c r="I143"/>
  <c r="G530"/>
  <c r="H688"/>
  <c r="H530"/>
  <c r="G143"/>
  <c r="I530"/>
  <c r="I688"/>
  <c r="I781"/>
  <c r="H143"/>
  <c r="O209"/>
  <c r="M209"/>
  <c r="G208"/>
  <c r="O106"/>
  <c r="M106"/>
  <c r="K106"/>
  <c r="O100"/>
  <c r="M100"/>
  <c r="K100"/>
  <c r="O91"/>
  <c r="M91"/>
  <c r="K91"/>
  <c r="M94"/>
  <c r="O94"/>
  <c r="M97"/>
  <c r="O97"/>
  <c r="K97"/>
  <c r="K94"/>
  <c r="M143" l="1"/>
  <c r="L143" i="31"/>
  <c r="M143" s="1"/>
  <c r="L143" i="30"/>
  <c r="M143" s="1"/>
  <c r="L143" i="29"/>
  <c r="M143" s="1"/>
  <c r="G116" i="30"/>
  <c r="G115" s="1"/>
  <c r="O781" i="11"/>
  <c r="N781" i="31"/>
  <c r="O781" s="1"/>
  <c r="N781" i="30"/>
  <c r="O781" s="1"/>
  <c r="N781" i="29"/>
  <c r="O781" s="1"/>
  <c r="K781" i="11"/>
  <c r="J781" i="31"/>
  <c r="K781" s="1"/>
  <c r="J781" i="30"/>
  <c r="K781" s="1"/>
  <c r="J781" i="29"/>
  <c r="K781" s="1"/>
  <c r="G116" i="31"/>
  <c r="G115" s="1"/>
  <c r="G111" s="1"/>
  <c r="G110" s="1"/>
  <c r="G109" s="1"/>
  <c r="G108" s="1"/>
  <c r="O688" i="11"/>
  <c r="N688" i="31"/>
  <c r="O688" s="1"/>
  <c r="N688" i="30"/>
  <c r="O688" s="1"/>
  <c r="N688" i="29"/>
  <c r="O688" s="1"/>
  <c r="M781" i="11"/>
  <c r="L781" i="31"/>
  <c r="M781" s="1"/>
  <c r="L781" i="30"/>
  <c r="M781" s="1"/>
  <c r="L781" i="29"/>
  <c r="M781" s="1"/>
  <c r="I116"/>
  <c r="I115" s="1"/>
  <c r="I111" s="1"/>
  <c r="I110" s="1"/>
  <c r="I109" s="1"/>
  <c r="I108" s="1"/>
  <c r="I63" s="1"/>
  <c r="I62" s="1"/>
  <c r="O116"/>
  <c r="H116"/>
  <c r="H115" s="1"/>
  <c r="M116"/>
  <c r="O143" i="11"/>
  <c r="N143" i="31"/>
  <c r="O143" s="1"/>
  <c r="N143" i="30"/>
  <c r="O143" s="1"/>
  <c r="N143" i="29"/>
  <c r="O143" s="1"/>
  <c r="K688" i="11"/>
  <c r="J688" i="31"/>
  <c r="K688" s="1"/>
  <c r="J688" i="30"/>
  <c r="K688" s="1"/>
  <c r="J688" i="29"/>
  <c r="K688" s="1"/>
  <c r="I116" i="30"/>
  <c r="I115" s="1"/>
  <c r="I111" s="1"/>
  <c r="I110" s="1"/>
  <c r="I109" s="1"/>
  <c r="I108" s="1"/>
  <c r="I63" s="1"/>
  <c r="I62" s="1"/>
  <c r="O116"/>
  <c r="K143" i="11"/>
  <c r="J143" i="31"/>
  <c r="K143" s="1"/>
  <c r="J143" i="30"/>
  <c r="K143" s="1"/>
  <c r="J143" i="29"/>
  <c r="K143" s="1"/>
  <c r="H116" i="31"/>
  <c r="H115" s="1"/>
  <c r="K208" i="11"/>
  <c r="J208" i="31"/>
  <c r="K208" s="1"/>
  <c r="J208" i="30"/>
  <c r="K208" s="1"/>
  <c r="J208" i="29"/>
  <c r="K208" s="1"/>
  <c r="M530" i="11"/>
  <c r="L530" i="31"/>
  <c r="M530" s="1"/>
  <c r="L530" i="30"/>
  <c r="M530" s="1"/>
  <c r="L530" i="29"/>
  <c r="M530" s="1"/>
  <c r="K500" i="11"/>
  <c r="J500" i="31"/>
  <c r="K500" s="1"/>
  <c r="J500" i="30"/>
  <c r="K500" s="1"/>
  <c r="J500" i="29"/>
  <c r="K500" s="1"/>
  <c r="H116" i="30"/>
  <c r="H115" s="1"/>
  <c r="H111" s="1"/>
  <c r="H110" s="1"/>
  <c r="H109" s="1"/>
  <c r="H108" s="1"/>
  <c r="M688" i="11"/>
  <c r="L688" i="31"/>
  <c r="M688" s="1"/>
  <c r="L688" i="30"/>
  <c r="M688" s="1"/>
  <c r="L688" i="29"/>
  <c r="M688" s="1"/>
  <c r="I632" i="30"/>
  <c r="O530" i="11"/>
  <c r="N530" i="31"/>
  <c r="O530" s="1"/>
  <c r="N530" i="30"/>
  <c r="O530" s="1"/>
  <c r="N530" i="29"/>
  <c r="O530" s="1"/>
  <c r="I116" i="31"/>
  <c r="I115" s="1"/>
  <c r="I111" s="1"/>
  <c r="I110" s="1"/>
  <c r="I109" s="1"/>
  <c r="I108" s="1"/>
  <c r="K530" i="11"/>
  <c r="J530" i="31"/>
  <c r="K530" s="1"/>
  <c r="J530" i="29"/>
  <c r="K530" s="1"/>
  <c r="J530" i="30"/>
  <c r="K530" s="1"/>
  <c r="G116" i="29"/>
  <c r="G115" s="1"/>
  <c r="G111" s="1"/>
  <c r="G110" s="1"/>
  <c r="G109" s="1"/>
  <c r="G108" s="1"/>
  <c r="G63" s="1"/>
  <c r="G62" s="1"/>
  <c r="G1706" s="1"/>
  <c r="G1710" s="1"/>
  <c r="H208" i="11"/>
  <c r="G207"/>
  <c r="I208"/>
  <c r="M116" i="30" l="1"/>
  <c r="M116" i="31"/>
  <c r="K116" i="30"/>
  <c r="O208" i="11"/>
  <c r="N208" i="31"/>
  <c r="O208" s="1"/>
  <c r="N208" i="30"/>
  <c r="O208" s="1"/>
  <c r="N208" i="29"/>
  <c r="O208" s="1"/>
  <c r="H111"/>
  <c r="H110" s="1"/>
  <c r="H109" s="1"/>
  <c r="H108" s="1"/>
  <c r="K207" i="11"/>
  <c r="J207" i="31"/>
  <c r="K207" s="1"/>
  <c r="J207" i="30"/>
  <c r="K207" s="1"/>
  <c r="J207" i="29"/>
  <c r="K207" s="1"/>
  <c r="O116" i="31"/>
  <c r="H63" i="30"/>
  <c r="H62" s="1"/>
  <c r="H111" i="31"/>
  <c r="H110" s="1"/>
  <c r="H109" s="1"/>
  <c r="H108" s="1"/>
  <c r="M208" i="11"/>
  <c r="L208" i="31"/>
  <c r="M208" s="1"/>
  <c r="L208" i="30"/>
  <c r="M208" s="1"/>
  <c r="L208" i="29"/>
  <c r="M208" s="1"/>
  <c r="G63" i="31"/>
  <c r="G111" i="30"/>
  <c r="G110" s="1"/>
  <c r="G109" s="1"/>
  <c r="G108" s="1"/>
  <c r="G63" s="1"/>
  <c r="G62" s="1"/>
  <c r="G1706" s="1"/>
  <c r="G1710" s="1"/>
  <c r="I63" i="31"/>
  <c r="K116" i="29"/>
  <c r="K116" i="31"/>
  <c r="H207" i="11"/>
  <c r="I207"/>
  <c r="G206"/>
  <c r="O87"/>
  <c r="M87"/>
  <c r="K87"/>
  <c r="M82"/>
  <c r="O82"/>
  <c r="M84"/>
  <c r="O84"/>
  <c r="K84"/>
  <c r="K82"/>
  <c r="O79"/>
  <c r="M79"/>
  <c r="K79"/>
  <c r="O72"/>
  <c r="M72"/>
  <c r="K72"/>
  <c r="O68"/>
  <c r="M68"/>
  <c r="K68"/>
  <c r="U63" i="31" l="1"/>
  <c r="I62"/>
  <c r="O207" i="11"/>
  <c r="N207" i="31"/>
  <c r="O207" s="1"/>
  <c r="N207" i="30"/>
  <c r="O207" s="1"/>
  <c r="N207" i="29"/>
  <c r="O207" s="1"/>
  <c r="M207" i="11"/>
  <c r="L207" i="31"/>
  <c r="M207" s="1"/>
  <c r="L207" i="30"/>
  <c r="M207" s="1"/>
  <c r="L207" i="29"/>
  <c r="M207" s="1"/>
  <c r="H63"/>
  <c r="H62" s="1"/>
  <c r="K206" i="11"/>
  <c r="J206" i="31"/>
  <c r="K206" s="1"/>
  <c r="J206" i="30"/>
  <c r="K206" s="1"/>
  <c r="J206" i="29"/>
  <c r="K206" s="1"/>
  <c r="H63" i="31"/>
  <c r="S63"/>
  <c r="G62"/>
  <c r="H67" i="11"/>
  <c r="I67"/>
  <c r="H206"/>
  <c r="G67"/>
  <c r="H71"/>
  <c r="H86"/>
  <c r="I71"/>
  <c r="I86"/>
  <c r="G71"/>
  <c r="G86"/>
  <c r="I206"/>
  <c r="O1519"/>
  <c r="M1519"/>
  <c r="K1519"/>
  <c r="O1513"/>
  <c r="M1513"/>
  <c r="K1513"/>
  <c r="O1509"/>
  <c r="M1509"/>
  <c r="K1509"/>
  <c r="O1500"/>
  <c r="M1500"/>
  <c r="K1500"/>
  <c r="O1496"/>
  <c r="M1496"/>
  <c r="K1496"/>
  <c r="O1494"/>
  <c r="M1494"/>
  <c r="K1494"/>
  <c r="O1491"/>
  <c r="M1491"/>
  <c r="K1491"/>
  <c r="O1479"/>
  <c r="M1479"/>
  <c r="K1479"/>
  <c r="O1473"/>
  <c r="M1473"/>
  <c r="K1473"/>
  <c r="O1470"/>
  <c r="M1470"/>
  <c r="G1469"/>
  <c r="I1468"/>
  <c r="H1468"/>
  <c r="O1464"/>
  <c r="M1464"/>
  <c r="O1458"/>
  <c r="M1458"/>
  <c r="K1458"/>
  <c r="O1454"/>
  <c r="M1454"/>
  <c r="K1454"/>
  <c r="O1468" l="1"/>
  <c r="N1468" i="31"/>
  <c r="N1468" i="30"/>
  <c r="N1468" i="29"/>
  <c r="K71" i="11"/>
  <c r="J71" i="31"/>
  <c r="K71" s="1"/>
  <c r="J71" i="29"/>
  <c r="K71" s="1"/>
  <c r="J71" i="30"/>
  <c r="K71" s="1"/>
  <c r="O86" i="11"/>
  <c r="N86" i="31"/>
  <c r="O86" s="1"/>
  <c r="N86" i="29"/>
  <c r="O86" s="1"/>
  <c r="N86" i="30"/>
  <c r="O86" s="1"/>
  <c r="S62" i="31"/>
  <c r="G1706"/>
  <c r="G1710" s="1"/>
  <c r="K1469" i="11"/>
  <c r="J1469" i="31"/>
  <c r="K1469" s="1"/>
  <c r="J1469" i="30"/>
  <c r="K1469" s="1"/>
  <c r="J1469" i="29"/>
  <c r="K1469" s="1"/>
  <c r="M67" i="11"/>
  <c r="L67" i="31"/>
  <c r="M67" s="1"/>
  <c r="L67" i="30"/>
  <c r="M67" s="1"/>
  <c r="L67" i="29"/>
  <c r="M67" s="1"/>
  <c r="O71" i="11"/>
  <c r="N71" i="31"/>
  <c r="O71" s="1"/>
  <c r="N71" i="30"/>
  <c r="O71" s="1"/>
  <c r="N71" i="29"/>
  <c r="O71" s="1"/>
  <c r="O67" i="11"/>
  <c r="N67" i="31"/>
  <c r="O67" s="1"/>
  <c r="N67" i="30"/>
  <c r="O67" s="1"/>
  <c r="N67" i="29"/>
  <c r="O67" s="1"/>
  <c r="K67" i="11"/>
  <c r="J67" i="31"/>
  <c r="K67" s="1"/>
  <c r="J67" i="29"/>
  <c r="K67" s="1"/>
  <c r="J67" i="30"/>
  <c r="K67" s="1"/>
  <c r="T63" i="31"/>
  <c r="H62"/>
  <c r="U62"/>
  <c r="K86" i="11"/>
  <c r="J86" i="31"/>
  <c r="K86" s="1"/>
  <c r="J86" i="30"/>
  <c r="K86" s="1"/>
  <c r="J86" i="29"/>
  <c r="K86" s="1"/>
  <c r="M86" i="11"/>
  <c r="L86" i="31"/>
  <c r="M86" s="1"/>
  <c r="L86" i="30"/>
  <c r="M86" s="1"/>
  <c r="L86" i="29"/>
  <c r="M86" s="1"/>
  <c r="M71" i="11"/>
  <c r="L71" i="31"/>
  <c r="M71" s="1"/>
  <c r="L71" i="30"/>
  <c r="M71" s="1"/>
  <c r="L71" i="29"/>
  <c r="M71" s="1"/>
  <c r="M1468" i="11"/>
  <c r="L1468" i="31"/>
  <c r="L1468" i="29"/>
  <c r="L1468" i="30"/>
  <c r="O206" i="11"/>
  <c r="N206" i="31"/>
  <c r="O206" s="1"/>
  <c r="N206" i="30"/>
  <c r="O206" s="1"/>
  <c r="N206" i="29"/>
  <c r="O206" s="1"/>
  <c r="M206" i="11"/>
  <c r="L206" i="31"/>
  <c r="M206" s="1"/>
  <c r="L206" i="30"/>
  <c r="M206" s="1"/>
  <c r="L206" i="29"/>
  <c r="M206" s="1"/>
  <c r="I66" i="11"/>
  <c r="H66"/>
  <c r="G66"/>
  <c r="I1469"/>
  <c r="H1469"/>
  <c r="I1463"/>
  <c r="H1463"/>
  <c r="H1468" i="30" l="1"/>
  <c r="H1463" s="1"/>
  <c r="M1468"/>
  <c r="M1463" i="11"/>
  <c r="L1463" i="31"/>
  <c r="L1463" i="30"/>
  <c r="L1463" i="29"/>
  <c r="O1463" i="11"/>
  <c r="N1463" i="31"/>
  <c r="O1463" s="1"/>
  <c r="N1463" i="30"/>
  <c r="N1463" i="29"/>
  <c r="M1469" i="11"/>
  <c r="L1469" i="31"/>
  <c r="M1469" s="1"/>
  <c r="L1469" i="29"/>
  <c r="M1469" s="1"/>
  <c r="L1469" i="30"/>
  <c r="M1469" s="1"/>
  <c r="T62" i="31"/>
  <c r="K66" i="11"/>
  <c r="J66" i="31"/>
  <c r="K66" s="1"/>
  <c r="J66" i="30"/>
  <c r="K66" s="1"/>
  <c r="J66" i="29"/>
  <c r="K66" s="1"/>
  <c r="I1468" i="30"/>
  <c r="I1463" s="1"/>
  <c r="I1456" s="1"/>
  <c r="H1468" i="29"/>
  <c r="H1463" s="1"/>
  <c r="H1468" i="31"/>
  <c r="H1463" s="1"/>
  <c r="O1469" i="11"/>
  <c r="N1469" i="31"/>
  <c r="O1469" s="1"/>
  <c r="N1469" i="30"/>
  <c r="O1469" s="1"/>
  <c r="N1469" i="29"/>
  <c r="O1469" s="1"/>
  <c r="M66" i="11"/>
  <c r="L66" i="31"/>
  <c r="M66" s="1"/>
  <c r="L66" i="30"/>
  <c r="M66" s="1"/>
  <c r="L66" i="29"/>
  <c r="M66" s="1"/>
  <c r="I1468" i="31"/>
  <c r="I1463" s="1"/>
  <c r="I1456" s="1"/>
  <c r="I1445" s="1"/>
  <c r="I1444" s="1"/>
  <c r="I1443" s="1"/>
  <c r="I1468" i="29"/>
  <c r="I1463" s="1"/>
  <c r="I1456" s="1"/>
  <c r="I1445" s="1"/>
  <c r="I1444" s="1"/>
  <c r="I1443" s="1"/>
  <c r="I1428" s="1"/>
  <c r="O66" i="11"/>
  <c r="N66" i="31"/>
  <c r="O66" s="1"/>
  <c r="N66" i="29"/>
  <c r="O66" s="1"/>
  <c r="N66" i="30"/>
  <c r="O66" s="1"/>
  <c r="I65" i="11"/>
  <c r="G65"/>
  <c r="H65"/>
  <c r="O1441"/>
  <c r="M1441"/>
  <c r="K1441"/>
  <c r="O1434"/>
  <c r="M1434"/>
  <c r="K1434"/>
  <c r="O1426"/>
  <c r="M1426"/>
  <c r="O1423"/>
  <c r="M1423"/>
  <c r="K1419"/>
  <c r="K1416"/>
  <c r="O1413"/>
  <c r="M1413"/>
  <c r="K1413"/>
  <c r="O1407"/>
  <c r="M1407"/>
  <c r="O1404"/>
  <c r="M1404"/>
  <c r="K1404"/>
  <c r="O1401"/>
  <c r="M1401"/>
  <c r="K1401"/>
  <c r="O1395"/>
  <c r="K1395"/>
  <c r="O1388"/>
  <c r="K1388"/>
  <c r="M1468" i="29" l="1"/>
  <c r="O1468" i="31"/>
  <c r="O1468" i="30"/>
  <c r="M1463" i="29"/>
  <c r="H1456"/>
  <c r="O1468"/>
  <c r="I1445" i="30"/>
  <c r="I1444" s="1"/>
  <c r="I1443" s="1"/>
  <c r="M65" i="11"/>
  <c r="L65" i="31"/>
  <c r="M65" s="1"/>
  <c r="L65" i="30"/>
  <c r="M65" s="1"/>
  <c r="L65" i="29"/>
  <c r="M65" s="1"/>
  <c r="K65" i="11"/>
  <c r="J65" i="31"/>
  <c r="K65" s="1"/>
  <c r="J65" i="30"/>
  <c r="K65" s="1"/>
  <c r="J65" i="29"/>
  <c r="K65" s="1"/>
  <c r="O65" i="11"/>
  <c r="N65" i="31"/>
  <c r="O65" s="1"/>
  <c r="N65" i="30"/>
  <c r="O65" s="1"/>
  <c r="N65" i="29"/>
  <c r="O65" s="1"/>
  <c r="I1428" i="31"/>
  <c r="I1348" i="29"/>
  <c r="M1463" i="31"/>
  <c r="H1456"/>
  <c r="O1463" i="29"/>
  <c r="M1468" i="31"/>
  <c r="O1463" i="30"/>
  <c r="M1463"/>
  <c r="H1456"/>
  <c r="I64" i="11"/>
  <c r="H64"/>
  <c r="I1440"/>
  <c r="H1440"/>
  <c r="I1447"/>
  <c r="G64"/>
  <c r="I1400"/>
  <c r="H1400"/>
  <c r="G1400"/>
  <c r="G1440"/>
  <c r="H1447"/>
  <c r="G1433"/>
  <c r="I1433"/>
  <c r="H1433"/>
  <c r="O1440" l="1"/>
  <c r="N1440" i="31"/>
  <c r="O1440" s="1"/>
  <c r="N1440" i="30"/>
  <c r="O1440" s="1"/>
  <c r="N1440" i="29"/>
  <c r="O1440" s="1"/>
  <c r="K1440" i="11"/>
  <c r="J1440" i="31"/>
  <c r="K1440" s="1"/>
  <c r="J1440" i="30"/>
  <c r="K1440" s="1"/>
  <c r="J1440" i="29"/>
  <c r="K1440" s="1"/>
  <c r="M64" i="11"/>
  <c r="L64" i="31"/>
  <c r="M64" s="1"/>
  <c r="L64" i="30"/>
  <c r="M64" s="1"/>
  <c r="L64" i="29"/>
  <c r="M64" s="1"/>
  <c r="H1445" i="31"/>
  <c r="H1444" s="1"/>
  <c r="H1443" s="1"/>
  <c r="K1400" i="11"/>
  <c r="J1400" i="31"/>
  <c r="K1400" s="1"/>
  <c r="J1400" i="30"/>
  <c r="K1400" s="1"/>
  <c r="J1400" i="29"/>
  <c r="K1400" s="1"/>
  <c r="I1706"/>
  <c r="I1710" s="1"/>
  <c r="H1445" i="30"/>
  <c r="H1444" s="1"/>
  <c r="H1443" s="1"/>
  <c r="O1400" i="11"/>
  <c r="N1400" i="31"/>
  <c r="O1400" s="1"/>
  <c r="N1400" i="30"/>
  <c r="O1400" s="1"/>
  <c r="N1400" i="29"/>
  <c r="O1400" s="1"/>
  <c r="I1348" i="31"/>
  <c r="K1433" i="11"/>
  <c r="J1433" i="31"/>
  <c r="K1433" s="1"/>
  <c r="J1433" i="30"/>
  <c r="K1433" s="1"/>
  <c r="J1433" i="29"/>
  <c r="K1433" s="1"/>
  <c r="M1440" i="11"/>
  <c r="L1440" i="31"/>
  <c r="M1440" s="1"/>
  <c r="L1440" i="30"/>
  <c r="M1440" s="1"/>
  <c r="L1440" i="29"/>
  <c r="M1440" s="1"/>
  <c r="M1400" i="11"/>
  <c r="L1400" i="31"/>
  <c r="M1400" s="1"/>
  <c r="L1400" i="30"/>
  <c r="M1400" s="1"/>
  <c r="L1400" i="29"/>
  <c r="M1400" s="1"/>
  <c r="M1433" i="11"/>
  <c r="L1433" i="31"/>
  <c r="M1433" s="1"/>
  <c r="L1433" i="30"/>
  <c r="M1433" s="1"/>
  <c r="L1433" i="29"/>
  <c r="M1433" s="1"/>
  <c r="K64" i="11"/>
  <c r="J64" i="31"/>
  <c r="K64" s="1"/>
  <c r="J64" i="30"/>
  <c r="K64" s="1"/>
  <c r="J64" i="29"/>
  <c r="K64" s="1"/>
  <c r="H1445"/>
  <c r="H1444" s="1"/>
  <c r="H1443" s="1"/>
  <c r="H1428" s="1"/>
  <c r="H1348" s="1"/>
  <c r="H1706" s="1"/>
  <c r="H1710" s="1"/>
  <c r="M1447" i="11"/>
  <c r="L1447" i="31"/>
  <c r="M1447" s="1"/>
  <c r="L1447" i="30"/>
  <c r="M1447" s="1"/>
  <c r="L1447" i="29"/>
  <c r="M1447" s="1"/>
  <c r="O64" i="11"/>
  <c r="N64" i="31"/>
  <c r="O64" s="1"/>
  <c r="N64" i="30"/>
  <c r="O64" s="1"/>
  <c r="N64" i="29"/>
  <c r="O64" s="1"/>
  <c r="I1428" i="30"/>
  <c r="O1433" i="11"/>
  <c r="N1433" i="31"/>
  <c r="O1433" s="1"/>
  <c r="N1433" i="30"/>
  <c r="O1433" s="1"/>
  <c r="N1433" i="29"/>
  <c r="O1433" s="1"/>
  <c r="O1447" i="11"/>
  <c r="N1447" i="31"/>
  <c r="O1447" s="1"/>
  <c r="N1447" i="30"/>
  <c r="O1447" s="1"/>
  <c r="N1447" i="29"/>
  <c r="O1447" s="1"/>
  <c r="H1432" i="11"/>
  <c r="I1432"/>
  <c r="G1432"/>
  <c r="H1428" i="30" l="1"/>
  <c r="H1428" i="31"/>
  <c r="K1432" i="11"/>
  <c r="J1432" i="31"/>
  <c r="K1432" s="1"/>
  <c r="J1432" i="30"/>
  <c r="K1432" s="1"/>
  <c r="J1432" i="29"/>
  <c r="K1432" s="1"/>
  <c r="O1432" i="11"/>
  <c r="N1432" i="31"/>
  <c r="O1432" s="1"/>
  <c r="N1432" i="30"/>
  <c r="O1432" s="1"/>
  <c r="N1432" i="29"/>
  <c r="O1432" s="1"/>
  <c r="M1432" i="11"/>
  <c r="L1432" i="31"/>
  <c r="M1432" s="1"/>
  <c r="L1432" i="30"/>
  <c r="M1432" s="1"/>
  <c r="L1432" i="29"/>
  <c r="M1432" s="1"/>
  <c r="I1706" i="31"/>
  <c r="I1710" s="1"/>
  <c r="I1348" i="30"/>
  <c r="G1359" i="11"/>
  <c r="I1359"/>
  <c r="O1359" l="1"/>
  <c r="N1359" i="31"/>
  <c r="O1359" s="1"/>
  <c r="N1359" i="30"/>
  <c r="O1359" s="1"/>
  <c r="N1359" i="29"/>
  <c r="O1359" s="1"/>
  <c r="H1348" i="31"/>
  <c r="H1348" i="30"/>
  <c r="K1359" i="11"/>
  <c r="J1359" i="31"/>
  <c r="K1359" s="1"/>
  <c r="J1359" i="30"/>
  <c r="K1359" s="1"/>
  <c r="J1359" i="29"/>
  <c r="K1359" s="1"/>
  <c r="I1706" i="30"/>
  <c r="I1710" s="1"/>
  <c r="I1699" i="11"/>
  <c r="I1681"/>
  <c r="O1672"/>
  <c r="I1644"/>
  <c r="I1639"/>
  <c r="O1629"/>
  <c r="I1625"/>
  <c r="I1619"/>
  <c r="I1604"/>
  <c r="I1590"/>
  <c r="I1567"/>
  <c r="I1562"/>
  <c r="I1558"/>
  <c r="I1550"/>
  <c r="I1542"/>
  <c r="O1533"/>
  <c r="I1528"/>
  <c r="I1518"/>
  <c r="I1512"/>
  <c r="I1508"/>
  <c r="I1499"/>
  <c r="O1490"/>
  <c r="I1485"/>
  <c r="I1478"/>
  <c r="I1472"/>
  <c r="I1457"/>
  <c r="I1453"/>
  <c r="I1446"/>
  <c r="I1439"/>
  <c r="I1425"/>
  <c r="I1422"/>
  <c r="I1418"/>
  <c r="I1415"/>
  <c r="I1412"/>
  <c r="I1406"/>
  <c r="I1403"/>
  <c r="I1394"/>
  <c r="I1387"/>
  <c r="I1384"/>
  <c r="I1378"/>
  <c r="I1370"/>
  <c r="I1362"/>
  <c r="I1344"/>
  <c r="I1341"/>
  <c r="I1333"/>
  <c r="I1330"/>
  <c r="I1329"/>
  <c r="I1322"/>
  <c r="I1308"/>
  <c r="I1314"/>
  <c r="I1297"/>
  <c r="I1290"/>
  <c r="I1283"/>
  <c r="I1279"/>
  <c r="O1270"/>
  <c r="I1250"/>
  <c r="I1236"/>
  <c r="I1234"/>
  <c r="I1222"/>
  <c r="I1228"/>
  <c r="I1214"/>
  <c r="I1207"/>
  <c r="I1200"/>
  <c r="I1196"/>
  <c r="O1187"/>
  <c r="I1167"/>
  <c r="I1164"/>
  <c r="I1161"/>
  <c r="I1153"/>
  <c r="I1139"/>
  <c r="I1145"/>
  <c r="I1128"/>
  <c r="I1121"/>
  <c r="I1114"/>
  <c r="I1110"/>
  <c r="O1101"/>
  <c r="O1082"/>
  <c r="I1073"/>
  <c r="I1055"/>
  <c r="I1044"/>
  <c r="I1030"/>
  <c r="I1024"/>
  <c r="I1007"/>
  <c r="I1002"/>
  <c r="I998"/>
  <c r="O990"/>
  <c r="I974"/>
  <c r="I967"/>
  <c r="I964"/>
  <c r="I957"/>
  <c r="I938"/>
  <c r="I935"/>
  <c r="I932"/>
  <c r="I929"/>
  <c r="I926"/>
  <c r="I923"/>
  <c r="I920"/>
  <c r="I917"/>
  <c r="I914"/>
  <c r="I911"/>
  <c r="I908"/>
  <c r="I896"/>
  <c r="I901"/>
  <c r="I893"/>
  <c r="I888"/>
  <c r="I885"/>
  <c r="I846"/>
  <c r="I841"/>
  <c r="I833"/>
  <c r="I828"/>
  <c r="I810"/>
  <c r="I805"/>
  <c r="O796"/>
  <c r="I790"/>
  <c r="I778"/>
  <c r="I774"/>
  <c r="I770"/>
  <c r="I766"/>
  <c r="I759"/>
  <c r="I753"/>
  <c r="I749"/>
  <c r="I743"/>
  <c r="I735"/>
  <c r="I728"/>
  <c r="I724"/>
  <c r="I720"/>
  <c r="I716"/>
  <c r="I708"/>
  <c r="I704"/>
  <c r="I698"/>
  <c r="O683"/>
  <c r="I670"/>
  <c r="I667"/>
  <c r="I663"/>
  <c r="O657"/>
  <c r="I649"/>
  <c r="I636"/>
  <c r="I628"/>
  <c r="I625"/>
  <c r="I622"/>
  <c r="I619"/>
  <c r="O613"/>
  <c r="I603"/>
  <c r="I599"/>
  <c r="O590"/>
  <c r="I585"/>
  <c r="I579"/>
  <c r="I571"/>
  <c r="I567"/>
  <c r="I560"/>
  <c r="I554"/>
  <c r="I551"/>
  <c r="I519"/>
  <c r="I513"/>
  <c r="I508"/>
  <c r="I497"/>
  <c r="I486"/>
  <c r="O475"/>
  <c r="I468"/>
  <c r="I467"/>
  <c r="O460"/>
  <c r="I454"/>
  <c r="I451"/>
  <c r="I443"/>
  <c r="O437"/>
  <c r="I427"/>
  <c r="I419"/>
  <c r="O401"/>
  <c r="I387"/>
  <c r="I380"/>
  <c r="I378"/>
  <c r="I373"/>
  <c r="I367"/>
  <c r="I359"/>
  <c r="O349"/>
  <c r="I340"/>
  <c r="I334"/>
  <c r="I328"/>
  <c r="I319"/>
  <c r="O310"/>
  <c r="I299"/>
  <c r="I293"/>
  <c r="I286"/>
  <c r="O281"/>
  <c r="I271"/>
  <c r="I252"/>
  <c r="I244"/>
  <c r="I234"/>
  <c r="I226"/>
  <c r="I222"/>
  <c r="I217"/>
  <c r="O195"/>
  <c r="I190"/>
  <c r="I185"/>
  <c r="I178"/>
  <c r="I174"/>
  <c r="I165"/>
  <c r="I161"/>
  <c r="O148"/>
  <c r="I140"/>
  <c r="I136"/>
  <c r="I131"/>
  <c r="I127"/>
  <c r="I121"/>
  <c r="I115"/>
  <c r="I112"/>
  <c r="I105"/>
  <c r="I99"/>
  <c r="O93"/>
  <c r="I90"/>
  <c r="O78"/>
  <c r="I45"/>
  <c r="I38"/>
  <c r="I34"/>
  <c r="I20"/>
  <c r="I10"/>
  <c r="H1699"/>
  <c r="H1681"/>
  <c r="M1672"/>
  <c r="H1644"/>
  <c r="H1639"/>
  <c r="M1629"/>
  <c r="H1625"/>
  <c r="H1619"/>
  <c r="H1604"/>
  <c r="H1590"/>
  <c r="H1567"/>
  <c r="H1550"/>
  <c r="H1542"/>
  <c r="M1533"/>
  <c r="H1528"/>
  <c r="H1518"/>
  <c r="H1512"/>
  <c r="H1508"/>
  <c r="H1499"/>
  <c r="M1490"/>
  <c r="H1485"/>
  <c r="H1478"/>
  <c r="H1472"/>
  <c r="H1457"/>
  <c r="H1453"/>
  <c r="H1446"/>
  <c r="H1439"/>
  <c r="H1425"/>
  <c r="H1422"/>
  <c r="H1418"/>
  <c r="H1415"/>
  <c r="H1412"/>
  <c r="H1406"/>
  <c r="H1403"/>
  <c r="H914"/>
  <c r="H911"/>
  <c r="H908"/>
  <c r="H896"/>
  <c r="H901"/>
  <c r="H893"/>
  <c r="H888"/>
  <c r="H885"/>
  <c r="H846"/>
  <c r="H841"/>
  <c r="H833"/>
  <c r="H828"/>
  <c r="H810"/>
  <c r="H805"/>
  <c r="M796"/>
  <c r="H790"/>
  <c r="H778"/>
  <c r="H774"/>
  <c r="H770"/>
  <c r="H766"/>
  <c r="H759"/>
  <c r="H753"/>
  <c r="H749"/>
  <c r="H743"/>
  <c r="H735"/>
  <c r="H728"/>
  <c r="H724"/>
  <c r="H720"/>
  <c r="H716"/>
  <c r="H708"/>
  <c r="H704"/>
  <c r="H698"/>
  <c r="M683"/>
  <c r="H670"/>
  <c r="H667"/>
  <c r="H663"/>
  <c r="M657"/>
  <c r="H649"/>
  <c r="H636"/>
  <c r="H628"/>
  <c r="H625"/>
  <c r="H622"/>
  <c r="H619"/>
  <c r="M613"/>
  <c r="H603"/>
  <c r="H599"/>
  <c r="M590"/>
  <c r="H585"/>
  <c r="H579"/>
  <c r="H571"/>
  <c r="H567"/>
  <c r="H560"/>
  <c r="H554"/>
  <c r="H551"/>
  <c r="H519"/>
  <c r="H513"/>
  <c r="H508"/>
  <c r="H497"/>
  <c r="H486"/>
  <c r="M475"/>
  <c r="H468"/>
  <c r="H467"/>
  <c r="M460"/>
  <c r="H454"/>
  <c r="H451"/>
  <c r="H443"/>
  <c r="M437"/>
  <c r="H427"/>
  <c r="H419"/>
  <c r="M401"/>
  <c r="H387"/>
  <c r="H380"/>
  <c r="H378"/>
  <c r="H373"/>
  <c r="H367"/>
  <c r="H359"/>
  <c r="M349"/>
  <c r="H340"/>
  <c r="H334"/>
  <c r="H328"/>
  <c r="H319"/>
  <c r="M310"/>
  <c r="H299"/>
  <c r="H293"/>
  <c r="H286"/>
  <c r="M281"/>
  <c r="H271"/>
  <c r="H252"/>
  <c r="H244"/>
  <c r="H234"/>
  <c r="H226"/>
  <c r="H222"/>
  <c r="H217"/>
  <c r="M195"/>
  <c r="H190"/>
  <c r="H185"/>
  <c r="H178"/>
  <c r="H174"/>
  <c r="H165"/>
  <c r="H161"/>
  <c r="M148"/>
  <c r="H140"/>
  <c r="H136"/>
  <c r="H131"/>
  <c r="H127"/>
  <c r="H121"/>
  <c r="H115"/>
  <c r="H112"/>
  <c r="H105"/>
  <c r="H99"/>
  <c r="M93"/>
  <c r="H90"/>
  <c r="M78"/>
  <c r="H45"/>
  <c r="H38"/>
  <c r="H34"/>
  <c r="H20"/>
  <c r="H10"/>
  <c r="G45"/>
  <c r="G1341"/>
  <c r="G1333"/>
  <c r="G1283"/>
  <c r="G1297"/>
  <c r="G1290"/>
  <c r="G1121"/>
  <c r="G770"/>
  <c r="M90" l="1"/>
  <c r="L90" i="31"/>
  <c r="M90" s="1"/>
  <c r="L90" i="30"/>
  <c r="M90" s="1"/>
  <c r="L90" i="29"/>
  <c r="M90" s="1"/>
  <c r="M380" i="11"/>
  <c r="L380" i="31"/>
  <c r="M380" s="1"/>
  <c r="L380" i="30"/>
  <c r="M380" s="1"/>
  <c r="L380" i="29"/>
  <c r="M380" s="1"/>
  <c r="M698" i="11"/>
  <c r="L698" i="31"/>
  <c r="M698" s="1"/>
  <c r="L698" i="30"/>
  <c r="M698" s="1"/>
  <c r="L698" i="29"/>
  <c r="M698" s="1"/>
  <c r="M1446" i="11"/>
  <c r="L1446" i="31"/>
  <c r="M1446" s="1"/>
  <c r="L1446" i="30"/>
  <c r="M1446" s="1"/>
  <c r="L1446" i="29"/>
  <c r="M1446" s="1"/>
  <c r="O90" i="11"/>
  <c r="N90" i="31"/>
  <c r="O90" s="1"/>
  <c r="N90" i="30"/>
  <c r="O90" s="1"/>
  <c r="N90" i="29"/>
  <c r="O90" s="1"/>
  <c r="O252" i="11"/>
  <c r="N252" i="31"/>
  <c r="O252" s="1"/>
  <c r="N252" i="30"/>
  <c r="O252" s="1"/>
  <c r="N252" i="29"/>
  <c r="O252" s="1"/>
  <c r="O454" i="11"/>
  <c r="N454" i="31"/>
  <c r="O454" s="1"/>
  <c r="N454" i="30"/>
  <c r="O454" s="1"/>
  <c r="N454" i="29"/>
  <c r="O454" s="1"/>
  <c r="O698" i="11"/>
  <c r="N698" i="31"/>
  <c r="O698" s="1"/>
  <c r="N698" i="30"/>
  <c r="O698" s="1"/>
  <c r="N698" i="29"/>
  <c r="O698" s="1"/>
  <c r="O743" i="11"/>
  <c r="N743" i="31"/>
  <c r="O743" s="1"/>
  <c r="N743" i="30"/>
  <c r="O743" s="1"/>
  <c r="N743" i="29"/>
  <c r="O743" s="1"/>
  <c r="O957" i="11"/>
  <c r="N957" i="31"/>
  <c r="O957" s="1"/>
  <c r="N957" i="30"/>
  <c r="O957" s="1"/>
  <c r="N957" i="29"/>
  <c r="O957" s="1"/>
  <c r="O1024" i="11"/>
  <c r="N1024" i="31"/>
  <c r="O1024" s="1"/>
  <c r="N1024" i="30"/>
  <c r="O1024" s="1"/>
  <c r="N1024" i="29"/>
  <c r="O1024" s="1"/>
  <c r="O1114" i="11"/>
  <c r="N1114" i="31"/>
  <c r="O1114" s="1"/>
  <c r="N1114" i="30"/>
  <c r="O1114" s="1"/>
  <c r="N1114" i="29"/>
  <c r="O1114" s="1"/>
  <c r="O1167" i="11"/>
  <c r="N1167" i="31"/>
  <c r="O1167" s="1"/>
  <c r="N1167" i="30"/>
  <c r="O1167" s="1"/>
  <c r="N1167" i="29"/>
  <c r="O1167" s="1"/>
  <c r="O1234" i="11"/>
  <c r="N1234" i="31"/>
  <c r="O1234" s="1"/>
  <c r="N1234" i="30"/>
  <c r="O1234" s="1"/>
  <c r="N1234" i="29"/>
  <c r="O1234" s="1"/>
  <c r="O1314" i="11"/>
  <c r="N1314" i="31"/>
  <c r="O1314" s="1"/>
  <c r="N1314" i="30"/>
  <c r="O1314" s="1"/>
  <c r="N1314" i="29"/>
  <c r="O1314" s="1"/>
  <c r="O1362" i="11"/>
  <c r="N1362" i="31"/>
  <c r="O1362" s="1"/>
  <c r="N1362" i="30"/>
  <c r="O1362" s="1"/>
  <c r="N1362" i="29"/>
  <c r="O1362" s="1"/>
  <c r="O1412" i="11"/>
  <c r="N1412" i="31"/>
  <c r="O1412" s="1"/>
  <c r="N1412" i="30"/>
  <c r="O1412" s="1"/>
  <c r="N1412" i="29"/>
  <c r="O1412" s="1"/>
  <c r="O1457" i="11"/>
  <c r="N1457" i="31"/>
  <c r="O1457" s="1"/>
  <c r="N1457" i="30"/>
  <c r="O1457" s="1"/>
  <c r="N1457" i="29"/>
  <c r="O1457" s="1"/>
  <c r="H1706" i="30"/>
  <c r="H1710" s="1"/>
  <c r="K45" i="11"/>
  <c r="J45" i="31"/>
  <c r="K45" s="1"/>
  <c r="J45" i="30"/>
  <c r="K45" s="1"/>
  <c r="J45" i="29"/>
  <c r="K45" s="1"/>
  <c r="M136" i="11"/>
  <c r="L136" i="31"/>
  <c r="M136" s="1"/>
  <c r="L136" i="30"/>
  <c r="M136" s="1"/>
  <c r="L136" i="29"/>
  <c r="M136" s="1"/>
  <c r="M190" i="11"/>
  <c r="L190" i="31"/>
  <c r="M190" s="1"/>
  <c r="L190" i="29"/>
  <c r="M190" s="1"/>
  <c r="L190" i="30"/>
  <c r="M190" s="1"/>
  <c r="L271" i="31"/>
  <c r="M271" s="1"/>
  <c r="L271" i="29"/>
  <c r="M271" s="1"/>
  <c r="L271" i="30"/>
  <c r="M271" s="1"/>
  <c r="M334" i="11"/>
  <c r="L334" i="31"/>
  <c r="M334" s="1"/>
  <c r="L334" i="30"/>
  <c r="M334" s="1"/>
  <c r="L334" i="29"/>
  <c r="M334" s="1"/>
  <c r="M387" i="11"/>
  <c r="L387" i="31"/>
  <c r="M387" s="1"/>
  <c r="L387" i="30"/>
  <c r="M387" s="1"/>
  <c r="L387" i="29"/>
  <c r="M387" s="1"/>
  <c r="M519" i="11"/>
  <c r="L519" i="31"/>
  <c r="M519" s="1"/>
  <c r="L519" i="29"/>
  <c r="M519" s="1"/>
  <c r="L519" i="30"/>
  <c r="M519" s="1"/>
  <c r="M636" i="11"/>
  <c r="L636" i="31"/>
  <c r="M636" s="1"/>
  <c r="L636" i="30"/>
  <c r="M636" s="1"/>
  <c r="L636" i="29"/>
  <c r="M636" s="1"/>
  <c r="M704" i="11"/>
  <c r="L704" i="31"/>
  <c r="M704" s="1"/>
  <c r="L704" i="30"/>
  <c r="M704" s="1"/>
  <c r="L704" i="29"/>
  <c r="M704" s="1"/>
  <c r="M749" i="11"/>
  <c r="L749" i="31"/>
  <c r="M749" s="1"/>
  <c r="L749" i="30"/>
  <c r="M749" s="1"/>
  <c r="L749" i="29"/>
  <c r="M749" s="1"/>
  <c r="M888" i="11"/>
  <c r="L888" i="31"/>
  <c r="M888" s="1"/>
  <c r="L888" i="30"/>
  <c r="M888" s="1"/>
  <c r="L888" i="29"/>
  <c r="M888" s="1"/>
  <c r="M1406" i="11"/>
  <c r="L1406" i="31"/>
  <c r="M1406" s="1"/>
  <c r="L1406" i="30"/>
  <c r="M1406" s="1"/>
  <c r="L1406" i="29"/>
  <c r="M1406" s="1"/>
  <c r="M1453" i="11"/>
  <c r="L1453" i="31"/>
  <c r="M1453" s="1"/>
  <c r="L1453" i="29"/>
  <c r="M1453" s="1"/>
  <c r="L1453" i="30"/>
  <c r="M1453" s="1"/>
  <c r="M1512" i="11"/>
  <c r="L1512" i="31"/>
  <c r="M1512" s="1"/>
  <c r="L1512" i="30"/>
  <c r="M1512" s="1"/>
  <c r="L1512" i="29"/>
  <c r="M1512" s="1"/>
  <c r="M1604" i="11"/>
  <c r="L1604" i="31"/>
  <c r="M1604" s="1"/>
  <c r="L1604" i="30"/>
  <c r="M1604" s="1"/>
  <c r="L1604" i="29"/>
  <c r="M1604" s="1"/>
  <c r="M1699" i="11"/>
  <c r="L1699" i="31"/>
  <c r="M1699" s="1"/>
  <c r="L1699" i="30"/>
  <c r="M1699" s="1"/>
  <c r="L1699" i="29"/>
  <c r="M1699" s="1"/>
  <c r="O136" i="11"/>
  <c r="N136" i="31"/>
  <c r="O136" s="1"/>
  <c r="N136" i="30"/>
  <c r="O136" s="1"/>
  <c r="N136" i="29"/>
  <c r="O136" s="1"/>
  <c r="O190" i="11"/>
  <c r="N190" i="31"/>
  <c r="O190" s="1"/>
  <c r="N190" i="29"/>
  <c r="O190" s="1"/>
  <c r="N190" i="30"/>
  <c r="O190" s="1"/>
  <c r="N271" i="31"/>
  <c r="O271" s="1"/>
  <c r="N271" i="30"/>
  <c r="O271" s="1"/>
  <c r="N271" i="29"/>
  <c r="O271" s="1"/>
  <c r="O334" i="11"/>
  <c r="N334" i="31"/>
  <c r="O334" s="1"/>
  <c r="N334" i="30"/>
  <c r="O334" s="1"/>
  <c r="N334" i="29"/>
  <c r="O334" s="1"/>
  <c r="O387" i="11"/>
  <c r="N387" i="31"/>
  <c r="O387" s="1"/>
  <c r="N387" i="29"/>
  <c r="O387" s="1"/>
  <c r="N387" i="30"/>
  <c r="O387" s="1"/>
  <c r="O519" i="11"/>
  <c r="N519" i="31"/>
  <c r="O519" s="1"/>
  <c r="N519" i="30"/>
  <c r="O519" s="1"/>
  <c r="N519" i="29"/>
  <c r="O519" s="1"/>
  <c r="O636" i="11"/>
  <c r="N636" i="31"/>
  <c r="O636" s="1"/>
  <c r="N636" i="30"/>
  <c r="O636" s="1"/>
  <c r="N636" i="29"/>
  <c r="O636" s="1"/>
  <c r="O704" i="11"/>
  <c r="N704" i="31"/>
  <c r="O704" s="1"/>
  <c r="N704" i="30"/>
  <c r="O704" s="1"/>
  <c r="N704" i="29"/>
  <c r="O704" s="1"/>
  <c r="O749" i="11"/>
  <c r="N749" i="31"/>
  <c r="O749" s="1"/>
  <c r="N749" i="30"/>
  <c r="O749" s="1"/>
  <c r="N749" i="29"/>
  <c r="O749" s="1"/>
  <c r="O888" i="11"/>
  <c r="N888" i="31"/>
  <c r="O888" s="1"/>
  <c r="N888" i="30"/>
  <c r="O888" s="1"/>
  <c r="N888" i="29"/>
  <c r="O888" s="1"/>
  <c r="O920" i="11"/>
  <c r="N920" i="31"/>
  <c r="O920" s="1"/>
  <c r="N920" i="30"/>
  <c r="O920" s="1"/>
  <c r="N920" i="29"/>
  <c r="O920" s="1"/>
  <c r="O964" i="11"/>
  <c r="N964" i="31"/>
  <c r="O964" s="1"/>
  <c r="N964" i="30"/>
  <c r="O964" s="1"/>
  <c r="N964" i="29"/>
  <c r="O964" s="1"/>
  <c r="O1030" i="11"/>
  <c r="N1030" i="31"/>
  <c r="O1030" s="1"/>
  <c r="N1030" i="30"/>
  <c r="O1030" s="1"/>
  <c r="N1030" i="29"/>
  <c r="O1030" s="1"/>
  <c r="O1121" i="11"/>
  <c r="N1121" i="31"/>
  <c r="O1121" s="1"/>
  <c r="N1121" i="30"/>
  <c r="O1121" s="1"/>
  <c r="N1121" i="29"/>
  <c r="O1121" s="1"/>
  <c r="O1236" i="11"/>
  <c r="N1236" i="31"/>
  <c r="O1236" s="1"/>
  <c r="N1236" i="30"/>
  <c r="O1236" s="1"/>
  <c r="N1236" i="29"/>
  <c r="O1236" s="1"/>
  <c r="O1308" i="11"/>
  <c r="N1308" i="31"/>
  <c r="O1308" s="1"/>
  <c r="N1308" i="30"/>
  <c r="O1308" s="1"/>
  <c r="N1308" i="29"/>
  <c r="O1308" s="1"/>
  <c r="O1370" i="11"/>
  <c r="N1370" i="31"/>
  <c r="O1370" s="1"/>
  <c r="N1370" i="30"/>
  <c r="O1370" s="1"/>
  <c r="N1370" i="29"/>
  <c r="O1370" s="1"/>
  <c r="O1415" i="11"/>
  <c r="N1415" i="31"/>
  <c r="O1415" s="1"/>
  <c r="N1415" i="30"/>
  <c r="O1415" s="1"/>
  <c r="N1415" i="29"/>
  <c r="O1415" s="1"/>
  <c r="O1472" i="11"/>
  <c r="N1472" i="31"/>
  <c r="O1472" s="1"/>
  <c r="N1472" i="30"/>
  <c r="O1472" s="1"/>
  <c r="N1472" i="29"/>
  <c r="O1472" s="1"/>
  <c r="O1528" i="11"/>
  <c r="N1528" i="31"/>
  <c r="O1528" s="1"/>
  <c r="N1528" i="30"/>
  <c r="O1528" s="1"/>
  <c r="N1528" i="29"/>
  <c r="O1528" s="1"/>
  <c r="O1604" i="11"/>
  <c r="N1604" i="31"/>
  <c r="O1604" s="1"/>
  <c r="N1604" i="30"/>
  <c r="O1604" s="1"/>
  <c r="N1604" i="29"/>
  <c r="O1604" s="1"/>
  <c r="O1699" i="11"/>
  <c r="N1699" i="31"/>
  <c r="O1699" s="1"/>
  <c r="N1699" i="30"/>
  <c r="O1699" s="1"/>
  <c r="N1699" i="29"/>
  <c r="O1699" s="1"/>
  <c r="K770" i="11"/>
  <c r="J770" i="31"/>
  <c r="K770" s="1"/>
  <c r="J770" i="30"/>
  <c r="K770" s="1"/>
  <c r="J770" i="29"/>
  <c r="K770" s="1"/>
  <c r="M10" i="11"/>
  <c r="L10" i="31"/>
  <c r="M10" s="1"/>
  <c r="L10" i="30"/>
  <c r="M10" s="1"/>
  <c r="L10" i="29"/>
  <c r="M10" s="1"/>
  <c r="M99" i="11"/>
  <c r="L99" i="31"/>
  <c r="M99" s="1"/>
  <c r="L99" i="30"/>
  <c r="M99" s="1"/>
  <c r="L99" i="29"/>
  <c r="M99" s="1"/>
  <c r="M140" i="11"/>
  <c r="L140" i="31"/>
  <c r="M140" s="1"/>
  <c r="L140" i="30"/>
  <c r="M140" s="1"/>
  <c r="L140" i="29"/>
  <c r="M140" s="1"/>
  <c r="M340" i="11"/>
  <c r="L340" i="31"/>
  <c r="M340" s="1"/>
  <c r="L340" i="30"/>
  <c r="M340" s="1"/>
  <c r="L340" i="29"/>
  <c r="M340" s="1"/>
  <c r="M467" i="11"/>
  <c r="L467" i="31"/>
  <c r="M467" s="1"/>
  <c r="L467" i="30"/>
  <c r="M467" s="1"/>
  <c r="L467" i="29"/>
  <c r="M467" s="1"/>
  <c r="M551" i="11"/>
  <c r="L551" i="31"/>
  <c r="M551" s="1"/>
  <c r="L551" i="30"/>
  <c r="M551" s="1"/>
  <c r="L551" i="29"/>
  <c r="M551" s="1"/>
  <c r="L599" i="31"/>
  <c r="M599" s="1"/>
  <c r="L599" i="30"/>
  <c r="M599" s="1"/>
  <c r="M649" i="11"/>
  <c r="L649" i="31"/>
  <c r="M649" s="1"/>
  <c r="L649" i="30"/>
  <c r="M649" s="1"/>
  <c r="L649" i="29"/>
  <c r="M649" s="1"/>
  <c r="M708" i="11"/>
  <c r="L708" i="31"/>
  <c r="M708" s="1"/>
  <c r="L708" i="30"/>
  <c r="M708" s="1"/>
  <c r="L708" i="29"/>
  <c r="M708" s="1"/>
  <c r="L753" i="31"/>
  <c r="M753" s="1"/>
  <c r="L753" i="30"/>
  <c r="M753" s="1"/>
  <c r="L753" i="29"/>
  <c r="M753" s="1"/>
  <c r="M805" i="11"/>
  <c r="L805" i="31"/>
  <c r="M805" s="1"/>
  <c r="L805" i="30"/>
  <c r="M805" s="1"/>
  <c r="L805" i="29"/>
  <c r="M805" s="1"/>
  <c r="M893" i="11"/>
  <c r="L893" i="31"/>
  <c r="M893" s="1"/>
  <c r="L893" i="30"/>
  <c r="M893" s="1"/>
  <c r="L893" i="29"/>
  <c r="M893" s="1"/>
  <c r="M1412" i="11"/>
  <c r="L1412" i="31"/>
  <c r="M1412" s="1"/>
  <c r="L1412" i="30"/>
  <c r="M1412" s="1"/>
  <c r="L1412" i="29"/>
  <c r="M1412" s="1"/>
  <c r="M1457" i="11"/>
  <c r="L1457" i="31"/>
  <c r="M1457" s="1"/>
  <c r="L1457" i="30"/>
  <c r="M1457" s="1"/>
  <c r="L1457" i="29"/>
  <c r="M1457" s="1"/>
  <c r="M1518" i="11"/>
  <c r="L1518" i="31"/>
  <c r="M1518" s="1"/>
  <c r="L1518" i="30"/>
  <c r="M1518" s="1"/>
  <c r="L1518" i="29"/>
  <c r="M1518" s="1"/>
  <c r="M1619" i="11"/>
  <c r="L1619" i="31"/>
  <c r="M1619" s="1"/>
  <c r="L1619" i="30"/>
  <c r="M1619" s="1"/>
  <c r="L1619" i="29"/>
  <c r="M1619" s="1"/>
  <c r="O10" i="11"/>
  <c r="N10" i="31"/>
  <c r="O10" s="1"/>
  <c r="N10" i="29"/>
  <c r="O10" s="1"/>
  <c r="N10" i="30"/>
  <c r="O10" s="1"/>
  <c r="O99" i="11"/>
  <c r="N99" i="31"/>
  <c r="O99" s="1"/>
  <c r="N99" i="30"/>
  <c r="O99" s="1"/>
  <c r="N99" i="29"/>
  <c r="O99" s="1"/>
  <c r="O140" i="11"/>
  <c r="N140" i="31"/>
  <c r="O140" s="1"/>
  <c r="N140" i="30"/>
  <c r="O140" s="1"/>
  <c r="N140" i="29"/>
  <c r="O140" s="1"/>
  <c r="O340" i="11"/>
  <c r="N340" i="31"/>
  <c r="O340" s="1"/>
  <c r="N340" i="30"/>
  <c r="O340" s="1"/>
  <c r="N340" i="29"/>
  <c r="O340" s="1"/>
  <c r="O467" i="11"/>
  <c r="N467" i="31"/>
  <c r="O467" s="1"/>
  <c r="N467" i="30"/>
  <c r="O467" s="1"/>
  <c r="N467" i="29"/>
  <c r="O467" s="1"/>
  <c r="O551" i="11"/>
  <c r="N551" i="31"/>
  <c r="O551" s="1"/>
  <c r="N551" i="30"/>
  <c r="O551" s="1"/>
  <c r="N551" i="29"/>
  <c r="O551" s="1"/>
  <c r="N599" i="31"/>
  <c r="O599" s="1"/>
  <c r="N599" i="30"/>
  <c r="O599" s="1"/>
  <c r="O649" i="11"/>
  <c r="N649" i="31"/>
  <c r="O649" s="1"/>
  <c r="N649" i="30"/>
  <c r="O649" s="1"/>
  <c r="N649" i="29"/>
  <c r="O649" s="1"/>
  <c r="O708" i="11"/>
  <c r="N708" i="31"/>
  <c r="O708" s="1"/>
  <c r="N708" i="30"/>
  <c r="O708" s="1"/>
  <c r="N708" i="29"/>
  <c r="O708" s="1"/>
  <c r="N753" i="31"/>
  <c r="O753" s="1"/>
  <c r="N753" i="30"/>
  <c r="O753" s="1"/>
  <c r="N753" i="29"/>
  <c r="O753" s="1"/>
  <c r="O805" i="11"/>
  <c r="N805" i="31"/>
  <c r="O805" s="1"/>
  <c r="N805" i="30"/>
  <c r="O805" s="1"/>
  <c r="N805" i="29"/>
  <c r="O805" s="1"/>
  <c r="O893" i="11"/>
  <c r="N893" i="31"/>
  <c r="O893" s="1"/>
  <c r="N893" i="30"/>
  <c r="O893" s="1"/>
  <c r="N893" i="29"/>
  <c r="O893" s="1"/>
  <c r="O923" i="11"/>
  <c r="N923" i="31"/>
  <c r="O923" s="1"/>
  <c r="N923" i="30"/>
  <c r="O923" s="1"/>
  <c r="N923" i="29"/>
  <c r="O923" s="1"/>
  <c r="O967" i="11"/>
  <c r="N967" i="31"/>
  <c r="O967" s="1"/>
  <c r="N967" i="30"/>
  <c r="O967" s="1"/>
  <c r="N967" i="29"/>
  <c r="O967" s="1"/>
  <c r="O1044" i="11"/>
  <c r="N1044" i="31"/>
  <c r="O1044" s="1"/>
  <c r="N1044" i="30"/>
  <c r="O1044" s="1"/>
  <c r="N1044" i="29"/>
  <c r="O1044" s="1"/>
  <c r="O1128" i="11"/>
  <c r="N1128" i="31"/>
  <c r="O1128" s="1"/>
  <c r="N1128" i="30"/>
  <c r="O1128" s="1"/>
  <c r="N1128" i="29"/>
  <c r="O1128" s="1"/>
  <c r="O1196" i="11"/>
  <c r="N1196" i="31"/>
  <c r="O1196" s="1"/>
  <c r="N1196" i="30"/>
  <c r="O1196" s="1"/>
  <c r="N1196" i="29"/>
  <c r="O1196" s="1"/>
  <c r="O1250" i="11"/>
  <c r="N1250" i="31"/>
  <c r="O1250" s="1"/>
  <c r="N1250" i="30"/>
  <c r="O1250" s="1"/>
  <c r="N1250" i="29"/>
  <c r="O1250" s="1"/>
  <c r="O1322" i="11"/>
  <c r="N1322" i="31"/>
  <c r="O1322" s="1"/>
  <c r="N1322" i="29"/>
  <c r="O1322" s="1"/>
  <c r="N1322" i="30"/>
  <c r="O1322" s="1"/>
  <c r="O1378" i="11"/>
  <c r="N1378" i="31"/>
  <c r="O1378" s="1"/>
  <c r="N1378" i="30"/>
  <c r="O1378" s="1"/>
  <c r="N1378" i="29"/>
  <c r="O1378" s="1"/>
  <c r="O1418" i="11"/>
  <c r="N1418" i="31"/>
  <c r="O1418" s="1"/>
  <c r="N1418" i="30"/>
  <c r="O1418" s="1"/>
  <c r="N1418" i="29"/>
  <c r="O1418" s="1"/>
  <c r="O1478" i="11"/>
  <c r="N1478" i="31"/>
  <c r="O1478" s="1"/>
  <c r="N1478" i="30"/>
  <c r="O1478" s="1"/>
  <c r="N1478" i="29"/>
  <c r="O1478" s="1"/>
  <c r="O1619" i="11"/>
  <c r="N1619" i="31"/>
  <c r="O1619" s="1"/>
  <c r="N1619" i="30"/>
  <c r="O1619" s="1"/>
  <c r="N1619" i="29"/>
  <c r="O1619" s="1"/>
  <c r="H1706" i="31"/>
  <c r="H1710" s="1"/>
  <c r="K1341" i="11"/>
  <c r="J1341" i="31"/>
  <c r="K1341" s="1"/>
  <c r="J1341" i="30"/>
  <c r="K1341" s="1"/>
  <c r="J1341" i="29"/>
  <c r="K1341" s="1"/>
  <c r="M252" i="11"/>
  <c r="L252" i="31"/>
  <c r="M252" s="1"/>
  <c r="L252" i="30"/>
  <c r="M252" s="1"/>
  <c r="L252" i="29"/>
  <c r="M252" s="1"/>
  <c r="M585" i="11"/>
  <c r="L585" i="31"/>
  <c r="M585" s="1"/>
  <c r="L585" i="30"/>
  <c r="M585" s="1"/>
  <c r="L585" i="29"/>
  <c r="M585" s="1"/>
  <c r="M743" i="11"/>
  <c r="L743" i="31"/>
  <c r="M743" s="1"/>
  <c r="L743" i="30"/>
  <c r="M743" s="1"/>
  <c r="L743" i="29"/>
  <c r="M743" s="1"/>
  <c r="M1403" i="11"/>
  <c r="L1403" i="31"/>
  <c r="M1403" s="1"/>
  <c r="L1403" i="30"/>
  <c r="M1403" s="1"/>
  <c r="L1403" i="29"/>
  <c r="M1403" s="1"/>
  <c r="M1681" i="11"/>
  <c r="L1681" i="31"/>
  <c r="M1681" s="1"/>
  <c r="L1681" i="30"/>
  <c r="M1681" s="1"/>
  <c r="L1681" i="29"/>
  <c r="M1681" s="1"/>
  <c r="O328" i="11"/>
  <c r="N328" i="31"/>
  <c r="O328" s="1"/>
  <c r="N328" i="30"/>
  <c r="O328" s="1"/>
  <c r="N328" i="29"/>
  <c r="O328" s="1"/>
  <c r="O585" i="11"/>
  <c r="N585" i="31"/>
  <c r="O585" s="1"/>
  <c r="N585" i="30"/>
  <c r="O585" s="1"/>
  <c r="N585" i="29"/>
  <c r="O585" s="1"/>
  <c r="O885" i="11"/>
  <c r="N885" i="31"/>
  <c r="O885" s="1"/>
  <c r="N885" i="30"/>
  <c r="O885" s="1"/>
  <c r="N885" i="29"/>
  <c r="O885" s="1"/>
  <c r="O1518" i="11"/>
  <c r="N1518" i="31"/>
  <c r="O1518" s="1"/>
  <c r="N1518" i="30"/>
  <c r="O1518" s="1"/>
  <c r="N1518" i="29"/>
  <c r="O1518" s="1"/>
  <c r="K1121" i="11"/>
  <c r="J1121" i="31"/>
  <c r="K1121" s="1"/>
  <c r="J1121" i="30"/>
  <c r="K1121" s="1"/>
  <c r="J1121" i="29"/>
  <c r="K1121" s="1"/>
  <c r="M554" i="11"/>
  <c r="L554" i="31"/>
  <c r="M554" s="1"/>
  <c r="L554" i="30"/>
  <c r="M554" s="1"/>
  <c r="L554" i="29"/>
  <c r="M554" s="1"/>
  <c r="M603" i="11"/>
  <c r="L603" i="31"/>
  <c r="M603" s="1"/>
  <c r="L603" i="30"/>
  <c r="M603" s="1"/>
  <c r="L603" i="29"/>
  <c r="M603" s="1"/>
  <c r="M759" i="11"/>
  <c r="L759" i="31"/>
  <c r="M759" s="1"/>
  <c r="L759" i="30"/>
  <c r="M759" s="1"/>
  <c r="L759" i="29"/>
  <c r="M759" s="1"/>
  <c r="M1415" i="11"/>
  <c r="L1415" i="31"/>
  <c r="M1415" s="1"/>
  <c r="L1415" i="29"/>
  <c r="M1415" s="1"/>
  <c r="L1415" i="30"/>
  <c r="M1415" s="1"/>
  <c r="M1625" i="11"/>
  <c r="L1625" i="31"/>
  <c r="M1625" s="1"/>
  <c r="L1625" i="30"/>
  <c r="M1625" s="1"/>
  <c r="L1625" i="29"/>
  <c r="M1625" s="1"/>
  <c r="O554" i="11"/>
  <c r="N554" i="31"/>
  <c r="O554" s="1"/>
  <c r="N554" i="30"/>
  <c r="O554" s="1"/>
  <c r="N554" i="29"/>
  <c r="O554" s="1"/>
  <c r="O716" i="11"/>
  <c r="N716" i="31"/>
  <c r="O716" s="1"/>
  <c r="N716" i="30"/>
  <c r="O716" s="1"/>
  <c r="N716" i="29"/>
  <c r="O716" s="1"/>
  <c r="O901" i="11"/>
  <c r="N901" i="31"/>
  <c r="O901" s="1"/>
  <c r="N901" i="29"/>
  <c r="O901" s="1"/>
  <c r="N901" i="30"/>
  <c r="O901" s="1"/>
  <c r="O1055" i="11"/>
  <c r="N1055" i="31"/>
  <c r="O1055" s="1"/>
  <c r="N1055" i="30"/>
  <c r="O1055" s="1"/>
  <c r="N1055" i="29"/>
  <c r="O1055" s="1"/>
  <c r="O1200" i="11"/>
  <c r="N1200" i="31"/>
  <c r="O1200" s="1"/>
  <c r="N1200" i="30"/>
  <c r="O1200" s="1"/>
  <c r="N1200" i="29"/>
  <c r="O1200" s="1"/>
  <c r="O1329" i="11"/>
  <c r="N1329" i="31"/>
  <c r="O1329" s="1"/>
  <c r="N1329" i="30"/>
  <c r="O1329" s="1"/>
  <c r="N1329" i="29"/>
  <c r="O1329" s="1"/>
  <c r="O1485" i="11"/>
  <c r="N1485" i="31"/>
  <c r="O1485" s="1"/>
  <c r="N1485" i="30"/>
  <c r="O1485" s="1"/>
  <c r="N1485" i="29"/>
  <c r="O1485" s="1"/>
  <c r="O1542" i="11"/>
  <c r="N1542" i="31"/>
  <c r="O1542" s="1"/>
  <c r="N1542" i="30"/>
  <c r="O1542" s="1"/>
  <c r="N1542" i="29"/>
  <c r="O1542" s="1"/>
  <c r="O1625" i="11"/>
  <c r="N1625" i="31"/>
  <c r="O1625" s="1"/>
  <c r="N1625" i="30"/>
  <c r="O1625" s="1"/>
  <c r="N1625" i="29"/>
  <c r="O1625" s="1"/>
  <c r="K1290" i="11"/>
  <c r="J1290" i="31"/>
  <c r="K1290" s="1"/>
  <c r="J1290" i="30"/>
  <c r="K1290" s="1"/>
  <c r="J1290" i="29"/>
  <c r="K1290" s="1"/>
  <c r="M161" i="11"/>
  <c r="L161" i="31"/>
  <c r="M161" s="1"/>
  <c r="L161" i="30"/>
  <c r="M161" s="1"/>
  <c r="L161" i="29"/>
  <c r="M161" s="1"/>
  <c r="M359" i="11"/>
  <c r="L359" i="31"/>
  <c r="M359" s="1"/>
  <c r="L359" i="30"/>
  <c r="M359" s="1"/>
  <c r="L359" i="29"/>
  <c r="M359" s="1"/>
  <c r="M560" i="11"/>
  <c r="L560" i="31"/>
  <c r="M560" s="1"/>
  <c r="L560" i="29"/>
  <c r="M560" s="1"/>
  <c r="L560" i="30"/>
  <c r="M560" s="1"/>
  <c r="M720" i="11"/>
  <c r="L720" i="31"/>
  <c r="M720" s="1"/>
  <c r="L720" i="30"/>
  <c r="M720" s="1"/>
  <c r="L720" i="29"/>
  <c r="M720" s="1"/>
  <c r="M896" i="11"/>
  <c r="L896" i="31"/>
  <c r="M896" s="1"/>
  <c r="L896" i="30"/>
  <c r="M896" s="1"/>
  <c r="L896" i="29"/>
  <c r="M896" s="1"/>
  <c r="M1478" i="11"/>
  <c r="L1478" i="31"/>
  <c r="M1478" s="1"/>
  <c r="L1478" i="30"/>
  <c r="M1478" s="1"/>
  <c r="L1478" i="29"/>
  <c r="M1478" s="1"/>
  <c r="O34" i="11"/>
  <c r="N34" i="31"/>
  <c r="O34" s="1"/>
  <c r="N34" i="30"/>
  <c r="O34" s="1"/>
  <c r="N34" i="29"/>
  <c r="O34" s="1"/>
  <c r="O112" i="11"/>
  <c r="N112" i="31"/>
  <c r="O112" s="1"/>
  <c r="N112" i="30"/>
  <c r="O112" s="1"/>
  <c r="N112" i="29"/>
  <c r="O112" s="1"/>
  <c r="O293" i="11"/>
  <c r="N293" i="31"/>
  <c r="O293" s="1"/>
  <c r="N293" i="30"/>
  <c r="O293" s="1"/>
  <c r="N293" i="29"/>
  <c r="O293" s="1"/>
  <c r="O427" i="11"/>
  <c r="N427" i="31"/>
  <c r="O427" s="1"/>
  <c r="N427" i="30"/>
  <c r="O427" s="1"/>
  <c r="N427" i="29"/>
  <c r="O427" s="1"/>
  <c r="O720" i="11"/>
  <c r="N720" i="31"/>
  <c r="O720" s="1"/>
  <c r="N720" i="30"/>
  <c r="O720" s="1"/>
  <c r="N720" i="29"/>
  <c r="O720" s="1"/>
  <c r="O766" i="11"/>
  <c r="N766" i="31"/>
  <c r="O766" s="1"/>
  <c r="N766" i="30"/>
  <c r="O766" s="1"/>
  <c r="N766" i="29"/>
  <c r="O766" s="1"/>
  <c r="O929" i="11"/>
  <c r="N929" i="31"/>
  <c r="O929" s="1"/>
  <c r="N929" i="30"/>
  <c r="O929" s="1"/>
  <c r="N929" i="29"/>
  <c r="O929" s="1"/>
  <c r="N1073" i="31"/>
  <c r="O1073" s="1"/>
  <c r="N1073" i="30"/>
  <c r="O1073" s="1"/>
  <c r="N1073" i="29"/>
  <c r="O1073" s="1"/>
  <c r="O1207" i="11"/>
  <c r="N1207" i="31"/>
  <c r="O1207" s="1"/>
  <c r="N1207" i="30"/>
  <c r="O1207" s="1"/>
  <c r="N1207" i="29"/>
  <c r="O1207" s="1"/>
  <c r="O1330" i="11"/>
  <c r="N1330" i="31"/>
  <c r="O1330" s="1"/>
  <c r="N1330" i="30"/>
  <c r="O1330" s="1"/>
  <c r="N1330" i="29"/>
  <c r="O1330" s="1"/>
  <c r="O1387" i="11"/>
  <c r="N1387" i="31"/>
  <c r="O1387" s="1"/>
  <c r="N1387" i="30"/>
  <c r="O1387" s="1"/>
  <c r="N1387" i="29"/>
  <c r="O1387" s="1"/>
  <c r="O1550" i="11"/>
  <c r="N1550" i="31"/>
  <c r="O1550" s="1"/>
  <c r="N1550" i="30"/>
  <c r="O1550" s="1"/>
  <c r="N1550" i="29"/>
  <c r="O1550" s="1"/>
  <c r="K1297" i="11"/>
  <c r="J1297" i="31"/>
  <c r="K1297" s="1"/>
  <c r="J1297" i="30"/>
  <c r="K1297" s="1"/>
  <c r="J1297" i="29"/>
  <c r="K1297" s="1"/>
  <c r="M115" i="11"/>
  <c r="L115" i="31"/>
  <c r="M115" s="1"/>
  <c r="L115" i="30"/>
  <c r="M115" s="1"/>
  <c r="L115" i="29"/>
  <c r="M115" s="1"/>
  <c r="M165" i="11"/>
  <c r="L165" i="31"/>
  <c r="M165" s="1"/>
  <c r="L165" i="30"/>
  <c r="M165" s="1"/>
  <c r="L165" i="29"/>
  <c r="M165" s="1"/>
  <c r="M226" i="11"/>
  <c r="L226" i="31"/>
  <c r="M226" s="1"/>
  <c r="L226" i="29"/>
  <c r="M226" s="1"/>
  <c r="L226" i="30"/>
  <c r="M226" s="1"/>
  <c r="M299" i="11"/>
  <c r="L299" i="31"/>
  <c r="M299" s="1"/>
  <c r="L299" i="30"/>
  <c r="M299" s="1"/>
  <c r="L299" i="29"/>
  <c r="M299" s="1"/>
  <c r="M367" i="11"/>
  <c r="L367" i="31"/>
  <c r="M367" s="1"/>
  <c r="L367" i="30"/>
  <c r="M367" s="1"/>
  <c r="L367" i="29"/>
  <c r="M367" s="1"/>
  <c r="M486" i="11"/>
  <c r="L486" i="31"/>
  <c r="M486" s="1"/>
  <c r="L486" i="30"/>
  <c r="M486" s="1"/>
  <c r="L486" i="29"/>
  <c r="M486" s="1"/>
  <c r="M567" i="11"/>
  <c r="L567" i="31"/>
  <c r="M567" s="1"/>
  <c r="L567" i="30"/>
  <c r="M567" s="1"/>
  <c r="L567" i="29"/>
  <c r="M567" s="1"/>
  <c r="M619" i="11"/>
  <c r="L619" i="31"/>
  <c r="M619" s="1"/>
  <c r="L619" i="30"/>
  <c r="M619" s="1"/>
  <c r="L619" i="29"/>
  <c r="M619" s="1"/>
  <c r="M667" i="11"/>
  <c r="L667" i="31"/>
  <c r="M667" s="1"/>
  <c r="L667" i="30"/>
  <c r="M667" s="1"/>
  <c r="L667" i="29"/>
  <c r="M667" s="1"/>
  <c r="M724" i="11"/>
  <c r="L724" i="31"/>
  <c r="M724" s="1"/>
  <c r="L724" i="30"/>
  <c r="M724" s="1"/>
  <c r="L724" i="29"/>
  <c r="M724" s="1"/>
  <c r="M770" i="11"/>
  <c r="L770" i="31"/>
  <c r="M770" s="1"/>
  <c r="L770" i="30"/>
  <c r="M770" s="1"/>
  <c r="L770" i="29"/>
  <c r="M770" s="1"/>
  <c r="M833" i="11"/>
  <c r="L833" i="31"/>
  <c r="M833" s="1"/>
  <c r="L833" i="30"/>
  <c r="M833" s="1"/>
  <c r="L833" i="29"/>
  <c r="M833" s="1"/>
  <c r="M908" i="11"/>
  <c r="L908" i="31"/>
  <c r="M908" s="1"/>
  <c r="L908" i="30"/>
  <c r="M908" s="1"/>
  <c r="L908" i="29"/>
  <c r="M908" s="1"/>
  <c r="M1422" i="11"/>
  <c r="L1422" i="31"/>
  <c r="M1422" s="1"/>
  <c r="L1422" i="30"/>
  <c r="M1422" s="1"/>
  <c r="L1422" i="29"/>
  <c r="M1422" s="1"/>
  <c r="M1485" i="11"/>
  <c r="L1485" i="31"/>
  <c r="M1485" s="1"/>
  <c r="L1485" i="30"/>
  <c r="M1485" s="1"/>
  <c r="L1485" i="29"/>
  <c r="M1485" s="1"/>
  <c r="M1542" i="11"/>
  <c r="L1542" i="31"/>
  <c r="M1542" s="1"/>
  <c r="L1542" i="30"/>
  <c r="M1542" s="1"/>
  <c r="L1542" i="29"/>
  <c r="M1542" s="1"/>
  <c r="M1639" i="11"/>
  <c r="L1639" i="31"/>
  <c r="M1639" s="1"/>
  <c r="L1639" i="30"/>
  <c r="M1639" s="1"/>
  <c r="L1639" i="29"/>
  <c r="M1639" s="1"/>
  <c r="O38" i="11"/>
  <c r="N38" i="31"/>
  <c r="O38" s="1"/>
  <c r="N38" i="30"/>
  <c r="O38" s="1"/>
  <c r="N38" i="29"/>
  <c r="O38" s="1"/>
  <c r="O115" i="11"/>
  <c r="N115" i="31"/>
  <c r="O115" s="1"/>
  <c r="N115" i="29"/>
  <c r="O115" s="1"/>
  <c r="N115" i="30"/>
  <c r="O115" s="1"/>
  <c r="O165" i="11"/>
  <c r="N165" i="31"/>
  <c r="O165" s="1"/>
  <c r="N165" i="30"/>
  <c r="O165" s="1"/>
  <c r="N165" i="29"/>
  <c r="O165" s="1"/>
  <c r="O226" i="11"/>
  <c r="N226" i="31"/>
  <c r="O226" s="1"/>
  <c r="N226" i="30"/>
  <c r="O226" s="1"/>
  <c r="N226" i="29"/>
  <c r="O226" s="1"/>
  <c r="O299" i="11"/>
  <c r="N299" i="31"/>
  <c r="O299" s="1"/>
  <c r="N299" i="30"/>
  <c r="O299" s="1"/>
  <c r="N299" i="29"/>
  <c r="O299" s="1"/>
  <c r="O367" i="11"/>
  <c r="N367" i="31"/>
  <c r="O367" s="1"/>
  <c r="N367" i="30"/>
  <c r="O367" s="1"/>
  <c r="N367" i="29"/>
  <c r="O367" s="1"/>
  <c r="O486" i="11"/>
  <c r="N486" i="31"/>
  <c r="O486" s="1"/>
  <c r="N486" i="30"/>
  <c r="O486" s="1"/>
  <c r="N486" i="29"/>
  <c r="O486" s="1"/>
  <c r="O567" i="11"/>
  <c r="N567" i="31"/>
  <c r="O567" s="1"/>
  <c r="N567" i="30"/>
  <c r="O567" s="1"/>
  <c r="N567" i="29"/>
  <c r="O567" s="1"/>
  <c r="O619" i="11"/>
  <c r="N619" i="31"/>
  <c r="O619" s="1"/>
  <c r="N619" i="30"/>
  <c r="O619" s="1"/>
  <c r="N619" i="29"/>
  <c r="O619" s="1"/>
  <c r="O667" i="11"/>
  <c r="N667" i="31"/>
  <c r="O667" s="1"/>
  <c r="N667" i="30"/>
  <c r="O667" s="1"/>
  <c r="N667" i="29"/>
  <c r="O667" s="1"/>
  <c r="O724" i="11"/>
  <c r="N724" i="31"/>
  <c r="O724" s="1"/>
  <c r="N724" i="30"/>
  <c r="O724" s="1"/>
  <c r="N724" i="29"/>
  <c r="O724" s="1"/>
  <c r="O770" i="11"/>
  <c r="N770" i="31"/>
  <c r="O770" s="1"/>
  <c r="N770" i="29"/>
  <c r="O770" s="1"/>
  <c r="N770" i="30"/>
  <c r="O770" s="1"/>
  <c r="O833" i="11"/>
  <c r="N833" i="31"/>
  <c r="O833" s="1"/>
  <c r="N833" i="30"/>
  <c r="O833" s="1"/>
  <c r="N833" i="29"/>
  <c r="O833" s="1"/>
  <c r="O908" i="11"/>
  <c r="N908" i="31"/>
  <c r="O908" s="1"/>
  <c r="N908" i="30"/>
  <c r="O908" s="1"/>
  <c r="N908" i="29"/>
  <c r="O908" s="1"/>
  <c r="O932" i="11"/>
  <c r="N932" i="31"/>
  <c r="O932" s="1"/>
  <c r="N932" i="30"/>
  <c r="O932" s="1"/>
  <c r="N932" i="29"/>
  <c r="O932" s="1"/>
  <c r="O998" i="11"/>
  <c r="N998" i="31"/>
  <c r="O998" s="1"/>
  <c r="N998" i="30"/>
  <c r="O998" s="1"/>
  <c r="N998" i="29"/>
  <c r="O998" s="1"/>
  <c r="O1153" i="11"/>
  <c r="N1153" i="31"/>
  <c r="O1153" s="1"/>
  <c r="N1153" i="30"/>
  <c r="O1153" s="1"/>
  <c r="N1153" i="29"/>
  <c r="O1153" s="1"/>
  <c r="O1214" i="11"/>
  <c r="N1214" i="31"/>
  <c r="O1214" s="1"/>
  <c r="N1214" i="30"/>
  <c r="O1214" s="1"/>
  <c r="N1214" i="29"/>
  <c r="O1214" s="1"/>
  <c r="O1283" i="11"/>
  <c r="N1283" i="31"/>
  <c r="O1283" s="1"/>
  <c r="N1283" i="30"/>
  <c r="O1283" s="1"/>
  <c r="N1283" i="29"/>
  <c r="O1283" s="1"/>
  <c r="O1333" i="11"/>
  <c r="N1333" i="31"/>
  <c r="O1333" s="1"/>
  <c r="N1333" i="30"/>
  <c r="O1333" s="1"/>
  <c r="N1333" i="29"/>
  <c r="O1333" s="1"/>
  <c r="O1394" i="11"/>
  <c r="N1394" i="31"/>
  <c r="O1394" s="1"/>
  <c r="N1394" i="30"/>
  <c r="O1394" s="1"/>
  <c r="N1394" i="29"/>
  <c r="O1394" s="1"/>
  <c r="O1439" i="11"/>
  <c r="N1439" i="31"/>
  <c r="O1439" s="1"/>
  <c r="N1439" i="30"/>
  <c r="O1439" s="1"/>
  <c r="N1439" i="29"/>
  <c r="O1439" s="1"/>
  <c r="O1499" i="11"/>
  <c r="N1499" i="31"/>
  <c r="O1499" s="1"/>
  <c r="N1499" i="30"/>
  <c r="O1499" s="1"/>
  <c r="N1499" i="29"/>
  <c r="O1499" s="1"/>
  <c r="O1558" i="11"/>
  <c r="N1558" i="31"/>
  <c r="O1558" s="1"/>
  <c r="N1558" i="30"/>
  <c r="O1558" s="1"/>
  <c r="N1558" i="29"/>
  <c r="O1558" s="1"/>
  <c r="O1639" i="11"/>
  <c r="N1639" i="31"/>
  <c r="O1639" s="1"/>
  <c r="N1639" i="30"/>
  <c r="O1639" s="1"/>
  <c r="N1639" i="29"/>
  <c r="O1639" s="1"/>
  <c r="M185" i="11"/>
  <c r="L185" i="31"/>
  <c r="M185" s="1"/>
  <c r="L185" i="30"/>
  <c r="M185" s="1"/>
  <c r="L185" i="29"/>
  <c r="M185" s="1"/>
  <c r="M513" i="11"/>
  <c r="L513" i="31"/>
  <c r="M513" s="1"/>
  <c r="L513" i="30"/>
  <c r="M513" s="1"/>
  <c r="L513" i="29"/>
  <c r="M513" s="1"/>
  <c r="M790" i="11"/>
  <c r="L790" i="31"/>
  <c r="M790" s="1"/>
  <c r="L790" i="30"/>
  <c r="M790" s="1"/>
  <c r="L790" i="29"/>
  <c r="M790" s="1"/>
  <c r="M1508" i="11"/>
  <c r="L1508" i="31"/>
  <c r="M1508" s="1"/>
  <c r="L1508" i="30"/>
  <c r="M1508" s="1"/>
  <c r="L1508" i="29"/>
  <c r="M1508" s="1"/>
  <c r="O131" i="11"/>
  <c r="N131" i="31"/>
  <c r="O131" s="1"/>
  <c r="N131" i="30"/>
  <c r="O131" s="1"/>
  <c r="N131" i="29"/>
  <c r="O131" s="1"/>
  <c r="O380" i="11"/>
  <c r="N380" i="31"/>
  <c r="O380" s="1"/>
  <c r="N380" i="30"/>
  <c r="O380" s="1"/>
  <c r="N380" i="29"/>
  <c r="O380" s="1"/>
  <c r="O628" i="11"/>
  <c r="N628" i="31"/>
  <c r="O628" s="1"/>
  <c r="N628" i="30"/>
  <c r="O628" s="1"/>
  <c r="N628" i="29"/>
  <c r="O628" s="1"/>
  <c r="O917" i="11"/>
  <c r="N917" i="31"/>
  <c r="O917" s="1"/>
  <c r="N917" i="30"/>
  <c r="O917" s="1"/>
  <c r="N917" i="29"/>
  <c r="O917" s="1"/>
  <c r="N1590" i="31"/>
  <c r="O1590" s="1"/>
  <c r="N1590" i="30"/>
  <c r="O1590" s="1"/>
  <c r="N1590" i="29"/>
  <c r="O1590" s="1"/>
  <c r="M105" i="11"/>
  <c r="L105" i="31"/>
  <c r="M105" s="1"/>
  <c r="L105" i="30"/>
  <c r="M105" s="1"/>
  <c r="L105" i="29"/>
  <c r="M105" s="1"/>
  <c r="M286" i="11"/>
  <c r="L286" i="31"/>
  <c r="M286" s="1"/>
  <c r="L286" i="30"/>
  <c r="M286" s="1"/>
  <c r="L286" i="29"/>
  <c r="M286" s="1"/>
  <c r="M468" i="11"/>
  <c r="L468" i="31"/>
  <c r="M468" s="1"/>
  <c r="L468" i="30"/>
  <c r="M468" s="1"/>
  <c r="L468" i="29"/>
  <c r="M468" s="1"/>
  <c r="M716" i="11"/>
  <c r="L716" i="31"/>
  <c r="M716" s="1"/>
  <c r="L716" i="30"/>
  <c r="M716" s="1"/>
  <c r="L716" i="29"/>
  <c r="M716" s="1"/>
  <c r="M901" i="11"/>
  <c r="L901" i="31"/>
  <c r="M901" s="1"/>
  <c r="L901" i="30"/>
  <c r="M901" s="1"/>
  <c r="L901" i="29"/>
  <c r="M901" s="1"/>
  <c r="M1528" i="11"/>
  <c r="L1528" i="31"/>
  <c r="M1528" s="1"/>
  <c r="L1528" i="30"/>
  <c r="M1528" s="1"/>
  <c r="L1528" i="29"/>
  <c r="M1528" s="1"/>
  <c r="O105" i="11"/>
  <c r="N105" i="31"/>
  <c r="O105" s="1"/>
  <c r="N105" i="30"/>
  <c r="O105" s="1"/>
  <c r="N105" i="29"/>
  <c r="O105" s="1"/>
  <c r="O286" i="11"/>
  <c r="N286" i="31"/>
  <c r="O286" s="1"/>
  <c r="N286" i="30"/>
  <c r="O286" s="1"/>
  <c r="N286" i="29"/>
  <c r="O286" s="1"/>
  <c r="O468" i="11"/>
  <c r="N468" i="31"/>
  <c r="O468" s="1"/>
  <c r="N468" i="29"/>
  <c r="O468" s="1"/>
  <c r="N468" i="30"/>
  <c r="O468" s="1"/>
  <c r="O810" i="11"/>
  <c r="N810" i="31"/>
  <c r="O810" s="1"/>
  <c r="N810" i="30"/>
  <c r="O810" s="1"/>
  <c r="N810" i="29"/>
  <c r="O810" s="1"/>
  <c r="O926" i="11"/>
  <c r="N926" i="31"/>
  <c r="O926" s="1"/>
  <c r="N926" i="30"/>
  <c r="O926" s="1"/>
  <c r="N926" i="29"/>
  <c r="O926" s="1"/>
  <c r="O1145" i="11"/>
  <c r="N1145" i="31"/>
  <c r="O1145" s="1"/>
  <c r="N1145" i="30"/>
  <c r="O1145" s="1"/>
  <c r="N1145" i="29"/>
  <c r="O1145" s="1"/>
  <c r="O1384" i="11"/>
  <c r="N1384" i="31"/>
  <c r="O1384" s="1"/>
  <c r="N1384" i="30"/>
  <c r="O1384" s="1"/>
  <c r="N1384" i="29"/>
  <c r="O1384" s="1"/>
  <c r="M34" i="11"/>
  <c r="L34" i="31"/>
  <c r="M34" s="1"/>
  <c r="L34" i="30"/>
  <c r="M34" s="1"/>
  <c r="L34" i="29"/>
  <c r="M34" s="1"/>
  <c r="M222" i="11"/>
  <c r="L222" i="31"/>
  <c r="M222" s="1"/>
  <c r="L222" i="30"/>
  <c r="M222" s="1"/>
  <c r="L222" i="29"/>
  <c r="M222" s="1"/>
  <c r="M427" i="11"/>
  <c r="L427" i="31"/>
  <c r="M427" s="1"/>
  <c r="L427" i="30"/>
  <c r="M427" s="1"/>
  <c r="L427" i="29"/>
  <c r="M427" s="1"/>
  <c r="M766" i="11"/>
  <c r="L766" i="31"/>
  <c r="M766" s="1"/>
  <c r="L766" i="30"/>
  <c r="M766" s="1"/>
  <c r="L766" i="29"/>
  <c r="M766" s="1"/>
  <c r="M1418" i="11"/>
  <c r="L1418" i="31"/>
  <c r="M1418" s="1"/>
  <c r="L1418" i="30"/>
  <c r="M1418" s="1"/>
  <c r="L1418" i="29"/>
  <c r="M1418" s="1"/>
  <c r="O222" i="11"/>
  <c r="N222" i="31"/>
  <c r="O222" s="1"/>
  <c r="N222" i="29"/>
  <c r="O222" s="1"/>
  <c r="N222" i="30"/>
  <c r="O222" s="1"/>
  <c r="O663" i="11"/>
  <c r="N663" i="31"/>
  <c r="O663" s="1"/>
  <c r="N663" i="30"/>
  <c r="O663" s="1"/>
  <c r="N663" i="29"/>
  <c r="O663" s="1"/>
  <c r="O896" i="11"/>
  <c r="N896" i="31"/>
  <c r="O896" s="1"/>
  <c r="N896" i="30"/>
  <c r="O896" s="1"/>
  <c r="N896" i="29"/>
  <c r="O896" s="1"/>
  <c r="O1279" i="11"/>
  <c r="N1279" i="31"/>
  <c r="O1279" s="1"/>
  <c r="N1279" i="30"/>
  <c r="O1279" s="1"/>
  <c r="N1279" i="29"/>
  <c r="O1279" s="1"/>
  <c r="O1425" i="11"/>
  <c r="N1425" i="31"/>
  <c r="O1425" s="1"/>
  <c r="N1425" i="30"/>
  <c r="O1425" s="1"/>
  <c r="N1425" i="29"/>
  <c r="O1425" s="1"/>
  <c r="M174" i="11"/>
  <c r="L174" i="31"/>
  <c r="M174" s="1"/>
  <c r="L174" i="29"/>
  <c r="M174" s="1"/>
  <c r="L174" i="30"/>
  <c r="M174" s="1"/>
  <c r="M373" i="11"/>
  <c r="L373" i="31"/>
  <c r="M373" s="1"/>
  <c r="L373" i="29"/>
  <c r="M373" s="1"/>
  <c r="L373" i="30"/>
  <c r="M373" s="1"/>
  <c r="M443" i="11"/>
  <c r="L443" i="31"/>
  <c r="M443" s="1"/>
  <c r="L443" i="30"/>
  <c r="M443" s="1"/>
  <c r="L443" i="29"/>
  <c r="M443" s="1"/>
  <c r="M497" i="11"/>
  <c r="L497" i="31"/>
  <c r="M497" s="1"/>
  <c r="L497" i="30"/>
  <c r="M497" s="1"/>
  <c r="L497" i="29"/>
  <c r="M497" s="1"/>
  <c r="M571" i="11"/>
  <c r="L571" i="31"/>
  <c r="M571" s="1"/>
  <c r="L571" i="30"/>
  <c r="M571" s="1"/>
  <c r="L571" i="29"/>
  <c r="M571" s="1"/>
  <c r="M622" i="11"/>
  <c r="L622" i="31"/>
  <c r="M622" s="1"/>
  <c r="L622" i="30"/>
  <c r="M622" s="1"/>
  <c r="L622" i="29"/>
  <c r="M622" s="1"/>
  <c r="M670" i="11"/>
  <c r="L670" i="31"/>
  <c r="M670" s="1"/>
  <c r="L670" i="30"/>
  <c r="M670" s="1"/>
  <c r="L670" i="29"/>
  <c r="M670" s="1"/>
  <c r="M728" i="11"/>
  <c r="L728" i="31"/>
  <c r="M728" s="1"/>
  <c r="L728" i="30"/>
  <c r="M728" s="1"/>
  <c r="L728" i="29"/>
  <c r="M728" s="1"/>
  <c r="M774" i="11"/>
  <c r="L774" i="31"/>
  <c r="M774" s="1"/>
  <c r="L774" i="30"/>
  <c r="M774" s="1"/>
  <c r="L774" i="29"/>
  <c r="M774" s="1"/>
  <c r="M841" i="11"/>
  <c r="L841" i="31"/>
  <c r="M841" s="1"/>
  <c r="L841" i="30"/>
  <c r="M841" s="1"/>
  <c r="L841" i="29"/>
  <c r="M841" s="1"/>
  <c r="M911" i="11"/>
  <c r="L911" i="31"/>
  <c r="M911" s="1"/>
  <c r="L911" i="30"/>
  <c r="M911" s="1"/>
  <c r="L911" i="29"/>
  <c r="M911" s="1"/>
  <c r="M1425" i="11"/>
  <c r="L1425" i="31"/>
  <c r="M1425" s="1"/>
  <c r="L1425" i="30"/>
  <c r="M1425" s="1"/>
  <c r="L1425" i="29"/>
  <c r="M1425" s="1"/>
  <c r="M1550" i="11"/>
  <c r="L1550" i="31"/>
  <c r="M1550" s="1"/>
  <c r="L1550" i="30"/>
  <c r="M1550" s="1"/>
  <c r="L1550" i="29"/>
  <c r="M1550" s="1"/>
  <c r="M1644" i="11"/>
  <c r="L1644" i="31"/>
  <c r="M1644" s="1"/>
  <c r="L1644" i="30"/>
  <c r="M1644" s="1"/>
  <c r="L1644" i="29"/>
  <c r="M1644" s="1"/>
  <c r="O45" i="11"/>
  <c r="N45" i="31"/>
  <c r="O45" s="1"/>
  <c r="N45" i="30"/>
  <c r="O45" s="1"/>
  <c r="N45" i="29"/>
  <c r="O45" s="1"/>
  <c r="O121" i="11"/>
  <c r="N121" i="31"/>
  <c r="O121" s="1"/>
  <c r="N121" i="30"/>
  <c r="O121" s="1"/>
  <c r="N121" i="29"/>
  <c r="O121" s="1"/>
  <c r="O174" i="11"/>
  <c r="N174" i="31"/>
  <c r="O174" s="1"/>
  <c r="N174" i="30"/>
  <c r="O174" s="1"/>
  <c r="N174" i="29"/>
  <c r="O174" s="1"/>
  <c r="O234" i="11"/>
  <c r="N234" i="31"/>
  <c r="O234" s="1"/>
  <c r="N234" i="30"/>
  <c r="O234" s="1"/>
  <c r="N234" i="29"/>
  <c r="O234" s="1"/>
  <c r="O373" i="11"/>
  <c r="N373" i="31"/>
  <c r="O373" s="1"/>
  <c r="N373" i="30"/>
  <c r="O373" s="1"/>
  <c r="N373" i="29"/>
  <c r="O373" s="1"/>
  <c r="O443" i="11"/>
  <c r="N443" i="31"/>
  <c r="O443" s="1"/>
  <c r="N443" i="30"/>
  <c r="O443" s="1"/>
  <c r="N443" i="29"/>
  <c r="O443" s="1"/>
  <c r="O497" i="11"/>
  <c r="N497" i="31"/>
  <c r="O497" s="1"/>
  <c r="N497" i="30"/>
  <c r="O497" s="1"/>
  <c r="N497" i="29"/>
  <c r="O497" s="1"/>
  <c r="O571" i="11"/>
  <c r="N571" i="31"/>
  <c r="O571" s="1"/>
  <c r="N571" i="30"/>
  <c r="O571" s="1"/>
  <c r="N571" i="29"/>
  <c r="O571" s="1"/>
  <c r="O622" i="11"/>
  <c r="N622" i="31"/>
  <c r="O622" s="1"/>
  <c r="N622" i="30"/>
  <c r="O622" s="1"/>
  <c r="N622" i="29"/>
  <c r="O622" s="1"/>
  <c r="O670" i="11"/>
  <c r="N670" i="31"/>
  <c r="O670" s="1"/>
  <c r="N670" i="30"/>
  <c r="O670" s="1"/>
  <c r="N670" i="29"/>
  <c r="O670" s="1"/>
  <c r="O728" i="11"/>
  <c r="N728" i="31"/>
  <c r="O728" s="1"/>
  <c r="N728" i="30"/>
  <c r="O728" s="1"/>
  <c r="N728" i="29"/>
  <c r="O728" s="1"/>
  <c r="O774" i="11"/>
  <c r="N774" i="31"/>
  <c r="O774" s="1"/>
  <c r="N774" i="30"/>
  <c r="O774" s="1"/>
  <c r="N774" i="29"/>
  <c r="O774" s="1"/>
  <c r="O841" i="11"/>
  <c r="N841" i="31"/>
  <c r="O841" s="1"/>
  <c r="N841" i="30"/>
  <c r="O841" s="1"/>
  <c r="N841" i="29"/>
  <c r="O841" s="1"/>
  <c r="O911" i="11"/>
  <c r="N911" i="31"/>
  <c r="O911" s="1"/>
  <c r="N911" i="30"/>
  <c r="O911" s="1"/>
  <c r="N911" i="29"/>
  <c r="O911" s="1"/>
  <c r="O935" i="11"/>
  <c r="N935" i="31"/>
  <c r="O935" s="1"/>
  <c r="N935" i="30"/>
  <c r="O935" s="1"/>
  <c r="N935" i="29"/>
  <c r="O935" s="1"/>
  <c r="O1002" i="11"/>
  <c r="N1002" i="31"/>
  <c r="O1002" s="1"/>
  <c r="N1002" i="30"/>
  <c r="O1002" s="1"/>
  <c r="N1002" i="29"/>
  <c r="O1002" s="1"/>
  <c r="O1161" i="11"/>
  <c r="N1161" i="31"/>
  <c r="O1161" s="1"/>
  <c r="N1161" i="30"/>
  <c r="O1161" s="1"/>
  <c r="N1161" i="29"/>
  <c r="O1161" s="1"/>
  <c r="O1228" i="11"/>
  <c r="N1228" i="31"/>
  <c r="O1228" s="1"/>
  <c r="N1228" i="30"/>
  <c r="O1228" s="1"/>
  <c r="N1228" i="29"/>
  <c r="O1228" s="1"/>
  <c r="O1290" i="11"/>
  <c r="N1290" i="31"/>
  <c r="O1290" s="1"/>
  <c r="N1290" i="30"/>
  <c r="O1290" s="1"/>
  <c r="N1290" i="29"/>
  <c r="O1290" s="1"/>
  <c r="O1341" i="11"/>
  <c r="N1341" i="31"/>
  <c r="O1341" s="1"/>
  <c r="N1341" i="30"/>
  <c r="O1341" s="1"/>
  <c r="N1341" i="29"/>
  <c r="O1341" s="1"/>
  <c r="O1403" i="11"/>
  <c r="N1403" i="31"/>
  <c r="O1403" s="1"/>
  <c r="N1403" i="30"/>
  <c r="O1403" s="1"/>
  <c r="N1403" i="29"/>
  <c r="O1403" s="1"/>
  <c r="O1446" i="11"/>
  <c r="N1446" i="31"/>
  <c r="O1446" s="1"/>
  <c r="N1446" i="30"/>
  <c r="O1446" s="1"/>
  <c r="N1446" i="29"/>
  <c r="O1446" s="1"/>
  <c r="O1508" i="11"/>
  <c r="N1508" i="31"/>
  <c r="O1508" s="1"/>
  <c r="N1508" i="30"/>
  <c r="O1508" s="1"/>
  <c r="N1508" i="29"/>
  <c r="O1508" s="1"/>
  <c r="O1562" i="11"/>
  <c r="N1562" i="31"/>
  <c r="O1562" s="1"/>
  <c r="N1562" i="30"/>
  <c r="O1562" s="1"/>
  <c r="N1562" i="29"/>
  <c r="O1562" s="1"/>
  <c r="O1644" i="11"/>
  <c r="N1644" i="31"/>
  <c r="O1644" s="1"/>
  <c r="N1644" i="30"/>
  <c r="O1644" s="1"/>
  <c r="N1644" i="29"/>
  <c r="O1644" s="1"/>
  <c r="M131" i="11"/>
  <c r="L131" i="31"/>
  <c r="M131" s="1"/>
  <c r="L131" i="29"/>
  <c r="M131" s="1"/>
  <c r="L131" i="30"/>
  <c r="M131" s="1"/>
  <c r="M328" i="11"/>
  <c r="L328" i="31"/>
  <c r="M328" s="1"/>
  <c r="L328" i="30"/>
  <c r="M328" s="1"/>
  <c r="L328" i="29"/>
  <c r="M328" s="1"/>
  <c r="M454" i="11"/>
  <c r="L454" i="31"/>
  <c r="M454" s="1"/>
  <c r="L454" i="30"/>
  <c r="M454" s="1"/>
  <c r="L454" i="29"/>
  <c r="M454" s="1"/>
  <c r="M628" i="11"/>
  <c r="L628" i="31"/>
  <c r="M628" s="1"/>
  <c r="L628" i="29"/>
  <c r="M628" s="1"/>
  <c r="L628" i="30"/>
  <c r="M628" s="1"/>
  <c r="M885" i="11"/>
  <c r="L885" i="31"/>
  <c r="M885" s="1"/>
  <c r="L885" i="30"/>
  <c r="M885" s="1"/>
  <c r="L885" i="29"/>
  <c r="M885" s="1"/>
  <c r="L1590" i="31"/>
  <c r="M1590" s="1"/>
  <c r="L1590" i="30"/>
  <c r="M1590" s="1"/>
  <c r="L1590" i="29"/>
  <c r="M1590" s="1"/>
  <c r="O185" i="11"/>
  <c r="N185" i="31"/>
  <c r="O185" s="1"/>
  <c r="N185" i="30"/>
  <c r="O185" s="1"/>
  <c r="N185" i="29"/>
  <c r="O185" s="1"/>
  <c r="O513" i="11"/>
  <c r="N513" i="31"/>
  <c r="O513" s="1"/>
  <c r="N513" i="30"/>
  <c r="O513" s="1"/>
  <c r="N513" i="29"/>
  <c r="O513" s="1"/>
  <c r="O790" i="11"/>
  <c r="N790" i="31"/>
  <c r="O790" s="1"/>
  <c r="N790" i="30"/>
  <c r="O790" s="1"/>
  <c r="N790" i="29"/>
  <c r="O790" s="1"/>
  <c r="O1681" i="11"/>
  <c r="N1681" i="31"/>
  <c r="O1681" s="1"/>
  <c r="N1681" i="30"/>
  <c r="O1681" s="1"/>
  <c r="N1681" i="29"/>
  <c r="O1681" s="1"/>
  <c r="M20" i="11"/>
  <c r="L20" i="31"/>
  <c r="M20" s="1"/>
  <c r="L20" i="30"/>
  <c r="M20" s="1"/>
  <c r="L20" i="29"/>
  <c r="M20" s="1"/>
  <c r="M217" i="11"/>
  <c r="L217" i="31"/>
  <c r="M217" s="1"/>
  <c r="L217" i="30"/>
  <c r="M217" s="1"/>
  <c r="L217" i="29"/>
  <c r="M217" s="1"/>
  <c r="M419" i="11"/>
  <c r="L419" i="31"/>
  <c r="M419" s="1"/>
  <c r="L419" i="30"/>
  <c r="M419" s="1"/>
  <c r="L419" i="29"/>
  <c r="M419" s="1"/>
  <c r="M810" i="11"/>
  <c r="L810" i="31"/>
  <c r="M810" s="1"/>
  <c r="L810" i="30"/>
  <c r="M810" s="1"/>
  <c r="L810" i="29"/>
  <c r="M810" s="1"/>
  <c r="M1472" i="11"/>
  <c r="L1472" i="31"/>
  <c r="M1472" s="1"/>
  <c r="L1472" i="30"/>
  <c r="M1472" s="1"/>
  <c r="L1472" i="29"/>
  <c r="M1472" s="1"/>
  <c r="O20" i="11"/>
  <c r="N20" i="31"/>
  <c r="O20" s="1"/>
  <c r="N20" i="30"/>
  <c r="O20" s="1"/>
  <c r="N20" i="29"/>
  <c r="O20" s="1"/>
  <c r="O217" i="11"/>
  <c r="N217" i="31"/>
  <c r="O217" s="1"/>
  <c r="N217" i="30"/>
  <c r="O217" s="1"/>
  <c r="N217" i="29"/>
  <c r="O217" s="1"/>
  <c r="O419" i="11"/>
  <c r="N419" i="31"/>
  <c r="O419" s="1"/>
  <c r="N419" i="30"/>
  <c r="O419" s="1"/>
  <c r="N419" i="29"/>
  <c r="O419" s="1"/>
  <c r="O603" i="11"/>
  <c r="N603" i="31"/>
  <c r="O603" s="1"/>
  <c r="N603" i="30"/>
  <c r="O603" s="1"/>
  <c r="N603" i="29"/>
  <c r="O603" s="1"/>
  <c r="O759" i="11"/>
  <c r="N759" i="31"/>
  <c r="O759" s="1"/>
  <c r="N759" i="30"/>
  <c r="O759" s="1"/>
  <c r="N759" i="29"/>
  <c r="O759" s="1"/>
  <c r="O974" i="11"/>
  <c r="N974" i="31"/>
  <c r="O974" s="1"/>
  <c r="N974" i="30"/>
  <c r="O974" s="1"/>
  <c r="N974" i="29"/>
  <c r="O974" s="1"/>
  <c r="O1422" i="11"/>
  <c r="N1422" i="31"/>
  <c r="O1422" s="1"/>
  <c r="N1422" i="30"/>
  <c r="O1422" s="1"/>
  <c r="N1422" i="29"/>
  <c r="O1422" s="1"/>
  <c r="M112" i="11"/>
  <c r="L112" i="31"/>
  <c r="M112" s="1"/>
  <c r="L112" i="30"/>
  <c r="M112" s="1"/>
  <c r="L112" i="29"/>
  <c r="M112" s="1"/>
  <c r="M293" i="11"/>
  <c r="L293" i="31"/>
  <c r="M293" s="1"/>
  <c r="L293" i="30"/>
  <c r="M293" s="1"/>
  <c r="L293" i="29"/>
  <c r="M293" s="1"/>
  <c r="M663" i="11"/>
  <c r="L663" i="31"/>
  <c r="M663" s="1"/>
  <c r="L663" i="30"/>
  <c r="M663" s="1"/>
  <c r="L663" i="29"/>
  <c r="M663" s="1"/>
  <c r="M828" i="11"/>
  <c r="L828" i="31"/>
  <c r="M828" s="1"/>
  <c r="L828" i="30"/>
  <c r="M828" s="1"/>
  <c r="L828" i="29"/>
  <c r="M828" s="1"/>
  <c r="O161" i="11"/>
  <c r="N161" i="31"/>
  <c r="O161" s="1"/>
  <c r="N161" i="30"/>
  <c r="O161" s="1"/>
  <c r="N161" i="29"/>
  <c r="O161" s="1"/>
  <c r="O359" i="11"/>
  <c r="N359" i="31"/>
  <c r="O359" s="1"/>
  <c r="N359" i="30"/>
  <c r="O359" s="1"/>
  <c r="N359" i="29"/>
  <c r="O359" s="1"/>
  <c r="O560" i="11"/>
  <c r="N560" i="31"/>
  <c r="O560" s="1"/>
  <c r="N560" i="29"/>
  <c r="O560" s="1"/>
  <c r="N560" i="30"/>
  <c r="O560" s="1"/>
  <c r="O828" i="11"/>
  <c r="N828" i="31"/>
  <c r="O828" s="1"/>
  <c r="N828" i="30"/>
  <c r="O828" s="1"/>
  <c r="N828" i="29"/>
  <c r="O828" s="1"/>
  <c r="O1139" i="11"/>
  <c r="N1139" i="31"/>
  <c r="O1139" s="1"/>
  <c r="N1139" i="30"/>
  <c r="O1139" s="1"/>
  <c r="N1139" i="29"/>
  <c r="O1139" s="1"/>
  <c r="M38" i="11"/>
  <c r="L38" i="31"/>
  <c r="M38" s="1"/>
  <c r="L38" i="30"/>
  <c r="M38" s="1"/>
  <c r="L38" i="29"/>
  <c r="M38" s="1"/>
  <c r="K1283" i="11"/>
  <c r="J1283" i="31"/>
  <c r="K1283" s="1"/>
  <c r="J1283" i="30"/>
  <c r="K1283" s="1"/>
  <c r="J1283" i="29"/>
  <c r="K1283" s="1"/>
  <c r="M45" i="11"/>
  <c r="L45" i="31"/>
  <c r="M45" s="1"/>
  <c r="L45" i="30"/>
  <c r="M45" s="1"/>
  <c r="L45" i="29"/>
  <c r="M45" s="1"/>
  <c r="M121" i="11"/>
  <c r="L121" i="31"/>
  <c r="M121" s="1"/>
  <c r="L121" i="30"/>
  <c r="M121" s="1"/>
  <c r="L121" i="29"/>
  <c r="M121" s="1"/>
  <c r="M234" i="11"/>
  <c r="L234" i="31"/>
  <c r="M234" s="1"/>
  <c r="L234" i="30"/>
  <c r="M234" s="1"/>
  <c r="L234" i="29"/>
  <c r="M234" s="1"/>
  <c r="K1333" i="11"/>
  <c r="J1333" i="31"/>
  <c r="K1333" s="1"/>
  <c r="J1333" i="30"/>
  <c r="K1333" s="1"/>
  <c r="J1333" i="29"/>
  <c r="K1333" s="1"/>
  <c r="M127" i="11"/>
  <c r="L127" i="31"/>
  <c r="M127" s="1"/>
  <c r="L127" i="30"/>
  <c r="M127" s="1"/>
  <c r="L127" i="29"/>
  <c r="M127" s="1"/>
  <c r="M178" i="11"/>
  <c r="L178" i="31"/>
  <c r="M178" s="1"/>
  <c r="L178" i="29"/>
  <c r="M178" s="1"/>
  <c r="L178" i="30"/>
  <c r="M178" s="1"/>
  <c r="M244" i="11"/>
  <c r="L244" i="31"/>
  <c r="M244" s="1"/>
  <c r="L244" i="30"/>
  <c r="M244" s="1"/>
  <c r="L244" i="29"/>
  <c r="M244" s="1"/>
  <c r="M319" i="11"/>
  <c r="L319" i="31"/>
  <c r="M319" s="1"/>
  <c r="L319" i="29"/>
  <c r="M319" s="1"/>
  <c r="L319" i="30"/>
  <c r="M319" s="1"/>
  <c r="M378" i="11"/>
  <c r="L378" i="31"/>
  <c r="M378" s="1"/>
  <c r="L378" i="30"/>
  <c r="M378" s="1"/>
  <c r="L378" i="29"/>
  <c r="M378" s="1"/>
  <c r="M451" i="11"/>
  <c r="L451" i="31"/>
  <c r="M451" s="1"/>
  <c r="L451" i="30"/>
  <c r="M451" s="1"/>
  <c r="L451" i="29"/>
  <c r="M451" s="1"/>
  <c r="M508" i="11"/>
  <c r="L508" i="31"/>
  <c r="M508" s="1"/>
  <c r="L508" i="30"/>
  <c r="M508" s="1"/>
  <c r="L508" i="29"/>
  <c r="M508" s="1"/>
  <c r="M579" i="11"/>
  <c r="L579" i="31"/>
  <c r="M579" s="1"/>
  <c r="L579" i="30"/>
  <c r="M579" s="1"/>
  <c r="L579" i="29"/>
  <c r="M579" s="1"/>
  <c r="M625" i="11"/>
  <c r="L625" i="31"/>
  <c r="M625" s="1"/>
  <c r="L625" i="30"/>
  <c r="M625" s="1"/>
  <c r="L625" i="29"/>
  <c r="M625" s="1"/>
  <c r="M735" i="11"/>
  <c r="L735" i="31"/>
  <c r="M735" s="1"/>
  <c r="L735" i="30"/>
  <c r="M735" s="1"/>
  <c r="L735" i="29"/>
  <c r="M735" s="1"/>
  <c r="M778" i="11"/>
  <c r="L778" i="31"/>
  <c r="M778" s="1"/>
  <c r="L778" i="30"/>
  <c r="M778" s="1"/>
  <c r="L778" i="29"/>
  <c r="M778" s="1"/>
  <c r="M846" i="11"/>
  <c r="L846" i="31"/>
  <c r="M846" s="1"/>
  <c r="L846" i="30"/>
  <c r="M846" s="1"/>
  <c r="L846" i="29"/>
  <c r="M846" s="1"/>
  <c r="M914" i="11"/>
  <c r="L914" i="31"/>
  <c r="M914" s="1"/>
  <c r="L914" i="30"/>
  <c r="M914" s="1"/>
  <c r="L914" i="29"/>
  <c r="M914" s="1"/>
  <c r="M1439" i="11"/>
  <c r="L1439" i="31"/>
  <c r="M1439" s="1"/>
  <c r="L1439" i="30"/>
  <c r="M1439" s="1"/>
  <c r="L1439" i="29"/>
  <c r="M1439" s="1"/>
  <c r="M1499" i="11"/>
  <c r="L1499" i="31"/>
  <c r="M1499" s="1"/>
  <c r="L1499" i="30"/>
  <c r="M1499" s="1"/>
  <c r="L1499" i="29"/>
  <c r="M1499" s="1"/>
  <c r="M1567" i="11"/>
  <c r="L1567" i="31"/>
  <c r="M1567" s="1"/>
  <c r="L1567" i="30"/>
  <c r="M1567" s="1"/>
  <c r="L1567" i="29"/>
  <c r="M1567" s="1"/>
  <c r="O127" i="11"/>
  <c r="N127" i="31"/>
  <c r="O127" s="1"/>
  <c r="N127" i="30"/>
  <c r="O127" s="1"/>
  <c r="N127" i="29"/>
  <c r="O127" s="1"/>
  <c r="O178" i="11"/>
  <c r="N178" i="31"/>
  <c r="O178" s="1"/>
  <c r="N178" i="30"/>
  <c r="O178" s="1"/>
  <c r="N178" i="29"/>
  <c r="O178" s="1"/>
  <c r="O244" i="11"/>
  <c r="N244" i="31"/>
  <c r="O244" s="1"/>
  <c r="N244" i="30"/>
  <c r="O244" s="1"/>
  <c r="N244" i="29"/>
  <c r="O244" s="1"/>
  <c r="O319" i="11"/>
  <c r="N319" i="31"/>
  <c r="O319" s="1"/>
  <c r="N319" i="30"/>
  <c r="O319" s="1"/>
  <c r="N319" i="29"/>
  <c r="O319" s="1"/>
  <c r="O378" i="11"/>
  <c r="N378" i="31"/>
  <c r="O378" s="1"/>
  <c r="N378" i="30"/>
  <c r="O378" s="1"/>
  <c r="N378" i="29"/>
  <c r="O378" s="1"/>
  <c r="O451" i="11"/>
  <c r="N451" i="31"/>
  <c r="O451" s="1"/>
  <c r="N451" i="30"/>
  <c r="O451" s="1"/>
  <c r="N451" i="29"/>
  <c r="O451" s="1"/>
  <c r="O508" i="11"/>
  <c r="N508" i="31"/>
  <c r="O508" s="1"/>
  <c r="N508" i="30"/>
  <c r="O508" s="1"/>
  <c r="N508" i="29"/>
  <c r="O508" s="1"/>
  <c r="O579" i="11"/>
  <c r="N579" i="31"/>
  <c r="O579" s="1"/>
  <c r="N579" i="30"/>
  <c r="O579" s="1"/>
  <c r="N579" i="29"/>
  <c r="O579" s="1"/>
  <c r="O625" i="11"/>
  <c r="N625" i="31"/>
  <c r="O625" s="1"/>
  <c r="N625" i="30"/>
  <c r="O625" s="1"/>
  <c r="N625" i="29"/>
  <c r="O625" s="1"/>
  <c r="O735" i="11"/>
  <c r="N735" i="31"/>
  <c r="O735" s="1"/>
  <c r="N735" i="30"/>
  <c r="O735" s="1"/>
  <c r="N735" i="29"/>
  <c r="O735" s="1"/>
  <c r="O778" i="11"/>
  <c r="N778" i="31"/>
  <c r="O778" s="1"/>
  <c r="N778" i="30"/>
  <c r="O778" s="1"/>
  <c r="N778" i="29"/>
  <c r="O778" s="1"/>
  <c r="O846" i="11"/>
  <c r="N846" i="31"/>
  <c r="O846" s="1"/>
  <c r="N846" i="30"/>
  <c r="O846" s="1"/>
  <c r="N846" i="29"/>
  <c r="O846" s="1"/>
  <c r="O914" i="11"/>
  <c r="N914" i="31"/>
  <c r="O914" s="1"/>
  <c r="N914" i="30"/>
  <c r="O914" s="1"/>
  <c r="N914" i="29"/>
  <c r="O914" s="1"/>
  <c r="O938" i="11"/>
  <c r="N938" i="31"/>
  <c r="O938" s="1"/>
  <c r="N938" i="30"/>
  <c r="O938" s="1"/>
  <c r="N938" i="29"/>
  <c r="O938" s="1"/>
  <c r="O1007" i="11"/>
  <c r="N1007" i="31"/>
  <c r="O1007" s="1"/>
  <c r="N1007" i="30"/>
  <c r="O1007" s="1"/>
  <c r="N1007" i="29"/>
  <c r="O1007" s="1"/>
  <c r="O1110" i="11"/>
  <c r="N1110" i="31"/>
  <c r="O1110" s="1"/>
  <c r="N1110" i="30"/>
  <c r="O1110" s="1"/>
  <c r="N1110" i="29"/>
  <c r="O1110" s="1"/>
  <c r="O1164" i="11"/>
  <c r="N1164" i="31"/>
  <c r="O1164" s="1"/>
  <c r="N1164" i="30"/>
  <c r="O1164" s="1"/>
  <c r="N1164" i="29"/>
  <c r="O1164" s="1"/>
  <c r="O1222" i="11"/>
  <c r="N1222" i="31"/>
  <c r="O1222" s="1"/>
  <c r="N1222" i="30"/>
  <c r="O1222" s="1"/>
  <c r="N1222" i="29"/>
  <c r="O1222" s="1"/>
  <c r="O1297" i="11"/>
  <c r="N1297" i="31"/>
  <c r="O1297" s="1"/>
  <c r="N1297" i="30"/>
  <c r="O1297" s="1"/>
  <c r="N1297" i="29"/>
  <c r="O1297" s="1"/>
  <c r="O1344" i="11"/>
  <c r="N1344" i="31"/>
  <c r="O1344" s="1"/>
  <c r="N1344" i="30"/>
  <c r="O1344" s="1"/>
  <c r="N1344" i="29"/>
  <c r="O1344" s="1"/>
  <c r="O1406" i="11"/>
  <c r="N1406" i="31"/>
  <c r="O1406" s="1"/>
  <c r="N1406" i="30"/>
  <c r="O1406" s="1"/>
  <c r="N1406" i="29"/>
  <c r="O1406" s="1"/>
  <c r="O1453" i="11"/>
  <c r="N1453" i="31"/>
  <c r="O1453" s="1"/>
  <c r="N1453" i="30"/>
  <c r="O1453" s="1"/>
  <c r="N1453" i="29"/>
  <c r="O1453" s="1"/>
  <c r="O1512" i="11"/>
  <c r="N1512" i="31"/>
  <c r="O1512" s="1"/>
  <c r="N1512" i="30"/>
  <c r="O1512" s="1"/>
  <c r="N1512" i="29"/>
  <c r="O1512" s="1"/>
  <c r="O1567" i="11"/>
  <c r="N1567" i="31"/>
  <c r="O1567" s="1"/>
  <c r="N1567" i="30"/>
  <c r="O1567" s="1"/>
  <c r="N1567" i="29"/>
  <c r="O1567" s="1"/>
  <c r="M599" i="11"/>
  <c r="L599" i="29"/>
  <c r="M599" s="1"/>
  <c r="O599" i="11"/>
  <c r="N599" i="29"/>
  <c r="O599" s="1"/>
  <c r="I270" i="11"/>
  <c r="O271"/>
  <c r="H1589"/>
  <c r="M1590"/>
  <c r="I1072"/>
  <c r="O1073"/>
  <c r="I1589"/>
  <c r="O1590"/>
  <c r="H270"/>
  <c r="M271"/>
  <c r="H752"/>
  <c r="M753"/>
  <c r="I752"/>
  <c r="O753"/>
  <c r="I963"/>
  <c r="I44"/>
  <c r="H44"/>
  <c r="G44"/>
  <c r="H120"/>
  <c r="H225"/>
  <c r="H333"/>
  <c r="H612"/>
  <c r="H697"/>
  <c r="H789"/>
  <c r="I366"/>
  <c r="I584"/>
  <c r="I697"/>
  <c r="I765"/>
  <c r="I973"/>
  <c r="I1328"/>
  <c r="I1624"/>
  <c r="H160"/>
  <c r="H184"/>
  <c r="H221"/>
  <c r="H251"/>
  <c r="H292"/>
  <c r="H327"/>
  <c r="H418"/>
  <c r="H507"/>
  <c r="H578"/>
  <c r="H656"/>
  <c r="H682"/>
  <c r="H715"/>
  <c r="H734"/>
  <c r="H777"/>
  <c r="H809"/>
  <c r="H1438"/>
  <c r="H1527"/>
  <c r="H1566"/>
  <c r="H1624"/>
  <c r="I160"/>
  <c r="I184"/>
  <c r="I221"/>
  <c r="I251"/>
  <c r="I292"/>
  <c r="I327"/>
  <c r="I418"/>
  <c r="I507"/>
  <c r="I578"/>
  <c r="I656"/>
  <c r="I682"/>
  <c r="I715"/>
  <c r="I734"/>
  <c r="I777"/>
  <c r="I809"/>
  <c r="I1043"/>
  <c r="I1377"/>
  <c r="I1399"/>
  <c r="I1477"/>
  <c r="I1507"/>
  <c r="I1561"/>
  <c r="I1618"/>
  <c r="I1643"/>
  <c r="H164"/>
  <c r="H298"/>
  <c r="H584"/>
  <c r="H662"/>
  <c r="H719"/>
  <c r="H765"/>
  <c r="H1399"/>
  <c r="I135"/>
  <c r="I189"/>
  <c r="I333"/>
  <c r="I426"/>
  <c r="I512"/>
  <c r="I612"/>
  <c r="I719"/>
  <c r="I789"/>
  <c r="I956"/>
  <c r="I1484"/>
  <c r="I1566"/>
  <c r="H147"/>
  <c r="H216"/>
  <c r="H466"/>
  <c r="H496"/>
  <c r="H570"/>
  <c r="H648"/>
  <c r="H707"/>
  <c r="H727"/>
  <c r="H773"/>
  <c r="H1517"/>
  <c r="H1618"/>
  <c r="H1643"/>
  <c r="I130"/>
  <c r="I147"/>
  <c r="I216"/>
  <c r="I243"/>
  <c r="I466"/>
  <c r="I496"/>
  <c r="I570"/>
  <c r="I648"/>
  <c r="I707"/>
  <c r="I727"/>
  <c r="I1029"/>
  <c r="I1152"/>
  <c r="I1213"/>
  <c r="I1235"/>
  <c r="I1369"/>
  <c r="I1393"/>
  <c r="I1438"/>
  <c r="I1527"/>
  <c r="I1557"/>
  <c r="I1603"/>
  <c r="I1638"/>
  <c r="H135"/>
  <c r="H189"/>
  <c r="H366"/>
  <c r="H386"/>
  <c r="H426"/>
  <c r="H512"/>
  <c r="H559"/>
  <c r="H742"/>
  <c r="H1477"/>
  <c r="H1507"/>
  <c r="H1628"/>
  <c r="I120"/>
  <c r="I164"/>
  <c r="I225"/>
  <c r="I298"/>
  <c r="I386"/>
  <c r="I559"/>
  <c r="I662"/>
  <c r="I742"/>
  <c r="I1452"/>
  <c r="I1511"/>
  <c r="G769"/>
  <c r="H130"/>
  <c r="H243"/>
  <c r="H104"/>
  <c r="H126"/>
  <c r="H139"/>
  <c r="H173"/>
  <c r="H194"/>
  <c r="H229"/>
  <c r="H339"/>
  <c r="H372"/>
  <c r="H459"/>
  <c r="H518"/>
  <c r="H566"/>
  <c r="H635"/>
  <c r="H666"/>
  <c r="H703"/>
  <c r="H723"/>
  <c r="H748"/>
  <c r="H769"/>
  <c r="H1452"/>
  <c r="H1484"/>
  <c r="H1511"/>
  <c r="H1603"/>
  <c r="H1638"/>
  <c r="I104"/>
  <c r="I126"/>
  <c r="I139"/>
  <c r="I173"/>
  <c r="I194"/>
  <c r="I229"/>
  <c r="I339"/>
  <c r="I372"/>
  <c r="I459"/>
  <c r="I518"/>
  <c r="I566"/>
  <c r="I635"/>
  <c r="I666"/>
  <c r="I703"/>
  <c r="I723"/>
  <c r="I748"/>
  <c r="I769"/>
  <c r="I1023"/>
  <c r="I1233"/>
  <c r="I1358"/>
  <c r="I1517"/>
  <c r="I1628"/>
  <c r="H265"/>
  <c r="I280"/>
  <c r="H280"/>
  <c r="I1583"/>
  <c r="H1583"/>
  <c r="H1532"/>
  <c r="I1532"/>
  <c r="H1546"/>
  <c r="H400"/>
  <c r="I1546"/>
  <c r="I400"/>
  <c r="H309"/>
  <c r="I309"/>
  <c r="I1054"/>
  <c r="I1296"/>
  <c r="G1296"/>
  <c r="I1127"/>
  <c r="I827"/>
  <c r="I907"/>
  <c r="H907"/>
  <c r="H827"/>
  <c r="I450"/>
  <c r="H450"/>
  <c r="I474"/>
  <c r="H474"/>
  <c r="H436"/>
  <c r="I436"/>
  <c r="I1321"/>
  <c r="I1138"/>
  <c r="I1307"/>
  <c r="I1221"/>
  <c r="I1186"/>
  <c r="H1456"/>
  <c r="I1456"/>
  <c r="I1383"/>
  <c r="H9"/>
  <c r="H33"/>
  <c r="H111"/>
  <c r="H348"/>
  <c r="I77"/>
  <c r="H795"/>
  <c r="I1671"/>
  <c r="H618"/>
  <c r="I348"/>
  <c r="I618"/>
  <c r="I884"/>
  <c r="I1081"/>
  <c r="H1421"/>
  <c r="H1690"/>
  <c r="I9"/>
  <c r="I111"/>
  <c r="I795"/>
  <c r="I1174"/>
  <c r="I1269"/>
  <c r="I1421"/>
  <c r="I377"/>
  <c r="I589"/>
  <c r="H1431"/>
  <c r="I33"/>
  <c r="I1340"/>
  <c r="H550"/>
  <c r="H589"/>
  <c r="I773"/>
  <c r="I989"/>
  <c r="I1243"/>
  <c r="I1489"/>
  <c r="H1555"/>
  <c r="H77"/>
  <c r="H1489"/>
  <c r="H1671"/>
  <c r="I1100"/>
  <c r="I1160"/>
  <c r="I1431"/>
  <c r="I1690"/>
  <c r="H377"/>
  <c r="H884"/>
  <c r="I550"/>
  <c r="I1257"/>
  <c r="M377" l="1"/>
  <c r="L377" i="31"/>
  <c r="M377" s="1"/>
  <c r="L377" i="30"/>
  <c r="M377" s="1"/>
  <c r="L377" i="29"/>
  <c r="M377" s="1"/>
  <c r="O907" i="11"/>
  <c r="N907" i="31"/>
  <c r="O907" s="1"/>
  <c r="N907" i="30"/>
  <c r="O907" s="1"/>
  <c r="N907" i="29"/>
  <c r="O907" s="1"/>
  <c r="O769" i="11"/>
  <c r="N769" i="31"/>
  <c r="O769" s="1"/>
  <c r="N769" i="30"/>
  <c r="O769" s="1"/>
  <c r="N769" i="29"/>
  <c r="O769" s="1"/>
  <c r="M723" i="11"/>
  <c r="L723" i="31"/>
  <c r="M723" s="1"/>
  <c r="L723" i="30"/>
  <c r="M723" s="1"/>
  <c r="L723" i="29"/>
  <c r="M723" s="1"/>
  <c r="M559" i="11"/>
  <c r="L559" i="31"/>
  <c r="M559" s="1"/>
  <c r="L559" i="30"/>
  <c r="M559" s="1"/>
  <c r="L559" i="29"/>
  <c r="M559" s="1"/>
  <c r="O1377" i="11"/>
  <c r="N1377" i="31"/>
  <c r="O1377" s="1"/>
  <c r="N1377" i="30"/>
  <c r="O1377" s="1"/>
  <c r="N1377" i="29"/>
  <c r="O1377" s="1"/>
  <c r="O773" i="11"/>
  <c r="N773" i="31"/>
  <c r="O773" s="1"/>
  <c r="N773" i="30"/>
  <c r="O773" s="1"/>
  <c r="N773" i="29"/>
  <c r="O773" s="1"/>
  <c r="O1081" i="11"/>
  <c r="N1081" i="31"/>
  <c r="O1081" s="1"/>
  <c r="N1081" i="30"/>
  <c r="O1081" s="1"/>
  <c r="N1081" i="29"/>
  <c r="O1081" s="1"/>
  <c r="O1221" i="11"/>
  <c r="N1221" i="31"/>
  <c r="O1221" s="1"/>
  <c r="N1221" i="30"/>
  <c r="O1221" s="1"/>
  <c r="N1221" i="29"/>
  <c r="O1221" s="1"/>
  <c r="O1296" i="11"/>
  <c r="N1296" i="31"/>
  <c r="O1296" s="1"/>
  <c r="N1296" i="30"/>
  <c r="O1296" s="1"/>
  <c r="N1296" i="29"/>
  <c r="O1296" s="1"/>
  <c r="O1517" i="11"/>
  <c r="N1517" i="31"/>
  <c r="O1517" s="1"/>
  <c r="N1517" i="30"/>
  <c r="O1517" s="1"/>
  <c r="N1517" i="29"/>
  <c r="O1517" s="1"/>
  <c r="O666" i="11"/>
  <c r="N666" i="31"/>
  <c r="O666" s="1"/>
  <c r="N666" i="30"/>
  <c r="O666" s="1"/>
  <c r="N666" i="29"/>
  <c r="O666" s="1"/>
  <c r="M1484" i="11"/>
  <c r="L1484" i="31"/>
  <c r="M1484" s="1"/>
  <c r="L1484" i="30"/>
  <c r="M1484" s="1"/>
  <c r="L1484" i="29"/>
  <c r="M1484" s="1"/>
  <c r="M139" i="11"/>
  <c r="L139" i="31"/>
  <c r="M139" s="1"/>
  <c r="L139" i="30"/>
  <c r="M139" s="1"/>
  <c r="L139" i="29"/>
  <c r="M139" s="1"/>
  <c r="O742" i="11"/>
  <c r="N742" i="31"/>
  <c r="O742" s="1"/>
  <c r="N742" i="30"/>
  <c r="O742" s="1"/>
  <c r="N742" i="29"/>
  <c r="O742" s="1"/>
  <c r="M366" i="11"/>
  <c r="L366" i="31"/>
  <c r="M366" s="1"/>
  <c r="L366" i="29"/>
  <c r="M366" s="1"/>
  <c r="L366" i="30"/>
  <c r="M366" s="1"/>
  <c r="O648" i="11"/>
  <c r="N648" i="31"/>
  <c r="O648" s="1"/>
  <c r="N648" i="30"/>
  <c r="O648" s="1"/>
  <c r="N648" i="29"/>
  <c r="O648" s="1"/>
  <c r="M1643" i="11"/>
  <c r="L1643" i="31"/>
  <c r="M1643" s="1"/>
  <c r="L1643" i="30"/>
  <c r="M1643" s="1"/>
  <c r="L1643" i="29"/>
  <c r="M1643" s="1"/>
  <c r="O719" i="11"/>
  <c r="N719" i="31"/>
  <c r="O719" s="1"/>
  <c r="N719" i="30"/>
  <c r="O719" s="1"/>
  <c r="N719" i="29"/>
  <c r="O719" s="1"/>
  <c r="O1561" i="11"/>
  <c r="N1561" i="31"/>
  <c r="O1561" s="1"/>
  <c r="N1561" i="30"/>
  <c r="O1561" s="1"/>
  <c r="N1561" i="29"/>
  <c r="O1561" s="1"/>
  <c r="O292" i="11"/>
  <c r="N292" i="31"/>
  <c r="O292" s="1"/>
  <c r="N292" i="30"/>
  <c r="O292" s="1"/>
  <c r="N292" i="29"/>
  <c r="O292" s="1"/>
  <c r="M1438" i="11"/>
  <c r="L1438" i="31"/>
  <c r="M1438" s="1"/>
  <c r="L1438" i="30"/>
  <c r="M1438" s="1"/>
  <c r="L1438" i="29"/>
  <c r="M1438" s="1"/>
  <c r="O1624" i="11"/>
  <c r="N1624" i="31"/>
  <c r="O1624" s="1"/>
  <c r="N1624" i="30"/>
  <c r="O1624" s="1"/>
  <c r="N1624" i="29"/>
  <c r="O1624" s="1"/>
  <c r="O963" i="11"/>
  <c r="N963" i="31"/>
  <c r="O963" s="1"/>
  <c r="N963" i="30"/>
  <c r="O963" s="1"/>
  <c r="N963" i="29"/>
  <c r="O963" s="1"/>
  <c r="L589" i="31"/>
  <c r="M589" s="1"/>
  <c r="L589" i="30"/>
  <c r="M589" s="1"/>
  <c r="O884" i="11"/>
  <c r="N884" i="31"/>
  <c r="O884" s="1"/>
  <c r="N884" i="30"/>
  <c r="O884" s="1"/>
  <c r="N884" i="29"/>
  <c r="O884" s="1"/>
  <c r="O1307" i="11"/>
  <c r="N1307" i="31"/>
  <c r="O1307" s="1"/>
  <c r="N1307" i="30"/>
  <c r="O1307" s="1"/>
  <c r="N1307" i="29"/>
  <c r="O1307" s="1"/>
  <c r="O1054" i="11"/>
  <c r="N1054" i="31"/>
  <c r="O1054" s="1"/>
  <c r="N1054" i="30"/>
  <c r="O1054" s="1"/>
  <c r="N1054" i="29"/>
  <c r="O1054" s="1"/>
  <c r="O1358" i="11"/>
  <c r="N1358" i="31"/>
  <c r="O1358" s="1"/>
  <c r="N1358" i="30"/>
  <c r="O1358" s="1"/>
  <c r="N1358" i="29"/>
  <c r="O1358" s="1"/>
  <c r="O173" i="11"/>
  <c r="N173" i="31"/>
  <c r="O173" s="1"/>
  <c r="N173" i="30"/>
  <c r="O173" s="1"/>
  <c r="N173" i="29"/>
  <c r="O173" s="1"/>
  <c r="L518" i="31"/>
  <c r="M518" s="1"/>
  <c r="L518" i="30"/>
  <c r="M518" s="1"/>
  <c r="L518" i="29"/>
  <c r="M518" s="1"/>
  <c r="O662" i="11"/>
  <c r="N662" i="31"/>
  <c r="O662" s="1"/>
  <c r="N662" i="30"/>
  <c r="O662" s="1"/>
  <c r="N662" i="29"/>
  <c r="O662" s="1"/>
  <c r="M189" i="11"/>
  <c r="L189" i="31"/>
  <c r="M189" s="1"/>
  <c r="L189" i="30"/>
  <c r="M189" s="1"/>
  <c r="L189" i="29"/>
  <c r="M189" s="1"/>
  <c r="O570" i="11"/>
  <c r="N570" i="31"/>
  <c r="O570" s="1"/>
  <c r="N570" i="30"/>
  <c r="O570" s="1"/>
  <c r="N570" i="29"/>
  <c r="O570" s="1"/>
  <c r="M466" i="11"/>
  <c r="L466" i="31"/>
  <c r="M466" s="1"/>
  <c r="L466" i="30"/>
  <c r="M466" s="1"/>
  <c r="L466" i="29"/>
  <c r="M466" s="1"/>
  <c r="M719" i="11"/>
  <c r="L719" i="31"/>
  <c r="M719" s="1"/>
  <c r="L719" i="30"/>
  <c r="M719" s="1"/>
  <c r="L719" i="29"/>
  <c r="M719" s="1"/>
  <c r="O715" i="11"/>
  <c r="N715" i="31"/>
  <c r="O715" s="1"/>
  <c r="N715" i="30"/>
  <c r="O715" s="1"/>
  <c r="N715" i="29"/>
  <c r="O715" s="1"/>
  <c r="M809" i="11"/>
  <c r="L809" i="31"/>
  <c r="M809" s="1"/>
  <c r="L809" i="30"/>
  <c r="M809" s="1"/>
  <c r="L809" i="29"/>
  <c r="M809" s="1"/>
  <c r="O1328" i="11"/>
  <c r="N1328" i="31"/>
  <c r="O1328" s="1"/>
  <c r="N1328" i="30"/>
  <c r="O1328" s="1"/>
  <c r="N1328" i="29"/>
  <c r="O1328" s="1"/>
  <c r="O550" i="11"/>
  <c r="N550" i="31"/>
  <c r="O550" s="1"/>
  <c r="N550" i="30"/>
  <c r="O550" s="1"/>
  <c r="N550" i="29"/>
  <c r="O550" s="1"/>
  <c r="M827" i="11"/>
  <c r="L827" i="31"/>
  <c r="M827" s="1"/>
  <c r="L827" i="30"/>
  <c r="M827" s="1"/>
  <c r="L827" i="29"/>
  <c r="M827" s="1"/>
  <c r="O566" i="11"/>
  <c r="N566" i="31"/>
  <c r="O566" s="1"/>
  <c r="N566" i="30"/>
  <c r="O566" s="1"/>
  <c r="N566" i="29"/>
  <c r="O566" s="1"/>
  <c r="M459" i="11"/>
  <c r="L459" i="31"/>
  <c r="M459" s="1"/>
  <c r="L459" i="30"/>
  <c r="M459" s="1"/>
  <c r="L459" i="29"/>
  <c r="M459" s="1"/>
  <c r="M104" i="11"/>
  <c r="L104" i="31"/>
  <c r="M104" s="1"/>
  <c r="L104" i="30"/>
  <c r="M104" s="1"/>
  <c r="L104" i="29"/>
  <c r="M104" s="1"/>
  <c r="M1477" i="11"/>
  <c r="L1477" i="31"/>
  <c r="M1477" s="1"/>
  <c r="L1477" i="30"/>
  <c r="M1477" s="1"/>
  <c r="L1477" i="29"/>
  <c r="M1477" s="1"/>
  <c r="M135" i="11"/>
  <c r="L135" i="31"/>
  <c r="M135" s="1"/>
  <c r="L135" i="30"/>
  <c r="M135" s="1"/>
  <c r="L135" i="29"/>
  <c r="M135" s="1"/>
  <c r="O1235" i="11"/>
  <c r="N1235" i="31"/>
  <c r="O1235" s="1"/>
  <c r="N1235" i="30"/>
  <c r="O1235" s="1"/>
  <c r="N1235" i="29"/>
  <c r="O1235" s="1"/>
  <c r="O496" i="11"/>
  <c r="N496" i="31"/>
  <c r="O496" s="1"/>
  <c r="N496" i="30"/>
  <c r="O496" s="1"/>
  <c r="N496" i="29"/>
  <c r="O496" s="1"/>
  <c r="M1517" i="11"/>
  <c r="L1517" i="31"/>
  <c r="M1517" s="1"/>
  <c r="L1517" i="30"/>
  <c r="M1517" s="1"/>
  <c r="L1517" i="29"/>
  <c r="M1517" s="1"/>
  <c r="M216" i="11"/>
  <c r="L216" i="31"/>
  <c r="M216" s="1"/>
  <c r="L216" i="30"/>
  <c r="M216" s="1"/>
  <c r="L216" i="29"/>
  <c r="M216" s="1"/>
  <c r="O512" i="11"/>
  <c r="N512" i="31"/>
  <c r="O512" s="1"/>
  <c r="N512" i="30"/>
  <c r="O512" s="1"/>
  <c r="N512" i="29"/>
  <c r="O512" s="1"/>
  <c r="M662" i="11"/>
  <c r="L662" i="31"/>
  <c r="M662" s="1"/>
  <c r="L662" i="30"/>
  <c r="M662" s="1"/>
  <c r="L662" i="29"/>
  <c r="M662" s="1"/>
  <c r="O1477" i="11"/>
  <c r="N1477" i="31"/>
  <c r="O1477" s="1"/>
  <c r="N1477" i="30"/>
  <c r="O1477" s="1"/>
  <c r="N1477" i="29"/>
  <c r="O1477" s="1"/>
  <c r="O682" i="11"/>
  <c r="N682" i="31"/>
  <c r="O682" s="1"/>
  <c r="N682" i="30"/>
  <c r="O682" s="1"/>
  <c r="N682" i="29"/>
  <c r="O682" s="1"/>
  <c r="O221" i="11"/>
  <c r="N221" i="31"/>
  <c r="O221" s="1"/>
  <c r="N221" i="29"/>
  <c r="O221" s="1"/>
  <c r="N221" i="30"/>
  <c r="O221" s="1"/>
  <c r="M777" i="11"/>
  <c r="L777" i="31"/>
  <c r="M777" s="1"/>
  <c r="L777" i="30"/>
  <c r="M777" s="1"/>
  <c r="L777" i="29"/>
  <c r="M777" s="1"/>
  <c r="M327" i="11"/>
  <c r="L327" i="31"/>
  <c r="M327" s="1"/>
  <c r="L327" i="30"/>
  <c r="M327" s="1"/>
  <c r="L327" i="29"/>
  <c r="M327" s="1"/>
  <c r="O973" i="11"/>
  <c r="N973" i="31"/>
  <c r="O973" s="1"/>
  <c r="N973" i="30"/>
  <c r="O973" s="1"/>
  <c r="N973" i="29"/>
  <c r="O973" s="1"/>
  <c r="M333" i="11"/>
  <c r="L333" i="31"/>
  <c r="M333" s="1"/>
  <c r="L333" i="30"/>
  <c r="M333" s="1"/>
  <c r="L333" i="29"/>
  <c r="M333" s="1"/>
  <c r="O752" i="11"/>
  <c r="N752" i="31"/>
  <c r="O752" s="1"/>
  <c r="N752" i="30"/>
  <c r="O752" s="1"/>
  <c r="N752" i="29"/>
  <c r="O752" s="1"/>
  <c r="O1072" i="11"/>
  <c r="N1072" i="31"/>
  <c r="O1072" s="1"/>
  <c r="N1072" i="30"/>
  <c r="O1072" s="1"/>
  <c r="N1072" i="29"/>
  <c r="O1072" s="1"/>
  <c r="M1555" i="11"/>
  <c r="L1555" i="31"/>
  <c r="M1555" s="1"/>
  <c r="L1555" i="30"/>
  <c r="M1555" s="1"/>
  <c r="L1555" i="29"/>
  <c r="M1555" s="1"/>
  <c r="M618" i="11"/>
  <c r="L618" i="31"/>
  <c r="M618" s="1"/>
  <c r="L618" i="30"/>
  <c r="M618" s="1"/>
  <c r="L618" i="29"/>
  <c r="M618" s="1"/>
  <c r="O1383" i="11"/>
  <c r="N1383" i="31"/>
  <c r="O1383" s="1"/>
  <c r="N1383" i="30"/>
  <c r="O1383" s="1"/>
  <c r="N1383" i="29"/>
  <c r="O1383" s="1"/>
  <c r="O400" i="11"/>
  <c r="N400" i="31"/>
  <c r="O400" s="1"/>
  <c r="N400" i="30"/>
  <c r="O400" s="1"/>
  <c r="N400" i="29"/>
  <c r="O400" s="1"/>
  <c r="O459" i="11"/>
  <c r="N459" i="31"/>
  <c r="O459" s="1"/>
  <c r="N459" i="30"/>
  <c r="O459" s="1"/>
  <c r="N459" i="29"/>
  <c r="O459" s="1"/>
  <c r="M130" i="11"/>
  <c r="L130" i="31"/>
  <c r="M130" s="1"/>
  <c r="L130" i="29"/>
  <c r="M130" s="1"/>
  <c r="L130" i="30"/>
  <c r="M130" s="1"/>
  <c r="O1566" i="11"/>
  <c r="N1566" i="31"/>
  <c r="O1566" s="1"/>
  <c r="N1566" i="30"/>
  <c r="O1566" s="1"/>
  <c r="N1566" i="29"/>
  <c r="O1566" s="1"/>
  <c r="O1100" i="11"/>
  <c r="N1100" i="31"/>
  <c r="O1100" s="1"/>
  <c r="N1100" i="30"/>
  <c r="O1100" s="1"/>
  <c r="N1100" i="29"/>
  <c r="O1100" s="1"/>
  <c r="O1421" i="11"/>
  <c r="N1421" i="31"/>
  <c r="O1421" s="1"/>
  <c r="N1421" i="30"/>
  <c r="O1421" s="1"/>
  <c r="N1421" i="29"/>
  <c r="O1421" s="1"/>
  <c r="M348" i="11"/>
  <c r="L348" i="31"/>
  <c r="M348" s="1"/>
  <c r="L348" i="30"/>
  <c r="M348" s="1"/>
  <c r="L348" i="29"/>
  <c r="M348" s="1"/>
  <c r="M450" i="11"/>
  <c r="L450" i="31"/>
  <c r="M450" s="1"/>
  <c r="L450" i="30"/>
  <c r="M450" s="1"/>
  <c r="L450" i="29"/>
  <c r="M450" s="1"/>
  <c r="O1532" i="11"/>
  <c r="N1532" i="31"/>
  <c r="O1532" s="1"/>
  <c r="N1532" i="30"/>
  <c r="O1532" s="1"/>
  <c r="N1532" i="29"/>
  <c r="O1532" s="1"/>
  <c r="O194" i="11"/>
  <c r="N194" i="31"/>
  <c r="O194" s="1"/>
  <c r="N194" i="30"/>
  <c r="O194" s="1"/>
  <c r="N194" i="29"/>
  <c r="O194" s="1"/>
  <c r="M566" i="11"/>
  <c r="L566" i="31"/>
  <c r="M566" s="1"/>
  <c r="L566" i="30"/>
  <c r="M566" s="1"/>
  <c r="L566" i="29"/>
  <c r="M566" s="1"/>
  <c r="M1628" i="11"/>
  <c r="L1628" i="31"/>
  <c r="M1628" s="1"/>
  <c r="L1628" i="30"/>
  <c r="M1628" s="1"/>
  <c r="L1628" i="29"/>
  <c r="M1628" s="1"/>
  <c r="O1393" i="11"/>
  <c r="N1393" i="31"/>
  <c r="O1393" s="1"/>
  <c r="N1393" i="30"/>
  <c r="O1393" s="1"/>
  <c r="N1393" i="29"/>
  <c r="O1393" s="1"/>
  <c r="M496" i="11"/>
  <c r="L496" i="31"/>
  <c r="M496" s="1"/>
  <c r="L496" i="30"/>
  <c r="M496" s="1"/>
  <c r="L496" i="29"/>
  <c r="M496" s="1"/>
  <c r="M765" i="11"/>
  <c r="L765" i="31"/>
  <c r="M765" s="1"/>
  <c r="L765" i="30"/>
  <c r="M765" s="1"/>
  <c r="L765" i="29"/>
  <c r="M765" s="1"/>
  <c r="O734" i="11"/>
  <c r="N734" i="31"/>
  <c r="O734" s="1"/>
  <c r="N734" i="30"/>
  <c r="O734" s="1"/>
  <c r="N734" i="29"/>
  <c r="O734" s="1"/>
  <c r="M507" i="11"/>
  <c r="L507" i="31"/>
  <c r="M507" s="1"/>
  <c r="L507" i="30"/>
  <c r="M507" s="1"/>
  <c r="L507" i="29"/>
  <c r="M507" s="1"/>
  <c r="M697" i="11"/>
  <c r="L697" i="31"/>
  <c r="M697" s="1"/>
  <c r="L697" i="30"/>
  <c r="M697" s="1"/>
  <c r="L697" i="29"/>
  <c r="M697" s="1"/>
  <c r="O1589" i="11"/>
  <c r="N1589" i="31"/>
  <c r="O1589" s="1"/>
  <c r="N1589" i="30"/>
  <c r="O1589" s="1"/>
  <c r="N1589" i="29"/>
  <c r="O1589" s="1"/>
  <c r="O1257" i="11"/>
  <c r="N1257" i="31"/>
  <c r="O1257" s="1"/>
  <c r="N1257" i="30"/>
  <c r="O1257" s="1"/>
  <c r="N1257" i="29"/>
  <c r="O1257" s="1"/>
  <c r="M1671" i="11"/>
  <c r="L1671" i="31"/>
  <c r="M1671" s="1"/>
  <c r="L1671" i="30"/>
  <c r="M1671" s="1"/>
  <c r="L1671" i="29"/>
  <c r="M1671" s="1"/>
  <c r="O1269" i="11"/>
  <c r="N1269" i="31"/>
  <c r="O1269" s="1"/>
  <c r="N1269" i="30"/>
  <c r="O1269" s="1"/>
  <c r="N1269" i="29"/>
  <c r="O1269" s="1"/>
  <c r="M111" i="11"/>
  <c r="L111" i="31"/>
  <c r="M111" s="1"/>
  <c r="L111" i="30"/>
  <c r="M111" s="1"/>
  <c r="L111" i="29"/>
  <c r="M111" s="1"/>
  <c r="O450" i="11"/>
  <c r="N450" i="31"/>
  <c r="O450" s="1"/>
  <c r="N450" i="30"/>
  <c r="O450" s="1"/>
  <c r="N450" i="29"/>
  <c r="O450" s="1"/>
  <c r="M1532" i="11"/>
  <c r="L1532" i="31"/>
  <c r="M1532" s="1"/>
  <c r="L1532" i="30"/>
  <c r="M1532" s="1"/>
  <c r="L1532" i="29"/>
  <c r="M1532" s="1"/>
  <c r="O635" i="11"/>
  <c r="N635" i="31"/>
  <c r="O635" s="1"/>
  <c r="N635" i="30"/>
  <c r="O635" s="1"/>
  <c r="N635" i="29"/>
  <c r="O635" s="1"/>
  <c r="M1452" i="11"/>
  <c r="L1452" i="31"/>
  <c r="M1452" s="1"/>
  <c r="L1452" i="30"/>
  <c r="M1452" s="1"/>
  <c r="L1452" i="29"/>
  <c r="M1452" s="1"/>
  <c r="M126" i="11"/>
  <c r="L126" i="31"/>
  <c r="M126" s="1"/>
  <c r="L126" i="30"/>
  <c r="M126" s="1"/>
  <c r="L126" i="29"/>
  <c r="M126" s="1"/>
  <c r="M1507" i="11"/>
  <c r="L1507" i="31"/>
  <c r="M1507" s="1"/>
  <c r="L1507" i="30"/>
  <c r="M1507" s="1"/>
  <c r="L1507" i="29"/>
  <c r="M1507" s="1"/>
  <c r="O1369" i="11"/>
  <c r="N1369" i="31"/>
  <c r="O1369" s="1"/>
  <c r="N1369" i="30"/>
  <c r="O1369" s="1"/>
  <c r="N1369" i="29"/>
  <c r="O1369" s="1"/>
  <c r="M1618" i="11"/>
  <c r="L1618" i="31"/>
  <c r="M1618" s="1"/>
  <c r="L1618" i="30"/>
  <c r="M1618" s="1"/>
  <c r="L1618" i="29"/>
  <c r="M1618" s="1"/>
  <c r="O612" i="11"/>
  <c r="N612" i="31"/>
  <c r="O612" s="1"/>
  <c r="N612" i="30"/>
  <c r="O612" s="1"/>
  <c r="N612" i="29"/>
  <c r="O612" s="1"/>
  <c r="O1507" i="11"/>
  <c r="N1507" i="31"/>
  <c r="O1507" s="1"/>
  <c r="N1507" i="30"/>
  <c r="O1507" s="1"/>
  <c r="N1507" i="29"/>
  <c r="O1507" s="1"/>
  <c r="O251" i="11"/>
  <c r="N251" i="31"/>
  <c r="O251" s="1"/>
  <c r="N251" i="30"/>
  <c r="O251" s="1"/>
  <c r="N251" i="29"/>
  <c r="O251" s="1"/>
  <c r="M418" i="11"/>
  <c r="L418" i="31"/>
  <c r="M418" s="1"/>
  <c r="L418" i="30"/>
  <c r="M418" s="1"/>
  <c r="L418" i="29"/>
  <c r="M418" s="1"/>
  <c r="M612" i="11"/>
  <c r="L612" i="31"/>
  <c r="M612" s="1"/>
  <c r="L612" i="30"/>
  <c r="M612" s="1"/>
  <c r="L612" i="29"/>
  <c r="M612" s="1"/>
  <c r="M1489" i="11"/>
  <c r="L1489" i="31"/>
  <c r="M1489" s="1"/>
  <c r="L1489" i="30"/>
  <c r="M1489" s="1"/>
  <c r="L1489" i="29"/>
  <c r="M1489" s="1"/>
  <c r="M550" i="11"/>
  <c r="L550" i="31"/>
  <c r="M550" s="1"/>
  <c r="L550" i="30"/>
  <c r="M550" s="1"/>
  <c r="L550" i="29"/>
  <c r="M550" s="1"/>
  <c r="O1174" i="11"/>
  <c r="N1174" i="31"/>
  <c r="O1174" s="1"/>
  <c r="N1174" i="30"/>
  <c r="O1174" s="1"/>
  <c r="N1174" i="29"/>
  <c r="O1174" s="1"/>
  <c r="O618" i="11"/>
  <c r="N618" i="31"/>
  <c r="O618" s="1"/>
  <c r="N618" i="30"/>
  <c r="O618" s="1"/>
  <c r="N618" i="29"/>
  <c r="O618" s="1"/>
  <c r="M33" i="11"/>
  <c r="L33" i="31"/>
  <c r="M33" s="1"/>
  <c r="L33" i="30"/>
  <c r="M33" s="1"/>
  <c r="L33" i="29"/>
  <c r="M33" s="1"/>
  <c r="O1138" i="11"/>
  <c r="N1138" i="31"/>
  <c r="O1138" s="1"/>
  <c r="N1138" i="30"/>
  <c r="O1138" s="1"/>
  <c r="N1138" i="29"/>
  <c r="O1138" s="1"/>
  <c r="O309" i="11"/>
  <c r="N309" i="31"/>
  <c r="O309" s="1"/>
  <c r="N309" i="30"/>
  <c r="O309" s="1"/>
  <c r="N309" i="29"/>
  <c r="O309" s="1"/>
  <c r="M1583" i="11"/>
  <c r="L1583" i="31"/>
  <c r="M1583" s="1"/>
  <c r="L1583" i="30"/>
  <c r="M1583" s="1"/>
  <c r="L1583" i="29"/>
  <c r="M1583" s="1"/>
  <c r="O1233" i="11"/>
  <c r="N1233" i="31"/>
  <c r="O1233" s="1"/>
  <c r="N1233" i="30"/>
  <c r="O1233" s="1"/>
  <c r="N1233" i="29"/>
  <c r="O1233" s="1"/>
  <c r="O139" i="11"/>
  <c r="N139" i="31"/>
  <c r="O139" s="1"/>
  <c r="N139" i="30"/>
  <c r="O139" s="1"/>
  <c r="N139" i="29"/>
  <c r="O139" s="1"/>
  <c r="M769" i="11"/>
  <c r="L769" i="31"/>
  <c r="M769" s="1"/>
  <c r="L769" i="30"/>
  <c r="M769" s="1"/>
  <c r="L769" i="29"/>
  <c r="M769" s="1"/>
  <c r="O559" i="11"/>
  <c r="N559" i="31"/>
  <c r="O559" s="1"/>
  <c r="N559" i="30"/>
  <c r="O559" s="1"/>
  <c r="N559" i="29"/>
  <c r="O559" s="1"/>
  <c r="M884" i="11"/>
  <c r="L884" i="31"/>
  <c r="M884" s="1"/>
  <c r="L884" i="30"/>
  <c r="M884" s="1"/>
  <c r="L884" i="29"/>
  <c r="M884" s="1"/>
  <c r="M77" i="11"/>
  <c r="L77" i="31"/>
  <c r="M77" s="1"/>
  <c r="L77" i="30"/>
  <c r="M77" s="1"/>
  <c r="L77" i="29"/>
  <c r="M77" s="1"/>
  <c r="O1340" i="11"/>
  <c r="N1340" i="31"/>
  <c r="O1340" s="1"/>
  <c r="N1340" i="30"/>
  <c r="O1340" s="1"/>
  <c r="N1340" i="29"/>
  <c r="O1340" s="1"/>
  <c r="O795" i="11"/>
  <c r="N795" i="31"/>
  <c r="O795" s="1"/>
  <c r="N795" i="30"/>
  <c r="O795" s="1"/>
  <c r="N795" i="29"/>
  <c r="O795" s="1"/>
  <c r="O348" i="11"/>
  <c r="N348" i="31"/>
  <c r="O348" s="1"/>
  <c r="N348" i="30"/>
  <c r="O348" s="1"/>
  <c r="N348" i="29"/>
  <c r="O348" s="1"/>
  <c r="M9" i="11"/>
  <c r="L9" i="31"/>
  <c r="M9" s="1"/>
  <c r="L9" i="30"/>
  <c r="M9" s="1"/>
  <c r="L9" i="29"/>
  <c r="M9" s="1"/>
  <c r="O1321" i="11"/>
  <c r="N1321" i="31"/>
  <c r="O1321" s="1"/>
  <c r="N1321" i="30"/>
  <c r="O1321" s="1"/>
  <c r="N1321" i="29"/>
  <c r="O1321" s="1"/>
  <c r="M907" i="11"/>
  <c r="L907" i="31"/>
  <c r="M907" s="1"/>
  <c r="L907" i="30"/>
  <c r="M907" s="1"/>
  <c r="L907" i="29"/>
  <c r="M907" s="1"/>
  <c r="M309" i="11"/>
  <c r="L309" i="31"/>
  <c r="M309" s="1"/>
  <c r="L309" i="30"/>
  <c r="M309" s="1"/>
  <c r="L309" i="29"/>
  <c r="M309" s="1"/>
  <c r="O1583" i="11"/>
  <c r="N1583" i="31"/>
  <c r="O1583" s="1"/>
  <c r="N1583" i="30"/>
  <c r="O1583" s="1"/>
  <c r="N1583" i="29"/>
  <c r="O1583" s="1"/>
  <c r="O1023" i="11"/>
  <c r="N1023" i="31"/>
  <c r="O1023" s="1"/>
  <c r="N1023" i="30"/>
  <c r="O1023" s="1"/>
  <c r="N1023" i="29"/>
  <c r="O1023" s="1"/>
  <c r="N518" i="31"/>
  <c r="O518" s="1"/>
  <c r="N518" i="30"/>
  <c r="O518" s="1"/>
  <c r="N518" i="29"/>
  <c r="O518" s="1"/>
  <c r="O126" i="11"/>
  <c r="N126" i="31"/>
  <c r="O126" s="1"/>
  <c r="N126" i="29"/>
  <c r="O126" s="1"/>
  <c r="N126" i="30"/>
  <c r="O126" s="1"/>
  <c r="M748" i="11"/>
  <c r="L748" i="31"/>
  <c r="M748" s="1"/>
  <c r="L748" i="30"/>
  <c r="M748" s="1"/>
  <c r="L748" i="29"/>
  <c r="M748" s="1"/>
  <c r="M372" i="11"/>
  <c r="L372" i="31"/>
  <c r="M372" s="1"/>
  <c r="L372" i="30"/>
  <c r="M372" s="1"/>
  <c r="L372" i="29"/>
  <c r="M372" s="1"/>
  <c r="M243" i="11"/>
  <c r="L243" i="31"/>
  <c r="M243" s="1"/>
  <c r="L243" i="30"/>
  <c r="M243" s="1"/>
  <c r="L243" i="29"/>
  <c r="M243" s="1"/>
  <c r="O386" i="11"/>
  <c r="N386" i="31"/>
  <c r="O386" s="1"/>
  <c r="N386" i="30"/>
  <c r="O386" s="1"/>
  <c r="N386" i="29"/>
  <c r="O386" s="1"/>
  <c r="M742" i="11"/>
  <c r="L742" i="31"/>
  <c r="M742" s="1"/>
  <c r="L742" i="30"/>
  <c r="M742" s="1"/>
  <c r="L742" i="29"/>
  <c r="M742" s="1"/>
  <c r="O1638" i="11"/>
  <c r="N1638" i="31"/>
  <c r="O1638" s="1"/>
  <c r="N1638" i="30"/>
  <c r="O1638" s="1"/>
  <c r="N1638" i="29"/>
  <c r="O1638" s="1"/>
  <c r="O1213" i="11"/>
  <c r="N1213" i="31"/>
  <c r="O1213" s="1"/>
  <c r="N1213" i="30"/>
  <c r="O1213" s="1"/>
  <c r="N1213" i="29"/>
  <c r="O1213" s="1"/>
  <c r="O466" i="11"/>
  <c r="N466" i="31"/>
  <c r="O466" s="1"/>
  <c r="N466" i="30"/>
  <c r="O466" s="1"/>
  <c r="N466" i="29"/>
  <c r="O466" s="1"/>
  <c r="M773" i="11"/>
  <c r="L773" i="31"/>
  <c r="M773" s="1"/>
  <c r="L773" i="30"/>
  <c r="M773" s="1"/>
  <c r="L773" i="29"/>
  <c r="M773" s="1"/>
  <c r="M147" i="11"/>
  <c r="L147" i="31"/>
  <c r="M147" s="1"/>
  <c r="L147" i="30"/>
  <c r="M147" s="1"/>
  <c r="L147" i="29"/>
  <c r="M147" s="1"/>
  <c r="O426" i="11"/>
  <c r="N426" i="31"/>
  <c r="O426" s="1"/>
  <c r="N426" i="30"/>
  <c r="O426" s="1"/>
  <c r="N426" i="29"/>
  <c r="O426" s="1"/>
  <c r="M584" i="11"/>
  <c r="L584" i="31"/>
  <c r="M584" s="1"/>
  <c r="L584" i="30"/>
  <c r="M584" s="1"/>
  <c r="L584" i="29"/>
  <c r="M584" s="1"/>
  <c r="O1399" i="11"/>
  <c r="N1399" i="31"/>
  <c r="O1399" s="1"/>
  <c r="N1399" i="30"/>
  <c r="O1399" s="1"/>
  <c r="N1399" i="29"/>
  <c r="O1399" s="1"/>
  <c r="O656" i="11"/>
  <c r="N656" i="31"/>
  <c r="O656" s="1"/>
  <c r="N656" i="30"/>
  <c r="O656" s="1"/>
  <c r="N656" i="29"/>
  <c r="O656" s="1"/>
  <c r="O184" i="11"/>
  <c r="N184" i="31"/>
  <c r="O184" s="1"/>
  <c r="N184" i="30"/>
  <c r="O184" s="1"/>
  <c r="N184" i="29"/>
  <c r="O184" s="1"/>
  <c r="M734" i="11"/>
  <c r="L734" i="31"/>
  <c r="M734" s="1"/>
  <c r="L734" i="30"/>
  <c r="M734" s="1"/>
  <c r="L734" i="29"/>
  <c r="M734" s="1"/>
  <c r="M292" i="11"/>
  <c r="L292" i="31"/>
  <c r="M292" s="1"/>
  <c r="L292" i="30"/>
  <c r="M292" s="1"/>
  <c r="L292" i="29"/>
  <c r="M292" s="1"/>
  <c r="O765" i="11"/>
  <c r="N765" i="31"/>
  <c r="O765" s="1"/>
  <c r="N765" i="30"/>
  <c r="O765" s="1"/>
  <c r="N765" i="29"/>
  <c r="O765" s="1"/>
  <c r="M225" i="11"/>
  <c r="L225" i="31"/>
  <c r="M225" s="1"/>
  <c r="L225" i="30"/>
  <c r="M225" s="1"/>
  <c r="L225" i="29"/>
  <c r="M225" s="1"/>
  <c r="O33" i="11"/>
  <c r="N33" i="31"/>
  <c r="O33" s="1"/>
  <c r="N33" i="30"/>
  <c r="O33" s="1"/>
  <c r="N33" i="29"/>
  <c r="O33" s="1"/>
  <c r="O436" i="11"/>
  <c r="N436" i="31"/>
  <c r="O436" s="1"/>
  <c r="N436" i="30"/>
  <c r="O436" s="1"/>
  <c r="N436" i="29"/>
  <c r="O436" s="1"/>
  <c r="O104" i="11"/>
  <c r="N104" i="31"/>
  <c r="O104" s="1"/>
  <c r="N104" i="30"/>
  <c r="O104" s="1"/>
  <c r="N104" i="29"/>
  <c r="O104" s="1"/>
  <c r="O298" i="11"/>
  <c r="N298" i="31"/>
  <c r="O298" s="1"/>
  <c r="N298" i="29"/>
  <c r="O298" s="1"/>
  <c r="N298" i="30"/>
  <c r="O298" s="1"/>
  <c r="O1152" i="11"/>
  <c r="N1152" i="31"/>
  <c r="O1152" s="1"/>
  <c r="N1152" i="30"/>
  <c r="O1152" s="1"/>
  <c r="N1152" i="29"/>
  <c r="O1152" s="1"/>
  <c r="M727" i="11"/>
  <c r="L727" i="31"/>
  <c r="M727" s="1"/>
  <c r="L727" i="30"/>
  <c r="M727" s="1"/>
  <c r="L727" i="29"/>
  <c r="M727" s="1"/>
  <c r="M298" i="11"/>
  <c r="L298" i="31"/>
  <c r="M298" s="1"/>
  <c r="L298" i="30"/>
  <c r="M298" s="1"/>
  <c r="L298" i="29"/>
  <c r="M298" s="1"/>
  <c r="O160" i="11"/>
  <c r="N160" i="31"/>
  <c r="O160" s="1"/>
  <c r="N160" i="30"/>
  <c r="O160" s="1"/>
  <c r="N160" i="29"/>
  <c r="O160" s="1"/>
  <c r="M251" i="11"/>
  <c r="L251" i="31"/>
  <c r="M251" s="1"/>
  <c r="L251" i="30"/>
  <c r="M251" s="1"/>
  <c r="L251" i="29"/>
  <c r="M251" s="1"/>
  <c r="M752" i="11"/>
  <c r="L752" i="31"/>
  <c r="M752" s="1"/>
  <c r="L752" i="30"/>
  <c r="M752" s="1"/>
  <c r="L752" i="29"/>
  <c r="M752" s="1"/>
  <c r="O1690" i="11"/>
  <c r="N1690" i="31"/>
  <c r="O1690" s="1"/>
  <c r="N1690" i="30"/>
  <c r="O1690" s="1"/>
  <c r="N1690" i="29"/>
  <c r="O1690" s="1"/>
  <c r="M1431" i="11"/>
  <c r="L1431" i="31"/>
  <c r="M1431" s="1"/>
  <c r="L1431" i="30"/>
  <c r="M1431" s="1"/>
  <c r="L1431" i="29"/>
  <c r="M1431" s="1"/>
  <c r="O9" i="11"/>
  <c r="N9" i="31"/>
  <c r="O9" s="1"/>
  <c r="N9" i="30"/>
  <c r="O9" s="1"/>
  <c r="N9" i="29"/>
  <c r="O9" s="1"/>
  <c r="O1456" i="11"/>
  <c r="N1456" i="31"/>
  <c r="O1456" s="1"/>
  <c r="N1456" i="30"/>
  <c r="O1456" s="1"/>
  <c r="N1456" i="29"/>
  <c r="O1456" s="1"/>
  <c r="M436" i="11"/>
  <c r="L436" i="31"/>
  <c r="M436" s="1"/>
  <c r="L436" i="30"/>
  <c r="M436" s="1"/>
  <c r="L436" i="29"/>
  <c r="M436" s="1"/>
  <c r="O280" i="11"/>
  <c r="N280" i="31"/>
  <c r="O280" s="1"/>
  <c r="N280" i="30"/>
  <c r="O280" s="1"/>
  <c r="N280" i="29"/>
  <c r="O280" s="1"/>
  <c r="O372" i="11"/>
  <c r="N372" i="31"/>
  <c r="O372" s="1"/>
  <c r="N372" i="30"/>
  <c r="O372" s="1"/>
  <c r="N372" i="29"/>
  <c r="O372" s="1"/>
  <c r="M703" i="11"/>
  <c r="L703" i="31"/>
  <c r="M703" s="1"/>
  <c r="L703" i="30"/>
  <c r="M703" s="1"/>
  <c r="L703" i="29"/>
  <c r="M703" s="1"/>
  <c r="K769" i="11"/>
  <c r="J769" i="31"/>
  <c r="K769" s="1"/>
  <c r="J769" i="30"/>
  <c r="K769" s="1"/>
  <c r="J769" i="29"/>
  <c r="K769" s="1"/>
  <c r="M512" i="11"/>
  <c r="L512" i="31"/>
  <c r="M512" s="1"/>
  <c r="L512" i="30"/>
  <c r="M512" s="1"/>
  <c r="L512" i="29"/>
  <c r="M512" s="1"/>
  <c r="O1029" i="11"/>
  <c r="N1029" i="31"/>
  <c r="O1029" s="1"/>
  <c r="N1029" i="29"/>
  <c r="O1029" s="1"/>
  <c r="N1029" i="30"/>
  <c r="O1029" s="1"/>
  <c r="M707" i="11"/>
  <c r="L707" i="31"/>
  <c r="M707" s="1"/>
  <c r="L707" i="30"/>
  <c r="M707" s="1"/>
  <c r="L707" i="29"/>
  <c r="M707" s="1"/>
  <c r="O189" i="11"/>
  <c r="N189" i="31"/>
  <c r="O189" s="1"/>
  <c r="N189" i="30"/>
  <c r="O189" s="1"/>
  <c r="N189" i="29"/>
  <c r="O189" s="1"/>
  <c r="O1043" i="11"/>
  <c r="N1043" i="31"/>
  <c r="O1043" s="1"/>
  <c r="N1043" i="30"/>
  <c r="O1043" s="1"/>
  <c r="N1043" i="29"/>
  <c r="O1043" s="1"/>
  <c r="M1624" i="11"/>
  <c r="L1624" i="31"/>
  <c r="M1624" s="1"/>
  <c r="L1624" i="30"/>
  <c r="M1624" s="1"/>
  <c r="L1624" i="29"/>
  <c r="M1624" s="1"/>
  <c r="M221" i="11"/>
  <c r="L221" i="31"/>
  <c r="M221" s="1"/>
  <c r="L221" i="30"/>
  <c r="M221" s="1"/>
  <c r="L221" i="29"/>
  <c r="M221" s="1"/>
  <c r="O1431" i="11"/>
  <c r="N1431" i="31"/>
  <c r="O1431" s="1"/>
  <c r="N1431" i="30"/>
  <c r="O1431" s="1"/>
  <c r="N1431" i="29"/>
  <c r="O1431" s="1"/>
  <c r="O1243" i="11"/>
  <c r="N1243" i="31"/>
  <c r="O1243" s="1"/>
  <c r="N1243" i="30"/>
  <c r="O1243" s="1"/>
  <c r="N1243" i="29"/>
  <c r="O1243" s="1"/>
  <c r="N589" i="31"/>
  <c r="O589" s="1"/>
  <c r="N589" i="30"/>
  <c r="O589" s="1"/>
  <c r="M1690" i="11"/>
  <c r="L1690" i="31"/>
  <c r="M1690" s="1"/>
  <c r="L1690" i="30"/>
  <c r="M1690" s="1"/>
  <c r="L1690" i="29"/>
  <c r="M1690" s="1"/>
  <c r="M795" i="11"/>
  <c r="L795" i="31"/>
  <c r="M795" s="1"/>
  <c r="L795" i="30"/>
  <c r="M795" s="1"/>
  <c r="L795" i="29"/>
  <c r="M795" s="1"/>
  <c r="M1456" i="11"/>
  <c r="L1456" i="31"/>
  <c r="M1456" s="1"/>
  <c r="L1456" i="30"/>
  <c r="M1456" s="1"/>
  <c r="L1456" i="29"/>
  <c r="M1456" s="1"/>
  <c r="M474" i="11"/>
  <c r="L474" i="31"/>
  <c r="M474" s="1"/>
  <c r="L474" i="30"/>
  <c r="M474" s="1"/>
  <c r="L474" i="29"/>
  <c r="M474" s="1"/>
  <c r="O1127" i="11"/>
  <c r="N1127" i="31"/>
  <c r="O1127" s="1"/>
  <c r="N1127" i="30"/>
  <c r="O1127" s="1"/>
  <c r="N1127" i="29"/>
  <c r="O1127" s="1"/>
  <c r="M400" i="11"/>
  <c r="L400" i="31"/>
  <c r="M400" s="1"/>
  <c r="L400" i="30"/>
  <c r="M400" s="1"/>
  <c r="L400" i="29"/>
  <c r="M400" s="1"/>
  <c r="M265" i="11"/>
  <c r="L265" i="31"/>
  <c r="M265" s="1"/>
  <c r="L265" i="30"/>
  <c r="M265" s="1"/>
  <c r="L265" i="29"/>
  <c r="M265" s="1"/>
  <c r="O723" i="11"/>
  <c r="N723" i="31"/>
  <c r="O723" s="1"/>
  <c r="N723" i="30"/>
  <c r="O723" s="1"/>
  <c r="N723" i="29"/>
  <c r="O723" s="1"/>
  <c r="O339" i="11"/>
  <c r="N339" i="31"/>
  <c r="O339" s="1"/>
  <c r="N339" i="30"/>
  <c r="O339" s="1"/>
  <c r="N339" i="29"/>
  <c r="O339" s="1"/>
  <c r="M1603" i="11"/>
  <c r="L1603" i="31"/>
  <c r="M1603" s="1"/>
  <c r="L1603" i="30"/>
  <c r="M1603" s="1"/>
  <c r="L1603" i="29"/>
  <c r="M1603" s="1"/>
  <c r="M666" i="11"/>
  <c r="L666" i="31"/>
  <c r="M666" s="1"/>
  <c r="L666" i="30"/>
  <c r="M666" s="1"/>
  <c r="L666" i="29"/>
  <c r="M666" s="1"/>
  <c r="M194" i="11"/>
  <c r="L194" i="31"/>
  <c r="M194" s="1"/>
  <c r="L194" i="30"/>
  <c r="M194" s="1"/>
  <c r="L194" i="29"/>
  <c r="M194" s="1"/>
  <c r="O1511" i="11"/>
  <c r="N1511" i="31"/>
  <c r="O1511" s="1"/>
  <c r="N1511" i="30"/>
  <c r="O1511" s="1"/>
  <c r="N1511" i="29"/>
  <c r="O1511" s="1"/>
  <c r="O164" i="11"/>
  <c r="N164" i="31"/>
  <c r="O164" s="1"/>
  <c r="N164" i="30"/>
  <c r="O164" s="1"/>
  <c r="N164" i="29"/>
  <c r="O164" s="1"/>
  <c r="M426" i="11"/>
  <c r="L426" i="31"/>
  <c r="M426" s="1"/>
  <c r="L426" i="30"/>
  <c r="M426" s="1"/>
  <c r="L426" i="29"/>
  <c r="M426" s="1"/>
  <c r="O1527" i="11"/>
  <c r="N1527" i="31"/>
  <c r="O1527" s="1"/>
  <c r="N1527" i="30"/>
  <c r="O1527" s="1"/>
  <c r="N1527" i="29"/>
  <c r="O1527" s="1"/>
  <c r="O727" i="11"/>
  <c r="N727" i="31"/>
  <c r="O727" s="1"/>
  <c r="N727" i="30"/>
  <c r="O727" s="1"/>
  <c r="N727" i="29"/>
  <c r="O727" s="1"/>
  <c r="O147" i="11"/>
  <c r="N147" i="31"/>
  <c r="O147" s="1"/>
  <c r="N147" i="29"/>
  <c r="O147" s="1"/>
  <c r="N147" i="30"/>
  <c r="O147" s="1"/>
  <c r="M648" i="11"/>
  <c r="L648" i="31"/>
  <c r="M648" s="1"/>
  <c r="L648" i="30"/>
  <c r="M648" s="1"/>
  <c r="L648" i="29"/>
  <c r="M648" s="1"/>
  <c r="O956" i="11"/>
  <c r="N956" i="31"/>
  <c r="O956" s="1"/>
  <c r="N956" i="30"/>
  <c r="O956" s="1"/>
  <c r="N956" i="29"/>
  <c r="O956" s="1"/>
  <c r="O135" i="11"/>
  <c r="N135" i="31"/>
  <c r="O135" s="1"/>
  <c r="N135" i="29"/>
  <c r="O135" s="1"/>
  <c r="N135" i="30"/>
  <c r="O135" s="1"/>
  <c r="O1643" i="11"/>
  <c r="N1643" i="31"/>
  <c r="O1643" s="1"/>
  <c r="N1643" i="30"/>
  <c r="O1643" s="1"/>
  <c r="N1643" i="29"/>
  <c r="O1643" s="1"/>
  <c r="O809" i="11"/>
  <c r="N809" i="31"/>
  <c r="O809" s="1"/>
  <c r="N809" i="30"/>
  <c r="O809" s="1"/>
  <c r="N809" i="29"/>
  <c r="O809" s="1"/>
  <c r="O418" i="11"/>
  <c r="N418" i="31"/>
  <c r="O418" s="1"/>
  <c r="N418" i="30"/>
  <c r="O418" s="1"/>
  <c r="N418" i="29"/>
  <c r="O418" s="1"/>
  <c r="M1566" i="11"/>
  <c r="L1566" i="31"/>
  <c r="M1566" s="1"/>
  <c r="L1566" i="30"/>
  <c r="M1566" s="1"/>
  <c r="L1566" i="29"/>
  <c r="M1566" s="1"/>
  <c r="M656" i="11"/>
  <c r="L656" i="31"/>
  <c r="M656" s="1"/>
  <c r="L656" i="30"/>
  <c r="M656" s="1"/>
  <c r="L656" i="29"/>
  <c r="M656" s="1"/>
  <c r="M184" i="11"/>
  <c r="L184" i="31"/>
  <c r="M184" s="1"/>
  <c r="L184" i="30"/>
  <c r="M184" s="1"/>
  <c r="L184" i="29"/>
  <c r="M184" s="1"/>
  <c r="O366" i="11"/>
  <c r="N366" i="31"/>
  <c r="O366" s="1"/>
  <c r="N366" i="30"/>
  <c r="O366" s="1"/>
  <c r="N366" i="29"/>
  <c r="O366" s="1"/>
  <c r="L44" i="31"/>
  <c r="M44" s="1"/>
  <c r="L44" i="30"/>
  <c r="M44" s="1"/>
  <c r="L44" i="29"/>
  <c r="M44" s="1"/>
  <c r="M270" i="11"/>
  <c r="L270" i="31"/>
  <c r="M270" s="1"/>
  <c r="L270" i="30"/>
  <c r="M270" s="1"/>
  <c r="L270" i="29"/>
  <c r="M270" s="1"/>
  <c r="O270" i="11"/>
  <c r="N270" i="31"/>
  <c r="O270" s="1"/>
  <c r="N270" i="30"/>
  <c r="O270" s="1"/>
  <c r="N270" i="29"/>
  <c r="O270" s="1"/>
  <c r="O111" i="11"/>
  <c r="N111" i="31"/>
  <c r="O111" s="1"/>
  <c r="N111" i="30"/>
  <c r="O111" s="1"/>
  <c r="N111" i="29"/>
  <c r="O111" s="1"/>
  <c r="M280" i="11"/>
  <c r="L280" i="31"/>
  <c r="M280" s="1"/>
  <c r="L280" i="30"/>
  <c r="M280" s="1"/>
  <c r="L280" i="29"/>
  <c r="M280" s="1"/>
  <c r="M339" i="11"/>
  <c r="L339" i="31"/>
  <c r="M339" s="1"/>
  <c r="L339" i="30"/>
  <c r="M339" s="1"/>
  <c r="L339" i="29"/>
  <c r="M339" s="1"/>
  <c r="O1603" i="11"/>
  <c r="N1603" i="31"/>
  <c r="O1603" s="1"/>
  <c r="N1603" i="30"/>
  <c r="O1603" s="1"/>
  <c r="N1603" i="29"/>
  <c r="O1603" s="1"/>
  <c r="O243" i="11"/>
  <c r="N243" i="31"/>
  <c r="O243" s="1"/>
  <c r="N243" i="29"/>
  <c r="O243" s="1"/>
  <c r="N243" i="30"/>
  <c r="O243" s="1"/>
  <c r="O333" i="11"/>
  <c r="N333" i="31"/>
  <c r="O333" s="1"/>
  <c r="N333" i="30"/>
  <c r="O333" s="1"/>
  <c r="N333" i="29"/>
  <c r="O333" s="1"/>
  <c r="O578" i="11"/>
  <c r="N578" i="31"/>
  <c r="O578" s="1"/>
  <c r="N578" i="30"/>
  <c r="O578" s="1"/>
  <c r="N578" i="29"/>
  <c r="O578" s="1"/>
  <c r="M715" i="11"/>
  <c r="L715" i="31"/>
  <c r="M715" s="1"/>
  <c r="L715" i="30"/>
  <c r="M715" s="1"/>
  <c r="L715" i="29"/>
  <c r="M715" s="1"/>
  <c r="O697" i="11"/>
  <c r="N697" i="31"/>
  <c r="O697" s="1"/>
  <c r="N697" i="30"/>
  <c r="O697" s="1"/>
  <c r="N697" i="29"/>
  <c r="O697" s="1"/>
  <c r="M120" i="11"/>
  <c r="L120" i="31"/>
  <c r="M120" s="1"/>
  <c r="L120" i="30"/>
  <c r="M120" s="1"/>
  <c r="L120" i="29"/>
  <c r="M120" s="1"/>
  <c r="M1589" i="11"/>
  <c r="L1589" i="31"/>
  <c r="M1589" s="1"/>
  <c r="L1589" i="30"/>
  <c r="M1589" s="1"/>
  <c r="L1589" i="29"/>
  <c r="M1589" s="1"/>
  <c r="O1489" i="11"/>
  <c r="N1489" i="31"/>
  <c r="O1489" s="1"/>
  <c r="N1489" i="30"/>
  <c r="O1489" s="1"/>
  <c r="N1489" i="29"/>
  <c r="O1489" s="1"/>
  <c r="O1671" i="11"/>
  <c r="N1671" i="31"/>
  <c r="O1671" s="1"/>
  <c r="N1671" i="30"/>
  <c r="O1671" s="1"/>
  <c r="N1671" i="29"/>
  <c r="O1671" s="1"/>
  <c r="O827" i="11"/>
  <c r="N827" i="31"/>
  <c r="O827" s="1"/>
  <c r="N827" i="30"/>
  <c r="O827" s="1"/>
  <c r="N827" i="29"/>
  <c r="O827" s="1"/>
  <c r="O1546" i="11"/>
  <c r="N1546" i="31"/>
  <c r="O1546" s="1"/>
  <c r="N1546" i="30"/>
  <c r="O1546" s="1"/>
  <c r="N1546" i="29"/>
  <c r="O1546" s="1"/>
  <c r="O748" i="11"/>
  <c r="N748" i="31"/>
  <c r="O748" s="1"/>
  <c r="N748" i="30"/>
  <c r="O748" s="1"/>
  <c r="N748" i="29"/>
  <c r="O748" s="1"/>
  <c r="M1638" i="11"/>
  <c r="L1638" i="31"/>
  <c r="M1638" s="1"/>
  <c r="L1638" i="30"/>
  <c r="M1638" s="1"/>
  <c r="L1638" i="29"/>
  <c r="M1638" s="1"/>
  <c r="M229" i="11"/>
  <c r="L229" i="31"/>
  <c r="M229" s="1"/>
  <c r="L229" i="30"/>
  <c r="M229" s="1"/>
  <c r="L229" i="29"/>
  <c r="M229" s="1"/>
  <c r="O225" i="11"/>
  <c r="N225" i="31"/>
  <c r="O225" s="1"/>
  <c r="N225" i="30"/>
  <c r="O225" s="1"/>
  <c r="N225" i="29"/>
  <c r="O225" s="1"/>
  <c r="O1557" i="11"/>
  <c r="N1557" i="31"/>
  <c r="O1557" s="1"/>
  <c r="N1557" i="30"/>
  <c r="O1557" s="1"/>
  <c r="N1557" i="29"/>
  <c r="O1557" s="1"/>
  <c r="O216" i="11"/>
  <c r="N216" i="31"/>
  <c r="O216" s="1"/>
  <c r="N216" i="30"/>
  <c r="O216" s="1"/>
  <c r="N216" i="29"/>
  <c r="O216" s="1"/>
  <c r="O1484" i="11"/>
  <c r="N1484" i="31"/>
  <c r="O1484" s="1"/>
  <c r="N1484" i="30"/>
  <c r="O1484" s="1"/>
  <c r="N1484" i="29"/>
  <c r="O1484" s="1"/>
  <c r="M164" i="11"/>
  <c r="L164" i="31"/>
  <c r="M164" s="1"/>
  <c r="L164" i="30"/>
  <c r="M164" s="1"/>
  <c r="L164" i="29"/>
  <c r="M164" s="1"/>
  <c r="O507" i="11"/>
  <c r="N507" i="31"/>
  <c r="O507" s="1"/>
  <c r="N507" i="30"/>
  <c r="O507" s="1"/>
  <c r="N507" i="29"/>
  <c r="O507" s="1"/>
  <c r="M682" i="11"/>
  <c r="L682" i="31"/>
  <c r="M682" s="1"/>
  <c r="L682" i="30"/>
  <c r="M682" s="1"/>
  <c r="L682" i="29"/>
  <c r="M682" s="1"/>
  <c r="O584" i="11"/>
  <c r="N584" i="31"/>
  <c r="O584" s="1"/>
  <c r="N584" i="30"/>
  <c r="O584" s="1"/>
  <c r="N584" i="29"/>
  <c r="O584" s="1"/>
  <c r="K44" i="11"/>
  <c r="J44" i="31"/>
  <c r="K44" s="1"/>
  <c r="J44" i="29"/>
  <c r="K44" s="1"/>
  <c r="J44" i="30"/>
  <c r="K44" s="1"/>
  <c r="O1160" i="11"/>
  <c r="N1160" i="31"/>
  <c r="O1160" s="1"/>
  <c r="N1160" i="30"/>
  <c r="O1160" s="1"/>
  <c r="N1160" i="29"/>
  <c r="O1160" s="1"/>
  <c r="O989" i="11"/>
  <c r="N989" i="31"/>
  <c r="O989" s="1"/>
  <c r="N989" i="30"/>
  <c r="O989" s="1"/>
  <c r="N989" i="29"/>
  <c r="O989" s="1"/>
  <c r="O377" i="11"/>
  <c r="N377" i="31"/>
  <c r="O377" s="1"/>
  <c r="N377" i="30"/>
  <c r="O377" s="1"/>
  <c r="N377" i="29"/>
  <c r="O377" s="1"/>
  <c r="M1421" i="11"/>
  <c r="L1421" i="31"/>
  <c r="M1421" s="1"/>
  <c r="L1421" i="30"/>
  <c r="M1421" s="1"/>
  <c r="L1421" i="29"/>
  <c r="M1421" s="1"/>
  <c r="O77" i="11"/>
  <c r="N77" i="31"/>
  <c r="O77" s="1"/>
  <c r="N77" i="30"/>
  <c r="O77" s="1"/>
  <c r="N77" i="29"/>
  <c r="O77" s="1"/>
  <c r="O1186" i="11"/>
  <c r="N1186" i="31"/>
  <c r="O1186" s="1"/>
  <c r="N1186" i="30"/>
  <c r="O1186" s="1"/>
  <c r="N1186" i="29"/>
  <c r="O1186" s="1"/>
  <c r="O474" i="11"/>
  <c r="N474" i="31"/>
  <c r="O474" s="1"/>
  <c r="N474" i="30"/>
  <c r="O474" s="1"/>
  <c r="N474" i="29"/>
  <c r="O474" s="1"/>
  <c r="K1296" i="11"/>
  <c r="J1296" i="31"/>
  <c r="K1296" s="1"/>
  <c r="J1296" i="30"/>
  <c r="K1296" s="1"/>
  <c r="J1296" i="29"/>
  <c r="K1296" s="1"/>
  <c r="M1546" i="11"/>
  <c r="L1546" i="31"/>
  <c r="M1546" s="1"/>
  <c r="L1546" i="30"/>
  <c r="M1546" s="1"/>
  <c r="L1546" i="29"/>
  <c r="M1546" s="1"/>
  <c r="O1628" i="11"/>
  <c r="N1628" i="31"/>
  <c r="O1628" s="1"/>
  <c r="N1628" i="30"/>
  <c r="O1628" s="1"/>
  <c r="N1628" i="29"/>
  <c r="O1628" s="1"/>
  <c r="O703" i="11"/>
  <c r="N703" i="31"/>
  <c r="O703" s="1"/>
  <c r="N703" i="30"/>
  <c r="O703" s="1"/>
  <c r="N703" i="29"/>
  <c r="O703" s="1"/>
  <c r="O229" i="11"/>
  <c r="N229" i="31"/>
  <c r="O229" s="1"/>
  <c r="N229" i="30"/>
  <c r="O229" s="1"/>
  <c r="N229" i="29"/>
  <c r="O229" s="1"/>
  <c r="M1511" i="11"/>
  <c r="L1511" i="31"/>
  <c r="M1511" s="1"/>
  <c r="L1511" i="30"/>
  <c r="M1511" s="1"/>
  <c r="L1511" i="29"/>
  <c r="M1511" s="1"/>
  <c r="M635" i="11"/>
  <c r="L635" i="31"/>
  <c r="M635" s="1"/>
  <c r="L635" i="30"/>
  <c r="M635" s="1"/>
  <c r="L635" i="29"/>
  <c r="M635" s="1"/>
  <c r="M173" i="11"/>
  <c r="L173" i="31"/>
  <c r="M173" s="1"/>
  <c r="L173" i="30"/>
  <c r="M173" s="1"/>
  <c r="L173" i="29"/>
  <c r="M173" s="1"/>
  <c r="O1452" i="11"/>
  <c r="N1452" i="31"/>
  <c r="O1452" s="1"/>
  <c r="N1452" i="30"/>
  <c r="O1452" s="1"/>
  <c r="N1452" i="29"/>
  <c r="O1452" s="1"/>
  <c r="O120" i="11"/>
  <c r="N120" i="31"/>
  <c r="O120" s="1"/>
  <c r="N120" i="30"/>
  <c r="O120" s="1"/>
  <c r="N120" i="29"/>
  <c r="O120" s="1"/>
  <c r="M386" i="11"/>
  <c r="L386" i="31"/>
  <c r="M386" s="1"/>
  <c r="L386" i="30"/>
  <c r="M386" s="1"/>
  <c r="L386" i="29"/>
  <c r="M386" s="1"/>
  <c r="O1438" i="11"/>
  <c r="N1438" i="31"/>
  <c r="O1438" s="1"/>
  <c r="N1438" i="30"/>
  <c r="O1438" s="1"/>
  <c r="N1438" i="29"/>
  <c r="O1438" s="1"/>
  <c r="O707" i="11"/>
  <c r="N707" i="31"/>
  <c r="O707" s="1"/>
  <c r="N707" i="30"/>
  <c r="O707" s="1"/>
  <c r="N707" i="29"/>
  <c r="O707" s="1"/>
  <c r="O130" i="11"/>
  <c r="N130" i="31"/>
  <c r="O130" s="1"/>
  <c r="N130" i="30"/>
  <c r="O130" s="1"/>
  <c r="N130" i="29"/>
  <c r="O130" s="1"/>
  <c r="M570" i="11"/>
  <c r="L570" i="31"/>
  <c r="M570" s="1"/>
  <c r="L570" i="30"/>
  <c r="M570" s="1"/>
  <c r="L570" i="29"/>
  <c r="M570" s="1"/>
  <c r="O789" i="11"/>
  <c r="N789" i="31"/>
  <c r="O789" s="1"/>
  <c r="N789" i="30"/>
  <c r="O789" s="1"/>
  <c r="N789" i="29"/>
  <c r="O789" s="1"/>
  <c r="M1399" i="11"/>
  <c r="L1399" i="31"/>
  <c r="M1399" s="1"/>
  <c r="L1399" i="30"/>
  <c r="M1399" s="1"/>
  <c r="L1399" i="29"/>
  <c r="M1399" s="1"/>
  <c r="O1618" i="11"/>
  <c r="N1618" i="31"/>
  <c r="O1618" s="1"/>
  <c r="N1618" i="30"/>
  <c r="O1618" s="1"/>
  <c r="N1618" i="29"/>
  <c r="O1618" s="1"/>
  <c r="O777" i="11"/>
  <c r="N777" i="31"/>
  <c r="O777" s="1"/>
  <c r="N777" i="30"/>
  <c r="O777" s="1"/>
  <c r="N777" i="29"/>
  <c r="O777" s="1"/>
  <c r="O327" i="11"/>
  <c r="N327" i="31"/>
  <c r="O327" s="1"/>
  <c r="N327" i="30"/>
  <c r="O327" s="1"/>
  <c r="N327" i="29"/>
  <c r="O327" s="1"/>
  <c r="M1527" i="11"/>
  <c r="L1527" i="31"/>
  <c r="M1527" s="1"/>
  <c r="L1527" i="30"/>
  <c r="M1527" s="1"/>
  <c r="L1527" i="29"/>
  <c r="M1527" s="1"/>
  <c r="M578" i="11"/>
  <c r="L578" i="31"/>
  <c r="M578" s="1"/>
  <c r="L578" i="30"/>
  <c r="M578" s="1"/>
  <c r="L578" i="29"/>
  <c r="M578" s="1"/>
  <c r="M160" i="11"/>
  <c r="L160" i="31"/>
  <c r="M160" s="1"/>
  <c r="L160" i="30"/>
  <c r="M160" s="1"/>
  <c r="L160" i="29"/>
  <c r="M160" s="1"/>
  <c r="M789" i="11"/>
  <c r="L789" i="31"/>
  <c r="M789" s="1"/>
  <c r="L789" i="29"/>
  <c r="M789" s="1"/>
  <c r="L789" i="30"/>
  <c r="M789" s="1"/>
  <c r="N44" i="31"/>
  <c r="O44" s="1"/>
  <c r="N44" i="30"/>
  <c r="O44" s="1"/>
  <c r="N44" i="29"/>
  <c r="O44" s="1"/>
  <c r="O589" i="11"/>
  <c r="N589" i="29"/>
  <c r="O589" s="1"/>
  <c r="M589" i="11"/>
  <c r="L589" i="29"/>
  <c r="M589" s="1"/>
  <c r="I265" i="11"/>
  <c r="H517"/>
  <c r="M518"/>
  <c r="H43"/>
  <c r="M44"/>
  <c r="I517"/>
  <c r="O518"/>
  <c r="I43"/>
  <c r="O44"/>
  <c r="I125"/>
  <c r="H125"/>
  <c r="H168"/>
  <c r="H1516"/>
  <c r="H1483"/>
  <c r="I168"/>
  <c r="I1022"/>
  <c r="I1588"/>
  <c r="I1151"/>
  <c r="I159"/>
  <c r="I1556"/>
  <c r="H134"/>
  <c r="I1623"/>
  <c r="H1588"/>
  <c r="I215"/>
  <c r="H655"/>
  <c r="H1488"/>
  <c r="I962"/>
  <c r="I1445"/>
  <c r="I458"/>
  <c r="H338"/>
  <c r="H385"/>
  <c r="H188"/>
  <c r="I1028"/>
  <c r="H1617"/>
  <c r="I188"/>
  <c r="I1617"/>
  <c r="I250"/>
  <c r="H1526"/>
  <c r="I583"/>
  <c r="H332"/>
  <c r="H1670"/>
  <c r="H549"/>
  <c r="I376"/>
  <c r="I1173"/>
  <c r="H1689"/>
  <c r="I1080"/>
  <c r="I76"/>
  <c r="H110"/>
  <c r="I1382"/>
  <c r="I1137"/>
  <c r="I1320"/>
  <c r="I906"/>
  <c r="I1295"/>
  <c r="H308"/>
  <c r="H1582"/>
  <c r="H279"/>
  <c r="I1516"/>
  <c r="I1042"/>
  <c r="I1357"/>
  <c r="I1368"/>
  <c r="I1482"/>
  <c r="H193"/>
  <c r="I134"/>
  <c r="I655"/>
  <c r="H1623"/>
  <c r="H376"/>
  <c r="I1159"/>
  <c r="I1488"/>
  <c r="H1430"/>
  <c r="I794"/>
  <c r="H611"/>
  <c r="H473"/>
  <c r="I338"/>
  <c r="I103"/>
  <c r="H103"/>
  <c r="I385"/>
  <c r="H511"/>
  <c r="I1212"/>
  <c r="I242"/>
  <c r="H465"/>
  <c r="I788"/>
  <c r="I425"/>
  <c r="H583"/>
  <c r="I506"/>
  <c r="I326"/>
  <c r="I183"/>
  <c r="H681"/>
  <c r="H417"/>
  <c r="I1327"/>
  <c r="H696"/>
  <c r="I549"/>
  <c r="I1430"/>
  <c r="H588"/>
  <c r="I588"/>
  <c r="I1268"/>
  <c r="I347"/>
  <c r="I1670"/>
  <c r="I1306"/>
  <c r="I473"/>
  <c r="H906"/>
  <c r="G1295"/>
  <c r="I399"/>
  <c r="I1232"/>
  <c r="I634"/>
  <c r="I371"/>
  <c r="H634"/>
  <c r="H371"/>
  <c r="H242"/>
  <c r="I558"/>
  <c r="I297"/>
  <c r="H1476"/>
  <c r="H558"/>
  <c r="H425"/>
  <c r="H365"/>
  <c r="I1602"/>
  <c r="I1526"/>
  <c r="I1392"/>
  <c r="I465"/>
  <c r="H1642"/>
  <c r="I1565"/>
  <c r="I955"/>
  <c r="I511"/>
  <c r="I332"/>
  <c r="H297"/>
  <c r="I1642"/>
  <c r="I1476"/>
  <c r="I1376"/>
  <c r="I681"/>
  <c r="I417"/>
  <c r="H1565"/>
  <c r="H1437"/>
  <c r="H506"/>
  <c r="H326"/>
  <c r="H250"/>
  <c r="H183"/>
  <c r="I972"/>
  <c r="I696"/>
  <c r="I365"/>
  <c r="H788"/>
  <c r="I1071"/>
  <c r="H702"/>
  <c r="H159"/>
  <c r="I1483"/>
  <c r="I193"/>
  <c r="I1256"/>
  <c r="I1185"/>
  <c r="I1047"/>
  <c r="H399"/>
  <c r="I279"/>
  <c r="H1602"/>
  <c r="H458"/>
  <c r="I119"/>
  <c r="I1437"/>
  <c r="H119"/>
  <c r="I1689"/>
  <c r="I1099"/>
  <c r="H76"/>
  <c r="I1242"/>
  <c r="I741"/>
  <c r="I1339"/>
  <c r="I110"/>
  <c r="I611"/>
  <c r="H794"/>
  <c r="H347"/>
  <c r="H1445"/>
  <c r="I1220"/>
  <c r="I1126"/>
  <c r="I308"/>
  <c r="I1582"/>
  <c r="H1506"/>
  <c r="H215"/>
  <c r="I702"/>
  <c r="I1506"/>
  <c r="H1482"/>
  <c r="H741"/>
  <c r="H1531"/>
  <c r="I1531"/>
  <c r="H8"/>
  <c r="I8"/>
  <c r="I988"/>
  <c r="H1398"/>
  <c r="I435"/>
  <c r="H826"/>
  <c r="H565"/>
  <c r="I565"/>
  <c r="I826"/>
  <c r="I1398"/>
  <c r="H435"/>
  <c r="O119" l="1"/>
  <c r="N119" i="31"/>
  <c r="O119" s="1"/>
  <c r="N119" i="30"/>
  <c r="O119" s="1"/>
  <c r="N119" i="29"/>
  <c r="O119" s="1"/>
  <c r="M558" i="11"/>
  <c r="L558" i="31"/>
  <c r="M558" s="1"/>
  <c r="L558" i="30"/>
  <c r="M558" s="1"/>
  <c r="L558" i="29"/>
  <c r="M558" s="1"/>
  <c r="M473" i="11"/>
  <c r="L473" i="31"/>
  <c r="M473" s="1"/>
  <c r="L473" i="30"/>
  <c r="M473" s="1"/>
  <c r="L473" i="29"/>
  <c r="M473" s="1"/>
  <c r="M188" i="11"/>
  <c r="L188" i="31"/>
  <c r="M188" s="1"/>
  <c r="L188" i="30"/>
  <c r="M188" s="1"/>
  <c r="L188" i="29"/>
  <c r="M188" s="1"/>
  <c r="M826" i="11"/>
  <c r="L826" i="31"/>
  <c r="M826" s="1"/>
  <c r="L826" i="29"/>
  <c r="M826" s="1"/>
  <c r="L826" i="30"/>
  <c r="M826" s="1"/>
  <c r="M741" i="11"/>
  <c r="L741" i="31"/>
  <c r="M741" s="1"/>
  <c r="L741" i="30"/>
  <c r="M741" s="1"/>
  <c r="L741" i="29"/>
  <c r="M741" s="1"/>
  <c r="O1126" i="11"/>
  <c r="N1126" i="31"/>
  <c r="O1126" s="1"/>
  <c r="N1126" i="30"/>
  <c r="O1126" s="1"/>
  <c r="N1126" i="29"/>
  <c r="O1126" s="1"/>
  <c r="O741" i="11"/>
  <c r="N741" i="31"/>
  <c r="O741" s="1"/>
  <c r="N741" i="30"/>
  <c r="O741" s="1"/>
  <c r="N741" i="29"/>
  <c r="O741" s="1"/>
  <c r="M458" i="11"/>
  <c r="L458" i="31"/>
  <c r="M458" s="1"/>
  <c r="L458" i="30"/>
  <c r="M458" s="1"/>
  <c r="L458" i="29"/>
  <c r="M458" s="1"/>
  <c r="O1483" i="11"/>
  <c r="N1483" i="31"/>
  <c r="O1483" s="1"/>
  <c r="N1483" i="30"/>
  <c r="O1483" s="1"/>
  <c r="N1483" i="29"/>
  <c r="O1483" s="1"/>
  <c r="M183" i="11"/>
  <c r="L183" i="31"/>
  <c r="M183" s="1"/>
  <c r="L183" i="30"/>
  <c r="M183" s="1"/>
  <c r="L183" i="29"/>
  <c r="M183" s="1"/>
  <c r="O1376" i="11"/>
  <c r="N1376" i="31"/>
  <c r="O1376" s="1"/>
  <c r="N1376" i="30"/>
  <c r="O1376" s="1"/>
  <c r="N1376" i="29"/>
  <c r="O1376" s="1"/>
  <c r="M1642" i="11"/>
  <c r="L1642" i="31"/>
  <c r="M1642" s="1"/>
  <c r="L1642" i="30"/>
  <c r="M1642" s="1"/>
  <c r="L1642" i="29"/>
  <c r="M1642" s="1"/>
  <c r="M1476" i="11"/>
  <c r="L1476" i="31"/>
  <c r="M1476" s="1"/>
  <c r="L1476" i="30"/>
  <c r="M1476" s="1"/>
  <c r="L1476" i="29"/>
  <c r="M1476" s="1"/>
  <c r="O1232" i="11"/>
  <c r="N1232" i="31"/>
  <c r="O1232" s="1"/>
  <c r="N1232" i="30"/>
  <c r="O1232" s="1"/>
  <c r="N1232" i="29"/>
  <c r="O1232" s="1"/>
  <c r="O1268" i="11"/>
  <c r="N1268" i="31"/>
  <c r="O1268" s="1"/>
  <c r="N1268" i="30"/>
  <c r="O1268" s="1"/>
  <c r="N1268" i="29"/>
  <c r="O1268" s="1"/>
  <c r="M681" i="11"/>
  <c r="L681" i="31"/>
  <c r="M681" s="1"/>
  <c r="L681" i="29"/>
  <c r="M681" s="1"/>
  <c r="L681" i="30"/>
  <c r="M681" s="1"/>
  <c r="O242" i="11"/>
  <c r="N242" i="31"/>
  <c r="O242" s="1"/>
  <c r="N242" i="30"/>
  <c r="O242" s="1"/>
  <c r="N242" i="29"/>
  <c r="O242" s="1"/>
  <c r="M611" i="11"/>
  <c r="L611" i="31"/>
  <c r="M611" s="1"/>
  <c r="L611" i="30"/>
  <c r="M611" s="1"/>
  <c r="L611" i="29"/>
  <c r="M611" s="1"/>
  <c r="O134" i="11"/>
  <c r="N134" i="31"/>
  <c r="O134" s="1"/>
  <c r="N134" i="30"/>
  <c r="O134" s="1"/>
  <c r="N134" i="29"/>
  <c r="O134" s="1"/>
  <c r="M1582" i="11"/>
  <c r="L1582" i="31"/>
  <c r="M1582" s="1"/>
  <c r="L1582" i="30"/>
  <c r="M1582" s="1"/>
  <c r="L1582" i="29"/>
  <c r="M1582" s="1"/>
  <c r="O76" i="11"/>
  <c r="N76" i="31"/>
  <c r="O76" s="1"/>
  <c r="N76" i="30"/>
  <c r="O76" s="1"/>
  <c r="N76" i="29"/>
  <c r="O76" s="1"/>
  <c r="O583" i="11"/>
  <c r="N583" i="31"/>
  <c r="O583" s="1"/>
  <c r="N583" i="30"/>
  <c r="O583" s="1"/>
  <c r="N583" i="29"/>
  <c r="O583" s="1"/>
  <c r="M385" i="11"/>
  <c r="L385" i="31"/>
  <c r="M385" s="1"/>
  <c r="L385" i="30"/>
  <c r="M385" s="1"/>
  <c r="L385" i="29"/>
  <c r="M385" s="1"/>
  <c r="L1588" i="31"/>
  <c r="M1588" s="1"/>
  <c r="L1588" i="30"/>
  <c r="M1588" s="1"/>
  <c r="L1588" i="29"/>
  <c r="M1588" s="1"/>
  <c r="O168" i="11"/>
  <c r="N168" i="31"/>
  <c r="O168" s="1"/>
  <c r="N168" i="30"/>
  <c r="O168" s="1"/>
  <c r="N168" i="29"/>
  <c r="O168" s="1"/>
  <c r="O435" i="11"/>
  <c r="N435" i="31"/>
  <c r="O435" s="1"/>
  <c r="N435" i="30"/>
  <c r="O435" s="1"/>
  <c r="N435" i="29"/>
  <c r="O435" s="1"/>
  <c r="M1482" i="11"/>
  <c r="L1482" i="31"/>
  <c r="M1482" s="1"/>
  <c r="L1482" i="30"/>
  <c r="M1482" s="1"/>
  <c r="L1482" i="29"/>
  <c r="M1482" s="1"/>
  <c r="O1220" i="11"/>
  <c r="N1220" i="31"/>
  <c r="O1220" s="1"/>
  <c r="N1220" i="30"/>
  <c r="O1220" s="1"/>
  <c r="N1220" i="29"/>
  <c r="O1220" s="1"/>
  <c r="O1242" i="11"/>
  <c r="N1242" i="31"/>
  <c r="O1242" s="1"/>
  <c r="N1242" i="30"/>
  <c r="O1242" s="1"/>
  <c r="N1242" i="29"/>
  <c r="O1242" s="1"/>
  <c r="M1602" i="11"/>
  <c r="L1602" i="31"/>
  <c r="M1602" s="1"/>
  <c r="L1602" i="30"/>
  <c r="M1602" s="1"/>
  <c r="L1602" i="29"/>
  <c r="M1602" s="1"/>
  <c r="M159" i="11"/>
  <c r="L159" i="31"/>
  <c r="M159" s="1"/>
  <c r="L159" i="30"/>
  <c r="M159" s="1"/>
  <c r="L159" i="29"/>
  <c r="M159" s="1"/>
  <c r="M250" i="11"/>
  <c r="L250" i="31"/>
  <c r="M250" s="1"/>
  <c r="L250" i="30"/>
  <c r="M250" s="1"/>
  <c r="L250" i="29"/>
  <c r="M250" s="1"/>
  <c r="O1476" i="11"/>
  <c r="N1476" i="31"/>
  <c r="O1476" s="1"/>
  <c r="N1476" i="30"/>
  <c r="O1476" s="1"/>
  <c r="N1476" i="29"/>
  <c r="O1476" s="1"/>
  <c r="O465" i="11"/>
  <c r="N465" i="31"/>
  <c r="O465" s="1"/>
  <c r="N465" i="30"/>
  <c r="O465" s="1"/>
  <c r="N465" i="29"/>
  <c r="O465" s="1"/>
  <c r="O297" i="11"/>
  <c r="N297" i="31"/>
  <c r="O297" s="1"/>
  <c r="N297" i="30"/>
  <c r="O297" s="1"/>
  <c r="N297" i="29"/>
  <c r="O297" s="1"/>
  <c r="O399" i="11"/>
  <c r="N399" i="31"/>
  <c r="O399" s="1"/>
  <c r="N399" i="29"/>
  <c r="O399" s="1"/>
  <c r="N399" i="30"/>
  <c r="O399" s="1"/>
  <c r="N588" i="31"/>
  <c r="O588" s="1"/>
  <c r="N588" i="30"/>
  <c r="O588" s="1"/>
  <c r="O183" i="11"/>
  <c r="N183" i="31"/>
  <c r="O183" s="1"/>
  <c r="N183" i="30"/>
  <c r="O183" s="1"/>
  <c r="N183" i="29"/>
  <c r="O183" s="1"/>
  <c r="O1212" i="11"/>
  <c r="N1212" i="31"/>
  <c r="O1212" s="1"/>
  <c r="N1212" i="30"/>
  <c r="O1212" s="1"/>
  <c r="N1212" i="29"/>
  <c r="O1212" s="1"/>
  <c r="O794" i="11"/>
  <c r="N794" i="31"/>
  <c r="O794" s="1"/>
  <c r="N794" i="30"/>
  <c r="O794" s="1"/>
  <c r="N794" i="29"/>
  <c r="O794" s="1"/>
  <c r="M193" i="11"/>
  <c r="L193" i="31"/>
  <c r="M193" s="1"/>
  <c r="L193" i="30"/>
  <c r="M193" s="1"/>
  <c r="L193" i="29"/>
  <c r="M193" s="1"/>
  <c r="M308" i="11"/>
  <c r="L308" i="31"/>
  <c r="M308" s="1"/>
  <c r="L308" i="30"/>
  <c r="M308" s="1"/>
  <c r="L308" i="29"/>
  <c r="M308" s="1"/>
  <c r="O1080" i="11"/>
  <c r="N1080" i="31"/>
  <c r="O1080" s="1"/>
  <c r="N1080" i="30"/>
  <c r="O1080" s="1"/>
  <c r="N1080" i="29"/>
  <c r="O1080" s="1"/>
  <c r="M1526" i="11"/>
  <c r="L1526" i="31"/>
  <c r="M1526" s="1"/>
  <c r="L1526" i="30"/>
  <c r="M1526" s="1"/>
  <c r="L1526" i="29"/>
  <c r="M1526" s="1"/>
  <c r="M338" i="11"/>
  <c r="L338" i="31"/>
  <c r="M338" s="1"/>
  <c r="L338" i="30"/>
  <c r="M338" s="1"/>
  <c r="L338" i="29"/>
  <c r="M338" s="1"/>
  <c r="O1623" i="11"/>
  <c r="N1623" i="31"/>
  <c r="O1623" s="1"/>
  <c r="N1623" i="30"/>
  <c r="O1623" s="1"/>
  <c r="N1623" i="29"/>
  <c r="O1623" s="1"/>
  <c r="M1483" i="11"/>
  <c r="L1483" i="31"/>
  <c r="M1483" s="1"/>
  <c r="L1483" i="30"/>
  <c r="M1483" s="1"/>
  <c r="L1483" i="29"/>
  <c r="M1483" s="1"/>
  <c r="O517" i="11"/>
  <c r="N517" i="31"/>
  <c r="O517" s="1"/>
  <c r="N517" i="30"/>
  <c r="O517" s="1"/>
  <c r="N517" i="29"/>
  <c r="O517" s="1"/>
  <c r="M1531" i="11"/>
  <c r="L1531" i="31"/>
  <c r="M1531" s="1"/>
  <c r="L1531" i="30"/>
  <c r="M1531" s="1"/>
  <c r="L1531" i="29"/>
  <c r="M1531" s="1"/>
  <c r="O681" i="11"/>
  <c r="N681" i="31"/>
  <c r="O681" s="1"/>
  <c r="N681" i="29"/>
  <c r="O681" s="1"/>
  <c r="N681" i="30"/>
  <c r="O681" s="1"/>
  <c r="O347" i="11"/>
  <c r="N347" i="31"/>
  <c r="O347" s="1"/>
  <c r="N347" i="30"/>
  <c r="O347" s="1"/>
  <c r="N347" i="29"/>
  <c r="O347" s="1"/>
  <c r="O655" i="11"/>
  <c r="N655" i="31"/>
  <c r="O655" s="1"/>
  <c r="N655" i="30"/>
  <c r="O655" s="1"/>
  <c r="N655" i="29"/>
  <c r="O655" s="1"/>
  <c r="N215" i="31"/>
  <c r="O215" s="1"/>
  <c r="N215" i="30"/>
  <c r="O215" s="1"/>
  <c r="N215" i="29"/>
  <c r="O215" s="1"/>
  <c r="N43" i="31"/>
  <c r="O43" s="1"/>
  <c r="N43" i="30"/>
  <c r="O43" s="1"/>
  <c r="N43" i="29"/>
  <c r="O43" s="1"/>
  <c r="M1398" i="11"/>
  <c r="L1398" i="31"/>
  <c r="M1398" s="1"/>
  <c r="L1398" i="30"/>
  <c r="M1398" s="1"/>
  <c r="L1398" i="29"/>
  <c r="M1398" s="1"/>
  <c r="O279" i="11"/>
  <c r="N279" i="31"/>
  <c r="O279" s="1"/>
  <c r="N279" i="29"/>
  <c r="O279" s="1"/>
  <c r="N279" i="30"/>
  <c r="O279" s="1"/>
  <c r="O1642" i="11"/>
  <c r="N1642" i="31"/>
  <c r="O1642" s="1"/>
  <c r="N1642" i="30"/>
  <c r="O1642" s="1"/>
  <c r="N1642" i="29"/>
  <c r="O1642" s="1"/>
  <c r="K1295" i="11"/>
  <c r="J1295" i="31"/>
  <c r="K1295" s="1"/>
  <c r="J1295" i="30"/>
  <c r="K1295" s="1"/>
  <c r="J1295" i="29"/>
  <c r="K1295" s="1"/>
  <c r="O1482" i="11"/>
  <c r="N1482" i="31"/>
  <c r="O1482" s="1"/>
  <c r="N1482" i="30"/>
  <c r="O1482" s="1"/>
  <c r="N1482" i="29"/>
  <c r="O1482" s="1"/>
  <c r="M134" i="11"/>
  <c r="L134" i="31"/>
  <c r="M134" s="1"/>
  <c r="L134" i="30"/>
  <c r="M134" s="1"/>
  <c r="L134" i="29"/>
  <c r="M134" s="1"/>
  <c r="M435" i="11"/>
  <c r="L435" i="31"/>
  <c r="M435" s="1"/>
  <c r="L435" i="30"/>
  <c r="M435" s="1"/>
  <c r="L435" i="29"/>
  <c r="M435" s="1"/>
  <c r="M347" i="11"/>
  <c r="L347" i="31"/>
  <c r="M347" s="1"/>
  <c r="L347" i="30"/>
  <c r="M347" s="1"/>
  <c r="L347" i="29"/>
  <c r="M347" s="1"/>
  <c r="O1071" i="11"/>
  <c r="N1071" i="31"/>
  <c r="O1071" s="1"/>
  <c r="N1071" i="30"/>
  <c r="O1071" s="1"/>
  <c r="N1071" i="29"/>
  <c r="O1071" s="1"/>
  <c r="O1526" i="11"/>
  <c r="N1526" i="31"/>
  <c r="O1526" s="1"/>
  <c r="N1526" i="30"/>
  <c r="O1526" s="1"/>
  <c r="N1526" i="29"/>
  <c r="O1526" s="1"/>
  <c r="O506" i="11"/>
  <c r="N506" i="31"/>
  <c r="O506" s="1"/>
  <c r="N506" i="30"/>
  <c r="O506" s="1"/>
  <c r="N506" i="29"/>
  <c r="O506" s="1"/>
  <c r="O906" i="11"/>
  <c r="N906" i="31"/>
  <c r="O906" s="1"/>
  <c r="N906" i="30"/>
  <c r="O906" s="1"/>
  <c r="N906" i="29"/>
  <c r="O906" s="1"/>
  <c r="O1617" i="11"/>
  <c r="N1617" i="31"/>
  <c r="O1617" s="1"/>
  <c r="N1617" i="30"/>
  <c r="O1617" s="1"/>
  <c r="N1617" i="29"/>
  <c r="O1617" s="1"/>
  <c r="O1556" i="11"/>
  <c r="N1556" i="31"/>
  <c r="O1556" s="1"/>
  <c r="N1556" i="30"/>
  <c r="O1556" s="1"/>
  <c r="N1556" i="29"/>
  <c r="O1556" s="1"/>
  <c r="L43" i="31"/>
  <c r="M43" s="1"/>
  <c r="L43" i="30"/>
  <c r="M43" s="1"/>
  <c r="L43" i="29"/>
  <c r="M43" s="1"/>
  <c r="O1398" i="11"/>
  <c r="N1398" i="31"/>
  <c r="O1398" s="1"/>
  <c r="N1398" i="30"/>
  <c r="O1398" s="1"/>
  <c r="N1398" i="29"/>
  <c r="O1398" s="1"/>
  <c r="M788" i="11"/>
  <c r="L788" i="31"/>
  <c r="M788" s="1"/>
  <c r="L788" i="30"/>
  <c r="M788" s="1"/>
  <c r="L788" i="29"/>
  <c r="M788" s="1"/>
  <c r="M583" i="11"/>
  <c r="L583" i="31"/>
  <c r="M583" s="1"/>
  <c r="L583" i="30"/>
  <c r="M583" s="1"/>
  <c r="L583" i="29"/>
  <c r="M583" s="1"/>
  <c r="O376" i="11"/>
  <c r="N376" i="31"/>
  <c r="O376" s="1"/>
  <c r="N376" i="30"/>
  <c r="O376" s="1"/>
  <c r="N376" i="29"/>
  <c r="O376" s="1"/>
  <c r="M125" i="11"/>
  <c r="L125" i="31"/>
  <c r="M125" s="1"/>
  <c r="L125" i="30"/>
  <c r="M125" s="1"/>
  <c r="L125" i="29"/>
  <c r="M125" s="1"/>
  <c r="M565" i="11"/>
  <c r="L565" i="31"/>
  <c r="M565" s="1"/>
  <c r="L565" i="30"/>
  <c r="M565" s="1"/>
  <c r="L565" i="29"/>
  <c r="M565" s="1"/>
  <c r="O1339" i="11"/>
  <c r="N1339" i="31"/>
  <c r="O1339" s="1"/>
  <c r="N1339" i="30"/>
  <c r="O1339" s="1"/>
  <c r="N1339" i="29"/>
  <c r="O1339" s="1"/>
  <c r="O193" i="11"/>
  <c r="N193" i="31"/>
  <c r="O193" s="1"/>
  <c r="N193" i="30"/>
  <c r="O193" s="1"/>
  <c r="N193" i="29"/>
  <c r="O193" s="1"/>
  <c r="O1565" i="11"/>
  <c r="N1565" i="31"/>
  <c r="O1565" s="1"/>
  <c r="N1565" i="30"/>
  <c r="O1565" s="1"/>
  <c r="N1565" i="29"/>
  <c r="O1565" s="1"/>
  <c r="M417" i="11"/>
  <c r="L417" i="31"/>
  <c r="M417" s="1"/>
  <c r="L417" i="30"/>
  <c r="M417" s="1"/>
  <c r="L417" i="29"/>
  <c r="M417" s="1"/>
  <c r="M279" i="11"/>
  <c r="L279" i="31"/>
  <c r="M279" s="1"/>
  <c r="L279" i="30"/>
  <c r="M279" s="1"/>
  <c r="L279" i="29"/>
  <c r="M279" s="1"/>
  <c r="M332" i="11"/>
  <c r="L332" i="31"/>
  <c r="M332" s="1"/>
  <c r="L332" i="30"/>
  <c r="M332" s="1"/>
  <c r="L332" i="29"/>
  <c r="M332" s="1"/>
  <c r="O1022" i="11"/>
  <c r="N1022" i="31"/>
  <c r="O1022" s="1"/>
  <c r="N1022" i="30"/>
  <c r="O1022" s="1"/>
  <c r="N1022" i="29"/>
  <c r="O1022" s="1"/>
  <c r="O1506" i="11"/>
  <c r="N1506" i="31"/>
  <c r="O1506" s="1"/>
  <c r="N1506" i="30"/>
  <c r="O1506" s="1"/>
  <c r="N1506" i="29"/>
  <c r="O1506" s="1"/>
  <c r="M702" i="11"/>
  <c r="L702" i="31"/>
  <c r="M702" s="1"/>
  <c r="L702" i="30"/>
  <c r="M702" s="1"/>
  <c r="L702" i="29"/>
  <c r="M702" s="1"/>
  <c r="O1392" i="11"/>
  <c r="N1392" i="31"/>
  <c r="O1392" s="1"/>
  <c r="N1392" i="30"/>
  <c r="O1392" s="1"/>
  <c r="N1392" i="29"/>
  <c r="O1392" s="1"/>
  <c r="L588" i="31"/>
  <c r="M588" s="1"/>
  <c r="L588" i="30"/>
  <c r="M588" s="1"/>
  <c r="M511" i="11"/>
  <c r="L511" i="31"/>
  <c r="M511" s="1"/>
  <c r="L511" i="30"/>
  <c r="M511" s="1"/>
  <c r="L511" i="29"/>
  <c r="M511" s="1"/>
  <c r="O1295" i="11"/>
  <c r="N1295" i="31"/>
  <c r="O1295" s="1"/>
  <c r="N1295" i="29"/>
  <c r="O1295" s="1"/>
  <c r="N1295" i="30"/>
  <c r="O1295" s="1"/>
  <c r="O250" i="11"/>
  <c r="N250" i="31"/>
  <c r="O250" s="1"/>
  <c r="N250" i="30"/>
  <c r="O250" s="1"/>
  <c r="N250" i="29"/>
  <c r="O250" s="1"/>
  <c r="M1516" i="11"/>
  <c r="L1516" i="31"/>
  <c r="M1516" s="1"/>
  <c r="L1516" i="30"/>
  <c r="M1516" s="1"/>
  <c r="L1516" i="29"/>
  <c r="M1516" s="1"/>
  <c r="O702" i="11"/>
  <c r="N702" i="31"/>
  <c r="O702" s="1"/>
  <c r="N702" i="30"/>
  <c r="O702" s="1"/>
  <c r="N702" i="29"/>
  <c r="O702" s="1"/>
  <c r="M399" i="11"/>
  <c r="L399" i="31"/>
  <c r="M399" s="1"/>
  <c r="L399" i="30"/>
  <c r="M399" s="1"/>
  <c r="L399" i="29"/>
  <c r="M399" s="1"/>
  <c r="M297" i="11"/>
  <c r="L297" i="31"/>
  <c r="M297" s="1"/>
  <c r="L297" i="30"/>
  <c r="M297" s="1"/>
  <c r="L297" i="29"/>
  <c r="M297" s="1"/>
  <c r="M242" i="11"/>
  <c r="L242" i="31"/>
  <c r="M242" s="1"/>
  <c r="L242" i="30"/>
  <c r="M242" s="1"/>
  <c r="L242" i="29"/>
  <c r="M242" s="1"/>
  <c r="O1430" i="11"/>
  <c r="N1430" i="31"/>
  <c r="O1430" s="1"/>
  <c r="N1430" i="30"/>
  <c r="O1430" s="1"/>
  <c r="N1430" i="29"/>
  <c r="O1430" s="1"/>
  <c r="O1368" i="11"/>
  <c r="N1368" i="31"/>
  <c r="O1368" s="1"/>
  <c r="N1368" i="30"/>
  <c r="O1368" s="1"/>
  <c r="N1368" i="29"/>
  <c r="O1368" s="1"/>
  <c r="O1445" i="11"/>
  <c r="N1445" i="31"/>
  <c r="O1445" s="1"/>
  <c r="N1445" i="30"/>
  <c r="O1445" s="1"/>
  <c r="N1445" i="29"/>
  <c r="O1445" s="1"/>
  <c r="O8" i="11"/>
  <c r="N8" i="31"/>
  <c r="O8" s="1"/>
  <c r="N8" i="30"/>
  <c r="O8" s="1"/>
  <c r="N8" i="29"/>
  <c r="O8" s="1"/>
  <c r="M215" i="11"/>
  <c r="L215" i="31"/>
  <c r="M215" s="1"/>
  <c r="L215" i="30"/>
  <c r="M215" s="1"/>
  <c r="L215" i="29"/>
  <c r="M215" s="1"/>
  <c r="M794" i="11"/>
  <c r="L794" i="31"/>
  <c r="M794" s="1"/>
  <c r="L794" i="30"/>
  <c r="M794" s="1"/>
  <c r="L794" i="29"/>
  <c r="M794" s="1"/>
  <c r="O1689" i="11"/>
  <c r="N1689" i="31"/>
  <c r="O1689" s="1"/>
  <c r="N1689" i="30"/>
  <c r="O1689" s="1"/>
  <c r="N1689" i="29"/>
  <c r="O1689" s="1"/>
  <c r="O1047" i="11"/>
  <c r="N1047" i="31"/>
  <c r="O1047" s="1"/>
  <c r="N1047" i="30"/>
  <c r="O1047" s="1"/>
  <c r="N1047" i="29"/>
  <c r="O1047" s="1"/>
  <c r="M1437" i="11"/>
  <c r="L1437" i="31"/>
  <c r="M1437" s="1"/>
  <c r="L1437" i="30"/>
  <c r="M1437" s="1"/>
  <c r="L1437" i="29"/>
  <c r="M1437" s="1"/>
  <c r="O332" i="11"/>
  <c r="N332" i="31"/>
  <c r="O332" s="1"/>
  <c r="N332" i="30"/>
  <c r="O332" s="1"/>
  <c r="N332" i="29"/>
  <c r="O332" s="1"/>
  <c r="O1602" i="11"/>
  <c r="N1602" i="31"/>
  <c r="O1602" s="1"/>
  <c r="N1602" i="30"/>
  <c r="O1602" s="1"/>
  <c r="N1602" i="29"/>
  <c r="O1602" s="1"/>
  <c r="M371" i="11"/>
  <c r="L371" i="31"/>
  <c r="M371" s="1"/>
  <c r="L371" i="30"/>
  <c r="M371" s="1"/>
  <c r="L371" i="29"/>
  <c r="M371" s="1"/>
  <c r="O473" i="11"/>
  <c r="N473" i="31"/>
  <c r="O473" s="1"/>
  <c r="N473" i="30"/>
  <c r="O473" s="1"/>
  <c r="N473" i="29"/>
  <c r="O473" s="1"/>
  <c r="O549" i="11"/>
  <c r="N549" i="31"/>
  <c r="O549" s="1"/>
  <c r="N549" i="30"/>
  <c r="O549" s="1"/>
  <c r="N549" i="29"/>
  <c r="O549" s="1"/>
  <c r="M103" i="11"/>
  <c r="L103" i="31"/>
  <c r="M103" s="1"/>
  <c r="L103" i="30"/>
  <c r="M103" s="1"/>
  <c r="L103" i="29"/>
  <c r="M103" s="1"/>
  <c r="O1159" i="11"/>
  <c r="N1159" i="31"/>
  <c r="O1159" s="1"/>
  <c r="N1159" i="30"/>
  <c r="O1159" s="1"/>
  <c r="N1159" i="29"/>
  <c r="O1159" s="1"/>
  <c r="O1357" i="11"/>
  <c r="N1357" i="31"/>
  <c r="O1357" s="1"/>
  <c r="N1357" i="30"/>
  <c r="O1357" s="1"/>
  <c r="N1357" i="29"/>
  <c r="O1357" s="1"/>
  <c r="O1320" i="11"/>
  <c r="N1320" i="31"/>
  <c r="O1320" s="1"/>
  <c r="N1320" i="30"/>
  <c r="O1320" s="1"/>
  <c r="N1320" i="29"/>
  <c r="O1320" s="1"/>
  <c r="O188" i="11"/>
  <c r="N188" i="31"/>
  <c r="O188" s="1"/>
  <c r="N188" i="30"/>
  <c r="O188" s="1"/>
  <c r="N188" i="29"/>
  <c r="O188" s="1"/>
  <c r="O962" i="11"/>
  <c r="N962" i="31"/>
  <c r="O962" s="1"/>
  <c r="N962" i="30"/>
  <c r="O962" s="1"/>
  <c r="N962" i="29"/>
  <c r="O962" s="1"/>
  <c r="O159" i="11"/>
  <c r="N159" i="31"/>
  <c r="O159" s="1"/>
  <c r="N159" i="30"/>
  <c r="O159" s="1"/>
  <c r="N159" i="29"/>
  <c r="O159" s="1"/>
  <c r="O826" i="11"/>
  <c r="N826" i="31"/>
  <c r="O826" s="1"/>
  <c r="N826" i="30"/>
  <c r="O826" s="1"/>
  <c r="N826" i="29"/>
  <c r="O826" s="1"/>
  <c r="M8" i="11"/>
  <c r="L8" i="31"/>
  <c r="M8" s="1"/>
  <c r="L8" i="30"/>
  <c r="M8" s="1"/>
  <c r="L8" i="29"/>
  <c r="M8" s="1"/>
  <c r="M1506" i="11"/>
  <c r="L1506" i="31"/>
  <c r="M1506" s="1"/>
  <c r="L1506" i="30"/>
  <c r="M1506" s="1"/>
  <c r="L1506" i="29"/>
  <c r="M1506" s="1"/>
  <c r="O611" i="11"/>
  <c r="N611" i="31"/>
  <c r="O611" s="1"/>
  <c r="N611" i="30"/>
  <c r="O611" s="1"/>
  <c r="N611" i="29"/>
  <c r="O611" s="1"/>
  <c r="M119" i="11"/>
  <c r="L119" i="31"/>
  <c r="M119" s="1"/>
  <c r="L119" i="30"/>
  <c r="M119" s="1"/>
  <c r="L119" i="29"/>
  <c r="M119" s="1"/>
  <c r="O1185" i="11"/>
  <c r="N1185" i="31"/>
  <c r="O1185" s="1"/>
  <c r="N1185" i="30"/>
  <c r="O1185" s="1"/>
  <c r="N1185" i="29"/>
  <c r="O1185" s="1"/>
  <c r="O365" i="11"/>
  <c r="N365" i="31"/>
  <c r="O365" s="1"/>
  <c r="N365" i="30"/>
  <c r="O365" s="1"/>
  <c r="N365" i="29"/>
  <c r="O365" s="1"/>
  <c r="M1565" i="11"/>
  <c r="L1565" i="31"/>
  <c r="M1565" s="1"/>
  <c r="L1565" i="30"/>
  <c r="M1565" s="1"/>
  <c r="L1565" i="29"/>
  <c r="M1565" s="1"/>
  <c r="O511" i="11"/>
  <c r="N511" i="31"/>
  <c r="O511" s="1"/>
  <c r="N511" i="30"/>
  <c r="O511" s="1"/>
  <c r="N511" i="29"/>
  <c r="O511" s="1"/>
  <c r="M365" i="11"/>
  <c r="L365" i="31"/>
  <c r="M365" s="1"/>
  <c r="L365" i="29"/>
  <c r="M365" s="1"/>
  <c r="L365" i="30"/>
  <c r="M365" s="1"/>
  <c r="M634" i="11"/>
  <c r="L634" i="31"/>
  <c r="M634" s="1"/>
  <c r="L634" i="30"/>
  <c r="M634" s="1"/>
  <c r="L634" i="29"/>
  <c r="M634" s="1"/>
  <c r="O1306" i="11"/>
  <c r="N1306" i="31"/>
  <c r="O1306" s="1"/>
  <c r="N1306" i="30"/>
  <c r="O1306" s="1"/>
  <c r="N1306" i="29"/>
  <c r="O1306" s="1"/>
  <c r="M696" i="11"/>
  <c r="L696" i="31"/>
  <c r="M696" s="1"/>
  <c r="L696" i="30"/>
  <c r="M696" s="1"/>
  <c r="L696" i="29"/>
  <c r="M696" s="1"/>
  <c r="O425" i="11"/>
  <c r="N425" i="31"/>
  <c r="O425" s="1"/>
  <c r="N425" i="30"/>
  <c r="O425" s="1"/>
  <c r="N425" i="29"/>
  <c r="O425" s="1"/>
  <c r="O103" i="11"/>
  <c r="N103" i="31"/>
  <c r="O103" s="1"/>
  <c r="N103" i="30"/>
  <c r="O103" s="1"/>
  <c r="N103" i="29"/>
  <c r="O103" s="1"/>
  <c r="M376" i="11"/>
  <c r="L376" i="31"/>
  <c r="M376" s="1"/>
  <c r="L376" i="30"/>
  <c r="M376" s="1"/>
  <c r="L376" i="29"/>
  <c r="M376" s="1"/>
  <c r="O1042" i="11"/>
  <c r="N1042" i="31"/>
  <c r="O1042" s="1"/>
  <c r="N1042" i="30"/>
  <c r="O1042" s="1"/>
  <c r="N1042" i="29"/>
  <c r="O1042" s="1"/>
  <c r="O1137" i="11"/>
  <c r="N1137" i="31"/>
  <c r="O1137" s="1"/>
  <c r="N1137" i="30"/>
  <c r="O1137" s="1"/>
  <c r="N1137" i="29"/>
  <c r="O1137" s="1"/>
  <c r="M549" i="11"/>
  <c r="L549" i="31"/>
  <c r="M549" s="1"/>
  <c r="L549" i="29"/>
  <c r="M549" s="1"/>
  <c r="L549" i="30"/>
  <c r="M549" s="1"/>
  <c r="M1617" i="11"/>
  <c r="L1617" i="31"/>
  <c r="M1617" s="1"/>
  <c r="L1617" i="30"/>
  <c r="M1617" s="1"/>
  <c r="L1617" i="29"/>
  <c r="M1617" s="1"/>
  <c r="M1488" i="11"/>
  <c r="L1488" i="31"/>
  <c r="M1488" s="1"/>
  <c r="L1488" i="30"/>
  <c r="M1488" s="1"/>
  <c r="L1488" i="29"/>
  <c r="M1488" s="1"/>
  <c r="O1151" i="11"/>
  <c r="N1151" i="31"/>
  <c r="O1151" s="1"/>
  <c r="N1151" i="30"/>
  <c r="O1151" s="1"/>
  <c r="N1151" i="29"/>
  <c r="O1151" s="1"/>
  <c r="O125" i="11"/>
  <c r="N125" i="31"/>
  <c r="O125" s="1"/>
  <c r="N125" i="29"/>
  <c r="O125" s="1"/>
  <c r="N125" i="30"/>
  <c r="O125" s="1"/>
  <c r="M517" i="11"/>
  <c r="L517" i="31"/>
  <c r="M517" s="1"/>
  <c r="L517" i="30"/>
  <c r="M517" s="1"/>
  <c r="L517" i="29"/>
  <c r="M517" s="1"/>
  <c r="O308" i="11"/>
  <c r="N308" i="31"/>
  <c r="O308" s="1"/>
  <c r="N308" i="30"/>
  <c r="O308" s="1"/>
  <c r="N308" i="29"/>
  <c r="O308" s="1"/>
  <c r="O972" i="11"/>
  <c r="N972" i="31"/>
  <c r="O972" s="1"/>
  <c r="N972" i="30"/>
  <c r="O972" s="1"/>
  <c r="N972" i="29"/>
  <c r="O972" s="1"/>
  <c r="O634" i="11"/>
  <c r="N634" i="31"/>
  <c r="O634" s="1"/>
  <c r="N634" i="30"/>
  <c r="O634" s="1"/>
  <c r="N634" i="29"/>
  <c r="O634" s="1"/>
  <c r="M465" i="11"/>
  <c r="L465" i="31"/>
  <c r="M465" s="1"/>
  <c r="L465" i="30"/>
  <c r="M465" s="1"/>
  <c r="L465" i="29"/>
  <c r="M465" s="1"/>
  <c r="M110" i="11"/>
  <c r="L110" i="31"/>
  <c r="M110" s="1"/>
  <c r="L110" i="29"/>
  <c r="M110" s="1"/>
  <c r="L110" i="30"/>
  <c r="M110" s="1"/>
  <c r="M1445" i="11"/>
  <c r="L1445" i="31"/>
  <c r="M1445" s="1"/>
  <c r="L1445" i="30"/>
  <c r="M1445" s="1"/>
  <c r="L1445" i="29"/>
  <c r="M1445" s="1"/>
  <c r="M76" i="11"/>
  <c r="L76" i="31"/>
  <c r="M76" s="1"/>
  <c r="L76" i="30"/>
  <c r="M76" s="1"/>
  <c r="L76" i="29"/>
  <c r="M76" s="1"/>
  <c r="M326" i="11"/>
  <c r="L326" i="31"/>
  <c r="M326" s="1"/>
  <c r="L326" i="30"/>
  <c r="M326" s="1"/>
  <c r="L326" i="29"/>
  <c r="M326" s="1"/>
  <c r="O558" i="11"/>
  <c r="N558" i="31"/>
  <c r="O558" s="1"/>
  <c r="N558" i="30"/>
  <c r="O558" s="1"/>
  <c r="N558" i="29"/>
  <c r="O558" s="1"/>
  <c r="O326" i="11"/>
  <c r="N326" i="31"/>
  <c r="O326" s="1"/>
  <c r="N326" i="30"/>
  <c r="O326" s="1"/>
  <c r="N326" i="29"/>
  <c r="O326" s="1"/>
  <c r="M1430" i="11"/>
  <c r="L1430" i="31"/>
  <c r="M1430" s="1"/>
  <c r="L1430" i="30"/>
  <c r="M1430" s="1"/>
  <c r="L1430" i="29"/>
  <c r="M1430" s="1"/>
  <c r="M1689" i="11"/>
  <c r="L1689" i="31"/>
  <c r="M1689" s="1"/>
  <c r="L1689" i="30"/>
  <c r="M1689" s="1"/>
  <c r="L1689" i="29"/>
  <c r="M1689" s="1"/>
  <c r="O458" i="11"/>
  <c r="N458" i="31"/>
  <c r="O458" s="1"/>
  <c r="N458" i="30"/>
  <c r="O458" s="1"/>
  <c r="N458" i="29"/>
  <c r="O458" s="1"/>
  <c r="O988" i="11"/>
  <c r="N988" i="31"/>
  <c r="O988" s="1"/>
  <c r="N988" i="30"/>
  <c r="O988" s="1"/>
  <c r="N988" i="29"/>
  <c r="O988" s="1"/>
  <c r="O1099" i="11"/>
  <c r="N1099" i="31"/>
  <c r="O1099" s="1"/>
  <c r="N1099" i="30"/>
  <c r="O1099" s="1"/>
  <c r="N1099" i="29"/>
  <c r="O1099" s="1"/>
  <c r="M506" i="11"/>
  <c r="L506" i="31"/>
  <c r="M506" s="1"/>
  <c r="L506" i="30"/>
  <c r="M506" s="1"/>
  <c r="L506" i="29"/>
  <c r="M506" s="1"/>
  <c r="M906" i="11"/>
  <c r="L906" i="31"/>
  <c r="M906" s="1"/>
  <c r="L906" i="30"/>
  <c r="M906" s="1"/>
  <c r="L906" i="29"/>
  <c r="M906" s="1"/>
  <c r="O385" i="11"/>
  <c r="N385" i="31"/>
  <c r="O385" s="1"/>
  <c r="N385" i="30"/>
  <c r="O385" s="1"/>
  <c r="N385" i="29"/>
  <c r="O385" s="1"/>
  <c r="O1488" i="11"/>
  <c r="N1488" i="31"/>
  <c r="O1488" s="1"/>
  <c r="N1488" i="30"/>
  <c r="O1488" s="1"/>
  <c r="N1488" i="29"/>
  <c r="O1488" s="1"/>
  <c r="O1173" i="11"/>
  <c r="N1173" i="31"/>
  <c r="O1173" s="1"/>
  <c r="N1173" i="30"/>
  <c r="O1173" s="1"/>
  <c r="N1173" i="29"/>
  <c r="O1173" s="1"/>
  <c r="M168" i="11"/>
  <c r="L168" i="31"/>
  <c r="M168" s="1"/>
  <c r="L168" i="30"/>
  <c r="M168" s="1"/>
  <c r="L168" i="29"/>
  <c r="M168" s="1"/>
  <c r="O565" i="11"/>
  <c r="N565" i="31"/>
  <c r="O565" s="1"/>
  <c r="N565" i="30"/>
  <c r="O565" s="1"/>
  <c r="N565" i="29"/>
  <c r="O565" s="1"/>
  <c r="O1531" i="11"/>
  <c r="N1531" i="31"/>
  <c r="O1531" s="1"/>
  <c r="N1531" i="29"/>
  <c r="O1531" s="1"/>
  <c r="N1531" i="30"/>
  <c r="O1531" s="1"/>
  <c r="O1582" i="11"/>
  <c r="N1582" i="31"/>
  <c r="O1582" s="1"/>
  <c r="N1582" i="30"/>
  <c r="O1582" s="1"/>
  <c r="N1582" i="29"/>
  <c r="O1582" s="1"/>
  <c r="O110" i="11"/>
  <c r="N110" i="31"/>
  <c r="O110" s="1"/>
  <c r="N110" i="30"/>
  <c r="O110" s="1"/>
  <c r="N110" i="29"/>
  <c r="O110" s="1"/>
  <c r="O1437" i="11"/>
  <c r="N1437" i="31"/>
  <c r="O1437" s="1"/>
  <c r="N1437" i="30"/>
  <c r="O1437" s="1"/>
  <c r="N1437" i="29"/>
  <c r="O1437" s="1"/>
  <c r="O1256" i="11"/>
  <c r="N1256" i="31"/>
  <c r="O1256" s="1"/>
  <c r="N1256" i="30"/>
  <c r="O1256" s="1"/>
  <c r="N1256" i="29"/>
  <c r="O1256" s="1"/>
  <c r="O696" i="11"/>
  <c r="N696" i="31"/>
  <c r="O696" s="1"/>
  <c r="N696" i="30"/>
  <c r="O696" s="1"/>
  <c r="N696" i="29"/>
  <c r="O696" s="1"/>
  <c r="O417" i="11"/>
  <c r="N417" i="31"/>
  <c r="O417" s="1"/>
  <c r="N417" i="30"/>
  <c r="O417" s="1"/>
  <c r="N417" i="29"/>
  <c r="O417" s="1"/>
  <c r="O955" i="11"/>
  <c r="N955" i="31"/>
  <c r="O955" s="1"/>
  <c r="N955" i="30"/>
  <c r="O955" s="1"/>
  <c r="N955" i="29"/>
  <c r="O955" s="1"/>
  <c r="M425" i="11"/>
  <c r="L425" i="31"/>
  <c r="M425" s="1"/>
  <c r="L425" i="30"/>
  <c r="M425" s="1"/>
  <c r="L425" i="29"/>
  <c r="M425" s="1"/>
  <c r="O371" i="11"/>
  <c r="N371" i="31"/>
  <c r="O371" s="1"/>
  <c r="N371" i="30"/>
  <c r="O371" s="1"/>
  <c r="N371" i="29"/>
  <c r="O371" s="1"/>
  <c r="O1670" i="11"/>
  <c r="N1670" i="31"/>
  <c r="O1670" s="1"/>
  <c r="N1670" i="30"/>
  <c r="O1670" s="1"/>
  <c r="N1670" i="29"/>
  <c r="O1670" s="1"/>
  <c r="O1327" i="11"/>
  <c r="N1327" i="31"/>
  <c r="O1327" s="1"/>
  <c r="N1327" i="30"/>
  <c r="O1327" s="1"/>
  <c r="N1327" i="29"/>
  <c r="O1327" s="1"/>
  <c r="O788" i="11"/>
  <c r="N788" i="31"/>
  <c r="O788" s="1"/>
  <c r="N788" i="30"/>
  <c r="O788" s="1"/>
  <c r="N788" i="29"/>
  <c r="O788" s="1"/>
  <c r="O338" i="11"/>
  <c r="N338" i="31"/>
  <c r="O338" s="1"/>
  <c r="N338" i="30"/>
  <c r="O338" s="1"/>
  <c r="N338" i="29"/>
  <c r="O338" s="1"/>
  <c r="M1623" i="11"/>
  <c r="L1623" i="31"/>
  <c r="M1623" s="1"/>
  <c r="L1623" i="30"/>
  <c r="M1623" s="1"/>
  <c r="L1623" i="29"/>
  <c r="M1623" s="1"/>
  <c r="O1516" i="11"/>
  <c r="N1516" i="31"/>
  <c r="O1516" s="1"/>
  <c r="N1516" i="30"/>
  <c r="O1516" s="1"/>
  <c r="N1516" i="29"/>
  <c r="O1516" s="1"/>
  <c r="O1382" i="11"/>
  <c r="N1382" i="31"/>
  <c r="O1382" s="1"/>
  <c r="N1382" i="30"/>
  <c r="O1382" s="1"/>
  <c r="N1382" i="29"/>
  <c r="O1382" s="1"/>
  <c r="M1670" i="11"/>
  <c r="L1670" i="31"/>
  <c r="M1670" s="1"/>
  <c r="L1670" i="30"/>
  <c r="M1670" s="1"/>
  <c r="L1670" i="29"/>
  <c r="M1670" s="1"/>
  <c r="O1028" i="11"/>
  <c r="N1028" i="31"/>
  <c r="O1028" s="1"/>
  <c r="N1028" i="30"/>
  <c r="O1028" s="1"/>
  <c r="N1028" i="29"/>
  <c r="O1028" s="1"/>
  <c r="M655" i="11"/>
  <c r="L655" i="31"/>
  <c r="M655" s="1"/>
  <c r="L655" i="30"/>
  <c r="M655" s="1"/>
  <c r="L655" i="29"/>
  <c r="M655" s="1"/>
  <c r="N1588" i="31"/>
  <c r="O1588" s="1"/>
  <c r="N1588" i="30"/>
  <c r="O1588" s="1"/>
  <c r="N1588" i="29"/>
  <c r="O1588" s="1"/>
  <c r="O265" i="11"/>
  <c r="N265" i="31"/>
  <c r="O265" s="1"/>
  <c r="N265" i="30"/>
  <c r="O265" s="1"/>
  <c r="N265" i="29"/>
  <c r="O265" s="1"/>
  <c r="O588" i="11"/>
  <c r="N588" i="29"/>
  <c r="O588" s="1"/>
  <c r="M588" i="11"/>
  <c r="L588" i="29"/>
  <c r="M588" s="1"/>
  <c r="I516" i="11"/>
  <c r="H516"/>
  <c r="I1587"/>
  <c r="O1588"/>
  <c r="I42"/>
  <c r="O43"/>
  <c r="I214"/>
  <c r="O215"/>
  <c r="H42"/>
  <c r="M43"/>
  <c r="H1587"/>
  <c r="M1588"/>
  <c r="I733"/>
  <c r="H647"/>
  <c r="H1515"/>
  <c r="I1021"/>
  <c r="I124"/>
  <c r="I1150"/>
  <c r="I392"/>
  <c r="H124"/>
  <c r="I158"/>
  <c r="H158"/>
  <c r="I1350"/>
  <c r="H733"/>
  <c r="H75"/>
  <c r="I1555"/>
  <c r="H392"/>
  <c r="H1481"/>
  <c r="I1070"/>
  <c r="H249"/>
  <c r="I680"/>
  <c r="H296"/>
  <c r="H364"/>
  <c r="H557"/>
  <c r="H370"/>
  <c r="I1267"/>
  <c r="I1429"/>
  <c r="H102"/>
  <c r="I337"/>
  <c r="I793"/>
  <c r="I1294"/>
  <c r="I1381"/>
  <c r="H1688"/>
  <c r="I582"/>
  <c r="I187"/>
  <c r="I1027"/>
  <c r="I961"/>
  <c r="I1397"/>
  <c r="I7"/>
  <c r="H1505"/>
  <c r="I1219"/>
  <c r="H346"/>
  <c r="I610"/>
  <c r="I1338"/>
  <c r="I1241"/>
  <c r="I1688"/>
  <c r="H118"/>
  <c r="I118"/>
  <c r="H1601"/>
  <c r="I1255"/>
  <c r="H701"/>
  <c r="H1622"/>
  <c r="I1515"/>
  <c r="H7"/>
  <c r="I971"/>
  <c r="I1525"/>
  <c r="I296"/>
  <c r="G1294"/>
  <c r="H695"/>
  <c r="H416"/>
  <c r="I505"/>
  <c r="I424"/>
  <c r="I241"/>
  <c r="I647"/>
  <c r="I1367"/>
  <c r="H1581"/>
  <c r="I1319"/>
  <c r="I249"/>
  <c r="H384"/>
  <c r="H214"/>
  <c r="H787"/>
  <c r="I695"/>
  <c r="H325"/>
  <c r="H1436"/>
  <c r="I416"/>
  <c r="I1375"/>
  <c r="I331"/>
  <c r="I1391"/>
  <c r="I1601"/>
  <c r="H424"/>
  <c r="H1475"/>
  <c r="I557"/>
  <c r="H241"/>
  <c r="I370"/>
  <c r="I633"/>
  <c r="I1305"/>
  <c r="I346"/>
  <c r="I548"/>
  <c r="I1326"/>
  <c r="H680"/>
  <c r="I325"/>
  <c r="H582"/>
  <c r="I787"/>
  <c r="I1211"/>
  <c r="I384"/>
  <c r="I102"/>
  <c r="H610"/>
  <c r="H1429"/>
  <c r="I1158"/>
  <c r="I1041"/>
  <c r="H278"/>
  <c r="I1136"/>
  <c r="H109"/>
  <c r="I1079"/>
  <c r="I1172"/>
  <c r="H548"/>
  <c r="H331"/>
  <c r="H1525"/>
  <c r="I1616"/>
  <c r="H1616"/>
  <c r="H187"/>
  <c r="H337"/>
  <c r="I1444"/>
  <c r="H1554"/>
  <c r="I1481"/>
  <c r="I1622"/>
  <c r="I564"/>
  <c r="I1505"/>
  <c r="I364"/>
  <c r="H505"/>
  <c r="I1475"/>
  <c r="H633"/>
  <c r="I457"/>
  <c r="H564"/>
  <c r="H1397"/>
  <c r="I701"/>
  <c r="I1581"/>
  <c r="I1125"/>
  <c r="H1444"/>
  <c r="H793"/>
  <c r="I109"/>
  <c r="I1098"/>
  <c r="I1436"/>
  <c r="H457"/>
  <c r="I278"/>
  <c r="I1184"/>
  <c r="I75"/>
  <c r="I264"/>
  <c r="H264"/>
  <c r="I434"/>
  <c r="H434"/>
  <c r="H825"/>
  <c r="I825"/>
  <c r="I472"/>
  <c r="H472"/>
  <c r="G778"/>
  <c r="L264" i="31" l="1"/>
  <c r="M264" s="1"/>
  <c r="L264" i="30"/>
  <c r="M264" s="1"/>
  <c r="L264" i="29"/>
  <c r="M264" s="1"/>
  <c r="M331" i="11"/>
  <c r="L331" i="31"/>
  <c r="M331" s="1"/>
  <c r="L331" i="30"/>
  <c r="M331" s="1"/>
  <c r="L331" i="29"/>
  <c r="M331" s="1"/>
  <c r="O1319" i="11"/>
  <c r="N1319" i="31"/>
  <c r="O1319" s="1"/>
  <c r="N1319" i="30"/>
  <c r="O1319" s="1"/>
  <c r="N1319" i="29"/>
  <c r="O1319" s="1"/>
  <c r="O610" i="11"/>
  <c r="N610" i="31"/>
  <c r="O610" s="1"/>
  <c r="N610" i="29"/>
  <c r="O610" s="1"/>
  <c r="N610" i="30"/>
  <c r="O610" s="1"/>
  <c r="O1070" i="11"/>
  <c r="N1070" i="31"/>
  <c r="O1070" s="1"/>
  <c r="N1070" i="30"/>
  <c r="O1070" s="1"/>
  <c r="N1070" i="29"/>
  <c r="O1070" s="1"/>
  <c r="O42" i="11"/>
  <c r="N42" i="31"/>
  <c r="O42" s="1"/>
  <c r="N42" i="30"/>
  <c r="O42" s="1"/>
  <c r="N42" i="29"/>
  <c r="O42" s="1"/>
  <c r="K778" i="11"/>
  <c r="J778" i="31"/>
  <c r="K778" s="1"/>
  <c r="J778" i="30"/>
  <c r="K778" s="1"/>
  <c r="J778" i="29"/>
  <c r="K778" s="1"/>
  <c r="N264" i="31"/>
  <c r="O264" s="1"/>
  <c r="N264" i="30"/>
  <c r="O264" s="1"/>
  <c r="N264" i="29"/>
  <c r="O264" s="1"/>
  <c r="M793" i="11"/>
  <c r="L793" i="31"/>
  <c r="M793" s="1"/>
  <c r="L793" i="30"/>
  <c r="M793" s="1"/>
  <c r="L793" i="29"/>
  <c r="M793" s="1"/>
  <c r="M633" i="11"/>
  <c r="L633" i="31"/>
  <c r="M633" s="1"/>
  <c r="L633" i="30"/>
  <c r="M633" s="1"/>
  <c r="L633" i="29"/>
  <c r="M633" s="1"/>
  <c r="M1554" i="11"/>
  <c r="L1554" i="31"/>
  <c r="M1554" s="1"/>
  <c r="L1554" i="30"/>
  <c r="M1554" s="1"/>
  <c r="L1554" i="29"/>
  <c r="M1554" s="1"/>
  <c r="M548" i="11"/>
  <c r="L548" i="31"/>
  <c r="M548" s="1"/>
  <c r="L548" i="30"/>
  <c r="M548" s="1"/>
  <c r="L548" i="29"/>
  <c r="M548" s="1"/>
  <c r="M1429" i="11"/>
  <c r="L1429" i="31"/>
  <c r="M1429" s="1"/>
  <c r="L1429" i="30"/>
  <c r="M1429" s="1"/>
  <c r="L1429" i="29"/>
  <c r="M1429" s="1"/>
  <c r="M680" i="11"/>
  <c r="L680" i="31"/>
  <c r="M680" s="1"/>
  <c r="L680" i="30"/>
  <c r="M680" s="1"/>
  <c r="L680" i="29"/>
  <c r="M680" s="1"/>
  <c r="O557" i="11"/>
  <c r="N557" i="31"/>
  <c r="O557" s="1"/>
  <c r="N557" i="30"/>
  <c r="O557" s="1"/>
  <c r="N557" i="29"/>
  <c r="O557" s="1"/>
  <c r="M1436" i="11"/>
  <c r="L1436" i="31"/>
  <c r="M1436" s="1"/>
  <c r="L1436" i="30"/>
  <c r="M1436" s="1"/>
  <c r="L1436" i="29"/>
  <c r="M1436" s="1"/>
  <c r="M1581" i="11"/>
  <c r="L1581" i="31"/>
  <c r="M1581" s="1"/>
  <c r="L1581" i="30"/>
  <c r="M1581" s="1"/>
  <c r="L1581" i="29"/>
  <c r="M1581" s="1"/>
  <c r="K1294" i="11"/>
  <c r="J1294" i="31"/>
  <c r="K1294" s="1"/>
  <c r="J1294" i="30"/>
  <c r="K1294" s="1"/>
  <c r="J1294" i="29"/>
  <c r="K1294" s="1"/>
  <c r="O1255" i="11"/>
  <c r="N1255" i="31"/>
  <c r="O1255" s="1"/>
  <c r="N1255" i="30"/>
  <c r="O1255" s="1"/>
  <c r="N1255" i="29"/>
  <c r="O1255" s="1"/>
  <c r="M346" i="11"/>
  <c r="L346" i="31"/>
  <c r="M346" s="1"/>
  <c r="L346" i="30"/>
  <c r="M346" s="1"/>
  <c r="L346" i="29"/>
  <c r="M346" s="1"/>
  <c r="O582" i="11"/>
  <c r="N582" i="31"/>
  <c r="O582" s="1"/>
  <c r="N582" i="30"/>
  <c r="O582" s="1"/>
  <c r="N582" i="29"/>
  <c r="O582" s="1"/>
  <c r="O1267" i="11"/>
  <c r="N1267" i="31"/>
  <c r="O1267" s="1"/>
  <c r="N1267" i="30"/>
  <c r="O1267" s="1"/>
  <c r="N1267" i="29"/>
  <c r="O1267" s="1"/>
  <c r="M1481" i="11"/>
  <c r="L1481" i="31"/>
  <c r="M1481" s="1"/>
  <c r="L1481" i="30"/>
  <c r="M1481" s="1"/>
  <c r="L1481" i="29"/>
  <c r="M1481" s="1"/>
  <c r="M124" i="11"/>
  <c r="L124" i="31"/>
  <c r="M124" s="1"/>
  <c r="L124" i="30"/>
  <c r="M124" s="1"/>
  <c r="L124" i="29"/>
  <c r="M124" s="1"/>
  <c r="M472" i="11"/>
  <c r="L472" i="31"/>
  <c r="M472" s="1"/>
  <c r="L472" i="30"/>
  <c r="M472" s="1"/>
  <c r="L472" i="29"/>
  <c r="M472" s="1"/>
  <c r="O75" i="11"/>
  <c r="N75" i="31"/>
  <c r="O75" s="1"/>
  <c r="N75" i="30"/>
  <c r="O75" s="1"/>
  <c r="N75" i="29"/>
  <c r="O75" s="1"/>
  <c r="M1444" i="11"/>
  <c r="L1444" i="31"/>
  <c r="M1444" s="1"/>
  <c r="L1444" i="30"/>
  <c r="M1444" s="1"/>
  <c r="L1444" i="29"/>
  <c r="M1444" s="1"/>
  <c r="O1475" i="11"/>
  <c r="N1475" i="31"/>
  <c r="O1475" s="1"/>
  <c r="N1475" i="30"/>
  <c r="O1475" s="1"/>
  <c r="N1475" i="29"/>
  <c r="O1475" s="1"/>
  <c r="O1444" i="11"/>
  <c r="N1444" i="31"/>
  <c r="O1444" s="1"/>
  <c r="N1444" i="30"/>
  <c r="O1444" s="1"/>
  <c r="N1444" i="29"/>
  <c r="O1444" s="1"/>
  <c r="O1172" i="11"/>
  <c r="N1172" i="31"/>
  <c r="O1172" s="1"/>
  <c r="N1172" i="30"/>
  <c r="O1172" s="1"/>
  <c r="N1172" i="29"/>
  <c r="O1172" s="1"/>
  <c r="M610" i="11"/>
  <c r="L610" i="31"/>
  <c r="M610" s="1"/>
  <c r="L610" i="30"/>
  <c r="M610" s="1"/>
  <c r="L610" i="29"/>
  <c r="M610" s="1"/>
  <c r="O1326" i="11"/>
  <c r="N1326" i="31"/>
  <c r="O1326" s="1"/>
  <c r="N1326" i="30"/>
  <c r="O1326" s="1"/>
  <c r="N1326" i="29"/>
  <c r="O1326" s="1"/>
  <c r="M1475" i="11"/>
  <c r="L1475" i="31"/>
  <c r="M1475" s="1"/>
  <c r="L1475" i="30"/>
  <c r="M1475" s="1"/>
  <c r="L1475" i="29"/>
  <c r="M1475" s="1"/>
  <c r="M325" i="11"/>
  <c r="L325" i="31"/>
  <c r="M325" s="1"/>
  <c r="L325" i="29"/>
  <c r="M325" s="1"/>
  <c r="L325" i="30"/>
  <c r="M325" s="1"/>
  <c r="O1367" i="11"/>
  <c r="N1367" i="31"/>
  <c r="O1367" s="1"/>
  <c r="N1367" i="30"/>
  <c r="O1367" s="1"/>
  <c r="N1367" i="29"/>
  <c r="O1367" s="1"/>
  <c r="O296" i="11"/>
  <c r="N296" i="31"/>
  <c r="O296" s="1"/>
  <c r="N296" i="30"/>
  <c r="O296" s="1"/>
  <c r="N296" i="29"/>
  <c r="O296" s="1"/>
  <c r="M1601" i="11"/>
  <c r="L1601" i="31"/>
  <c r="M1601" s="1"/>
  <c r="L1601" i="30"/>
  <c r="M1601" s="1"/>
  <c r="L1601" i="29"/>
  <c r="M1601" s="1"/>
  <c r="O1219" i="11"/>
  <c r="N1219" i="31"/>
  <c r="O1219" s="1"/>
  <c r="N1219" i="30"/>
  <c r="O1219" s="1"/>
  <c r="N1219" i="29"/>
  <c r="O1219" s="1"/>
  <c r="M1688" i="11"/>
  <c r="L1688" i="31"/>
  <c r="M1688" s="1"/>
  <c r="L1688" i="30"/>
  <c r="M1688" s="1"/>
  <c r="L1688" i="29"/>
  <c r="M1688" s="1"/>
  <c r="M370" i="11"/>
  <c r="L370" i="31"/>
  <c r="M370" s="1"/>
  <c r="L370" i="29"/>
  <c r="M370" s="1"/>
  <c r="L370" i="30"/>
  <c r="M370" s="1"/>
  <c r="M392" i="11"/>
  <c r="L392" i="31"/>
  <c r="M392" s="1"/>
  <c r="L392" i="30"/>
  <c r="M392" s="1"/>
  <c r="L392" i="29"/>
  <c r="M392" s="1"/>
  <c r="O392" i="11"/>
  <c r="N392" i="31"/>
  <c r="O392" s="1"/>
  <c r="N392" i="30"/>
  <c r="O392" s="1"/>
  <c r="N392" i="29"/>
  <c r="O392" s="1"/>
  <c r="M1587" i="11"/>
  <c r="L1587" i="31"/>
  <c r="M1587" s="1"/>
  <c r="L1587" i="30"/>
  <c r="M1587" s="1"/>
  <c r="L1587" i="29"/>
  <c r="M1587" s="1"/>
  <c r="O1587" i="11"/>
  <c r="N1587" i="31"/>
  <c r="O1587" s="1"/>
  <c r="N1587" i="30"/>
  <c r="O1587" s="1"/>
  <c r="N1587" i="29"/>
  <c r="O1587" s="1"/>
  <c r="O1481" i="11"/>
  <c r="N1481" i="31"/>
  <c r="O1481" s="1"/>
  <c r="N1481" i="30"/>
  <c r="O1481" s="1"/>
  <c r="N1481" i="29"/>
  <c r="O1481" s="1"/>
  <c r="N1158" i="31"/>
  <c r="O1158" s="1"/>
  <c r="N1158" i="30"/>
  <c r="O1158" s="1"/>
  <c r="N1158" i="29"/>
  <c r="O1158" s="1"/>
  <c r="M241" i="11"/>
  <c r="L241" i="31"/>
  <c r="M241" s="1"/>
  <c r="L241" i="30"/>
  <c r="M241" s="1"/>
  <c r="L241" i="29"/>
  <c r="M241" s="1"/>
  <c r="M695" i="11"/>
  <c r="L695" i="31"/>
  <c r="M695" s="1"/>
  <c r="L695" i="30"/>
  <c r="M695" s="1"/>
  <c r="L695" i="29"/>
  <c r="M695" s="1"/>
  <c r="O187" i="11"/>
  <c r="N187" i="31"/>
  <c r="O187" s="1"/>
  <c r="N187" i="30"/>
  <c r="O187" s="1"/>
  <c r="N187" i="29"/>
  <c r="O187" s="1"/>
  <c r="O733" i="11"/>
  <c r="N733" i="31"/>
  <c r="O733" s="1"/>
  <c r="N733" i="30"/>
  <c r="O733" s="1"/>
  <c r="N733" i="29"/>
  <c r="O733" s="1"/>
  <c r="O1184" i="11"/>
  <c r="N1184" i="31"/>
  <c r="O1184" s="1"/>
  <c r="N1184" i="30"/>
  <c r="O1184" s="1"/>
  <c r="N1184" i="29"/>
  <c r="O1184" s="1"/>
  <c r="M337" i="11"/>
  <c r="L337" i="31"/>
  <c r="M337" s="1"/>
  <c r="L337" i="29"/>
  <c r="M337" s="1"/>
  <c r="L337" i="30"/>
  <c r="M337" s="1"/>
  <c r="O548" i="11"/>
  <c r="N548" i="31"/>
  <c r="O548" s="1"/>
  <c r="N548" i="30"/>
  <c r="O548" s="1"/>
  <c r="N548" i="29"/>
  <c r="O548" s="1"/>
  <c r="O647" i="11"/>
  <c r="N647" i="31"/>
  <c r="O647" s="1"/>
  <c r="N647" i="30"/>
  <c r="O647" s="1"/>
  <c r="N647" i="29"/>
  <c r="O647" s="1"/>
  <c r="O118" i="11"/>
  <c r="N118" i="31"/>
  <c r="O118" s="1"/>
  <c r="N118" i="30"/>
  <c r="O118" s="1"/>
  <c r="N118" i="29"/>
  <c r="O118" s="1"/>
  <c r="M557" i="11"/>
  <c r="L557" i="31"/>
  <c r="M557" s="1"/>
  <c r="L557" i="30"/>
  <c r="M557" s="1"/>
  <c r="L557" i="29"/>
  <c r="M557" s="1"/>
  <c r="O825" i="11"/>
  <c r="N825" i="31"/>
  <c r="O825" s="1"/>
  <c r="N825" i="30"/>
  <c r="O825" s="1"/>
  <c r="N825" i="29"/>
  <c r="O825" s="1"/>
  <c r="M187" i="11"/>
  <c r="L187" i="31"/>
  <c r="M187" s="1"/>
  <c r="L187" i="30"/>
  <c r="M187" s="1"/>
  <c r="L187" i="29"/>
  <c r="M187" s="1"/>
  <c r="O346" i="11"/>
  <c r="N346" i="31"/>
  <c r="O346" s="1"/>
  <c r="N346" i="29"/>
  <c r="O346" s="1"/>
  <c r="N346" i="30"/>
  <c r="O346" s="1"/>
  <c r="O971" i="11"/>
  <c r="N971" i="31"/>
  <c r="O971" s="1"/>
  <c r="N971" i="30"/>
  <c r="O971" s="1"/>
  <c r="N971" i="29"/>
  <c r="O971" s="1"/>
  <c r="O1294" i="11"/>
  <c r="N1294" i="31"/>
  <c r="O1294" s="1"/>
  <c r="N1294" i="30"/>
  <c r="O1294" s="1"/>
  <c r="N1294" i="29"/>
  <c r="O1294" s="1"/>
  <c r="M42" i="11"/>
  <c r="L42" i="31"/>
  <c r="M42" s="1"/>
  <c r="L42" i="30"/>
  <c r="M42" s="1"/>
  <c r="L42" i="29"/>
  <c r="M42" s="1"/>
  <c r="O701" i="11"/>
  <c r="N701" i="31"/>
  <c r="O701" s="1"/>
  <c r="N701" i="30"/>
  <c r="O701" s="1"/>
  <c r="N701" i="29"/>
  <c r="O701" s="1"/>
  <c r="M1616" i="11"/>
  <c r="L1616" i="31"/>
  <c r="M1616" s="1"/>
  <c r="L1616" i="30"/>
  <c r="M1616" s="1"/>
  <c r="L1616" i="29"/>
  <c r="M1616" s="1"/>
  <c r="O1136" i="11"/>
  <c r="N1136" i="31"/>
  <c r="O1136" s="1"/>
  <c r="N1136" i="30"/>
  <c r="O1136" s="1"/>
  <c r="N1136" i="29"/>
  <c r="O1136" s="1"/>
  <c r="O1211" i="11"/>
  <c r="N1211" i="31"/>
  <c r="O1211" s="1"/>
  <c r="N1211" i="30"/>
  <c r="O1211" s="1"/>
  <c r="N1211" i="29"/>
  <c r="O1211" s="1"/>
  <c r="O1305" i="11"/>
  <c r="N1305" i="31"/>
  <c r="O1305" s="1"/>
  <c r="N1305" i="30"/>
  <c r="O1305" s="1"/>
  <c r="N1305" i="29"/>
  <c r="O1305" s="1"/>
  <c r="O1391" i="11"/>
  <c r="N1391" i="31"/>
  <c r="O1391" s="1"/>
  <c r="N1391" i="30"/>
  <c r="O1391" s="1"/>
  <c r="N1391" i="29"/>
  <c r="O1391" s="1"/>
  <c r="M214" i="11"/>
  <c r="L214" i="31"/>
  <c r="M214" s="1"/>
  <c r="L214" i="30"/>
  <c r="M214" s="1"/>
  <c r="L214" i="29"/>
  <c r="M214" s="1"/>
  <c r="O424" i="11"/>
  <c r="N424" i="31"/>
  <c r="O424" s="1"/>
  <c r="N424" i="30"/>
  <c r="O424" s="1"/>
  <c r="N424" i="29"/>
  <c r="O424" s="1"/>
  <c r="M7" i="11"/>
  <c r="L7" i="31"/>
  <c r="M7" s="1"/>
  <c r="L7" i="30"/>
  <c r="M7" s="1"/>
  <c r="L7" i="29"/>
  <c r="M7" s="1"/>
  <c r="O1688" i="11"/>
  <c r="N1688" i="31"/>
  <c r="O1688" s="1"/>
  <c r="N1688" i="30"/>
  <c r="O1688" s="1"/>
  <c r="N1688" i="29"/>
  <c r="O1688" s="1"/>
  <c r="O1397" i="11"/>
  <c r="N1397" i="31"/>
  <c r="O1397" s="1"/>
  <c r="N1397" i="30"/>
  <c r="O1397" s="1"/>
  <c r="N1397" i="29"/>
  <c r="O1397" s="1"/>
  <c r="O793" i="11"/>
  <c r="N793" i="31"/>
  <c r="O793" s="1"/>
  <c r="N793" i="30"/>
  <c r="O793" s="1"/>
  <c r="N793" i="29"/>
  <c r="O793" s="1"/>
  <c r="M296" i="11"/>
  <c r="L296" i="31"/>
  <c r="M296" s="1"/>
  <c r="L296" i="30"/>
  <c r="M296" s="1"/>
  <c r="L296" i="29"/>
  <c r="M296" s="1"/>
  <c r="M733" i="11"/>
  <c r="L733" i="31"/>
  <c r="M733" s="1"/>
  <c r="L733" i="29"/>
  <c r="M733" s="1"/>
  <c r="L733" i="30"/>
  <c r="M733" s="1"/>
  <c r="O1021" i="11"/>
  <c r="N1021" i="31"/>
  <c r="O1021" s="1"/>
  <c r="N1021" i="29"/>
  <c r="O1021" s="1"/>
  <c r="N1021" i="30"/>
  <c r="O1021" s="1"/>
  <c r="O457" i="11"/>
  <c r="N457" i="31"/>
  <c r="O457" s="1"/>
  <c r="N457" i="30"/>
  <c r="O457" s="1"/>
  <c r="N457" i="29"/>
  <c r="O457" s="1"/>
  <c r="O416" i="11"/>
  <c r="N416" i="31"/>
  <c r="O416" s="1"/>
  <c r="N416" i="30"/>
  <c r="O416" s="1"/>
  <c r="N416" i="29"/>
  <c r="O416" s="1"/>
  <c r="O1429" i="11"/>
  <c r="N1429" i="31"/>
  <c r="O1429" s="1"/>
  <c r="N1429" i="30"/>
  <c r="O1429" s="1"/>
  <c r="N1429" i="29"/>
  <c r="O1429" s="1"/>
  <c r="O1125" i="11"/>
  <c r="N1125" i="31"/>
  <c r="O1125" s="1"/>
  <c r="N1125" i="30"/>
  <c r="O1125" s="1"/>
  <c r="N1125" i="29"/>
  <c r="O1125" s="1"/>
  <c r="O1079" i="11"/>
  <c r="N1079" i="31"/>
  <c r="O1079" s="1"/>
  <c r="N1079" i="30"/>
  <c r="O1079" s="1"/>
  <c r="N1079" i="29"/>
  <c r="O1079" s="1"/>
  <c r="M424" i="11"/>
  <c r="L424" i="31"/>
  <c r="M424" s="1"/>
  <c r="L424" i="30"/>
  <c r="M424" s="1"/>
  <c r="L424" i="29"/>
  <c r="M424" s="1"/>
  <c r="O1525" i="11"/>
  <c r="N1525" i="31"/>
  <c r="O1525" s="1"/>
  <c r="N1525" i="30"/>
  <c r="O1525" s="1"/>
  <c r="N1525" i="29"/>
  <c r="O1525" s="1"/>
  <c r="O1381" i="11"/>
  <c r="N1381" i="31"/>
  <c r="O1381" s="1"/>
  <c r="N1381" i="30"/>
  <c r="O1381" s="1"/>
  <c r="N1381" i="29"/>
  <c r="O1381" s="1"/>
  <c r="O1555" i="11"/>
  <c r="N1555" i="31"/>
  <c r="O1555" s="1"/>
  <c r="N1555" i="30"/>
  <c r="O1555" s="1"/>
  <c r="N1555" i="29"/>
  <c r="O1555" s="1"/>
  <c r="M516" i="11"/>
  <c r="L516" i="31"/>
  <c r="M516" s="1"/>
  <c r="L516" i="30"/>
  <c r="M516" s="1"/>
  <c r="L516" i="29"/>
  <c r="M516" s="1"/>
  <c r="O278" i="11"/>
  <c r="N278" i="31"/>
  <c r="O278" s="1"/>
  <c r="N278" i="30"/>
  <c r="O278" s="1"/>
  <c r="N278" i="29"/>
  <c r="O278" s="1"/>
  <c r="O364" i="11"/>
  <c r="N364" i="31"/>
  <c r="O364" s="1"/>
  <c r="N364" i="30"/>
  <c r="O364" s="1"/>
  <c r="N364" i="29"/>
  <c r="O364" s="1"/>
  <c r="O384" i="11"/>
  <c r="N384" i="31"/>
  <c r="O384" s="1"/>
  <c r="N384" i="30"/>
  <c r="O384" s="1"/>
  <c r="N384" i="29"/>
  <c r="O384" s="1"/>
  <c r="O1601" i="11"/>
  <c r="N1601" i="31"/>
  <c r="O1601" s="1"/>
  <c r="N1601" i="30"/>
  <c r="O1601" s="1"/>
  <c r="N1601" i="29"/>
  <c r="O1601" s="1"/>
  <c r="O241" i="11"/>
  <c r="N241" i="31"/>
  <c r="O241" s="1"/>
  <c r="N241" i="30"/>
  <c r="O241" s="1"/>
  <c r="N241" i="29"/>
  <c r="O241" s="1"/>
  <c r="M118" i="11"/>
  <c r="L118" i="31"/>
  <c r="M118" s="1"/>
  <c r="L118" i="29"/>
  <c r="M118" s="1"/>
  <c r="L118" i="30"/>
  <c r="M118" s="1"/>
  <c r="M364" i="11"/>
  <c r="L364" i="31"/>
  <c r="M364" s="1"/>
  <c r="L364" i="30"/>
  <c r="M364" s="1"/>
  <c r="L364" i="29"/>
  <c r="M364" s="1"/>
  <c r="M75" i="11"/>
  <c r="L75" i="31"/>
  <c r="M75" s="1"/>
  <c r="L75" i="29"/>
  <c r="M75" s="1"/>
  <c r="L75" i="30"/>
  <c r="M75" s="1"/>
  <c r="O516" i="11"/>
  <c r="N516" i="31"/>
  <c r="O516" s="1"/>
  <c r="N516" i="30"/>
  <c r="O516" s="1"/>
  <c r="N516" i="29"/>
  <c r="O516" s="1"/>
  <c r="M434" i="11"/>
  <c r="L434" i="31"/>
  <c r="M434" s="1"/>
  <c r="L434" i="30"/>
  <c r="M434" s="1"/>
  <c r="L434" i="29"/>
  <c r="M434" s="1"/>
  <c r="O1616" i="11"/>
  <c r="N1616" i="31"/>
  <c r="O1616" s="1"/>
  <c r="N1616" i="30"/>
  <c r="O1616" s="1"/>
  <c r="N1616" i="29"/>
  <c r="O1616" s="1"/>
  <c r="O633" i="11"/>
  <c r="N633" i="31"/>
  <c r="O633" s="1"/>
  <c r="N633" i="29"/>
  <c r="O633" s="1"/>
  <c r="N633" i="30"/>
  <c r="O633" s="1"/>
  <c r="M384" i="11"/>
  <c r="L384" i="31"/>
  <c r="M384" s="1"/>
  <c r="L384" i="30"/>
  <c r="M384" s="1"/>
  <c r="L384" i="29"/>
  <c r="M384" s="1"/>
  <c r="O505" i="11"/>
  <c r="N505" i="31"/>
  <c r="O505" s="1"/>
  <c r="N505" i="29"/>
  <c r="O505" s="1"/>
  <c r="N505" i="30"/>
  <c r="O505" s="1"/>
  <c r="O1241" i="11"/>
  <c r="N1241" i="31"/>
  <c r="O1241" s="1"/>
  <c r="N1241" i="30"/>
  <c r="O1241" s="1"/>
  <c r="N1241" i="29"/>
  <c r="O1241" s="1"/>
  <c r="O961" i="11"/>
  <c r="N961" i="31"/>
  <c r="O961" s="1"/>
  <c r="N961" i="29"/>
  <c r="O961" s="1"/>
  <c r="N961" i="30"/>
  <c r="O961" s="1"/>
  <c r="O337" i="11"/>
  <c r="N337" i="31"/>
  <c r="O337" s="1"/>
  <c r="N337" i="30"/>
  <c r="O337" s="1"/>
  <c r="N337" i="29"/>
  <c r="O337" s="1"/>
  <c r="O680" i="11"/>
  <c r="N680" i="31"/>
  <c r="O680" s="1"/>
  <c r="N680" i="30"/>
  <c r="O680" s="1"/>
  <c r="N680" i="29"/>
  <c r="O680" s="1"/>
  <c r="O1350" i="11"/>
  <c r="N1350" i="31"/>
  <c r="O1350" s="1"/>
  <c r="N1350" i="30"/>
  <c r="O1350" s="1"/>
  <c r="N1350" i="29"/>
  <c r="O1350" s="1"/>
  <c r="M1515" i="11"/>
  <c r="L1515" i="31"/>
  <c r="M1515" s="1"/>
  <c r="L1515" i="30"/>
  <c r="M1515" s="1"/>
  <c r="L1515" i="29"/>
  <c r="M1515" s="1"/>
  <c r="O214" i="11"/>
  <c r="N214" i="31"/>
  <c r="O214" s="1"/>
  <c r="N214" i="30"/>
  <c r="O214" s="1"/>
  <c r="N214" i="29"/>
  <c r="O214" s="1"/>
  <c r="O109" i="11"/>
  <c r="N109" i="31"/>
  <c r="O109" s="1"/>
  <c r="N109" i="30"/>
  <c r="O109" s="1"/>
  <c r="N109" i="29"/>
  <c r="O109" s="1"/>
  <c r="O325" i="11"/>
  <c r="N325" i="31"/>
  <c r="O325" s="1"/>
  <c r="N325" i="30"/>
  <c r="O325" s="1"/>
  <c r="N325" i="29"/>
  <c r="O325" s="1"/>
  <c r="M701" i="11"/>
  <c r="L701" i="31"/>
  <c r="M701" s="1"/>
  <c r="L701" i="30"/>
  <c r="M701" s="1"/>
  <c r="L701" i="29"/>
  <c r="M701" s="1"/>
  <c r="O158" i="11"/>
  <c r="N158" i="31"/>
  <c r="O158" s="1"/>
  <c r="N158" i="29"/>
  <c r="O158" s="1"/>
  <c r="N158" i="30"/>
  <c r="O158" s="1"/>
  <c r="O472" i="11"/>
  <c r="N472" i="31"/>
  <c r="O472" s="1"/>
  <c r="N472" i="30"/>
  <c r="O472" s="1"/>
  <c r="N472" i="29"/>
  <c r="O472" s="1"/>
  <c r="M505" i="11"/>
  <c r="L505" i="31"/>
  <c r="M505" s="1"/>
  <c r="L505" i="30"/>
  <c r="M505" s="1"/>
  <c r="L505" i="29"/>
  <c r="M505" s="1"/>
  <c r="O102" i="11"/>
  <c r="N102" i="31"/>
  <c r="O102" s="1"/>
  <c r="N102" i="30"/>
  <c r="O102" s="1"/>
  <c r="N102" i="29"/>
  <c r="O102" s="1"/>
  <c r="O695" i="11"/>
  <c r="N695" i="31"/>
  <c r="O695" s="1"/>
  <c r="N695" i="30"/>
  <c r="O695" s="1"/>
  <c r="N695" i="29"/>
  <c r="O695" s="1"/>
  <c r="M1505" i="11"/>
  <c r="L1505" i="31"/>
  <c r="M1505" s="1"/>
  <c r="L1505" i="30"/>
  <c r="M1505" s="1"/>
  <c r="L1505" i="29"/>
  <c r="M1505" s="1"/>
  <c r="O1150" i="11"/>
  <c r="N1150" i="31"/>
  <c r="O1150" s="1"/>
  <c r="N1150" i="30"/>
  <c r="O1150" s="1"/>
  <c r="N1150" i="29"/>
  <c r="O1150" s="1"/>
  <c r="O1581" i="11"/>
  <c r="N1581" i="31"/>
  <c r="O1581" s="1"/>
  <c r="N1581" i="30"/>
  <c r="O1581" s="1"/>
  <c r="N1581" i="29"/>
  <c r="O1581" s="1"/>
  <c r="M109" i="11"/>
  <c r="L109" i="31"/>
  <c r="M109" s="1"/>
  <c r="L109" i="30"/>
  <c r="M109" s="1"/>
  <c r="L109" i="29"/>
  <c r="M109" s="1"/>
  <c r="M787" i="11"/>
  <c r="L787" i="31"/>
  <c r="M787" s="1"/>
  <c r="L787" i="30"/>
  <c r="M787" s="1"/>
  <c r="L787" i="29"/>
  <c r="M787" s="1"/>
  <c r="O7" i="11"/>
  <c r="N7" i="31"/>
  <c r="O7" s="1"/>
  <c r="N7" i="30"/>
  <c r="O7" s="1"/>
  <c r="N7" i="29"/>
  <c r="O7" s="1"/>
  <c r="O124" i="11"/>
  <c r="N124" i="31"/>
  <c r="O124" s="1"/>
  <c r="N124" i="30"/>
  <c r="O124" s="1"/>
  <c r="N124" i="29"/>
  <c r="O124" s="1"/>
  <c r="M825" i="11"/>
  <c r="L825" i="31"/>
  <c r="M825" s="1"/>
  <c r="L825" i="30"/>
  <c r="M825" s="1"/>
  <c r="L825" i="29"/>
  <c r="M825" s="1"/>
  <c r="M457" i="11"/>
  <c r="L457" i="31"/>
  <c r="M457" s="1"/>
  <c r="L457" i="30"/>
  <c r="M457" s="1"/>
  <c r="L457" i="29"/>
  <c r="M457" s="1"/>
  <c r="O1505" i="11"/>
  <c r="N1505" i="31"/>
  <c r="O1505" s="1"/>
  <c r="N1505" i="30"/>
  <c r="O1505" s="1"/>
  <c r="N1505" i="29"/>
  <c r="O1505" s="1"/>
  <c r="O1436" i="11"/>
  <c r="N1436" i="31"/>
  <c r="O1436" s="1"/>
  <c r="N1436" i="30"/>
  <c r="O1436" s="1"/>
  <c r="N1436" i="29"/>
  <c r="O1436" s="1"/>
  <c r="M1397" i="11"/>
  <c r="L1397" i="31"/>
  <c r="M1397" s="1"/>
  <c r="L1397" i="30"/>
  <c r="M1397" s="1"/>
  <c r="L1397" i="29"/>
  <c r="M1397" s="1"/>
  <c r="O564" i="11"/>
  <c r="N564" i="31"/>
  <c r="O564" s="1"/>
  <c r="N564" i="30"/>
  <c r="O564" s="1"/>
  <c r="N564" i="29"/>
  <c r="O564" s="1"/>
  <c r="M278" i="11"/>
  <c r="L278" i="31"/>
  <c r="M278" s="1"/>
  <c r="L278" i="30"/>
  <c r="M278" s="1"/>
  <c r="L278" i="29"/>
  <c r="M278" s="1"/>
  <c r="O787" i="11"/>
  <c r="N787" i="31"/>
  <c r="O787" s="1"/>
  <c r="N787" i="30"/>
  <c r="O787" s="1"/>
  <c r="N787" i="29"/>
  <c r="O787" s="1"/>
  <c r="O331" i="11"/>
  <c r="N331" i="31"/>
  <c r="O331" s="1"/>
  <c r="N331" i="29"/>
  <c r="O331" s="1"/>
  <c r="N331" i="30"/>
  <c r="O331" s="1"/>
  <c r="O1515" i="11"/>
  <c r="N1515" i="31"/>
  <c r="O1515" s="1"/>
  <c r="N1515" i="30"/>
  <c r="O1515" s="1"/>
  <c r="N1515" i="29"/>
  <c r="O1515" s="1"/>
  <c r="O434" i="11"/>
  <c r="N434" i="31"/>
  <c r="O434" s="1"/>
  <c r="N434" i="30"/>
  <c r="O434" s="1"/>
  <c r="N434" i="29"/>
  <c r="O434" s="1"/>
  <c r="O1098" i="11"/>
  <c r="N1098" i="31"/>
  <c r="O1098" s="1"/>
  <c r="N1098" i="30"/>
  <c r="O1098" s="1"/>
  <c r="N1098" i="29"/>
  <c r="O1098" s="1"/>
  <c r="M564" i="11"/>
  <c r="L564" i="31"/>
  <c r="M564" s="1"/>
  <c r="L564" i="30"/>
  <c r="M564" s="1"/>
  <c r="L564" i="29"/>
  <c r="M564" s="1"/>
  <c r="O1622" i="11"/>
  <c r="N1622" i="31"/>
  <c r="O1622" s="1"/>
  <c r="N1622" i="30"/>
  <c r="O1622" s="1"/>
  <c r="N1622" i="29"/>
  <c r="O1622" s="1"/>
  <c r="M1525" i="11"/>
  <c r="L1525" i="31"/>
  <c r="M1525" s="1"/>
  <c r="L1525" i="30"/>
  <c r="M1525" s="1"/>
  <c r="L1525" i="29"/>
  <c r="M1525" s="1"/>
  <c r="O1041" i="11"/>
  <c r="N1041" i="31"/>
  <c r="O1041" s="1"/>
  <c r="N1041" i="29"/>
  <c r="O1041" s="1"/>
  <c r="N1041" i="30"/>
  <c r="O1041" s="1"/>
  <c r="M582" i="11"/>
  <c r="L582" i="31"/>
  <c r="M582" s="1"/>
  <c r="L582" i="30"/>
  <c r="M582" s="1"/>
  <c r="L582" i="29"/>
  <c r="M582" s="1"/>
  <c r="O370" i="11"/>
  <c r="N370" i="31"/>
  <c r="O370" s="1"/>
  <c r="N370" i="30"/>
  <c r="O370" s="1"/>
  <c r="N370" i="29"/>
  <c r="O370" s="1"/>
  <c r="O1375" i="11"/>
  <c r="N1375" i="31"/>
  <c r="O1375" s="1"/>
  <c r="N1375" i="30"/>
  <c r="O1375" s="1"/>
  <c r="N1375" i="29"/>
  <c r="O1375" s="1"/>
  <c r="O249" i="11"/>
  <c r="N249" i="31"/>
  <c r="O249" s="1"/>
  <c r="N249" i="30"/>
  <c r="O249" s="1"/>
  <c r="N249" i="29"/>
  <c r="O249" s="1"/>
  <c r="M416" i="11"/>
  <c r="L416" i="31"/>
  <c r="M416" s="1"/>
  <c r="L416" i="30"/>
  <c r="M416" s="1"/>
  <c r="L416" i="29"/>
  <c r="M416" s="1"/>
  <c r="M1622" i="11"/>
  <c r="L1622" i="31"/>
  <c r="M1622" s="1"/>
  <c r="L1622" i="30"/>
  <c r="M1622" s="1"/>
  <c r="L1622" i="29"/>
  <c r="M1622" s="1"/>
  <c r="O1338" i="11"/>
  <c r="N1338" i="31"/>
  <c r="O1338" s="1"/>
  <c r="N1338" i="30"/>
  <c r="O1338" s="1"/>
  <c r="N1338" i="29"/>
  <c r="O1338" s="1"/>
  <c r="O1027" i="11"/>
  <c r="N1027" i="31"/>
  <c r="O1027" s="1"/>
  <c r="N1027" i="30"/>
  <c r="O1027" s="1"/>
  <c r="N1027" i="29"/>
  <c r="O1027" s="1"/>
  <c r="M102" i="11"/>
  <c r="L102" i="31"/>
  <c r="M102" s="1"/>
  <c r="L102" i="30"/>
  <c r="M102" s="1"/>
  <c r="L102" i="29"/>
  <c r="M102" s="1"/>
  <c r="M249" i="11"/>
  <c r="L249" i="31"/>
  <c r="M249" s="1"/>
  <c r="L249" i="29"/>
  <c r="M249" s="1"/>
  <c r="L249" i="30"/>
  <c r="M249" s="1"/>
  <c r="M158" i="11"/>
  <c r="L158" i="31"/>
  <c r="M158" s="1"/>
  <c r="L158" i="29"/>
  <c r="M158" s="1"/>
  <c r="L158" i="30"/>
  <c r="M158" s="1"/>
  <c r="M647" i="11"/>
  <c r="L647" i="31"/>
  <c r="M647" s="1"/>
  <c r="L647" i="30"/>
  <c r="M647" s="1"/>
  <c r="L647" i="29"/>
  <c r="M647" s="1"/>
  <c r="I1586" i="11"/>
  <c r="H1586"/>
  <c r="I213"/>
  <c r="H263"/>
  <c r="M264"/>
  <c r="I263"/>
  <c r="O264"/>
  <c r="I1157"/>
  <c r="O1158"/>
  <c r="H369"/>
  <c r="H6"/>
  <c r="I732"/>
  <c r="I391"/>
  <c r="I1349"/>
  <c r="I1149"/>
  <c r="H391"/>
  <c r="I970"/>
  <c r="H732"/>
  <c r="I1020"/>
  <c r="I1554"/>
  <c r="I1524"/>
  <c r="H108"/>
  <c r="I369"/>
  <c r="H277"/>
  <c r="I1124"/>
  <c r="H1600"/>
  <c r="I1240"/>
  <c r="I1218"/>
  <c r="I960"/>
  <c r="H363"/>
  <c r="I1443"/>
  <c r="I1615"/>
  <c r="I1171"/>
  <c r="I1210"/>
  <c r="I547"/>
  <c r="H423"/>
  <c r="H213"/>
  <c r="H383"/>
  <c r="I1318"/>
  <c r="I1366"/>
  <c r="I240"/>
  <c r="I694"/>
  <c r="I1254"/>
  <c r="I609"/>
  <c r="I1069"/>
  <c r="H1443"/>
  <c r="I1580"/>
  <c r="I1504"/>
  <c r="I1374"/>
  <c r="H694"/>
  <c r="I1687"/>
  <c r="I1337"/>
  <c r="H1504"/>
  <c r="I1390"/>
  <c r="H1687"/>
  <c r="I1293"/>
  <c r="H248"/>
  <c r="I6"/>
  <c r="H646"/>
  <c r="H1390"/>
  <c r="H563"/>
  <c r="I363"/>
  <c r="I563"/>
  <c r="G777"/>
  <c r="H1553"/>
  <c r="H1615"/>
  <c r="H547"/>
  <c r="I1135"/>
  <c r="I1040"/>
  <c r="H609"/>
  <c r="I383"/>
  <c r="I324"/>
  <c r="I1304"/>
  <c r="H240"/>
  <c r="I1600"/>
  <c r="I415"/>
  <c r="H324"/>
  <c r="I248"/>
  <c r="H1580"/>
  <c r="I646"/>
  <c r="I423"/>
  <c r="H415"/>
  <c r="G1293"/>
  <c r="I108"/>
  <c r="I277"/>
  <c r="H1524"/>
  <c r="I433"/>
  <c r="H433"/>
  <c r="I824"/>
  <c r="H824"/>
  <c r="H471"/>
  <c r="I471"/>
  <c r="M1687" l="1"/>
  <c r="L1687" i="31"/>
  <c r="M1687" s="1"/>
  <c r="L1687" i="30"/>
  <c r="M1687" s="1"/>
  <c r="L1687" i="29"/>
  <c r="M1687" s="1"/>
  <c r="M1524" i="11"/>
  <c r="L1524" i="31"/>
  <c r="M1524" s="1"/>
  <c r="L1524" i="30"/>
  <c r="M1524" s="1"/>
  <c r="L1524" i="29"/>
  <c r="M1524" s="1"/>
  <c r="O248" i="11"/>
  <c r="N248" i="31"/>
  <c r="O248" s="1"/>
  <c r="N248" i="30"/>
  <c r="O248" s="1"/>
  <c r="N248" i="29"/>
  <c r="O248" s="1"/>
  <c r="M609" i="11"/>
  <c r="L609" i="31"/>
  <c r="M609" s="1"/>
  <c r="L609" i="30"/>
  <c r="M609" s="1"/>
  <c r="L609" i="29"/>
  <c r="M609" s="1"/>
  <c r="O363" i="11"/>
  <c r="N363" i="31"/>
  <c r="O363" s="1"/>
  <c r="N363" i="30"/>
  <c r="O363" s="1"/>
  <c r="N363" i="29"/>
  <c r="O363" s="1"/>
  <c r="O1390" i="11"/>
  <c r="N1390" i="31"/>
  <c r="O1390" s="1"/>
  <c r="N1390" i="30"/>
  <c r="O1390" s="1"/>
  <c r="N1390" i="29"/>
  <c r="O1390" s="1"/>
  <c r="M1443" i="11"/>
  <c r="L1443" i="31"/>
  <c r="M1443" s="1"/>
  <c r="L1443" i="30"/>
  <c r="M1443" s="1"/>
  <c r="L1443" i="29"/>
  <c r="M1443" s="1"/>
  <c r="M383" i="11"/>
  <c r="L383" i="31"/>
  <c r="M383" s="1"/>
  <c r="L383" i="30"/>
  <c r="M383" s="1"/>
  <c r="L383" i="29"/>
  <c r="M383" s="1"/>
  <c r="M363" i="11"/>
  <c r="L363" i="31"/>
  <c r="M363" s="1"/>
  <c r="L363" i="30"/>
  <c r="M363" s="1"/>
  <c r="L363" i="29"/>
  <c r="M363" s="1"/>
  <c r="L108" i="31"/>
  <c r="M108" s="1"/>
  <c r="L108" i="30"/>
  <c r="M108" s="1"/>
  <c r="L108" i="29"/>
  <c r="M108" s="1"/>
  <c r="O1349" i="11"/>
  <c r="N1349" i="31"/>
  <c r="O1349" s="1"/>
  <c r="N1349" i="30"/>
  <c r="O1349" s="1"/>
  <c r="N1349" i="29"/>
  <c r="O1349" s="1"/>
  <c r="O263" i="11"/>
  <c r="N263" i="31"/>
  <c r="O263" s="1"/>
  <c r="N263" i="30"/>
  <c r="O263" s="1"/>
  <c r="N263" i="29"/>
  <c r="O263" s="1"/>
  <c r="O277" i="11"/>
  <c r="N277" i="31"/>
  <c r="O277" s="1"/>
  <c r="N277" i="30"/>
  <c r="O277" s="1"/>
  <c r="N277" i="29"/>
  <c r="O277" s="1"/>
  <c r="M324" i="11"/>
  <c r="L324" i="31"/>
  <c r="M324" s="1"/>
  <c r="L324" i="30"/>
  <c r="M324" s="1"/>
  <c r="L324" i="29"/>
  <c r="M324" s="1"/>
  <c r="O1040" i="11"/>
  <c r="N1040" i="31"/>
  <c r="O1040" s="1"/>
  <c r="N1040" i="30"/>
  <c r="O1040" s="1"/>
  <c r="N1040" i="29"/>
  <c r="O1040" s="1"/>
  <c r="L563" i="31"/>
  <c r="M563" s="1"/>
  <c r="L563" i="30"/>
  <c r="M563" s="1"/>
  <c r="M1504" i="11"/>
  <c r="L1504" i="31"/>
  <c r="M1504" s="1"/>
  <c r="L1504" i="30"/>
  <c r="M1504" s="1"/>
  <c r="L1504" i="29"/>
  <c r="M1504" s="1"/>
  <c r="O1069" i="11"/>
  <c r="N1069" i="31"/>
  <c r="O1069" s="1"/>
  <c r="N1069" i="30"/>
  <c r="O1069" s="1"/>
  <c r="N1069" i="29"/>
  <c r="O1069" s="1"/>
  <c r="M213" i="11"/>
  <c r="L213" i="31"/>
  <c r="M213" s="1"/>
  <c r="L213" i="29"/>
  <c r="M213" s="1"/>
  <c r="L213" i="30"/>
  <c r="M213" s="1"/>
  <c r="O960" i="11"/>
  <c r="N960" i="31"/>
  <c r="O960" s="1"/>
  <c r="N960" i="30"/>
  <c r="O960" s="1"/>
  <c r="N960" i="29"/>
  <c r="O960" s="1"/>
  <c r="O1524" i="11"/>
  <c r="N1524" i="31"/>
  <c r="O1524" s="1"/>
  <c r="N1524" i="30"/>
  <c r="O1524" s="1"/>
  <c r="N1524" i="29"/>
  <c r="O1524" s="1"/>
  <c r="O391" i="11"/>
  <c r="N391" i="31"/>
  <c r="O391" s="1"/>
  <c r="N391" i="29"/>
  <c r="O391" s="1"/>
  <c r="N391" i="30"/>
  <c r="O391" s="1"/>
  <c r="O383" i="11"/>
  <c r="N383" i="31"/>
  <c r="O383" s="1"/>
  <c r="N383" i="29"/>
  <c r="O383" s="1"/>
  <c r="N383" i="30"/>
  <c r="O383" s="1"/>
  <c r="O1318" i="11"/>
  <c r="N1318" i="31"/>
  <c r="O1318" s="1"/>
  <c r="N1318" i="30"/>
  <c r="O1318" s="1"/>
  <c r="N1318" i="29"/>
  <c r="O1318" s="1"/>
  <c r="O1149" i="11"/>
  <c r="N1149" i="31"/>
  <c r="O1149" s="1"/>
  <c r="N1149" i="30"/>
  <c r="O1149" s="1"/>
  <c r="N1149" i="29"/>
  <c r="O1149" s="1"/>
  <c r="N108" i="31"/>
  <c r="O108" s="1"/>
  <c r="N108" i="30"/>
  <c r="O108" s="1"/>
  <c r="N108" i="29"/>
  <c r="O108" s="1"/>
  <c r="M1390" i="11"/>
  <c r="L1390" i="31"/>
  <c r="M1390" s="1"/>
  <c r="L1390" i="30"/>
  <c r="M1390" s="1"/>
  <c r="L1390" i="29"/>
  <c r="M1390" s="1"/>
  <c r="M423" i="11"/>
  <c r="L423" i="31"/>
  <c r="M423" s="1"/>
  <c r="L423" i="30"/>
  <c r="M423" s="1"/>
  <c r="L423" i="29"/>
  <c r="M423" s="1"/>
  <c r="N732" i="31"/>
  <c r="O732" s="1"/>
  <c r="N732" i="30"/>
  <c r="O732" s="1"/>
  <c r="N732" i="29"/>
  <c r="O732" s="1"/>
  <c r="M471" i="11"/>
  <c r="L471" i="31"/>
  <c r="M471" s="1"/>
  <c r="L471" i="30"/>
  <c r="M471" s="1"/>
  <c r="L471" i="29"/>
  <c r="M471" s="1"/>
  <c r="M646" i="11"/>
  <c r="L646" i="31"/>
  <c r="M646" s="1"/>
  <c r="L646" i="30"/>
  <c r="M646" s="1"/>
  <c r="L646" i="29"/>
  <c r="M646" s="1"/>
  <c r="O547" i="11"/>
  <c r="N547" i="31"/>
  <c r="O547" s="1"/>
  <c r="N547" i="30"/>
  <c r="O547" s="1"/>
  <c r="N547" i="29"/>
  <c r="O547" s="1"/>
  <c r="L6" i="31"/>
  <c r="M6" s="1"/>
  <c r="L6" i="30"/>
  <c r="M6" s="1"/>
  <c r="L6" i="29"/>
  <c r="M6" s="1"/>
  <c r="N6" i="31"/>
  <c r="O6" s="1"/>
  <c r="N6" i="30"/>
  <c r="O6" s="1"/>
  <c r="N6" i="29"/>
  <c r="O6" s="1"/>
  <c r="O1210" i="11"/>
  <c r="N1210" i="31"/>
  <c r="O1210" s="1"/>
  <c r="N1210" i="30"/>
  <c r="O1210" s="1"/>
  <c r="N1210" i="29"/>
  <c r="O1210" s="1"/>
  <c r="M732" i="11"/>
  <c r="L732" i="31"/>
  <c r="M732" s="1"/>
  <c r="L732" i="30"/>
  <c r="M732" s="1"/>
  <c r="L732" i="29"/>
  <c r="M732" s="1"/>
  <c r="M1586" i="11"/>
  <c r="L1586" i="31"/>
  <c r="M1586" s="1"/>
  <c r="L1586" i="30"/>
  <c r="M1586" s="1"/>
  <c r="L1586" i="29"/>
  <c r="M1586" s="1"/>
  <c r="M1580" i="11"/>
  <c r="L1580" i="31"/>
  <c r="M1580" s="1"/>
  <c r="L1580" i="30"/>
  <c r="M1580" s="1"/>
  <c r="L1580" i="29"/>
  <c r="M1580" s="1"/>
  <c r="O1443" i="11"/>
  <c r="N1443" i="31"/>
  <c r="O1443" s="1"/>
  <c r="N1443" i="30"/>
  <c r="O1443" s="1"/>
  <c r="N1443" i="29"/>
  <c r="O1443" s="1"/>
  <c r="O471" i="11"/>
  <c r="N471" i="31"/>
  <c r="O471" s="1"/>
  <c r="N471" i="30"/>
  <c r="O471" s="1"/>
  <c r="N471" i="29"/>
  <c r="O471" s="1"/>
  <c r="O1135" i="11"/>
  <c r="N1135" i="31"/>
  <c r="O1135" s="1"/>
  <c r="N1135" i="30"/>
  <c r="O1135" s="1"/>
  <c r="N1135" i="29"/>
  <c r="O1135" s="1"/>
  <c r="O609" i="11"/>
  <c r="N609" i="31"/>
  <c r="O609" s="1"/>
  <c r="N609" i="30"/>
  <c r="O609" s="1"/>
  <c r="N609" i="29"/>
  <c r="O609" s="1"/>
  <c r="N1554" i="31"/>
  <c r="O1554" s="1"/>
  <c r="N1554" i="30"/>
  <c r="O1554" s="1"/>
  <c r="N1554" i="29"/>
  <c r="O1554" s="1"/>
  <c r="M263" i="11"/>
  <c r="L263" i="31"/>
  <c r="M263" s="1"/>
  <c r="L263" i="30"/>
  <c r="M263" s="1"/>
  <c r="L263" i="29"/>
  <c r="M263" s="1"/>
  <c r="K1293" i="11"/>
  <c r="J1293" i="31"/>
  <c r="K1293" s="1"/>
  <c r="J1293" i="30"/>
  <c r="K1293" s="1"/>
  <c r="J1293" i="29"/>
  <c r="K1293" s="1"/>
  <c r="M547" i="11"/>
  <c r="L547" i="31"/>
  <c r="M547" s="1"/>
  <c r="L547" i="30"/>
  <c r="M547" s="1"/>
  <c r="L547" i="29"/>
  <c r="M547" s="1"/>
  <c r="O1254" i="11"/>
  <c r="N1254" i="31"/>
  <c r="O1254" s="1"/>
  <c r="N1254" i="30"/>
  <c r="O1254" s="1"/>
  <c r="N1254" i="29"/>
  <c r="O1254" s="1"/>
  <c r="O1240" i="11"/>
  <c r="N1240" i="31"/>
  <c r="O1240" s="1"/>
  <c r="N1240" i="30"/>
  <c r="O1240" s="1"/>
  <c r="N1240" i="29"/>
  <c r="O1240" s="1"/>
  <c r="O213" i="11"/>
  <c r="N213" i="31"/>
  <c r="O213" s="1"/>
  <c r="N213" i="30"/>
  <c r="O213" s="1"/>
  <c r="N213" i="29"/>
  <c r="O213" s="1"/>
  <c r="M824" i="11"/>
  <c r="L824" i="31"/>
  <c r="M824" s="1"/>
  <c r="L824" i="30"/>
  <c r="M824" s="1"/>
  <c r="L824" i="29"/>
  <c r="M824" s="1"/>
  <c r="L415" i="31"/>
  <c r="M415" s="1"/>
  <c r="L415" i="30"/>
  <c r="M415" s="1"/>
  <c r="L415" i="29"/>
  <c r="M415" s="1"/>
  <c r="M240" i="11"/>
  <c r="L240" i="31"/>
  <c r="M240" s="1"/>
  <c r="L240" i="30"/>
  <c r="M240" s="1"/>
  <c r="L240" i="29"/>
  <c r="M240" s="1"/>
  <c r="M1615" i="11"/>
  <c r="L1615" i="31"/>
  <c r="M1615" s="1"/>
  <c r="L1615" i="30"/>
  <c r="M1615" s="1"/>
  <c r="L1615" i="29"/>
  <c r="M1615" s="1"/>
  <c r="M694" i="11"/>
  <c r="L694" i="31"/>
  <c r="M694" s="1"/>
  <c r="L694" i="30"/>
  <c r="M694" s="1"/>
  <c r="L694" i="29"/>
  <c r="M694" s="1"/>
  <c r="O694" i="11"/>
  <c r="N694" i="31"/>
  <c r="O694" s="1"/>
  <c r="N694" i="30"/>
  <c r="O694" s="1"/>
  <c r="N694" i="29"/>
  <c r="O694" s="1"/>
  <c r="M1600" i="11"/>
  <c r="L1600" i="31"/>
  <c r="M1600" s="1"/>
  <c r="L1600" i="30"/>
  <c r="M1600" s="1"/>
  <c r="L1600" i="29"/>
  <c r="M1600" s="1"/>
  <c r="M369" i="11"/>
  <c r="L369" i="31"/>
  <c r="M369" s="1"/>
  <c r="L369" i="30"/>
  <c r="M369" s="1"/>
  <c r="L369" i="29"/>
  <c r="M369" s="1"/>
  <c r="O824" i="11"/>
  <c r="N824" i="31"/>
  <c r="O824" s="1"/>
  <c r="N824" i="30"/>
  <c r="O824" s="1"/>
  <c r="N824" i="29"/>
  <c r="O824" s="1"/>
  <c r="O423" i="11"/>
  <c r="N423" i="31"/>
  <c r="O423" s="1"/>
  <c r="N423" i="29"/>
  <c r="O423" s="1"/>
  <c r="N423" i="30"/>
  <c r="O423" s="1"/>
  <c r="O1304" i="11"/>
  <c r="N1304" i="31"/>
  <c r="O1304" s="1"/>
  <c r="N1304" i="30"/>
  <c r="O1304" s="1"/>
  <c r="N1304" i="29"/>
  <c r="O1304" s="1"/>
  <c r="M1553" i="11"/>
  <c r="L1553" i="31"/>
  <c r="M1553" s="1"/>
  <c r="L1553" i="30"/>
  <c r="M1553" s="1"/>
  <c r="L1553" i="29"/>
  <c r="M1553" s="1"/>
  <c r="M248" i="11"/>
  <c r="L248" i="31"/>
  <c r="M248" s="1"/>
  <c r="L248" i="30"/>
  <c r="M248" s="1"/>
  <c r="L248" i="29"/>
  <c r="M248" s="1"/>
  <c r="O1374" i="11"/>
  <c r="N1374" i="31"/>
  <c r="O1374" s="1"/>
  <c r="N1374" i="30"/>
  <c r="O1374" s="1"/>
  <c r="N1374" i="29"/>
  <c r="O1374" s="1"/>
  <c r="O240" i="11"/>
  <c r="N240" i="31"/>
  <c r="O240" s="1"/>
  <c r="N240" i="30"/>
  <c r="O240" s="1"/>
  <c r="N240" i="29"/>
  <c r="O240" s="1"/>
  <c r="O1171" i="11"/>
  <c r="N1171" i="31"/>
  <c r="O1171" s="1"/>
  <c r="N1171" i="30"/>
  <c r="O1171" s="1"/>
  <c r="N1171" i="29"/>
  <c r="O1171" s="1"/>
  <c r="O1124" i="11"/>
  <c r="N1124" i="31"/>
  <c r="O1124" s="1"/>
  <c r="N1124" i="30"/>
  <c r="O1124" s="1"/>
  <c r="N1124" i="29"/>
  <c r="O1124" s="1"/>
  <c r="O970" i="11"/>
  <c r="N970" i="31"/>
  <c r="O970" s="1"/>
  <c r="N970" i="30"/>
  <c r="O970" s="1"/>
  <c r="N970" i="29"/>
  <c r="O970" s="1"/>
  <c r="O1586" i="11"/>
  <c r="N1586" i="31"/>
  <c r="O1586" s="1"/>
  <c r="N1586" i="30"/>
  <c r="O1586" s="1"/>
  <c r="N1586" i="29"/>
  <c r="O1586" s="1"/>
  <c r="O433" i="11"/>
  <c r="N433" i="31"/>
  <c r="O433" s="1"/>
  <c r="N433" i="29"/>
  <c r="O433" s="1"/>
  <c r="N433" i="30"/>
  <c r="O433" s="1"/>
  <c r="N563" i="31"/>
  <c r="O563" s="1"/>
  <c r="N563" i="30"/>
  <c r="O563" s="1"/>
  <c r="O1580" i="11"/>
  <c r="N1580" i="31"/>
  <c r="O1580" s="1"/>
  <c r="N1580" i="29"/>
  <c r="O1580" s="1"/>
  <c r="N1580" i="30"/>
  <c r="O1580" s="1"/>
  <c r="O369" i="11"/>
  <c r="N369" i="31"/>
  <c r="O369" s="1"/>
  <c r="N369" i="30"/>
  <c r="O369" s="1"/>
  <c r="N369" i="29"/>
  <c r="O369" s="1"/>
  <c r="N415" i="31"/>
  <c r="O415" s="1"/>
  <c r="N415" i="30"/>
  <c r="O415" s="1"/>
  <c r="N415" i="29"/>
  <c r="O415" s="1"/>
  <c r="O1337" i="11"/>
  <c r="N1337" i="31"/>
  <c r="O1337" s="1"/>
  <c r="N1337" i="30"/>
  <c r="O1337" s="1"/>
  <c r="N1337" i="29"/>
  <c r="O1337" s="1"/>
  <c r="O1218" i="11"/>
  <c r="N1218" i="31"/>
  <c r="O1218" s="1"/>
  <c r="N1218" i="30"/>
  <c r="O1218" s="1"/>
  <c r="N1218" i="29"/>
  <c r="O1218" s="1"/>
  <c r="O1600" i="11"/>
  <c r="N1600" i="31"/>
  <c r="O1600" s="1"/>
  <c r="N1600" i="30"/>
  <c r="O1600" s="1"/>
  <c r="N1600" i="29"/>
  <c r="O1600" s="1"/>
  <c r="O1687" i="11"/>
  <c r="N1687" i="31"/>
  <c r="O1687" s="1"/>
  <c r="N1687" i="30"/>
  <c r="O1687" s="1"/>
  <c r="N1687" i="29"/>
  <c r="O1687" s="1"/>
  <c r="O1020" i="11"/>
  <c r="N1020" i="31"/>
  <c r="O1020" s="1"/>
  <c r="N1020" i="30"/>
  <c r="O1020" s="1"/>
  <c r="N1020" i="29"/>
  <c r="O1020" s="1"/>
  <c r="M433" i="11"/>
  <c r="L433" i="31"/>
  <c r="M433" s="1"/>
  <c r="L433" i="30"/>
  <c r="M433" s="1"/>
  <c r="L433" i="29"/>
  <c r="M433" s="1"/>
  <c r="O646" i="11"/>
  <c r="N646" i="31"/>
  <c r="O646" s="1"/>
  <c r="N646" i="30"/>
  <c r="O646" s="1"/>
  <c r="N646" i="29"/>
  <c r="O646" s="1"/>
  <c r="O324" i="11"/>
  <c r="N324" i="31"/>
  <c r="O324" s="1"/>
  <c r="N324" i="30"/>
  <c r="O324" s="1"/>
  <c r="N324" i="29"/>
  <c r="O324" s="1"/>
  <c r="K777" i="11"/>
  <c r="J777" i="31"/>
  <c r="K777" s="1"/>
  <c r="J777" i="30"/>
  <c r="K777" s="1"/>
  <c r="J777" i="29"/>
  <c r="K777" s="1"/>
  <c r="O1293" i="11"/>
  <c r="N1293" i="31"/>
  <c r="O1293" s="1"/>
  <c r="N1293" i="30"/>
  <c r="O1293" s="1"/>
  <c r="N1293" i="29"/>
  <c r="O1293" s="1"/>
  <c r="O1504" i="11"/>
  <c r="N1504" i="31"/>
  <c r="O1504" s="1"/>
  <c r="N1504" i="30"/>
  <c r="O1504" s="1"/>
  <c r="N1504" i="29"/>
  <c r="O1504" s="1"/>
  <c r="O1366" i="11"/>
  <c r="N1366" i="31"/>
  <c r="O1366" s="1"/>
  <c r="N1366" i="30"/>
  <c r="O1366" s="1"/>
  <c r="N1366" i="29"/>
  <c r="O1366" s="1"/>
  <c r="O1615" i="11"/>
  <c r="N1615" i="31"/>
  <c r="O1615" s="1"/>
  <c r="N1615" i="30"/>
  <c r="O1615" s="1"/>
  <c r="N1615" i="29"/>
  <c r="O1615" s="1"/>
  <c r="L277" i="31"/>
  <c r="M277" s="1"/>
  <c r="L277" i="30"/>
  <c r="M277" s="1"/>
  <c r="L277" i="29"/>
  <c r="M277" s="1"/>
  <c r="M391" i="11"/>
  <c r="L391" i="31"/>
  <c r="M391" s="1"/>
  <c r="L391" i="30"/>
  <c r="M391" s="1"/>
  <c r="L391" i="29"/>
  <c r="M391" s="1"/>
  <c r="O1157" i="11"/>
  <c r="N1157" i="31"/>
  <c r="O1157" s="1"/>
  <c r="N1157" i="30"/>
  <c r="O1157" s="1"/>
  <c r="N1157" i="29"/>
  <c r="O1157" s="1"/>
  <c r="O563" i="11"/>
  <c r="N563" i="29"/>
  <c r="O563" s="1"/>
  <c r="M563" i="11"/>
  <c r="L563" i="29"/>
  <c r="M563" s="1"/>
  <c r="I212" i="11"/>
  <c r="I63"/>
  <c r="O108"/>
  <c r="I731"/>
  <c r="O732"/>
  <c r="I414"/>
  <c r="O415"/>
  <c r="H276"/>
  <c r="M277"/>
  <c r="I1553"/>
  <c r="O1554"/>
  <c r="H414"/>
  <c r="M415"/>
  <c r="I5"/>
  <c r="O6"/>
  <c r="H63"/>
  <c r="M108"/>
  <c r="H5"/>
  <c r="M6"/>
  <c r="I1183"/>
  <c r="H345"/>
  <c r="I345"/>
  <c r="I1523"/>
  <c r="H731"/>
  <c r="I1019"/>
  <c r="H255"/>
  <c r="I255"/>
  <c r="I1599"/>
  <c r="H645"/>
  <c r="H212"/>
  <c r="I1170"/>
  <c r="I1231"/>
  <c r="H823"/>
  <c r="I276"/>
  <c r="I645"/>
  <c r="I247"/>
  <c r="H239"/>
  <c r="I382"/>
  <c r="I1134"/>
  <c r="I1336"/>
  <c r="I1579"/>
  <c r="I608"/>
  <c r="I239"/>
  <c r="I1266"/>
  <c r="I1428"/>
  <c r="I323"/>
  <c r="H247"/>
  <c r="H1686"/>
  <c r="I1503"/>
  <c r="I1317"/>
  <c r="I1217"/>
  <c r="I1097"/>
  <c r="H323"/>
  <c r="H1614"/>
  <c r="H1523"/>
  <c r="I422"/>
  <c r="H1579"/>
  <c r="I1303"/>
  <c r="H608"/>
  <c r="I1039"/>
  <c r="H1365"/>
  <c r="H1503"/>
  <c r="I1686"/>
  <c r="H1428"/>
  <c r="I1253"/>
  <c r="I1365"/>
  <c r="H382"/>
  <c r="H422"/>
  <c r="I1614"/>
  <c r="H1599"/>
  <c r="I1148"/>
  <c r="I823"/>
  <c r="H432"/>
  <c r="I432"/>
  <c r="O1614" l="1"/>
  <c r="N1614" i="31"/>
  <c r="O1614" s="1"/>
  <c r="N1614" i="30"/>
  <c r="O1614" s="1"/>
  <c r="N1614" i="29"/>
  <c r="O1614" s="1"/>
  <c r="M645" i="11"/>
  <c r="L645" i="31"/>
  <c r="M645" s="1"/>
  <c r="L645" i="29"/>
  <c r="M645" s="1"/>
  <c r="L645" i="30"/>
  <c r="M645" s="1"/>
  <c r="M422" i="11"/>
  <c r="L422" i="31"/>
  <c r="M422" s="1"/>
  <c r="L422" i="30"/>
  <c r="M422" s="1"/>
  <c r="L422" i="29"/>
  <c r="M422" s="1"/>
  <c r="O1039" i="11"/>
  <c r="N1039" i="31"/>
  <c r="O1039" s="1"/>
  <c r="N1039" i="30"/>
  <c r="O1039" s="1"/>
  <c r="N1039" i="29"/>
  <c r="O1039" s="1"/>
  <c r="O1097" i="11"/>
  <c r="N1097" i="31"/>
  <c r="O1097" s="1"/>
  <c r="N1097" i="30"/>
  <c r="O1097" s="1"/>
  <c r="N1097" i="29"/>
  <c r="O1097" s="1"/>
  <c r="O1266" i="11"/>
  <c r="N1266" i="31"/>
  <c r="O1266" s="1"/>
  <c r="N1266" i="30"/>
  <c r="O1266" s="1"/>
  <c r="N1266" i="29"/>
  <c r="O1266" s="1"/>
  <c r="O247" i="11"/>
  <c r="N247" i="31"/>
  <c r="O247" s="1"/>
  <c r="N247" i="29"/>
  <c r="O247" s="1"/>
  <c r="N247" i="30"/>
  <c r="O247" s="1"/>
  <c r="O1599" i="11"/>
  <c r="N1599" i="31"/>
  <c r="O1599" s="1"/>
  <c r="N1599" i="30"/>
  <c r="O1599" s="1"/>
  <c r="N1599" i="29"/>
  <c r="O1599" s="1"/>
  <c r="O1183" i="11"/>
  <c r="N1183" i="31"/>
  <c r="O1183" s="1"/>
  <c r="N1183" i="30"/>
  <c r="O1183" s="1"/>
  <c r="N1183" i="29"/>
  <c r="O1183" s="1"/>
  <c r="M414" i="11"/>
  <c r="L414" i="31"/>
  <c r="M414" s="1"/>
  <c r="L414" i="30"/>
  <c r="M414" s="1"/>
  <c r="L414" i="29"/>
  <c r="M414" s="1"/>
  <c r="O731" i="11"/>
  <c r="N731" i="31"/>
  <c r="O731" s="1"/>
  <c r="N731" i="30"/>
  <c r="O731" s="1"/>
  <c r="N731" i="29"/>
  <c r="O731" s="1"/>
  <c r="M382" i="11"/>
  <c r="L382" i="31"/>
  <c r="M382" s="1"/>
  <c r="L382" i="30"/>
  <c r="M382" s="1"/>
  <c r="L382" i="29"/>
  <c r="M382" s="1"/>
  <c r="M608" i="11"/>
  <c r="L608" i="31"/>
  <c r="M608" s="1"/>
  <c r="L608" i="30"/>
  <c r="M608" s="1"/>
  <c r="L608" i="29"/>
  <c r="M608" s="1"/>
  <c r="O1217" i="11"/>
  <c r="N1217" i="31"/>
  <c r="O1217" s="1"/>
  <c r="N1217" i="30"/>
  <c r="O1217" s="1"/>
  <c r="N1217" i="29"/>
  <c r="O1217" s="1"/>
  <c r="O239" i="11"/>
  <c r="N239" i="31"/>
  <c r="O239" s="1"/>
  <c r="N239" i="30"/>
  <c r="O239" s="1"/>
  <c r="N239" i="29"/>
  <c r="O239" s="1"/>
  <c r="O645" i="11"/>
  <c r="N645" i="31"/>
  <c r="O645" s="1"/>
  <c r="N645" i="29"/>
  <c r="O645" s="1"/>
  <c r="N645" i="30"/>
  <c r="O645" s="1"/>
  <c r="O255" i="11"/>
  <c r="N255" i="31"/>
  <c r="O255" s="1"/>
  <c r="N255" i="30"/>
  <c r="O255" s="1"/>
  <c r="N255" i="29"/>
  <c r="O255" s="1"/>
  <c r="M323" i="11"/>
  <c r="L323" i="31"/>
  <c r="M323" s="1"/>
  <c r="L323" i="30"/>
  <c r="M323" s="1"/>
  <c r="L323" i="29"/>
  <c r="M323" s="1"/>
  <c r="M345" i="11"/>
  <c r="L345" i="31"/>
  <c r="M345" s="1"/>
  <c r="L345" i="30"/>
  <c r="M345" s="1"/>
  <c r="L345" i="29"/>
  <c r="M345" s="1"/>
  <c r="O1365" i="11"/>
  <c r="N1365" i="31"/>
  <c r="O1365" s="1"/>
  <c r="N1365" i="30"/>
  <c r="O1365" s="1"/>
  <c r="N1365" i="29"/>
  <c r="O1365" s="1"/>
  <c r="O608" i="11"/>
  <c r="N608" i="31"/>
  <c r="O608" s="1"/>
  <c r="N608" i="29"/>
  <c r="O608" s="1"/>
  <c r="N608" i="30"/>
  <c r="O608" s="1"/>
  <c r="M5" i="11"/>
  <c r="L5" i="31"/>
  <c r="L5" i="29"/>
  <c r="M5" s="1"/>
  <c r="L5" i="30"/>
  <c r="M1579" i="11"/>
  <c r="L1579" i="31"/>
  <c r="M1579" s="1"/>
  <c r="L1579" i="30"/>
  <c r="M1579" s="1"/>
  <c r="L1579" i="29"/>
  <c r="M1579" s="1"/>
  <c r="M823" i="11"/>
  <c r="L823" i="31"/>
  <c r="M823" s="1"/>
  <c r="L823" i="30"/>
  <c r="M823" s="1"/>
  <c r="L823" i="29"/>
  <c r="M823" s="1"/>
  <c r="O212" i="11"/>
  <c r="N212" i="31"/>
  <c r="O212" s="1"/>
  <c r="N212" i="30"/>
  <c r="O212" s="1"/>
  <c r="N212" i="29"/>
  <c r="O212" s="1"/>
  <c r="M1428" i="11"/>
  <c r="L1428" i="31"/>
  <c r="M1428" s="1"/>
  <c r="L1428" i="30"/>
  <c r="M1428" s="1"/>
  <c r="L1428" i="29"/>
  <c r="M1428" s="1"/>
  <c r="O422" i="11"/>
  <c r="N422" i="31"/>
  <c r="O422" s="1"/>
  <c r="N422" i="30"/>
  <c r="O422" s="1"/>
  <c r="N422" i="29"/>
  <c r="O422" s="1"/>
  <c r="M1686" i="11"/>
  <c r="L1686" i="31"/>
  <c r="M1686" s="1"/>
  <c r="L1686" i="30"/>
  <c r="M1686" s="1"/>
  <c r="L1686" i="29"/>
  <c r="M1686" s="1"/>
  <c r="O1336" i="11"/>
  <c r="N1336" i="31"/>
  <c r="O1336" s="1"/>
  <c r="N1336" i="30"/>
  <c r="O1336" s="1"/>
  <c r="N1336" i="29"/>
  <c r="O1336" s="1"/>
  <c r="O1231" i="11"/>
  <c r="N1231" i="31"/>
  <c r="O1231" s="1"/>
  <c r="N1231" i="30"/>
  <c r="O1231" s="1"/>
  <c r="N1231" i="29"/>
  <c r="O1231" s="1"/>
  <c r="M731" i="11"/>
  <c r="L731" i="31"/>
  <c r="M731" s="1"/>
  <c r="L731" i="30"/>
  <c r="M731" s="1"/>
  <c r="L731" i="29"/>
  <c r="M731" s="1"/>
  <c r="M63" i="11"/>
  <c r="L63" i="31"/>
  <c r="M63" s="1"/>
  <c r="L63" i="30"/>
  <c r="M63" s="1"/>
  <c r="L63" i="29"/>
  <c r="M63" s="1"/>
  <c r="M276" i="11"/>
  <c r="L276" i="31"/>
  <c r="M276" s="1"/>
  <c r="L276" i="30"/>
  <c r="M276" s="1"/>
  <c r="L276" i="29"/>
  <c r="M276" s="1"/>
  <c r="M1365" i="11"/>
  <c r="L1365" i="31"/>
  <c r="M1365" s="1"/>
  <c r="L1365" i="30"/>
  <c r="M1365" s="1"/>
  <c r="L1365" i="29"/>
  <c r="M1365" s="1"/>
  <c r="M239" i="11"/>
  <c r="L239" i="31"/>
  <c r="M239" s="1"/>
  <c r="L239" i="30"/>
  <c r="M239" s="1"/>
  <c r="L239" i="29"/>
  <c r="M239" s="1"/>
  <c r="N432" i="31"/>
  <c r="O432" s="1"/>
  <c r="N432" i="30"/>
  <c r="O432" s="1"/>
  <c r="O1303" i="11"/>
  <c r="N1303" i="31"/>
  <c r="O1303" s="1"/>
  <c r="N1303" i="30"/>
  <c r="O1303" s="1"/>
  <c r="N1303" i="29"/>
  <c r="O1303" s="1"/>
  <c r="O276" i="11"/>
  <c r="N276" i="31"/>
  <c r="O276" s="1"/>
  <c r="N276" i="30"/>
  <c r="O276" s="1"/>
  <c r="N276" i="29"/>
  <c r="O276" s="1"/>
  <c r="O1553" i="11"/>
  <c r="N1553" i="31"/>
  <c r="O1553" s="1"/>
  <c r="N1553" i="30"/>
  <c r="O1553" s="1"/>
  <c r="N1553" i="29"/>
  <c r="O1553" s="1"/>
  <c r="L432" i="31"/>
  <c r="M432" s="1"/>
  <c r="L432" i="30"/>
  <c r="M432" s="1"/>
  <c r="O1503" i="11"/>
  <c r="N1503" i="31"/>
  <c r="O1503" s="1"/>
  <c r="N1503" i="30"/>
  <c r="O1503" s="1"/>
  <c r="N1503" i="29"/>
  <c r="O1503" s="1"/>
  <c r="O1019" i="11"/>
  <c r="N1019" i="31"/>
  <c r="O1019" s="1"/>
  <c r="N1019" i="30"/>
  <c r="O1019" s="1"/>
  <c r="N1019" i="29"/>
  <c r="O1019" s="1"/>
  <c r="O1148" i="11"/>
  <c r="N1148" i="31"/>
  <c r="O1148" s="1"/>
  <c r="N1148" i="30"/>
  <c r="O1148" s="1"/>
  <c r="N1148" i="29"/>
  <c r="O1148" s="1"/>
  <c r="O1686" i="11"/>
  <c r="N1686" i="31"/>
  <c r="O1686" s="1"/>
  <c r="N1686" i="30"/>
  <c r="O1686" s="1"/>
  <c r="N1686" i="29"/>
  <c r="O1686" s="1"/>
  <c r="M1523" i="11"/>
  <c r="L1523" i="31"/>
  <c r="M1523" s="1"/>
  <c r="L1523" i="30"/>
  <c r="M1523" s="1"/>
  <c r="L1523" i="29"/>
  <c r="M1523" s="1"/>
  <c r="M247" i="11"/>
  <c r="L247" i="31"/>
  <c r="M247" s="1"/>
  <c r="L247" i="30"/>
  <c r="M247" s="1"/>
  <c r="L247" i="29"/>
  <c r="M247" s="1"/>
  <c r="O1134" i="11"/>
  <c r="N1134" i="31"/>
  <c r="O1134" s="1"/>
  <c r="N1134" i="30"/>
  <c r="O1134" s="1"/>
  <c r="N1134" i="29"/>
  <c r="O1134" s="1"/>
  <c r="O1170" i="11"/>
  <c r="N1170" i="31"/>
  <c r="O1170" s="1"/>
  <c r="N1170" i="30"/>
  <c r="O1170" s="1"/>
  <c r="N1170" i="29"/>
  <c r="O1170" s="1"/>
  <c r="O1523" i="11"/>
  <c r="N1523" i="31"/>
  <c r="O1523" s="1"/>
  <c r="N1523" i="30"/>
  <c r="O1523" s="1"/>
  <c r="N1523" i="29"/>
  <c r="O1523" s="1"/>
  <c r="O1428" i="11"/>
  <c r="N1428" i="31"/>
  <c r="O1428" s="1"/>
  <c r="N1428" i="30"/>
  <c r="O1428" s="1"/>
  <c r="N1428" i="29"/>
  <c r="O1428" s="1"/>
  <c r="O1317" i="11"/>
  <c r="N1317" i="31"/>
  <c r="O1317" s="1"/>
  <c r="N1317" i="30"/>
  <c r="O1317" s="1"/>
  <c r="N1317" i="29"/>
  <c r="O1317" s="1"/>
  <c r="M255" i="11"/>
  <c r="L255" i="31"/>
  <c r="M255" s="1"/>
  <c r="L255" i="30"/>
  <c r="M255" s="1"/>
  <c r="L255" i="29"/>
  <c r="M255" s="1"/>
  <c r="O63" i="11"/>
  <c r="N63" i="31"/>
  <c r="O63" s="1"/>
  <c r="N63" i="30"/>
  <c r="O63" s="1"/>
  <c r="N63" i="29"/>
  <c r="O63" s="1"/>
  <c r="O1253" i="11"/>
  <c r="N1253" i="31"/>
  <c r="O1253" s="1"/>
  <c r="N1253" i="30"/>
  <c r="O1253" s="1"/>
  <c r="N1253" i="29"/>
  <c r="O1253" s="1"/>
  <c r="O1579" i="11"/>
  <c r="N1579" i="31"/>
  <c r="O1579" s="1"/>
  <c r="N1579" i="30"/>
  <c r="O1579" s="1"/>
  <c r="N1579" i="29"/>
  <c r="O1579" s="1"/>
  <c r="O823" i="11"/>
  <c r="N823" i="31"/>
  <c r="O823" s="1"/>
  <c r="N823" i="30"/>
  <c r="O823" s="1"/>
  <c r="N823" i="29"/>
  <c r="O823" s="1"/>
  <c r="M1599" i="11"/>
  <c r="L1599" i="31"/>
  <c r="M1599" s="1"/>
  <c r="L1599" i="30"/>
  <c r="M1599" s="1"/>
  <c r="L1599" i="29"/>
  <c r="M1599" s="1"/>
  <c r="M1503" i="11"/>
  <c r="L1503" i="31"/>
  <c r="M1503" s="1"/>
  <c r="L1503" i="30"/>
  <c r="M1503" s="1"/>
  <c r="L1503" i="29"/>
  <c r="M1503" s="1"/>
  <c r="M1614" i="11"/>
  <c r="L1614" i="31"/>
  <c r="M1614" s="1"/>
  <c r="L1614" i="30"/>
  <c r="M1614" s="1"/>
  <c r="L1614" i="29"/>
  <c r="M1614" s="1"/>
  <c r="O323" i="11"/>
  <c r="N323" i="31"/>
  <c r="O323" s="1"/>
  <c r="N323" i="30"/>
  <c r="O323" s="1"/>
  <c r="N323" i="29"/>
  <c r="O323" s="1"/>
  <c r="O382" i="11"/>
  <c r="N382" i="31"/>
  <c r="O382" s="1"/>
  <c r="N382" i="30"/>
  <c r="O382" s="1"/>
  <c r="N382" i="29"/>
  <c r="O382" s="1"/>
  <c r="M212" i="11"/>
  <c r="L212" i="31"/>
  <c r="M212" s="1"/>
  <c r="L212" i="30"/>
  <c r="M212" s="1"/>
  <c r="L212" i="29"/>
  <c r="M212" s="1"/>
  <c r="O345" i="11"/>
  <c r="N345" i="31"/>
  <c r="O345" s="1"/>
  <c r="N345" i="29"/>
  <c r="O345" s="1"/>
  <c r="N345" i="30"/>
  <c r="O345" s="1"/>
  <c r="O5" i="11"/>
  <c r="N5" i="31"/>
  <c r="N5" i="30"/>
  <c r="N5" i="29"/>
  <c r="O5" s="1"/>
  <c r="O414" i="11"/>
  <c r="N414" i="31"/>
  <c r="O414" s="1"/>
  <c r="N414" i="29"/>
  <c r="O414" s="1"/>
  <c r="N414" i="30"/>
  <c r="O414" s="1"/>
  <c r="O432" i="11"/>
  <c r="N432" i="29"/>
  <c r="O432" s="1"/>
  <c r="M432" i="11"/>
  <c r="L432" i="29"/>
  <c r="M432" s="1"/>
  <c r="H632" i="11"/>
  <c r="H275"/>
  <c r="I344"/>
  <c r="H62"/>
  <c r="I1348"/>
  <c r="I1265"/>
  <c r="H814"/>
  <c r="I1613"/>
  <c r="H1348"/>
  <c r="H390"/>
  <c r="I390"/>
  <c r="H1613"/>
  <c r="I275"/>
  <c r="H344"/>
  <c r="H1578"/>
  <c r="I1096"/>
  <c r="I1578"/>
  <c r="I632"/>
  <c r="I1182"/>
  <c r="I1018"/>
  <c r="I62"/>
  <c r="I431"/>
  <c r="H431"/>
  <c r="I814"/>
  <c r="G1344"/>
  <c r="M1613" l="1"/>
  <c r="L1613" i="31"/>
  <c r="M1613" s="1"/>
  <c r="L1613" i="30"/>
  <c r="M1613" s="1"/>
  <c r="L1613" i="29"/>
  <c r="M1613" s="1"/>
  <c r="O344" i="11"/>
  <c r="N344" i="31"/>
  <c r="O344" s="1"/>
  <c r="N344" i="30"/>
  <c r="O344" s="1"/>
  <c r="N344" i="29"/>
  <c r="O344" s="1"/>
  <c r="O632" i="11"/>
  <c r="N632" i="31"/>
  <c r="O632" s="1"/>
  <c r="N632" i="30"/>
  <c r="O632" s="1"/>
  <c r="N632" i="29"/>
  <c r="O632" s="1"/>
  <c r="M390" i="11"/>
  <c r="L390" i="31"/>
  <c r="M390" s="1"/>
  <c r="L390" i="30"/>
  <c r="M390" s="1"/>
  <c r="L390" i="29"/>
  <c r="M390" s="1"/>
  <c r="M275" i="11"/>
  <c r="L275" i="31"/>
  <c r="M275" s="1"/>
  <c r="L275" i="30"/>
  <c r="M275" s="1"/>
  <c r="L275" i="29"/>
  <c r="M275" s="1"/>
  <c r="M5" i="31"/>
  <c r="O1018" i="11"/>
  <c r="N1018" i="31"/>
  <c r="O1018" s="1"/>
  <c r="N1018" i="30"/>
  <c r="O1018" s="1"/>
  <c r="N1018" i="29"/>
  <c r="O1018" s="1"/>
  <c r="M1348" i="11"/>
  <c r="L1348" i="31"/>
  <c r="M1348" s="1"/>
  <c r="L1348" i="30"/>
  <c r="M1348" s="1"/>
  <c r="L1348" i="29"/>
  <c r="M1348" s="1"/>
  <c r="O814" i="11"/>
  <c r="N814" i="31"/>
  <c r="O814" s="1"/>
  <c r="N814" i="30"/>
  <c r="O814" s="1"/>
  <c r="N814" i="29"/>
  <c r="O814" s="1"/>
  <c r="M814" i="11"/>
  <c r="L814" i="31"/>
  <c r="M814" s="1"/>
  <c r="L814" i="30"/>
  <c r="M814" s="1"/>
  <c r="L814" i="29"/>
  <c r="M814" s="1"/>
  <c r="O5" i="30"/>
  <c r="O390" i="11"/>
  <c r="N390" i="31"/>
  <c r="O390" s="1"/>
  <c r="N390" i="30"/>
  <c r="O390" s="1"/>
  <c r="N390" i="29"/>
  <c r="O390" s="1"/>
  <c r="K1344" i="11"/>
  <c r="J1344" i="31"/>
  <c r="K1344" s="1"/>
  <c r="J1344" i="30"/>
  <c r="K1344" s="1"/>
  <c r="J1344" i="29"/>
  <c r="K1344" s="1"/>
  <c r="O1578" i="11"/>
  <c r="N1578" i="31"/>
  <c r="O1578" s="1"/>
  <c r="N1578" i="30"/>
  <c r="O1578" s="1"/>
  <c r="N1578" i="29"/>
  <c r="O1578" s="1"/>
  <c r="O1096" i="11"/>
  <c r="N1096" i="31"/>
  <c r="O1096" s="1"/>
  <c r="N1096" i="30"/>
  <c r="O1096" s="1"/>
  <c r="N1096" i="29"/>
  <c r="O1096" s="1"/>
  <c r="O1613" i="11"/>
  <c r="N1613" i="31"/>
  <c r="O1613" s="1"/>
  <c r="N1613" i="30"/>
  <c r="O1613" s="1"/>
  <c r="N1613" i="29"/>
  <c r="O1613" s="1"/>
  <c r="O1265" i="11"/>
  <c r="N1265" i="31"/>
  <c r="O1265" s="1"/>
  <c r="N1265" i="29"/>
  <c r="O1265" s="1"/>
  <c r="N1265" i="30"/>
  <c r="O1265" s="1"/>
  <c r="O5" i="31"/>
  <c r="M62" i="11"/>
  <c r="L62" i="31"/>
  <c r="M62" s="1"/>
  <c r="L62" i="29"/>
  <c r="M62" s="1"/>
  <c r="L62" i="30"/>
  <c r="M62" s="1"/>
  <c r="M5"/>
  <c r="O1182" i="11"/>
  <c r="N1182" i="31"/>
  <c r="O1182" s="1"/>
  <c r="N1182" i="30"/>
  <c r="O1182" s="1"/>
  <c r="N1182" i="29"/>
  <c r="O1182" s="1"/>
  <c r="M632" i="11"/>
  <c r="L632" i="31"/>
  <c r="M632" s="1"/>
  <c r="L632" i="30"/>
  <c r="M632" s="1"/>
  <c r="L632" i="29"/>
  <c r="M632" s="1"/>
  <c r="L431" i="31"/>
  <c r="M431" s="1"/>
  <c r="L431" i="30"/>
  <c r="M431" s="1"/>
  <c r="M1578" i="11"/>
  <c r="L1578" i="31"/>
  <c r="M1578" s="1"/>
  <c r="L1578" i="30"/>
  <c r="M1578" s="1"/>
  <c r="L1578" i="29"/>
  <c r="M1578" s="1"/>
  <c r="N431" i="31"/>
  <c r="O431" s="1"/>
  <c r="N431" i="30"/>
  <c r="O431" s="1"/>
  <c r="M344" i="11"/>
  <c r="L344" i="31"/>
  <c r="M344" s="1"/>
  <c r="L344" i="30"/>
  <c r="M344" s="1"/>
  <c r="L344" i="29"/>
  <c r="M344" s="1"/>
  <c r="O62" i="11"/>
  <c r="N62" i="31"/>
  <c r="O62" s="1"/>
  <c r="N62" i="29"/>
  <c r="O62" s="1"/>
  <c r="N62" i="30"/>
  <c r="O62" s="1"/>
  <c r="O275" i="11"/>
  <c r="N275" i="31"/>
  <c r="O275" s="1"/>
  <c r="N275" i="30"/>
  <c r="O275" s="1"/>
  <c r="N275" i="29"/>
  <c r="O275" s="1"/>
  <c r="O1348" i="11"/>
  <c r="N1348" i="31"/>
  <c r="O1348" s="1"/>
  <c r="N1348" i="30"/>
  <c r="O1348" s="1"/>
  <c r="N1348" i="29"/>
  <c r="O1348" s="1"/>
  <c r="M431" i="11"/>
  <c r="L431" i="29"/>
  <c r="O431" i="11"/>
  <c r="N431" i="29"/>
  <c r="I1522" i="11"/>
  <c r="H1522"/>
  <c r="M1522" l="1"/>
  <c r="L1522" i="31"/>
  <c r="L1522" i="30"/>
  <c r="M1522" s="1"/>
  <c r="L1522" i="29"/>
  <c r="M1522" s="1"/>
  <c r="N1522" i="31"/>
  <c r="O1522" s="1"/>
  <c r="N1522" i="30"/>
  <c r="O1522" s="1"/>
  <c r="N1522" i="29"/>
  <c r="O1522" s="1"/>
  <c r="N1706"/>
  <c r="O1706" s="1"/>
  <c r="O431"/>
  <c r="M431"/>
  <c r="L1706"/>
  <c r="M1706" s="1"/>
  <c r="I1706" i="11"/>
  <c r="O1706" s="1"/>
  <c r="O1522"/>
  <c r="H1706"/>
  <c r="G1308"/>
  <c r="G1394"/>
  <c r="M1522" i="31" l="1"/>
  <c r="L1706"/>
  <c r="M1706" s="1"/>
  <c r="K1394" i="11"/>
  <c r="J1394" i="31"/>
  <c r="K1394" s="1"/>
  <c r="J1394" i="30"/>
  <c r="K1394" s="1"/>
  <c r="J1394" i="29"/>
  <c r="K1394" s="1"/>
  <c r="K1308" i="11"/>
  <c r="J1308" i="31"/>
  <c r="K1308" s="1"/>
  <c r="J1308" i="30"/>
  <c r="K1308" s="1"/>
  <c r="J1308" i="29"/>
  <c r="K1308" s="1"/>
  <c r="N1706" i="31"/>
  <c r="O1706" s="1"/>
  <c r="N1706" i="30"/>
  <c r="O1706" s="1"/>
  <c r="L1706"/>
  <c r="M1706" s="1"/>
  <c r="I1710" i="11"/>
  <c r="H1710"/>
  <c r="M1706"/>
  <c r="G1393"/>
  <c r="K1393" l="1"/>
  <c r="J1393" i="31"/>
  <c r="K1393" s="1"/>
  <c r="J1393" i="30"/>
  <c r="K1393" s="1"/>
  <c r="J1393" i="29"/>
  <c r="K1393" s="1"/>
  <c r="G1392" i="11"/>
  <c r="K1392" l="1"/>
  <c r="J1392" i="31"/>
  <c r="K1392" s="1"/>
  <c r="J1392" i="30"/>
  <c r="K1392" s="1"/>
  <c r="J1392" i="29"/>
  <c r="K1392" s="1"/>
  <c r="G1391" i="11"/>
  <c r="K1391" l="1"/>
  <c r="J1391" i="31"/>
  <c r="K1391" s="1"/>
  <c r="J1391" i="30"/>
  <c r="K1391" s="1"/>
  <c r="J1391" i="29"/>
  <c r="K1391" s="1"/>
  <c r="G670" i="11"/>
  <c r="K670" l="1"/>
  <c r="J670" i="31"/>
  <c r="K670" s="1"/>
  <c r="J670" i="30"/>
  <c r="K670" s="1"/>
  <c r="J670" i="29"/>
  <c r="K670" s="1"/>
  <c r="G1518" i="11"/>
  <c r="K1518" l="1"/>
  <c r="J1518" i="31"/>
  <c r="K1518" s="1"/>
  <c r="J1518" i="30"/>
  <c r="K1518" s="1"/>
  <c r="J1518" i="29"/>
  <c r="K1518" s="1"/>
  <c r="G1517" i="11"/>
  <c r="K1517" l="1"/>
  <c r="J1517" i="31"/>
  <c r="K1517" s="1"/>
  <c r="J1517" i="30"/>
  <c r="K1517" s="1"/>
  <c r="J1517" i="29"/>
  <c r="K1517" s="1"/>
  <c r="G667" i="11"/>
  <c r="G1322"/>
  <c r="G1314"/>
  <c r="K1322" l="1"/>
  <c r="J1322" i="31"/>
  <c r="K1322" s="1"/>
  <c r="J1322" i="30"/>
  <c r="K1322" s="1"/>
  <c r="J1322" i="29"/>
  <c r="K1322" s="1"/>
  <c r="K1314" i="11"/>
  <c r="J1314" i="31"/>
  <c r="K1314" s="1"/>
  <c r="J1314" i="30"/>
  <c r="K1314" s="1"/>
  <c r="J1314" i="29"/>
  <c r="K1314" s="1"/>
  <c r="K667" i="11"/>
  <c r="J667" i="31"/>
  <c r="K667" s="1"/>
  <c r="J667" i="30"/>
  <c r="K667" s="1"/>
  <c r="J667" i="29"/>
  <c r="K667" s="1"/>
  <c r="G1307" i="11"/>
  <c r="G1321"/>
  <c r="G666"/>
  <c r="K666" l="1"/>
  <c r="J666" i="31"/>
  <c r="K666" s="1"/>
  <c r="J666" i="30"/>
  <c r="K666" s="1"/>
  <c r="J666" i="29"/>
  <c r="K666" s="1"/>
  <c r="K1307" i="11"/>
  <c r="J1307" i="31"/>
  <c r="K1307" s="1"/>
  <c r="J1307" i="30"/>
  <c r="K1307" s="1"/>
  <c r="J1307" i="29"/>
  <c r="K1307" s="1"/>
  <c r="K1321" i="11"/>
  <c r="J1321" i="31"/>
  <c r="K1321" s="1"/>
  <c r="J1321" i="30"/>
  <c r="K1321" s="1"/>
  <c r="J1321" i="29"/>
  <c r="K1321" s="1"/>
  <c r="G1320" i="11"/>
  <c r="K1320" l="1"/>
  <c r="J1320" i="31"/>
  <c r="K1320" s="1"/>
  <c r="J1320" i="30"/>
  <c r="K1320" s="1"/>
  <c r="J1320" i="29"/>
  <c r="K1320" s="1"/>
  <c r="G1319" i="11"/>
  <c r="K1319" l="1"/>
  <c r="J1319" i="31"/>
  <c r="K1319" s="1"/>
  <c r="J1319" i="30"/>
  <c r="K1319" s="1"/>
  <c r="J1319" i="29"/>
  <c r="K1319" s="1"/>
  <c r="G1318" i="11"/>
  <c r="K1318" l="1"/>
  <c r="J1318" i="31"/>
  <c r="K1318" s="1"/>
  <c r="J1318" i="30"/>
  <c r="K1318" s="1"/>
  <c r="J1318" i="29"/>
  <c r="K1318" s="1"/>
  <c r="G373" i="11"/>
  <c r="K373" l="1"/>
  <c r="J373" i="31"/>
  <c r="K373" s="1"/>
  <c r="J373" i="30"/>
  <c r="K373" s="1"/>
  <c r="J373" i="29"/>
  <c r="K373" s="1"/>
  <c r="G1485" i="11"/>
  <c r="G372"/>
  <c r="K372" l="1"/>
  <c r="J372" i="31"/>
  <c r="K372" s="1"/>
  <c r="J372" i="30"/>
  <c r="K372" s="1"/>
  <c r="J372" i="29"/>
  <c r="K372" s="1"/>
  <c r="K1485" i="11"/>
  <c r="J1485" i="31"/>
  <c r="K1485" s="1"/>
  <c r="J1485" i="30"/>
  <c r="K1485" s="1"/>
  <c r="J1485" i="29"/>
  <c r="K1485" s="1"/>
  <c r="G1484" i="11"/>
  <c r="K1484" l="1"/>
  <c r="J1484" i="31"/>
  <c r="K1484" s="1"/>
  <c r="J1484" i="30"/>
  <c r="K1484" s="1"/>
  <c r="J1484" i="29"/>
  <c r="K1484" s="1"/>
  <c r="G1483" i="11"/>
  <c r="K1483" l="1"/>
  <c r="J1483" i="31"/>
  <c r="K1483" s="1"/>
  <c r="J1483" i="30"/>
  <c r="K1483" s="1"/>
  <c r="J1483" i="29"/>
  <c r="K1483" s="1"/>
  <c r="G1482" i="11"/>
  <c r="G1214"/>
  <c r="K1482" l="1"/>
  <c r="J1482" i="31"/>
  <c r="K1482" s="1"/>
  <c r="J1482" i="30"/>
  <c r="K1482" s="1"/>
  <c r="J1482" i="29"/>
  <c r="K1482" s="1"/>
  <c r="K1214" i="11"/>
  <c r="J1214" i="31"/>
  <c r="K1214" s="1"/>
  <c r="J1214" i="30"/>
  <c r="K1214" s="1"/>
  <c r="J1214" i="29"/>
  <c r="K1214" s="1"/>
  <c r="G704" i="11"/>
  <c r="G896"/>
  <c r="K896" l="1"/>
  <c r="J896" i="31"/>
  <c r="K896" s="1"/>
  <c r="J896" i="30"/>
  <c r="K896" s="1"/>
  <c r="J896" i="29"/>
  <c r="K896" s="1"/>
  <c r="K704" i="11"/>
  <c r="J704" i="31"/>
  <c r="K704" s="1"/>
  <c r="J704" i="30"/>
  <c r="K704" s="1"/>
  <c r="J704" i="29"/>
  <c r="K704" s="1"/>
  <c r="G703" i="11"/>
  <c r="G454"/>
  <c r="K454" l="1"/>
  <c r="J454" i="31"/>
  <c r="K454" s="1"/>
  <c r="J454" i="30"/>
  <c r="K454" s="1"/>
  <c r="J454" i="29"/>
  <c r="K454" s="1"/>
  <c r="K703" i="11"/>
  <c r="J703" i="31"/>
  <c r="K703" s="1"/>
  <c r="J703" i="30"/>
  <c r="K703" s="1"/>
  <c r="J703" i="29"/>
  <c r="K703" s="1"/>
  <c r="K78" i="11"/>
  <c r="G724" l="1"/>
  <c r="G720"/>
  <c r="G716"/>
  <c r="K720" l="1"/>
  <c r="J720" i="31"/>
  <c r="K720" s="1"/>
  <c r="J720" i="30"/>
  <c r="K720" s="1"/>
  <c r="J720" i="29"/>
  <c r="K720" s="1"/>
  <c r="K716" i="11"/>
  <c r="J716" i="31"/>
  <c r="K716" s="1"/>
  <c r="J716" i="30"/>
  <c r="K716" s="1"/>
  <c r="J716" i="29"/>
  <c r="K716" s="1"/>
  <c r="K724" i="11"/>
  <c r="J724" i="31"/>
  <c r="K724" s="1"/>
  <c r="J724" i="30"/>
  <c r="K724" s="1"/>
  <c r="J724" i="29"/>
  <c r="K724" s="1"/>
  <c r="G719" i="11"/>
  <c r="G715"/>
  <c r="G723"/>
  <c r="K719" l="1"/>
  <c r="J719" i="31"/>
  <c r="K719" s="1"/>
  <c r="J719" i="30"/>
  <c r="K719" s="1"/>
  <c r="J719" i="29"/>
  <c r="K719" s="1"/>
  <c r="K723" i="11"/>
  <c r="J723" i="31"/>
  <c r="K723" s="1"/>
  <c r="J723" i="30"/>
  <c r="K723" s="1"/>
  <c r="J723" i="29"/>
  <c r="K723" s="1"/>
  <c r="K715" i="11"/>
  <c r="J715" i="31"/>
  <c r="K715" s="1"/>
  <c r="J715" i="30"/>
  <c r="K715" s="1"/>
  <c r="J715" i="29"/>
  <c r="K715" s="1"/>
  <c r="G1415" i="11"/>
  <c r="G1418"/>
  <c r="K1415" l="1"/>
  <c r="J1415" i="31"/>
  <c r="K1415" s="1"/>
  <c r="J1415" i="30"/>
  <c r="K1415" s="1"/>
  <c r="J1415" i="29"/>
  <c r="K1415" s="1"/>
  <c r="K1418" i="11"/>
  <c r="J1418" i="31"/>
  <c r="K1418" s="1"/>
  <c r="J1418" i="30"/>
  <c r="K1418" s="1"/>
  <c r="J1418" i="29"/>
  <c r="K1418" s="1"/>
  <c r="G841" i="11"/>
  <c r="K841" l="1"/>
  <c r="J841" i="31"/>
  <c r="K841" s="1"/>
  <c r="J841" i="30"/>
  <c r="K841" s="1"/>
  <c r="J841" i="29"/>
  <c r="K841" s="1"/>
  <c r="G1330" i="11"/>
  <c r="G1055"/>
  <c r="K1330" l="1"/>
  <c r="J1330" i="31"/>
  <c r="K1330" s="1"/>
  <c r="J1330" i="30"/>
  <c r="K1330" s="1"/>
  <c r="J1330" i="29"/>
  <c r="K1330" s="1"/>
  <c r="K1055" i="11"/>
  <c r="J1055" i="31"/>
  <c r="K1055" s="1"/>
  <c r="J1055" i="30"/>
  <c r="K1055" s="1"/>
  <c r="J1055" i="29"/>
  <c r="K1055" s="1"/>
  <c r="G1054" i="11"/>
  <c r="K1054" l="1"/>
  <c r="J1054" i="31"/>
  <c r="K1054" s="1"/>
  <c r="J1054" i="30"/>
  <c r="K1054" s="1"/>
  <c r="J1054" i="29"/>
  <c r="K1054" s="1"/>
  <c r="G743" i="11"/>
  <c r="K743" l="1"/>
  <c r="J743" i="31"/>
  <c r="K743" s="1"/>
  <c r="J743" i="30"/>
  <c r="K743" s="1"/>
  <c r="J743" i="29"/>
  <c r="K743" s="1"/>
  <c r="G252" i="11"/>
  <c r="G299"/>
  <c r="K299" l="1"/>
  <c r="J299" i="31"/>
  <c r="K299" s="1"/>
  <c r="J299" i="30"/>
  <c r="K299" s="1"/>
  <c r="J299" i="29"/>
  <c r="K299" s="1"/>
  <c r="K252" i="11"/>
  <c r="J252" i="31"/>
  <c r="K252" s="1"/>
  <c r="J252" i="30"/>
  <c r="K252" s="1"/>
  <c r="J252" i="29"/>
  <c r="K252" s="1"/>
  <c r="G298" i="11"/>
  <c r="K298" l="1"/>
  <c r="J298" i="31"/>
  <c r="K298" s="1"/>
  <c r="J298" i="30"/>
  <c r="K298" s="1"/>
  <c r="J298" i="29"/>
  <c r="K298" s="1"/>
  <c r="G297" i="11"/>
  <c r="K297" l="1"/>
  <c r="J297" i="31"/>
  <c r="K297" s="1"/>
  <c r="J297" i="30"/>
  <c r="K297" s="1"/>
  <c r="J297" i="29"/>
  <c r="K297" s="1"/>
  <c r="G296" i="11"/>
  <c r="K296" l="1"/>
  <c r="J296" i="31"/>
  <c r="K296" s="1"/>
  <c r="J296" i="30"/>
  <c r="K296" s="1"/>
  <c r="J296" i="29"/>
  <c r="K296" s="1"/>
  <c r="G340" i="11"/>
  <c r="K340" l="1"/>
  <c r="J340" i="31"/>
  <c r="K340" s="1"/>
  <c r="J340" i="29"/>
  <c r="K340" s="1"/>
  <c r="J340" i="30"/>
  <c r="K340" s="1"/>
  <c r="G339" i="11"/>
  <c r="K339" l="1"/>
  <c r="J339" i="31"/>
  <c r="K339" s="1"/>
  <c r="J339" i="30"/>
  <c r="K339" s="1"/>
  <c r="J339" i="29"/>
  <c r="K339" s="1"/>
  <c r="G338" i="11"/>
  <c r="K338" l="1"/>
  <c r="J338" i="31"/>
  <c r="K338" s="1"/>
  <c r="J338" i="30"/>
  <c r="K338" s="1"/>
  <c r="J338" i="29"/>
  <c r="K338" s="1"/>
  <c r="G337" i="11"/>
  <c r="K337" l="1"/>
  <c r="J337" i="31"/>
  <c r="K337" s="1"/>
  <c r="J337" i="30"/>
  <c r="K337" s="1"/>
  <c r="J337" i="29"/>
  <c r="K337" s="1"/>
  <c r="K281" i="11"/>
  <c r="G579" l="1"/>
  <c r="K579" l="1"/>
  <c r="J579" i="31"/>
  <c r="K579" s="1"/>
  <c r="J579" i="30"/>
  <c r="K579" s="1"/>
  <c r="J579" i="29"/>
  <c r="K579" s="1"/>
  <c r="G578" i="11"/>
  <c r="K578" l="1"/>
  <c r="J578" i="31"/>
  <c r="K578" s="1"/>
  <c r="J578" i="30"/>
  <c r="K578" s="1"/>
  <c r="J578" i="29"/>
  <c r="K578" s="1"/>
  <c r="G486" i="11"/>
  <c r="G443"/>
  <c r="G244"/>
  <c r="G1472"/>
  <c r="G1457"/>
  <c r="G1453"/>
  <c r="G1425"/>
  <c r="G1412"/>
  <c r="K1406"/>
  <c r="G1403"/>
  <c r="G571"/>
  <c r="K443" l="1"/>
  <c r="J443" i="31"/>
  <c r="K443" s="1"/>
  <c r="J443" i="30"/>
  <c r="K443" s="1"/>
  <c r="J443" i="29"/>
  <c r="K443" s="1"/>
  <c r="K571" i="11"/>
  <c r="J571" i="31"/>
  <c r="K571" s="1"/>
  <c r="J571" i="30"/>
  <c r="K571" s="1"/>
  <c r="J571" i="29"/>
  <c r="K571" s="1"/>
  <c r="K1403" i="11"/>
  <c r="J1403" i="31"/>
  <c r="K1403" s="1"/>
  <c r="J1403" i="30"/>
  <c r="K1403" s="1"/>
  <c r="J1403" i="29"/>
  <c r="K1403" s="1"/>
  <c r="K486" i="11"/>
  <c r="J486" i="31"/>
  <c r="K486" s="1"/>
  <c r="J486" i="30"/>
  <c r="K486" s="1"/>
  <c r="J486" i="29"/>
  <c r="K486" s="1"/>
  <c r="K1412" i="11"/>
  <c r="J1412" i="31"/>
  <c r="K1412" s="1"/>
  <c r="J1412" i="30"/>
  <c r="K1412" s="1"/>
  <c r="J1412" i="29"/>
  <c r="K1412" s="1"/>
  <c r="K1472" i="11"/>
  <c r="J1472" i="31"/>
  <c r="K1472" s="1"/>
  <c r="J1472" i="30"/>
  <c r="K1472" s="1"/>
  <c r="J1472" i="29"/>
  <c r="K1472" s="1"/>
  <c r="K244" i="11"/>
  <c r="J244" i="31"/>
  <c r="K244" s="1"/>
  <c r="J244" i="30"/>
  <c r="K244" s="1"/>
  <c r="J244" i="29"/>
  <c r="K244" s="1"/>
  <c r="K1425" i="11"/>
  <c r="J1425" i="31"/>
  <c r="K1425" s="1"/>
  <c r="J1425" i="30"/>
  <c r="K1425" s="1"/>
  <c r="J1425" i="29"/>
  <c r="K1425" s="1"/>
  <c r="K1453" i="11"/>
  <c r="J1453" i="31"/>
  <c r="K1453" s="1"/>
  <c r="J1453" i="30"/>
  <c r="K1453" s="1"/>
  <c r="J1453" i="29"/>
  <c r="K1453" s="1"/>
  <c r="K1457" i="11"/>
  <c r="J1457" i="31"/>
  <c r="K1457" s="1"/>
  <c r="J1457" i="30"/>
  <c r="K1457" s="1"/>
  <c r="J1457" i="29"/>
  <c r="K1457" s="1"/>
  <c r="G1399" i="11"/>
  <c r="G567"/>
  <c r="G34"/>
  <c r="G570"/>
  <c r="G1452"/>
  <c r="G243"/>
  <c r="G1456"/>
  <c r="G1422"/>
  <c r="K243" l="1"/>
  <c r="J243" i="31"/>
  <c r="K243" s="1"/>
  <c r="J243" i="30"/>
  <c r="K243" s="1"/>
  <c r="J243" i="29"/>
  <c r="K243" s="1"/>
  <c r="K1452" i="11"/>
  <c r="J1452" i="31"/>
  <c r="K1452" s="1"/>
  <c r="J1452" i="30"/>
  <c r="K1452" s="1"/>
  <c r="J1452" i="29"/>
  <c r="K1452" s="1"/>
  <c r="K1456" i="11"/>
  <c r="J1456" i="31"/>
  <c r="K1456" s="1"/>
  <c r="J1456" i="30"/>
  <c r="K1456" s="1"/>
  <c r="J1456" i="29"/>
  <c r="K1456" s="1"/>
  <c r="K570" i="11"/>
  <c r="J570" i="31"/>
  <c r="K570" s="1"/>
  <c r="J570" i="30"/>
  <c r="K570" s="1"/>
  <c r="J570" i="29"/>
  <c r="K570" s="1"/>
  <c r="K34" i="11"/>
  <c r="J34" i="31"/>
  <c r="K34" s="1"/>
  <c r="J34" i="30"/>
  <c r="K34" s="1"/>
  <c r="J34" i="29"/>
  <c r="K34" s="1"/>
  <c r="K1422" i="11"/>
  <c r="J1422" i="31"/>
  <c r="K1422" s="1"/>
  <c r="J1422" i="30"/>
  <c r="K1422" s="1"/>
  <c r="J1422" i="29"/>
  <c r="K1422" s="1"/>
  <c r="K567" i="11"/>
  <c r="J567" i="31"/>
  <c r="K567" s="1"/>
  <c r="J567" i="30"/>
  <c r="K567" s="1"/>
  <c r="J567" i="29"/>
  <c r="K567" s="1"/>
  <c r="K1399" i="11"/>
  <c r="J1399" i="31"/>
  <c r="K1399" s="1"/>
  <c r="J1399" i="30"/>
  <c r="K1399" s="1"/>
  <c r="J1399" i="29"/>
  <c r="K1399" s="1"/>
  <c r="G566" i="11"/>
  <c r="G1446"/>
  <c r="G1421"/>
  <c r="G242"/>
  <c r="K1629"/>
  <c r="G1639"/>
  <c r="G1625"/>
  <c r="K1639" l="1"/>
  <c r="J1639" i="31"/>
  <c r="K1639" s="1"/>
  <c r="J1639" i="30"/>
  <c r="K1639" s="1"/>
  <c r="J1639" i="29"/>
  <c r="K1639" s="1"/>
  <c r="K1625" i="11"/>
  <c r="J1625" i="31"/>
  <c r="K1625" s="1"/>
  <c r="J1625" i="30"/>
  <c r="K1625" s="1"/>
  <c r="J1625" i="29"/>
  <c r="K1625" s="1"/>
  <c r="K242" i="11"/>
  <c r="J242" i="31"/>
  <c r="K242" s="1"/>
  <c r="J242" i="30"/>
  <c r="K242" s="1"/>
  <c r="J242" i="29"/>
  <c r="K242" s="1"/>
  <c r="K1421" i="11"/>
  <c r="J1421" i="31"/>
  <c r="K1421" s="1"/>
  <c r="J1421" i="30"/>
  <c r="K1421" s="1"/>
  <c r="J1421" i="29"/>
  <c r="K1421" s="1"/>
  <c r="K1446" i="11"/>
  <c r="J1446" i="31"/>
  <c r="K1446" s="1"/>
  <c r="J1446" i="30"/>
  <c r="K1446" s="1"/>
  <c r="J1446" i="29"/>
  <c r="K1446" s="1"/>
  <c r="K566" i="11"/>
  <c r="J566" i="31"/>
  <c r="K566" s="1"/>
  <c r="J566" i="30"/>
  <c r="K566" s="1"/>
  <c r="J566" i="29"/>
  <c r="K566" s="1"/>
  <c r="G565" i="11"/>
  <c r="G774"/>
  <c r="G1624"/>
  <c r="G241"/>
  <c r="G1638"/>
  <c r="G1628"/>
  <c r="G1445"/>
  <c r="G766"/>
  <c r="G165"/>
  <c r="K1628" l="1"/>
  <c r="J1628" i="31"/>
  <c r="K1628" s="1"/>
  <c r="J1628" i="30"/>
  <c r="K1628" s="1"/>
  <c r="J1628" i="29"/>
  <c r="K1628" s="1"/>
  <c r="K766" i="11"/>
  <c r="J766" i="31"/>
  <c r="K766" s="1"/>
  <c r="J766" i="30"/>
  <c r="K766" s="1"/>
  <c r="J766" i="29"/>
  <c r="K766" s="1"/>
  <c r="K1638" i="11"/>
  <c r="J1638" i="31"/>
  <c r="K1638" s="1"/>
  <c r="J1638" i="30"/>
  <c r="K1638" s="1"/>
  <c r="J1638" i="29"/>
  <c r="K1638" s="1"/>
  <c r="K1445" i="11"/>
  <c r="J1445" i="31"/>
  <c r="K1445" s="1"/>
  <c r="J1445" i="30"/>
  <c r="K1445" s="1"/>
  <c r="J1445" i="29"/>
  <c r="K1445" s="1"/>
  <c r="K1624" i="11"/>
  <c r="J1624" i="31"/>
  <c r="K1624" s="1"/>
  <c r="J1624" i="30"/>
  <c r="K1624" s="1"/>
  <c r="J1624" i="29"/>
  <c r="K1624" s="1"/>
  <c r="K774" i="11"/>
  <c r="J774" i="31"/>
  <c r="K774" s="1"/>
  <c r="J774" i="30"/>
  <c r="K774" s="1"/>
  <c r="J774" i="29"/>
  <c r="K774" s="1"/>
  <c r="K241" i="11"/>
  <c r="J241" i="31"/>
  <c r="K241" s="1"/>
  <c r="J241" i="30"/>
  <c r="K241" s="1"/>
  <c r="J241" i="29"/>
  <c r="K241" s="1"/>
  <c r="K165" i="11"/>
  <c r="J165" i="31"/>
  <c r="K165" s="1"/>
  <c r="J165" i="30"/>
  <c r="K165" s="1"/>
  <c r="J165" i="29"/>
  <c r="K165" s="1"/>
  <c r="K565" i="11"/>
  <c r="J565" i="31"/>
  <c r="K565" s="1"/>
  <c r="J565" i="30"/>
  <c r="K565" s="1"/>
  <c r="J565" i="29"/>
  <c r="K565" s="1"/>
  <c r="G1623" i="11"/>
  <c r="G773"/>
  <c r="G164"/>
  <c r="G765"/>
  <c r="G240"/>
  <c r="G174"/>
  <c r="K164" l="1"/>
  <c r="J164" i="31"/>
  <c r="K164" s="1"/>
  <c r="J164" i="30"/>
  <c r="K164" s="1"/>
  <c r="J164" i="29"/>
  <c r="K164" s="1"/>
  <c r="K773" i="11"/>
  <c r="J773" i="31"/>
  <c r="K773" s="1"/>
  <c r="J773" i="30"/>
  <c r="K773" s="1"/>
  <c r="J773" i="29"/>
  <c r="K773" s="1"/>
  <c r="K1623" i="11"/>
  <c r="J1623" i="31"/>
  <c r="K1623" s="1"/>
  <c r="J1623" i="29"/>
  <c r="K1623" s="1"/>
  <c r="J1623" i="30"/>
  <c r="K1623" s="1"/>
  <c r="K765" i="11"/>
  <c r="J765" i="31"/>
  <c r="K765" s="1"/>
  <c r="J765" i="30"/>
  <c r="K765" s="1"/>
  <c r="J765" i="29"/>
  <c r="K765" s="1"/>
  <c r="K174" i="11"/>
  <c r="J174" i="31"/>
  <c r="K174" s="1"/>
  <c r="J174" i="30"/>
  <c r="K174" s="1"/>
  <c r="J174" i="29"/>
  <c r="K174" s="1"/>
  <c r="K240" i="11"/>
  <c r="J240" i="31"/>
  <c r="K240" s="1"/>
  <c r="J240" i="30"/>
  <c r="K240" s="1"/>
  <c r="J240" i="29"/>
  <c r="K240" s="1"/>
  <c r="G239" i="11"/>
  <c r="K239" l="1"/>
  <c r="J239" i="31"/>
  <c r="K239" s="1"/>
  <c r="J239" i="29"/>
  <c r="K239" s="1"/>
  <c r="J239" i="30"/>
  <c r="K239" s="1"/>
  <c r="G1279" i="11"/>
  <c r="G1196"/>
  <c r="K1279" l="1"/>
  <c r="J1279" i="31"/>
  <c r="K1279" s="1"/>
  <c r="J1279" i="30"/>
  <c r="K1279" s="1"/>
  <c r="J1279" i="29"/>
  <c r="K1279" s="1"/>
  <c r="K1196" i="11"/>
  <c r="J1196" i="31"/>
  <c r="K1196" s="1"/>
  <c r="J1196" i="30"/>
  <c r="K1196" s="1"/>
  <c r="J1196" i="29"/>
  <c r="K1196" s="1"/>
  <c r="G419" i="11"/>
  <c r="K419" l="1"/>
  <c r="J419" i="31"/>
  <c r="K419" s="1"/>
  <c r="J419" i="30"/>
  <c r="K419" s="1"/>
  <c r="J419" i="29"/>
  <c r="K419" s="1"/>
  <c r="G418" i="11"/>
  <c r="K1672"/>
  <c r="K1533"/>
  <c r="K1490"/>
  <c r="K1270"/>
  <c r="K1187"/>
  <c r="K1101"/>
  <c r="K401"/>
  <c r="K1082"/>
  <c r="K418" l="1"/>
  <c r="J418" i="31"/>
  <c r="K418" s="1"/>
  <c r="J418" i="30"/>
  <c r="K418" s="1"/>
  <c r="J418" i="29"/>
  <c r="K418" s="1"/>
  <c r="G417" i="11"/>
  <c r="G1269"/>
  <c r="K590"/>
  <c r="K1269" l="1"/>
  <c r="J1269" i="31"/>
  <c r="K1269" s="1"/>
  <c r="J1269" i="30"/>
  <c r="K1269" s="1"/>
  <c r="J1269" i="29"/>
  <c r="K1269" s="1"/>
  <c r="K417" i="11"/>
  <c r="J417" i="31"/>
  <c r="K417" s="1"/>
  <c r="J417" i="30"/>
  <c r="K417" s="1"/>
  <c r="J417" i="29"/>
  <c r="K417" s="1"/>
  <c r="G416" i="11"/>
  <c r="G1268"/>
  <c r="K1268" l="1"/>
  <c r="J1268" i="31"/>
  <c r="K1268" s="1"/>
  <c r="J1268" i="30"/>
  <c r="K1268" s="1"/>
  <c r="J1268" i="29"/>
  <c r="K1268" s="1"/>
  <c r="K416" i="11"/>
  <c r="J416" i="31"/>
  <c r="K416" s="1"/>
  <c r="J416" i="30"/>
  <c r="K416" s="1"/>
  <c r="J416" i="29"/>
  <c r="K416" s="1"/>
  <c r="G415" i="11"/>
  <c r="G1590"/>
  <c r="J1590" i="31" l="1"/>
  <c r="K1590" s="1"/>
  <c r="J1590" i="30"/>
  <c r="K1590" s="1"/>
  <c r="J1590" i="29"/>
  <c r="K1590" s="1"/>
  <c r="K415" i="11"/>
  <c r="J415" i="31"/>
  <c r="K415" s="1"/>
  <c r="J415" i="30"/>
  <c r="K415" s="1"/>
  <c r="J415" i="29"/>
  <c r="K415" s="1"/>
  <c r="G1589" i="11"/>
  <c r="K1590"/>
  <c r="G414"/>
  <c r="K683"/>
  <c r="K657"/>
  <c r="K414" l="1"/>
  <c r="J414" i="31"/>
  <c r="K414" s="1"/>
  <c r="J414" i="30"/>
  <c r="K414" s="1"/>
  <c r="J414" i="29"/>
  <c r="K414" s="1"/>
  <c r="K1589" i="11"/>
  <c r="J1589" i="31"/>
  <c r="K1589" s="1"/>
  <c r="J1589" i="30"/>
  <c r="K1589" s="1"/>
  <c r="J1589" i="29"/>
  <c r="K1589" s="1"/>
  <c r="G656" i="11"/>
  <c r="G1588"/>
  <c r="K1588" l="1"/>
  <c r="J1588" i="31"/>
  <c r="K1588" s="1"/>
  <c r="J1588" i="30"/>
  <c r="K1588" s="1"/>
  <c r="J1588" i="29"/>
  <c r="K1588" s="1"/>
  <c r="K656" i="11"/>
  <c r="J656" i="31"/>
  <c r="K656" s="1"/>
  <c r="J656" i="30"/>
  <c r="K656" s="1"/>
  <c r="J656" i="29"/>
  <c r="K656" s="1"/>
  <c r="G1587" i="11"/>
  <c r="G271"/>
  <c r="J271" i="31" l="1"/>
  <c r="K271" s="1"/>
  <c r="J271" i="30"/>
  <c r="K271" s="1"/>
  <c r="J271" i="29"/>
  <c r="K271" s="1"/>
  <c r="K1587" i="11"/>
  <c r="J1587" i="31"/>
  <c r="K1587" s="1"/>
  <c r="J1587" i="30"/>
  <c r="K1587" s="1"/>
  <c r="J1587" i="29"/>
  <c r="K1587" s="1"/>
  <c r="G270" i="11"/>
  <c r="K271"/>
  <c r="G1586"/>
  <c r="K270" l="1"/>
  <c r="J270" i="31"/>
  <c r="K270" s="1"/>
  <c r="J270" i="30"/>
  <c r="K270" s="1"/>
  <c r="J270" i="29"/>
  <c r="K270" s="1"/>
  <c r="K1586" i="11"/>
  <c r="J1586" i="31"/>
  <c r="K1586" s="1"/>
  <c r="J1586" i="30"/>
  <c r="K1586" s="1"/>
  <c r="J1586" i="29"/>
  <c r="K1586" s="1"/>
  <c r="G265" i="11"/>
  <c r="K265" l="1"/>
  <c r="J265" i="31"/>
  <c r="K265" s="1"/>
  <c r="J265" i="30"/>
  <c r="K265" s="1"/>
  <c r="J265" i="29"/>
  <c r="K265" s="1"/>
  <c r="G264" i="11"/>
  <c r="K264" l="1"/>
  <c r="J264" i="31"/>
  <c r="K264" s="1"/>
  <c r="J264" i="30"/>
  <c r="K264" s="1"/>
  <c r="J264" i="29"/>
  <c r="K264" s="1"/>
  <c r="G263" i="11"/>
  <c r="K263" l="1"/>
  <c r="J263" i="31"/>
  <c r="K263" s="1"/>
  <c r="J263" i="30"/>
  <c r="K263" s="1"/>
  <c r="J263" i="29"/>
  <c r="K263" s="1"/>
  <c r="G255" i="11"/>
  <c r="G1604"/>
  <c r="G1567"/>
  <c r="G1562"/>
  <c r="G1550"/>
  <c r="G1542"/>
  <c r="G1528"/>
  <c r="K1562" l="1"/>
  <c r="J1562" i="31"/>
  <c r="K1562" s="1"/>
  <c r="J1562" i="30"/>
  <c r="K1562" s="1"/>
  <c r="J1562" i="29"/>
  <c r="K1562" s="1"/>
  <c r="K1567" i="11"/>
  <c r="J1567" i="31"/>
  <c r="K1567" s="1"/>
  <c r="J1567" i="30"/>
  <c r="K1567" s="1"/>
  <c r="J1567" i="29"/>
  <c r="K1567" s="1"/>
  <c r="K255" i="11"/>
  <c r="J255" i="31"/>
  <c r="K255" s="1"/>
  <c r="J255" i="30"/>
  <c r="K255" s="1"/>
  <c r="J255" i="29"/>
  <c r="K255" s="1"/>
  <c r="K1604" i="11"/>
  <c r="J1604" i="31"/>
  <c r="K1604" s="1"/>
  <c r="J1604" i="30"/>
  <c r="K1604" s="1"/>
  <c r="J1604" i="29"/>
  <c r="K1604" s="1"/>
  <c r="K1528" i="11"/>
  <c r="J1528" i="31"/>
  <c r="K1528" s="1"/>
  <c r="J1528" i="30"/>
  <c r="K1528" s="1"/>
  <c r="J1528" i="29"/>
  <c r="K1528" s="1"/>
  <c r="K1542" i="11"/>
  <c r="J1542" i="31"/>
  <c r="K1542" s="1"/>
  <c r="J1542" i="30"/>
  <c r="K1542" s="1"/>
  <c r="J1542" i="29"/>
  <c r="K1542" s="1"/>
  <c r="K1550" i="11"/>
  <c r="J1550" i="31"/>
  <c r="K1550" s="1"/>
  <c r="J1550" i="30"/>
  <c r="K1550" s="1"/>
  <c r="J1550" i="29"/>
  <c r="K1550" s="1"/>
  <c r="G1546" i="11"/>
  <c r="G1532"/>
  <c r="G1527"/>
  <c r="G1566"/>
  <c r="G1603"/>
  <c r="G1561"/>
  <c r="G1558"/>
  <c r="G1582"/>
  <c r="K1532" l="1"/>
  <c r="J1532" i="31"/>
  <c r="K1532" s="1"/>
  <c r="J1532" i="30"/>
  <c r="K1532" s="1"/>
  <c r="J1532" i="29"/>
  <c r="K1532" s="1"/>
  <c r="K1546" i="11"/>
  <c r="J1546" i="31"/>
  <c r="K1546" s="1"/>
  <c r="J1546" i="30"/>
  <c r="K1546" s="1"/>
  <c r="J1546" i="29"/>
  <c r="K1546" s="1"/>
  <c r="K1527" i="11"/>
  <c r="J1527" i="31"/>
  <c r="K1527" s="1"/>
  <c r="J1527" i="30"/>
  <c r="K1527" s="1"/>
  <c r="J1527" i="29"/>
  <c r="K1527" s="1"/>
  <c r="K1582" i="11"/>
  <c r="J1582" i="31"/>
  <c r="K1582" s="1"/>
  <c r="J1582" i="30"/>
  <c r="K1582" s="1"/>
  <c r="J1582" i="29"/>
  <c r="K1582" s="1"/>
  <c r="K1558" i="11"/>
  <c r="J1558" i="31"/>
  <c r="K1558" s="1"/>
  <c r="J1558" i="30"/>
  <c r="K1558" s="1"/>
  <c r="J1558" i="29"/>
  <c r="K1558" s="1"/>
  <c r="K1561" i="11"/>
  <c r="J1561" i="31"/>
  <c r="K1561" s="1"/>
  <c r="J1561" i="30"/>
  <c r="K1561" s="1"/>
  <c r="J1561" i="29"/>
  <c r="K1561" s="1"/>
  <c r="K1566" i="11"/>
  <c r="J1566" i="31"/>
  <c r="K1566" s="1"/>
  <c r="J1566" i="30"/>
  <c r="K1566" s="1"/>
  <c r="J1566" i="29"/>
  <c r="K1566" s="1"/>
  <c r="K1603" i="11"/>
  <c r="J1603" i="31"/>
  <c r="K1603" s="1"/>
  <c r="J1603" i="30"/>
  <c r="K1603" s="1"/>
  <c r="J1603" i="29"/>
  <c r="K1603" s="1"/>
  <c r="G1581" i="11"/>
  <c r="G1531"/>
  <c r="G1557"/>
  <c r="G1602"/>
  <c r="G1565"/>
  <c r="G1526"/>
  <c r="K1526" l="1"/>
  <c r="J1526" i="31"/>
  <c r="K1526" s="1"/>
  <c r="J1526" i="30"/>
  <c r="K1526" s="1"/>
  <c r="J1526" i="29"/>
  <c r="K1526" s="1"/>
  <c r="K1565" i="11"/>
  <c r="J1565" i="31"/>
  <c r="K1565" s="1"/>
  <c r="J1565" i="30"/>
  <c r="K1565" s="1"/>
  <c r="J1565" i="29"/>
  <c r="K1565" s="1"/>
  <c r="K1602" i="11"/>
  <c r="J1602" i="31"/>
  <c r="K1602" s="1"/>
  <c r="J1602" i="30"/>
  <c r="K1602" s="1"/>
  <c r="J1602" i="29"/>
  <c r="K1602" s="1"/>
  <c r="K1557" i="11"/>
  <c r="J1557" i="31"/>
  <c r="K1557" s="1"/>
  <c r="J1557" i="30"/>
  <c r="K1557" s="1"/>
  <c r="J1557" i="29"/>
  <c r="K1557" s="1"/>
  <c r="K1531" i="11"/>
  <c r="J1531" i="31"/>
  <c r="K1531" s="1"/>
  <c r="J1531" i="30"/>
  <c r="K1531" s="1"/>
  <c r="J1531" i="29"/>
  <c r="K1531" s="1"/>
  <c r="K1581" i="11"/>
  <c r="J1581" i="31"/>
  <c r="K1581" s="1"/>
  <c r="J1581" i="30"/>
  <c r="K1581" s="1"/>
  <c r="J1581" i="29"/>
  <c r="K1581" s="1"/>
  <c r="G1601" i="11"/>
  <c r="G1580"/>
  <c r="G1525"/>
  <c r="G1556"/>
  <c r="K1556" l="1"/>
  <c r="J1556" i="31"/>
  <c r="K1556" s="1"/>
  <c r="J1556" i="30"/>
  <c r="K1556" s="1"/>
  <c r="J1556" i="29"/>
  <c r="K1556" s="1"/>
  <c r="K1525" i="11"/>
  <c r="J1525" i="31"/>
  <c r="K1525" s="1"/>
  <c r="J1525" i="30"/>
  <c r="K1525" s="1"/>
  <c r="J1525" i="29"/>
  <c r="K1525" s="1"/>
  <c r="K1580" i="11"/>
  <c r="J1580" i="31"/>
  <c r="K1580" s="1"/>
  <c r="J1580" i="30"/>
  <c r="K1580" s="1"/>
  <c r="J1580" i="29"/>
  <c r="K1580" s="1"/>
  <c r="K1601" i="11"/>
  <c r="J1601" i="31"/>
  <c r="K1601" s="1"/>
  <c r="J1601" i="30"/>
  <c r="K1601" s="1"/>
  <c r="J1601" i="29"/>
  <c r="K1601" s="1"/>
  <c r="G1555" i="11"/>
  <c r="G1524"/>
  <c r="G1579"/>
  <c r="G1600"/>
  <c r="K1600" l="1"/>
  <c r="J1600" i="31"/>
  <c r="K1600" s="1"/>
  <c r="J1600" i="30"/>
  <c r="K1600" s="1"/>
  <c r="J1600" i="29"/>
  <c r="K1600" s="1"/>
  <c r="K1579" i="11"/>
  <c r="J1579" i="31"/>
  <c r="K1579" s="1"/>
  <c r="J1579" i="30"/>
  <c r="K1579" s="1"/>
  <c r="J1579" i="29"/>
  <c r="K1579" s="1"/>
  <c r="K1524" i="11"/>
  <c r="J1524" i="31"/>
  <c r="K1524" s="1"/>
  <c r="J1524" i="30"/>
  <c r="K1524" s="1"/>
  <c r="J1524" i="29"/>
  <c r="K1524" s="1"/>
  <c r="K1555" i="11"/>
  <c r="J1555" i="31"/>
  <c r="K1555" s="1"/>
  <c r="J1555" i="30"/>
  <c r="K1555" s="1"/>
  <c r="J1555" i="29"/>
  <c r="K1555" s="1"/>
  <c r="G1578" i="11"/>
  <c r="G1599"/>
  <c r="G1523"/>
  <c r="G1554"/>
  <c r="K1523" l="1"/>
  <c r="J1523" i="31"/>
  <c r="K1523" s="1"/>
  <c r="J1523" i="30"/>
  <c r="K1523" s="1"/>
  <c r="J1523" i="29"/>
  <c r="K1523" s="1"/>
  <c r="K1554" i="11"/>
  <c r="J1554" i="31"/>
  <c r="K1554" s="1"/>
  <c r="J1554" i="30"/>
  <c r="K1554" s="1"/>
  <c r="J1554" i="29"/>
  <c r="K1554" s="1"/>
  <c r="K1599" i="11"/>
  <c r="J1599" i="31"/>
  <c r="K1599" s="1"/>
  <c r="J1599" i="30"/>
  <c r="K1599" s="1"/>
  <c r="J1599" i="29"/>
  <c r="K1599" s="1"/>
  <c r="K1578" i="11"/>
  <c r="J1578" i="31"/>
  <c r="K1578" s="1"/>
  <c r="J1578" i="30"/>
  <c r="K1578" s="1"/>
  <c r="J1578" i="29"/>
  <c r="K1578" s="1"/>
  <c r="G1553" i="11"/>
  <c r="K1553" l="1"/>
  <c r="J1553" i="31"/>
  <c r="K1553" s="1"/>
  <c r="J1553" i="30"/>
  <c r="K1553" s="1"/>
  <c r="J1553" i="29"/>
  <c r="K1553" s="1"/>
  <c r="G1522" i="11"/>
  <c r="G1340"/>
  <c r="G1329"/>
  <c r="G1267"/>
  <c r="K1340" l="1"/>
  <c r="J1340" i="31"/>
  <c r="K1340" s="1"/>
  <c r="J1340" i="30"/>
  <c r="K1340" s="1"/>
  <c r="J1340" i="29"/>
  <c r="K1340" s="1"/>
  <c r="K1329" i="11"/>
  <c r="J1329" i="31"/>
  <c r="K1329" s="1"/>
  <c r="J1329" i="30"/>
  <c r="K1329" s="1"/>
  <c r="J1329" i="29"/>
  <c r="K1329" s="1"/>
  <c r="K1267" i="11"/>
  <c r="J1267" i="31"/>
  <c r="K1267" s="1"/>
  <c r="J1267" i="30"/>
  <c r="K1267" s="1"/>
  <c r="J1267" i="29"/>
  <c r="K1267" s="1"/>
  <c r="K1522" i="11"/>
  <c r="J1522" i="31"/>
  <c r="K1522" s="1"/>
  <c r="J1522" i="30"/>
  <c r="K1522" s="1"/>
  <c r="J1522" i="29"/>
  <c r="K1522" s="1"/>
  <c r="G1306" i="11"/>
  <c r="G1328"/>
  <c r="G1339"/>
  <c r="K1339" l="1"/>
  <c r="J1339" i="31"/>
  <c r="K1339" s="1"/>
  <c r="J1339" i="30"/>
  <c r="K1339" s="1"/>
  <c r="J1339" i="29"/>
  <c r="K1339" s="1"/>
  <c r="K1328" i="11"/>
  <c r="J1328" i="31"/>
  <c r="K1328" s="1"/>
  <c r="J1328" i="30"/>
  <c r="K1328" s="1"/>
  <c r="J1328" i="29"/>
  <c r="K1328" s="1"/>
  <c r="K1306" i="11"/>
  <c r="J1306" i="31"/>
  <c r="K1306" s="1"/>
  <c r="J1306" i="30"/>
  <c r="K1306" s="1"/>
  <c r="J1306" i="29"/>
  <c r="K1306" s="1"/>
  <c r="G1305" i="11"/>
  <c r="G1327"/>
  <c r="G1338"/>
  <c r="K1338" l="1"/>
  <c r="J1338" i="31"/>
  <c r="K1338" s="1"/>
  <c r="J1338" i="30"/>
  <c r="K1338" s="1"/>
  <c r="J1338" i="29"/>
  <c r="K1338" s="1"/>
  <c r="K1327" i="11"/>
  <c r="J1327" i="31"/>
  <c r="K1327" s="1"/>
  <c r="J1327" i="30"/>
  <c r="K1327" s="1"/>
  <c r="J1327" i="29"/>
  <c r="K1327" s="1"/>
  <c r="K1305" i="11"/>
  <c r="J1305" i="31"/>
  <c r="K1305" s="1"/>
  <c r="J1305" i="30"/>
  <c r="K1305" s="1"/>
  <c r="J1305" i="29"/>
  <c r="K1305" s="1"/>
  <c r="G1304" i="11"/>
  <c r="G1326"/>
  <c r="G1266"/>
  <c r="G1337"/>
  <c r="G1644"/>
  <c r="G1619"/>
  <c r="K1326" l="1"/>
  <c r="J1326" i="31"/>
  <c r="K1326" s="1"/>
  <c r="J1326" i="30"/>
  <c r="K1326" s="1"/>
  <c r="J1326" i="29"/>
  <c r="K1326" s="1"/>
  <c r="K1337" i="11"/>
  <c r="J1337" i="31"/>
  <c r="K1337" s="1"/>
  <c r="J1337" i="30"/>
  <c r="K1337" s="1"/>
  <c r="J1337" i="29"/>
  <c r="K1337" s="1"/>
  <c r="K1266" i="11"/>
  <c r="J1266" i="31"/>
  <c r="K1266" s="1"/>
  <c r="J1266" i="30"/>
  <c r="K1266" s="1"/>
  <c r="J1266" i="29"/>
  <c r="K1266" s="1"/>
  <c r="K1304" i="11"/>
  <c r="J1304" i="31"/>
  <c r="K1304" s="1"/>
  <c r="J1304" i="30"/>
  <c r="K1304" s="1"/>
  <c r="J1304" i="29"/>
  <c r="K1304" s="1"/>
  <c r="K1619" i="11"/>
  <c r="J1619" i="31"/>
  <c r="K1619" s="1"/>
  <c r="J1619" i="30"/>
  <c r="K1619" s="1"/>
  <c r="J1619" i="29"/>
  <c r="K1619" s="1"/>
  <c r="K1644" i="11"/>
  <c r="J1644" i="31"/>
  <c r="K1644" s="1"/>
  <c r="J1644" i="30"/>
  <c r="K1644" s="1"/>
  <c r="J1644" i="29"/>
  <c r="K1644" s="1"/>
  <c r="G1303" i="11"/>
  <c r="G1317"/>
  <c r="G1618"/>
  <c r="G1643"/>
  <c r="G1336"/>
  <c r="G1681"/>
  <c r="K1618" l="1"/>
  <c r="J1618" i="31"/>
  <c r="K1618" s="1"/>
  <c r="J1618" i="30"/>
  <c r="K1618" s="1"/>
  <c r="J1618" i="29"/>
  <c r="K1618" s="1"/>
  <c r="K1681" i="11"/>
  <c r="J1681" i="31"/>
  <c r="K1681" s="1"/>
  <c r="J1681" i="30"/>
  <c r="K1681" s="1"/>
  <c r="J1681" i="29"/>
  <c r="K1681" s="1"/>
  <c r="K1643" i="11"/>
  <c r="J1643" i="31"/>
  <c r="K1643" s="1"/>
  <c r="J1643" i="30"/>
  <c r="K1643" s="1"/>
  <c r="J1643" i="29"/>
  <c r="K1643" s="1"/>
  <c r="K1336" i="11"/>
  <c r="J1336" i="31"/>
  <c r="K1336" s="1"/>
  <c r="J1336" i="30"/>
  <c r="K1336" s="1"/>
  <c r="J1336" i="29"/>
  <c r="K1336" s="1"/>
  <c r="K1317" i="11"/>
  <c r="J1317" i="31"/>
  <c r="K1317" s="1"/>
  <c r="J1317" i="30"/>
  <c r="K1317" s="1"/>
  <c r="J1317" i="29"/>
  <c r="K1317" s="1"/>
  <c r="K1303" i="11"/>
  <c r="J1303" i="31"/>
  <c r="K1303" s="1"/>
  <c r="J1303" i="30"/>
  <c r="K1303" s="1"/>
  <c r="J1303" i="29"/>
  <c r="K1303" s="1"/>
  <c r="G1265" i="11"/>
  <c r="G1671"/>
  <c r="G1642"/>
  <c r="G1617"/>
  <c r="G1512"/>
  <c r="G1508"/>
  <c r="G1499"/>
  <c r="G1478"/>
  <c r="G1387"/>
  <c r="G1384"/>
  <c r="G1378"/>
  <c r="G1362"/>
  <c r="G1257"/>
  <c r="G1250"/>
  <c r="G1236"/>
  <c r="G1234"/>
  <c r="G1222"/>
  <c r="G1228"/>
  <c r="G1213"/>
  <c r="D1208"/>
  <c r="C1208"/>
  <c r="B1208"/>
  <c r="G1207"/>
  <c r="D1207"/>
  <c r="C1207"/>
  <c r="B1207"/>
  <c r="G1178"/>
  <c r="G1175"/>
  <c r="G1167"/>
  <c r="G1164"/>
  <c r="G1161"/>
  <c r="G1153"/>
  <c r="G1139"/>
  <c r="G1145"/>
  <c r="G1128"/>
  <c r="G1114"/>
  <c r="G1110"/>
  <c r="G1073"/>
  <c r="G1044"/>
  <c r="G728"/>
  <c r="G707"/>
  <c r="G698"/>
  <c r="G1030"/>
  <c r="K1024"/>
  <c r="K1207" l="1"/>
  <c r="J1207" i="31"/>
  <c r="K1207" s="1"/>
  <c r="J1207" i="30"/>
  <c r="K1207" s="1"/>
  <c r="J1207" i="29"/>
  <c r="K1207" s="1"/>
  <c r="J1073" i="31"/>
  <c r="K1073" s="1"/>
  <c r="J1073" i="30"/>
  <c r="K1073" s="1"/>
  <c r="J1073" i="29"/>
  <c r="K1073" s="1"/>
  <c r="K1164" i="11"/>
  <c r="J1164" i="31"/>
  <c r="K1164" s="1"/>
  <c r="J1164" i="30"/>
  <c r="K1164" s="1"/>
  <c r="J1164" i="29"/>
  <c r="K1164" s="1"/>
  <c r="K1250" i="11"/>
  <c r="J1250" i="31"/>
  <c r="K1250" s="1"/>
  <c r="J1250" i="30"/>
  <c r="K1250" s="1"/>
  <c r="J1250" i="29"/>
  <c r="K1250" s="1"/>
  <c r="K1508" i="11"/>
  <c r="J1508" i="31"/>
  <c r="K1508" s="1"/>
  <c r="J1508" i="30"/>
  <c r="K1508" s="1"/>
  <c r="J1508" i="29"/>
  <c r="K1508" s="1"/>
  <c r="K1153" i="11"/>
  <c r="J1153" i="31"/>
  <c r="K1153" s="1"/>
  <c r="J1153" i="30"/>
  <c r="K1153" s="1"/>
  <c r="J1153" i="29"/>
  <c r="K1153" s="1"/>
  <c r="K1234" i="11"/>
  <c r="J1234" i="31"/>
  <c r="K1234" s="1"/>
  <c r="J1234" i="30"/>
  <c r="K1234" s="1"/>
  <c r="J1234" i="29"/>
  <c r="K1234" s="1"/>
  <c r="K1478" i="11"/>
  <c r="J1478" i="31"/>
  <c r="K1478" s="1"/>
  <c r="J1478" i="30"/>
  <c r="K1478" s="1"/>
  <c r="J1478" i="29"/>
  <c r="K1478" s="1"/>
  <c r="K1030" i="11"/>
  <c r="J1030" i="31"/>
  <c r="K1030" s="1"/>
  <c r="J1030" i="30"/>
  <c r="K1030" s="1"/>
  <c r="J1030" i="29"/>
  <c r="K1030" s="1"/>
  <c r="K1128" i="11"/>
  <c r="J1128" i="31"/>
  <c r="K1128" s="1"/>
  <c r="J1128" i="30"/>
  <c r="K1128" s="1"/>
  <c r="J1128" i="29"/>
  <c r="K1128" s="1"/>
  <c r="K1178" i="11"/>
  <c r="J1178" i="31"/>
  <c r="K1178" s="1"/>
  <c r="J1178" i="30"/>
  <c r="K1178" s="1"/>
  <c r="J1178" i="29"/>
  <c r="K1178" s="1"/>
  <c r="K1213" i="11"/>
  <c r="J1213" i="31"/>
  <c r="K1213" s="1"/>
  <c r="J1213" i="30"/>
  <c r="K1213" s="1"/>
  <c r="J1213" i="29"/>
  <c r="K1213" s="1"/>
  <c r="K1378" i="11"/>
  <c r="J1378" i="31"/>
  <c r="K1378" s="1"/>
  <c r="J1378" i="30"/>
  <c r="K1378" s="1"/>
  <c r="J1378" i="29"/>
  <c r="K1378" s="1"/>
  <c r="K1642" i="11"/>
  <c r="J1642" i="31"/>
  <c r="K1642" s="1"/>
  <c r="J1642" i="30"/>
  <c r="K1642" s="1"/>
  <c r="J1642" i="29"/>
  <c r="K1642" s="1"/>
  <c r="K728" i="11"/>
  <c r="J728" i="31"/>
  <c r="K728" s="1"/>
  <c r="J728" i="30"/>
  <c r="K728" s="1"/>
  <c r="J728" i="29"/>
  <c r="K728" s="1"/>
  <c r="K1044" i="11"/>
  <c r="J1044" i="31"/>
  <c r="K1044" s="1"/>
  <c r="J1044" i="30"/>
  <c r="K1044" s="1"/>
  <c r="J1044" i="29"/>
  <c r="K1044" s="1"/>
  <c r="K1236" i="11"/>
  <c r="J1236" i="31"/>
  <c r="K1236" s="1"/>
  <c r="J1236" i="30"/>
  <c r="K1236" s="1"/>
  <c r="J1236" i="29"/>
  <c r="K1236" s="1"/>
  <c r="K1512" i="11"/>
  <c r="J1512" i="31"/>
  <c r="K1512" s="1"/>
  <c r="J1512" i="30"/>
  <c r="K1512" s="1"/>
  <c r="J1512" i="29"/>
  <c r="K1512" s="1"/>
  <c r="K1114" i="11"/>
  <c r="J1114" i="31"/>
  <c r="K1114" s="1"/>
  <c r="J1114" i="30"/>
  <c r="K1114" s="1"/>
  <c r="J1114" i="29"/>
  <c r="K1114" s="1"/>
  <c r="K1362" i="11"/>
  <c r="J1362" i="31"/>
  <c r="K1362" s="1"/>
  <c r="J1362" i="30"/>
  <c r="K1362" s="1"/>
  <c r="J1362" i="29"/>
  <c r="K1362" s="1"/>
  <c r="K698" i="11"/>
  <c r="J698" i="31"/>
  <c r="K698" s="1"/>
  <c r="J698" i="30"/>
  <c r="K698" s="1"/>
  <c r="J698" i="29"/>
  <c r="K698" s="1"/>
  <c r="K1145" i="11"/>
  <c r="J1145" i="31"/>
  <c r="K1145" s="1"/>
  <c r="J1145" i="30"/>
  <c r="K1145" s="1"/>
  <c r="J1145" i="29"/>
  <c r="K1145" s="1"/>
  <c r="K1228" i="11"/>
  <c r="J1228" i="31"/>
  <c r="K1228" s="1"/>
  <c r="J1228" i="30"/>
  <c r="K1228" s="1"/>
  <c r="J1228" i="29"/>
  <c r="K1228" s="1"/>
  <c r="K1384" i="11"/>
  <c r="J1384" i="31"/>
  <c r="K1384" s="1"/>
  <c r="J1384" i="30"/>
  <c r="K1384" s="1"/>
  <c r="J1384" i="29"/>
  <c r="K1384" s="1"/>
  <c r="K1671" i="11"/>
  <c r="J1671" i="31"/>
  <c r="K1671" s="1"/>
  <c r="J1671" i="30"/>
  <c r="K1671" s="1"/>
  <c r="J1671" i="29"/>
  <c r="K1671" s="1"/>
  <c r="K1161" i="11"/>
  <c r="J1161" i="31"/>
  <c r="K1161" s="1"/>
  <c r="J1161" i="30"/>
  <c r="K1161" s="1"/>
  <c r="J1161" i="29"/>
  <c r="K1161" s="1"/>
  <c r="K1499" i="11"/>
  <c r="J1499" i="31"/>
  <c r="K1499" s="1"/>
  <c r="J1499" i="30"/>
  <c r="K1499" s="1"/>
  <c r="J1499" i="29"/>
  <c r="K1499" s="1"/>
  <c r="K1110" i="11"/>
  <c r="J1110" i="31"/>
  <c r="K1110" s="1"/>
  <c r="J1110" i="30"/>
  <c r="K1110" s="1"/>
  <c r="J1110" i="29"/>
  <c r="K1110" s="1"/>
  <c r="K1167" i="11"/>
  <c r="J1167" i="31"/>
  <c r="K1167" s="1"/>
  <c r="J1167" i="30"/>
  <c r="K1167" s="1"/>
  <c r="J1167" i="29"/>
  <c r="K1167" s="1"/>
  <c r="K1257" i="11"/>
  <c r="J1257" i="31"/>
  <c r="K1257" s="1"/>
  <c r="J1257" i="30"/>
  <c r="K1257" s="1"/>
  <c r="J1257" i="29"/>
  <c r="K1257" s="1"/>
  <c r="K1175" i="11"/>
  <c r="J1175" i="31"/>
  <c r="K1175" s="1"/>
  <c r="J1175" i="30"/>
  <c r="K1175" s="1"/>
  <c r="J1175" i="29"/>
  <c r="K1175" s="1"/>
  <c r="K1617" i="11"/>
  <c r="J1617" i="31"/>
  <c r="K1617" s="1"/>
  <c r="J1617" i="30"/>
  <c r="K1617" s="1"/>
  <c r="J1617" i="29"/>
  <c r="K1617" s="1"/>
  <c r="K707" i="11"/>
  <c r="J707" i="31"/>
  <c r="K707" s="1"/>
  <c r="J707" i="30"/>
  <c r="K707" s="1"/>
  <c r="J707" i="29"/>
  <c r="K707" s="1"/>
  <c r="K1139" i="11"/>
  <c r="J1139" i="31"/>
  <c r="K1139" s="1"/>
  <c r="J1139" i="30"/>
  <c r="K1139" s="1"/>
  <c r="J1139" i="29"/>
  <c r="K1139" s="1"/>
  <c r="K1222" i="11"/>
  <c r="J1222" i="31"/>
  <c r="K1222" s="1"/>
  <c r="J1222" i="30"/>
  <c r="K1222" s="1"/>
  <c r="J1222" i="29"/>
  <c r="K1222" s="1"/>
  <c r="K1387" i="11"/>
  <c r="J1387" i="31"/>
  <c r="K1387" s="1"/>
  <c r="J1387" i="30"/>
  <c r="K1387" s="1"/>
  <c r="J1387" i="29"/>
  <c r="K1387" s="1"/>
  <c r="K1265" i="11"/>
  <c r="J1265" i="31"/>
  <c r="K1265" s="1"/>
  <c r="J1265" i="30"/>
  <c r="K1265" s="1"/>
  <c r="J1265" i="29"/>
  <c r="K1265" s="1"/>
  <c r="G1072" i="11"/>
  <c r="K1073"/>
  <c r="G1023"/>
  <c r="G1152"/>
  <c r="G1358"/>
  <c r="G1616"/>
  <c r="G1043"/>
  <c r="G1127"/>
  <c r="G1377"/>
  <c r="G1622"/>
  <c r="G1138"/>
  <c r="G1100"/>
  <c r="G1221"/>
  <c r="G1383"/>
  <c r="G1212"/>
  <c r="G1081"/>
  <c r="G1029"/>
  <c r="G727"/>
  <c r="G1235"/>
  <c r="G1256"/>
  <c r="G1511"/>
  <c r="G1670"/>
  <c r="G697"/>
  <c r="G1233"/>
  <c r="G1477"/>
  <c r="G1507"/>
  <c r="G1370"/>
  <c r="G1200"/>
  <c r="G1243"/>
  <c r="G1489"/>
  <c r="G1160"/>
  <c r="G1174"/>
  <c r="K1243" l="1"/>
  <c r="J1243" i="31"/>
  <c r="K1243" s="1"/>
  <c r="J1243" i="30"/>
  <c r="K1243" s="1"/>
  <c r="J1243" i="29"/>
  <c r="K1243" s="1"/>
  <c r="K1200" i="11"/>
  <c r="J1200" i="31"/>
  <c r="K1200" s="1"/>
  <c r="J1200" i="30"/>
  <c r="K1200" s="1"/>
  <c r="J1200" i="29"/>
  <c r="K1200" s="1"/>
  <c r="K1256" i="11"/>
  <c r="J1256" i="31"/>
  <c r="K1256" s="1"/>
  <c r="J1256" i="30"/>
  <c r="K1256" s="1"/>
  <c r="J1256" i="29"/>
  <c r="K1256" s="1"/>
  <c r="K1100" i="11"/>
  <c r="J1100" i="31"/>
  <c r="K1100" s="1"/>
  <c r="J1100" i="30"/>
  <c r="K1100" s="1"/>
  <c r="J1100" i="29"/>
  <c r="K1100" s="1"/>
  <c r="K1152" i="11"/>
  <c r="J1152" i="31"/>
  <c r="K1152" s="1"/>
  <c r="J1152" i="30"/>
  <c r="K1152" s="1"/>
  <c r="J1152" i="29"/>
  <c r="K1152" s="1"/>
  <c r="K1370" i="11"/>
  <c r="J1370" i="31"/>
  <c r="K1370" s="1"/>
  <c r="J1370" i="30"/>
  <c r="K1370" s="1"/>
  <c r="J1370" i="29"/>
  <c r="K1370" s="1"/>
  <c r="K1235" i="11"/>
  <c r="J1235" i="31"/>
  <c r="K1235" s="1"/>
  <c r="J1235" i="30"/>
  <c r="K1235" s="1"/>
  <c r="J1235" i="29"/>
  <c r="K1235" s="1"/>
  <c r="K1138" i="11"/>
  <c r="J1138" i="31"/>
  <c r="K1138" s="1"/>
  <c r="J1138" i="30"/>
  <c r="K1138" s="1"/>
  <c r="J1138" i="29"/>
  <c r="K1138" s="1"/>
  <c r="K1023" i="11"/>
  <c r="J1023" i="31"/>
  <c r="K1023" s="1"/>
  <c r="J1023" i="30"/>
  <c r="K1023" s="1"/>
  <c r="J1023" i="29"/>
  <c r="K1023" s="1"/>
  <c r="K1358" i="11"/>
  <c r="J1358" i="31"/>
  <c r="K1358" s="1"/>
  <c r="J1358" i="30"/>
  <c r="K1358" s="1"/>
  <c r="J1358" i="29"/>
  <c r="K1358" s="1"/>
  <c r="K1622" i="11"/>
  <c r="J1622" i="31"/>
  <c r="K1622" s="1"/>
  <c r="J1622" i="30"/>
  <c r="K1622" s="1"/>
  <c r="J1622" i="29"/>
  <c r="K1622" s="1"/>
  <c r="K1477" i="11"/>
  <c r="J1477" i="31"/>
  <c r="K1477" s="1"/>
  <c r="J1477" i="30"/>
  <c r="K1477" s="1"/>
  <c r="J1477" i="29"/>
  <c r="K1477" s="1"/>
  <c r="K1174" i="11"/>
  <c r="J1174" i="31"/>
  <c r="K1174" s="1"/>
  <c r="J1174" i="30"/>
  <c r="K1174" s="1"/>
  <c r="J1174" i="29"/>
  <c r="K1174" s="1"/>
  <c r="K1233" i="11"/>
  <c r="J1233" i="31"/>
  <c r="K1233" s="1"/>
  <c r="J1233" i="30"/>
  <c r="K1233" s="1"/>
  <c r="J1233" i="29"/>
  <c r="K1233" s="1"/>
  <c r="K1081" i="11"/>
  <c r="J1081" i="31"/>
  <c r="K1081" s="1"/>
  <c r="J1081" i="30"/>
  <c r="K1081" s="1"/>
  <c r="J1081" i="29"/>
  <c r="K1081" s="1"/>
  <c r="K1127" i="11"/>
  <c r="J1127" i="31"/>
  <c r="K1127" s="1"/>
  <c r="J1127" i="30"/>
  <c r="K1127" s="1"/>
  <c r="J1127" i="29"/>
  <c r="K1127" s="1"/>
  <c r="K1221" i="11"/>
  <c r="J1221" i="31"/>
  <c r="K1221" s="1"/>
  <c r="J1221" i="30"/>
  <c r="K1221" s="1"/>
  <c r="J1221" i="29"/>
  <c r="K1221" s="1"/>
  <c r="K1507" i="11"/>
  <c r="J1507" i="31"/>
  <c r="K1507" s="1"/>
  <c r="J1507" i="30"/>
  <c r="K1507" s="1"/>
  <c r="J1507" i="29"/>
  <c r="K1507" s="1"/>
  <c r="K1377" i="11"/>
  <c r="J1377" i="31"/>
  <c r="K1377" s="1"/>
  <c r="J1377" i="30"/>
  <c r="K1377" s="1"/>
  <c r="J1377" i="29"/>
  <c r="K1377" s="1"/>
  <c r="K1160" i="11"/>
  <c r="J1160" i="31"/>
  <c r="K1160" s="1"/>
  <c r="J1160" i="30"/>
  <c r="K1160" s="1"/>
  <c r="J1160" i="29"/>
  <c r="K1160" s="1"/>
  <c r="K697" i="11"/>
  <c r="J697" i="31"/>
  <c r="K697" s="1"/>
  <c r="J697" i="30"/>
  <c r="K697" s="1"/>
  <c r="J697" i="29"/>
  <c r="K697" s="1"/>
  <c r="K1212" i="11"/>
  <c r="J1212" i="31"/>
  <c r="K1212" s="1"/>
  <c r="J1212" i="30"/>
  <c r="K1212" s="1"/>
  <c r="J1212" i="29"/>
  <c r="K1212" s="1"/>
  <c r="K1043" i="11"/>
  <c r="J1043" i="31"/>
  <c r="K1043" s="1"/>
  <c r="J1043" i="30"/>
  <c r="K1043" s="1"/>
  <c r="J1043" i="29"/>
  <c r="K1043" s="1"/>
  <c r="K1511" i="11"/>
  <c r="J1511" i="31"/>
  <c r="K1511" s="1"/>
  <c r="J1511" i="30"/>
  <c r="K1511" s="1"/>
  <c r="J1511" i="29"/>
  <c r="K1511" s="1"/>
  <c r="K727" i="11"/>
  <c r="J727" i="31"/>
  <c r="K727" s="1"/>
  <c r="J727" i="30"/>
  <c r="K727" s="1"/>
  <c r="J727" i="29"/>
  <c r="K727" s="1"/>
  <c r="K1029" i="11"/>
  <c r="J1029" i="31"/>
  <c r="K1029" s="1"/>
  <c r="J1029" i="30"/>
  <c r="K1029" s="1"/>
  <c r="J1029" i="29"/>
  <c r="K1029" s="1"/>
  <c r="J1072" i="31"/>
  <c r="K1072" s="1"/>
  <c r="J1072" i="30"/>
  <c r="K1072" s="1"/>
  <c r="J1072" i="29"/>
  <c r="K1072" s="1"/>
  <c r="K1489" i="11"/>
  <c r="J1489" i="31"/>
  <c r="K1489" s="1"/>
  <c r="J1489" i="30"/>
  <c r="K1489" s="1"/>
  <c r="J1489" i="29"/>
  <c r="K1489" s="1"/>
  <c r="K1670" i="11"/>
  <c r="J1670" i="31"/>
  <c r="K1670" s="1"/>
  <c r="J1670" i="30"/>
  <c r="K1670" s="1"/>
  <c r="J1670" i="29"/>
  <c r="K1670" s="1"/>
  <c r="K1383" i="11"/>
  <c r="J1383" i="31"/>
  <c r="K1383" s="1"/>
  <c r="J1383" i="30"/>
  <c r="K1383" s="1"/>
  <c r="J1383" i="29"/>
  <c r="K1383" s="1"/>
  <c r="K1616" i="11"/>
  <c r="J1616" i="31"/>
  <c r="K1616" s="1"/>
  <c r="J1616" i="30"/>
  <c r="K1616" s="1"/>
  <c r="J1616" i="29"/>
  <c r="K1616" s="1"/>
  <c r="G1071" i="11"/>
  <c r="K1072"/>
  <c r="G1488"/>
  <c r="G1369"/>
  <c r="G1186"/>
  <c r="G1615"/>
  <c r="G1376"/>
  <c r="G1049"/>
  <c r="G1516"/>
  <c r="G1080"/>
  <c r="G1042"/>
  <c r="G1211"/>
  <c r="G1506"/>
  <c r="G1220"/>
  <c r="G1242"/>
  <c r="G1137"/>
  <c r="G1159"/>
  <c r="G1255"/>
  <c r="G1151"/>
  <c r="G1028"/>
  <c r="G1173"/>
  <c r="G1099"/>
  <c r="G1382"/>
  <c r="G1439"/>
  <c r="G1476"/>
  <c r="G1357"/>
  <c r="G1232"/>
  <c r="G1126"/>
  <c r="G696"/>
  <c r="G1022"/>
  <c r="G1444"/>
  <c r="G702"/>
  <c r="G1007"/>
  <c r="G1002"/>
  <c r="G998"/>
  <c r="G974"/>
  <c r="G967"/>
  <c r="G964"/>
  <c r="G957"/>
  <c r="G938"/>
  <c r="G935"/>
  <c r="G932"/>
  <c r="G929"/>
  <c r="G926"/>
  <c r="G923"/>
  <c r="G920"/>
  <c r="G914"/>
  <c r="G911"/>
  <c r="G908"/>
  <c r="G901"/>
  <c r="G893"/>
  <c r="G888"/>
  <c r="G885"/>
  <c r="G846"/>
  <c r="G833"/>
  <c r="G828"/>
  <c r="G810"/>
  <c r="G790"/>
  <c r="G682"/>
  <c r="G663"/>
  <c r="G628"/>
  <c r="G625"/>
  <c r="G622"/>
  <c r="G619"/>
  <c r="K613"/>
  <c r="G603"/>
  <c r="G599"/>
  <c r="G585"/>
  <c r="G560"/>
  <c r="G554"/>
  <c r="G551"/>
  <c r="G513"/>
  <c r="K475"/>
  <c r="G468"/>
  <c r="G467"/>
  <c r="K460"/>
  <c r="G451"/>
  <c r="K437"/>
  <c r="G427"/>
  <c r="K885" l="1"/>
  <c r="J885" i="31"/>
  <c r="K885" s="1"/>
  <c r="J885" i="30"/>
  <c r="K885" s="1"/>
  <c r="J885" i="29"/>
  <c r="K885" s="1"/>
  <c r="K1506" i="11"/>
  <c r="J1506" i="31"/>
  <c r="K1506" s="1"/>
  <c r="J1506" i="30"/>
  <c r="K1506" s="1"/>
  <c r="J1506" i="29"/>
  <c r="K1506" s="1"/>
  <c r="K585" i="11"/>
  <c r="J585" i="31"/>
  <c r="K585" s="1"/>
  <c r="J585" i="30"/>
  <c r="K585" s="1"/>
  <c r="J585" i="29"/>
  <c r="K585" s="1"/>
  <c r="K663" i="11"/>
  <c r="J663" i="31"/>
  <c r="K663" s="1"/>
  <c r="J663" i="30"/>
  <c r="K663" s="1"/>
  <c r="J663" i="29"/>
  <c r="K663" s="1"/>
  <c r="K888" i="11"/>
  <c r="J888" i="31"/>
  <c r="K888" s="1"/>
  <c r="J888" i="30"/>
  <c r="K888" s="1"/>
  <c r="J888" i="29"/>
  <c r="K888" s="1"/>
  <c r="K926" i="11"/>
  <c r="J926" i="31"/>
  <c r="K926" s="1"/>
  <c r="J926" i="30"/>
  <c r="K926" s="1"/>
  <c r="J926" i="29"/>
  <c r="K926" s="1"/>
  <c r="K974" i="11"/>
  <c r="J974" i="31"/>
  <c r="K974" s="1"/>
  <c r="J974" i="30"/>
  <c r="K974" s="1"/>
  <c r="J974" i="29"/>
  <c r="K974" s="1"/>
  <c r="K1126" i="11"/>
  <c r="J1126" i="31"/>
  <c r="K1126" s="1"/>
  <c r="J1126" i="30"/>
  <c r="K1126" s="1"/>
  <c r="J1126" i="29"/>
  <c r="K1126" s="1"/>
  <c r="K1028" i="11"/>
  <c r="J1028" i="31"/>
  <c r="K1028" s="1"/>
  <c r="J1028" i="30"/>
  <c r="K1028" s="1"/>
  <c r="J1028" i="29"/>
  <c r="K1028" s="1"/>
  <c r="K1211" i="11"/>
  <c r="J1211" i="31"/>
  <c r="K1211" s="1"/>
  <c r="J1211" i="30"/>
  <c r="K1211" s="1"/>
  <c r="J1211" i="29"/>
  <c r="K1211" s="1"/>
  <c r="K1369" i="11"/>
  <c r="J1369" i="31"/>
  <c r="K1369" s="1"/>
  <c r="J1369" i="30"/>
  <c r="K1369" s="1"/>
  <c r="J1369" i="29"/>
  <c r="K1369" s="1"/>
  <c r="K467" i="11"/>
  <c r="J467" i="31"/>
  <c r="K467" s="1"/>
  <c r="J467" i="30"/>
  <c r="K467" s="1"/>
  <c r="J467" i="29"/>
  <c r="K467" s="1"/>
  <c r="J599" i="31"/>
  <c r="K599" s="1"/>
  <c r="J599" i="30"/>
  <c r="K599" s="1"/>
  <c r="K682" i="11"/>
  <c r="J682" i="31"/>
  <c r="K682" s="1"/>
  <c r="J682" i="30"/>
  <c r="K682" s="1"/>
  <c r="J682" i="29"/>
  <c r="K682" s="1"/>
  <c r="K893" i="11"/>
  <c r="J893" i="31"/>
  <c r="K893" s="1"/>
  <c r="J893" i="30"/>
  <c r="K893" s="1"/>
  <c r="J893" i="29"/>
  <c r="K893" s="1"/>
  <c r="K929" i="11"/>
  <c r="J929" i="31"/>
  <c r="K929" s="1"/>
  <c r="J929" i="30"/>
  <c r="K929" s="1"/>
  <c r="J929" i="29"/>
  <c r="K929" s="1"/>
  <c r="K998" i="11"/>
  <c r="J998" i="31"/>
  <c r="K998" s="1"/>
  <c r="J998" i="30"/>
  <c r="K998" s="1"/>
  <c r="J998" i="29"/>
  <c r="K998" s="1"/>
  <c r="K1232" i="11"/>
  <c r="J1232" i="31"/>
  <c r="K1232" s="1"/>
  <c r="J1232" i="30"/>
  <c r="K1232" s="1"/>
  <c r="J1232" i="29"/>
  <c r="K1232" s="1"/>
  <c r="K1151" i="11"/>
  <c r="J1151" i="31"/>
  <c r="K1151" s="1"/>
  <c r="J1151" i="30"/>
  <c r="K1151" s="1"/>
  <c r="J1151" i="29"/>
  <c r="K1151" s="1"/>
  <c r="K1042" i="11"/>
  <c r="J1042" i="31"/>
  <c r="K1042" s="1"/>
  <c r="J1042" i="30"/>
  <c r="K1042" s="1"/>
  <c r="J1042" i="29"/>
  <c r="K1042" s="1"/>
  <c r="K1488" i="11"/>
  <c r="J1488" i="31"/>
  <c r="K1488" s="1"/>
  <c r="J1488" i="30"/>
  <c r="K1488" s="1"/>
  <c r="J1488" i="29"/>
  <c r="K1488" s="1"/>
  <c r="K560" i="11"/>
  <c r="J560" i="31"/>
  <c r="K560" s="1"/>
  <c r="J560" i="30"/>
  <c r="K560" s="1"/>
  <c r="J560" i="29"/>
  <c r="K560" s="1"/>
  <c r="K923" i="11"/>
  <c r="J923" i="31"/>
  <c r="K923" s="1"/>
  <c r="J923" i="30"/>
  <c r="K923" s="1"/>
  <c r="J923" i="29"/>
  <c r="K923" s="1"/>
  <c r="K1173" i="11"/>
  <c r="J1173" i="31"/>
  <c r="K1173" s="1"/>
  <c r="J1173" i="30"/>
  <c r="K1173" s="1"/>
  <c r="J1173" i="29"/>
  <c r="K1173" s="1"/>
  <c r="K468" i="11"/>
  <c r="J468" i="31"/>
  <c r="K468" s="1"/>
  <c r="J468" i="30"/>
  <c r="K468" s="1"/>
  <c r="J468" i="29"/>
  <c r="K468" s="1"/>
  <c r="K901" i="11"/>
  <c r="J901" i="31"/>
  <c r="K901" s="1"/>
  <c r="J901" i="30"/>
  <c r="K901" s="1"/>
  <c r="J901" i="29"/>
  <c r="K901" s="1"/>
  <c r="K1255" i="11"/>
  <c r="J1255" i="31"/>
  <c r="K1255" s="1"/>
  <c r="J1255" i="30"/>
  <c r="K1255" s="1"/>
  <c r="J1255" i="29"/>
  <c r="K1255" s="1"/>
  <c r="K810" i="11"/>
  <c r="J810" i="31"/>
  <c r="K810" s="1"/>
  <c r="J810" i="30"/>
  <c r="K810" s="1"/>
  <c r="J810" i="29"/>
  <c r="K810" s="1"/>
  <c r="K935" i="11"/>
  <c r="J935" i="31"/>
  <c r="K935" s="1"/>
  <c r="J935" i="30"/>
  <c r="K935" s="1"/>
  <c r="J935" i="29"/>
  <c r="K935" s="1"/>
  <c r="K1476" i="11"/>
  <c r="J1476" i="31"/>
  <c r="K1476" s="1"/>
  <c r="J1476" i="30"/>
  <c r="K1476" s="1"/>
  <c r="J1476" i="29"/>
  <c r="K1476" s="1"/>
  <c r="K1071" i="11"/>
  <c r="J1071" i="31"/>
  <c r="K1071" s="1"/>
  <c r="J1071" i="30"/>
  <c r="K1071" s="1"/>
  <c r="J1071" i="29"/>
  <c r="K1071" s="1"/>
  <c r="K619" i="11"/>
  <c r="J619" i="31"/>
  <c r="K619" s="1"/>
  <c r="J619" i="30"/>
  <c r="K619" s="1"/>
  <c r="J619" i="29"/>
  <c r="K619" s="1"/>
  <c r="K911" i="11"/>
  <c r="J911" i="31"/>
  <c r="K911" s="1"/>
  <c r="J911" i="30"/>
  <c r="K911" s="1"/>
  <c r="J911" i="29"/>
  <c r="K911" s="1"/>
  <c r="K938" i="11"/>
  <c r="J938" i="31"/>
  <c r="K938" s="1"/>
  <c r="J938" i="30"/>
  <c r="K938" s="1"/>
  <c r="J938" i="29"/>
  <c r="K938" s="1"/>
  <c r="K702" i="11"/>
  <c r="J702" i="31"/>
  <c r="K702" s="1"/>
  <c r="J702" i="30"/>
  <c r="K702" s="1"/>
  <c r="J702" i="29"/>
  <c r="K702" s="1"/>
  <c r="K1439" i="11"/>
  <c r="J1439" i="31"/>
  <c r="K1439" s="1"/>
  <c r="J1439" i="30"/>
  <c r="K1439" s="1"/>
  <c r="J1439" i="29"/>
  <c r="K1439" s="1"/>
  <c r="K1137" i="11"/>
  <c r="J1137" i="31"/>
  <c r="K1137" s="1"/>
  <c r="J1137" i="30"/>
  <c r="K1137" s="1"/>
  <c r="J1137" i="29"/>
  <c r="K1137" s="1"/>
  <c r="K1049" i="11"/>
  <c r="J1049" i="31"/>
  <c r="K1049" s="1"/>
  <c r="J1049" i="30"/>
  <c r="K1049" s="1"/>
  <c r="J1049" i="29"/>
  <c r="K1049" s="1"/>
  <c r="K451" i="11"/>
  <c r="J451" i="31"/>
  <c r="K451" s="1"/>
  <c r="J451" i="30"/>
  <c r="K451" s="1"/>
  <c r="J451" i="29"/>
  <c r="K451" s="1"/>
  <c r="K967" i="11"/>
  <c r="J967" i="31"/>
  <c r="K967" s="1"/>
  <c r="J967" i="30"/>
  <c r="K967" s="1"/>
  <c r="J967" i="29"/>
  <c r="K967" s="1"/>
  <c r="K1186" i="11"/>
  <c r="J1186" i="31"/>
  <c r="K1186" s="1"/>
  <c r="J1186" i="30"/>
  <c r="K1186" s="1"/>
  <c r="J1186" i="29"/>
  <c r="K1186" s="1"/>
  <c r="K603" i="11"/>
  <c r="J603" i="31"/>
  <c r="K603" s="1"/>
  <c r="J603" i="30"/>
  <c r="K603" s="1"/>
  <c r="J603" i="29"/>
  <c r="K603" s="1"/>
  <c r="K932" i="11"/>
  <c r="J932" i="31"/>
  <c r="K932" s="1"/>
  <c r="J932" i="30"/>
  <c r="K932" s="1"/>
  <c r="J932" i="29"/>
  <c r="K932" s="1"/>
  <c r="K1002" i="11"/>
  <c r="J1002" i="31"/>
  <c r="K1002" s="1"/>
  <c r="J1002" i="30"/>
  <c r="K1002" s="1"/>
  <c r="J1002" i="29"/>
  <c r="K1002" s="1"/>
  <c r="K1080" i="11"/>
  <c r="J1080" i="31"/>
  <c r="K1080" s="1"/>
  <c r="J1080" i="30"/>
  <c r="K1080" s="1"/>
  <c r="J1080" i="29"/>
  <c r="K1080" s="1"/>
  <c r="K1007" i="11"/>
  <c r="J1007" i="31"/>
  <c r="K1007" s="1"/>
  <c r="J1007" i="30"/>
  <c r="K1007" s="1"/>
  <c r="J1007" i="29"/>
  <c r="K1007" s="1"/>
  <c r="K1159" i="11"/>
  <c r="J1159" i="31"/>
  <c r="K1159" s="1"/>
  <c r="J1159" i="30"/>
  <c r="K1159" s="1"/>
  <c r="J1159" i="29"/>
  <c r="K1159" s="1"/>
  <c r="K513" i="11"/>
  <c r="J513" i="31"/>
  <c r="K513" s="1"/>
  <c r="J513" i="30"/>
  <c r="K513" s="1"/>
  <c r="J513" i="29"/>
  <c r="K513" s="1"/>
  <c r="K622" i="11"/>
  <c r="J622" i="31"/>
  <c r="K622" s="1"/>
  <c r="J622" i="30"/>
  <c r="K622" s="1"/>
  <c r="J622" i="29"/>
  <c r="K622" s="1"/>
  <c r="K833" i="11"/>
  <c r="J833" i="31"/>
  <c r="K833" s="1"/>
  <c r="J833" i="30"/>
  <c r="K833" s="1"/>
  <c r="J833" i="29"/>
  <c r="K833" s="1"/>
  <c r="K914" i="11"/>
  <c r="J914" i="31"/>
  <c r="K914" s="1"/>
  <c r="J914" i="30"/>
  <c r="K914" s="1"/>
  <c r="J914" i="29"/>
  <c r="K914" s="1"/>
  <c r="K957" i="11"/>
  <c r="J957" i="31"/>
  <c r="K957" s="1"/>
  <c r="J957" i="30"/>
  <c r="K957" s="1"/>
  <c r="J957" i="29"/>
  <c r="K957" s="1"/>
  <c r="K1444" i="11"/>
  <c r="J1444" i="31"/>
  <c r="K1444" s="1"/>
  <c r="J1444" i="30"/>
  <c r="K1444" s="1"/>
  <c r="J1444" i="29"/>
  <c r="K1444" s="1"/>
  <c r="K1382" i="11"/>
  <c r="J1382" i="31"/>
  <c r="K1382" s="1"/>
  <c r="J1382" i="30"/>
  <c r="K1382" s="1"/>
  <c r="J1382" i="29"/>
  <c r="K1382" s="1"/>
  <c r="K1242" i="11"/>
  <c r="J1242" i="31"/>
  <c r="K1242" s="1"/>
  <c r="J1242" i="30"/>
  <c r="K1242" s="1"/>
  <c r="J1242" i="29"/>
  <c r="K1242" s="1"/>
  <c r="K1376" i="11"/>
  <c r="J1376" i="31"/>
  <c r="K1376" s="1"/>
  <c r="J1376" i="30"/>
  <c r="K1376" s="1"/>
  <c r="J1376" i="29"/>
  <c r="K1376" s="1"/>
  <c r="K628" i="11"/>
  <c r="J628" i="31"/>
  <c r="K628" s="1"/>
  <c r="J628" i="30"/>
  <c r="K628" s="1"/>
  <c r="J628" i="29"/>
  <c r="K628" s="1"/>
  <c r="K696" i="11"/>
  <c r="J696" i="31"/>
  <c r="K696" s="1"/>
  <c r="J696" i="30"/>
  <c r="K696" s="1"/>
  <c r="J696" i="29"/>
  <c r="K696" s="1"/>
  <c r="K790" i="11"/>
  <c r="J790" i="31"/>
  <c r="K790" s="1"/>
  <c r="J790" i="30"/>
  <c r="K790" s="1"/>
  <c r="J790" i="29"/>
  <c r="K790" s="1"/>
  <c r="K1357" i="11"/>
  <c r="J1357" i="31"/>
  <c r="K1357" s="1"/>
  <c r="J1357" i="30"/>
  <c r="K1357" s="1"/>
  <c r="J1357" i="29"/>
  <c r="K1357" s="1"/>
  <c r="K908" i="11"/>
  <c r="J908" i="31"/>
  <c r="K908" s="1"/>
  <c r="J908" i="30"/>
  <c r="K908" s="1"/>
  <c r="J908" i="29"/>
  <c r="K908" s="1"/>
  <c r="K1516" i="11"/>
  <c r="J1516" i="31"/>
  <c r="K1516" s="1"/>
  <c r="J1516" i="30"/>
  <c r="K1516" s="1"/>
  <c r="J1516" i="29"/>
  <c r="K1516" s="1"/>
  <c r="K828" i="11"/>
  <c r="J828" i="31"/>
  <c r="K828" s="1"/>
  <c r="J828" i="30"/>
  <c r="K828" s="1"/>
  <c r="J828" i="29"/>
  <c r="K828" s="1"/>
  <c r="K427" i="11"/>
  <c r="J427" i="31"/>
  <c r="K427" s="1"/>
  <c r="J427" i="30"/>
  <c r="K427" s="1"/>
  <c r="J427" i="29"/>
  <c r="K427" s="1"/>
  <c r="K551" i="11"/>
  <c r="J551" i="31"/>
  <c r="K551" s="1"/>
  <c r="J551" i="30"/>
  <c r="K551" s="1"/>
  <c r="J551" i="29"/>
  <c r="K551" s="1"/>
  <c r="K554" i="11"/>
  <c r="J554" i="31"/>
  <c r="K554" s="1"/>
  <c r="J554" i="30"/>
  <c r="K554" s="1"/>
  <c r="J554" i="29"/>
  <c r="K554" s="1"/>
  <c r="K625" i="11"/>
  <c r="J625" i="31"/>
  <c r="K625" s="1"/>
  <c r="J625" i="30"/>
  <c r="K625" s="1"/>
  <c r="J625" i="29"/>
  <c r="K625" s="1"/>
  <c r="K846" i="11"/>
  <c r="J846" i="31"/>
  <c r="K846" s="1"/>
  <c r="J846" i="30"/>
  <c r="K846" s="1"/>
  <c r="J846" i="29"/>
  <c r="K846" s="1"/>
  <c r="K920" i="11"/>
  <c r="J920" i="31"/>
  <c r="K920" s="1"/>
  <c r="J920" i="30"/>
  <c r="K920" s="1"/>
  <c r="J920" i="29"/>
  <c r="K920" s="1"/>
  <c r="K964" i="11"/>
  <c r="J964" i="31"/>
  <c r="K964" s="1"/>
  <c r="J964" i="30"/>
  <c r="K964" s="1"/>
  <c r="J964" i="29"/>
  <c r="K964" s="1"/>
  <c r="K1022" i="11"/>
  <c r="J1022" i="31"/>
  <c r="K1022" s="1"/>
  <c r="J1022" i="30"/>
  <c r="K1022" s="1"/>
  <c r="J1022" i="29"/>
  <c r="K1022" s="1"/>
  <c r="K1099" i="11"/>
  <c r="J1099" i="31"/>
  <c r="K1099" s="1"/>
  <c r="J1099" i="30"/>
  <c r="K1099" s="1"/>
  <c r="J1099" i="29"/>
  <c r="K1099" s="1"/>
  <c r="K1220" i="11"/>
  <c r="J1220" i="31"/>
  <c r="K1220" s="1"/>
  <c r="J1220" i="30"/>
  <c r="K1220" s="1"/>
  <c r="J1220" i="29"/>
  <c r="K1220" s="1"/>
  <c r="K1615" i="11"/>
  <c r="J1615" i="31"/>
  <c r="K1615" s="1"/>
  <c r="J1615" i="30"/>
  <c r="K1615" s="1"/>
  <c r="J1615" i="29"/>
  <c r="K1615" s="1"/>
  <c r="K599" i="11"/>
  <c r="J599" i="29"/>
  <c r="K599" s="1"/>
  <c r="G963" i="11"/>
  <c r="G1481"/>
  <c r="G1375"/>
  <c r="G450"/>
  <c r="G1210"/>
  <c r="G400"/>
  <c r="G474"/>
  <c r="G436"/>
  <c r="G1350"/>
  <c r="G827"/>
  <c r="G907"/>
  <c r="G1431"/>
  <c r="G809"/>
  <c r="G1048"/>
  <c r="G1614"/>
  <c r="G1505"/>
  <c r="G1079"/>
  <c r="G884"/>
  <c r="G426"/>
  <c r="G466"/>
  <c r="G512"/>
  <c r="G559"/>
  <c r="G612"/>
  <c r="G649"/>
  <c r="G662"/>
  <c r="G735"/>
  <c r="G789"/>
  <c r="G956"/>
  <c r="G973"/>
  <c r="G695"/>
  <c r="G1041"/>
  <c r="G1125"/>
  <c r="G1475"/>
  <c r="G1515"/>
  <c r="G1438"/>
  <c r="G1381"/>
  <c r="G1098"/>
  <c r="G1172"/>
  <c r="G1027"/>
  <c r="G1070"/>
  <c r="G1150"/>
  <c r="G1254"/>
  <c r="G1158"/>
  <c r="G1136"/>
  <c r="G1241"/>
  <c r="G1219"/>
  <c r="G459"/>
  <c r="G584"/>
  <c r="G636"/>
  <c r="G681"/>
  <c r="G701"/>
  <c r="G1368"/>
  <c r="G1185"/>
  <c r="G1021"/>
  <c r="K990"/>
  <c r="K796"/>
  <c r="G508"/>
  <c r="G805"/>
  <c r="G753"/>
  <c r="G749"/>
  <c r="G497"/>
  <c r="G564"/>
  <c r="G589"/>
  <c r="G618"/>
  <c r="G550"/>
  <c r="K618" l="1"/>
  <c r="J618" i="31"/>
  <c r="K618" s="1"/>
  <c r="J618" i="29"/>
  <c r="K618" s="1"/>
  <c r="J618" i="30"/>
  <c r="K618" s="1"/>
  <c r="K649" i="11"/>
  <c r="J649" i="31"/>
  <c r="K649" s="1"/>
  <c r="J649" i="30"/>
  <c r="K649" s="1"/>
  <c r="J649" i="29"/>
  <c r="K649" s="1"/>
  <c r="J589" i="31"/>
  <c r="K589" s="1"/>
  <c r="J589" i="30"/>
  <c r="K589" s="1"/>
  <c r="K459" i="11"/>
  <c r="J459" i="31"/>
  <c r="K459" s="1"/>
  <c r="J459" i="30"/>
  <c r="K459" s="1"/>
  <c r="J459" i="29"/>
  <c r="K459" s="1"/>
  <c r="K1027" i="11"/>
  <c r="J1027" i="31"/>
  <c r="K1027" s="1"/>
  <c r="J1027" i="30"/>
  <c r="K1027" s="1"/>
  <c r="J1027" i="29"/>
  <c r="K1027" s="1"/>
  <c r="K1041" i="11"/>
  <c r="J1041" i="31"/>
  <c r="K1041" s="1"/>
  <c r="J1041" i="30"/>
  <c r="K1041" s="1"/>
  <c r="J1041" i="29"/>
  <c r="K1041" s="1"/>
  <c r="K612" i="11"/>
  <c r="J612" i="31"/>
  <c r="K612" s="1"/>
  <c r="J612" i="30"/>
  <c r="K612" s="1"/>
  <c r="J612" i="29"/>
  <c r="K612" s="1"/>
  <c r="K1614" i="11"/>
  <c r="J1614" i="31"/>
  <c r="K1614" s="1"/>
  <c r="J1614" i="30"/>
  <c r="K1614" s="1"/>
  <c r="J1614" i="29"/>
  <c r="K1614" s="1"/>
  <c r="K474" i="11"/>
  <c r="J474" i="31"/>
  <c r="K474" s="1"/>
  <c r="J474" i="30"/>
  <c r="K474" s="1"/>
  <c r="J474" i="29"/>
  <c r="K474" s="1"/>
  <c r="K564" i="11"/>
  <c r="J564" i="31"/>
  <c r="K564" s="1"/>
  <c r="J564" i="29"/>
  <c r="K564" s="1"/>
  <c r="J564" i="30"/>
  <c r="K564" s="1"/>
  <c r="K1021" i="11"/>
  <c r="J1021" i="31"/>
  <c r="K1021" s="1"/>
  <c r="J1021" i="30"/>
  <c r="K1021" s="1"/>
  <c r="J1021" i="29"/>
  <c r="K1021" s="1"/>
  <c r="K1219" i="11"/>
  <c r="J1219" i="31"/>
  <c r="K1219" s="1"/>
  <c r="J1219" i="30"/>
  <c r="K1219" s="1"/>
  <c r="J1219" i="29"/>
  <c r="K1219" s="1"/>
  <c r="K1172" i="11"/>
  <c r="J1172" i="31"/>
  <c r="K1172" s="1"/>
  <c r="J1172" i="30"/>
  <c r="K1172" s="1"/>
  <c r="J1172" i="29"/>
  <c r="K1172" s="1"/>
  <c r="K695" i="11"/>
  <c r="J695" i="31"/>
  <c r="K695" s="1"/>
  <c r="J695" i="30"/>
  <c r="K695" s="1"/>
  <c r="J695" i="29"/>
  <c r="K695" s="1"/>
  <c r="K559" i="11"/>
  <c r="J559" i="31"/>
  <c r="K559" s="1"/>
  <c r="J559" i="30"/>
  <c r="K559" s="1"/>
  <c r="J559" i="29"/>
  <c r="K559" s="1"/>
  <c r="K1048" i="11"/>
  <c r="J1048" i="31"/>
  <c r="K1048" s="1"/>
  <c r="J1048" i="30"/>
  <c r="K1048" s="1"/>
  <c r="J1048" i="29"/>
  <c r="K1048" s="1"/>
  <c r="K400" i="11"/>
  <c r="J400" i="31"/>
  <c r="K400" s="1"/>
  <c r="J400" i="30"/>
  <c r="K400" s="1"/>
  <c r="J400" i="29"/>
  <c r="K400" s="1"/>
  <c r="K584" i="11"/>
  <c r="J584" i="31"/>
  <c r="K584" s="1"/>
  <c r="J584" i="30"/>
  <c r="K584" s="1"/>
  <c r="J584" i="29"/>
  <c r="K584" s="1"/>
  <c r="K436" i="11"/>
  <c r="J436" i="31"/>
  <c r="K436" s="1"/>
  <c r="J436" i="30"/>
  <c r="K436" s="1"/>
  <c r="J436" i="29"/>
  <c r="K436" s="1"/>
  <c r="K1185" i="11"/>
  <c r="J1185" i="31"/>
  <c r="K1185" s="1"/>
  <c r="J1185" i="30"/>
  <c r="K1185" s="1"/>
  <c r="J1185" i="29"/>
  <c r="K1185" s="1"/>
  <c r="K512" i="11"/>
  <c r="J512" i="31"/>
  <c r="K512" s="1"/>
  <c r="J512" i="30"/>
  <c r="K512" s="1"/>
  <c r="J512" i="29"/>
  <c r="K512" s="1"/>
  <c r="K749" i="11"/>
  <c r="J749" i="31"/>
  <c r="K749" s="1"/>
  <c r="J749" i="30"/>
  <c r="K749" s="1"/>
  <c r="J749" i="29"/>
  <c r="K749" s="1"/>
  <c r="K1381" i="11"/>
  <c r="J1381" i="31"/>
  <c r="K1381" s="1"/>
  <c r="J1381" i="30"/>
  <c r="K1381" s="1"/>
  <c r="J1381" i="29"/>
  <c r="K1381" s="1"/>
  <c r="K1431" i="11"/>
  <c r="J1431" i="31"/>
  <c r="K1431" s="1"/>
  <c r="J1431" i="30"/>
  <c r="K1431" s="1"/>
  <c r="J1431" i="29"/>
  <c r="K1431" s="1"/>
  <c r="J753" i="31"/>
  <c r="K753" s="1"/>
  <c r="J753" i="30"/>
  <c r="K753" s="1"/>
  <c r="J753" i="29"/>
  <c r="K753" s="1"/>
  <c r="K701" i="11"/>
  <c r="J701" i="31"/>
  <c r="K701" s="1"/>
  <c r="J701" i="30"/>
  <c r="K701" s="1"/>
  <c r="J701" i="29"/>
  <c r="K701" s="1"/>
  <c r="K1158" i="11"/>
  <c r="J1158" i="31"/>
  <c r="K1158" s="1"/>
  <c r="J1158" i="30"/>
  <c r="K1158" s="1"/>
  <c r="J1158" i="29"/>
  <c r="K1158" s="1"/>
  <c r="K1438" i="11"/>
  <c r="J1438" i="31"/>
  <c r="K1438" s="1"/>
  <c r="J1438" i="30"/>
  <c r="K1438" s="1"/>
  <c r="J1438" i="29"/>
  <c r="K1438" s="1"/>
  <c r="K789" i="11"/>
  <c r="J789" i="31"/>
  <c r="K789" s="1"/>
  <c r="J789" i="30"/>
  <c r="K789" s="1"/>
  <c r="J789" i="29"/>
  <c r="K789" s="1"/>
  <c r="K426" i="11"/>
  <c r="J426" i="31"/>
  <c r="K426" s="1"/>
  <c r="J426" i="30"/>
  <c r="K426" s="1"/>
  <c r="J426" i="29"/>
  <c r="K426" s="1"/>
  <c r="K907" i="11"/>
  <c r="J907" i="31"/>
  <c r="K907" s="1"/>
  <c r="J907" i="30"/>
  <c r="K907" s="1"/>
  <c r="J907" i="29"/>
  <c r="K907" s="1"/>
  <c r="K1375" i="11"/>
  <c r="J1375" i="31"/>
  <c r="K1375" s="1"/>
  <c r="J1375" i="30"/>
  <c r="K1375" s="1"/>
  <c r="J1375" i="29"/>
  <c r="K1375" s="1"/>
  <c r="K1125" i="11"/>
  <c r="J1125" i="31"/>
  <c r="K1125" s="1"/>
  <c r="J1125" i="30"/>
  <c r="K1125" s="1"/>
  <c r="J1125" i="29"/>
  <c r="K1125" s="1"/>
  <c r="K497" i="11"/>
  <c r="J497" i="31"/>
  <c r="K497" s="1"/>
  <c r="J497" i="30"/>
  <c r="K497" s="1"/>
  <c r="J497" i="29"/>
  <c r="K497" s="1"/>
  <c r="K1098" i="11"/>
  <c r="J1098" i="31"/>
  <c r="K1098" s="1"/>
  <c r="J1098" i="30"/>
  <c r="K1098" s="1"/>
  <c r="J1098" i="29"/>
  <c r="K1098" s="1"/>
  <c r="K809" i="11"/>
  <c r="J809" i="31"/>
  <c r="K809" s="1"/>
  <c r="J809" i="30"/>
  <c r="K809" s="1"/>
  <c r="J809" i="29"/>
  <c r="K809" s="1"/>
  <c r="K1368" i="11"/>
  <c r="J1368" i="31"/>
  <c r="K1368" s="1"/>
  <c r="J1368" i="30"/>
  <c r="K1368" s="1"/>
  <c r="J1368" i="29"/>
  <c r="K1368" s="1"/>
  <c r="K956" i="11"/>
  <c r="J956" i="31"/>
  <c r="K956" s="1"/>
  <c r="J956" i="30"/>
  <c r="K956" s="1"/>
  <c r="J956" i="29"/>
  <c r="K956" s="1"/>
  <c r="K681" i="11"/>
  <c r="J681" i="31"/>
  <c r="K681" s="1"/>
  <c r="J681" i="30"/>
  <c r="K681" s="1"/>
  <c r="J681" i="29"/>
  <c r="K681" s="1"/>
  <c r="K1515" i="11"/>
  <c r="J1515" i="31"/>
  <c r="K1515" s="1"/>
  <c r="J1515" i="30"/>
  <c r="K1515" s="1"/>
  <c r="J1515" i="29"/>
  <c r="K1515" s="1"/>
  <c r="K735" i="11"/>
  <c r="J735" i="31"/>
  <c r="K735" s="1"/>
  <c r="J735" i="30"/>
  <c r="K735" s="1"/>
  <c r="J735" i="29"/>
  <c r="K735" s="1"/>
  <c r="K884" i="11"/>
  <c r="J884" i="31"/>
  <c r="K884" s="1"/>
  <c r="J884" i="30"/>
  <c r="K884" s="1"/>
  <c r="J884" i="29"/>
  <c r="K884" s="1"/>
  <c r="K827" i="11"/>
  <c r="J827" i="31"/>
  <c r="K827" s="1"/>
  <c r="J827" i="30"/>
  <c r="K827" s="1"/>
  <c r="J827" i="29"/>
  <c r="K827" s="1"/>
  <c r="K1481" i="11"/>
  <c r="J1481" i="31"/>
  <c r="K1481" s="1"/>
  <c r="J1481" i="30"/>
  <c r="K1481" s="1"/>
  <c r="J1481" i="29"/>
  <c r="K1481" s="1"/>
  <c r="K1070" i="11"/>
  <c r="J1070" i="31"/>
  <c r="K1070" s="1"/>
  <c r="J1070" i="30"/>
  <c r="K1070" s="1"/>
  <c r="J1070" i="29"/>
  <c r="K1070" s="1"/>
  <c r="K1505" i="11"/>
  <c r="J1505" i="31"/>
  <c r="K1505" s="1"/>
  <c r="J1505" i="30"/>
  <c r="K1505" s="1"/>
  <c r="J1505" i="29"/>
  <c r="K1505" s="1"/>
  <c r="K1241" i="11"/>
  <c r="J1241" i="31"/>
  <c r="K1241" s="1"/>
  <c r="J1241" i="30"/>
  <c r="K1241" s="1"/>
  <c r="J1241" i="29"/>
  <c r="K1241" s="1"/>
  <c r="K973" i="11"/>
  <c r="J973" i="31"/>
  <c r="K973" s="1"/>
  <c r="J973" i="30"/>
  <c r="K973" s="1"/>
  <c r="J973" i="29"/>
  <c r="K973" s="1"/>
  <c r="K1210" i="11"/>
  <c r="J1210" i="31"/>
  <c r="K1210" s="1"/>
  <c r="J1210" i="30"/>
  <c r="K1210" s="1"/>
  <c r="J1210" i="29"/>
  <c r="K1210" s="1"/>
  <c r="K1136" i="11"/>
  <c r="J1136" i="31"/>
  <c r="K1136" s="1"/>
  <c r="J1136" i="29"/>
  <c r="K1136" s="1"/>
  <c r="J1136" i="30"/>
  <c r="K1136" s="1"/>
  <c r="K466" i="11"/>
  <c r="J466" i="31"/>
  <c r="K466" s="1"/>
  <c r="J466" i="30"/>
  <c r="K466" s="1"/>
  <c r="J466" i="29"/>
  <c r="K466" s="1"/>
  <c r="K450" i="11"/>
  <c r="J450" i="31"/>
  <c r="K450" s="1"/>
  <c r="J450" i="30"/>
  <c r="K450" s="1"/>
  <c r="J450" i="29"/>
  <c r="K450" s="1"/>
  <c r="K805" i="11"/>
  <c r="J805" i="31"/>
  <c r="K805" s="1"/>
  <c r="J805" i="30"/>
  <c r="K805" s="1"/>
  <c r="J805" i="29"/>
  <c r="K805" s="1"/>
  <c r="K1254" i="11"/>
  <c r="J1254" i="31"/>
  <c r="K1254" s="1"/>
  <c r="J1254" i="30"/>
  <c r="K1254" s="1"/>
  <c r="J1254" i="29"/>
  <c r="K1254" s="1"/>
  <c r="K550" i="11"/>
  <c r="J550" i="31"/>
  <c r="K550" s="1"/>
  <c r="J550" i="30"/>
  <c r="K550" s="1"/>
  <c r="J550" i="29"/>
  <c r="K550" s="1"/>
  <c r="K508" i="11"/>
  <c r="J508" i="31"/>
  <c r="K508" s="1"/>
  <c r="J508" i="30"/>
  <c r="K508" s="1"/>
  <c r="J508" i="29"/>
  <c r="K508" s="1"/>
  <c r="K636" i="11"/>
  <c r="J636" i="31"/>
  <c r="K636" s="1"/>
  <c r="J636" i="30"/>
  <c r="K636" s="1"/>
  <c r="J636" i="29"/>
  <c r="K636" s="1"/>
  <c r="K1150" i="11"/>
  <c r="J1150" i="31"/>
  <c r="K1150" s="1"/>
  <c r="J1150" i="30"/>
  <c r="K1150" s="1"/>
  <c r="J1150" i="29"/>
  <c r="K1150" s="1"/>
  <c r="K1475" i="11"/>
  <c r="J1475" i="31"/>
  <c r="K1475" s="1"/>
  <c r="J1475" i="30"/>
  <c r="K1475" s="1"/>
  <c r="J1475" i="29"/>
  <c r="K1475" s="1"/>
  <c r="K662" i="11"/>
  <c r="J662" i="31"/>
  <c r="K662" s="1"/>
  <c r="J662" i="29"/>
  <c r="K662" s="1"/>
  <c r="J662" i="30"/>
  <c r="K662" s="1"/>
  <c r="K1079" i="11"/>
  <c r="J1079" i="31"/>
  <c r="K1079" s="1"/>
  <c r="J1079" i="30"/>
  <c r="K1079" s="1"/>
  <c r="J1079" i="29"/>
  <c r="K1079" s="1"/>
  <c r="K1350" i="11"/>
  <c r="J1350" i="31"/>
  <c r="K1350" s="1"/>
  <c r="J1350" i="30"/>
  <c r="K1350" s="1"/>
  <c r="J1350" i="29"/>
  <c r="K1350" s="1"/>
  <c r="K963" i="11"/>
  <c r="J963" i="31"/>
  <c r="K963" s="1"/>
  <c r="J963" i="30"/>
  <c r="K963" s="1"/>
  <c r="J963" i="29"/>
  <c r="K963" s="1"/>
  <c r="K589" i="11"/>
  <c r="J589" i="29"/>
  <c r="K589" s="1"/>
  <c r="G752" i="11"/>
  <c r="K753"/>
  <c r="G1157"/>
  <c r="G1020"/>
  <c r="G906"/>
  <c r="G1374"/>
  <c r="G1124"/>
  <c r="G1149"/>
  <c r="G1443"/>
  <c r="G655"/>
  <c r="G1047"/>
  <c r="G1069"/>
  <c r="G795"/>
  <c r="G1613"/>
  <c r="G1504"/>
  <c r="G955"/>
  <c r="G694"/>
  <c r="G399"/>
  <c r="G435"/>
  <c r="G549"/>
  <c r="G588"/>
  <c r="G507"/>
  <c r="G1184"/>
  <c r="G1367"/>
  <c r="G680"/>
  <c r="G635"/>
  <c r="G583"/>
  <c r="G458"/>
  <c r="G1171"/>
  <c r="G1437"/>
  <c r="G972"/>
  <c r="G788"/>
  <c r="G734"/>
  <c r="G648"/>
  <c r="G558"/>
  <c r="G511"/>
  <c r="G465"/>
  <c r="G425"/>
  <c r="G611"/>
  <c r="G962"/>
  <c r="G496"/>
  <c r="G748"/>
  <c r="G742"/>
  <c r="G759"/>
  <c r="G518"/>
  <c r="G1218"/>
  <c r="G1240"/>
  <c r="G1135"/>
  <c r="G1430"/>
  <c r="G1253"/>
  <c r="G1349"/>
  <c r="G1040"/>
  <c r="G989"/>
  <c r="G826"/>
  <c r="G387"/>
  <c r="G380"/>
  <c r="G378"/>
  <c r="G367"/>
  <c r="G359"/>
  <c r="K349"/>
  <c r="J588" i="31" l="1"/>
  <c r="K588" s="1"/>
  <c r="J588" i="30"/>
  <c r="K588" s="1"/>
  <c r="K1040" i="11"/>
  <c r="J1040" i="31"/>
  <c r="K1040" s="1"/>
  <c r="J1040" i="30"/>
  <c r="K1040" s="1"/>
  <c r="J1040" i="29"/>
  <c r="K1040" s="1"/>
  <c r="K759" i="11"/>
  <c r="J759" i="31"/>
  <c r="K759" s="1"/>
  <c r="J759" i="30"/>
  <c r="K759" s="1"/>
  <c r="J759" i="29"/>
  <c r="K759" s="1"/>
  <c r="K511" i="11"/>
  <c r="J511" i="31"/>
  <c r="K511" s="1"/>
  <c r="J511" i="30"/>
  <c r="K511" s="1"/>
  <c r="J511" i="29"/>
  <c r="K511" s="1"/>
  <c r="K458" i="11"/>
  <c r="J458" i="31"/>
  <c r="K458" s="1"/>
  <c r="J458" i="30"/>
  <c r="K458" s="1"/>
  <c r="J458" i="29"/>
  <c r="K458" s="1"/>
  <c r="K549" i="11"/>
  <c r="J549" i="31"/>
  <c r="K549" s="1"/>
  <c r="J549" i="30"/>
  <c r="K549" s="1"/>
  <c r="J549" i="29"/>
  <c r="K549" s="1"/>
  <c r="K1069" i="11"/>
  <c r="J1069" i="31"/>
  <c r="K1069" s="1"/>
  <c r="J1069" i="30"/>
  <c r="K1069" s="1"/>
  <c r="J1069" i="29"/>
  <c r="K1069" s="1"/>
  <c r="K1020" i="11"/>
  <c r="J1020" i="31"/>
  <c r="K1020" s="1"/>
  <c r="J1020" i="30"/>
  <c r="K1020" s="1"/>
  <c r="J1020" i="29"/>
  <c r="K1020" s="1"/>
  <c r="K359" i="11"/>
  <c r="J359" i="31"/>
  <c r="K359" s="1"/>
  <c r="J359" i="30"/>
  <c r="K359" s="1"/>
  <c r="J359" i="29"/>
  <c r="K359" s="1"/>
  <c r="K1349" i="11"/>
  <c r="J1349" i="31"/>
  <c r="K1349" s="1"/>
  <c r="J1349" i="30"/>
  <c r="K1349" s="1"/>
  <c r="J1349" i="29"/>
  <c r="K1349" s="1"/>
  <c r="K742" i="11"/>
  <c r="J742" i="31"/>
  <c r="K742" s="1"/>
  <c r="J742" i="30"/>
  <c r="K742" s="1"/>
  <c r="J742" i="29"/>
  <c r="K742" s="1"/>
  <c r="K558" i="11"/>
  <c r="J558" i="31"/>
  <c r="K558" s="1"/>
  <c r="J558" i="30"/>
  <c r="K558" s="1"/>
  <c r="J558" i="29"/>
  <c r="K558" s="1"/>
  <c r="K583" i="11"/>
  <c r="J583" i="31"/>
  <c r="K583" s="1"/>
  <c r="J583" i="30"/>
  <c r="K583" s="1"/>
  <c r="J583" i="29"/>
  <c r="K583" s="1"/>
  <c r="K435" i="11"/>
  <c r="J435" i="31"/>
  <c r="K435" s="1"/>
  <c r="J435" i="30"/>
  <c r="K435" s="1"/>
  <c r="J435" i="29"/>
  <c r="K435" s="1"/>
  <c r="K1047" i="11"/>
  <c r="J1047" i="31"/>
  <c r="K1047" s="1"/>
  <c r="J1047" i="30"/>
  <c r="K1047" s="1"/>
  <c r="J1047" i="29"/>
  <c r="K1047" s="1"/>
  <c r="K1157" i="11"/>
  <c r="J1157" i="31"/>
  <c r="K1157" s="1"/>
  <c r="J1157" i="30"/>
  <c r="K1157" s="1"/>
  <c r="J1157" i="29"/>
  <c r="K1157" s="1"/>
  <c r="K518" i="11"/>
  <c r="J518" i="31"/>
  <c r="K518" s="1"/>
  <c r="J518" i="30"/>
  <c r="K518" s="1"/>
  <c r="J518" i="29"/>
  <c r="K518" s="1"/>
  <c r="K906" i="11"/>
  <c r="J906" i="31"/>
  <c r="K906" s="1"/>
  <c r="J906" i="30"/>
  <c r="K906" s="1"/>
  <c r="J906" i="29"/>
  <c r="K906" s="1"/>
  <c r="K367" i="11"/>
  <c r="J367" i="31"/>
  <c r="K367" s="1"/>
  <c r="J367" i="30"/>
  <c r="K367" s="1"/>
  <c r="J367" i="29"/>
  <c r="K367" s="1"/>
  <c r="K648" i="11"/>
  <c r="J648" i="31"/>
  <c r="K648" s="1"/>
  <c r="J648" i="30"/>
  <c r="K648" s="1"/>
  <c r="J648" i="29"/>
  <c r="K648" s="1"/>
  <c r="K399" i="11"/>
  <c r="J399" i="31"/>
  <c r="K399" s="1"/>
  <c r="J399" i="30"/>
  <c r="K399" s="1"/>
  <c r="J399" i="29"/>
  <c r="K399" s="1"/>
  <c r="K1430" i="11"/>
  <c r="J1430" i="31"/>
  <c r="K1430" s="1"/>
  <c r="J1430" i="30"/>
  <c r="K1430" s="1"/>
  <c r="J1430" i="29"/>
  <c r="K1430" s="1"/>
  <c r="K694" i="11"/>
  <c r="J694" i="31"/>
  <c r="K694" s="1"/>
  <c r="J694" i="30"/>
  <c r="K694" s="1"/>
  <c r="J694" i="29"/>
  <c r="K694" s="1"/>
  <c r="K380" i="11"/>
  <c r="J380" i="31"/>
  <c r="K380" s="1"/>
  <c r="J380" i="30"/>
  <c r="K380" s="1"/>
  <c r="J380" i="29"/>
  <c r="K380" s="1"/>
  <c r="K962" i="11"/>
  <c r="J962" i="31"/>
  <c r="K962" s="1"/>
  <c r="J962" i="30"/>
  <c r="K962" s="1"/>
  <c r="J962" i="29"/>
  <c r="K962" s="1"/>
  <c r="K788" i="11"/>
  <c r="J788" i="31"/>
  <c r="K788" s="1"/>
  <c r="J788" i="30"/>
  <c r="K788" s="1"/>
  <c r="J788" i="29"/>
  <c r="K788" s="1"/>
  <c r="K1367" i="11"/>
  <c r="J1367" i="31"/>
  <c r="K1367" s="1"/>
  <c r="J1367" i="30"/>
  <c r="K1367" s="1"/>
  <c r="J1367" i="29"/>
  <c r="K1367" s="1"/>
  <c r="K955" i="11"/>
  <c r="J955" i="31"/>
  <c r="K955" s="1"/>
  <c r="J955" i="30"/>
  <c r="K955" s="1"/>
  <c r="J955" i="29"/>
  <c r="K955" s="1"/>
  <c r="K1149" i="11"/>
  <c r="J1149" i="31"/>
  <c r="K1149" s="1"/>
  <c r="J1149" i="30"/>
  <c r="K1149" s="1"/>
  <c r="J1149" i="29"/>
  <c r="K1149" s="1"/>
  <c r="K989" i="11"/>
  <c r="J989" i="31"/>
  <c r="K989" s="1"/>
  <c r="J989" i="30"/>
  <c r="K989" s="1"/>
  <c r="J989" i="29"/>
  <c r="K989" s="1"/>
  <c r="K465" i="11"/>
  <c r="J465" i="31"/>
  <c r="K465" s="1"/>
  <c r="J465" i="29"/>
  <c r="K465" s="1"/>
  <c r="J465" i="30"/>
  <c r="K465" s="1"/>
  <c r="K795" i="11"/>
  <c r="J795" i="31"/>
  <c r="K795" s="1"/>
  <c r="J795" i="30"/>
  <c r="K795" s="1"/>
  <c r="J795" i="29"/>
  <c r="K795" s="1"/>
  <c r="K748" i="11"/>
  <c r="J748" i="31"/>
  <c r="K748" s="1"/>
  <c r="J748" i="30"/>
  <c r="K748" s="1"/>
  <c r="J748" i="29"/>
  <c r="K748" s="1"/>
  <c r="K655" i="11"/>
  <c r="J655" i="31"/>
  <c r="K655" s="1"/>
  <c r="J655" i="30"/>
  <c r="K655" s="1"/>
  <c r="J655" i="29"/>
  <c r="K655" s="1"/>
  <c r="K378" i="11"/>
  <c r="J378" i="31"/>
  <c r="K378" s="1"/>
  <c r="J378" i="30"/>
  <c r="K378" s="1"/>
  <c r="J378" i="29"/>
  <c r="K378" s="1"/>
  <c r="K734" i="11"/>
  <c r="J734" i="31"/>
  <c r="K734" s="1"/>
  <c r="J734" i="30"/>
  <c r="K734" s="1"/>
  <c r="J734" i="29"/>
  <c r="K734" s="1"/>
  <c r="K680" i="11"/>
  <c r="J680" i="31"/>
  <c r="K680" s="1"/>
  <c r="J680" i="30"/>
  <c r="K680" s="1"/>
  <c r="J680" i="29"/>
  <c r="K680" s="1"/>
  <c r="K752" i="11"/>
  <c r="J752" i="31"/>
  <c r="K752" s="1"/>
  <c r="J752" i="30"/>
  <c r="K752" s="1"/>
  <c r="J752" i="29"/>
  <c r="K752" s="1"/>
  <c r="K1135" i="11"/>
  <c r="J1135" i="31"/>
  <c r="K1135" s="1"/>
  <c r="J1135" i="30"/>
  <c r="K1135" s="1"/>
  <c r="J1135" i="29"/>
  <c r="K1135" s="1"/>
  <c r="K387" i="11"/>
  <c r="J387" i="31"/>
  <c r="K387" s="1"/>
  <c r="J387" i="30"/>
  <c r="K387" s="1"/>
  <c r="J387" i="29"/>
  <c r="K387" s="1"/>
  <c r="K1240" i="11"/>
  <c r="J1240" i="31"/>
  <c r="K1240" s="1"/>
  <c r="J1240" i="30"/>
  <c r="K1240" s="1"/>
  <c r="J1240" i="29"/>
  <c r="K1240" s="1"/>
  <c r="K611" i="11"/>
  <c r="J611" i="31"/>
  <c r="K611" s="1"/>
  <c r="J611" i="30"/>
  <c r="K611" s="1"/>
  <c r="J611" i="29"/>
  <c r="K611" s="1"/>
  <c r="K972" i="11"/>
  <c r="J972" i="31"/>
  <c r="K972" s="1"/>
  <c r="J972" i="30"/>
  <c r="K972" s="1"/>
  <c r="J972" i="29"/>
  <c r="K972" s="1"/>
  <c r="K1184" i="11"/>
  <c r="J1184" i="31"/>
  <c r="K1184" s="1"/>
  <c r="J1184" i="30"/>
  <c r="K1184" s="1"/>
  <c r="J1184" i="29"/>
  <c r="K1184" s="1"/>
  <c r="K1504" i="11"/>
  <c r="J1504" i="31"/>
  <c r="K1504" s="1"/>
  <c r="J1504" i="30"/>
  <c r="K1504" s="1"/>
  <c r="J1504" i="29"/>
  <c r="K1504" s="1"/>
  <c r="K1124" i="11"/>
  <c r="J1124" i="31"/>
  <c r="K1124" s="1"/>
  <c r="J1124" i="30"/>
  <c r="K1124" s="1"/>
  <c r="J1124" i="29"/>
  <c r="K1124" s="1"/>
  <c r="K1171" i="11"/>
  <c r="J1171" i="31"/>
  <c r="K1171" s="1"/>
  <c r="J1171" i="30"/>
  <c r="K1171" s="1"/>
  <c r="J1171" i="29"/>
  <c r="K1171" s="1"/>
  <c r="K1253" i="11"/>
  <c r="J1253" i="31"/>
  <c r="K1253" s="1"/>
  <c r="J1253" i="30"/>
  <c r="K1253" s="1"/>
  <c r="J1253" i="29"/>
  <c r="K1253" s="1"/>
  <c r="K635" i="11"/>
  <c r="J635" i="31"/>
  <c r="K635" s="1"/>
  <c r="J635" i="30"/>
  <c r="K635" s="1"/>
  <c r="J635" i="29"/>
  <c r="K635" s="1"/>
  <c r="K496" i="11"/>
  <c r="J496" i="31"/>
  <c r="K496" s="1"/>
  <c r="J496" i="30"/>
  <c r="K496" s="1"/>
  <c r="J496" i="29"/>
  <c r="K496" s="1"/>
  <c r="K1443" i="11"/>
  <c r="J1443" i="31"/>
  <c r="K1443" s="1"/>
  <c r="J1443" i="30"/>
  <c r="K1443" s="1"/>
  <c r="J1443" i="29"/>
  <c r="K1443" s="1"/>
  <c r="K826" i="11"/>
  <c r="J826" i="31"/>
  <c r="K826" s="1"/>
  <c r="J826" i="30"/>
  <c r="K826" s="1"/>
  <c r="J826" i="29"/>
  <c r="K826" s="1"/>
  <c r="K1218" i="11"/>
  <c r="J1218" i="31"/>
  <c r="K1218" s="1"/>
  <c r="J1218" i="30"/>
  <c r="K1218" s="1"/>
  <c r="J1218" i="29"/>
  <c r="K1218" s="1"/>
  <c r="K425" i="11"/>
  <c r="J425" i="31"/>
  <c r="K425" s="1"/>
  <c r="J425" i="30"/>
  <c r="K425" s="1"/>
  <c r="J425" i="29"/>
  <c r="K425" s="1"/>
  <c r="K1437" i="11"/>
  <c r="J1437" i="31"/>
  <c r="K1437" s="1"/>
  <c r="J1437" i="30"/>
  <c r="K1437" s="1"/>
  <c r="J1437" i="29"/>
  <c r="K1437" s="1"/>
  <c r="K507" i="11"/>
  <c r="J507" i="31"/>
  <c r="K507" s="1"/>
  <c r="J507" i="30"/>
  <c r="K507" s="1"/>
  <c r="J507" i="29"/>
  <c r="K507" s="1"/>
  <c r="K1613" i="11"/>
  <c r="J1613" i="31"/>
  <c r="K1613" s="1"/>
  <c r="J1613" i="30"/>
  <c r="K1613" s="1"/>
  <c r="J1613" i="29"/>
  <c r="K1613" s="1"/>
  <c r="K1374" i="11"/>
  <c r="J1374" i="31"/>
  <c r="K1374" s="1"/>
  <c r="J1374" i="30"/>
  <c r="K1374" s="1"/>
  <c r="J1374" i="29"/>
  <c r="K1374" s="1"/>
  <c r="K588" i="11"/>
  <c r="J588" i="29"/>
  <c r="K588" s="1"/>
  <c r="G517" i="11"/>
  <c r="G971"/>
  <c r="G473"/>
  <c r="G988"/>
  <c r="G1429"/>
  <c r="G392"/>
  <c r="G1148"/>
  <c r="G825"/>
  <c r="G741"/>
  <c r="G634"/>
  <c r="G1019"/>
  <c r="G794"/>
  <c r="G1097"/>
  <c r="G1503"/>
  <c r="G647"/>
  <c r="G371"/>
  <c r="G1039"/>
  <c r="G1134"/>
  <c r="G961"/>
  <c r="G610"/>
  <c r="G424"/>
  <c r="G557"/>
  <c r="G787"/>
  <c r="G457"/>
  <c r="G582"/>
  <c r="G1366"/>
  <c r="G1183"/>
  <c r="G506"/>
  <c r="G548"/>
  <c r="G434"/>
  <c r="G366"/>
  <c r="G386"/>
  <c r="G1231"/>
  <c r="G1217"/>
  <c r="G1436"/>
  <c r="G1170"/>
  <c r="G348"/>
  <c r="G377"/>
  <c r="G328"/>
  <c r="G319"/>
  <c r="G293"/>
  <c r="G286"/>
  <c r="K825" l="1"/>
  <c r="J825" i="31"/>
  <c r="K825" s="1"/>
  <c r="J825" i="30"/>
  <c r="K825" s="1"/>
  <c r="J825" i="29"/>
  <c r="K825" s="1"/>
  <c r="K328" i="11"/>
  <c r="J328" i="31"/>
  <c r="K328" s="1"/>
  <c r="J328" i="30"/>
  <c r="K328" s="1"/>
  <c r="J328" i="29"/>
  <c r="K328" s="1"/>
  <c r="K366" i="11"/>
  <c r="J366" i="31"/>
  <c r="K366" s="1"/>
  <c r="J366" i="30"/>
  <c r="K366" s="1"/>
  <c r="J366" i="29"/>
  <c r="K366" s="1"/>
  <c r="K787" i="11"/>
  <c r="J787" i="31"/>
  <c r="K787" s="1"/>
  <c r="J787" i="30"/>
  <c r="K787" s="1"/>
  <c r="J787" i="29"/>
  <c r="K787" s="1"/>
  <c r="K647" i="11"/>
  <c r="J647" i="31"/>
  <c r="K647" s="1"/>
  <c r="J647" i="30"/>
  <c r="K647" s="1"/>
  <c r="J647" i="29"/>
  <c r="K647" s="1"/>
  <c r="K1148" i="11"/>
  <c r="J1148" i="31"/>
  <c r="K1148" s="1"/>
  <c r="J1148" i="30"/>
  <c r="K1148" s="1"/>
  <c r="J1148" i="29"/>
  <c r="K1148" s="1"/>
  <c r="K377" i="11"/>
  <c r="J377" i="31"/>
  <c r="K377" s="1"/>
  <c r="J377" i="30"/>
  <c r="K377" s="1"/>
  <c r="J377" i="29"/>
  <c r="K377" s="1"/>
  <c r="K434" i="11"/>
  <c r="J434" i="31"/>
  <c r="K434" s="1"/>
  <c r="J434" i="30"/>
  <c r="K434" s="1"/>
  <c r="J434" i="29"/>
  <c r="K434" s="1"/>
  <c r="K557" i="11"/>
  <c r="J557" i="31"/>
  <c r="K557" s="1"/>
  <c r="J557" i="30"/>
  <c r="K557" s="1"/>
  <c r="J557" i="29"/>
  <c r="K557" s="1"/>
  <c r="K1503" i="11"/>
  <c r="J1503" i="31"/>
  <c r="K1503" s="1"/>
  <c r="J1503" i="30"/>
  <c r="K1503" s="1"/>
  <c r="J1503" i="29"/>
  <c r="K1503" s="1"/>
  <c r="K392" i="11"/>
  <c r="J392" i="31"/>
  <c r="K392" s="1"/>
  <c r="J392" i="30"/>
  <c r="K392" s="1"/>
  <c r="J392" i="29"/>
  <c r="K392" s="1"/>
  <c r="K319" i="11"/>
  <c r="J319" i="31"/>
  <c r="K319" s="1"/>
  <c r="J319" i="30"/>
  <c r="K319" s="1"/>
  <c r="J319" i="29"/>
  <c r="K319" s="1"/>
  <c r="K371" i="11"/>
  <c r="J371" i="31"/>
  <c r="K371" s="1"/>
  <c r="J371" i="30"/>
  <c r="K371" s="1"/>
  <c r="J371" i="29"/>
  <c r="K371" s="1"/>
  <c r="K348" i="11"/>
  <c r="J348" i="31"/>
  <c r="K348" s="1"/>
  <c r="J348" i="30"/>
  <c r="K348" s="1"/>
  <c r="J348" i="29"/>
  <c r="K348" s="1"/>
  <c r="K1097" i="11"/>
  <c r="J1097" i="31"/>
  <c r="K1097" s="1"/>
  <c r="J1097" i="30"/>
  <c r="K1097" s="1"/>
  <c r="J1097" i="29"/>
  <c r="K1097" s="1"/>
  <c r="K794" i="11"/>
  <c r="J794" i="31"/>
  <c r="K794" s="1"/>
  <c r="J794" i="30"/>
  <c r="K794" s="1"/>
  <c r="J794" i="29"/>
  <c r="K794" s="1"/>
  <c r="K1436" i="11"/>
  <c r="J1436" i="31"/>
  <c r="K1436" s="1"/>
  <c r="J1436" i="30"/>
  <c r="K1436" s="1"/>
  <c r="J1436" i="29"/>
  <c r="K1436" s="1"/>
  <c r="K1183" i="11"/>
  <c r="J1183" i="31"/>
  <c r="K1183" s="1"/>
  <c r="J1183" i="30"/>
  <c r="K1183" s="1"/>
  <c r="J1183" i="29"/>
  <c r="K1183" s="1"/>
  <c r="K961" i="11"/>
  <c r="J961" i="31"/>
  <c r="K961" s="1"/>
  <c r="J961" i="30"/>
  <c r="K961" s="1"/>
  <c r="J961" i="29"/>
  <c r="K961" s="1"/>
  <c r="K1019" i="11"/>
  <c r="J1019" i="31"/>
  <c r="K1019" s="1"/>
  <c r="J1019" i="30"/>
  <c r="K1019" s="1"/>
  <c r="J1019" i="29"/>
  <c r="K1019" s="1"/>
  <c r="K473" i="11"/>
  <c r="J473" i="31"/>
  <c r="K473" s="1"/>
  <c r="J473" i="30"/>
  <c r="K473" s="1"/>
  <c r="J473" i="29"/>
  <c r="K473" s="1"/>
  <c r="K457" i="11"/>
  <c r="J457" i="31"/>
  <c r="K457" s="1"/>
  <c r="J457" i="30"/>
  <c r="K457" s="1"/>
  <c r="J457" i="29"/>
  <c r="K457" s="1"/>
  <c r="K548" i="11"/>
  <c r="J548" i="31"/>
  <c r="K548" s="1"/>
  <c r="J548" i="30"/>
  <c r="K548" s="1"/>
  <c r="J548" i="29"/>
  <c r="K548" s="1"/>
  <c r="K1429" i="11"/>
  <c r="J1429" i="31"/>
  <c r="K1429" s="1"/>
  <c r="J1429" i="30"/>
  <c r="K1429" s="1"/>
  <c r="J1429" i="29"/>
  <c r="K1429" s="1"/>
  <c r="K610" i="11"/>
  <c r="J610" i="31"/>
  <c r="K610" s="1"/>
  <c r="J610" i="30"/>
  <c r="K610" s="1"/>
  <c r="J610" i="29"/>
  <c r="K610" s="1"/>
  <c r="K286" i="11"/>
  <c r="J286" i="31"/>
  <c r="K286" s="1"/>
  <c r="J286" i="30"/>
  <c r="K286" s="1"/>
  <c r="J286" i="29"/>
  <c r="K286" s="1"/>
  <c r="K1217" i="11"/>
  <c r="J1217" i="31"/>
  <c r="K1217" s="1"/>
  <c r="J1217" i="30"/>
  <c r="K1217" s="1"/>
  <c r="J1217" i="29"/>
  <c r="K1217" s="1"/>
  <c r="K1366" i="11"/>
  <c r="J1366" i="31"/>
  <c r="K1366" s="1"/>
  <c r="J1366" i="30"/>
  <c r="K1366" s="1"/>
  <c r="J1366" i="29"/>
  <c r="K1366" s="1"/>
  <c r="K1134" i="11"/>
  <c r="J1134" i="31"/>
  <c r="K1134" s="1"/>
  <c r="J1134" i="30"/>
  <c r="K1134" s="1"/>
  <c r="J1134" i="29"/>
  <c r="K1134" s="1"/>
  <c r="K634" i="11"/>
  <c r="J634" i="31"/>
  <c r="K634" s="1"/>
  <c r="J634" i="30"/>
  <c r="K634" s="1"/>
  <c r="J634" i="29"/>
  <c r="K634" s="1"/>
  <c r="K971" i="11"/>
  <c r="J971" i="31"/>
  <c r="K971" s="1"/>
  <c r="J971" i="30"/>
  <c r="K971" s="1"/>
  <c r="J971" i="29"/>
  <c r="K971" s="1"/>
  <c r="K386" i="11"/>
  <c r="J386" i="31"/>
  <c r="K386" s="1"/>
  <c r="J386" i="30"/>
  <c r="K386" s="1"/>
  <c r="J386" i="29"/>
  <c r="K386" s="1"/>
  <c r="K424" i="11"/>
  <c r="J424" i="31"/>
  <c r="K424" s="1"/>
  <c r="J424" i="30"/>
  <c r="K424" s="1"/>
  <c r="J424" i="29"/>
  <c r="K424" s="1"/>
  <c r="K1170" i="11"/>
  <c r="J1170" i="31"/>
  <c r="K1170" s="1"/>
  <c r="J1170" i="30"/>
  <c r="K1170" s="1"/>
  <c r="J1170" i="29"/>
  <c r="K1170" s="1"/>
  <c r="K506" i="11"/>
  <c r="J506" i="31"/>
  <c r="K506" s="1"/>
  <c r="J506" i="30"/>
  <c r="K506" s="1"/>
  <c r="J506" i="29"/>
  <c r="K506" s="1"/>
  <c r="K988" i="11"/>
  <c r="J988" i="31"/>
  <c r="K988" s="1"/>
  <c r="J988" i="30"/>
  <c r="K988" s="1"/>
  <c r="J988" i="29"/>
  <c r="K988" s="1"/>
  <c r="K293" i="11"/>
  <c r="J293" i="31"/>
  <c r="K293" s="1"/>
  <c r="J293" i="30"/>
  <c r="K293" s="1"/>
  <c r="J293" i="29"/>
  <c r="K293" s="1"/>
  <c r="K1231" i="11"/>
  <c r="J1231" i="31"/>
  <c r="K1231" s="1"/>
  <c r="J1231" i="30"/>
  <c r="K1231" s="1"/>
  <c r="J1231" i="29"/>
  <c r="K1231" s="1"/>
  <c r="K582" i="11"/>
  <c r="J582" i="31"/>
  <c r="K582" s="1"/>
  <c r="J582" i="29"/>
  <c r="K582" s="1"/>
  <c r="J582" i="30"/>
  <c r="K582" s="1"/>
  <c r="K1039" i="11"/>
  <c r="J1039" i="31"/>
  <c r="K1039" s="1"/>
  <c r="J1039" i="30"/>
  <c r="K1039" s="1"/>
  <c r="J1039" i="29"/>
  <c r="K1039" s="1"/>
  <c r="K741" i="11"/>
  <c r="J741" i="31"/>
  <c r="K741" s="1"/>
  <c r="J741" i="30"/>
  <c r="K741" s="1"/>
  <c r="J741" i="29"/>
  <c r="K741" s="1"/>
  <c r="K517" i="11"/>
  <c r="J517" i="31"/>
  <c r="K517" s="1"/>
  <c r="J517" i="30"/>
  <c r="K517" s="1"/>
  <c r="J517" i="29"/>
  <c r="K517" s="1"/>
  <c r="G516" i="11"/>
  <c r="G472"/>
  <c r="G970"/>
  <c r="G280"/>
  <c r="G646"/>
  <c r="G815"/>
  <c r="G1018"/>
  <c r="G1182"/>
  <c r="G733"/>
  <c r="G633"/>
  <c r="G793"/>
  <c r="G347"/>
  <c r="G433"/>
  <c r="G547"/>
  <c r="G505"/>
  <c r="G563"/>
  <c r="G423"/>
  <c r="G609"/>
  <c r="G960"/>
  <c r="G370"/>
  <c r="G292"/>
  <c r="G327"/>
  <c r="G376"/>
  <c r="G385"/>
  <c r="G365"/>
  <c r="G1428"/>
  <c r="G1096"/>
  <c r="K310"/>
  <c r="G334"/>
  <c r="J563" i="31" l="1"/>
  <c r="K563" s="1"/>
  <c r="J563" i="30"/>
  <c r="K563" s="1"/>
  <c r="K327" i="11"/>
  <c r="J327" i="31"/>
  <c r="K327" s="1"/>
  <c r="J327" i="30"/>
  <c r="K327" s="1"/>
  <c r="J327" i="29"/>
  <c r="K327" s="1"/>
  <c r="K547" i="11"/>
  <c r="J547" i="31"/>
  <c r="K547" s="1"/>
  <c r="J547" i="30"/>
  <c r="K547" s="1"/>
  <c r="J547" i="29"/>
  <c r="K547" s="1"/>
  <c r="K815" i="11"/>
  <c r="J815" i="31"/>
  <c r="K815" s="1"/>
  <c r="J815" i="30"/>
  <c r="K815" s="1"/>
  <c r="J815" i="29"/>
  <c r="K815" s="1"/>
  <c r="K385" i="11"/>
  <c r="J385" i="31"/>
  <c r="K385" s="1"/>
  <c r="J385" i="30"/>
  <c r="K385" s="1"/>
  <c r="J385" i="29"/>
  <c r="K385" s="1"/>
  <c r="K376" i="11"/>
  <c r="J376" i="31"/>
  <c r="K376" s="1"/>
  <c r="J376" i="30"/>
  <c r="K376" s="1"/>
  <c r="J376" i="29"/>
  <c r="K376" s="1"/>
  <c r="K1018" i="11"/>
  <c r="J1018" i="31"/>
  <c r="K1018" s="1"/>
  <c r="J1018" i="30"/>
  <c r="K1018" s="1"/>
  <c r="J1018" i="29"/>
  <c r="K1018" s="1"/>
  <c r="K334" i="11"/>
  <c r="J334" i="31"/>
  <c r="K334" s="1"/>
  <c r="J334" i="30"/>
  <c r="K334" s="1"/>
  <c r="J334" i="29"/>
  <c r="K334" s="1"/>
  <c r="K433" i="11"/>
  <c r="J433" i="31"/>
  <c r="K433" s="1"/>
  <c r="J433" i="30"/>
  <c r="K433" s="1"/>
  <c r="J433" i="29"/>
  <c r="K433" s="1"/>
  <c r="K347" i="11"/>
  <c r="J347" i="31"/>
  <c r="K347" s="1"/>
  <c r="J347" i="30"/>
  <c r="K347" s="1"/>
  <c r="J347" i="29"/>
  <c r="K347" s="1"/>
  <c r="K793" i="11"/>
  <c r="J793" i="31"/>
  <c r="K793" s="1"/>
  <c r="J793" i="30"/>
  <c r="K793" s="1"/>
  <c r="J793" i="29"/>
  <c r="K793" s="1"/>
  <c r="K1182" i="11"/>
  <c r="J1182" i="31"/>
  <c r="K1182" s="1"/>
  <c r="J1182" i="30"/>
  <c r="K1182" s="1"/>
  <c r="J1182" i="29"/>
  <c r="K1182" s="1"/>
  <c r="K292" i="11"/>
  <c r="J292" i="31"/>
  <c r="K292" s="1"/>
  <c r="J292" i="30"/>
  <c r="K292" s="1"/>
  <c r="J292" i="29"/>
  <c r="K292" s="1"/>
  <c r="K280" i="11"/>
  <c r="J280" i="31"/>
  <c r="K280" s="1"/>
  <c r="J280" i="30"/>
  <c r="K280" s="1"/>
  <c r="J280" i="29"/>
  <c r="K280" s="1"/>
  <c r="K1428" i="11"/>
  <c r="J1428" i="31"/>
  <c r="K1428" s="1"/>
  <c r="J1428" i="30"/>
  <c r="K1428" s="1"/>
  <c r="J1428" i="29"/>
  <c r="K1428" s="1"/>
  <c r="K472" i="11"/>
  <c r="J472" i="31"/>
  <c r="K472" s="1"/>
  <c r="J472" i="30"/>
  <c r="K472" s="1"/>
  <c r="J472" i="29"/>
  <c r="K472" s="1"/>
  <c r="K505" i="11"/>
  <c r="J505" i="31"/>
  <c r="K505" s="1"/>
  <c r="J505" i="30"/>
  <c r="K505" s="1"/>
  <c r="J505" i="29"/>
  <c r="K505" s="1"/>
  <c r="K646" i="11"/>
  <c r="J646" i="31"/>
  <c r="K646" s="1"/>
  <c r="J646" i="30"/>
  <c r="K646" s="1"/>
  <c r="J646" i="29"/>
  <c r="K646" s="1"/>
  <c r="K370" i="11"/>
  <c r="J370" i="31"/>
  <c r="K370" s="1"/>
  <c r="J370" i="30"/>
  <c r="K370" s="1"/>
  <c r="J370" i="29"/>
  <c r="K370" s="1"/>
  <c r="K1096" i="11"/>
  <c r="J1096" i="31"/>
  <c r="K1096" s="1"/>
  <c r="J1096" i="30"/>
  <c r="K1096" s="1"/>
  <c r="J1096" i="29"/>
  <c r="K1096" s="1"/>
  <c r="K960" i="11"/>
  <c r="J960" i="31"/>
  <c r="K960" s="1"/>
  <c r="J960" i="30"/>
  <c r="K960" s="1"/>
  <c r="J960" i="29"/>
  <c r="K960" s="1"/>
  <c r="K970" i="11"/>
  <c r="J970" i="31"/>
  <c r="K970" s="1"/>
  <c r="J970" i="30"/>
  <c r="K970" s="1"/>
  <c r="J970" i="29"/>
  <c r="K970" s="1"/>
  <c r="K609" i="11"/>
  <c r="J609" i="31"/>
  <c r="K609" s="1"/>
  <c r="J609" i="30"/>
  <c r="K609" s="1"/>
  <c r="J609" i="29"/>
  <c r="K609" s="1"/>
  <c r="K633" i="11"/>
  <c r="J633" i="31"/>
  <c r="K633" s="1"/>
  <c r="J633" i="30"/>
  <c r="K633" s="1"/>
  <c r="J633" i="29"/>
  <c r="K633" s="1"/>
  <c r="K365" i="11"/>
  <c r="J365" i="31"/>
  <c r="K365" s="1"/>
  <c r="J365" i="30"/>
  <c r="K365" s="1"/>
  <c r="J365" i="29"/>
  <c r="K365" s="1"/>
  <c r="K423" i="11"/>
  <c r="J423" i="31"/>
  <c r="K423" s="1"/>
  <c r="J423" i="30"/>
  <c r="K423" s="1"/>
  <c r="J423" i="29"/>
  <c r="K423" s="1"/>
  <c r="K733" i="11"/>
  <c r="J733" i="31"/>
  <c r="K733" s="1"/>
  <c r="J733" i="30"/>
  <c r="K733" s="1"/>
  <c r="J733" i="29"/>
  <c r="K733" s="1"/>
  <c r="K516" i="11"/>
  <c r="J516" i="31"/>
  <c r="K516" s="1"/>
  <c r="J516" i="30"/>
  <c r="K516" s="1"/>
  <c r="J516" i="29"/>
  <c r="K516" s="1"/>
  <c r="K563" i="11"/>
  <c r="J563" i="29"/>
  <c r="K563" s="1"/>
  <c r="G309" i="11"/>
  <c r="G732"/>
  <c r="G471"/>
  <c r="G369"/>
  <c r="G608"/>
  <c r="G279"/>
  <c r="G824"/>
  <c r="G645"/>
  <c r="G346"/>
  <c r="G333"/>
  <c r="G364"/>
  <c r="G384"/>
  <c r="G326"/>
  <c r="G391"/>
  <c r="G422"/>
  <c r="K422" l="1"/>
  <c r="J422" i="31"/>
  <c r="K422" s="1"/>
  <c r="J422" i="30"/>
  <c r="K422" s="1"/>
  <c r="J422" i="29"/>
  <c r="K422" s="1"/>
  <c r="K824" i="11"/>
  <c r="J824" i="31"/>
  <c r="K824" s="1"/>
  <c r="J824" i="30"/>
  <c r="K824" s="1"/>
  <c r="J824" i="29"/>
  <c r="K824" s="1"/>
  <c r="K391" i="11"/>
  <c r="J391" i="31"/>
  <c r="K391" s="1"/>
  <c r="J391" i="30"/>
  <c r="K391" s="1"/>
  <c r="J391" i="29"/>
  <c r="K391" s="1"/>
  <c r="K279" i="11"/>
  <c r="J279" i="31"/>
  <c r="K279" s="1"/>
  <c r="J279" i="30"/>
  <c r="K279" s="1"/>
  <c r="J279" i="29"/>
  <c r="K279" s="1"/>
  <c r="K364" i="11"/>
  <c r="J364" i="31"/>
  <c r="K364" s="1"/>
  <c r="J364" i="30"/>
  <c r="K364" s="1"/>
  <c r="J364" i="29"/>
  <c r="K364" s="1"/>
  <c r="K471" i="11"/>
  <c r="J471" i="31"/>
  <c r="K471" s="1"/>
  <c r="J471" i="30"/>
  <c r="K471" s="1"/>
  <c r="J471" i="29"/>
  <c r="K471" s="1"/>
  <c r="K645" i="11"/>
  <c r="J645" i="31"/>
  <c r="K645" s="1"/>
  <c r="J645" i="30"/>
  <c r="K645" s="1"/>
  <c r="J645" i="29"/>
  <c r="K645" s="1"/>
  <c r="K326" i="11"/>
  <c r="J326" i="31"/>
  <c r="K326" s="1"/>
  <c r="J326" i="30"/>
  <c r="K326" s="1"/>
  <c r="J326" i="29"/>
  <c r="K326" s="1"/>
  <c r="K384" i="11"/>
  <c r="J384" i="31"/>
  <c r="K384" s="1"/>
  <c r="J384" i="30"/>
  <c r="K384" s="1"/>
  <c r="J384" i="29"/>
  <c r="K384" s="1"/>
  <c r="K333" i="11"/>
  <c r="J333" i="31"/>
  <c r="K333" s="1"/>
  <c r="J333" i="30"/>
  <c r="K333" s="1"/>
  <c r="J333" i="29"/>
  <c r="K333" s="1"/>
  <c r="K732" i="11"/>
  <c r="J732" i="31"/>
  <c r="K732" s="1"/>
  <c r="J732" i="30"/>
  <c r="K732" s="1"/>
  <c r="J732" i="29"/>
  <c r="K732" s="1"/>
  <c r="K608" i="11"/>
  <c r="J608" i="31"/>
  <c r="K608" s="1"/>
  <c r="J608" i="30"/>
  <c r="K608" s="1"/>
  <c r="J608" i="29"/>
  <c r="K608" s="1"/>
  <c r="K369" i="11"/>
  <c r="J369" i="31"/>
  <c r="K369" s="1"/>
  <c r="J369" i="29"/>
  <c r="K369" s="1"/>
  <c r="J369" i="30"/>
  <c r="K369" s="1"/>
  <c r="K346" i="11"/>
  <c r="J346" i="31"/>
  <c r="K346" s="1"/>
  <c r="J346" i="30"/>
  <c r="K346" s="1"/>
  <c r="J346" i="29"/>
  <c r="K346" s="1"/>
  <c r="K309" i="11"/>
  <c r="J309" i="31"/>
  <c r="K309" s="1"/>
  <c r="J309" i="30"/>
  <c r="K309" s="1"/>
  <c r="J309" i="29"/>
  <c r="K309" s="1"/>
  <c r="G308" i="11"/>
  <c r="G432"/>
  <c r="G731"/>
  <c r="G823"/>
  <c r="G325"/>
  <c r="G383"/>
  <c r="G363"/>
  <c r="G332"/>
  <c r="G278"/>
  <c r="G390"/>
  <c r="G251"/>
  <c r="G226"/>
  <c r="G222"/>
  <c r="G217"/>
  <c r="K195"/>
  <c r="G190"/>
  <c r="G185"/>
  <c r="G178"/>
  <c r="G173"/>
  <c r="G161"/>
  <c r="K148"/>
  <c r="G140"/>
  <c r="G136"/>
  <c r="G131"/>
  <c r="G127"/>
  <c r="G121"/>
  <c r="G115"/>
  <c r="G112"/>
  <c r="G105"/>
  <c r="G99"/>
  <c r="K93"/>
  <c r="G90"/>
  <c r="K161" l="1"/>
  <c r="J161" i="31"/>
  <c r="K161" s="1"/>
  <c r="J161" i="30"/>
  <c r="K161" s="1"/>
  <c r="J161" i="29"/>
  <c r="K161" s="1"/>
  <c r="K115" i="11"/>
  <c r="J115" i="31"/>
  <c r="K115" s="1"/>
  <c r="J115" i="30"/>
  <c r="K115" s="1"/>
  <c r="J115" i="29"/>
  <c r="K115" s="1"/>
  <c r="K121" i="11"/>
  <c r="J121" i="31"/>
  <c r="K121" s="1"/>
  <c r="J121" i="30"/>
  <c r="K121" s="1"/>
  <c r="J121" i="29"/>
  <c r="K121" s="1"/>
  <c r="K178" i="11"/>
  <c r="J178" i="31"/>
  <c r="K178" s="1"/>
  <c r="J178" i="30"/>
  <c r="K178" s="1"/>
  <c r="J178" i="29"/>
  <c r="K178" s="1"/>
  <c r="K390" i="11"/>
  <c r="J390" i="31"/>
  <c r="K390" s="1"/>
  <c r="J390" i="30"/>
  <c r="K390" s="1"/>
  <c r="J390" i="29"/>
  <c r="K390" s="1"/>
  <c r="J432" i="31"/>
  <c r="K432" s="1"/>
  <c r="J432" i="30"/>
  <c r="K432" s="1"/>
  <c r="K823" i="11"/>
  <c r="J823" i="31"/>
  <c r="K823" s="1"/>
  <c r="J823" i="30"/>
  <c r="K823" s="1"/>
  <c r="J823" i="29"/>
  <c r="K823" s="1"/>
  <c r="K173" i="11"/>
  <c r="J173" i="31"/>
  <c r="K173" s="1"/>
  <c r="J173" i="30"/>
  <c r="K173" s="1"/>
  <c r="J173" i="29"/>
  <c r="K173" s="1"/>
  <c r="K278" i="11"/>
  <c r="J278" i="31"/>
  <c r="K278" s="1"/>
  <c r="J278" i="30"/>
  <c r="K278" s="1"/>
  <c r="J278" i="29"/>
  <c r="K278" s="1"/>
  <c r="K90" i="11"/>
  <c r="J90" i="31"/>
  <c r="K90" s="1"/>
  <c r="J90" i="30"/>
  <c r="K90" s="1"/>
  <c r="J90" i="29"/>
  <c r="K90" s="1"/>
  <c r="K363" i="11"/>
  <c r="J363" i="31"/>
  <c r="K363" s="1"/>
  <c r="J363" i="29"/>
  <c r="K363" s="1"/>
  <c r="J363" i="30"/>
  <c r="K363" s="1"/>
  <c r="K226" i="11"/>
  <c r="J226" i="31"/>
  <c r="K226" s="1"/>
  <c r="J226" i="30"/>
  <c r="K226" s="1"/>
  <c r="J226" i="29"/>
  <c r="K226" s="1"/>
  <c r="K185" i="11"/>
  <c r="J185" i="31"/>
  <c r="K185" s="1"/>
  <c r="J185" i="30"/>
  <c r="K185" s="1"/>
  <c r="J185" i="29"/>
  <c r="K185" s="1"/>
  <c r="K308" i="11"/>
  <c r="J308" i="31"/>
  <c r="K308" s="1"/>
  <c r="J308" i="30"/>
  <c r="K308" s="1"/>
  <c r="J308" i="29"/>
  <c r="K308" s="1"/>
  <c r="K190" i="11"/>
  <c r="J190" i="31"/>
  <c r="K190" s="1"/>
  <c r="J190" i="30"/>
  <c r="K190" s="1"/>
  <c r="J190" i="29"/>
  <c r="K190" s="1"/>
  <c r="K140" i="11"/>
  <c r="J140" i="31"/>
  <c r="K140" s="1"/>
  <c r="J140" i="30"/>
  <c r="K140" s="1"/>
  <c r="J140" i="29"/>
  <c r="K140" s="1"/>
  <c r="K383" i="11"/>
  <c r="J383" i="31"/>
  <c r="K383" s="1"/>
  <c r="J383" i="30"/>
  <c r="K383" s="1"/>
  <c r="J383" i="29"/>
  <c r="K383" s="1"/>
  <c r="K112" i="11"/>
  <c r="J112" i="31"/>
  <c r="K112" s="1"/>
  <c r="J112" i="30"/>
  <c r="K112" s="1"/>
  <c r="J112" i="29"/>
  <c r="K112" s="1"/>
  <c r="K251" i="11"/>
  <c r="J251" i="31"/>
  <c r="K251" s="1"/>
  <c r="J251" i="30"/>
  <c r="K251" s="1"/>
  <c r="J251" i="29"/>
  <c r="K251" s="1"/>
  <c r="K731" i="11"/>
  <c r="J731" i="31"/>
  <c r="K731" s="1"/>
  <c r="J731" i="30"/>
  <c r="K731" s="1"/>
  <c r="J731" i="29"/>
  <c r="K731" s="1"/>
  <c r="K127" i="11"/>
  <c r="J127" i="31"/>
  <c r="K127" s="1"/>
  <c r="J127" i="30"/>
  <c r="K127" s="1"/>
  <c r="J127" i="29"/>
  <c r="K127" s="1"/>
  <c r="K131" i="11"/>
  <c r="J131" i="31"/>
  <c r="K131" s="1"/>
  <c r="J131" i="30"/>
  <c r="K131" s="1"/>
  <c r="J131" i="29"/>
  <c r="K131" s="1"/>
  <c r="K332" i="11"/>
  <c r="J332" i="31"/>
  <c r="K332" s="1"/>
  <c r="J332" i="30"/>
  <c r="K332" s="1"/>
  <c r="J332" i="29"/>
  <c r="K332" s="1"/>
  <c r="K136" i="11"/>
  <c r="J136" i="31"/>
  <c r="K136" s="1"/>
  <c r="J136" i="29"/>
  <c r="K136" s="1"/>
  <c r="J136" i="30"/>
  <c r="K136" s="1"/>
  <c r="K99" i="11"/>
  <c r="J99" i="31"/>
  <c r="K99" s="1"/>
  <c r="J99" i="29"/>
  <c r="K99" s="1"/>
  <c r="J99" i="30"/>
  <c r="K99" s="1"/>
  <c r="K217" i="11"/>
  <c r="J217" i="31"/>
  <c r="K217" s="1"/>
  <c r="J217" i="30"/>
  <c r="K217" s="1"/>
  <c r="J217" i="29"/>
  <c r="K217" s="1"/>
  <c r="K105" i="11"/>
  <c r="J105" i="31"/>
  <c r="K105" s="1"/>
  <c r="J105" i="30"/>
  <c r="K105" s="1"/>
  <c r="J105" i="29"/>
  <c r="K105" s="1"/>
  <c r="K222" i="11"/>
  <c r="J222" i="31"/>
  <c r="K222" s="1"/>
  <c r="J222" i="30"/>
  <c r="K222" s="1"/>
  <c r="J222" i="29"/>
  <c r="K222" s="1"/>
  <c r="K325" i="11"/>
  <c r="J325" i="31"/>
  <c r="K325" s="1"/>
  <c r="J325" i="30"/>
  <c r="K325" s="1"/>
  <c r="J325" i="29"/>
  <c r="K325" s="1"/>
  <c r="K432" i="11"/>
  <c r="J432" i="29"/>
  <c r="K432" s="1"/>
  <c r="G194" i="11"/>
  <c r="G814"/>
  <c r="G277"/>
  <c r="G168"/>
  <c r="G632"/>
  <c r="G126"/>
  <c r="G139"/>
  <c r="G189"/>
  <c r="G431"/>
  <c r="G331"/>
  <c r="G345"/>
  <c r="G104"/>
  <c r="K147"/>
  <c r="G221"/>
  <c r="G120"/>
  <c r="G130"/>
  <c r="G135"/>
  <c r="G160"/>
  <c r="G184"/>
  <c r="G216"/>
  <c r="G225"/>
  <c r="G234"/>
  <c r="G250"/>
  <c r="G382"/>
  <c r="G111"/>
  <c r="G77"/>
  <c r="K184" l="1"/>
  <c r="J184" i="31"/>
  <c r="K184" s="1"/>
  <c r="J184" i="30"/>
  <c r="K184" s="1"/>
  <c r="J184" i="29"/>
  <c r="K184" s="1"/>
  <c r="K345" i="11"/>
  <c r="J345" i="31"/>
  <c r="K345" s="1"/>
  <c r="J345" i="30"/>
  <c r="K345" s="1"/>
  <c r="J345" i="29"/>
  <c r="K345" s="1"/>
  <c r="K277" i="11"/>
  <c r="J277" i="31"/>
  <c r="K277" s="1"/>
  <c r="J277" i="30"/>
  <c r="K277" s="1"/>
  <c r="J277" i="29"/>
  <c r="K277" s="1"/>
  <c r="K77" i="11"/>
  <c r="J77" i="31"/>
  <c r="K77" s="1"/>
  <c r="J77" i="30"/>
  <c r="K77" s="1"/>
  <c r="J77" i="29"/>
  <c r="K77" s="1"/>
  <c r="K160" i="11"/>
  <c r="J160" i="31"/>
  <c r="K160" s="1"/>
  <c r="J160" i="30"/>
  <c r="K160" s="1"/>
  <c r="J160" i="29"/>
  <c r="K160" s="1"/>
  <c r="K331" i="11"/>
  <c r="J331" i="31"/>
  <c r="K331" s="1"/>
  <c r="J331" i="30"/>
  <c r="K331" s="1"/>
  <c r="J331" i="29"/>
  <c r="K331" s="1"/>
  <c r="K814" i="11"/>
  <c r="J814" i="31"/>
  <c r="K814" s="1"/>
  <c r="J814" i="30"/>
  <c r="K814" s="1"/>
  <c r="J814" i="29"/>
  <c r="K814" s="1"/>
  <c r="K216" i="11"/>
  <c r="J216" i="31"/>
  <c r="K216" s="1"/>
  <c r="J216" i="30"/>
  <c r="K216" s="1"/>
  <c r="J216" i="29"/>
  <c r="K216" s="1"/>
  <c r="K111" i="11"/>
  <c r="J111" i="31"/>
  <c r="K111" s="1"/>
  <c r="J111" i="29"/>
  <c r="K111" s="1"/>
  <c r="J111" i="30"/>
  <c r="K111" s="1"/>
  <c r="K382" i="11"/>
  <c r="J382" i="31"/>
  <c r="K382" s="1"/>
  <c r="J382" i="30"/>
  <c r="K382" s="1"/>
  <c r="J382" i="29"/>
  <c r="K382" s="1"/>
  <c r="K189" i="11"/>
  <c r="J189" i="31"/>
  <c r="K189" s="1"/>
  <c r="J189" i="30"/>
  <c r="K189" s="1"/>
  <c r="J189" i="29"/>
  <c r="K189" s="1"/>
  <c r="K250" i="11"/>
  <c r="J250" i="31"/>
  <c r="K250" s="1"/>
  <c r="J250" i="30"/>
  <c r="K250" s="1"/>
  <c r="J250" i="29"/>
  <c r="K250" s="1"/>
  <c r="K120" i="11"/>
  <c r="J120" i="31"/>
  <c r="K120" s="1"/>
  <c r="J120" i="30"/>
  <c r="K120" s="1"/>
  <c r="J120" i="29"/>
  <c r="K120" s="1"/>
  <c r="K139" i="11"/>
  <c r="J139" i="31"/>
  <c r="K139" s="1"/>
  <c r="J139" i="29"/>
  <c r="K139" s="1"/>
  <c r="J139" i="30"/>
  <c r="K139" s="1"/>
  <c r="K168" i="11"/>
  <c r="J168" i="31"/>
  <c r="K168" s="1"/>
  <c r="J168" i="30"/>
  <c r="K168" s="1"/>
  <c r="J168" i="29"/>
  <c r="K168" s="1"/>
  <c r="K135" i="11"/>
  <c r="J135" i="31"/>
  <c r="K135" s="1"/>
  <c r="J135" i="30"/>
  <c r="K135" s="1"/>
  <c r="J135" i="29"/>
  <c r="K135" s="1"/>
  <c r="K194" i="11"/>
  <c r="J194" i="31"/>
  <c r="K194" s="1"/>
  <c r="J194" i="30"/>
  <c r="K194" s="1"/>
  <c r="J194" i="29"/>
  <c r="K194" s="1"/>
  <c r="K234" i="11"/>
  <c r="J234" i="31"/>
  <c r="K234" s="1"/>
  <c r="J234" i="30"/>
  <c r="K234" s="1"/>
  <c r="J234" i="29"/>
  <c r="K234" s="1"/>
  <c r="K221" i="11"/>
  <c r="J221" i="31"/>
  <c r="K221" s="1"/>
  <c r="J221" i="30"/>
  <c r="K221" s="1"/>
  <c r="J221" i="29"/>
  <c r="K221" s="1"/>
  <c r="K126" i="11"/>
  <c r="J126" i="31"/>
  <c r="K126" s="1"/>
  <c r="J126" i="30"/>
  <c r="K126" s="1"/>
  <c r="J126" i="29"/>
  <c r="K126" s="1"/>
  <c r="K104" i="11"/>
  <c r="J104" i="31"/>
  <c r="K104" s="1"/>
  <c r="J104" i="30"/>
  <c r="K104" s="1"/>
  <c r="J104" i="29"/>
  <c r="K104" s="1"/>
  <c r="J431" i="31"/>
  <c r="K431" s="1"/>
  <c r="J431" i="30"/>
  <c r="K431" s="1"/>
  <c r="K130" i="11"/>
  <c r="J130" i="31"/>
  <c r="K130" s="1"/>
  <c r="J130" i="30"/>
  <c r="K130" s="1"/>
  <c r="J130" i="29"/>
  <c r="K130" s="1"/>
  <c r="K225" i="11"/>
  <c r="J225" i="31"/>
  <c r="K225" s="1"/>
  <c r="J225" i="30"/>
  <c r="K225" s="1"/>
  <c r="J225" i="29"/>
  <c r="K225" s="1"/>
  <c r="K632" i="11"/>
  <c r="J632" i="31"/>
  <c r="K632" s="1"/>
  <c r="J632" i="30"/>
  <c r="K632" s="1"/>
  <c r="J632" i="29"/>
  <c r="K632" s="1"/>
  <c r="K431" i="11"/>
  <c r="J431" i="29"/>
  <c r="G125" i="11"/>
  <c r="G76"/>
  <c r="G324"/>
  <c r="G229"/>
  <c r="G119"/>
  <c r="G134"/>
  <c r="G215"/>
  <c r="G193"/>
  <c r="G110"/>
  <c r="G249"/>
  <c r="G183"/>
  <c r="G159"/>
  <c r="G103"/>
  <c r="G276"/>
  <c r="G188"/>
  <c r="G344"/>
  <c r="G38"/>
  <c r="G20"/>
  <c r="G10"/>
  <c r="K159" l="1"/>
  <c r="J159" i="31"/>
  <c r="K159" s="1"/>
  <c r="J159" i="30"/>
  <c r="K159" s="1"/>
  <c r="J159" i="29"/>
  <c r="K159" s="1"/>
  <c r="K183" i="11"/>
  <c r="J183" i="31"/>
  <c r="K183" s="1"/>
  <c r="J183" i="30"/>
  <c r="K183" s="1"/>
  <c r="J183" i="29"/>
  <c r="K183" s="1"/>
  <c r="K20" i="11"/>
  <c r="J20" i="31"/>
  <c r="K20" s="1"/>
  <c r="J20" i="30"/>
  <c r="K20" s="1"/>
  <c r="J20" i="29"/>
  <c r="K20" s="1"/>
  <c r="K249" i="11"/>
  <c r="J249" i="31"/>
  <c r="K249" s="1"/>
  <c r="J249" i="30"/>
  <c r="K249" s="1"/>
  <c r="J249" i="29"/>
  <c r="K249" s="1"/>
  <c r="K76" i="11"/>
  <c r="J76" i="31"/>
  <c r="K76" s="1"/>
  <c r="J76" i="30"/>
  <c r="K76" s="1"/>
  <c r="J76" i="29"/>
  <c r="K76" s="1"/>
  <c r="K324" i="11"/>
  <c r="J324" i="31"/>
  <c r="K324" s="1"/>
  <c r="J324" i="30"/>
  <c r="K324" s="1"/>
  <c r="J324" i="29"/>
  <c r="K324" s="1"/>
  <c r="K38" i="11"/>
  <c r="J38" i="31"/>
  <c r="K38" s="1"/>
  <c r="J38" i="30"/>
  <c r="K38" s="1"/>
  <c r="J38" i="29"/>
  <c r="K38" s="1"/>
  <c r="K193" i="11"/>
  <c r="J193" i="31"/>
  <c r="K193" s="1"/>
  <c r="J193" i="30"/>
  <c r="K193" s="1"/>
  <c r="J193" i="29"/>
  <c r="K193" s="1"/>
  <c r="K188" i="11"/>
  <c r="J188" i="31"/>
  <c r="K188" s="1"/>
  <c r="J188" i="30"/>
  <c r="K188" s="1"/>
  <c r="J188" i="29"/>
  <c r="K188" s="1"/>
  <c r="K229" i="11"/>
  <c r="J229" i="31"/>
  <c r="K229" s="1"/>
  <c r="J229" i="30"/>
  <c r="K229" s="1"/>
  <c r="J229" i="29"/>
  <c r="K229" s="1"/>
  <c r="K110" i="11"/>
  <c r="J110" i="31"/>
  <c r="K110" s="1"/>
  <c r="J110" i="30"/>
  <c r="K110" s="1"/>
  <c r="J110" i="29"/>
  <c r="K110" s="1"/>
  <c r="K344" i="11"/>
  <c r="J344" i="31"/>
  <c r="K344" s="1"/>
  <c r="J344" i="29"/>
  <c r="K344" s="1"/>
  <c r="J344" i="30"/>
  <c r="K344" s="1"/>
  <c r="K276" i="11"/>
  <c r="J276" i="31"/>
  <c r="K276" s="1"/>
  <c r="J276" i="29"/>
  <c r="K276" s="1"/>
  <c r="J276" i="30"/>
  <c r="K276" s="1"/>
  <c r="K10" i="11"/>
  <c r="J10" i="31"/>
  <c r="K10" s="1"/>
  <c r="J10" i="30"/>
  <c r="K10" s="1"/>
  <c r="J10" i="29"/>
  <c r="K10" s="1"/>
  <c r="K125" i="11"/>
  <c r="J125" i="31"/>
  <c r="K125" s="1"/>
  <c r="J125" i="30"/>
  <c r="K125" s="1"/>
  <c r="J125" i="29"/>
  <c r="K125" s="1"/>
  <c r="K215" i="11"/>
  <c r="J215" i="31"/>
  <c r="K215" s="1"/>
  <c r="J215" i="29"/>
  <c r="K215" s="1"/>
  <c r="J215" i="30"/>
  <c r="K215" s="1"/>
  <c r="K134" i="11"/>
  <c r="J134" i="31"/>
  <c r="K134" s="1"/>
  <c r="J134" i="30"/>
  <c r="K134" s="1"/>
  <c r="J134" i="29"/>
  <c r="K134" s="1"/>
  <c r="K103" i="11"/>
  <c r="J103" i="31"/>
  <c r="K103" s="1"/>
  <c r="J103" i="30"/>
  <c r="K103" s="1"/>
  <c r="J103" i="29"/>
  <c r="K103" s="1"/>
  <c r="K119" i="11"/>
  <c r="J119" i="31"/>
  <c r="K119" s="1"/>
  <c r="J119" i="30"/>
  <c r="K119" s="1"/>
  <c r="J119" i="29"/>
  <c r="K119" s="1"/>
  <c r="K431"/>
  <c r="G43" i="11"/>
  <c r="G214"/>
  <c r="G9"/>
  <c r="G102"/>
  <c r="G323"/>
  <c r="G118"/>
  <c r="G124"/>
  <c r="G33"/>
  <c r="G187"/>
  <c r="G109"/>
  <c r="G75"/>
  <c r="G158"/>
  <c r="G248"/>
  <c r="K109" l="1"/>
  <c r="J109" i="31"/>
  <c r="K109" s="1"/>
  <c r="J109" i="30"/>
  <c r="K109" s="1"/>
  <c r="J109" i="29"/>
  <c r="K109" s="1"/>
  <c r="K43" i="11"/>
  <c r="J43" i="31"/>
  <c r="K43" s="1"/>
  <c r="J43" i="30"/>
  <c r="K43" s="1"/>
  <c r="J43" i="29"/>
  <c r="K43" s="1"/>
  <c r="K33" i="11"/>
  <c r="J33" i="31"/>
  <c r="K33" s="1"/>
  <c r="J33" i="30"/>
  <c r="K33" s="1"/>
  <c r="J33" i="29"/>
  <c r="K33" s="1"/>
  <c r="K187" i="11"/>
  <c r="J187" i="31"/>
  <c r="K187" s="1"/>
  <c r="J187" i="30"/>
  <c r="K187" s="1"/>
  <c r="J187" i="29"/>
  <c r="K187" s="1"/>
  <c r="K214" i="11"/>
  <c r="J214" i="31"/>
  <c r="K214" s="1"/>
  <c r="J214" i="30"/>
  <c r="K214" s="1"/>
  <c r="J214" i="29"/>
  <c r="K214" s="1"/>
  <c r="K124" i="11"/>
  <c r="J124" i="31"/>
  <c r="K124" s="1"/>
  <c r="J124" i="30"/>
  <c r="K124" s="1"/>
  <c r="J124" i="29"/>
  <c r="K124" s="1"/>
  <c r="K118" i="11"/>
  <c r="J118" i="31"/>
  <c r="K118" s="1"/>
  <c r="J118" i="30"/>
  <c r="K118" s="1"/>
  <c r="J118" i="29"/>
  <c r="K118" s="1"/>
  <c r="K248" i="11"/>
  <c r="J248" i="31"/>
  <c r="K248" s="1"/>
  <c r="J248" i="30"/>
  <c r="K248" s="1"/>
  <c r="J248" i="29"/>
  <c r="K248" s="1"/>
  <c r="K102" i="11"/>
  <c r="J102" i="31"/>
  <c r="K102" s="1"/>
  <c r="J102" i="30"/>
  <c r="K102" s="1"/>
  <c r="J102" i="29"/>
  <c r="K102" s="1"/>
  <c r="K323" i="11"/>
  <c r="J323" i="31"/>
  <c r="K323" s="1"/>
  <c r="J323" i="29"/>
  <c r="K323" s="1"/>
  <c r="J323" i="30"/>
  <c r="K323" s="1"/>
  <c r="K158" i="11"/>
  <c r="J158" i="31"/>
  <c r="K158" s="1"/>
  <c r="J158" i="30"/>
  <c r="K158" s="1"/>
  <c r="J158" i="29"/>
  <c r="K158" s="1"/>
  <c r="K75" i="11"/>
  <c r="J75" i="31"/>
  <c r="K75" s="1"/>
  <c r="J75" i="30"/>
  <c r="K75" s="1"/>
  <c r="J75" i="29"/>
  <c r="K75" s="1"/>
  <c r="K9" i="11"/>
  <c r="J9" i="31"/>
  <c r="K9" s="1"/>
  <c r="J9" i="30"/>
  <c r="K9" s="1"/>
  <c r="J9" i="29"/>
  <c r="K9" s="1"/>
  <c r="G42" i="11"/>
  <c r="G8"/>
  <c r="G108"/>
  <c r="G275"/>
  <c r="G247"/>
  <c r="G213"/>
  <c r="K275" l="1"/>
  <c r="J275" i="31"/>
  <c r="K275" s="1"/>
  <c r="J275" i="30"/>
  <c r="K275" s="1"/>
  <c r="J275" i="29"/>
  <c r="K275" s="1"/>
  <c r="K8" i="11"/>
  <c r="J8" i="31"/>
  <c r="K8" s="1"/>
  <c r="J8" i="29"/>
  <c r="K8" s="1"/>
  <c r="J8" i="30"/>
  <c r="K8" s="1"/>
  <c r="K108" i="11"/>
  <c r="J108" i="31"/>
  <c r="K108" s="1"/>
  <c r="J108" i="30"/>
  <c r="K108" s="1"/>
  <c r="J108" i="29"/>
  <c r="K108" s="1"/>
  <c r="K42" i="11"/>
  <c r="J42" i="31"/>
  <c r="K42" s="1"/>
  <c r="J42" i="30"/>
  <c r="K42" s="1"/>
  <c r="J42" i="29"/>
  <c r="K42" s="1"/>
  <c r="K213" i="11"/>
  <c r="J213" i="31"/>
  <c r="K213" s="1"/>
  <c r="J213" i="30"/>
  <c r="K213" s="1"/>
  <c r="J213" i="29"/>
  <c r="K213" s="1"/>
  <c r="K247" i="11"/>
  <c r="J247" i="31"/>
  <c r="K247" s="1"/>
  <c r="J247" i="30"/>
  <c r="K247" s="1"/>
  <c r="J247" i="29"/>
  <c r="K247" s="1"/>
  <c r="G63" i="11"/>
  <c r="G212"/>
  <c r="G7"/>
  <c r="K7" l="1"/>
  <c r="J7" i="31"/>
  <c r="K7" s="1"/>
  <c r="J7" i="29"/>
  <c r="K7" s="1"/>
  <c r="J7" i="30"/>
  <c r="K7" s="1"/>
  <c r="K212" i="11"/>
  <c r="J212" i="31"/>
  <c r="K212" s="1"/>
  <c r="J212" i="30"/>
  <c r="K212" s="1"/>
  <c r="J212" i="29"/>
  <c r="K212" s="1"/>
  <c r="K63" i="11"/>
  <c r="J63" i="31"/>
  <c r="K63" s="1"/>
  <c r="J63" i="30"/>
  <c r="K63" s="1"/>
  <c r="J63" i="29"/>
  <c r="K63" s="1"/>
  <c r="G6" i="11"/>
  <c r="G62"/>
  <c r="K62" l="1"/>
  <c r="J62" i="31"/>
  <c r="K62" s="1"/>
  <c r="J62" i="30"/>
  <c r="K62" s="1"/>
  <c r="J62" i="29"/>
  <c r="K62" s="1"/>
  <c r="K6" i="11"/>
  <c r="J6" i="31"/>
  <c r="K6" s="1"/>
  <c r="J6" i="30"/>
  <c r="K6" s="1"/>
  <c r="J6" i="29"/>
  <c r="K6" s="1"/>
  <c r="G5" i="11"/>
  <c r="K5" l="1"/>
  <c r="J5" i="31"/>
  <c r="J5" i="30"/>
  <c r="J5" i="29"/>
  <c r="G1398" i="11"/>
  <c r="K5" i="31" l="1"/>
  <c r="K1398" i="11"/>
  <c r="J1398" i="31"/>
  <c r="K1398" s="1"/>
  <c r="J1398" i="30"/>
  <c r="K1398" s="1"/>
  <c r="J1398" i="29"/>
  <c r="K1398" s="1"/>
  <c r="K5"/>
  <c r="K5" i="30"/>
  <c r="G1397" i="11"/>
  <c r="K1397" l="1"/>
  <c r="J1397" i="31"/>
  <c r="K1397" s="1"/>
  <c r="J1397" i="30"/>
  <c r="K1397" s="1"/>
  <c r="J1397" i="29"/>
  <c r="K1397" s="1"/>
  <c r="G1390" i="11"/>
  <c r="K1390" l="1"/>
  <c r="J1390" i="31"/>
  <c r="K1390" s="1"/>
  <c r="J1390" i="30"/>
  <c r="K1390" s="1"/>
  <c r="J1390" i="29"/>
  <c r="K1390" s="1"/>
  <c r="G1365" i="11"/>
  <c r="K1365" l="1"/>
  <c r="J1365" i="31"/>
  <c r="K1365" s="1"/>
  <c r="J1365" i="30"/>
  <c r="K1365" s="1"/>
  <c r="J1365" i="29"/>
  <c r="K1365" s="1"/>
  <c r="G1348" i="11"/>
  <c r="K1348" l="1"/>
  <c r="J1348" i="31"/>
  <c r="J1348" i="30"/>
  <c r="J1348" i="29"/>
  <c r="K1691" i="11"/>
  <c r="K1348" i="31" l="1"/>
  <c r="K1348" i="29"/>
  <c r="K1348" i="30"/>
  <c r="G1690" i="11"/>
  <c r="K1690" l="1"/>
  <c r="J1690" i="31"/>
  <c r="K1690" s="1"/>
  <c r="J1690" i="30"/>
  <c r="K1690" s="1"/>
  <c r="J1690" i="29"/>
  <c r="K1690" s="1"/>
  <c r="G1689" i="11"/>
  <c r="K1689" l="1"/>
  <c r="J1689" i="31"/>
  <c r="K1689" s="1"/>
  <c r="J1689" i="30"/>
  <c r="K1689" s="1"/>
  <c r="J1689" i="29"/>
  <c r="K1689" s="1"/>
  <c r="G1688" i="11"/>
  <c r="K1688" l="1"/>
  <c r="J1688" i="31"/>
  <c r="K1688" s="1"/>
  <c r="J1688" i="30"/>
  <c r="K1688" s="1"/>
  <c r="J1688" i="29"/>
  <c r="K1688" s="1"/>
  <c r="G1687" i="11"/>
  <c r="K1687" l="1"/>
  <c r="J1687" i="31"/>
  <c r="K1687" s="1"/>
  <c r="J1687" i="30"/>
  <c r="K1687" s="1"/>
  <c r="J1687" i="29"/>
  <c r="K1687" s="1"/>
  <c r="G1686" i="11"/>
  <c r="K1686" l="1"/>
  <c r="J1686" i="31"/>
  <c r="J1686" i="30"/>
  <c r="J1686" i="29"/>
  <c r="G1706" i="11"/>
  <c r="K1686" i="31" l="1"/>
  <c r="J1706"/>
  <c r="K1706" s="1"/>
  <c r="K1686" i="29"/>
  <c r="J1706"/>
  <c r="K1706" s="1"/>
  <c r="K1686" i="30"/>
  <c r="J1706"/>
  <c r="K1706" s="1"/>
  <c r="G1710" i="11"/>
  <c r="K1706"/>
</calcChain>
</file>

<file path=xl/sharedStrings.xml><?xml version="1.0" encoding="utf-8"?>
<sst xmlns="http://schemas.openxmlformats.org/spreadsheetml/2006/main" count="72589" uniqueCount="1523">
  <si>
    <t>Резервный фонд администрации города Ставрополя</t>
  </si>
  <si>
    <t>Благоустройство</t>
  </si>
  <si>
    <t>06</t>
  </si>
  <si>
    <t>Другие вопросы в области жилищно-коммунального хозяйства</t>
  </si>
  <si>
    <t>Администрация Ленинского района города Ставрополя</t>
  </si>
  <si>
    <t>617</t>
  </si>
  <si>
    <t>Транспорт</t>
  </si>
  <si>
    <t>Жилищно-коммунальное хозяйство</t>
  </si>
  <si>
    <t>05</t>
  </si>
  <si>
    <t>Жилищное хозяйство</t>
  </si>
  <si>
    <t>Коммунальное хозяйство</t>
  </si>
  <si>
    <t>Администрация Октябрьского района города Ставрополя</t>
  </si>
  <si>
    <t>618</t>
  </si>
  <si>
    <t>Национальная безопасность и правоохранительная деятельность</t>
  </si>
  <si>
    <t>10</t>
  </si>
  <si>
    <t>Комитет градостроительства администрации города Ставрополя</t>
  </si>
  <si>
    <t>621</t>
  </si>
  <si>
    <t>Администрация Промышленного района города Ставрополя</t>
  </si>
  <si>
    <t>619</t>
  </si>
  <si>
    <t>Комитет городского хозяйства администрации города Ставрополя</t>
  </si>
  <si>
    <t>620</t>
  </si>
  <si>
    <t>Бюджетные инвестиции</t>
  </si>
  <si>
    <t>Охрана семьи и детства</t>
  </si>
  <si>
    <t>РЗ</t>
  </si>
  <si>
    <t>Другие вопросы в области образования</t>
  </si>
  <si>
    <t>09</t>
  </si>
  <si>
    <t>607</t>
  </si>
  <si>
    <t>Культура</t>
  </si>
  <si>
    <t>Депутаты представительного органа муниципального образования</t>
  </si>
  <si>
    <t>602</t>
  </si>
  <si>
    <t xml:space="preserve">Другие вопросы в области национальной экономики 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</si>
  <si>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</si>
  <si>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</si>
  <si>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Функционирование высшего должностного лица субъекта Российской Федерации и муниципального образования</t>
  </si>
  <si>
    <t>Глава муниципального образования</t>
  </si>
  <si>
    <t>Национальная экономика</t>
  </si>
  <si>
    <t>Другие вопросы в области социальной политики</t>
  </si>
  <si>
    <t>04</t>
  </si>
  <si>
    <t>Другие общегосударственные вопросы</t>
  </si>
  <si>
    <t>Физическая культура и спорт</t>
  </si>
  <si>
    <t>12</t>
  </si>
  <si>
    <t>ИТОГО:</t>
  </si>
  <si>
    <t>Наименование показателя</t>
  </si>
  <si>
    <t>Мин.</t>
  </si>
  <si>
    <t>ПР</t>
  </si>
  <si>
    <t>ЦСР</t>
  </si>
  <si>
    <t>ВР</t>
  </si>
  <si>
    <t xml:space="preserve">Ставропольская городская Дума </t>
  </si>
  <si>
    <t>600</t>
  </si>
  <si>
    <t>Социальная политика</t>
  </si>
  <si>
    <t>08</t>
  </si>
  <si>
    <t>00</t>
  </si>
  <si>
    <t>Периодическая печать и издательства</t>
  </si>
  <si>
    <t>03</t>
  </si>
  <si>
    <t>Администрация города Ставрополя</t>
  </si>
  <si>
    <t>601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</si>
  <si>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</si>
  <si>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Судебная система</t>
  </si>
  <si>
    <t>000</t>
  </si>
  <si>
    <t>отклонение</t>
  </si>
  <si>
    <t>Комитет по управлению муниципальным имуществом города Ставрополя</t>
  </si>
  <si>
    <t>Общее образование</t>
  </si>
  <si>
    <t>609</t>
  </si>
  <si>
    <t>Социальное обеспечение населения</t>
  </si>
  <si>
    <t>Общегосударственные вопросы</t>
  </si>
  <si>
    <t>01</t>
  </si>
  <si>
    <t>02</t>
  </si>
  <si>
    <t>611</t>
  </si>
  <si>
    <t>605</t>
  </si>
  <si>
    <t>606</t>
  </si>
  <si>
    <t>Образование</t>
  </si>
  <si>
    <t>07</t>
  </si>
  <si>
    <t>Дошкольное образование</t>
  </si>
  <si>
    <t>Другие вопросы в области национальной экономики</t>
  </si>
  <si>
    <t>Комитет финансов и бюджета администрации города Ставрополя</t>
  </si>
  <si>
    <t>604</t>
  </si>
  <si>
    <t>Лесное хозяйство</t>
  </si>
  <si>
    <t>Средства массовой информации</t>
  </si>
  <si>
    <t>11</t>
  </si>
  <si>
    <t xml:space="preserve">Физическая культура </t>
  </si>
  <si>
    <t>Массовый спорт</t>
  </si>
  <si>
    <t>Спорт высших достижений</t>
  </si>
  <si>
    <t>Другие вопросы в области физической культуры и спорта</t>
  </si>
  <si>
    <t>Культура, кинематография</t>
  </si>
  <si>
    <t>13</t>
  </si>
  <si>
    <t>Обслуживание государственного и муниципального долга</t>
  </si>
  <si>
    <t>Обслуживание государственного внутреннего и муниципального долга</t>
  </si>
  <si>
    <t>Комитет муниципального заказа и торговли администрации города Ставрополя</t>
  </si>
  <si>
    <t>Дорожное хозяйство (дорожные фонды)</t>
  </si>
  <si>
    <t>Стипендии</t>
  </si>
  <si>
    <t>Премии и гранты</t>
  </si>
  <si>
    <t>Иные выплаты населению</t>
  </si>
  <si>
    <t>Субсидии бюджетным учреждениям</t>
  </si>
  <si>
    <t>Субсидии автономным учреждениям</t>
  </si>
  <si>
    <t>Обслуживание муниципального долга</t>
  </si>
  <si>
    <t>Обслуживание муниципального долга города Ставрополя</t>
  </si>
  <si>
    <t>Исполнение судебных актов</t>
  </si>
  <si>
    <t>Уплата налогов, сборов и иных платежей</t>
  </si>
  <si>
    <t>Резервные средства</t>
  </si>
  <si>
    <t>Специальные расходы</t>
  </si>
  <si>
    <t>360</t>
  </si>
  <si>
    <t>810</t>
  </si>
  <si>
    <t>870</t>
  </si>
  <si>
    <t>410</t>
  </si>
  <si>
    <t>630</t>
  </si>
  <si>
    <t>880</t>
  </si>
  <si>
    <t>Расходы на выплаты персоналу казенных учреждений</t>
  </si>
  <si>
    <t>Расходы на выплаты персоналу государственных (муниципальных) органов</t>
  </si>
  <si>
    <t>Иные закупки товаров, работ и услуг для обеспечения государственных (муниципальных) нужд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</si>
  <si>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</si>
  <si>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</si>
  <si>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Субсидии некоммерческим организациям (за исключением государственных (муниципальных) учреждений)</t>
  </si>
  <si>
    <t>Обеспечение деятельности администрации города Ставрополя</t>
  </si>
  <si>
    <t>Непрограммные расходы в рамках обеспечения деятельности администрации города Ставрополя</t>
  </si>
  <si>
    <t>Расходы на обеспечение функций органов местного самоуправления города Ставрополя</t>
  </si>
  <si>
    <t>120</t>
  </si>
  <si>
    <t>240</t>
  </si>
  <si>
    <t>320</t>
  </si>
  <si>
    <t>850</t>
  </si>
  <si>
    <t>Подпрограмма «Развитие информационного общества в городе Ставрополе»</t>
  </si>
  <si>
    <t>Расходы на оказание информационных услуг средствами массовой информации</t>
  </si>
  <si>
    <t>110</t>
  </si>
  <si>
    <t>Расходы на реализацию мероприятий, направленных на повышение уровня безопасности жизнедеятельности города Ставрополя</t>
  </si>
  <si>
    <t>Расходы на реализацию проекта «Здоровые города» в городе Ставрополе</t>
  </si>
  <si>
    <t>Обеспечение деятельности Ставропольской городской Думы</t>
  </si>
  <si>
    <t>Непрограммные расходы в рамках обеспечения деятельности Ставропольской городской Думы</t>
  </si>
  <si>
    <t>Расходы на выплаты по оплате труда работников органов местного самоуправления города Ставрополя</t>
  </si>
  <si>
    <t>Контрольно-счетная палата города Ставрополя</t>
  </si>
  <si>
    <t>Обеспечение деятельности комитета финансов и бюджета администрации города Ставрополя</t>
  </si>
  <si>
    <t>Непрограммные расходы в рамках обеспечения деятельности комитета финансов и бюджета администрации города Ставрополя</t>
  </si>
  <si>
    <t>Расходы на выплаты на основании исполнительных листов судебных органов</t>
  </si>
  <si>
    <t>830</t>
  </si>
  <si>
    <t>730</t>
  </si>
  <si>
    <t>Расходы на реализацию мероприятий, направленных на профилактику правонарушений в городе Ставрополе</t>
  </si>
  <si>
    <t>310</t>
  </si>
  <si>
    <t>Подпрограмма «Осуществление мероприятий по гражданской обороне, защите населения и территорий от чрезвычайных ситуаций»</t>
  </si>
  <si>
    <t>Подпрограмма «Обеспечение пожарной безопасности в границах города Ставрополя»</t>
  </si>
  <si>
    <t>Обеспечение первичных мер пожарной безопасности в границах города Ставрополя</t>
  </si>
  <si>
    <t>610</t>
  </si>
  <si>
    <t>Расходы на проведение мероприятий для детей и молодежи</t>
  </si>
  <si>
    <t>Подпрограмма «Развитие культуры города Ставрополя»</t>
  </si>
  <si>
    <t>Подпрограмма «Развитие системы дополнительного образования детей и подростков в области физической культуры и спорта и центров спортивной подготовки»</t>
  </si>
  <si>
    <t>Подпрограмма «Благоустройство территории города Ставрополя»</t>
  </si>
  <si>
    <t>Обеспечение деятельности комитета городского хозяйства администрации города Ставрополя</t>
  </si>
  <si>
    <t>Непрограммные расходы в рамках обеспечения деятельности комитета городского хозяйства администрации города Ставрополя</t>
  </si>
  <si>
    <t>Подпрограмма «Доступная среда»</t>
  </si>
  <si>
    <t>Обеспечение деятельности администрации Ленинского района города Ставрополя</t>
  </si>
  <si>
    <t>Непрограммные расходы в рамках обеспечения деятельности администрации Ленинского района города Ставрополя</t>
  </si>
  <si>
    <t>Расходы на проведение капитального ремонта муниципального жилищного фонда</t>
  </si>
  <si>
    <t>Обеспечение деятельности администрации Октябрьского района города Ставрополя</t>
  </si>
  <si>
    <t>Непрограммные расходы в рамках обеспечения деятельности администрации Октябрьского района города Ставрополя</t>
  </si>
  <si>
    <t>Обеспечение деятельности администрации Промышленного района города Ставрополя</t>
  </si>
  <si>
    <t>Непрограммные расходы в рамках обеспечения деятельности администрации Промышленного района города Ставрополя</t>
  </si>
  <si>
    <t>Подпрограмма «Развитие малого и среднего предпринимательства в городе Ставрополе»</t>
  </si>
  <si>
    <t>Строительство (реконструкция, техническое перевооружение) объектов капитального строительства муниципальной собственности города Ставрополя</t>
  </si>
  <si>
    <t>Подпрограмма «Развитие жилищно-коммунального хозяйства на территории города Ставрополя»</t>
  </si>
  <si>
    <t>Расходы на проведение землеустройства (кадастровых работ) по формированию территорий общего пользования садоводческих, огороднических и дачных некоммерческих объединений граждан, расположенных на территории города Ставрополя</t>
  </si>
  <si>
    <t>Расходы на создание условий для беспрепятственного доступа маломобильных групп населения к объектам городской инфраструктуры</t>
  </si>
  <si>
    <t>Расходы на прочие мероприятия по благоустройству территории города Ставрополя</t>
  </si>
  <si>
    <t>Расходы на проведение мероприятий по озеленению территории города Ставрополя</t>
  </si>
  <si>
    <t>Обеспечение мероприятий по переселению граждан из аварийного жилищного фонда в городе Ставрополе</t>
  </si>
  <si>
    <t>Расходы на проведение культурно-массовых мероприятий в городе Ставрополе</t>
  </si>
  <si>
    <t>Расходы на реализацию мероприятий, направленных на сохранение историко-культурного наследия города Ставрополя</t>
  </si>
  <si>
    <t>Расходы на реализацию мероприятий, направленных на развитие физической культуры и массового спорта</t>
  </si>
  <si>
    <t>Расходы на создание условий для интеграции молодежи в процессы социально-экономического, общественно-политического, культурного развития города Ставрополя</t>
  </si>
  <si>
    <t>Расходы на получение рыночной оценки стоимости недвижимого имущества, находящегося в муниципальной собственности города Ставрополя, и подготовку технической документации на объекты недвижимого имущества</t>
  </si>
  <si>
    <t xml:space="preserve">Расходы на содержание объектов муниципальной казны города Ставрополя в части нежилых помещений </t>
  </si>
  <si>
    <t>Расходы на содержание объектов муниципальной казны города Ставрополя в части жилых помещений</t>
  </si>
  <si>
    <t>Расходы на создание условий для эффективного выполнения полномочий по управлению и распоряжению муниципальной собственностью города Ставрополя в области имущественных и земельных отношений</t>
  </si>
  <si>
    <t>Расходы на реализацию мероприятий, направленных на противодействие коррупции в сфере деятельности администрации города Ставрополя и ее органов</t>
  </si>
  <si>
    <t>Расходы на развитие и обеспечение функционирования информационного общества в городе Ставрополе</t>
  </si>
  <si>
    <t>Расходы на официальное опубликование муниципальных правовых актов города Ставрополя в газете «Вечерний Ставрополь»</t>
  </si>
  <si>
    <t>Расходы на реализацию мероприятий в области гражданской обороны, защиты населения и территории города Ставрополя от чрезвычайных ситуаций природного и техногенного характера, безопасности людей на водных объектах</t>
  </si>
  <si>
    <t>Расходы на реализацию мероприятий по обеспечению своевременного оповещения населения города Ставрополя об угрозе возникновения или о возникновении чрезвычайных ситуаций</t>
  </si>
  <si>
    <t>Расходы на проведение мероприятий по энергосбережению и повышению энергоэффективности</t>
  </si>
  <si>
    <t>Расходы, предусмотренные на иные цели</t>
  </si>
  <si>
    <t>Расходы на судебные издержки комитета градостроительства администрации города Ставрополя по искам о сносе самовольных построек</t>
  </si>
  <si>
    <t>Обеспечение пожарной безопасности в муниципальных учреждениях образования, культуры, физической культуры и спорта города Ставрополя</t>
  </si>
  <si>
    <t>Комитет труда и социальной защиты населения администрации города Ставрополя</t>
  </si>
  <si>
    <t>Комитет образования администрации города Ставрополя</t>
  </si>
  <si>
    <t>Комитет по делам гражданской обороны и чрезвычайным ситуациям администрации города Ставрополя</t>
  </si>
  <si>
    <t>350</t>
  </si>
  <si>
    <t>340</t>
  </si>
  <si>
    <t>Обеспечение деятельности комитета образования администрации города Ставрополя</t>
  </si>
  <si>
    <t>Непрограммные расходы в рамках обеспечения деятельности комитета образования администрации города Ставрополя</t>
  </si>
  <si>
    <t>Обеспечение деятельности комитета по делам гражданской обороны и чрезвычайным ситуациям администрации города Ставрополя</t>
  </si>
  <si>
    <t>Обеспечение деятельности комитета труда и социальной защиты населения администрации города Ставрополя</t>
  </si>
  <si>
    <t>Обеспечение элементами обустройства автомобильных дорог общего пользования местного значения и организация обеспечения безопасности дорожного движения</t>
  </si>
  <si>
    <t>Расходы на мероприятия в области жилищного хозяйства</t>
  </si>
  <si>
    <t>Непрограммные расходы в рамках обеспечения деятельности комитета труда и социальной защиты населения администрации города Ставрополя</t>
  </si>
  <si>
    <t xml:space="preserve">Бюджетные инвестиции </t>
  </si>
  <si>
    <t xml:space="preserve">Подпрограмма «Проведение городских и краевых культурно-массовых мероприятий, посвященных памятным, знаменательным и юбилейным датам в истории России, Ставропольского края, города Ставрополя» </t>
  </si>
  <si>
    <t>Расходы на реализацию мероприятий, направленных на социальную поддержку семьи и детей</t>
  </si>
  <si>
    <t xml:space="preserve"> (тыс. руб.)</t>
  </si>
  <si>
    <t>Подпрограмма «Проведение городских и краевых культурно-массовых мероприятий, посвященных памятным, знаменательным и юбилейным датам в истории России, Ставропольского края, города Ставрополя»</t>
  </si>
  <si>
    <t>Обеспечение деятельности комитета градостроительства администрации города Ставрополя</t>
  </si>
  <si>
    <t>00 0 00 00000</t>
  </si>
  <si>
    <t>70 0 00 00000</t>
  </si>
  <si>
    <t>70 2 00 00000</t>
  </si>
  <si>
    <t>70 2 00 10020</t>
  </si>
  <si>
    <t>70 1 00 00000</t>
  </si>
  <si>
    <t>70 1 00 10010</t>
  </si>
  <si>
    <t>70 1 00 10020</t>
  </si>
  <si>
    <t>70 3 00 00000</t>
  </si>
  <si>
    <t>70 3 00 10020</t>
  </si>
  <si>
    <t>70 4 00 00000</t>
  </si>
  <si>
    <t>71 0 00 00000</t>
  </si>
  <si>
    <t>71 1 00 00000</t>
  </si>
  <si>
    <t>71 1 00 10010</t>
  </si>
  <si>
    <t>71 1 00 10020</t>
  </si>
  <si>
    <t>71 1 00 76360</t>
  </si>
  <si>
    <t>71 1 00 76630</t>
  </si>
  <si>
    <t>71 1 00 76930</t>
  </si>
  <si>
    <t>71 2 00 00000</t>
  </si>
  <si>
    <t>71 2 00 10020</t>
  </si>
  <si>
    <t>12 0 00 00000</t>
  </si>
  <si>
    <t>12 2 00 00000</t>
  </si>
  <si>
    <t>12 2 03 00000</t>
  </si>
  <si>
    <t>12 2 03 20040</t>
  </si>
  <si>
    <t>12 2 03 20090</t>
  </si>
  <si>
    <t>13 0 00 00000</t>
  </si>
  <si>
    <t>13 1 00 00000</t>
  </si>
  <si>
    <t>Основное мероприятие «Создание условий для профессионального развития и подготовки кадров в органах местного самоуправления города Ставрополя»</t>
  </si>
  <si>
    <t>13 1 01 00000</t>
  </si>
  <si>
    <t>13 1 01 20450</t>
  </si>
  <si>
    <t>13 2 00 00000</t>
  </si>
  <si>
    <t>13 2 01 00000</t>
  </si>
  <si>
    <t>13 2 01 20620</t>
  </si>
  <si>
    <t>Основное мероприятие «Профилактика коррупции, антикоррупционное просвещение и пропаганда»</t>
  </si>
  <si>
    <t>14 0 00 00000</t>
  </si>
  <si>
    <t>14 1 00 00000</t>
  </si>
  <si>
    <t>Основное мероприятие «Развитие и обеспечение функционирования инфраструктуры информационного общества в городе Ставрополе»</t>
  </si>
  <si>
    <t>14 1 01 00000</t>
  </si>
  <si>
    <t>14 1 01 20630</t>
  </si>
  <si>
    <t>Основное мероприятие «Развитие и обеспечение функционирования межведомственного электронного взаимодействия и муниципальных информационных систем»</t>
  </si>
  <si>
    <t>14 1 02 00000</t>
  </si>
  <si>
    <t>14 1 02 20630</t>
  </si>
  <si>
    <t>Основное мероприятие «Информирование населения города Ставрополя о деятельности администрации города Ставрополя через средства массовой информации»</t>
  </si>
  <si>
    <t>14 1 03 00000</t>
  </si>
  <si>
    <t>14 1 04 00000</t>
  </si>
  <si>
    <t>14 2 00 00000</t>
  </si>
  <si>
    <t>14 2 01 00000</t>
  </si>
  <si>
    <t>14 2 01 20710</t>
  </si>
  <si>
    <t>14 2 02 00000</t>
  </si>
  <si>
    <t>14 2 02 20710</t>
  </si>
  <si>
    <t>Основное мероприятие «Обеспечение деятельности многофункционального центра предоставления государственных и муниципальных услуг в городе Ставрополе»</t>
  </si>
  <si>
    <t>14 2 04 00000</t>
  </si>
  <si>
    <t>Расходы на обеспечение деятельности (оказание услуг) муниципальных учреждений</t>
  </si>
  <si>
    <t>14 2 04 11010</t>
  </si>
  <si>
    <t>15 0 00 00000</t>
  </si>
  <si>
    <t>15 1 00 00000</t>
  </si>
  <si>
    <t>15 2 00 00000</t>
  </si>
  <si>
    <t>15 2 02 00000</t>
  </si>
  <si>
    <t>15 2 02 20370</t>
  </si>
  <si>
    <t>15 2 03 00000</t>
  </si>
  <si>
    <t xml:space="preserve">15 2 03 20370 </t>
  </si>
  <si>
    <t>15 3 00 00000</t>
  </si>
  <si>
    <t>15 3 03 00000</t>
  </si>
  <si>
    <t>15 3 03 20100</t>
  </si>
  <si>
    <t>18 0 00 00000</t>
  </si>
  <si>
    <t>18 Б 00 00000</t>
  </si>
  <si>
    <t>Основное мероприятие «Создание условий для развития казачества, привлечения членов казачьих обществ к несению службы по охране общественного порядка на территории города Ставрополя»</t>
  </si>
  <si>
    <t>18 Б 01 00000</t>
  </si>
  <si>
    <t>18 Б 01 60080</t>
  </si>
  <si>
    <t>71 1 00 11010</t>
  </si>
  <si>
    <t>Возмещение расходов, связанных с материальным обеспечением деятельности депутатов Думы Ставропольского края и их помощников в Ставропольском крае</t>
  </si>
  <si>
    <t>12 1 00 00000</t>
  </si>
  <si>
    <t>12 1 01 00000</t>
  </si>
  <si>
    <t>Предоставление субсидий субъектам малого и среднего предпринимательства, осуществляющим деятельность на территории города Ставрополя</t>
  </si>
  <si>
    <t>12 1 01 60130</t>
  </si>
  <si>
    <t>Основное мероприятие «Развитие и обеспечение деятельности инфраструктуры поддержки субъектов малого и среднего предпринимательства в городе Ставрополе»</t>
  </si>
  <si>
    <t>12 1 02 00000</t>
  </si>
  <si>
    <t>12 1 02 20480</t>
  </si>
  <si>
    <t>12 1 03 00000</t>
  </si>
  <si>
    <t>12 1 03 20480</t>
  </si>
  <si>
    <t>12 2 02 00000</t>
  </si>
  <si>
    <t>12 2 02 20640</t>
  </si>
  <si>
    <t>07 0 00 00000</t>
  </si>
  <si>
    <t>07 1 00 00000</t>
  </si>
  <si>
    <t>07 1 01 00000</t>
  </si>
  <si>
    <t>11 0 00 00000</t>
  </si>
  <si>
    <t>11 Б 00 00000</t>
  </si>
  <si>
    <t>Основное мероприятие «Управление и распоряжение объектами недвижимого имущества, находящимися в муниципальной собственности города Ставрополя»</t>
  </si>
  <si>
    <t>11 Б 01 00000</t>
  </si>
  <si>
    <t>11 Б 01 20030</t>
  </si>
  <si>
    <t>11 Б 01 20070</t>
  </si>
  <si>
    <t>Основное мероприятие «Управление и распоряжение земельными участками, расположенными на территории города Ставрополя»</t>
  </si>
  <si>
    <t>11 Б 02 00000</t>
  </si>
  <si>
    <t>11 Б 02 20180</t>
  </si>
  <si>
    <t>11 Б 03 00000</t>
  </si>
  <si>
    <t>11 Б 03 20340</t>
  </si>
  <si>
    <t>Обеспечения деятельности комитета по управлению муниципальным имуществом города Ставрополя</t>
  </si>
  <si>
    <t>72 0 00 00000</t>
  </si>
  <si>
    <t>72 1 00 00000</t>
  </si>
  <si>
    <t>72 1 00 10010</t>
  </si>
  <si>
    <t>72 1 00 10020</t>
  </si>
  <si>
    <t>02 0 00 00000</t>
  </si>
  <si>
    <t>02 Б 00 00000</t>
  </si>
  <si>
    <t>02 Б 02 00000</t>
  </si>
  <si>
    <t>02 Б 02 20160</t>
  </si>
  <si>
    <t>04 0 00 00000</t>
  </si>
  <si>
    <t>04 2 00 00000</t>
  </si>
  <si>
    <t>04 2 02 00000</t>
  </si>
  <si>
    <t>Расходы на приобретение техники для уборки дорог и тротуаров (на условиях финансовой аренды (лизинга)</t>
  </si>
  <si>
    <t>04 2 02 21010</t>
  </si>
  <si>
    <t>73 0 00 00000</t>
  </si>
  <si>
    <t>73 1 00 00000</t>
  </si>
  <si>
    <t>73 1 00 10010</t>
  </si>
  <si>
    <t>73 1 00 10020</t>
  </si>
  <si>
    <t>Резервный фонд</t>
  </si>
  <si>
    <t xml:space="preserve">000 </t>
  </si>
  <si>
    <t>10 0 00 00000</t>
  </si>
  <si>
    <t>10 Б 00 00000</t>
  </si>
  <si>
    <t>Основное мероприятие «Формирование резервного фонда администрации города Ставрополя»</t>
  </si>
  <si>
    <t>10 Б 02 00000</t>
  </si>
  <si>
    <t>Основное мероприятие «Резервирование средств на выплаты на основании исполнительных листов судебных органов по искам к муниципальному образованию городу Ставрополю Ставропольского края»</t>
  </si>
  <si>
    <t>Основное мероприятие «Своевременное исполнение обязательств по обслуживанию и погашению муниципального долга города Ставрополя, принятие мер по его реструктуризации»</t>
  </si>
  <si>
    <t>10 Б 03 00000</t>
  </si>
  <si>
    <t>10 Б 03 20010</t>
  </si>
  <si>
    <t xml:space="preserve">07 1 01 00000 </t>
  </si>
  <si>
    <t>07 1 01 20060</t>
  </si>
  <si>
    <t>15 3 01 00000</t>
  </si>
  <si>
    <t>15 3 01 20660</t>
  </si>
  <si>
    <t>74 0 00 00000</t>
  </si>
  <si>
    <t>74 1 00 00000</t>
  </si>
  <si>
    <t>74 1 00 10010</t>
  </si>
  <si>
    <t>74 1 00 10020</t>
  </si>
  <si>
    <t>03 0 00 00000</t>
  </si>
  <si>
    <t>03 2 00 00000</t>
  </si>
  <si>
    <t>Предоставление льгот на бытовые услуги по помывке в общем отделении бань отдельным категориям граждан</t>
  </si>
  <si>
    <t>03 2 02 80240</t>
  </si>
  <si>
    <t>01 0 00 00000</t>
  </si>
  <si>
    <t>01 1 00 00000</t>
  </si>
  <si>
    <t>01 1 01 00000</t>
  </si>
  <si>
    <t>01 1 01 11010</t>
  </si>
  <si>
    <t>Расходы 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и общеобразовательных организациях и на финансовое обеспечение получения дошкольного образования в частных дошкольных и частных общеобразовательных организациях</t>
  </si>
  <si>
    <t>01 1 01 77170</t>
  </si>
  <si>
    <t>01 1 06 00000</t>
  </si>
  <si>
    <t>01 1 06 11010</t>
  </si>
  <si>
    <t>16 0 00 00000</t>
  </si>
  <si>
    <t>16 2 00 00000</t>
  </si>
  <si>
    <t>16 2 01 00000</t>
  </si>
  <si>
    <t>17 0 00 00000</t>
  </si>
  <si>
    <t>17 Б 00 00000</t>
  </si>
  <si>
    <t>Основное мероприятие «Энергосбережение и энергоэффективность в бюджетном секторе»</t>
  </si>
  <si>
    <t>17 Б 01 00000</t>
  </si>
  <si>
    <t>17 Б 01 20490</t>
  </si>
  <si>
    <t>01 1 02 00000</t>
  </si>
  <si>
    <t>01 1 02 11010</t>
  </si>
  <si>
    <t>Расходы на обеспечение государственных гарантий реализации прав на получение общедоступного и бесплатного начального общего, основного общего, среднего общего образования в муниципальных общеобразовательных организациях, а также обеспечение дополнительного образования детей в муниципальных общеобразовательных организациях и на финансовое обеспечение получения начального общего, основного общего, среднего общего образования в частных общеобразовательных организациях</t>
  </si>
  <si>
    <t>01 1 02 77160</t>
  </si>
  <si>
    <t>01 1 03 00000</t>
  </si>
  <si>
    <t>01 1 03 11010</t>
  </si>
  <si>
    <t>01 1 04 00000</t>
  </si>
  <si>
    <t>01 1 04 11010</t>
  </si>
  <si>
    <t>Расходы на проведение мероприятий по оздоровлению детей</t>
  </si>
  <si>
    <t>01 1 04 20330</t>
  </si>
  <si>
    <t>01 1 05 00000</t>
  </si>
  <si>
    <t>75 0 00 00000</t>
  </si>
  <si>
    <t>75 1 00 00000</t>
  </si>
  <si>
    <t>75 1 00 10010</t>
  </si>
  <si>
    <t>75 1 00 10020</t>
  </si>
  <si>
    <t>Расходы на выплаты персоналу  государственных (муниципальных) органов</t>
  </si>
  <si>
    <t>75 1 00 76200</t>
  </si>
  <si>
    <t>Расходы на компенсацию части платы, взимаемой с родителей (законных представителей) за присмотр и уход за детьми, посещающими образовательные организации, реализующие образовательные программы дошкольного образования</t>
  </si>
  <si>
    <t>01 1 01 76140</t>
  </si>
  <si>
    <t>01 1 07 00000</t>
  </si>
  <si>
    <t>Расходы на выплату денежных средств на содержание ребенка опекуну (попечителю)</t>
  </si>
  <si>
    <t>Расходы на выплату на содержание детей-сирот и детей, оставшихся без попечения родителей, в приемных семьях, а также на вознаграждение, причитающееся приемным родителям</t>
  </si>
  <si>
    <t>Расходы на выплату единовременного пособия усыновителям</t>
  </si>
  <si>
    <t>76 0 00 00000</t>
  </si>
  <si>
    <t>76 2 00 00000</t>
  </si>
  <si>
    <t>07 2 00 00000</t>
  </si>
  <si>
    <t>07 2 01 00000</t>
  </si>
  <si>
    <t>07 2 01 11010</t>
  </si>
  <si>
    <t>07 2 06 00000</t>
  </si>
  <si>
    <t>07 2 06 20400</t>
  </si>
  <si>
    <t>Основное мероприятие «Обеспечение деятельности муниципальных учреждений  культурно-досугового типа»</t>
  </si>
  <si>
    <t>07 2 02 00000</t>
  </si>
  <si>
    <t>07 2 02 11010</t>
  </si>
  <si>
    <t>Основное мероприятие «Обеспечение деятельности муниципальных учреждений, осуществляющих музейное дело»</t>
  </si>
  <si>
    <t>07 2 03 00000</t>
  </si>
  <si>
    <t>07 2 03 11010</t>
  </si>
  <si>
    <t>Основное мероприятие «Обеспечение деятельности муниципальных учреждений, осуществляющих библиотечное обслуживание»</t>
  </si>
  <si>
    <t>07 2 04 00000</t>
  </si>
  <si>
    <t>07 2 04 11010</t>
  </si>
  <si>
    <t>Основное мероприятие «Обеспечение деятельности муниципальных учреждений, осуществляющих театрально-концертную деятельность»</t>
  </si>
  <si>
    <t>07 2 05 00000</t>
  </si>
  <si>
    <t>07 2 05 11010</t>
  </si>
  <si>
    <t>76 1 00 00000</t>
  </si>
  <si>
    <t>76 1 00 10010</t>
  </si>
  <si>
    <t>76 1 00 10020</t>
  </si>
  <si>
    <t xml:space="preserve">03 1 00 00000 </t>
  </si>
  <si>
    <t>Основное мероприятие «Предоставление мер социальной поддержки отдельным категориям граждан»</t>
  </si>
  <si>
    <t xml:space="preserve">03 1 01 00000 </t>
  </si>
  <si>
    <t>03 1 01 52200</t>
  </si>
  <si>
    <t xml:space="preserve">Выплата компенсации расходов по оплате жилого помещения и коммунальных услуг отдельным категориям граждан </t>
  </si>
  <si>
    <t>03 1 01 52500</t>
  </si>
  <si>
    <t>03 1 01 52800</t>
  </si>
  <si>
    <t>Предоставление мер социальной поддержки ветеранам труда Ставропольского края и лицам, награжденным медалью «Герой труда Ставрополья»</t>
  </si>
  <si>
    <t>Предоставление мер социальной поддержки  реабилитированным лицам и лицам, признанным пострадавшими от политических репрессий</t>
  </si>
  <si>
    <t>Оказание государственной социальной помощи малоимущим семьям и малоимущим одиноко проживающим гражданам</t>
  </si>
  <si>
    <t>03 1 01 76240</t>
  </si>
  <si>
    <t>Предоставление гражданам субсидии на оплату жилого помещения и коммунальных услуг</t>
  </si>
  <si>
    <t xml:space="preserve">Ежемесячная доплата к пенсии гражданам, ставшим инвалидами при исполнении служебных обязанностей в районах боевых действий </t>
  </si>
  <si>
    <t>Ежемесячные денежные выплаты семьям погибших ветеранов боевых действий</t>
  </si>
  <si>
    <t>Основное мероприятие «Предоставление мер социальной поддержки семьям и детям»</t>
  </si>
  <si>
    <t>03 1 02 00000</t>
  </si>
  <si>
    <t>Выплата лицам, не подлежащим обязательному социальному страхованию на случай временной нетрудоспособности и в связи с материнством, и лицам, уволенным в связи с ликвидацией организаций (прекращением деятельности, полномочий физическими лицами)</t>
  </si>
  <si>
    <t>03 1 02 53800</t>
  </si>
  <si>
    <t>Выплата ежегодного социального пособия на проезд студентам</t>
  </si>
  <si>
    <t>03 1 02 76260</t>
  </si>
  <si>
    <t>Выплата ежемесячного пособия на ребенка</t>
  </si>
  <si>
    <t>03 1 02 76270</t>
  </si>
  <si>
    <t xml:space="preserve">03 2 00 00000 </t>
  </si>
  <si>
    <t>03 2 01 00000</t>
  </si>
  <si>
    <t>Выплата ежемесячного пособия малообеспеченной многодетной семье, имеющей детей в возрасте до 3 лет, и малообеспеченной одинокой матери, имеющей детей в возрасте от 1,5 до 3 лет</t>
  </si>
  <si>
    <t>03 2 01 80030</t>
  </si>
  <si>
    <t>Осуществление ежемесячной денежной выплаты ветеранам боевых действий из числа лиц, принимавших участие в боевых действиях на территориях других государств</t>
  </si>
  <si>
    <t>03 2 01 80070</t>
  </si>
  <si>
    <t>Осуществление ежемесячной дополнительной выплаты семьям, воспитывающим детей-инвалидов</t>
  </si>
  <si>
    <t>03 2 01 80100</t>
  </si>
  <si>
    <t>Выплата ежемесячного социального пособия на проезд в пассажирском транспорте общего пользования детям-инвалидам</t>
  </si>
  <si>
    <t>03 2 01 80110</t>
  </si>
  <si>
    <t>Выплата ежемесячного социального пособия на проезд в муниципальном транспорте общего пользования членам семей погибших военнослужащих, лиц рядового и начальствующего состава органов внутренних дел и сотрудников учреждений и органов уголовно-исполнительной системы, а также членам руководящих органов отдельных городских общественных организаций ветеранов, инвалидов и лиц, пострадавших от политических репрессий, чья деятельность связана с разъездами</t>
  </si>
  <si>
    <t>03 2 01 80120</t>
  </si>
  <si>
    <t>Выплата ежемесячного пособия семьям, воспитывающим детей в возрасте до 18 лет, больных целиакией или сахарным диабетом</t>
  </si>
  <si>
    <t>03 2 01 80140</t>
  </si>
  <si>
    <t>Выплата единовременного пособия на ремонт жилых помещений одиноким и одиноко проживающим участникам и инвалидам Великой Отечественной войны, труженикам тыла, вдовам погибших (умерших) участников Великой Отечественной войны</t>
  </si>
  <si>
    <t>03 2 01 80150</t>
  </si>
  <si>
    <t>Выплата единовременного пособия гражданам, оказавшимся в трудной жизненной ситуации</t>
  </si>
  <si>
    <t>03 2 01 80160</t>
  </si>
  <si>
    <t>Выплата семьям, воспитывающим детей-инвалидов в возрасте до 18 лет</t>
  </si>
  <si>
    <t>03 2 01 80180</t>
  </si>
  <si>
    <t>Выплата единовременного пособия инвалидам по зрению, имеющим I группу инвалидности</t>
  </si>
  <si>
    <t>03 2 01 80190</t>
  </si>
  <si>
    <t>03 2 01 80210</t>
  </si>
  <si>
    <t>03 3 00 00000</t>
  </si>
  <si>
    <t>03 3 01 00000</t>
  </si>
  <si>
    <t>Основное мероприятие «Создание условий для беспрепятственного доступа маломобильных групп населения к объектам городской инфраструктуры»</t>
  </si>
  <si>
    <t>03 1 02 R0840</t>
  </si>
  <si>
    <t xml:space="preserve">Выплата единовременного пособия беременной жене военнослужащего, проходящего военную службу по призыву, а также ежемесячного пособия на ребенка военнослужащего, проходящего военную службу по призыву </t>
  </si>
  <si>
    <t>03 1 02 52700</t>
  </si>
  <si>
    <t xml:space="preserve">77 0 00 00000 </t>
  </si>
  <si>
    <t>77 1 00 00000</t>
  </si>
  <si>
    <t>77 1 00 10010</t>
  </si>
  <si>
    <t>77 1 00 10020</t>
  </si>
  <si>
    <t>77 1 00 76100</t>
  </si>
  <si>
    <t>77 1 00 76210</t>
  </si>
  <si>
    <t>08 0 00 00000</t>
  </si>
  <si>
    <t>08 1 00 00000</t>
  </si>
  <si>
    <t>08 1 01 00000</t>
  </si>
  <si>
    <t>08 1 01 11010</t>
  </si>
  <si>
    <t>04 3 00 00000</t>
  </si>
  <si>
    <t>Основное мероприятие «Благоустройство территории города Ставрополя»</t>
  </si>
  <si>
    <t>04 3 01 00000</t>
  </si>
  <si>
    <t>09 0 00 00000</t>
  </si>
  <si>
    <t>09 Б 00 00000</t>
  </si>
  <si>
    <t>Основное мероприятие «Проведение мероприятий по гражданскому и патриотическому воспитанию молодежи»</t>
  </si>
  <si>
    <t>09 Б 01 00000</t>
  </si>
  <si>
    <t>09 Б 01 20460</t>
  </si>
  <si>
    <t>Основное мероприятие «Создание системы поддержки  и поощрения талантливой и успешной молодежи города Ставрополя»</t>
  </si>
  <si>
    <t>09 Б 02 20460</t>
  </si>
  <si>
    <t>Основное мероприятие «Поддержка интеллектуальной и инновационной деятельности молодежи»</t>
  </si>
  <si>
    <t>09 Б 03 00000</t>
  </si>
  <si>
    <t>09 Б 03 20460</t>
  </si>
  <si>
    <t>Основное мероприятие «Формирование условий для реализации молодежных инициатив и развития деятельности молодежных объединений»</t>
  </si>
  <si>
    <t>09 Б 04 00000</t>
  </si>
  <si>
    <t>09 Б 04 20460</t>
  </si>
  <si>
    <t>Основное мероприятие «Методическое и информационное сопровождение реализации молодежной политики в городе Ставрополе»</t>
  </si>
  <si>
    <t>09 Б 05 00000</t>
  </si>
  <si>
    <t>09 Б 05 20460</t>
  </si>
  <si>
    <t>Основное мероприятие «Обеспечение деятельности муниципальных бюджетных учреждений города Ставрополя»</t>
  </si>
  <si>
    <t>09 Б 06 00000</t>
  </si>
  <si>
    <t>09 Б 06 11010</t>
  </si>
  <si>
    <t>Основное мероприятие «Обеспечение деятельности центров спортивной подготовки»</t>
  </si>
  <si>
    <t>08 1 02 00000</t>
  </si>
  <si>
    <t>08 1 02 11010</t>
  </si>
  <si>
    <t>08 2 00 00000</t>
  </si>
  <si>
    <t>08 2 01 00000</t>
  </si>
  <si>
    <t>08 2 01 20420</t>
  </si>
  <si>
    <t>78 0 00 00000</t>
  </si>
  <si>
    <t>78 1 00 00000</t>
  </si>
  <si>
    <t>78 1 00 10010</t>
  </si>
  <si>
    <t>78 1 00 10020</t>
  </si>
  <si>
    <t>80 0 00 00000</t>
  </si>
  <si>
    <t>80 1 00 00000</t>
  </si>
  <si>
    <t>80 1 00 10010</t>
  </si>
  <si>
    <t>80 1 00 10020</t>
  </si>
  <si>
    <t>80 1 00 76200</t>
  </si>
  <si>
    <t>80 1 00 76360</t>
  </si>
  <si>
    <t>11 Б 01 20840</t>
  </si>
  <si>
    <t>04 2 02 20130</t>
  </si>
  <si>
    <t>Расходы на ремонт и содержание внутриквартальных автомобильных дорог общего пользования местного значения</t>
  </si>
  <si>
    <t>04 2 02 20820</t>
  </si>
  <si>
    <t>04 1 00 00000</t>
  </si>
  <si>
    <t>Основное мероприятие  «Повышение уровня технического состояния многоквартирных домов и продление сроков их эксплуатации»</t>
  </si>
  <si>
    <t>04 1 01 00000</t>
  </si>
  <si>
    <t>04 1 01 20190</t>
  </si>
  <si>
    <t xml:space="preserve">Культура, кинематография </t>
  </si>
  <si>
    <t>07 1 01 21130</t>
  </si>
  <si>
    <t>81 0 00 00000</t>
  </si>
  <si>
    <t>81 1 00 00000</t>
  </si>
  <si>
    <t>81 1 00 10010</t>
  </si>
  <si>
    <t>Расходы на выплаты по оплате труда работников  органов местного самоуправления города Ставрополя</t>
  </si>
  <si>
    <t>81 1 00 10020</t>
  </si>
  <si>
    <t>81 1 00 76200</t>
  </si>
  <si>
    <t>81 1 00 76360</t>
  </si>
  <si>
    <t>83 0 00 00000</t>
  </si>
  <si>
    <t>83 1 00 00000</t>
  </si>
  <si>
    <t>83 1 00 20050</t>
  </si>
  <si>
    <t>04 3 01 11010</t>
  </si>
  <si>
    <t>02 Б 01 00000</t>
  </si>
  <si>
    <t xml:space="preserve">Основное мероприятие «Создание условий для беспрепятственного доступа маломобильных групп населения к объектам городской инфраструктуры» </t>
  </si>
  <si>
    <t>04 2 01 00000</t>
  </si>
  <si>
    <t>04 2 01 11010</t>
  </si>
  <si>
    <t>04 2 01 60020</t>
  </si>
  <si>
    <t>02 Б 01 20560</t>
  </si>
  <si>
    <t>04 2 02 20810</t>
  </si>
  <si>
    <t>Расходы на прочие мероприятия  в области дорожного хозяйства</t>
  </si>
  <si>
    <t>04 2 02 20830</t>
  </si>
  <si>
    <t>04 2 02 60090</t>
  </si>
  <si>
    <t>Основное мероприятие «Повышение уровня технического состояния многоквартирных домов и продление сроков их эксплуатации»</t>
  </si>
  <si>
    <t>04 1 01 20200</t>
  </si>
  <si>
    <t>06 0 00 00000</t>
  </si>
  <si>
    <t>04 1 02 00000</t>
  </si>
  <si>
    <t>04 1 02 20220</t>
  </si>
  <si>
    <t>Основное мероприятие  «Благоустройство территории города Ставрополя»</t>
  </si>
  <si>
    <t>Основное мероприятие «Энергосбережение и энергоэффективность систем коммунальной инфраструктуры»</t>
  </si>
  <si>
    <t>17 Б 02 00000</t>
  </si>
  <si>
    <t>17 Б 02 20490</t>
  </si>
  <si>
    <t>83 1 00 10010</t>
  </si>
  <si>
    <t>83 1 00 10020</t>
  </si>
  <si>
    <t>Возмещение затрат по предоставлению услуг согласно гарантированному перечню услуг по погребению специализированной организации по вопросам похоронного дела</t>
  </si>
  <si>
    <t>Предоставление дополнительных мер социальной поддержки отдельным категориям граждан при проезде в городском общественном транспорте на территории города Ставрополя</t>
  </si>
  <si>
    <t>Основное мероприятие «Предоставление молодым семьям социальных выплат»</t>
  </si>
  <si>
    <t>624</t>
  </si>
  <si>
    <t>Предупреждение  и ликвидация  последствий чрезвычайных ситуаций природного и техногенного характера, гражданская оборона</t>
  </si>
  <si>
    <t>15 1 01 00000</t>
  </si>
  <si>
    <t>15 1 01 20350</t>
  </si>
  <si>
    <t>15 1 02 00000</t>
  </si>
  <si>
    <t>15 3 02 00000</t>
  </si>
  <si>
    <t>16 1 00 00000</t>
  </si>
  <si>
    <t>16 1 01 00000</t>
  </si>
  <si>
    <t>16 1 01 20120</t>
  </si>
  <si>
    <t>16 1 02 00000</t>
  </si>
  <si>
    <t>16 2 01 20540</t>
  </si>
  <si>
    <t>85 0 00 00000</t>
  </si>
  <si>
    <t>Непрограммные расходы в рамках обеспечения деятельности комитета по делам гражданской обороны и чрезвычайным ситуациям администрации города Ставрополя</t>
  </si>
  <si>
    <t>85 1 00 00000</t>
  </si>
  <si>
    <t>85 1 00 10010</t>
  </si>
  <si>
    <t>85 1 00 10020</t>
  </si>
  <si>
    <t>4</t>
  </si>
  <si>
    <t>82 0 00 00000</t>
  </si>
  <si>
    <t>82 1 00 00000</t>
  </si>
  <si>
    <t>82 1 00 10010</t>
  </si>
  <si>
    <t>82 1 00 10020</t>
  </si>
  <si>
    <t>82 1 00 76200</t>
  </si>
  <si>
    <t>82 1 00 76360</t>
  </si>
  <si>
    <t xml:space="preserve">Подпрограмма «Проведение городских и краевых культурно-массовых мероприятий, посвященных памятным, знаменательным и юбилейным датам в истории России, Ставропольского края, города  Ставрополя» </t>
  </si>
  <si>
    <t>03 2 02 00000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</si>
  <si>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</si>
  <si>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01 2 00 00000</t>
  </si>
  <si>
    <t>01 2 01 00000</t>
  </si>
  <si>
    <t>01 2 01 40010</t>
  </si>
  <si>
    <t>05 0 00 00000</t>
  </si>
  <si>
    <t>Основное мероприятие «Подготовка документов территориального планирования города Ставрополя, в том числе разработка проектов планировки территорий города Ставрополя (проектов планировки, проектов межевания)»</t>
  </si>
  <si>
    <t>09 Б 02 00000</t>
  </si>
  <si>
    <t>10 Б 01 00000</t>
  </si>
  <si>
    <t>10 Б 01 20020</t>
  </si>
  <si>
    <t>10 Б 02 20050</t>
  </si>
  <si>
    <t>15 1 02 20350</t>
  </si>
  <si>
    <t>84 0 00 00000</t>
  </si>
  <si>
    <t>84 1 00 00000</t>
  </si>
  <si>
    <t>84 1 00 10010</t>
  </si>
  <si>
    <t>84 1 00 10020</t>
  </si>
  <si>
    <t>84 2 00 00000</t>
  </si>
  <si>
    <t>84 2 00 21100</t>
  </si>
  <si>
    <t>84 2 00 21210</t>
  </si>
  <si>
    <t>Основное мероприятие  «Развитие и обеспечение функционирования межведомственного электронного взаимодействия и муниципальных информационных систем»</t>
  </si>
  <si>
    <t>Непрограммные расходы в рамках обеспечения деятельности комитета градостроительства администрации города Ставрополя</t>
  </si>
  <si>
    <t>Непрограммные расходы в рамках обеспечения деятельности комитета по управлению муниципальным имуществом города Ставрополя</t>
  </si>
  <si>
    <t>Обеспечение деятельности комитета муниципального заказа и торговли администрации города Ставрополя</t>
  </si>
  <si>
    <t>Непрограммные расходы в рамках обеспечения деятельности комитета муниципального заказа и торговли администрации города Ставрополя</t>
  </si>
  <si>
    <t>Основное мероприятие «Защита прав и законных интересов детей-сирот и детей, оставшихся без попечения родителей»</t>
  </si>
  <si>
    <t>71 2 00 10010</t>
  </si>
  <si>
    <t>Основное мероприятие «Финансовая поддержка субъектов малого и среднего предпринимательства в городе Ставрополе»</t>
  </si>
  <si>
    <t>Основное мероприятие «Обеспечение деятельности муниципальных учреждений дополнительного образования детей физкультурно-спортивной направленности города Ставрополя»</t>
  </si>
  <si>
    <t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прочие мероприятия по благоустройству территории города Ставрополя</t>
  </si>
  <si>
    <t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ремонт автомобильных дорог общего пользования местного значения</t>
  </si>
  <si>
    <t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обеспечение элементами обустройства автомобильных дорог общего пользования местного значения и организация обеспечения безопасности дорожного движения</t>
  </si>
  <si>
    <t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проведение мероприятий по озеленению территории города Ставрополя</t>
  </si>
  <si>
    <t>Организация проведения на территории города Ставрополя мероприятий по отлову и содержанию безнадзорных животных</t>
  </si>
  <si>
    <t>Ежегодная денежная выплата лицам, награжденным нагрудным знаком «Почетный донор России»</t>
  </si>
  <si>
    <t>Расходы на обеспечение бесплатного проезда детей-сирот и детей, оставшихся без попечения родителей, находящихся под опекой (попечительством), обучающихся в муниципальных образовательных учреждениях</t>
  </si>
  <si>
    <t>Субсидии на поддержку социально ориентированных некоммерческих организаций</t>
  </si>
  <si>
    <t>Расходы на осуществление переданных государственных полномочий Ставропольского края по созданию административных комиссий</t>
  </si>
  <si>
    <t>Расходы на осуществление переданных государственных полномочий Ставропольского края по формированию, содержанию и использованию Архивного фонда Ставропольского края</t>
  </si>
  <si>
    <t>Расходы на осуществление переданных государственных полномочий Ставропольского края по организации и осуществлению деятельности по опеке и попечительству в области образования</t>
  </si>
  <si>
    <t>Расходы на осуществление переданных государственных полномочий Ставропольского края по организации и осуществлению деятельности по опеке и попечительству в области здравоохранения</t>
  </si>
  <si>
    <t>Расходы на осуществление переданных государственных полномочий Ставропольского края в области труда и социальной защиты отдельных категорий граждан</t>
  </si>
  <si>
    <t>Расходы на повышение заработной платы работников муниципальных учреждений культуры, педагогических работников муниципальных учреждений дополнительного образования детей (в сферах образования, культуры, физической культуры и спорта) в соответствии с Указом Президента Российской Федерации от 07 мая 2012 г. № 597 «О мероприятиях по реализации государственной социальной политики»</t>
  </si>
  <si>
    <t>Поощрение муниципального служащего в связи с выходом на страховую пенсию по старости (инвалидности)</t>
  </si>
  <si>
    <t>Основное мероприятие «Официальное опубликование муниципальных правовых актов города Ставрополя в газете «Вечерний Ставрополь»</t>
  </si>
  <si>
    <t>Основное мероприятие «Проведение мониторинга удовлетворенности населения качеством и доступностью государственных и муниципальных услуг, предоставляемых органами местного самоуправления города Ставрополя»</t>
  </si>
  <si>
    <t>Основное мероприятие «Обеспечение доступности к культурным ценностям и права на участие в культурной жизни для всех групп населения города Ставрополя, популяризация объектов культурного наследия города Ставрополя, формирование имиджа города Ставрополя как культурного центра Ставропольского края»</t>
  </si>
  <si>
    <t>Основное мероприятие «Благоустройство  и инженерное обеспечение территорий садоводческих, огороднических и дачных некоммерческих объединений граждан, расположенных на территории города Ставрополя»</t>
  </si>
  <si>
    <t>Основное мероприятие «Организация предоставления общедоступного и бесплатного дошкольного образования»</t>
  </si>
  <si>
    <t>Основное мероприятие «Обеспечение благоприятных условий для развития малого и среднего предпринимательства на территории города Ставрополя»</t>
  </si>
  <si>
    <t>16 2 02 00000</t>
  </si>
  <si>
    <t>16 2 02 20550</t>
  </si>
  <si>
    <t>Основное мероприятие «Профилактика зависимости от наркотических и других психоактивных веществ среди детей и молодежи»</t>
  </si>
  <si>
    <t>Основное мероприятие «Строительство и реконструкция зданий муниципальных  дошкольных и общеобразовательных учреждений на территории города Ставрополя»</t>
  </si>
  <si>
    <t>08 2 04 00000</t>
  </si>
  <si>
    <t>08 2 04 60120</t>
  </si>
  <si>
    <t>Основное мероприятие «Профилактика зависимого (аддиктивного) поведения и пропаганда здорового образа жизни»</t>
  </si>
  <si>
    <t>Основное мероприятие «Профилактика правонарушений несовершеннолетних»</t>
  </si>
  <si>
    <t>Основное мероприятие «Обеспечение безопасности людей на водных объектах города Ставрополя»</t>
  </si>
  <si>
    <t>Основное мероприятие «Профилактика терроризма и экстремизма»</t>
  </si>
  <si>
    <t>Основное мероприятие «Реализация мероприятий, направленных на развитие физической культуры и массового спорта»</t>
  </si>
  <si>
    <t>Основное мероприятие «Ремонт подъездных автомобильных дорог общего пользования местного значения к садоводческим, огородническим и дачным некоммерческим объединениям граждан, расположенным на территории города Ставрополя»</t>
  </si>
  <si>
    <t>Основное мероприятие «Сохранение объектов культурного наследия (памятников истории и культуры), находящихся в муниципальной собственности города Ставрополя»</t>
  </si>
  <si>
    <t>07 2 08 00000</t>
  </si>
  <si>
    <t>07 2 08 21230</t>
  </si>
  <si>
    <t>07 2 09 00000</t>
  </si>
  <si>
    <t>Расходы на реализацию мероприятий в области гражданской обороны, защиты населения и территории города Ставрополя от чрезвычайных ситуаций природного и техногенного характера, обеспечение безопасности людей на водных объектах</t>
  </si>
  <si>
    <t>16 1 03 00000</t>
  </si>
  <si>
    <t>Основное мероприятие «Осуществление подготовки и содержания в готовности необходимых сил и средств для защиты населения и территорий от чрезвычайных ситуаций»</t>
  </si>
  <si>
    <t>70 2 00 10010</t>
  </si>
  <si>
    <t>Основное мероприятие «Модернизация образовательных организаций, совершенствование материально-технической базы, проведение ремонтных работ, создание условий для повышения качества образовательного процесса»</t>
  </si>
  <si>
    <t>Основное мероприятие «Организация предоставления дополнительного образования детей в муниципальных образовательных учреждениях»</t>
  </si>
  <si>
    <t>Основное мероприятие «Организация отдыха детей в каникулярное время»</t>
  </si>
  <si>
    <t>01 1 05 20240</t>
  </si>
  <si>
    <t>Основное мероприятие «Проведение мероприятий с обучающимися и воспитанниками муниципальных бюджетных и автономных образовательных учреждений города Ставрополя»</t>
  </si>
  <si>
    <t>03 2 03 00000</t>
  </si>
  <si>
    <t>Основное мероприятие «Предоставление льгот на бытовые услуги по помывке в общем отделении бань отдельным категориям граждан»</t>
  </si>
  <si>
    <t>Основное мероприятие «Предоставление дополнительных мер социальной поддержки отдельным категориям граждан»</t>
  </si>
  <si>
    <t>03 2 04 00000</t>
  </si>
  <si>
    <t>Основное мероприятие «Возмещение затрат по предоставлению услуг согласно гарантированному перечню услуг по погребению специализированной организации по вопросам похоронного дела»</t>
  </si>
  <si>
    <t>03 2 03 80020</t>
  </si>
  <si>
    <t>03 2 04 80220</t>
  </si>
  <si>
    <t>Основное мероприятие «Предоставление дополнительных мер социальной поддержки отдельным категориям граждан при проезде в городском общественном транспорте на территории города Ставрополя»</t>
  </si>
  <si>
    <t>Основное мероприятие «Строительство и реконструкция зданий муниципальных дошкольных и общеобразовательных учреждений на территории города Ставрополя»</t>
  </si>
  <si>
    <t>70 3 00 10010</t>
  </si>
  <si>
    <t>Основное мероприятие «Организация дорожной деятельности в отношении автомобильных дорог общего пользования местного значения в границах города Ставрополя»</t>
  </si>
  <si>
    <t>04 3 04 00000</t>
  </si>
  <si>
    <t>04 3 04 20300</t>
  </si>
  <si>
    <t>04 3 04 20780</t>
  </si>
  <si>
    <t>04 3 04 20800</t>
  </si>
  <si>
    <t>Основное мероприятие «Осуществление деятельности по использованию, охране, защите и воспроизводству городских лесов»</t>
  </si>
  <si>
    <t>04 2 03 00000</t>
  </si>
  <si>
    <t>04 2 03 20570</t>
  </si>
  <si>
    <t>04 2 03 20920</t>
  </si>
  <si>
    <t>Основное мероприятие «Повышение безопасности дорожного движения на территории города Ставрополя»</t>
  </si>
  <si>
    <t>Основное мероприятие «Создание условий для предоставления транспортных услуг населению и организация транспортного обслуживания населения в границах города Ставрополя»</t>
  </si>
  <si>
    <t>04 3 02 00000</t>
  </si>
  <si>
    <t>04 3 02 20290</t>
  </si>
  <si>
    <t>Основное мероприятие «Организация отлова и содержания безнадзорных животных, сбор трупов и их захоронение в установленном порядке»</t>
  </si>
  <si>
    <t>04 3 03 00000</t>
  </si>
  <si>
    <t>04 3 03 77150</t>
  </si>
  <si>
    <t>04 3 04 11010</t>
  </si>
  <si>
    <t>04 3 04 20280</t>
  </si>
  <si>
    <t>04 3 04 20790</t>
  </si>
  <si>
    <t>Основное мероприятие «Организация предоставления общедоступного и бесплатного общего образования и организация предоставления дополнительного образования детей»</t>
  </si>
  <si>
    <t>Профессиональная подготовка, переподготовка и повышение квалификации</t>
  </si>
  <si>
    <t>01 1 08 00000</t>
  </si>
  <si>
    <t>01 1 08 11010</t>
  </si>
  <si>
    <t>Основное мероприятие «Выполнение противопожарных мероприятий в муниципальных учреждениях города Ставрополя»</t>
  </si>
  <si>
    <t>Ежемесячные денежные выплаты ветеранам труда и лицам, проработавшим в тылу в период с 22 июня 1941 года по 9 мая 1945 года не менее шести месяцев, исключая период работы на временно оккупированных территориях СССР, либо награжденным орденами или медалями СССР за самоотверженный труд в период Великой Отечественной войны</t>
  </si>
  <si>
    <t>Основное мероприятие «Проектирование, строительство и содержание инженерных сетей, находящихся в муниципальной собственности города Ставрополя»</t>
  </si>
  <si>
    <t>Основное мероприятие «Выполнение работ по установке и поддержанию в постоянной готовности линейных комплектов муниципальной системы оповещения и информирования населения о возникновении чрезвычайных ситуаций на территории города Ставрополя»</t>
  </si>
  <si>
    <t>Расходы на мероприятия в области коммунального хозяйства</t>
  </si>
  <si>
    <t>03 1 02 77190</t>
  </si>
  <si>
    <t>Выплата ежегодной денежной компенсации многодетным семьям на каждого из детей не старше 18 лет, обучающихся в общеобразовательных организациях, на приобретение комплекта школьной одежды, спортивной одежды и обуви и школьных письменных принадлежностей</t>
  </si>
  <si>
    <t>Основное мероприятие «Обеспечение образовательной деятельности, оценки качества образования»</t>
  </si>
  <si>
    <t xml:space="preserve">Выплата ежемесячной денежной компенсации на каждого ребенка в возрасте до 18 лет многодетным семьям </t>
  </si>
  <si>
    <t>Другие вопросы в области культуры, кинематографии</t>
  </si>
  <si>
    <t>Предоставление субсидии казачьим обществам, внесенным в государственный реестр казачьих обществ в Российской Федерации и взявшим на себя обязательства по несению службы в целях обеспечения охраны общественного порядка на территории города Ставрополя, на финансирование расходов, связанных с организацией деятельности народных дружин из числа членов казачьих обществ</t>
  </si>
  <si>
    <t>Расходы на организацию материально-технического обеспечения деятельности народной дружины города Ставрополя, в том числе материальное стимулирование ее членов</t>
  </si>
  <si>
    <t>Основное мероприятие «Организация материально-технического обеспечения деятельности народной дружины города Ставрополя»</t>
  </si>
  <si>
    <t>98 0 00 00000</t>
  </si>
  <si>
    <t>98 1 00 00000</t>
  </si>
  <si>
    <t>98 1 00 51200</t>
  </si>
  <si>
    <t>Реализация иных функций Ставропольской городской Думы, администрации города Ставрополя, ее отраслевых (функциональных) и территориальных органов</t>
  </si>
  <si>
    <t>Иные непрограммные мероприятия</t>
  </si>
  <si>
    <t>98 1 00 10050</t>
  </si>
  <si>
    <t>98 1 00 20750</t>
  </si>
  <si>
    <t>Комитет культуры и молодежной политики администрации города Ставрополя</t>
  </si>
  <si>
    <t>98 1 00 20110</t>
  </si>
  <si>
    <t>76 2 00 20250</t>
  </si>
  <si>
    <t>07 2 09 21280</t>
  </si>
  <si>
    <t>04 2 02 S6460</t>
  </si>
  <si>
    <t>04 2 02 S6470</t>
  </si>
  <si>
    <t>Предоставление компенсации расходов на уплату взноса на капитальный ремонт общего имущества в многоквартирном доме отдельным категориям граждан</t>
  </si>
  <si>
    <t>Комитет физической культуры и спорта администрации города Ставрополя</t>
  </si>
  <si>
    <t>Обеспечение деятельности комитета культуры и молодежной политики администрации города Ставрополя</t>
  </si>
  <si>
    <t>Непрограммные расходы в рамках обеспечения деятельности комитета культуры и молодежной политики администрации города Ставрополя</t>
  </si>
  <si>
    <t>Расходы на выполнение мероприятий в сфере культуры и кинематографии комитета культуры и молодежной политики администрации города Ставрополя</t>
  </si>
  <si>
    <t>Обеспечение деятельности комитета физической культуры и спорта администрации города Ставрополя</t>
  </si>
  <si>
    <t>Непрограммные расходы в рамках обеспечения деятельности комитета физической культуры и спорта администрации города Ставрополя</t>
  </si>
  <si>
    <t>Код</t>
  </si>
  <si>
    <t>01 1 06 S6690</t>
  </si>
  <si>
    <t>Проведение работ по замене оконных блоков в муниципальных образовательных организациях Ставропольского края за счет местного бюджета</t>
  </si>
  <si>
    <t>860</t>
  </si>
  <si>
    <t>Предоставление платежей, взносов, безвозмездных
перечислений субъектам международного права</t>
  </si>
  <si>
    <t>Снос самовольных построек, хранение имущества, находившегося в самовольных постройках</t>
  </si>
  <si>
    <t>Реализация мероприятий государственной программы Российской Федерации «Доступная среда» на 2011 - 2020 годы за счет средств местного бюджета</t>
  </si>
  <si>
    <t>643</t>
  </si>
  <si>
    <t>86 1 00 00000</t>
  </si>
  <si>
    <t>86 1 00 10010</t>
  </si>
  <si>
    <t>86 0 00 00000</t>
  </si>
  <si>
    <t>Непрограммные расходы в рамках обеспечения деятельности контрольно-счетной палаты города Ставрополя</t>
  </si>
  <si>
    <t>Обеспечение деятельности контрольно-счетной
палаты города Ставрополя</t>
  </si>
  <si>
    <t>86 1 00 10020</t>
  </si>
  <si>
    <t>07 2 11 00000</t>
  </si>
  <si>
    <t>Основное мероприятие «Субсидии некоммерческим организациям на реализацию проектов по развитию современной культурно-досуговой инфраструктуры на территории города Ставрополя»</t>
  </si>
  <si>
    <t>07 2 11 60160</t>
  </si>
  <si>
    <t>Предоставление субсидии некоммерческим организациям на реализацию проектов по развитию современной культурно-досуговой инфраструктуры на территории города Ставрополя</t>
  </si>
  <si>
    <t>Основное мероприятие «Создание и обеспечение надлежащего состояния мест захоронения на территории города Ставрополя»</t>
  </si>
  <si>
    <t>2017 год</t>
  </si>
  <si>
    <t>2018 год</t>
  </si>
  <si>
    <t>2019 год</t>
  </si>
  <si>
    <t>Муниципальная программа «Развитие жилищно-коммунального хозяйства, транспортной системы на территории города Ставрополя, благоустройство территории города Ставрополя»</t>
  </si>
  <si>
    <t>Муниципальная программа «Развитие образования в городе Ставрополе»</t>
  </si>
  <si>
    <t>Подпрограмма «Расширение и усовершенствование сети муниципальных дошкольных и общеобразовательных учреждений»</t>
  </si>
  <si>
    <t>Муниципальная программа «Поддержка садоводческих, огороднических и дачных некоммерческих объединений граждан, расположенных на территории города Ставрополя»</t>
  </si>
  <si>
    <t>Расходы в рамках реализации муниципальной программы «Поддержка садоводческих, огороднических и дачных некоммерческих объединений граждан, расположенных на территории города Ставрополя»</t>
  </si>
  <si>
    <t>Муниципальная программа «Социальная поддержка населения города Ставрополя»</t>
  </si>
  <si>
    <t>Подпрограмма «Осуществление отдельных государственных полномочий в области социальной поддержки отдельных категорий граждан»</t>
  </si>
  <si>
    <t xml:space="preserve">Подпрограмма «Дорожная деятельность и обеспечение безопасности дорожного движения, организация транспортного обслуживания населения на территории города Ставрополя» </t>
  </si>
  <si>
    <t>Муниципальная программа «Развитие градостроительства на территории города Ставрополя»</t>
  </si>
  <si>
    <t>05 Б 00 00000</t>
  </si>
  <si>
    <t>Расходы в рамках реализации муниципальной программы «Развитие градостроительства на территории города Ставрополя»</t>
  </si>
  <si>
    <t>Муниципальная программа «Обеспечение жильем молодых семей в городе Ставрополе»</t>
  </si>
  <si>
    <t>06 Б 00 00000</t>
  </si>
  <si>
    <t xml:space="preserve">Расходы в рамках реализации муниципальной программы «Обеспечение жильем молодых семей в городе Ставрополе»  </t>
  </si>
  <si>
    <t>Муниципальная программа «Переселение граждан из аварийного жилищного фонда в городе Ставрополе»</t>
  </si>
  <si>
    <t>19 0 00 00000</t>
  </si>
  <si>
    <t>19 Б 01 00000</t>
  </si>
  <si>
    <t>Муниципальная программа «Культура города Ставрополя»</t>
  </si>
  <si>
    <t>Муниципальная программа «Развитие физической культуры и спорта в городе Ставрополе»</t>
  </si>
  <si>
    <t>Муниципальная программа «Молодежь города Ставрополя»</t>
  </si>
  <si>
    <t>Расходы в рамках реализации муниципальной программы «Молодежь города Ставрополя»</t>
  </si>
  <si>
    <t>Муниципальная программа «Управление муниципальными финансами и муниципальным долгом города Ставрополя»</t>
  </si>
  <si>
    <t>Расходы в рамках реализации муниципальной программы «Управление муниципальными финансами и муниципальным долгом города Ставрополя»</t>
  </si>
  <si>
    <t>Муниципальная программа  «Управление и распоряжение имуществом, находящимся в муниципальной собственности города Ставрополя, в том числе земельными ресурсами»</t>
  </si>
  <si>
    <t>Расходы в рамках реализации муниципальной программы «Управление и распоряжение  имуществом, находящимся в муниципальной собственности города Ставрополя, в том числе земельными ресурсами»</t>
  </si>
  <si>
    <t>Муниципальная программа «Экономическое развитие города Ставрополя»</t>
  </si>
  <si>
    <t>Муниципальная программа «Развитие муниципальной службы и противодействие коррупции в городе Ставрополе»</t>
  </si>
  <si>
    <t xml:space="preserve">Подпрограмма «Развитие муниципальной службы в городе Ставрополе» </t>
  </si>
  <si>
    <t>Подпрограмма «Противодействие коррупции в сфере деятельности администрации города Ставрополя и ее органах»</t>
  </si>
  <si>
    <t>Муниципальная программа «Развитие информационного общества, оптимизация и повышение качества предоставления государственных и муниципальных услуг в городе Ставрополе»</t>
  </si>
  <si>
    <t>Муниципальная программа «Обеспечение безопасности, общественного порядка и профилактика правонарушений в городе Ставрополе»</t>
  </si>
  <si>
    <t>Подпрограмма «Безопасный Ставрополь»</t>
  </si>
  <si>
    <t xml:space="preserve">Подпрограмма «НЕзависимость» </t>
  </si>
  <si>
    <t xml:space="preserve">Подпрограмма «Профилактика правонарушений в городе Ставрополе» </t>
  </si>
  <si>
    <t>Муниципальная программа «Обеспечение гражданской обороны, пожарной безопасности, безопасности людей на водных объектах, организация деятельности аварийно-спасательных служб, защита населения и территории города Ставрополя от чрезвычайных ситуаций»</t>
  </si>
  <si>
    <t>Муниципальная программа «Энергосбережение и повышение энергетической эффективности в городе Ставрополе»</t>
  </si>
  <si>
    <t>Расходы в рамках реализации муниципальной программы «Энергосбережение и повышение энергетической эффективности в городе Ставрополе»</t>
  </si>
  <si>
    <t>Муниципальная программа «Развитие казачества в городе Ставрополе»</t>
  </si>
  <si>
    <t>Расходы в рамках реализации муниципальной программы «Развитие казачества в городе Ставрополе»</t>
  </si>
  <si>
    <t>06 Б 01 00000</t>
  </si>
  <si>
    <t>19 Б 00 00000</t>
  </si>
  <si>
    <t>19 Б 01 09602</t>
  </si>
  <si>
    <t>Расходы в рамках реализации муниципальной программы «Переселение граждан из аварийного жилищного фонда в городе Ставрополе»</t>
  </si>
  <si>
    <t>Подпрограмма «Создание благоприятных условий для экономического развития города Ставрополя»</t>
  </si>
  <si>
    <t>03 3 01 L0270</t>
  </si>
  <si>
    <t>03 3 01 20530</t>
  </si>
  <si>
    <t>Расходы на проведение отдельных мероприятий по электрическому транспорту</t>
  </si>
  <si>
    <t>06 Б 01 L0200</t>
  </si>
  <si>
    <t>98 1 00 76610</t>
  </si>
  <si>
    <t>Основное мероприятие «Организация, проведение и участие в семинарах, круглых столах и конференциях по вопросам оптимизации и повышения качества предоставления государственных и муниципальных услуг в городе Ставрополе»</t>
  </si>
  <si>
    <t>14 2 03 00000</t>
  </si>
  <si>
    <t>14 2 03 20710</t>
  </si>
  <si>
    <t>Основное мероприятие «Мониторинг наркоситуации в городе Ставрополе на основе социологических исследований и статистических данных»</t>
  </si>
  <si>
    <t>15 2 01 00000</t>
  </si>
  <si>
    <t>15 2 01 20370</t>
  </si>
  <si>
    <t>12 2 01 00000</t>
  </si>
  <si>
    <t>12 2 01 20650</t>
  </si>
  <si>
    <t>Дополнительное образование детей</t>
  </si>
  <si>
    <t xml:space="preserve">Основное мероприятие «Обеспечение деятельности муниципальных учреждений  дополнительного образования детей в отрасли «Культура» города Ставрополя» </t>
  </si>
  <si>
    <t>07 2 12 00000</t>
  </si>
  <si>
    <t>07 2 12 21260</t>
  </si>
  <si>
    <t>Молодежная политика</t>
  </si>
  <si>
    <t>Основное мероприятие «Развитие духовно-культурных основ казачества, использование в образовательном процессе культурно-исторических традиций казачества, военно-патриотического воспитания казачьей молодежи в городе Ставрополе»</t>
  </si>
  <si>
    <t>18 Б 02 00000</t>
  </si>
  <si>
    <t xml:space="preserve">Расходы на реализацию мероприятий, направленных на создание условий для развития казачества на территории города Ставрополя </t>
  </si>
  <si>
    <t>18 Б 02 20360</t>
  </si>
  <si>
    <t>01 1 07 78110</t>
  </si>
  <si>
    <t>01 1 07 78120</t>
  </si>
  <si>
    <t>01 1 07 78130</t>
  </si>
  <si>
    <t>01 1 07 78140</t>
  </si>
  <si>
    <t>03 1 01 78210</t>
  </si>
  <si>
    <t>03 1 01 78220</t>
  </si>
  <si>
    <t>03 1 01 78230</t>
  </si>
  <si>
    <t>03 1 01 78240</t>
  </si>
  <si>
    <t>03 1 01 78250</t>
  </si>
  <si>
    <t>03 1 01 78260</t>
  </si>
  <si>
    <t>03 1 01 78270</t>
  </si>
  <si>
    <t>03 1 02 78280</t>
  </si>
  <si>
    <t>Основное мероприятие «Совершенствование социальной поддержки семьи и детей»</t>
  </si>
  <si>
    <t>03 2 05 00000</t>
  </si>
  <si>
    <t>03 2 05 20500</t>
  </si>
  <si>
    <t>Основное мероприятие «Поддержка людей с ограниченными возможностями и пожилых людей»</t>
  </si>
  <si>
    <t>Выплата единовременного пособия ветеранам боевых действий, направленным на реабилитацию в Центр восстановительной терапии для воинов-интернационалистов им. М.А. Лиходея</t>
  </si>
  <si>
    <t>03 2 06 00000</t>
  </si>
  <si>
    <t>03 2 06 20520</t>
  </si>
  <si>
    <t>03 2 08 00000</t>
  </si>
  <si>
    <t>03 2 08 20510</t>
  </si>
  <si>
    <t>03 2 07 00000</t>
  </si>
  <si>
    <t>03 2 07 60040</t>
  </si>
  <si>
    <t>Основное мероприятие «Поддержка социально ориентированных некоммерческих организаций»</t>
  </si>
  <si>
    <t>08 1 03 00000</t>
  </si>
  <si>
    <t>08 1 03 11010</t>
  </si>
  <si>
    <t>Основное мероприятие «Изготовление и размещение пропагандирующей социальной рекламы о здоровом и активном образе жизни»</t>
  </si>
  <si>
    <t>08 2 02 00000</t>
  </si>
  <si>
    <t>08 2 02 20440</t>
  </si>
  <si>
    <t>Основное мероприятие «Подготовка  и участие в семинарах, конференциях и курсах повышения квалификации работников отрасли «Физическая культура и спорт»</t>
  </si>
  <si>
    <t>08 2 03 00000</t>
  </si>
  <si>
    <t>16 1 02 11010</t>
  </si>
  <si>
    <t>16 1 03 20120</t>
  </si>
  <si>
    <t>16 3 00 00000</t>
  </si>
  <si>
    <t>Подпрограмма «Построение и развитие аппаратно-программного комплекса «Безопасный город» на территории города Ставрополя»</t>
  </si>
  <si>
    <t>16 3 01 00000</t>
  </si>
  <si>
    <t>16 3 01 11010</t>
  </si>
  <si>
    <t>16 3 02 00000</t>
  </si>
  <si>
    <t>16 3 02 20690</t>
  </si>
  <si>
    <t>16 3 03 00000</t>
  </si>
  <si>
    <t>16 3 03 20350</t>
  </si>
  <si>
    <t>16 3 04 00000</t>
  </si>
  <si>
    <t>16 3 04 20350</t>
  </si>
  <si>
    <t>Председатель представительного органа муниципального образования</t>
  </si>
  <si>
    <t>70 4 00 20090</t>
  </si>
  <si>
    <t>Условно утвержденные расходы</t>
  </si>
  <si>
    <t>04 2 02 21030</t>
  </si>
  <si>
    <t>84 2 00 20740</t>
  </si>
  <si>
    <t>05 Б 01 00000</t>
  </si>
  <si>
    <t>05 Б 01 20390</t>
  </si>
  <si>
    <t>05 Б 02 00000</t>
  </si>
  <si>
    <t>07 2 13 00000</t>
  </si>
  <si>
    <t>Расходы на строительство сценическо-концертной площадки с подземной автостоянкой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</t>
  </si>
  <si>
    <t>07 2 13 40020</t>
  </si>
  <si>
    <t>Подпрограмма «Дополнительные меры социальной поддержки для отдельных категорий граждан, поддержка социально ориентированных некоммерческих организаций»</t>
  </si>
  <si>
    <t>Основное мероприятие «Проведение мероприятий для отдельных категорий граждан»</t>
  </si>
  <si>
    <t>Обеспечение членства в международных, общероссийских и региональных объединениях муниципальных образований (оплата членских взносов)</t>
  </si>
  <si>
    <t>Основное мероприятие «Развитие международного, межрегионального и межмуниципального сотрудничества города Ставрополя»</t>
  </si>
  <si>
    <t>Организация приема и обслуживание официальных лиц и делегаций городов стран дальнего и ближнего зарубежья, регионов Российской Федерации, представителей иностранных посольств и консульств и проведение официальных мероприятий (представительские расходы)</t>
  </si>
  <si>
    <t>Основное мероприятие «Создание благоприятных условий для развития инвестиционной деятельности»</t>
  </si>
  <si>
    <t>460</t>
  </si>
  <si>
    <t>Основное мероприятие «Организация и предоставление муниципальных услуг в городе Ставрополе в электронном виде»</t>
  </si>
  <si>
    <t>Основное мероприятие «Участие учащихся муниципальных учреждений дополнительного образования детей в отрасли «Культура» города Ставрополя и профессиональных творческих коллективов, концертных исполнителей муниципальных учреждений культуры в фестивалях и конкурсах исполнительского мастерства, проведение фестивалей и конкурсов исполнительского мастерства»</t>
  </si>
  <si>
    <t>Основное мероприятие «Создание условий для развития туризма на территории города Ставрополя»</t>
  </si>
  <si>
    <t>Основное мероприятие «Создание условий для эффективного выполнения полномочий по управлению и распоряжению имуществом, находящимся в муниципальной собственности города Ставрополя, в том числе земельными ресурсами»</t>
  </si>
  <si>
    <t>Расходы на участие учащихся муниципальных учреждений дополнительного образования детей в отрасли «Культура» города Ставрополя и профессиональных творческих коллективов, концертных исполнителей муниципальных учреждений культуры в фестивалях и конкурсах исполнительского мастерства, проведение фестивалей и конкурсов исполнительского мастерства</t>
  </si>
  <si>
    <t>Основное мероприятие «Модернизация материально-технической базы муниципальных учреждений отрасли «Культура» города Ставрополя»</t>
  </si>
  <si>
    <t>Расходы на модернизацию материально-технической базы муниципальных учреждений отрасли «Культура» города Ставрополя</t>
  </si>
  <si>
    <t>Основное мероприятие «Проведение работ по капитальному ремонту зданий и сооружений в муниципальных бюджетных (автономных) учреждениях отрасли «Культура» города Ставрополя»</t>
  </si>
  <si>
    <t>Основное мероприятие «Строительство сценическо-концертной площадки с подземной автостоянкой»</t>
  </si>
  <si>
    <t>11 Б 01 21120</t>
  </si>
  <si>
    <t>Расходы на уплату взносов на капитальный ремонт общего имущества в многоквартирных домах</t>
  </si>
  <si>
    <t>Подпрограмма «Организация дошкольного, общего и дополнительного образования»</t>
  </si>
  <si>
    <t>Основное мероприятие «Снос многоквартирных домов, признанных до 01 января 2012 года аварийными и подлежащими сносу в связи с физическим износом в процессе их эксплуатации в городе Ставрополе»</t>
  </si>
  <si>
    <t>Основное мероприятие «Проведение аварийно-спасательных работ и организация обучения населения города Ставрополя»</t>
  </si>
  <si>
    <t>Основное мероприятие «Обеспечение первичных мер пожарной безопасности»</t>
  </si>
  <si>
    <t>Основное мероприятие  «Создание, эксплуатация и развитие системы обеспечения вызова экстренных оперативных служб по единому номеру «112» на территории города Ставрополя»</t>
  </si>
  <si>
    <t>Основное мероприятие «Приобретение и установка систем видеонаблюдения в местах массового пребывания граждан»</t>
  </si>
  <si>
    <t>Основное мероприятие «Развитие Центра технического обеспечения муниципального казенного учреждения «Единая дежурно-диспетчерская служба» города Ставрополя по ведению мониторинга состояния объектов с массовым пребыванием людей»</t>
  </si>
  <si>
    <t>Основное мероприятие «Выполнение функций заказчика по разработке градостроительной документации о градостроительном планировании развития и застройки территории города Ставрополя и частей территории города Ставрополя»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</si>
  <si>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
капитального строительства государственной
(муниципальной) собственности или приобретение объектов недвижимого имущества в государственную (муниципальную) собственность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</si>
  <si>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</si>
  <si>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Расходы на осуществление переданных государственных полномочий Ставропольского края по созданию и организации деятельности комиссий по делам несовершеннолетних и защите их прав</t>
  </si>
  <si>
    <t>Подпрограмма «Оптимизация и повышение качества предоставления государственных и муниципальных услуг в городе Ставрополе»</t>
  </si>
  <si>
    <t>Расходы на реализацию мероприятий, направленных на оптимизацию и повышение качества предоставления государственных и муниципальных услуг в городе Ставрополе</t>
  </si>
  <si>
    <t>Расходы на реализацию мероприятий по профилактике незаконного потребления наркотических средств и психотропных веществ, наркомании и снижение их употребления среди подростков и молодежи города Ставрополя</t>
  </si>
  <si>
    <t>Расходы на реализацию мероприятий, направленных на развитие малого и среднего предпринимательства на территории города Ставрополя</t>
  </si>
  <si>
    <t>Расходы на информирование об инвестиционных возможностях города Ставрополя</t>
  </si>
  <si>
    <t>Расходы на повышение туристической привлекательности города Ставрополя, развитие внутреннего и въездного туризма в городе Ставрополе</t>
  </si>
  <si>
    <t>Расходы на реализацию мероприятий, направленных на повышение профессионального уровня муниципальных служащих</t>
  </si>
  <si>
    <t>Расходы на проведение кадастровых работ, необходимых для постановки на государственный кадастровый учет земельных участков, расположенных на территории города Ставрополя</t>
  </si>
  <si>
    <t>Подпрограмма «Профилактика правонарушений в городе Ставрополе»</t>
  </si>
  <si>
    <t>Основное мероприятие «Осуществление мер, направленных на укрепление межнационального согласия, профилактику межнациональных (межэтнических) конфликтов»</t>
  </si>
  <si>
    <t>Расходы на реализацию мероприятий, направленных на сохранение устойчивого роста уровня и качества жизни людей с ограниченными возможностями здоровья и пожилых людей</t>
  </si>
  <si>
    <t>Расходы на повышение социальной активности жителей города Ставрополя</t>
  </si>
  <si>
    <t>Подпрограмма «Организация и проведение физкультурных мероприятий и спортивных мероприятий»</t>
  </si>
  <si>
    <t>Основное мероприятие «Обеспечение организации, проведения и участия в официальных физкультурных (физкультурно-оздоровительных) мероприятиях муниципальных учреждений дополнительного образования детей физкультурно-спортивной направленности города Ставрополя»</t>
  </si>
  <si>
    <t xml:space="preserve">Расходы на пропаганду здорового образа жизни </t>
  </si>
  <si>
    <t>Расходы на повышение квалификации работников отрасли  «Физическая культура и спорт»</t>
  </si>
  <si>
    <t>Выплата компенсации страховых премий по договору обязательного страхования гражданской ответственности владельцев транспортных средств в соответствии с Федеральным законом от 25 апреля 2002 года № 40-ФЗ «Об обязательном страховании гражданской ответственности владельцев транспортных средств» инвалидам (в том числе детям-инвалидам), имеющим транспортные средства в соответствии с медицинскими показаниями, или их законным представителям за счет средств федерального бюджета</t>
  </si>
  <si>
    <t>Расходы на проведение ремонтных работ внутренних помещений здания муниципального автономного учреждения дополнительного образования «Детская школа искусств № 5» города Ставрополя по адресу: город Ставрополь, улица Доваторцев, 44/1 (в том числе изготовление проектно-сметной документации, технический надзор)</t>
  </si>
  <si>
    <t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содержание автомобильных дорог общего пользования местного значения</t>
  </si>
  <si>
    <t>Расходы на проведение работ по уходу за зелеными насаждениями</t>
  </si>
  <si>
    <t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содержание центральной части города Ставрополя</t>
  </si>
  <si>
    <t>Расходы на размещение информационных баннеров на лайтбоксах на остановочных пунктах в городе Ставрополе</t>
  </si>
  <si>
    <t>Расходы на ремонт подъездных автомобильных дорог общего пользования местного значения  к садоводческим, огородническим и дачным некоммерческим объединениям граждан, расположенным на территории города Ставрополя</t>
  </si>
  <si>
    <t>Проектирование, строительство и реконструкция автомобильных дорог общего пользования местного значения</t>
  </si>
  <si>
    <t>04 2 02 21180</t>
  </si>
  <si>
    <t>Расходы на ремонт автомобильных дорог общего пользования местного значения</t>
  </si>
  <si>
    <t>Расходы на обеспечение уличного освещения территории города Ставрополя</t>
  </si>
  <si>
    <t>Расходы на предоставление молодым семьям социальных выплат на приобретение жилого помещения или создание объекта индивидуального жилищного строительства</t>
  </si>
  <si>
    <t xml:space="preserve">Расходы на демонтаж, хранение или уничтожение рекламных конструкций за счет средств местного бюджета </t>
  </si>
  <si>
    <t>Расходы на разработку градостроительной документации</t>
  </si>
  <si>
    <t>Расходы на реализацию мероприятий, направленных на обеспечение безопасности на водных объектах города Ставрополя</t>
  </si>
  <si>
    <t>Расходы на содержание автомобильных дорог общего пользования местного значения</t>
  </si>
  <si>
    <t>Расходы на 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t>
  </si>
  <si>
    <t>Расходы на предоставление автономной некоммерческой организации «Ставропольский городской авиационный спортивный клуб» субсидии в виде имущественного взноса муниципального образования города Ставрополя  Ставропольского края</t>
  </si>
  <si>
    <t>Расходы на проектирование, строительство и содержание муниципальных общественных кладбищ на территории города Ставрополя</t>
  </si>
  <si>
    <t>Телевидение и радиовещание</t>
  </si>
  <si>
    <t>14 1 03 98710</t>
  </si>
  <si>
    <t>08 2 03 21060</t>
  </si>
  <si>
    <t>04 2 02 21090</t>
  </si>
  <si>
    <t>04 3 04 21070</t>
  </si>
  <si>
    <t>04 3 04 21080</t>
  </si>
  <si>
    <t>Предоставление субсидии на возмещение затрат организаций по созданию, эксплуатации и обеспечению функционирования на платной основе парковок (парковочных мест), расположенных на автомобильных дорогах общего пользования местного значения города Ставрополя</t>
  </si>
  <si>
    <t>Капитальный ремонт и ремонт автомобильных дорог общего пользования местного значения в границах города Ставрополя за счет средств местного бюджета</t>
  </si>
  <si>
    <t>Капитальный ремонт и ремонт дворовых территорий многоквартирных домов, проездов к дворовым территориям многоквартирных домов города Ставрополя за счет средств местного бюджета</t>
  </si>
  <si>
    <t>Расходы на подготовку документов территориального планирования города Ставрополя</t>
  </si>
  <si>
    <t>05 Б 02 21190</t>
  </si>
  <si>
    <t>15 3 02 21290</t>
  </si>
  <si>
    <t>07 2 04 L5194</t>
  </si>
  <si>
    <t>Расходы на комплектование книжных фондов библиотек муниципальных образований за счет средств местного бюджета</t>
  </si>
  <si>
    <t>Ежемесячная денежная выплата нуждающимся в поддержке семьям, назначаемая в случае рождения в них после 31 декабря 2012 года третьего ребенка или последующих детей до достижения ребенком возраста трех лет</t>
  </si>
  <si>
    <t>01 2 01 L5201</t>
  </si>
  <si>
    <t>Реализация мероприятий по содействию создания в субъектах Российской Федерации новых мест в общеобразовательных организациях за счет средств местного бюджета</t>
  </si>
  <si>
    <t>01 2 01 R5200</t>
  </si>
  <si>
    <t xml:space="preserve">Расходы на реализацию мероприятий по содействию создания в субъектах Российской Федерации новых мест в общеобразовательных организациях </t>
  </si>
  <si>
    <t>Основное мероприятие «Предоставление финансовой поддержки некоммерческим организациям, осуществляющим деятельность в области физической культуры и спорта на территории города Ставрополя»</t>
  </si>
  <si>
    <t>08 2 04 60150</t>
  </si>
  <si>
    <t xml:space="preserve">Расходы на предоставление субсидий социально ориентированным некоммерческим организациям, осуществляющим деятельность в области физической культуры и спорта на территории города Ставрополя  </t>
  </si>
  <si>
    <t>70 4 00 98710</t>
  </si>
  <si>
    <t>14 1 04 98720</t>
  </si>
  <si>
    <t>Наименование вида расходов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</si>
  <si>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</si>
  <si>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Фонд оплаты труда учреждений</t>
  </si>
  <si>
    <t>Иные выплаты персоналу учреждений, за исключением фонда оплаты труда</t>
  </si>
  <si>
    <t>Иные выплаты, за исключением фонда оплаты труда учреждений, лицам, привлекаемым согласно законодательству для выполнения отдельных полномочий</t>
  </si>
  <si>
    <t>Взносы по обязательному социальному страхованию на выплаты по оплате труда работников и иные выплаты работникам учреждений</t>
  </si>
  <si>
    <t>Фонд оплаты труда государственных (муниципальных) органов</t>
  </si>
  <si>
    <t>Иные выплаты персоналу государственных (муниципальных) органов, за исключением фонда оплаты труда</t>
  </si>
  <si>
    <t>Иные выплаты, за исключением фонда оплаты труда государственных (муниципальных) органов, лицам, привлекаемым согласно законодательству для выполнения отдельных полномочий</t>
  </si>
  <si>
    <t>Взносы по обязательному социальному страхованию на выплаты денежного содержания и иные выплаты работникам государственных (муниципальных) органов</t>
  </si>
  <si>
    <t>Расходы на выплаты персоналу в сфере национальной безопасности, правоохранительной деятельности и обороны</t>
  </si>
  <si>
    <t>Денежное довольствие военнослужащих и сотрудников, имеющих специальные звания</t>
  </si>
  <si>
    <t>Расходы на выплаты военнослужащим и сотрудникам, имеющим специальные звания, зависящие от размера денежного довольствия</t>
  </si>
  <si>
    <t>Иные выплаты персоналу и сотрудникам, имеющим специальные звания</t>
  </si>
  <si>
    <t>Взносы по обязательному социальному страхованию на выплаты по оплате труда лиц, принимаемых на должности стажеров</t>
  </si>
  <si>
    <t>Расходы на выплаты персоналу государственных внебюджетных фондов</t>
  </si>
  <si>
    <t>Фонд оплаты труда государственных внебюджетных фондов</t>
  </si>
  <si>
    <t>Иные выплаты персоналу, за исключением фонда оплаты труда</t>
  </si>
  <si>
    <t>Взносы по обязательному социальному страхованию на выплаты по оплате труда работников и иные выплаты работникам государственных внебюджетных фондов</t>
  </si>
  <si>
    <t>Закупка товаров, работ и услуг для обеспечения государственных (муниципальных) нужд</t>
  </si>
  <si>
    <t>Разработка, закупка и ремонт вооружений, военной и специальной техники, продукции производственно-технического назначения и имущества</t>
  </si>
  <si>
    <t>Закупка вооружений, военной и специальной техники, продукции производственно-технического назначения и имущества в рамках государственного оборонного заказа в целях обеспечения государственной программы вооружения</t>
  </si>
  <si>
    <t>Закупка вооружений, военной и специальной техники, продукции производственно-технического назначения и имущества в рамках государственного оборонного заказа вне рамок государственной программы вооружения</t>
  </si>
  <si>
    <t>Закупка товаров, работ и услуг для обеспечения государственных нужд в области геодезии и картографии в рамках государственного оборонного заказа</t>
  </si>
  <si>
    <t>Ремонт вооружений, военной и специальной техники, продукции производственно-технического назначения и имущества в рамках государственного оборонного заказа в целях обеспечения государственной программы вооружения</t>
  </si>
  <si>
    <t>Ремонт вооружений, военной и специальной техники, продукции производственно-технического назначения и имущества в рамках государственного оборонного заказа вне рамок государственной программы вооружения</t>
  </si>
  <si>
    <t>Фундаментальные исследования в интересах национальной обороны, национальной безопасности и правоохранительной деятельности в рамках государственного оборонного заказа в целях обеспечения государственной программы вооружения</t>
  </si>
  <si>
    <t>Исследования в области разработки вооружений, военной и специальной техники, продукции производственно-технического назначения в рамках государственного оборонного заказа в целях обеспечения государственной программы вооружения</t>
  </si>
  <si>
    <t>Исследования в области разработки вооружений, военной и специальной техники, продукции производственно-технического назначения в рамках государственного оборонного заказа вне рамок государственной программы вооружения</t>
  </si>
  <si>
    <t>Закупка работ и услуг в целях обеспечения мероприятий в рамках государственного оборонного заказа</t>
  </si>
  <si>
    <t>Закупка товаров, работ и услуг для обеспечения специальным топливом и горюче-смазочными материалами, продовольственного и вещевого обеспечения органов в сфере национальной безопасности, правоохранительной деятельности и обороны</t>
  </si>
  <si>
    <t>Обеспечение специальным топливом и горюче-смазочными материалами в рамках государственного оборонного заказа</t>
  </si>
  <si>
    <t>Обеспечение специальным топливом и горюче-смазочными материалами вне рамок государственного оборонного заказа</t>
  </si>
  <si>
    <t>Продовольственное обеспечение в рамках государственного оборонного заказа</t>
  </si>
  <si>
    <t>Продовольственное обеспечение вне рамок государственного оборонного заказа</t>
  </si>
  <si>
    <t>Вещевое обеспечение в рамках государственного оборонного заказа</t>
  </si>
  <si>
    <t>Вещевое обеспечение вне рамок государственного оборонного заказа</t>
  </si>
  <si>
    <t>Закупка товаров, работ и услуг в целях формирования государственного материального резерва</t>
  </si>
  <si>
    <t>Закупка товаров, работ, услуг в целях формирования государственного материального резерва в рамках государственного оборонного заказа</t>
  </si>
  <si>
    <t>Закупка товаров, работ, услуг в целях обеспечения формирования государственного материального резерва, резервов материальных ресурсов</t>
  </si>
  <si>
    <t>Научно-исследовательские и опытно-конструкторские работы</t>
  </si>
  <si>
    <t>Закупка товаров, работ, услуг в сфере информационно-коммуникационных технологий</t>
  </si>
  <si>
    <t>Закупка товаров, работ, услуг в целях капитального ремонта государственного (муниципального) имущества</t>
  </si>
  <si>
    <t>Прочая закупка товаров, работ и услуг для обеспечения государственных (муниципальных) нужд</t>
  </si>
  <si>
    <t>Закупка товаров, работ и услуг для обеспечения государственных (муниципальных) нужд в области геодезии и картографии вне рамок государственного оборонного заказа</t>
  </si>
  <si>
    <t>Социальное обеспечение и иные выплаты населению</t>
  </si>
  <si>
    <t>Пенсии, выплачиваемые по пенсионному страхованию населения</t>
  </si>
  <si>
    <t>Иные пенсии, социальные доплаты к пенсиям</t>
  </si>
  <si>
    <t>Пособия, компенсации, меры социальной поддержки по публичным нормативным обязательствам</t>
  </si>
  <si>
    <t>Пособия, компенсации и иные социальные выплаты гражданам, кроме публичных нормативных обязательств</t>
  </si>
  <si>
    <t>Субсидии гражданам на приобретение жилья</t>
  </si>
  <si>
    <t>Приобретение товаров, работ, услуг в пользу граждан в целях их социального обеспечения</t>
  </si>
  <si>
    <t>Публичные нормативные выплаты гражданам несоциального характера</t>
  </si>
  <si>
    <t>Капитальные вложения в объекты государственной (муниципальной) собственности</t>
  </si>
  <si>
    <t>Бюджетные инвестиции на приобретение объектов недвижимого имущества в федеральную собственность в рамках государственного оборонного заказа</t>
  </si>
  <si>
    <t>Бюджетные инвестиции на приобретение объектов недвижимого имущества в государственную (муниципальную) собственность</t>
  </si>
  <si>
    <t>Бюджетные инвестиции в объекты капитального строительства в рамках государственного оборонного заказа</t>
  </si>
  <si>
    <t>Бюджетные инвестиции в объекты капитального строительства государственной (муниципальной) собственности</t>
  </si>
  <si>
    <t>Бюджетные инвестиции в соответствии с концессионными соглашениями</t>
  </si>
  <si>
    <t>Капитальные вложения на приобретение объектов недвижимого имущества государственными (муниципальными) учреждениями</t>
  </si>
  <si>
    <t>Капитальные вложения на строительство объектов недвижимого имущества государственными (муниципальными) учреждениями</t>
  </si>
  <si>
    <t>Бюджетные инвестиции иным юридическим лицам</t>
  </si>
  <si>
    <t>Бюджетные инвестиции иным юридическим лицам в объекты капитального строительства</t>
  </si>
  <si>
    <t>Бюджетные инвестиции иным юридическим лицам, за исключением бюджетных инвестиций в объекты капитального строительства</t>
  </si>
  <si>
    <t>Бюджетные инвестиции иным юридическим лицам в объекты капитального строительства дочерних обществ</t>
  </si>
  <si>
    <t>Субсидии на приобретение объектов недвижимого имущества в государственную (муниципальную) собственность бюджетным учреждениям</t>
  </si>
  <si>
    <t>Субсидии на приобретение объектов недвижимого имущества в государственную (муниципальную) собственность автономным учреждениям</t>
  </si>
  <si>
    <t>Субсидии на приобретение объектов недвижимого имущества в государственную (муниципальную) собственность государственным (муниципальным) унитарным предприятиям</t>
  </si>
  <si>
    <t>Субсидии на осуществление капитальных вложений в объекты капитального строительства государственной (муниципальной) собственности бюджетным учреждениям</t>
  </si>
  <si>
    <t>Субсидии на осуществление капитальных вложений в объекты капитального строительства государственной (муниципальной) собственности автономным учреждениям</t>
  </si>
  <si>
    <t>Субсидии на осуществление капитальных вложений в объекты капитального строительства государственной (муниципальной) собственности государственным (муниципальным) унитарным предприятиям</t>
  </si>
  <si>
    <t>Межбюджетные трансферты</t>
  </si>
  <si>
    <t>Дотации</t>
  </si>
  <si>
    <t>Дотации на выравнивание бюджетной обеспеченности</t>
  </si>
  <si>
    <t>Иные дотации</t>
  </si>
  <si>
    <t>Субсидии</t>
  </si>
  <si>
    <t>Субсидии, за исключением субсидий на софинансирование капитальных вложений в объекты государственной (муниципальной) собственности</t>
  </si>
  <si>
    <t>Субсидии на софинансирование капитальных вложений в объекты государственной (муниципальной) собственности</t>
  </si>
  <si>
    <t>Субвенции</t>
  </si>
  <si>
    <t>Иные межбюджетные трансферты</t>
  </si>
  <si>
    <t>Межбюджетные трансферты бюджету Фонда социального страхования Российской Федерации</t>
  </si>
  <si>
    <t>Межбюджетные трансферты бюджету Федерального фонда обязательного медицинского страхования</t>
  </si>
  <si>
    <t>Межбюджетные трансферты бюджету Пенсионного фонда Российской Федерации</t>
  </si>
  <si>
    <t>Межбюджетные трансферты бюджетам территориальных фондов обязательного медицинского страхования</t>
  </si>
  <si>
    <t>Предоставление субсидий бюджетным, автономным учреждениям и иным некоммерческим организациям</t>
  </si>
  <si>
    <t>Субсидии бюджетным учреждениям на финансовое обеспечение государственного (муниципального) задания на оказание государственных (муниципальных) услуг (выполнение работ)</t>
  </si>
  <si>
    <t>Субсидии бюджетным учреждениям на иные цели</t>
  </si>
  <si>
    <t>Гранты в форме субсидии бюджетным учреждениям</t>
  </si>
  <si>
    <t>Субсидии автономным учреждениям на финансовое обеспечение государственного (муниципального) задания на оказание государственных (муниципальных) услуг (выполнение работ)</t>
  </si>
  <si>
    <t>Субсидии автономным учреждениям на иные цели</t>
  </si>
  <si>
    <t>Гранты в форме субсидии автономным учреждениям</t>
  </si>
  <si>
    <t>Обслуживание государственного (муниципального) долга</t>
  </si>
  <si>
    <t>Обслуживание государственного долга Российской Федерации</t>
  </si>
  <si>
    <t>Обслуживание государственного долга субъекта Российской Федерации</t>
  </si>
  <si>
    <t>Иные бюджетные ассигнования</t>
  </si>
  <si>
    <t>Субсидии государственным корпорациям (компаниям)</t>
  </si>
  <si>
    <t>Субсидии государственным корпорациям (компаниям) в виде имущественного взноса на осуществление капитальных вложений в объекты государственных корпораций (компаний)</t>
  </si>
  <si>
    <t>Субсидии государственным корпорациям (компаниям) в виде имущественного взноса на иные цели, не связанные с капитальными вложениями</t>
  </si>
  <si>
    <t>Субсидии государственным корпорациям (компаниям) на выполнение возложенных на них государственных полномочий</t>
  </si>
  <si>
    <t>Субсидии государственным корпорациям (компаниям) на иные цели</t>
  </si>
  <si>
    <t>Субсидии государственным корпорациям (компаниям) в виде имущественного взноса на осуществление капитальных вложений в объекты дочерних обществ</t>
  </si>
  <si>
    <t>Исполнение судебных актов судебных органов иностранных государств, международных судов и арбитражей, определяемых международными договорами Российской Федерации, в результате незаконных действий (бездействия) органов государственной власти (государственных органов) либо должностных лиц этих органов, мировых соглашений, заключенных в рамках судебных процессов в судебных органах иностранных государств, в международных судах и арбитражах</t>
  </si>
  <si>
    <t>Исполнение государственных (муниципальных) гарантий без права регрессного требования гаранта к принципалу или уступки гаранту прав требования бенефициара к принципалу</t>
  </si>
  <si>
    <t>Исполнение государственных гарантий Российской Федерации</t>
  </si>
  <si>
    <t>Исполнение государственных гарантий субъекта Российской Федерации</t>
  </si>
  <si>
    <t>Исполнение муниципальных гарантий</t>
  </si>
  <si>
    <t>Уплата налога на имущество организаций и земельного налога</t>
  </si>
  <si>
    <t>Уплата прочих налогов, сборов</t>
  </si>
  <si>
    <t>Уплата иных платежей</t>
  </si>
  <si>
    <t>Предоставление платежей, взносов, безвозмездных перечислений субъектам международного права</t>
  </si>
  <si>
    <t>Безвозмездные перечисления субъектам международного права</t>
  </si>
  <si>
    <t>Взносы в международные организации</t>
  </si>
  <si>
    <t>Платежи в целях обеспечения реализации соглашений с правительствами иностранных государств и международными организациями</t>
  </si>
  <si>
    <t>244</t>
  </si>
  <si>
    <t>Исполнение судебных актов Российской Федерации и мировых соглашений по возмещению причиненного вреда</t>
  </si>
  <si>
    <t>831</t>
  </si>
  <si>
    <t>612</t>
  </si>
  <si>
    <t>Субсидии на возмещение недополученных доходов или возмещение фактически понесенных затрат в связи с производством (реализацией) товаров, выполнением работ, оказанием услуг</t>
  </si>
  <si>
    <t xml:space="preserve">Субсидии (гранты в форме субсидий) на финансовое обеспечение затрат в связи с производством (реализацией) товаров, выполнением работ, оказанием услуг, порядком (правилами) предоставления которых установлено требование о последующем подтверждении их использования в соответствии с условиями и (или) целями предоставления </t>
  </si>
  <si>
    <t>Субсидии (гранты в форме субсидий) на финансовое обеспечение затрат в связи с производством (реализацией) товаров, выполнением работ, оказанием услуг, порядком (правилами) предоставления которых не установлены требования о последующем подтверждении их использования в соответствии с условиями и (или) целями предоставления</t>
  </si>
  <si>
    <t>811</t>
  </si>
  <si>
    <t>812</t>
  </si>
  <si>
    <t>414</t>
  </si>
  <si>
    <t>322</t>
  </si>
  <si>
    <t>622</t>
  </si>
  <si>
    <t>632</t>
  </si>
  <si>
    <t>111</t>
  </si>
  <si>
    <t>119</t>
  </si>
  <si>
    <t>465</t>
  </si>
  <si>
    <t>122</t>
  </si>
  <si>
    <t>129</t>
  </si>
  <si>
    <t>851</t>
  </si>
  <si>
    <t>852</t>
  </si>
  <si>
    <t>121</t>
  </si>
  <si>
    <t>313</t>
  </si>
  <si>
    <t>323</t>
  </si>
  <si>
    <t>853</t>
  </si>
  <si>
    <t>862</t>
  </si>
  <si>
    <t>123</t>
  </si>
  <si>
    <t>112</t>
  </si>
  <si>
    <t>243</t>
  </si>
  <si>
    <t>113</t>
  </si>
  <si>
    <t>631</t>
  </si>
  <si>
    <t>заместителя главы администрации</t>
  </si>
  <si>
    <t xml:space="preserve"> города Ставрополя, руководителя</t>
  </si>
  <si>
    <t xml:space="preserve"> комитета финансов и бюджета</t>
  </si>
  <si>
    <t>администрации города Ставрополя</t>
  </si>
  <si>
    <t>от __ декабря 2016 года № __</t>
  </si>
  <si>
    <t>Приложение 1 к приказу</t>
  </si>
  <si>
    <t>СВОДНАЯ БЮДЖЕТНАЯ РОСПИСЬ</t>
  </si>
  <si>
    <t>Раздел I. Бюджетные ассигнования</t>
  </si>
  <si>
    <t>по расходам бюджета города Ставрополя</t>
  </si>
  <si>
    <t xml:space="preserve">Наименование </t>
  </si>
  <si>
    <t>Коды по бюджетной классификации Российской Федерации</t>
  </si>
  <si>
    <t xml:space="preserve">Сумма </t>
  </si>
  <si>
    <t>1</t>
  </si>
  <si>
    <t>2</t>
  </si>
  <si>
    <t>3</t>
  </si>
  <si>
    <t>5</t>
  </si>
  <si>
    <t>6</t>
  </si>
  <si>
    <t>7</t>
  </si>
  <si>
    <t>(в рублях)</t>
  </si>
  <si>
    <t>ГРБС</t>
  </si>
  <si>
    <t xml:space="preserve">Заместитель главы администрации </t>
  </si>
  <si>
    <t>города Ставрополя, руководитель</t>
  </si>
  <si>
    <t>комитета финансов и бюджета</t>
  </si>
  <si>
    <t>В.В. Костюков</t>
  </si>
  <si>
    <t>Раздел II. Бюджетные ассигнования</t>
  </si>
  <si>
    <t>по источникам финансирования дефицита бюджета города Ставрополя</t>
  </si>
  <si>
    <t>Код главного администратора источников финансирования дефицита бюджета города Ставрополя</t>
  </si>
  <si>
    <t>Код источника  финансирования дефицита бюджета города Ставрополя по бюджетной классификации</t>
  </si>
  <si>
    <t>Сумма</t>
  </si>
  <si>
    <t>Всего доходов бюджета города</t>
  </si>
  <si>
    <t>Всего расходов бюджета города</t>
  </si>
  <si>
    <t>Дефицит (-)/ профицит (+) бюджета горда</t>
  </si>
  <si>
    <t>Всего источников финансирования дефицита бюджета города</t>
  </si>
  <si>
    <t>Получение кредитов от кредитных организаций бюджетом городского округа в валюте Российской Федерации</t>
  </si>
  <si>
    <t>0102 0000 04 0000 710</t>
  </si>
  <si>
    <t>Получение бюджетных кредитов от других бюджетов бюджетной системы Российской Федерации бюджетом городского округа в валюте Российской Федерации</t>
  </si>
  <si>
    <t>0103 0100 04 0000 710</t>
  </si>
  <si>
    <t>Погашение городским округом кредитов от кредитных организаций в валюте Российской Федерации</t>
  </si>
  <si>
    <t>0102 0000 04 0000 810</t>
  </si>
  <si>
    <t>Погашение бюджетных кредитов, полученных  от других бюджетов бюджетной системы Российской Федерации  в валюте Российской Федерации</t>
  </si>
  <si>
    <t>0103 0100 04 0000 810</t>
  </si>
  <si>
    <t>Увеличение прочих остатков денежных средств бюджета городского округа</t>
  </si>
  <si>
    <t>0105 0201 04 0000 510</t>
  </si>
  <si>
    <t>Уменьшение прочих остатков денежных средств бюджета городского округа</t>
  </si>
  <si>
    <t>0105 0201 04 0000 610</t>
  </si>
  <si>
    <t xml:space="preserve">Итого </t>
  </si>
  <si>
    <t xml:space="preserve">на 2017 год </t>
  </si>
  <si>
    <t>Расходы на исполнение обязательств в рамках реализации муниципальных программ города Ставрополя, действовавших до 01.01.2017, за счет остатков на 01.01.2017</t>
  </si>
  <si>
    <t>98 2 00 00000</t>
  </si>
  <si>
    <t>98 2 00 20190</t>
  </si>
  <si>
    <t>Расходы на формирование современной городской среды за счет средств местного бюджета</t>
  </si>
  <si>
    <t>04 3 04 L5550</t>
  </si>
  <si>
    <t>Бюджетные инвестиции в объекты капитального строительства собственности муниципальных образований Ставропольского края в рамках реализации мероприятий государственной программы Российской Федерации «Развитие Северо-Кавказского федерального округа» на период до 2025 года за счет средств местного бюджета</t>
  </si>
  <si>
    <t>98 2 00 L1122</t>
  </si>
  <si>
    <t xml:space="preserve">Основное мероприятие «Строительство памятников на территории города Ставрополя» </t>
  </si>
  <si>
    <t>07 2 14 00000</t>
  </si>
  <si>
    <t>07 2 14 40010</t>
  </si>
  <si>
    <t>98 2 00 40010</t>
  </si>
  <si>
    <t>98 2 00 20390</t>
  </si>
  <si>
    <t>Расходы на обеспечение выплаты работникам муниципальных учреждений минимального размера оплаты труда</t>
  </si>
  <si>
    <t>01 1 01 77250</t>
  </si>
  <si>
    <t>01 1 02 77250</t>
  </si>
  <si>
    <t>01 1 03 77250</t>
  </si>
  <si>
    <t>01 1 04 77250</t>
  </si>
  <si>
    <t>01 1 08 77250</t>
  </si>
  <si>
    <t>08 1 01 77250</t>
  </si>
  <si>
    <t>08 1 02 77250</t>
  </si>
  <si>
    <t>07 2 01 77250</t>
  </si>
  <si>
    <t>98 2 00 20130</t>
  </si>
  <si>
    <t>98 2 00 20560</t>
  </si>
  <si>
    <t>98 2 00 20570</t>
  </si>
  <si>
    <t>98 2 00 60090</t>
  </si>
  <si>
    <t>98 2 00 S6470</t>
  </si>
  <si>
    <t>Возврат средств за квартиры, приобретенные с использованием средств государственной корпорации - Фонда содействия реформированию жилищно-коммунального хозяйства по программе переселения граждан из аварийного жилищного фонда в городе Ставрополе</t>
  </si>
  <si>
    <t>98 2 00 21310</t>
  </si>
  <si>
    <t>Возврат средств за квартиры, приобретенные с использованием средств бюджета Ставропольского края по программе переселения граждан из аварийного жилищного фонда в городе Ставрополе</t>
  </si>
  <si>
    <t>98 2 00 21320</t>
  </si>
  <si>
    <t>98 2 00 S6910</t>
  </si>
  <si>
    <t>412</t>
  </si>
  <si>
    <t>98 2 00 20280</t>
  </si>
  <si>
    <t>98 2 00 20290</t>
  </si>
  <si>
    <t>98 2 00 20300</t>
  </si>
  <si>
    <t>98 2 00 20780</t>
  </si>
  <si>
    <t>83 2 00 00000</t>
  </si>
  <si>
    <t>Снос аварийных многоквартирных домов, включенных в программы по переселению граждан из аварийного жилищного фонда в городе Ставрополе, реализовывавшихся до 2014 года</t>
  </si>
  <si>
    <t>83 2 00 20950</t>
  </si>
  <si>
    <t>Расходы на уплату взносов на капитальный ремонт общего имущества в многоквартирных домах в соответствии с постановлением Правительства Ставропольского края от 29 мая 2014 г. № 225-п «О региональной программе «Капитальный ремонт общего имущества в многоквартирных домах, расположенных на территории Ставропольского края на 2014 - 2043 годы»</t>
  </si>
  <si>
    <t>83 2 00 21120</t>
  </si>
  <si>
    <t>98 2 00 80020</t>
  </si>
  <si>
    <t>Организация ведения централизованного бюджетного (бухгалтерского) учета и формирования бюджетной (бухгалтерской) отчетности</t>
  </si>
  <si>
    <t>98 2 00 21340</t>
  </si>
  <si>
    <t>Предоставление мер социальной поддержки Почетным гражданам города Ставрополя</t>
  </si>
  <si>
    <t>98 2 00 80080</t>
  </si>
  <si>
    <t>98 2 00 20530</t>
  </si>
  <si>
    <t>71 1 00 20050</t>
  </si>
  <si>
    <t>72 1 00 20050</t>
  </si>
  <si>
    <t>80 1 00 20050</t>
  </si>
  <si>
    <t>84 1 00 20050</t>
  </si>
  <si>
    <t>82 1 00 20050</t>
  </si>
  <si>
    <t>Расходы на уплату административного штрафа</t>
  </si>
  <si>
    <t>83 1 00 21040</t>
  </si>
  <si>
    <t>72 1 00 10050</t>
  </si>
  <si>
    <t>77 0 00 00000</t>
  </si>
  <si>
    <t>77 1 00 10050</t>
  </si>
  <si>
    <t>Обеспечение мероприятий, реализуемых без участия средств государственной корпорации - Фонда содействия реформированию жилищно-коммунального хозяйства, по переселению граждан из аварийного жилищного фонда</t>
  </si>
  <si>
    <t>98 2 00 76910</t>
  </si>
  <si>
    <t>98 2 00 20800</t>
  </si>
  <si>
    <t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содержание автомобильных дорог общего пользования местного значения с движением транспортных средств, осуществляющих регулярные перевозки по муниципальным маршрутам  регулярных  перевозок</t>
  </si>
  <si>
    <t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ремонт автомобильных дорог общего пользования местного значения с движением транспортных средств, осуществляющих регулярные перевозки по муниципальным маршрутам  регулярных  перевозок</t>
  </si>
  <si>
    <t>18Б0000000</t>
  </si>
  <si>
    <t>18Б0100000</t>
  </si>
  <si>
    <t>18Б0160080</t>
  </si>
  <si>
    <t>11Б0000000</t>
  </si>
  <si>
    <t>11Б0100000</t>
  </si>
  <si>
    <t>11Б0120030</t>
  </si>
  <si>
    <t>11Б0120070</t>
  </si>
  <si>
    <t>11Б0121120</t>
  </si>
  <si>
    <t>11Б0300000</t>
  </si>
  <si>
    <t>11Б0320340</t>
  </si>
  <si>
    <t>02Б0000000</t>
  </si>
  <si>
    <t>02Б0200000</t>
  </si>
  <si>
    <t>02Б0220160</t>
  </si>
  <si>
    <t>11Б0200000</t>
  </si>
  <si>
    <t>11Б0220180</t>
  </si>
  <si>
    <t>10Б0000000</t>
  </si>
  <si>
    <t>10Б0100000</t>
  </si>
  <si>
    <t>10Б0120020</t>
  </si>
  <si>
    <t>10Б0200000</t>
  </si>
  <si>
    <t>10Б0220050</t>
  </si>
  <si>
    <t>10Б0300000</t>
  </si>
  <si>
    <t>10Б0320010</t>
  </si>
  <si>
    <t>01106S6690</t>
  </si>
  <si>
    <t>18Б0200000</t>
  </si>
  <si>
    <t>18Б0220360</t>
  </si>
  <si>
    <t>17Б0000000</t>
  </si>
  <si>
    <t>17Б0100000</t>
  </si>
  <si>
    <t>17Б0120490</t>
  </si>
  <si>
    <t>09Б0000000</t>
  </si>
  <si>
    <t>09Б0100000</t>
  </si>
  <si>
    <t>09Б0120460</t>
  </si>
  <si>
    <t>09Б0200000</t>
  </si>
  <si>
    <t>09Б0220460</t>
  </si>
  <si>
    <t>09Б0300000</t>
  </si>
  <si>
    <t>09Б0320460</t>
  </si>
  <si>
    <t>09Б0400000</t>
  </si>
  <si>
    <t>09Б0420460</t>
  </si>
  <si>
    <t>09Б0500000</t>
  </si>
  <si>
    <t>09Б0520460</t>
  </si>
  <si>
    <t>09Б0600000</t>
  </si>
  <si>
    <t>09Б0611010</t>
  </si>
  <si>
    <t>03301L0270</t>
  </si>
  <si>
    <t>07204L5194</t>
  </si>
  <si>
    <t>03102R0840</t>
  </si>
  <si>
    <t>11Б0120840</t>
  </si>
  <si>
    <t>02Б0100000</t>
  </si>
  <si>
    <t>02Б0120560</t>
  </si>
  <si>
    <t>04202S6460</t>
  </si>
  <si>
    <t>04202S6470</t>
  </si>
  <si>
    <t>98200S6470</t>
  </si>
  <si>
    <t>98200S6910</t>
  </si>
  <si>
    <t>04304L5550</t>
  </si>
  <si>
    <t>17Б0200000</t>
  </si>
  <si>
    <t>17Б0220490</t>
  </si>
  <si>
    <t>19Б0000000</t>
  </si>
  <si>
    <t>19Б0100000</t>
  </si>
  <si>
    <t>19Б0109602</t>
  </si>
  <si>
    <t>06Б0000000</t>
  </si>
  <si>
    <t>06Б0100000</t>
  </si>
  <si>
    <t>06Б01L0200</t>
  </si>
  <si>
    <t>05Б0000000</t>
  </si>
  <si>
    <t>05Б0100000</t>
  </si>
  <si>
    <t>05Б0120390</t>
  </si>
  <si>
    <t>05Б0200000</t>
  </si>
  <si>
    <t>05Б0221190</t>
  </si>
  <si>
    <t>01201L5201</t>
  </si>
  <si>
    <t>01201R5200</t>
  </si>
  <si>
    <t>98200L1122</t>
  </si>
  <si>
    <t>ППП</t>
  </si>
  <si>
    <t>ФКР</t>
  </si>
  <si>
    <t>КЦСР</t>
  </si>
  <si>
    <t>КВР</t>
  </si>
  <si>
    <t>0000000000</t>
  </si>
  <si>
    <t>7010010010</t>
  </si>
  <si>
    <t>7010010020</t>
  </si>
  <si>
    <t>7020010010</t>
  </si>
  <si>
    <t>7020010020</t>
  </si>
  <si>
    <t>7030010010</t>
  </si>
  <si>
    <t>7030010020</t>
  </si>
  <si>
    <t>7040020090</t>
  </si>
  <si>
    <t>7040098710</t>
  </si>
  <si>
    <t>7120010010</t>
  </si>
  <si>
    <t>7120010020</t>
  </si>
  <si>
    <t>7110010010</t>
  </si>
  <si>
    <t>7110010020</t>
  </si>
  <si>
    <t>7110076360</t>
  </si>
  <si>
    <t>7110076630</t>
  </si>
  <si>
    <t>7110076930</t>
  </si>
  <si>
    <t>9810051200</t>
  </si>
  <si>
    <t>1220320040</t>
  </si>
  <si>
    <t>1220320090</t>
  </si>
  <si>
    <t>1320120620</t>
  </si>
  <si>
    <t>1410120630</t>
  </si>
  <si>
    <t>1410220630</t>
  </si>
  <si>
    <t>1420120710</t>
  </si>
  <si>
    <t>1420220710</t>
  </si>
  <si>
    <t>1420320710</t>
  </si>
  <si>
    <t>1420411010</t>
  </si>
  <si>
    <t>1510120350</t>
  </si>
  <si>
    <t>1510220350</t>
  </si>
  <si>
    <t>1520120370</t>
  </si>
  <si>
    <t>1520220370</t>
  </si>
  <si>
    <t>1520320370</t>
  </si>
  <si>
    <t>1530320100</t>
  </si>
  <si>
    <t>7110011010</t>
  </si>
  <si>
    <t>7110020050</t>
  </si>
  <si>
    <t>9810076610</t>
  </si>
  <si>
    <t>1210160130</t>
  </si>
  <si>
    <t>1210220480</t>
  </si>
  <si>
    <t>1210320480</t>
  </si>
  <si>
    <t>1220120650</t>
  </si>
  <si>
    <t>1220220640</t>
  </si>
  <si>
    <t>1310120450</t>
  </si>
  <si>
    <t>0710120060</t>
  </si>
  <si>
    <t>1410398710</t>
  </si>
  <si>
    <t>1410498720</t>
  </si>
  <si>
    <t>7210010010</t>
  </si>
  <si>
    <t>7210010020</t>
  </si>
  <si>
    <t>7210010050</t>
  </si>
  <si>
    <t>7210020050</t>
  </si>
  <si>
    <t>0420221010</t>
  </si>
  <si>
    <t>7310010010</t>
  </si>
  <si>
    <t>7310010020</t>
  </si>
  <si>
    <t>9810010050</t>
  </si>
  <si>
    <t>9810020750</t>
  </si>
  <si>
    <t>9820021340</t>
  </si>
  <si>
    <t>1530120660</t>
  </si>
  <si>
    <t>7410010010</t>
  </si>
  <si>
    <t>7410010020</t>
  </si>
  <si>
    <t>0320280240</t>
  </si>
  <si>
    <t>0110111010</t>
  </si>
  <si>
    <t>0110177170</t>
  </si>
  <si>
    <t>0110177250</t>
  </si>
  <si>
    <t>0110611010</t>
  </si>
  <si>
    <t>1620220550</t>
  </si>
  <si>
    <t>0110211010</t>
  </si>
  <si>
    <t>0110277160</t>
  </si>
  <si>
    <t>0110277250</t>
  </si>
  <si>
    <t>0120140010</t>
  </si>
  <si>
    <t>0110311010</t>
  </si>
  <si>
    <t>0110377250</t>
  </si>
  <si>
    <t>0110411010</t>
  </si>
  <si>
    <t>0110420330</t>
  </si>
  <si>
    <t>0110477250</t>
  </si>
  <si>
    <t>0110520240</t>
  </si>
  <si>
    <t>0110811010</t>
  </si>
  <si>
    <t>0110877250</t>
  </si>
  <si>
    <t>7510010010</t>
  </si>
  <si>
    <t>7510010020</t>
  </si>
  <si>
    <t>7510076200</t>
  </si>
  <si>
    <t>0110176140</t>
  </si>
  <si>
    <t>0110778110</t>
  </si>
  <si>
    <t>0110778120</t>
  </si>
  <si>
    <t>0110778130</t>
  </si>
  <si>
    <t>0110778140</t>
  </si>
  <si>
    <t>9810020110</t>
  </si>
  <si>
    <t>0720111010</t>
  </si>
  <si>
    <t>0720177250</t>
  </si>
  <si>
    <t>0720620400</t>
  </si>
  <si>
    <t>0720821230</t>
  </si>
  <si>
    <t>0720921280</t>
  </si>
  <si>
    <t>0721221260</t>
  </si>
  <si>
    <t>0430420300</t>
  </si>
  <si>
    <t>0720211010</t>
  </si>
  <si>
    <t>0720311010</t>
  </si>
  <si>
    <t>0720411010</t>
  </si>
  <si>
    <t>0720511010</t>
  </si>
  <si>
    <t>0721160160</t>
  </si>
  <si>
    <t>07212S6660</t>
  </si>
  <si>
    <t>7610010010</t>
  </si>
  <si>
    <t>7610010020</t>
  </si>
  <si>
    <t>7620020250</t>
  </si>
  <si>
    <t>7710010050</t>
  </si>
  <si>
    <t>0310152200</t>
  </si>
  <si>
    <t>0310152500</t>
  </si>
  <si>
    <t>0310152800</t>
  </si>
  <si>
    <t>0310176240</t>
  </si>
  <si>
    <t>0310176250</t>
  </si>
  <si>
    <t>0310178210</t>
  </si>
  <si>
    <t>0310178220</t>
  </si>
  <si>
    <t>0310178230</t>
  </si>
  <si>
    <t>0310178240</t>
  </si>
  <si>
    <t>0310178250</t>
  </si>
  <si>
    <t>0310178260</t>
  </si>
  <si>
    <t>0310178270</t>
  </si>
  <si>
    <t>03101R4620</t>
  </si>
  <si>
    <t>0310253800</t>
  </si>
  <si>
    <t>0310276260</t>
  </si>
  <si>
    <t>0310276270</t>
  </si>
  <si>
    <t>0310277190</t>
  </si>
  <si>
    <t>0310278280</t>
  </si>
  <si>
    <t>0320180030</t>
  </si>
  <si>
    <t>0320180070</t>
  </si>
  <si>
    <t>0320180100</t>
  </si>
  <si>
    <t>0320180110</t>
  </si>
  <si>
    <t>0320180120</t>
  </si>
  <si>
    <t>0320180140</t>
  </si>
  <si>
    <t>0320180150</t>
  </si>
  <si>
    <t>0320180160</t>
  </si>
  <si>
    <t>0320180180</t>
  </si>
  <si>
    <t>0320180190</t>
  </si>
  <si>
    <t>0320180210</t>
  </si>
  <si>
    <t>0320520500</t>
  </si>
  <si>
    <t>0320620520</t>
  </si>
  <si>
    <t>0320820510</t>
  </si>
  <si>
    <t>0330120530</t>
  </si>
  <si>
    <t>9820080080</t>
  </si>
  <si>
    <t>0310252700</t>
  </si>
  <si>
    <t>0320760040</t>
  </si>
  <si>
    <t>7710010010</t>
  </si>
  <si>
    <t>7710010020</t>
  </si>
  <si>
    <t>7710076100</t>
  </si>
  <si>
    <t>7710076210</t>
  </si>
  <si>
    <t>9820020530</t>
  </si>
  <si>
    <t>0810111010</t>
  </si>
  <si>
    <t>0810177250</t>
  </si>
  <si>
    <t>0810211010</t>
  </si>
  <si>
    <t>0810277250</t>
  </si>
  <si>
    <t>0810311010</t>
  </si>
  <si>
    <t>0820120420</t>
  </si>
  <si>
    <t>0820220440</t>
  </si>
  <si>
    <t>0820321060</t>
  </si>
  <si>
    <t>0820460120</t>
  </si>
  <si>
    <t>0820460150</t>
  </si>
  <si>
    <t>7810010010</t>
  </si>
  <si>
    <t>7810010020</t>
  </si>
  <si>
    <t>8010010010</t>
  </si>
  <si>
    <t>8010010020</t>
  </si>
  <si>
    <t>8010076200</t>
  </si>
  <si>
    <t>8010076360</t>
  </si>
  <si>
    <t>8010020050</t>
  </si>
  <si>
    <t>0420220820</t>
  </si>
  <si>
    <t>0420221030</t>
  </si>
  <si>
    <t>0420221090</t>
  </si>
  <si>
    <t>0410120190</t>
  </si>
  <si>
    <t>9820020190</t>
  </si>
  <si>
    <t>0430421070</t>
  </si>
  <si>
    <t>0430421080</t>
  </si>
  <si>
    <t>0710121130</t>
  </si>
  <si>
    <t>8110010010</t>
  </si>
  <si>
    <t>8110010020</t>
  </si>
  <si>
    <t>8110076200</t>
  </si>
  <si>
    <t>8110076360</t>
  </si>
  <si>
    <t>8210010010</t>
  </si>
  <si>
    <t>8210010020</t>
  </si>
  <si>
    <t>8210076200</t>
  </si>
  <si>
    <t>8210076360</t>
  </si>
  <si>
    <t>8210020050</t>
  </si>
  <si>
    <t>8310010010</t>
  </si>
  <si>
    <t>8310020050</t>
  </si>
  <si>
    <t>8310021040</t>
  </si>
  <si>
    <t>0430111010</t>
  </si>
  <si>
    <t>0420111010</t>
  </si>
  <si>
    <t>0420160020</t>
  </si>
  <si>
    <t>0420160070</t>
  </si>
  <si>
    <t>0420220130</t>
  </si>
  <si>
    <t>0420220810</t>
  </si>
  <si>
    <t>0420220830</t>
  </si>
  <si>
    <t>0420221180</t>
  </si>
  <si>
    <t>0420260090</t>
  </si>
  <si>
    <t>0420276460</t>
  </si>
  <si>
    <t>0420320570</t>
  </si>
  <si>
    <t>0420320920</t>
  </si>
  <si>
    <t>9820020130</t>
  </si>
  <si>
    <t>9820020560</t>
  </si>
  <si>
    <t>9820020570</t>
  </si>
  <si>
    <t>9820060090</t>
  </si>
  <si>
    <t>0410120200</t>
  </si>
  <si>
    <t>8320020200</t>
  </si>
  <si>
    <t>9820021310</t>
  </si>
  <si>
    <t>9820021320</t>
  </si>
  <si>
    <t>9820076910</t>
  </si>
  <si>
    <t>0410220220</t>
  </si>
  <si>
    <t>0430220290</t>
  </si>
  <si>
    <t>0430377150</t>
  </si>
  <si>
    <t>0430411010</t>
  </si>
  <si>
    <t>0430420280</t>
  </si>
  <si>
    <t>0430420780</t>
  </si>
  <si>
    <t>0430420790</t>
  </si>
  <si>
    <t>8320020780</t>
  </si>
  <si>
    <t>9820020280</t>
  </si>
  <si>
    <t>9820020290</t>
  </si>
  <si>
    <t>9820020300</t>
  </si>
  <si>
    <t>9820020780</t>
  </si>
  <si>
    <t>8310010020</t>
  </si>
  <si>
    <t>8320020950</t>
  </si>
  <si>
    <t>8320021120</t>
  </si>
  <si>
    <t>0320380020</t>
  </si>
  <si>
    <t>0320480220</t>
  </si>
  <si>
    <t>9820080020</t>
  </si>
  <si>
    <t>8410010010</t>
  </si>
  <si>
    <t>8410010020</t>
  </si>
  <si>
    <t>8410020050</t>
  </si>
  <si>
    <t>8420020740</t>
  </si>
  <si>
    <t>8420021100</t>
  </si>
  <si>
    <t>8420021330</t>
  </si>
  <si>
    <t>8420021210</t>
  </si>
  <si>
    <t>9820020390</t>
  </si>
  <si>
    <t>8420020200</t>
  </si>
  <si>
    <t>0430420800</t>
  </si>
  <si>
    <t>9820020800</t>
  </si>
  <si>
    <t>0721340020</t>
  </si>
  <si>
    <t>0721440010</t>
  </si>
  <si>
    <t>9820040010</t>
  </si>
  <si>
    <t>1530221290</t>
  </si>
  <si>
    <t>1610120120</t>
  </si>
  <si>
    <t>1610211010</t>
  </si>
  <si>
    <t>1610320120</t>
  </si>
  <si>
    <t>1620120540</t>
  </si>
  <si>
    <t>1630111010</t>
  </si>
  <si>
    <t>1630220690</t>
  </si>
  <si>
    <t>1630320350</t>
  </si>
  <si>
    <t>1630420350</t>
  </si>
  <si>
    <t>8510010010</t>
  </si>
  <si>
    <t>8510010020</t>
  </si>
  <si>
    <t>8610010010</t>
  </si>
  <si>
    <t>8610010020</t>
  </si>
  <si>
    <t>Проведение капитального ремонта зданий и сооружений муниципальных учреждений культуры за счет средств местного бюджета</t>
  </si>
  <si>
    <t>07 2 12 S6660</t>
  </si>
  <si>
    <t>03 1 01 R4620</t>
  </si>
  <si>
    <t>Выплата социального пособия на погребение</t>
  </si>
  <si>
    <t xml:space="preserve">03 1 01 76250 </t>
  </si>
  <si>
    <t xml:space="preserve">Предоставление финансовой помощи Ставропольскому муниципальному унитарному троллейбусному предприятию в рамках мер по предупреждению банкротства на финансовое обеспечение затрат, направленных на погашение денежных обязательств, требований о выплате выходных пособий и (или) об оплате труда лиц, работающих или работавших по трудовому договору, и обязательных платежей, в целях восстановления платежеспособности должника (санации) </t>
  </si>
  <si>
    <t>04 2 01 60070</t>
  </si>
  <si>
    <t>Капитальный ремонт и ремонт автомобильных дорог общего пользования населенных пунктов за счет средств краевого бюджета</t>
  </si>
  <si>
    <t>04 2 02 76460</t>
  </si>
  <si>
    <t>83 2 00 20200</t>
  </si>
  <si>
    <t>83 2 00 20780</t>
  </si>
  <si>
    <t>84 2 00 20200</t>
  </si>
  <si>
    <t>Cудебные расходы по вопросам, связанным с реализацией полномочий администрации города Ставрополя при принятии решения о признании помещения жилым помещением, жилого помещения пригодным (непригодным) для проживания, а также многоквартирного дома аварийным и подлежащим сносу или реконструкции</t>
  </si>
  <si>
    <t>84 2 00 21330</t>
  </si>
  <si>
    <t>Изменение остатков средств на счетах по учету средств бюджетов</t>
  </si>
  <si>
    <t>0105 0000 00 0000 000</t>
  </si>
  <si>
    <t>8</t>
  </si>
  <si>
    <t>на плановый период 2018 и 2019 годов</t>
  </si>
  <si>
    <t>604 0102 0000 04 0000 710</t>
  </si>
  <si>
    <t>604 0103 0100 04 0000 710</t>
  </si>
  <si>
    <t>604 0102 0000 04 0000 810</t>
  </si>
  <si>
    <t>604 0103 0100 04 0000 810</t>
  </si>
  <si>
    <t>604 0105 0201 04 0000 510</t>
  </si>
  <si>
    <t>604 0105 0201 04 0000 610</t>
  </si>
</sst>
</file>

<file path=xl/styles.xml><?xml version="1.0" encoding="utf-8"?>
<styleSheet xmlns="http://schemas.openxmlformats.org/spreadsheetml/2006/main">
  <numFmts count="10">
    <numFmt numFmtId="164" formatCode="_-* #,##0.00_р_._-;\-* #,##0.00_р_._-;_-* &quot;-&quot;??_р_._-;_-@_-"/>
    <numFmt numFmtId="165" formatCode="#,##0.0"/>
    <numFmt numFmtId="166" formatCode="000000"/>
    <numFmt numFmtId="167" formatCode="0000000"/>
    <numFmt numFmtId="168" formatCode="#,##0.00_ ;[Red]\-#,##0.00\ "/>
    <numFmt numFmtId="169" formatCode="00"/>
    <numFmt numFmtId="170" formatCode="#,##0.00;[Red]\-#,##0.00;0.00"/>
    <numFmt numFmtId="171" formatCode="000"/>
    <numFmt numFmtId="172" formatCode="0000000000"/>
    <numFmt numFmtId="173" formatCode="0000"/>
  </numFmts>
  <fonts count="39">
    <font>
      <sz val="14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8"/>
      <name val="Arial Cyr"/>
      <charset val="204"/>
    </font>
    <font>
      <sz val="14"/>
      <name val="Arial Cyr"/>
      <charset val="204"/>
    </font>
    <font>
      <b/>
      <sz val="12"/>
      <name val="Times New Roman"/>
      <family val="1"/>
      <charset val="204"/>
    </font>
    <font>
      <sz val="10"/>
      <name val="Arial"/>
      <family val="2"/>
      <charset val="204"/>
    </font>
    <font>
      <sz val="11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1"/>
      <name val="Arial Cyr"/>
      <charset val="204"/>
    </font>
    <font>
      <b/>
      <sz val="10"/>
      <color rgb="FFFF0000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i/>
      <sz val="12"/>
      <name val="Times New Roman"/>
      <family val="1"/>
      <charset val="204"/>
    </font>
    <font>
      <sz val="12"/>
      <color rgb="FF7030A0"/>
      <name val="Times New Roman"/>
      <family val="1"/>
      <charset val="204"/>
    </font>
    <font>
      <sz val="10"/>
      <color rgb="FF7030A0"/>
      <name val="Times New Roman"/>
      <family val="1"/>
      <charset val="204"/>
    </font>
    <font>
      <b/>
      <sz val="10"/>
      <color rgb="FF7030A0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Calibri"/>
      <family val="2"/>
      <charset val="204"/>
      <scheme val="minor"/>
    </font>
    <font>
      <sz val="12"/>
      <name val="Arial Cyr"/>
      <charset val="204"/>
    </font>
    <font>
      <sz val="10"/>
      <name val="Arial"/>
      <charset val="204"/>
    </font>
    <font>
      <b/>
      <sz val="8"/>
      <name val="Arial"/>
      <charset val="204"/>
    </font>
    <font>
      <sz val="8"/>
      <name val="Arial"/>
      <charset val="204"/>
    </font>
    <font>
      <b/>
      <sz val="8"/>
      <name val="Arial Cyr"/>
      <charset val="204"/>
    </font>
    <font>
      <b/>
      <sz val="11"/>
      <color theme="1"/>
      <name val="Calibri"/>
      <family val="2"/>
      <charset val="204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30">
    <xf numFmtId="0" fontId="0" fillId="0" borderId="0"/>
    <xf numFmtId="0" fontId="13" fillId="0" borderId="0"/>
    <xf numFmtId="0" fontId="16" fillId="0" borderId="0"/>
    <xf numFmtId="0" fontId="16" fillId="0" borderId="0"/>
    <xf numFmtId="164" fontId="12" fillId="0" borderId="0" applyFont="0" applyFill="0" applyBorder="0" applyAlignment="0" applyProtection="0"/>
    <xf numFmtId="0" fontId="11" fillId="0" borderId="0"/>
    <xf numFmtId="164" fontId="12" fillId="0" borderId="0" applyFont="0" applyFill="0" applyBorder="0" applyAlignment="0" applyProtection="0"/>
    <xf numFmtId="0" fontId="10" fillId="0" borderId="0"/>
    <xf numFmtId="0" fontId="14" fillId="0" borderId="0"/>
    <xf numFmtId="164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0" fontId="3" fillId="0" borderId="0"/>
    <xf numFmtId="0" fontId="34" fillId="0" borderId="0"/>
    <xf numFmtId="0" fontId="1" fillId="0" borderId="0"/>
  </cellStyleXfs>
  <cellXfs count="413">
    <xf numFmtId="0" fontId="0" fillId="0" borderId="0" xfId="0"/>
    <xf numFmtId="0" fontId="18" fillId="0" borderId="0" xfId="0" applyFont="1" applyFill="1" applyAlignment="1">
      <alignment horizontal="left"/>
    </xf>
    <xf numFmtId="0" fontId="18" fillId="0" borderId="0" xfId="0" applyFont="1" applyFill="1"/>
    <xf numFmtId="0" fontId="18" fillId="0" borderId="0" xfId="0" applyFont="1" applyFill="1" applyBorder="1"/>
    <xf numFmtId="0" fontId="18" fillId="2" borderId="0" xfId="0" applyFont="1" applyFill="1" applyBorder="1"/>
    <xf numFmtId="0" fontId="18" fillId="2" borderId="0" xfId="0" applyFont="1" applyFill="1"/>
    <xf numFmtId="0" fontId="18" fillId="2" borderId="0" xfId="0" applyFont="1" applyFill="1" applyAlignment="1">
      <alignment horizontal="left"/>
    </xf>
    <xf numFmtId="0" fontId="19" fillId="0" borderId="0" xfId="0" applyFont="1" applyFill="1" applyAlignment="1">
      <alignment horizontal="left"/>
    </xf>
    <xf numFmtId="0" fontId="19" fillId="0" borderId="5" xfId="0" applyFont="1" applyFill="1" applyBorder="1" applyAlignment="1">
      <alignment horizontal="center" wrapText="1"/>
    </xf>
    <xf numFmtId="0" fontId="20" fillId="0" borderId="1" xfId="0" applyFont="1" applyFill="1" applyBorder="1" applyAlignment="1">
      <alignment horizontal="left" wrapText="1"/>
    </xf>
    <xf numFmtId="0" fontId="19" fillId="5" borderId="1" xfId="0" applyFont="1" applyFill="1" applyBorder="1" applyAlignment="1">
      <alignment horizontal="left" wrapText="1"/>
    </xf>
    <xf numFmtId="0" fontId="19" fillId="0" borderId="1" xfId="0" applyFont="1" applyFill="1" applyBorder="1" applyAlignment="1">
      <alignment horizontal="left" vertical="top" wrapText="1"/>
    </xf>
    <xf numFmtId="0" fontId="19" fillId="0" borderId="1" xfId="0" applyFont="1" applyBorder="1" applyAlignment="1">
      <alignment horizontal="left" vertical="top" wrapText="1"/>
    </xf>
    <xf numFmtId="0" fontId="19" fillId="0" borderId="1" xfId="0" applyFont="1" applyFill="1" applyBorder="1" applyAlignment="1">
      <alignment vertical="top" wrapText="1"/>
    </xf>
    <xf numFmtId="49" fontId="20" fillId="0" borderId="1" xfId="0" applyNumberFormat="1" applyFont="1" applyFill="1" applyBorder="1" applyAlignment="1">
      <alignment horizontal="center" vertical="top" wrapText="1"/>
    </xf>
    <xf numFmtId="49" fontId="20" fillId="0" borderId="1" xfId="0" applyNumberFormat="1" applyFont="1" applyFill="1" applyBorder="1" applyAlignment="1">
      <alignment horizontal="center" vertical="top"/>
    </xf>
    <xf numFmtId="4" fontId="20" fillId="0" borderId="10" xfId="0" applyNumberFormat="1" applyFont="1" applyFill="1" applyBorder="1" applyAlignment="1">
      <alignment horizontal="right" vertical="top"/>
    </xf>
    <xf numFmtId="0" fontId="19" fillId="3" borderId="1" xfId="0" applyFont="1" applyFill="1" applyBorder="1" applyAlignment="1">
      <alignment horizontal="left" vertical="top" wrapText="1"/>
    </xf>
    <xf numFmtId="49" fontId="19" fillId="3" borderId="1" xfId="0" applyNumberFormat="1" applyFont="1" applyFill="1" applyBorder="1" applyAlignment="1">
      <alignment horizontal="center" vertical="top" wrapText="1"/>
    </xf>
    <xf numFmtId="49" fontId="19" fillId="3" borderId="1" xfId="0" applyNumberFormat="1" applyFont="1" applyFill="1" applyBorder="1" applyAlignment="1">
      <alignment horizontal="center" vertical="top"/>
    </xf>
    <xf numFmtId="4" fontId="19" fillId="3" borderId="1" xfId="0" applyNumberFormat="1" applyFont="1" applyFill="1" applyBorder="1" applyAlignment="1">
      <alignment horizontal="right" vertical="top"/>
    </xf>
    <xf numFmtId="0" fontId="19" fillId="4" borderId="1" xfId="0" applyFont="1" applyFill="1" applyBorder="1" applyAlignment="1">
      <alignment vertical="top" wrapText="1"/>
    </xf>
    <xf numFmtId="49" fontId="19" fillId="4" borderId="1" xfId="0" applyNumberFormat="1" applyFont="1" applyFill="1" applyBorder="1" applyAlignment="1">
      <alignment horizontal="center" vertical="top" wrapText="1"/>
    </xf>
    <xf numFmtId="49" fontId="19" fillId="4" borderId="1" xfId="0" applyNumberFormat="1" applyFont="1" applyFill="1" applyBorder="1" applyAlignment="1">
      <alignment horizontal="center" vertical="top"/>
    </xf>
    <xf numFmtId="4" fontId="19" fillId="4" borderId="1" xfId="0" applyNumberFormat="1" applyFont="1" applyFill="1" applyBorder="1" applyAlignment="1">
      <alignment horizontal="right" vertical="top"/>
    </xf>
    <xf numFmtId="49" fontId="19" fillId="0" borderId="1" xfId="0" applyNumberFormat="1" applyFont="1" applyFill="1" applyBorder="1" applyAlignment="1">
      <alignment horizontal="center" vertical="top" wrapText="1"/>
    </xf>
    <xf numFmtId="49" fontId="19" fillId="0" borderId="1" xfId="0" applyNumberFormat="1" applyFont="1" applyFill="1" applyBorder="1" applyAlignment="1">
      <alignment horizontal="center" vertical="top"/>
    </xf>
    <xf numFmtId="4" fontId="19" fillId="0" borderId="1" xfId="0" applyNumberFormat="1" applyFont="1" applyFill="1" applyBorder="1" applyAlignment="1">
      <alignment horizontal="right" vertical="top"/>
    </xf>
    <xf numFmtId="0" fontId="20" fillId="0" borderId="1" xfId="0" applyFont="1" applyFill="1" applyBorder="1" applyAlignment="1">
      <alignment horizontal="left" vertical="top" wrapText="1"/>
    </xf>
    <xf numFmtId="4" fontId="20" fillId="0" borderId="1" xfId="0" applyNumberFormat="1" applyFont="1" applyFill="1" applyBorder="1" applyAlignment="1">
      <alignment horizontal="right" vertical="top"/>
    </xf>
    <xf numFmtId="0" fontId="18" fillId="0" borderId="0" xfId="0" applyFont="1" applyFill="1" applyBorder="1" applyAlignment="1">
      <alignment vertical="top"/>
    </xf>
    <xf numFmtId="49" fontId="19" fillId="0" borderId="1" xfId="0" applyNumberFormat="1" applyFont="1" applyFill="1" applyBorder="1" applyAlignment="1">
      <alignment horizontal="left" vertical="top" wrapText="1"/>
    </xf>
    <xf numFmtId="0" fontId="19" fillId="0" borderId="1" xfId="0" applyNumberFormat="1" applyFont="1" applyFill="1" applyBorder="1" applyAlignment="1">
      <alignment horizontal="left" vertical="top" wrapText="1"/>
    </xf>
    <xf numFmtId="0" fontId="18" fillId="0" borderId="0" xfId="0" applyFont="1" applyFill="1" applyAlignment="1">
      <alignment vertical="top"/>
    </xf>
    <xf numFmtId="0" fontId="19" fillId="5" borderId="1" xfId="0" applyFont="1" applyFill="1" applyBorder="1" applyAlignment="1">
      <alignment horizontal="left" vertical="top" wrapText="1"/>
    </xf>
    <xf numFmtId="49" fontId="19" fillId="5" borderId="1" xfId="0" applyNumberFormat="1" applyFont="1" applyFill="1" applyBorder="1" applyAlignment="1">
      <alignment horizontal="center" vertical="top" wrapText="1"/>
    </xf>
    <xf numFmtId="49" fontId="19" fillId="5" borderId="1" xfId="0" applyNumberFormat="1" applyFont="1" applyFill="1" applyBorder="1" applyAlignment="1">
      <alignment horizontal="center" vertical="top"/>
    </xf>
    <xf numFmtId="4" fontId="19" fillId="5" borderId="1" xfId="0" applyNumberFormat="1" applyFont="1" applyFill="1" applyBorder="1" applyAlignment="1">
      <alignment horizontal="right" vertical="top"/>
    </xf>
    <xf numFmtId="4" fontId="19" fillId="5" borderId="1" xfId="0" applyNumberFormat="1" applyFont="1" applyFill="1" applyBorder="1" applyAlignment="1">
      <alignment horizontal="right" vertical="top" wrapText="1"/>
    </xf>
    <xf numFmtId="0" fontId="19" fillId="0" borderId="0" xfId="0" applyFont="1" applyAlignment="1">
      <alignment horizontal="left" vertical="top" wrapText="1"/>
    </xf>
    <xf numFmtId="0" fontId="19" fillId="5" borderId="1" xfId="0" applyFont="1" applyFill="1" applyBorder="1" applyAlignment="1">
      <alignment vertical="top" wrapText="1"/>
    </xf>
    <xf numFmtId="0" fontId="19" fillId="0" borderId="0" xfId="0" applyFont="1" applyFill="1" applyAlignment="1">
      <alignment horizontal="left" vertical="top" wrapText="1"/>
    </xf>
    <xf numFmtId="4" fontId="19" fillId="0" borderId="1" xfId="0" applyNumberFormat="1" applyFont="1" applyFill="1" applyBorder="1" applyAlignment="1">
      <alignment horizontal="right" vertical="top" wrapText="1"/>
    </xf>
    <xf numFmtId="0" fontId="19" fillId="0" borderId="1" xfId="0" applyFont="1" applyFill="1" applyBorder="1" applyAlignment="1">
      <alignment horizontal="center" vertical="top"/>
    </xf>
    <xf numFmtId="4" fontId="19" fillId="5" borderId="1" xfId="4" applyNumberFormat="1" applyFont="1" applyFill="1" applyBorder="1" applyAlignment="1">
      <alignment horizontal="right" vertical="top"/>
    </xf>
    <xf numFmtId="4" fontId="19" fillId="0" borderId="1" xfId="4" applyNumberFormat="1" applyFont="1" applyFill="1" applyBorder="1" applyAlignment="1">
      <alignment horizontal="right" vertical="top"/>
    </xf>
    <xf numFmtId="0" fontId="19" fillId="5" borderId="0" xfId="0" applyFont="1" applyFill="1" applyAlignment="1">
      <alignment horizontal="left" vertical="top" wrapText="1"/>
    </xf>
    <xf numFmtId="0" fontId="19" fillId="0" borderId="1" xfId="0" applyFont="1" applyFill="1" applyBorder="1" applyAlignment="1">
      <alignment horizontal="center" vertical="top" wrapText="1"/>
    </xf>
    <xf numFmtId="49" fontId="18" fillId="0" borderId="0" xfId="0" applyNumberFormat="1" applyFont="1" applyFill="1" applyAlignment="1">
      <alignment horizontal="right" vertical="top"/>
    </xf>
    <xf numFmtId="4" fontId="18" fillId="0" borderId="0" xfId="3" applyNumberFormat="1" applyFont="1" applyBorder="1" applyAlignment="1">
      <alignment horizontal="right" vertical="top"/>
    </xf>
    <xf numFmtId="4" fontId="20" fillId="5" borderId="1" xfId="0" applyNumberFormat="1" applyFont="1" applyFill="1" applyBorder="1" applyAlignment="1">
      <alignment horizontal="right" vertical="top"/>
    </xf>
    <xf numFmtId="0" fontId="17" fillId="0" borderId="0" xfId="0" applyFont="1" applyFill="1" applyAlignment="1">
      <alignment horizontal="center" vertical="top" wrapText="1"/>
    </xf>
    <xf numFmtId="4" fontId="18" fillId="0" borderId="1" xfId="3" applyNumberFormat="1" applyFont="1" applyBorder="1" applyAlignment="1">
      <alignment horizontal="right" vertical="top"/>
    </xf>
    <xf numFmtId="49" fontId="18" fillId="0" borderId="0" xfId="0" applyNumberFormat="1" applyFont="1" applyFill="1" applyAlignment="1">
      <alignment vertical="top"/>
    </xf>
    <xf numFmtId="49" fontId="19" fillId="0" borderId="0" xfId="0" applyNumberFormat="1" applyFont="1" applyFill="1" applyAlignment="1">
      <alignment horizontal="right" vertical="top"/>
    </xf>
    <xf numFmtId="49" fontId="19" fillId="0" borderId="0" xfId="0" applyNumberFormat="1" applyFont="1" applyFill="1" applyAlignment="1">
      <alignment horizontal="center" vertical="top"/>
    </xf>
    <xf numFmtId="49" fontId="19" fillId="0" borderId="6" xfId="0" applyNumberFormat="1" applyFont="1" applyFill="1" applyBorder="1" applyAlignment="1">
      <alignment horizontal="right" vertical="top"/>
    </xf>
    <xf numFmtId="49" fontId="19" fillId="0" borderId="6" xfId="0" applyNumberFormat="1" applyFont="1" applyFill="1" applyBorder="1" applyAlignment="1">
      <alignment horizontal="center" vertical="top"/>
    </xf>
    <xf numFmtId="49" fontId="19" fillId="0" borderId="2" xfId="0" applyNumberFormat="1" applyFont="1" applyFill="1" applyBorder="1" applyAlignment="1">
      <alignment horizontal="center" vertical="top"/>
    </xf>
    <xf numFmtId="165" fontId="19" fillId="0" borderId="5" xfId="0" applyNumberFormat="1" applyFont="1" applyFill="1" applyBorder="1" applyAlignment="1">
      <alignment horizontal="center" vertical="top"/>
    </xf>
    <xf numFmtId="49" fontId="19" fillId="0" borderId="5" xfId="0" applyNumberFormat="1" applyFont="1" applyFill="1" applyBorder="1" applyAlignment="1">
      <alignment horizontal="center" vertical="top"/>
    </xf>
    <xf numFmtId="49" fontId="20" fillId="0" borderId="1" xfId="0" applyNumberFormat="1" applyFont="1" applyFill="1" applyBorder="1" applyAlignment="1">
      <alignment horizontal="right" vertical="top"/>
    </xf>
    <xf numFmtId="49" fontId="18" fillId="2" borderId="0" xfId="0" applyNumberFormat="1" applyFont="1" applyFill="1" applyAlignment="1">
      <alignment horizontal="right" vertical="top"/>
    </xf>
    <xf numFmtId="49" fontId="18" fillId="2" borderId="0" xfId="0" applyNumberFormat="1" applyFont="1" applyFill="1" applyAlignment="1">
      <alignment horizontal="center" vertical="top"/>
    </xf>
    <xf numFmtId="165" fontId="18" fillId="2" borderId="0" xfId="0" applyNumberFormat="1" applyFont="1" applyFill="1" applyAlignment="1">
      <alignment vertical="top"/>
    </xf>
    <xf numFmtId="49" fontId="18" fillId="2" borderId="1" xfId="0" applyNumberFormat="1" applyFont="1" applyFill="1" applyBorder="1" applyAlignment="1">
      <alignment horizontal="center" vertical="top"/>
    </xf>
    <xf numFmtId="4" fontId="18" fillId="0" borderId="0" xfId="0" applyNumberFormat="1" applyFont="1" applyFill="1" applyAlignment="1">
      <alignment horizontal="right" vertical="top"/>
    </xf>
    <xf numFmtId="4" fontId="18" fillId="2" borderId="0" xfId="0" applyNumberFormat="1" applyFont="1" applyFill="1" applyAlignment="1">
      <alignment vertical="top"/>
    </xf>
    <xf numFmtId="0" fontId="18" fillId="0" borderId="0" xfId="0" applyFont="1" applyFill="1" applyAlignment="1">
      <alignment horizontal="center"/>
    </xf>
    <xf numFmtId="1" fontId="19" fillId="0" borderId="8" xfId="0" applyNumberFormat="1" applyFont="1" applyFill="1" applyBorder="1" applyAlignment="1">
      <alignment horizontal="right" vertical="top"/>
    </xf>
    <xf numFmtId="49" fontId="21" fillId="0" borderId="1" xfId="0" applyNumberFormat="1" applyFont="1" applyFill="1" applyBorder="1" applyAlignment="1">
      <alignment horizontal="center" vertical="top"/>
    </xf>
    <xf numFmtId="0" fontId="22" fillId="0" borderId="0" xfId="0" applyFont="1" applyFill="1" applyBorder="1"/>
    <xf numFmtId="4" fontId="21" fillId="0" borderId="1" xfId="0" applyNumberFormat="1" applyFont="1" applyFill="1" applyBorder="1" applyAlignment="1">
      <alignment horizontal="right" vertical="top"/>
    </xf>
    <xf numFmtId="1" fontId="19" fillId="0" borderId="8" xfId="0" applyNumberFormat="1" applyFont="1" applyFill="1" applyBorder="1" applyAlignment="1">
      <alignment vertical="top"/>
    </xf>
    <xf numFmtId="0" fontId="19" fillId="0" borderId="1" xfId="3" applyNumberFormat="1" applyFont="1" applyFill="1" applyBorder="1" applyAlignment="1" applyProtection="1">
      <alignment vertical="top" wrapText="1"/>
      <protection hidden="1"/>
    </xf>
    <xf numFmtId="0" fontId="19" fillId="0" borderId="5" xfId="0" applyFont="1" applyFill="1" applyBorder="1" applyAlignment="1">
      <alignment horizontal="center" vertical="top" wrapText="1"/>
    </xf>
    <xf numFmtId="0" fontId="19" fillId="0" borderId="1" xfId="7" applyFont="1" applyFill="1" applyBorder="1" applyAlignment="1">
      <alignment vertical="top" wrapText="1"/>
    </xf>
    <xf numFmtId="4" fontId="21" fillId="5" borderId="1" xfId="0" applyNumberFormat="1" applyFont="1" applyFill="1" applyBorder="1" applyAlignment="1">
      <alignment horizontal="right" vertical="top"/>
    </xf>
    <xf numFmtId="1" fontId="19" fillId="0" borderId="8" xfId="0" applyNumberFormat="1" applyFont="1" applyFill="1" applyBorder="1" applyAlignment="1">
      <alignment horizontal="center" vertical="top"/>
    </xf>
    <xf numFmtId="0" fontId="21" fillId="0" borderId="1" xfId="0" applyFont="1" applyFill="1" applyBorder="1" applyAlignment="1">
      <alignment horizontal="left" vertical="top" wrapText="1"/>
    </xf>
    <xf numFmtId="4" fontId="19" fillId="2" borderId="1" xfId="0" applyNumberFormat="1" applyFont="1" applyFill="1" applyBorder="1" applyAlignment="1">
      <alignment horizontal="right" vertical="top"/>
    </xf>
    <xf numFmtId="4" fontId="21" fillId="2" borderId="1" xfId="0" applyNumberFormat="1" applyFont="1" applyFill="1" applyBorder="1" applyAlignment="1">
      <alignment horizontal="right" vertical="top"/>
    </xf>
    <xf numFmtId="4" fontId="19" fillId="2" borderId="1" xfId="0" applyNumberFormat="1" applyFont="1" applyFill="1" applyBorder="1" applyAlignment="1">
      <alignment horizontal="right" vertical="top" wrapText="1"/>
    </xf>
    <xf numFmtId="0" fontId="18" fillId="2" borderId="0" xfId="0" applyFont="1" applyFill="1" applyBorder="1" applyAlignment="1">
      <alignment vertical="top"/>
    </xf>
    <xf numFmtId="4" fontId="19" fillId="2" borderId="1" xfId="4" applyNumberFormat="1" applyFont="1" applyFill="1" applyBorder="1" applyAlignment="1">
      <alignment horizontal="right" vertical="top"/>
    </xf>
    <xf numFmtId="0" fontId="17" fillId="0" borderId="5" xfId="0" applyFont="1" applyBorder="1" applyAlignment="1">
      <alignment horizontal="center" wrapText="1"/>
    </xf>
    <xf numFmtId="0" fontId="17" fillId="0" borderId="6" xfId="0" applyFont="1" applyBorder="1" applyAlignment="1">
      <alignment horizontal="center" wrapText="1"/>
    </xf>
    <xf numFmtId="0" fontId="17" fillId="0" borderId="0" xfId="0" applyFont="1" applyAlignment="1">
      <alignment horizontal="center" vertical="top" wrapText="1"/>
    </xf>
    <xf numFmtId="0" fontId="23" fillId="0" borderId="0" xfId="0" applyFont="1" applyAlignment="1">
      <alignment horizontal="center" vertical="top" wrapText="1"/>
    </xf>
    <xf numFmtId="0" fontId="17" fillId="0" borderId="8" xfId="0" applyFont="1" applyBorder="1" applyAlignment="1">
      <alignment horizontal="center" vertical="top" wrapText="1"/>
    </xf>
    <xf numFmtId="0" fontId="24" fillId="0" borderId="0" xfId="0" applyFont="1"/>
    <xf numFmtId="4" fontId="25" fillId="0" borderId="10" xfId="0" applyNumberFormat="1" applyFont="1" applyFill="1" applyBorder="1" applyAlignment="1">
      <alignment horizontal="right" vertical="top"/>
    </xf>
    <xf numFmtId="49" fontId="21" fillId="0" borderId="1" xfId="0" applyNumberFormat="1" applyFont="1" applyFill="1" applyBorder="1" applyAlignment="1">
      <alignment horizontal="center" vertical="top" wrapText="1"/>
    </xf>
    <xf numFmtId="0" fontId="21" fillId="0" borderId="1" xfId="0" applyFont="1" applyBorder="1" applyAlignment="1">
      <alignment horizontal="left" vertical="top" wrapText="1"/>
    </xf>
    <xf numFmtId="0" fontId="22" fillId="2" borderId="0" xfId="0" applyFont="1" applyFill="1" applyBorder="1"/>
    <xf numFmtId="0" fontId="21" fillId="5" borderId="1" xfId="0" applyFont="1" applyFill="1" applyBorder="1" applyAlignment="1">
      <alignment horizontal="left" vertical="top" wrapText="1"/>
    </xf>
    <xf numFmtId="49" fontId="21" fillId="5" borderId="1" xfId="0" applyNumberFormat="1" applyFont="1" applyFill="1" applyBorder="1" applyAlignment="1">
      <alignment horizontal="center" vertical="top" wrapText="1"/>
    </xf>
    <xf numFmtId="49" fontId="21" fillId="5" borderId="1" xfId="0" applyNumberFormat="1" applyFont="1" applyFill="1" applyBorder="1" applyAlignment="1">
      <alignment horizontal="center" vertical="top"/>
    </xf>
    <xf numFmtId="0" fontId="22" fillId="2" borderId="0" xfId="0" applyFont="1" applyFill="1"/>
    <xf numFmtId="0" fontId="21" fillId="0" borderId="0" xfId="0" applyFont="1" applyFill="1" applyBorder="1"/>
    <xf numFmtId="0" fontId="21" fillId="2" borderId="0" xfId="0" applyFont="1" applyFill="1" applyBorder="1"/>
    <xf numFmtId="168" fontId="21" fillId="0" borderId="1" xfId="0" applyNumberFormat="1" applyFont="1" applyFill="1" applyBorder="1" applyAlignment="1">
      <alignment horizontal="right" vertical="top"/>
    </xf>
    <xf numFmtId="168" fontId="21" fillId="2" borderId="1" xfId="0" applyNumberFormat="1" applyFont="1" applyFill="1" applyBorder="1" applyAlignment="1">
      <alignment horizontal="right" vertical="top"/>
    </xf>
    <xf numFmtId="0" fontId="22" fillId="2" borderId="0" xfId="0" applyFont="1" applyFill="1" applyBorder="1" applyAlignment="1">
      <alignment vertical="top"/>
    </xf>
    <xf numFmtId="0" fontId="22" fillId="0" borderId="0" xfId="0" applyFont="1" applyFill="1" applyAlignment="1">
      <alignment vertical="top"/>
    </xf>
    <xf numFmtId="0" fontId="22" fillId="2" borderId="0" xfId="0" applyFont="1" applyFill="1" applyAlignment="1">
      <alignment vertical="top"/>
    </xf>
    <xf numFmtId="49" fontId="21" fillId="0" borderId="1" xfId="3" applyNumberFormat="1" applyFont="1" applyFill="1" applyBorder="1" applyAlignment="1" applyProtection="1">
      <alignment horizontal="center" vertical="top" wrapText="1"/>
      <protection hidden="1"/>
    </xf>
    <xf numFmtId="0" fontId="20" fillId="0" borderId="9" xfId="0" applyFont="1" applyFill="1" applyBorder="1" applyAlignment="1">
      <alignment horizontal="left" vertical="top" wrapText="1"/>
    </xf>
    <xf numFmtId="0" fontId="19" fillId="5" borderId="1" xfId="0" applyFont="1" applyFill="1" applyBorder="1" applyAlignment="1">
      <alignment horizontal="center" vertical="top" wrapText="1"/>
    </xf>
    <xf numFmtId="0" fontId="19" fillId="0" borderId="0" xfId="0" applyFont="1" applyFill="1" applyBorder="1"/>
    <xf numFmtId="0" fontId="19" fillId="2" borderId="0" xfId="0" applyFont="1" applyFill="1" applyBorder="1"/>
    <xf numFmtId="0" fontId="19" fillId="4" borderId="1" xfId="0" applyFont="1" applyFill="1" applyBorder="1" applyAlignment="1">
      <alignment horizontal="center" vertical="top" wrapText="1"/>
    </xf>
    <xf numFmtId="167" fontId="19" fillId="5" borderId="1" xfId="0" applyNumberFormat="1" applyFont="1" applyFill="1" applyBorder="1" applyAlignment="1">
      <alignment horizontal="left" vertical="top" wrapText="1"/>
    </xf>
    <xf numFmtId="0" fontId="19" fillId="5" borderId="4" xfId="3" applyNumberFormat="1" applyFont="1" applyFill="1" applyBorder="1" applyAlignment="1" applyProtection="1">
      <alignment vertical="top" wrapText="1"/>
      <protection hidden="1"/>
    </xf>
    <xf numFmtId="0" fontId="26" fillId="0" borderId="1" xfId="0" applyFont="1" applyBorder="1" applyAlignment="1">
      <alignment horizontal="left" vertical="top" wrapText="1"/>
    </xf>
    <xf numFmtId="0" fontId="19" fillId="5" borderId="1" xfId="3" applyNumberFormat="1" applyFont="1" applyFill="1" applyBorder="1" applyAlignment="1" applyProtection="1">
      <alignment horizontal="left" vertical="top" wrapText="1"/>
      <protection hidden="1"/>
    </xf>
    <xf numFmtId="0" fontId="18" fillId="7" borderId="0" xfId="0" applyFont="1" applyFill="1" applyBorder="1"/>
    <xf numFmtId="168" fontId="20" fillId="5" borderId="1" xfId="0" applyNumberFormat="1" applyFont="1" applyFill="1" applyBorder="1" applyAlignment="1">
      <alignment horizontal="right" vertical="top"/>
    </xf>
    <xf numFmtId="0" fontId="18" fillId="2" borderId="0" xfId="0" applyFont="1" applyFill="1" applyAlignment="1">
      <alignment horizontal="center"/>
    </xf>
    <xf numFmtId="168" fontId="19" fillId="0" borderId="1" xfId="0" applyNumberFormat="1" applyFont="1" applyFill="1" applyBorder="1" applyAlignment="1">
      <alignment horizontal="right" vertical="top"/>
    </xf>
    <xf numFmtId="167" fontId="19" fillId="0" borderId="1" xfId="0" applyNumberFormat="1" applyFont="1" applyFill="1" applyBorder="1" applyAlignment="1">
      <alignment horizontal="left" vertical="top" wrapText="1"/>
    </xf>
    <xf numFmtId="168" fontId="19" fillId="0" borderId="1" xfId="0" applyNumberFormat="1" applyFont="1" applyFill="1" applyBorder="1" applyAlignment="1">
      <alignment vertical="top"/>
    </xf>
    <xf numFmtId="0" fontId="19" fillId="0" borderId="1" xfId="3" applyNumberFormat="1" applyFont="1" applyFill="1" applyBorder="1" applyAlignment="1" applyProtection="1">
      <alignment horizontal="left" vertical="top" wrapText="1"/>
      <protection hidden="1"/>
    </xf>
    <xf numFmtId="49" fontId="19" fillId="0" borderId="1" xfId="3" applyNumberFormat="1" applyFont="1" applyFill="1" applyBorder="1" applyAlignment="1" applyProtection="1">
      <alignment horizontal="center" vertical="top" wrapText="1"/>
      <protection hidden="1"/>
    </xf>
    <xf numFmtId="168" fontId="19" fillId="2" borderId="1" xfId="0" applyNumberFormat="1" applyFont="1" applyFill="1" applyBorder="1" applyAlignment="1">
      <alignment horizontal="right" vertical="top"/>
    </xf>
    <xf numFmtId="0" fontId="18" fillId="2" borderId="0" xfId="0" applyFont="1" applyFill="1" applyAlignment="1">
      <alignment vertical="top"/>
    </xf>
    <xf numFmtId="0" fontId="19" fillId="5" borderId="1" xfId="0" applyNumberFormat="1" applyFont="1" applyFill="1" applyBorder="1" applyAlignment="1">
      <alignment horizontal="left" vertical="top" wrapText="1"/>
    </xf>
    <xf numFmtId="0" fontId="18" fillId="6" borderId="0" xfId="0" applyFont="1" applyFill="1" applyBorder="1"/>
    <xf numFmtId="0" fontId="19" fillId="4" borderId="1" xfId="0" applyFont="1" applyFill="1" applyBorder="1" applyAlignment="1">
      <alignment horizontal="left" vertical="top" wrapText="1"/>
    </xf>
    <xf numFmtId="4" fontId="20" fillId="3" borderId="10" xfId="0" applyNumberFormat="1" applyFont="1" applyFill="1" applyBorder="1" applyAlignment="1">
      <alignment horizontal="right" vertical="top"/>
    </xf>
    <xf numFmtId="0" fontId="18" fillId="3" borderId="0" xfId="0" applyFont="1" applyFill="1" applyBorder="1"/>
    <xf numFmtId="0" fontId="19" fillId="4" borderId="4" xfId="0" applyFont="1" applyFill="1" applyBorder="1" applyAlignment="1">
      <alignment wrapText="1"/>
    </xf>
    <xf numFmtId="49" fontId="19" fillId="4" borderId="4" xfId="0" applyNumberFormat="1" applyFont="1" applyFill="1" applyBorder="1" applyAlignment="1">
      <alignment horizontal="center" vertical="top" wrapText="1"/>
    </xf>
    <xf numFmtId="49" fontId="19" fillId="4" borderId="4" xfId="0" applyNumberFormat="1" applyFont="1" applyFill="1" applyBorder="1" applyAlignment="1">
      <alignment horizontal="center" vertical="top"/>
    </xf>
    <xf numFmtId="4" fontId="19" fillId="4" borderId="4" xfId="0" applyNumberFormat="1" applyFont="1" applyFill="1" applyBorder="1" applyAlignment="1">
      <alignment horizontal="right" vertical="top"/>
    </xf>
    <xf numFmtId="166" fontId="19" fillId="5" borderId="3" xfId="0" applyNumberFormat="1" applyFont="1" applyFill="1" applyBorder="1" applyAlignment="1">
      <alignment vertical="top" wrapText="1" shrinkToFit="1"/>
    </xf>
    <xf numFmtId="49" fontId="19" fillId="5" borderId="3" xfId="0" applyNumberFormat="1" applyFont="1" applyFill="1" applyBorder="1" applyAlignment="1">
      <alignment horizontal="center" vertical="top"/>
    </xf>
    <xf numFmtId="4" fontId="19" fillId="5" borderId="3" xfId="0" applyNumberFormat="1" applyFont="1" applyFill="1" applyBorder="1" applyAlignment="1">
      <alignment horizontal="right" vertical="top"/>
    </xf>
    <xf numFmtId="49" fontId="19" fillId="5" borderId="1" xfId="0" applyNumberFormat="1" applyFont="1" applyFill="1" applyBorder="1" applyAlignment="1">
      <alignment vertical="top" wrapText="1"/>
    </xf>
    <xf numFmtId="0" fontId="19" fillId="3" borderId="1" xfId="0" applyFont="1" applyFill="1" applyBorder="1" applyAlignment="1">
      <alignment horizontal="left" wrapText="1"/>
    </xf>
    <xf numFmtId="166" fontId="19" fillId="5" borderId="1" xfId="0" applyNumberFormat="1" applyFont="1" applyFill="1" applyBorder="1" applyAlignment="1">
      <alignment vertical="top" wrapText="1" shrinkToFit="1"/>
    </xf>
    <xf numFmtId="49" fontId="19" fillId="0" borderId="7" xfId="0" applyNumberFormat="1" applyFont="1" applyFill="1" applyBorder="1" applyAlignment="1">
      <alignment horizontal="center" vertical="top"/>
    </xf>
    <xf numFmtId="49" fontId="19" fillId="0" borderId="7" xfId="0" applyNumberFormat="1" applyFont="1" applyFill="1" applyBorder="1" applyAlignment="1">
      <alignment horizontal="center" vertical="top" wrapText="1"/>
    </xf>
    <xf numFmtId="49" fontId="20" fillId="5" borderId="1" xfId="0" applyNumberFormat="1" applyFont="1" applyFill="1" applyBorder="1" applyAlignment="1">
      <alignment horizontal="center" vertical="top"/>
    </xf>
    <xf numFmtId="0" fontId="19" fillId="4" borderId="1" xfId="0" applyFont="1" applyFill="1" applyBorder="1" applyAlignment="1">
      <alignment wrapText="1"/>
    </xf>
    <xf numFmtId="0" fontId="18" fillId="8" borderId="0" xfId="0" applyFont="1" applyFill="1" applyBorder="1"/>
    <xf numFmtId="4" fontId="19" fillId="5" borderId="7" xfId="0" applyNumberFormat="1" applyFont="1" applyFill="1" applyBorder="1" applyAlignment="1">
      <alignment horizontal="right" vertical="top"/>
    </xf>
    <xf numFmtId="49" fontId="19" fillId="5" borderId="3" xfId="0" applyNumberFormat="1" applyFont="1" applyFill="1" applyBorder="1" applyAlignment="1">
      <alignment horizontal="center" vertical="top" wrapText="1"/>
    </xf>
    <xf numFmtId="49" fontId="19" fillId="5" borderId="1" xfId="0" applyNumberFormat="1" applyFont="1" applyFill="1" applyBorder="1" applyAlignment="1">
      <alignment horizontal="left" vertical="top" wrapText="1"/>
    </xf>
    <xf numFmtId="4" fontId="19" fillId="0" borderId="1" xfId="0" applyNumberFormat="1" applyFont="1" applyFill="1" applyBorder="1" applyAlignment="1">
      <alignment vertical="top"/>
    </xf>
    <xf numFmtId="0" fontId="19" fillId="0" borderId="1" xfId="0" applyFont="1" applyBorder="1" applyAlignment="1">
      <alignment vertical="top" wrapText="1"/>
    </xf>
    <xf numFmtId="0" fontId="19" fillId="0" borderId="0" xfId="0" applyFont="1" applyAlignment="1">
      <alignment vertical="top" wrapText="1"/>
    </xf>
    <xf numFmtId="166" fontId="19" fillId="0" borderId="1" xfId="0" applyNumberFormat="1" applyFont="1" applyFill="1" applyBorder="1" applyAlignment="1">
      <alignment vertical="top" wrapText="1" shrinkToFit="1"/>
    </xf>
    <xf numFmtId="0" fontId="27" fillId="0" borderId="0" xfId="0" applyFont="1" applyFill="1" applyBorder="1"/>
    <xf numFmtId="49" fontId="19" fillId="0" borderId="4" xfId="0" applyNumberFormat="1" applyFont="1" applyFill="1" applyBorder="1" applyAlignment="1">
      <alignment horizontal="center" vertical="top" wrapText="1"/>
    </xf>
    <xf numFmtId="49" fontId="19" fillId="0" borderId="4" xfId="0" applyNumberFormat="1" applyFont="1" applyFill="1" applyBorder="1" applyAlignment="1">
      <alignment horizontal="center" vertical="top"/>
    </xf>
    <xf numFmtId="4" fontId="19" fillId="0" borderId="4" xfId="0" applyNumberFormat="1" applyFont="1" applyFill="1" applyBorder="1" applyAlignment="1">
      <alignment horizontal="right" vertical="top"/>
    </xf>
    <xf numFmtId="166" fontId="19" fillId="0" borderId="4" xfId="0" applyNumberFormat="1" applyFont="1" applyFill="1" applyBorder="1" applyAlignment="1">
      <alignment vertical="top" wrapText="1" shrinkToFit="1"/>
    </xf>
    <xf numFmtId="4" fontId="20" fillId="0" borderId="11" xfId="0" applyNumberFormat="1" applyFont="1" applyFill="1" applyBorder="1" applyAlignment="1">
      <alignment horizontal="right" vertical="top"/>
    </xf>
    <xf numFmtId="0" fontId="18" fillId="0" borderId="1" xfId="0" applyFont="1" applyFill="1" applyBorder="1"/>
    <xf numFmtId="0" fontId="19" fillId="0" borderId="1" xfId="0" applyFont="1" applyFill="1" applyBorder="1" applyAlignment="1">
      <alignment horizontal="left" wrapText="1"/>
    </xf>
    <xf numFmtId="168" fontId="19" fillId="5" borderId="1" xfId="0" applyNumberFormat="1" applyFont="1" applyFill="1" applyBorder="1" applyAlignment="1">
      <alignment horizontal="right" vertical="top"/>
    </xf>
    <xf numFmtId="0" fontId="19" fillId="0" borderId="1" xfId="7" applyFont="1" applyBorder="1" applyAlignment="1">
      <alignment vertical="top" wrapText="1"/>
    </xf>
    <xf numFmtId="0" fontId="15" fillId="0" borderId="0" xfId="0" applyFont="1" applyFill="1" applyAlignment="1">
      <alignment vertical="top"/>
    </xf>
    <xf numFmtId="0" fontId="20" fillId="0" borderId="0" xfId="0" applyFont="1" applyFill="1" applyAlignment="1">
      <alignment vertical="top"/>
    </xf>
    <xf numFmtId="4" fontId="28" fillId="0" borderId="0" xfId="0" applyNumberFormat="1" applyFont="1" applyFill="1" applyAlignment="1">
      <alignment horizontal="right" vertical="top"/>
    </xf>
    <xf numFmtId="1" fontId="29" fillId="0" borderId="8" xfId="0" applyNumberFormat="1" applyFont="1" applyFill="1" applyBorder="1" applyAlignment="1">
      <alignment horizontal="center" vertical="top"/>
    </xf>
    <xf numFmtId="165" fontId="29" fillId="0" borderId="5" xfId="0" applyNumberFormat="1" applyFont="1" applyFill="1" applyBorder="1" applyAlignment="1">
      <alignment horizontal="center" vertical="top"/>
    </xf>
    <xf numFmtId="49" fontId="29" fillId="0" borderId="5" xfId="0" applyNumberFormat="1" applyFont="1" applyFill="1" applyBorder="1" applyAlignment="1">
      <alignment horizontal="center" vertical="top"/>
    </xf>
    <xf numFmtId="4" fontId="30" fillId="0" borderId="10" xfId="0" applyNumberFormat="1" applyFont="1" applyFill="1" applyBorder="1" applyAlignment="1">
      <alignment horizontal="right" vertical="top"/>
    </xf>
    <xf numFmtId="4" fontId="30" fillId="3" borderId="10" xfId="0" applyNumberFormat="1" applyFont="1" applyFill="1" applyBorder="1" applyAlignment="1">
      <alignment horizontal="right" vertical="top"/>
    </xf>
    <xf numFmtId="4" fontId="30" fillId="0" borderId="11" xfId="0" applyNumberFormat="1" applyFont="1" applyFill="1" applyBorder="1" applyAlignment="1">
      <alignment horizontal="right" vertical="top"/>
    </xf>
    <xf numFmtId="4" fontId="30" fillId="0" borderId="1" xfId="0" applyNumberFormat="1" applyFont="1" applyFill="1" applyBorder="1" applyAlignment="1">
      <alignment horizontal="right" vertical="top"/>
    </xf>
    <xf numFmtId="4" fontId="29" fillId="3" borderId="1" xfId="0" applyNumberFormat="1" applyFont="1" applyFill="1" applyBorder="1" applyAlignment="1">
      <alignment horizontal="right" vertical="top"/>
    </xf>
    <xf numFmtId="4" fontId="28" fillId="0" borderId="1" xfId="3" applyNumberFormat="1" applyFont="1" applyBorder="1" applyAlignment="1">
      <alignment horizontal="right" vertical="top"/>
    </xf>
    <xf numFmtId="4" fontId="28" fillId="0" borderId="0" xfId="3" applyNumberFormat="1" applyFont="1" applyBorder="1" applyAlignment="1">
      <alignment horizontal="right" vertical="top"/>
    </xf>
    <xf numFmtId="4" fontId="28" fillId="2" borderId="0" xfId="0" applyNumberFormat="1" applyFont="1" applyFill="1" applyAlignment="1">
      <alignment vertical="top"/>
    </xf>
    <xf numFmtId="4" fontId="29" fillId="0" borderId="1" xfId="0" applyNumberFormat="1" applyFont="1" applyFill="1" applyBorder="1" applyAlignment="1">
      <alignment horizontal="right" vertical="top"/>
    </xf>
    <xf numFmtId="4" fontId="26" fillId="0" borderId="1" xfId="0" applyNumberFormat="1" applyFont="1" applyFill="1" applyBorder="1" applyAlignment="1">
      <alignment horizontal="right" vertical="top"/>
    </xf>
    <xf numFmtId="0" fontId="18" fillId="0" borderId="0" xfId="0" applyFont="1" applyFill="1" applyAlignment="1">
      <alignment horizontal="center" vertical="top"/>
    </xf>
    <xf numFmtId="4" fontId="18" fillId="0" borderId="0" xfId="0" applyNumberFormat="1" applyFont="1" applyFill="1" applyBorder="1" applyAlignment="1">
      <alignment vertical="top"/>
    </xf>
    <xf numFmtId="0" fontId="22" fillId="0" borderId="0" xfId="0" applyFont="1" applyFill="1" applyBorder="1" applyAlignment="1">
      <alignment vertical="top"/>
    </xf>
    <xf numFmtId="0" fontId="19" fillId="0" borderId="0" xfId="0" applyFont="1" applyFill="1" applyBorder="1" applyAlignment="1">
      <alignment vertical="top"/>
    </xf>
    <xf numFmtId="0" fontId="19" fillId="2" borderId="0" xfId="0" applyFont="1" applyFill="1" applyBorder="1" applyAlignment="1">
      <alignment vertical="top"/>
    </xf>
    <xf numFmtId="0" fontId="21" fillId="2" borderId="0" xfId="0" applyFont="1" applyFill="1" applyBorder="1" applyAlignment="1">
      <alignment vertical="top"/>
    </xf>
    <xf numFmtId="0" fontId="21" fillId="0" borderId="0" xfId="0" applyFont="1" applyFill="1" applyBorder="1" applyAlignment="1">
      <alignment vertical="top"/>
    </xf>
    <xf numFmtId="0" fontId="18" fillId="7" borderId="0" xfId="0" applyFont="1" applyFill="1" applyBorder="1" applyAlignment="1">
      <alignment vertical="top"/>
    </xf>
    <xf numFmtId="0" fontId="18" fillId="2" borderId="0" xfId="0" applyFont="1" applyFill="1" applyAlignment="1">
      <alignment horizontal="center" vertical="top"/>
    </xf>
    <xf numFmtId="0" fontId="18" fillId="6" borderId="0" xfId="0" applyFont="1" applyFill="1" applyBorder="1" applyAlignment="1">
      <alignment vertical="top"/>
    </xf>
    <xf numFmtId="0" fontId="18" fillId="3" borderId="0" xfId="0" applyFont="1" applyFill="1" applyBorder="1" applyAlignment="1">
      <alignment vertical="top"/>
    </xf>
    <xf numFmtId="0" fontId="18" fillId="8" borderId="0" xfId="0" applyFont="1" applyFill="1" applyBorder="1" applyAlignment="1">
      <alignment vertical="top"/>
    </xf>
    <xf numFmtId="0" fontId="27" fillId="0" borderId="0" xfId="0" applyFont="1" applyFill="1" applyBorder="1" applyAlignment="1">
      <alignment vertical="top"/>
    </xf>
    <xf numFmtId="0" fontId="18" fillId="0" borderId="1" xfId="0" applyFont="1" applyFill="1" applyBorder="1" applyAlignment="1">
      <alignment vertical="top"/>
    </xf>
    <xf numFmtId="49" fontId="18" fillId="0" borderId="0" xfId="0" applyNumberFormat="1" applyFont="1" applyFill="1" applyAlignment="1">
      <alignment horizontal="center" vertical="top"/>
    </xf>
    <xf numFmtId="165" fontId="18" fillId="0" borderId="0" xfId="0" applyNumberFormat="1" applyFont="1" applyFill="1" applyAlignment="1">
      <alignment vertical="top"/>
    </xf>
    <xf numFmtId="4" fontId="18" fillId="0" borderId="0" xfId="0" applyNumberFormat="1" applyFont="1" applyFill="1" applyAlignment="1">
      <alignment vertical="top"/>
    </xf>
    <xf numFmtId="4" fontId="28" fillId="0" borderId="0" xfId="0" applyNumberFormat="1" applyFont="1" applyFill="1" applyAlignment="1">
      <alignment vertical="top"/>
    </xf>
    <xf numFmtId="0" fontId="18" fillId="0" borderId="0" xfId="0" applyFont="1" applyFill="1" applyAlignment="1">
      <alignment horizontal="right" vertical="top"/>
    </xf>
    <xf numFmtId="0" fontId="18" fillId="0" borderId="0" xfId="3" applyNumberFormat="1" applyFont="1" applyFill="1" applyAlignment="1" applyProtection="1">
      <alignment horizontal="right" vertical="top"/>
      <protection hidden="1"/>
    </xf>
    <xf numFmtId="0" fontId="18" fillId="0" borderId="0" xfId="3" applyFont="1" applyFill="1" applyAlignment="1" applyProtection="1">
      <alignment horizontal="right" vertical="top"/>
      <protection hidden="1"/>
    </xf>
    <xf numFmtId="0" fontId="31" fillId="0" borderId="0" xfId="1" applyNumberFormat="1" applyFont="1" applyFill="1" applyBorder="1" applyAlignment="1" applyProtection="1">
      <alignment wrapText="1"/>
      <protection hidden="1"/>
    </xf>
    <xf numFmtId="0" fontId="31" fillId="0" borderId="0" xfId="1" applyNumberFormat="1" applyFont="1" applyFill="1" applyBorder="1" applyAlignment="1" applyProtection="1">
      <alignment horizontal="center" wrapText="1"/>
      <protection hidden="1"/>
    </xf>
    <xf numFmtId="49" fontId="18" fillId="0" borderId="1" xfId="2" applyNumberFormat="1" applyFont="1" applyFill="1" applyBorder="1" applyAlignment="1" applyProtection="1">
      <alignment horizontal="center" vertical="top" wrapText="1"/>
      <protection hidden="1"/>
    </xf>
    <xf numFmtId="49" fontId="18" fillId="0" borderId="1" xfId="2" applyNumberFormat="1" applyFont="1" applyFill="1" applyBorder="1" applyAlignment="1" applyProtection="1">
      <alignment horizontal="center" vertical="top"/>
      <protection hidden="1"/>
    </xf>
    <xf numFmtId="169" fontId="18" fillId="0" borderId="1" xfId="2" applyNumberFormat="1" applyFont="1" applyFill="1" applyBorder="1" applyAlignment="1" applyProtection="1">
      <alignment horizontal="center" vertical="top"/>
      <protection hidden="1"/>
    </xf>
    <xf numFmtId="167" fontId="18" fillId="0" borderId="1" xfId="2" applyNumberFormat="1" applyFont="1" applyFill="1" applyBorder="1" applyAlignment="1" applyProtection="1">
      <alignment horizontal="center" vertical="top"/>
      <protection hidden="1"/>
    </xf>
    <xf numFmtId="1" fontId="19" fillId="0" borderId="0" xfId="0" applyNumberFormat="1" applyFont="1" applyFill="1" applyBorder="1" applyAlignment="1">
      <alignment vertical="top"/>
    </xf>
    <xf numFmtId="0" fontId="19" fillId="0" borderId="12" xfId="0" applyFont="1" applyBorder="1" applyAlignment="1">
      <alignment horizontal="right" vertical="center" wrapText="1"/>
    </xf>
    <xf numFmtId="0" fontId="18" fillId="0" borderId="1" xfId="0" applyFont="1" applyBorder="1" applyAlignment="1">
      <alignment horizontal="center" vertical="center" wrapText="1"/>
    </xf>
    <xf numFmtId="0" fontId="18" fillId="0" borderId="0" xfId="3" applyFont="1" applyFill="1" applyAlignment="1" applyProtection="1">
      <alignment horizontal="left" vertical="top"/>
      <protection hidden="1"/>
    </xf>
    <xf numFmtId="0" fontId="32" fillId="0" borderId="0" xfId="0" applyFont="1" applyFill="1" applyBorder="1" applyAlignment="1">
      <alignment vertical="top"/>
    </xf>
    <xf numFmtId="4" fontId="18" fillId="5" borderId="0" xfId="0" applyNumberFormat="1" applyFont="1" applyFill="1" applyBorder="1" applyAlignment="1">
      <alignment horizontal="right" vertical="top"/>
    </xf>
    <xf numFmtId="4" fontId="15" fillId="0" borderId="0" xfId="3" applyNumberFormat="1" applyFont="1" applyFill="1" applyBorder="1" applyAlignment="1" applyProtection="1">
      <alignment horizontal="right" vertical="top"/>
      <protection hidden="1"/>
    </xf>
    <xf numFmtId="4" fontId="20" fillId="0" borderId="0" xfId="0" applyNumberFormat="1" applyFont="1" applyFill="1" applyBorder="1" applyAlignment="1">
      <alignment horizontal="right"/>
    </xf>
    <xf numFmtId="4" fontId="18" fillId="0" borderId="0" xfId="0" applyNumberFormat="1" applyFont="1" applyAlignment="1">
      <alignment horizontal="right" vertical="top"/>
    </xf>
    <xf numFmtId="1" fontId="19" fillId="0" borderId="0" xfId="0" applyNumberFormat="1" applyFont="1" applyFill="1" applyBorder="1" applyAlignment="1">
      <alignment horizontal="center" vertical="top"/>
    </xf>
    <xf numFmtId="1" fontId="29" fillId="0" borderId="0" xfId="0" applyNumberFormat="1" applyFont="1" applyFill="1" applyBorder="1" applyAlignment="1">
      <alignment horizontal="center" vertical="top"/>
    </xf>
    <xf numFmtId="4" fontId="19" fillId="0" borderId="3" xfId="0" applyNumberFormat="1" applyFont="1" applyFill="1" applyBorder="1" applyAlignment="1">
      <alignment horizontal="right" vertical="top"/>
    </xf>
    <xf numFmtId="4" fontId="29" fillId="0" borderId="3" xfId="0" applyNumberFormat="1" applyFont="1" applyFill="1" applyBorder="1" applyAlignment="1">
      <alignment horizontal="right" vertical="top"/>
    </xf>
    <xf numFmtId="0" fontId="20" fillId="0" borderId="0" xfId="0" applyFont="1" applyFill="1" applyBorder="1" applyAlignment="1">
      <alignment horizontal="left" vertical="top" wrapText="1"/>
    </xf>
    <xf numFmtId="49" fontId="20" fillId="0" borderId="0" xfId="0" applyNumberFormat="1" applyFont="1" applyFill="1" applyBorder="1" applyAlignment="1">
      <alignment horizontal="center" vertical="top" wrapText="1"/>
    </xf>
    <xf numFmtId="49" fontId="20" fillId="0" borderId="0" xfId="0" applyNumberFormat="1" applyFont="1" applyFill="1" applyBorder="1" applyAlignment="1">
      <alignment horizontal="center" vertical="top"/>
    </xf>
    <xf numFmtId="4" fontId="20" fillId="0" borderId="0" xfId="0" applyNumberFormat="1" applyFont="1" applyFill="1" applyBorder="1" applyAlignment="1">
      <alignment horizontal="right" vertical="top"/>
    </xf>
    <xf numFmtId="4" fontId="30" fillId="0" borderId="0" xfId="0" applyNumberFormat="1" applyFont="1" applyFill="1" applyBorder="1" applyAlignment="1">
      <alignment horizontal="right" vertical="top"/>
    </xf>
    <xf numFmtId="0" fontId="19" fillId="3" borderId="0" xfId="0" applyFont="1" applyFill="1" applyBorder="1" applyAlignment="1">
      <alignment horizontal="left" vertical="top" wrapText="1"/>
    </xf>
    <xf numFmtId="49" fontId="19" fillId="3" borderId="0" xfId="0" applyNumberFormat="1" applyFont="1" applyFill="1" applyBorder="1" applyAlignment="1">
      <alignment horizontal="center" vertical="top" wrapText="1"/>
    </xf>
    <xf numFmtId="49" fontId="19" fillId="3" borderId="0" xfId="0" applyNumberFormat="1" applyFont="1" applyFill="1" applyBorder="1" applyAlignment="1">
      <alignment horizontal="center" vertical="top"/>
    </xf>
    <xf numFmtId="4" fontId="19" fillId="3" borderId="0" xfId="0" applyNumberFormat="1" applyFont="1" applyFill="1" applyBorder="1" applyAlignment="1">
      <alignment horizontal="right" vertical="top"/>
    </xf>
    <xf numFmtId="0" fontId="19" fillId="4" borderId="0" xfId="0" applyFont="1" applyFill="1" applyBorder="1" applyAlignment="1">
      <alignment vertical="top" wrapText="1"/>
    </xf>
    <xf numFmtId="49" fontId="19" fillId="4" borderId="0" xfId="0" applyNumberFormat="1" applyFont="1" applyFill="1" applyBorder="1" applyAlignment="1">
      <alignment horizontal="center" vertical="top" wrapText="1"/>
    </xf>
    <xf numFmtId="49" fontId="19" fillId="4" borderId="0" xfId="0" applyNumberFormat="1" applyFont="1" applyFill="1" applyBorder="1" applyAlignment="1">
      <alignment horizontal="center" vertical="top"/>
    </xf>
    <xf numFmtId="4" fontId="19" fillId="4" borderId="0" xfId="0" applyNumberFormat="1" applyFont="1" applyFill="1" applyBorder="1" applyAlignment="1">
      <alignment horizontal="right" vertical="top"/>
    </xf>
    <xf numFmtId="0" fontId="19" fillId="0" borderId="0" xfId="0" applyFont="1" applyFill="1" applyBorder="1" applyAlignment="1">
      <alignment horizontal="left" vertical="top" wrapText="1"/>
    </xf>
    <xf numFmtId="49" fontId="19" fillId="0" borderId="0" xfId="0" applyNumberFormat="1" applyFont="1" applyFill="1" applyBorder="1" applyAlignment="1">
      <alignment horizontal="center" vertical="top" wrapText="1"/>
    </xf>
    <xf numFmtId="49" fontId="19" fillId="0" borderId="0" xfId="0" applyNumberFormat="1" applyFont="1" applyFill="1" applyBorder="1" applyAlignment="1">
      <alignment horizontal="center" vertical="top"/>
    </xf>
    <xf numFmtId="4" fontId="19" fillId="0" borderId="0" xfId="0" applyNumberFormat="1" applyFont="1" applyFill="1" applyBorder="1" applyAlignment="1">
      <alignment horizontal="right" vertical="top"/>
    </xf>
    <xf numFmtId="0" fontId="19" fillId="0" borderId="0" xfId="0" applyFont="1" applyBorder="1" applyAlignment="1">
      <alignment horizontal="left" vertical="top" wrapText="1"/>
    </xf>
    <xf numFmtId="0" fontId="19" fillId="5" borderId="0" xfId="0" applyFont="1" applyFill="1" applyBorder="1" applyAlignment="1">
      <alignment horizontal="left" vertical="top" wrapText="1"/>
    </xf>
    <xf numFmtId="0" fontId="21" fillId="0" borderId="0" xfId="0" applyFont="1" applyFill="1" applyBorder="1" applyAlignment="1">
      <alignment horizontal="left" vertical="top" wrapText="1"/>
    </xf>
    <xf numFmtId="49" fontId="21" fillId="0" borderId="0" xfId="0" applyNumberFormat="1" applyFont="1" applyFill="1" applyBorder="1" applyAlignment="1">
      <alignment horizontal="center" vertical="top" wrapText="1"/>
    </xf>
    <xf numFmtId="49" fontId="21" fillId="0" borderId="0" xfId="0" applyNumberFormat="1" applyFont="1" applyFill="1" applyBorder="1" applyAlignment="1">
      <alignment horizontal="center" vertical="top"/>
    </xf>
    <xf numFmtId="49" fontId="19" fillId="5" borderId="0" xfId="0" applyNumberFormat="1" applyFont="1" applyFill="1" applyBorder="1" applyAlignment="1">
      <alignment horizontal="center" vertical="top" wrapText="1"/>
    </xf>
    <xf numFmtId="49" fontId="19" fillId="5" borderId="0" xfId="0" applyNumberFormat="1" applyFont="1" applyFill="1" applyBorder="1" applyAlignment="1">
      <alignment horizontal="center" vertical="top"/>
    </xf>
    <xf numFmtId="4" fontId="19" fillId="5" borderId="0" xfId="0" applyNumberFormat="1" applyFont="1" applyFill="1" applyBorder="1" applyAlignment="1">
      <alignment horizontal="right" vertical="top"/>
    </xf>
    <xf numFmtId="0" fontId="19" fillId="0" borderId="0" xfId="0" applyFont="1" applyFill="1" applyBorder="1" applyAlignment="1">
      <alignment vertical="top" wrapText="1"/>
    </xf>
    <xf numFmtId="0" fontId="19" fillId="5" borderId="0" xfId="0" applyFont="1" applyFill="1" applyBorder="1" applyAlignment="1">
      <alignment horizontal="center" vertical="top" wrapText="1"/>
    </xf>
    <xf numFmtId="0" fontId="19" fillId="0" borderId="0" xfId="0" applyFont="1" applyFill="1" applyBorder="1" applyAlignment="1">
      <alignment horizontal="center" vertical="top" wrapText="1"/>
    </xf>
    <xf numFmtId="4" fontId="19" fillId="5" borderId="0" xfId="0" applyNumberFormat="1" applyFont="1" applyFill="1" applyBorder="1" applyAlignment="1">
      <alignment horizontal="right" vertical="top" wrapText="1"/>
    </xf>
    <xf numFmtId="49" fontId="19" fillId="0" borderId="0" xfId="0" applyNumberFormat="1" applyFont="1" applyFill="1" applyBorder="1" applyAlignment="1">
      <alignment horizontal="left" vertical="top" wrapText="1"/>
    </xf>
    <xf numFmtId="0" fontId="21" fillId="5" borderId="0" xfId="0" applyFont="1" applyFill="1" applyBorder="1" applyAlignment="1">
      <alignment horizontal="left" vertical="top" wrapText="1"/>
    </xf>
    <xf numFmtId="0" fontId="19" fillId="0" borderId="0" xfId="7" applyFont="1" applyFill="1" applyBorder="1" applyAlignment="1">
      <alignment vertical="top" wrapText="1"/>
    </xf>
    <xf numFmtId="0" fontId="19" fillId="4" borderId="0" xfId="0" applyFont="1" applyFill="1" applyBorder="1" applyAlignment="1">
      <alignment horizontal="center" vertical="top" wrapText="1"/>
    </xf>
    <xf numFmtId="0" fontId="19" fillId="5" borderId="0" xfId="0" applyFont="1" applyFill="1" applyBorder="1" applyAlignment="1">
      <alignment vertical="top" wrapText="1"/>
    </xf>
    <xf numFmtId="167" fontId="19" fillId="5" borderId="0" xfId="0" applyNumberFormat="1" applyFont="1" applyFill="1" applyBorder="1" applyAlignment="1">
      <alignment horizontal="left" vertical="top" wrapText="1"/>
    </xf>
    <xf numFmtId="0" fontId="19" fillId="5" borderId="0" xfId="3" applyNumberFormat="1" applyFont="1" applyFill="1" applyBorder="1" applyAlignment="1" applyProtection="1">
      <alignment vertical="top" wrapText="1"/>
      <protection hidden="1"/>
    </xf>
    <xf numFmtId="0" fontId="19" fillId="0" borderId="0" xfId="3" applyNumberFormat="1" applyFont="1" applyFill="1" applyBorder="1" applyAlignment="1" applyProtection="1">
      <alignment vertical="top" wrapText="1"/>
      <protection hidden="1"/>
    </xf>
    <xf numFmtId="0" fontId="19" fillId="5" borderId="0" xfId="3" applyNumberFormat="1" applyFont="1" applyFill="1" applyBorder="1" applyAlignment="1" applyProtection="1">
      <alignment horizontal="left" vertical="top" wrapText="1"/>
      <protection hidden="1"/>
    </xf>
    <xf numFmtId="0" fontId="21" fillId="0" borderId="0" xfId="0" applyFont="1" applyBorder="1" applyAlignment="1">
      <alignment horizontal="left" vertical="top" wrapText="1"/>
    </xf>
    <xf numFmtId="168" fontId="20" fillId="5" borderId="0" xfId="0" applyNumberFormat="1" applyFont="1" applyFill="1" applyBorder="1" applyAlignment="1">
      <alignment horizontal="right" vertical="top"/>
    </xf>
    <xf numFmtId="0" fontId="18" fillId="0" borderId="0" xfId="0" applyFont="1" applyFill="1" applyBorder="1" applyAlignment="1">
      <alignment horizontal="center"/>
    </xf>
    <xf numFmtId="0" fontId="18" fillId="2" borderId="0" xfId="0" applyFont="1" applyFill="1" applyBorder="1" applyAlignment="1">
      <alignment horizontal="center"/>
    </xf>
    <xf numFmtId="168" fontId="19" fillId="5" borderId="0" xfId="0" applyNumberFormat="1" applyFont="1" applyFill="1" applyBorder="1" applyAlignment="1">
      <alignment horizontal="right" vertical="top"/>
    </xf>
    <xf numFmtId="167" fontId="19" fillId="0" borderId="0" xfId="0" applyNumberFormat="1" applyFont="1" applyFill="1" applyBorder="1" applyAlignment="1">
      <alignment horizontal="left" vertical="top" wrapText="1"/>
    </xf>
    <xf numFmtId="166" fontId="19" fillId="0" borderId="0" xfId="0" applyNumberFormat="1" applyFont="1" applyFill="1" applyBorder="1" applyAlignment="1">
      <alignment vertical="top" wrapText="1" shrinkToFit="1"/>
    </xf>
    <xf numFmtId="168" fontId="19" fillId="0" borderId="0" xfId="0" applyNumberFormat="1" applyFont="1" applyFill="1" applyBorder="1" applyAlignment="1">
      <alignment horizontal="right" vertical="top"/>
    </xf>
    <xf numFmtId="0" fontId="19" fillId="0" borderId="0" xfId="7" applyFont="1" applyBorder="1" applyAlignment="1">
      <alignment vertical="top" wrapText="1"/>
    </xf>
    <xf numFmtId="0" fontId="19" fillId="0" borderId="0" xfId="0" applyNumberFormat="1" applyFont="1" applyFill="1" applyBorder="1" applyAlignment="1">
      <alignment horizontal="left" vertical="top" wrapText="1"/>
    </xf>
    <xf numFmtId="0" fontId="19" fillId="5" borderId="0" xfId="0" applyNumberFormat="1" applyFont="1" applyFill="1" applyBorder="1" applyAlignment="1">
      <alignment horizontal="left" vertical="top" wrapText="1"/>
    </xf>
    <xf numFmtId="168" fontId="19" fillId="0" borderId="0" xfId="0" applyNumberFormat="1" applyFont="1" applyFill="1" applyBorder="1" applyAlignment="1">
      <alignment vertical="top"/>
    </xf>
    <xf numFmtId="0" fontId="15" fillId="0" borderId="0" xfId="0" applyFont="1" applyFill="1" applyBorder="1" applyAlignment="1">
      <alignment vertical="top"/>
    </xf>
    <xf numFmtId="0" fontId="20" fillId="0" borderId="0" xfId="0" applyFont="1" applyFill="1" applyBorder="1" applyAlignment="1">
      <alignment vertical="top"/>
    </xf>
    <xf numFmtId="0" fontId="19" fillId="0" borderId="0" xfId="3" applyNumberFormat="1" applyFont="1" applyFill="1" applyBorder="1" applyAlignment="1" applyProtection="1">
      <alignment horizontal="left" vertical="top" wrapText="1"/>
      <protection hidden="1"/>
    </xf>
    <xf numFmtId="49" fontId="19" fillId="0" borderId="0" xfId="3" applyNumberFormat="1" applyFont="1" applyFill="1" applyBorder="1" applyAlignment="1" applyProtection="1">
      <alignment horizontal="center" vertical="top" wrapText="1"/>
      <protection hidden="1"/>
    </xf>
    <xf numFmtId="49" fontId="21" fillId="0" borderId="0" xfId="3" applyNumberFormat="1" applyFont="1" applyFill="1" applyBorder="1" applyAlignment="1" applyProtection="1">
      <alignment horizontal="center" vertical="top" wrapText="1"/>
      <protection hidden="1"/>
    </xf>
    <xf numFmtId="0" fontId="19" fillId="0" borderId="0" xfId="0" applyFont="1" applyFill="1" applyBorder="1" applyAlignment="1">
      <alignment horizontal="center" vertical="top"/>
    </xf>
    <xf numFmtId="4" fontId="30" fillId="3" borderId="0" xfId="0" applyNumberFormat="1" applyFont="1" applyFill="1" applyBorder="1" applyAlignment="1">
      <alignment horizontal="right" vertical="top"/>
    </xf>
    <xf numFmtId="49" fontId="21" fillId="5" borderId="0" xfId="0" applyNumberFormat="1" applyFont="1" applyFill="1" applyBorder="1" applyAlignment="1">
      <alignment horizontal="center" vertical="top" wrapText="1"/>
    </xf>
    <xf numFmtId="49" fontId="21" fillId="5" borderId="0" xfId="0" applyNumberFormat="1" applyFont="1" applyFill="1" applyBorder="1" applyAlignment="1">
      <alignment horizontal="center" vertical="top"/>
    </xf>
    <xf numFmtId="166" fontId="19" fillId="5" borderId="0" xfId="0" applyNumberFormat="1" applyFont="1" applyFill="1" applyBorder="1" applyAlignment="1">
      <alignment vertical="top" wrapText="1" shrinkToFit="1"/>
    </xf>
    <xf numFmtId="0" fontId="20" fillId="0" borderId="0" xfId="0" applyFont="1" applyFill="1" applyBorder="1" applyAlignment="1">
      <alignment horizontal="left" wrapText="1"/>
    </xf>
    <xf numFmtId="49" fontId="20" fillId="5" borderId="0" xfId="0" applyNumberFormat="1" applyFont="1" applyFill="1" applyBorder="1" applyAlignment="1">
      <alignment horizontal="center" vertical="top"/>
    </xf>
    <xf numFmtId="0" fontId="19" fillId="3" borderId="0" xfId="0" applyFont="1" applyFill="1" applyBorder="1" applyAlignment="1">
      <alignment horizontal="left" wrapText="1"/>
    </xf>
    <xf numFmtId="0" fontId="19" fillId="4" borderId="0" xfId="0" applyFont="1" applyFill="1" applyBorder="1" applyAlignment="1">
      <alignment wrapText="1"/>
    </xf>
    <xf numFmtId="0" fontId="19" fillId="4" borderId="0" xfId="0" applyFont="1" applyFill="1" applyBorder="1" applyAlignment="1">
      <alignment horizontal="left" vertical="top" wrapText="1"/>
    </xf>
    <xf numFmtId="4" fontId="19" fillId="5" borderId="0" xfId="4" applyNumberFormat="1" applyFont="1" applyFill="1" applyBorder="1" applyAlignment="1">
      <alignment horizontal="right" vertical="top"/>
    </xf>
    <xf numFmtId="49" fontId="19" fillId="5" borderId="0" xfId="0" applyNumberFormat="1" applyFont="1" applyFill="1" applyBorder="1" applyAlignment="1">
      <alignment vertical="top" wrapText="1"/>
    </xf>
    <xf numFmtId="49" fontId="19" fillId="5" borderId="0" xfId="0" applyNumberFormat="1" applyFont="1" applyFill="1" applyBorder="1" applyAlignment="1">
      <alignment horizontal="left" vertical="top" wrapText="1"/>
    </xf>
    <xf numFmtId="4" fontId="19" fillId="0" borderId="0" xfId="0" applyNumberFormat="1" applyFont="1" applyFill="1" applyBorder="1" applyAlignment="1">
      <alignment vertical="top"/>
    </xf>
    <xf numFmtId="4" fontId="20" fillId="5" borderId="0" xfId="0" applyNumberFormat="1" applyFont="1" applyFill="1" applyBorder="1" applyAlignment="1">
      <alignment horizontal="right" vertical="top"/>
    </xf>
    <xf numFmtId="4" fontId="19" fillId="0" borderId="0" xfId="0" applyNumberFormat="1" applyFont="1" applyFill="1" applyBorder="1" applyAlignment="1">
      <alignment horizontal="right" vertical="top" wrapText="1"/>
    </xf>
    <xf numFmtId="4" fontId="19" fillId="0" borderId="0" xfId="4" applyNumberFormat="1" applyFont="1" applyFill="1" applyBorder="1" applyAlignment="1">
      <alignment horizontal="right" vertical="top"/>
    </xf>
    <xf numFmtId="0" fontId="19" fillId="0" borderId="0" xfId="0" applyFont="1" applyBorder="1" applyAlignment="1">
      <alignment vertical="top" wrapText="1"/>
    </xf>
    <xf numFmtId="0" fontId="19" fillId="5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wrapText="1"/>
    </xf>
    <xf numFmtId="49" fontId="20" fillId="0" borderId="0" xfId="0" applyNumberFormat="1" applyFont="1" applyFill="1" applyBorder="1" applyAlignment="1">
      <alignment horizontal="right" vertical="top"/>
    </xf>
    <xf numFmtId="0" fontId="33" fillId="0" borderId="0" xfId="15" applyFont="1" applyAlignment="1">
      <alignment vertical="top"/>
    </xf>
    <xf numFmtId="0" fontId="19" fillId="0" borderId="0" xfId="15" applyFont="1" applyBorder="1" applyAlignment="1">
      <alignment horizontal="right" vertical="top" wrapText="1"/>
    </xf>
    <xf numFmtId="0" fontId="18" fillId="0" borderId="13" xfId="15" applyFont="1" applyBorder="1" applyAlignment="1">
      <alignment horizontal="center" vertical="top" wrapText="1"/>
    </xf>
    <xf numFmtId="0" fontId="18" fillId="0" borderId="1" xfId="15" applyFont="1" applyBorder="1" applyAlignment="1">
      <alignment horizontal="center" vertical="top" wrapText="1"/>
    </xf>
    <xf numFmtId="0" fontId="18" fillId="0" borderId="0" xfId="15" applyFont="1" applyBorder="1" applyAlignment="1">
      <alignment horizontal="left" vertical="top" wrapText="1"/>
    </xf>
    <xf numFmtId="4" fontId="18" fillId="5" borderId="0" xfId="15" applyNumberFormat="1" applyFont="1" applyFill="1" applyBorder="1" applyAlignment="1">
      <alignment vertical="top" wrapText="1"/>
    </xf>
    <xf numFmtId="4" fontId="18" fillId="0" borderId="0" xfId="15" applyNumberFormat="1" applyFont="1" applyBorder="1" applyAlignment="1">
      <alignment vertical="top" wrapText="1"/>
    </xf>
    <xf numFmtId="1" fontId="18" fillId="0" borderId="0" xfId="15" applyNumberFormat="1" applyFont="1" applyBorder="1" applyAlignment="1">
      <alignment horizontal="center" vertical="top" wrapText="1"/>
    </xf>
    <xf numFmtId="4" fontId="18" fillId="0" borderId="0" xfId="15" applyNumberFormat="1" applyFont="1" applyBorder="1" applyAlignment="1">
      <alignment horizontal="right" vertical="top" wrapText="1"/>
    </xf>
    <xf numFmtId="4" fontId="18" fillId="0" borderId="0" xfId="15" applyNumberFormat="1" applyFont="1" applyFill="1" applyBorder="1" applyAlignment="1">
      <alignment horizontal="right" vertical="top" wrapText="1"/>
    </xf>
    <xf numFmtId="0" fontId="15" fillId="0" borderId="0" xfId="15" applyFont="1" applyBorder="1" applyAlignment="1">
      <alignment horizontal="left" vertical="top" wrapText="1"/>
    </xf>
    <xf numFmtId="0" fontId="15" fillId="0" borderId="0" xfId="15" applyFont="1" applyBorder="1" applyAlignment="1">
      <alignment horizontal="center" vertical="top" wrapText="1"/>
    </xf>
    <xf numFmtId="4" fontId="15" fillId="0" borderId="0" xfId="15" applyNumberFormat="1" applyFont="1" applyBorder="1" applyAlignment="1">
      <alignment horizontal="right" vertical="top" wrapText="1"/>
    </xf>
    <xf numFmtId="0" fontId="31" fillId="0" borderId="0" xfId="1" applyNumberFormat="1" applyFont="1" applyFill="1" applyBorder="1" applyAlignment="1" applyProtection="1">
      <alignment horizontal="center" wrapText="1"/>
      <protection hidden="1"/>
    </xf>
    <xf numFmtId="0" fontId="19" fillId="0" borderId="0" xfId="126" applyFont="1" applyFill="1" applyBorder="1" applyAlignment="1">
      <alignment vertical="top" wrapText="1"/>
    </xf>
    <xf numFmtId="0" fontId="19" fillId="0" borderId="0" xfId="126" applyFont="1" applyBorder="1" applyAlignment="1">
      <alignment vertical="top" wrapText="1"/>
    </xf>
    <xf numFmtId="4" fontId="19" fillId="0" borderId="0" xfId="6" applyNumberFormat="1" applyFont="1" applyFill="1" applyBorder="1" applyAlignment="1">
      <alignment horizontal="right" vertical="top"/>
    </xf>
    <xf numFmtId="4" fontId="19" fillId="0" borderId="0" xfId="0" applyNumberFormat="1" applyFont="1" applyFill="1" applyBorder="1" applyAlignment="1">
      <alignment horizontal="right"/>
    </xf>
    <xf numFmtId="4" fontId="30" fillId="0" borderId="0" xfId="0" applyNumberFormat="1" applyFont="1" applyFill="1" applyBorder="1" applyAlignment="1">
      <alignment horizontal="center" vertical="top"/>
    </xf>
    <xf numFmtId="0" fontId="34" fillId="0" borderId="0" xfId="128" applyProtection="1">
      <protection hidden="1"/>
    </xf>
    <xf numFmtId="0" fontId="34" fillId="0" borderId="14" xfId="128" applyBorder="1" applyProtection="1">
      <protection hidden="1"/>
    </xf>
    <xf numFmtId="0" fontId="35" fillId="0" borderId="8" xfId="128" applyNumberFormat="1" applyFont="1" applyFill="1" applyBorder="1" applyAlignment="1" applyProtection="1">
      <protection hidden="1"/>
    </xf>
    <xf numFmtId="0" fontId="35" fillId="0" borderId="15" xfId="128" applyNumberFormat="1" applyFont="1" applyFill="1" applyBorder="1" applyAlignment="1" applyProtection="1">
      <protection hidden="1"/>
    </xf>
    <xf numFmtId="171" fontId="36" fillId="0" borderId="16" xfId="128" applyNumberFormat="1" applyFont="1" applyFill="1" applyBorder="1" applyAlignment="1" applyProtection="1">
      <alignment horizontal="center"/>
      <protection hidden="1"/>
    </xf>
    <xf numFmtId="172" fontId="36" fillId="0" borderId="16" xfId="128" applyNumberFormat="1" applyFont="1" applyFill="1" applyBorder="1" applyAlignment="1" applyProtection="1">
      <alignment horizontal="center"/>
      <protection hidden="1"/>
    </xf>
    <xf numFmtId="173" fontId="36" fillId="0" borderId="16" xfId="128" applyNumberFormat="1" applyFont="1" applyFill="1" applyBorder="1" applyAlignment="1" applyProtection="1">
      <alignment horizontal="center"/>
      <protection hidden="1"/>
    </xf>
    <xf numFmtId="171" fontId="36" fillId="0" borderId="18" xfId="128" applyNumberFormat="1" applyFont="1" applyFill="1" applyBorder="1" applyAlignment="1" applyProtection="1">
      <alignment horizontal="center"/>
      <protection hidden="1"/>
    </xf>
    <xf numFmtId="171" fontId="36" fillId="0" borderId="1" xfId="128" applyNumberFormat="1" applyFont="1" applyFill="1" applyBorder="1" applyAlignment="1" applyProtection="1">
      <alignment horizontal="center"/>
      <protection hidden="1"/>
    </xf>
    <xf numFmtId="172" fontId="36" fillId="0" borderId="1" xfId="128" applyNumberFormat="1" applyFont="1" applyFill="1" applyBorder="1" applyAlignment="1" applyProtection="1">
      <alignment horizontal="center"/>
      <protection hidden="1"/>
    </xf>
    <xf numFmtId="173" fontId="36" fillId="0" borderId="1" xfId="128" applyNumberFormat="1" applyFont="1" applyFill="1" applyBorder="1" applyAlignment="1" applyProtection="1">
      <alignment horizontal="center"/>
      <protection hidden="1"/>
    </xf>
    <xf numFmtId="171" fontId="36" fillId="0" borderId="9" xfId="128" applyNumberFormat="1" applyFont="1" applyFill="1" applyBorder="1" applyAlignment="1" applyProtection="1">
      <alignment horizontal="center"/>
      <protection hidden="1"/>
    </xf>
    <xf numFmtId="171" fontId="36" fillId="0" borderId="19" xfId="128" applyNumberFormat="1" applyFont="1" applyFill="1" applyBorder="1" applyAlignment="1" applyProtection="1">
      <alignment horizontal="center"/>
      <protection hidden="1"/>
    </xf>
    <xf numFmtId="172" fontId="36" fillId="0" borderId="19" xfId="128" applyNumberFormat="1" applyFont="1" applyFill="1" applyBorder="1" applyAlignment="1" applyProtection="1">
      <alignment horizontal="center"/>
      <protection hidden="1"/>
    </xf>
    <xf numFmtId="173" fontId="36" fillId="0" borderId="19" xfId="128" applyNumberFormat="1" applyFont="1" applyFill="1" applyBorder="1" applyAlignment="1" applyProtection="1">
      <alignment horizontal="center"/>
      <protection hidden="1"/>
    </xf>
    <xf numFmtId="171" fontId="36" fillId="0" borderId="20" xfId="128" applyNumberFormat="1" applyFont="1" applyFill="1" applyBorder="1" applyAlignment="1" applyProtection="1">
      <alignment horizontal="center"/>
      <protection hidden="1"/>
    </xf>
    <xf numFmtId="0" fontId="34" fillId="0" borderId="0" xfId="128" applyNumberFormat="1" applyFont="1" applyFill="1" applyAlignment="1" applyProtection="1">
      <protection hidden="1"/>
    </xf>
    <xf numFmtId="0" fontId="35" fillId="0" borderId="21" xfId="128" applyNumberFormat="1" applyFont="1" applyFill="1" applyBorder="1" applyAlignment="1" applyProtection="1">
      <alignment horizontal="center" vertical="center" wrapText="1"/>
      <protection hidden="1"/>
    </xf>
    <xf numFmtId="0" fontId="35" fillId="0" borderId="2" xfId="128" applyNumberFormat="1" applyFont="1" applyFill="1" applyBorder="1" applyAlignment="1" applyProtection="1">
      <alignment horizontal="center" vertical="center" wrapText="1"/>
      <protection hidden="1"/>
    </xf>
    <xf numFmtId="0" fontId="35" fillId="0" borderId="5" xfId="128" applyNumberFormat="1" applyFont="1" applyFill="1" applyBorder="1" applyAlignment="1" applyProtection="1">
      <alignment horizontal="center" vertical="center" wrapText="1"/>
      <protection hidden="1"/>
    </xf>
    <xf numFmtId="0" fontId="34" fillId="0" borderId="0" xfId="128" applyNumberFormat="1" applyFont="1" applyFill="1" applyAlignment="1" applyProtection="1">
      <alignment horizontal="centerContinuous"/>
      <protection hidden="1"/>
    </xf>
    <xf numFmtId="0" fontId="37" fillId="0" borderId="0" xfId="128" applyNumberFormat="1" applyFont="1" applyFill="1" applyAlignment="1" applyProtection="1">
      <alignment horizontal="centerContinuous" vertical="center"/>
      <protection hidden="1"/>
    </xf>
    <xf numFmtId="0" fontId="34" fillId="0" borderId="0" xfId="128" applyAlignment="1" applyProtection="1">
      <alignment horizontal="right" vertical="center"/>
      <protection hidden="1"/>
    </xf>
    <xf numFmtId="0" fontId="34" fillId="0" borderId="0" xfId="128" applyFill="1" applyProtection="1">
      <protection hidden="1"/>
    </xf>
    <xf numFmtId="170" fontId="36" fillId="0" borderId="19" xfId="128" applyNumberFormat="1" applyFont="1" applyFill="1" applyBorder="1" applyAlignment="1" applyProtection="1">
      <protection hidden="1"/>
    </xf>
    <xf numFmtId="170" fontId="36" fillId="0" borderId="1" xfId="128" applyNumberFormat="1" applyFont="1" applyFill="1" applyBorder="1" applyAlignment="1" applyProtection="1">
      <protection hidden="1"/>
    </xf>
    <xf numFmtId="170" fontId="36" fillId="0" borderId="16" xfId="128" applyNumberFormat="1" applyFont="1" applyFill="1" applyBorder="1" applyAlignment="1" applyProtection="1">
      <protection hidden="1"/>
    </xf>
    <xf numFmtId="170" fontId="35" fillId="0" borderId="15" xfId="128" applyNumberFormat="1" applyFont="1" applyFill="1" applyBorder="1" applyAlignment="1" applyProtection="1">
      <protection hidden="1"/>
    </xf>
    <xf numFmtId="170" fontId="35" fillId="0" borderId="17" xfId="128" applyNumberFormat="1" applyFont="1" applyFill="1" applyBorder="1" applyAlignment="1" applyProtection="1">
      <protection hidden="1"/>
    </xf>
    <xf numFmtId="0" fontId="0" fillId="0" borderId="0" xfId="0" applyFont="1" applyAlignment="1">
      <alignment horizontal="center"/>
    </xf>
    <xf numFmtId="0" fontId="34" fillId="0" borderId="0" xfId="128" applyFill="1" applyBorder="1" applyProtection="1">
      <protection hidden="1"/>
    </xf>
    <xf numFmtId="0" fontId="34" fillId="0" borderId="0" xfId="128" applyBorder="1" applyProtection="1">
      <protection hidden="1"/>
    </xf>
    <xf numFmtId="0" fontId="34" fillId="0" borderId="0" xfId="128" applyBorder="1" applyAlignment="1" applyProtection="1">
      <alignment horizontal="right" vertical="center"/>
      <protection hidden="1"/>
    </xf>
    <xf numFmtId="0" fontId="37" fillId="0" borderId="0" xfId="128" applyNumberFormat="1" applyFont="1" applyFill="1" applyBorder="1" applyAlignment="1" applyProtection="1">
      <alignment horizontal="centerContinuous" vertical="center"/>
      <protection hidden="1"/>
    </xf>
    <xf numFmtId="0" fontId="34" fillId="0" borderId="0" xfId="128" applyNumberFormat="1" applyFont="1" applyFill="1" applyBorder="1" applyAlignment="1" applyProtection="1">
      <alignment horizontal="centerContinuous"/>
      <protection hidden="1"/>
    </xf>
    <xf numFmtId="0" fontId="34" fillId="0" borderId="0" xfId="128" applyNumberFormat="1" applyFont="1" applyFill="1" applyBorder="1" applyAlignment="1" applyProtection="1">
      <protection hidden="1"/>
    </xf>
    <xf numFmtId="0" fontId="0" fillId="0" borderId="0" xfId="0" applyFont="1" applyBorder="1" applyAlignment="1">
      <alignment horizontal="center"/>
    </xf>
    <xf numFmtId="0" fontId="0" fillId="0" borderId="0" xfId="0" applyBorder="1"/>
    <xf numFmtId="0" fontId="35" fillId="0" borderId="0" xfId="128" applyNumberFormat="1" applyFont="1" applyFill="1" applyBorder="1" applyAlignment="1" applyProtection="1">
      <alignment horizontal="center" vertical="center" wrapText="1"/>
      <protection hidden="1"/>
    </xf>
    <xf numFmtId="170" fontId="36" fillId="0" borderId="0" xfId="128" applyNumberFormat="1" applyFont="1" applyFill="1" applyBorder="1" applyAlignment="1" applyProtection="1">
      <protection hidden="1"/>
    </xf>
    <xf numFmtId="173" fontId="36" fillId="0" borderId="0" xfId="128" applyNumberFormat="1" applyFont="1" applyFill="1" applyBorder="1" applyAlignment="1" applyProtection="1">
      <alignment horizontal="center"/>
      <protection hidden="1"/>
    </xf>
    <xf numFmtId="172" fontId="36" fillId="0" borderId="0" xfId="128" applyNumberFormat="1" applyFont="1" applyFill="1" applyBorder="1" applyAlignment="1" applyProtection="1">
      <alignment horizontal="center"/>
      <protection hidden="1"/>
    </xf>
    <xf numFmtId="170" fontId="35" fillId="0" borderId="0" xfId="128" applyNumberFormat="1" applyFont="1" applyFill="1" applyBorder="1" applyAlignment="1" applyProtection="1">
      <protection hidden="1"/>
    </xf>
    <xf numFmtId="0" fontId="35" fillId="0" borderId="0" xfId="128" applyNumberFormat="1" applyFont="1" applyFill="1" applyBorder="1" applyAlignment="1" applyProtection="1">
      <protection hidden="1"/>
    </xf>
    <xf numFmtId="0" fontId="31" fillId="0" borderId="0" xfId="1" applyNumberFormat="1" applyFont="1" applyFill="1" applyBorder="1" applyAlignment="1" applyProtection="1">
      <alignment horizontal="center" wrapText="1"/>
      <protection hidden="1"/>
    </xf>
    <xf numFmtId="0" fontId="18" fillId="0" borderId="0" xfId="15" applyFont="1" applyAlignment="1">
      <alignment horizontal="center" vertical="top" wrapText="1"/>
    </xf>
    <xf numFmtId="0" fontId="18" fillId="0" borderId="0" xfId="15" applyFont="1" applyBorder="1" applyAlignment="1">
      <alignment horizontal="center" vertical="top" wrapText="1"/>
    </xf>
    <xf numFmtId="0" fontId="31" fillId="0" borderId="0" xfId="1" applyNumberFormat="1" applyFont="1" applyFill="1" applyBorder="1" applyAlignment="1" applyProtection="1">
      <alignment horizontal="center" vertical="top" wrapText="1"/>
      <protection hidden="1"/>
    </xf>
    <xf numFmtId="0" fontId="31" fillId="0" borderId="0" xfId="1" applyNumberFormat="1" applyFont="1" applyFill="1" applyBorder="1" applyAlignment="1" applyProtection="1">
      <alignment vertical="top" wrapText="1"/>
      <protection hidden="1"/>
    </xf>
    <xf numFmtId="0" fontId="18" fillId="0" borderId="1" xfId="0" applyFont="1" applyBorder="1" applyAlignment="1">
      <alignment horizontal="center" vertical="top" wrapText="1"/>
    </xf>
    <xf numFmtId="168" fontId="19" fillId="4" borderId="0" xfId="0" applyNumberFormat="1" applyFont="1" applyFill="1" applyBorder="1" applyAlignment="1">
      <alignment horizontal="right" vertical="top"/>
    </xf>
    <xf numFmtId="166" fontId="19" fillId="0" borderId="0" xfId="0" applyNumberFormat="1" applyFont="1" applyFill="1" applyBorder="1" applyAlignment="1">
      <alignment horizontal="left" vertical="top" wrapText="1"/>
    </xf>
    <xf numFmtId="0" fontId="2" fillId="0" borderId="0" xfId="15" applyFont="1" applyAlignment="1">
      <alignment vertical="top"/>
    </xf>
    <xf numFmtId="4" fontId="2" fillId="0" borderId="0" xfId="15" applyNumberFormat="1" applyFont="1" applyAlignment="1">
      <alignment vertical="top"/>
    </xf>
    <xf numFmtId="0" fontId="18" fillId="0" borderId="4" xfId="0" applyFont="1" applyBorder="1" applyAlignment="1">
      <alignment horizontal="center" vertical="top" wrapText="1"/>
    </xf>
    <xf numFmtId="0" fontId="18" fillId="0" borderId="4" xfId="0" applyFont="1" applyBorder="1" applyAlignment="1">
      <alignment horizontal="center" vertical="center" wrapText="1"/>
    </xf>
    <xf numFmtId="4" fontId="20" fillId="0" borderId="0" xfId="0" applyNumberFormat="1" applyFont="1" applyFill="1" applyBorder="1" applyAlignment="1">
      <alignment horizontal="center" vertical="top"/>
    </xf>
    <xf numFmtId="171" fontId="36" fillId="2" borderId="9" xfId="128" applyNumberFormat="1" applyFont="1" applyFill="1" applyBorder="1" applyAlignment="1" applyProtection="1">
      <alignment horizontal="center"/>
      <protection hidden="1"/>
    </xf>
    <xf numFmtId="173" fontId="36" fillId="2" borderId="1" xfId="128" applyNumberFormat="1" applyFont="1" applyFill="1" applyBorder="1" applyAlignment="1" applyProtection="1">
      <alignment horizontal="center"/>
      <protection hidden="1"/>
    </xf>
    <xf numFmtId="172" fontId="36" fillId="2" borderId="1" xfId="128" applyNumberFormat="1" applyFont="1" applyFill="1" applyBorder="1" applyAlignment="1" applyProtection="1">
      <alignment horizontal="center"/>
      <protection hidden="1"/>
    </xf>
    <xf numFmtId="171" fontId="36" fillId="2" borderId="1" xfId="128" applyNumberFormat="1" applyFont="1" applyFill="1" applyBorder="1" applyAlignment="1" applyProtection="1">
      <alignment horizontal="center"/>
      <protection hidden="1"/>
    </xf>
    <xf numFmtId="170" fontId="36" fillId="2" borderId="1" xfId="128" applyNumberFormat="1" applyFont="1" applyFill="1" applyBorder="1" applyAlignment="1" applyProtection="1">
      <protection hidden="1"/>
    </xf>
    <xf numFmtId="0" fontId="31" fillId="0" borderId="0" xfId="1" applyNumberFormat="1" applyFont="1" applyFill="1" applyBorder="1" applyAlignment="1" applyProtection="1">
      <alignment horizontal="center" wrapText="1"/>
      <protection hidden="1"/>
    </xf>
    <xf numFmtId="0" fontId="18" fillId="0" borderId="0" xfId="0" applyFont="1" applyAlignment="1">
      <alignment horizontal="center" vertical="center" wrapText="1"/>
    </xf>
    <xf numFmtId="0" fontId="18" fillId="0" borderId="1" xfId="1" applyNumberFormat="1" applyFont="1" applyFill="1" applyBorder="1" applyAlignment="1" applyProtection="1">
      <alignment horizontal="center" vertical="top" wrapText="1"/>
      <protection hidden="1"/>
    </xf>
    <xf numFmtId="0" fontId="18" fillId="0" borderId="1" xfId="2" applyNumberFormat="1" applyFont="1" applyFill="1" applyBorder="1" applyAlignment="1" applyProtection="1">
      <alignment horizontal="center" vertical="top" wrapText="1"/>
      <protection hidden="1"/>
    </xf>
    <xf numFmtId="169" fontId="18" fillId="0" borderId="1" xfId="2" applyNumberFormat="1" applyFont="1" applyFill="1" applyBorder="1" applyAlignment="1" applyProtection="1">
      <alignment horizontal="center" vertical="top" wrapText="1"/>
      <protection hidden="1"/>
    </xf>
    <xf numFmtId="0" fontId="18" fillId="0" borderId="0" xfId="15" applyFont="1" applyAlignment="1">
      <alignment horizontal="center" vertical="top" wrapText="1"/>
    </xf>
    <xf numFmtId="0" fontId="18" fillId="0" borderId="0" xfId="15" applyFont="1" applyBorder="1" applyAlignment="1">
      <alignment horizontal="center" vertical="top" wrapText="1"/>
    </xf>
    <xf numFmtId="0" fontId="18" fillId="0" borderId="4" xfId="15" applyFont="1" applyBorder="1" applyAlignment="1">
      <alignment horizontal="center" vertical="top" wrapText="1"/>
    </xf>
    <xf numFmtId="0" fontId="18" fillId="0" borderId="3" xfId="15" applyFont="1" applyBorder="1" applyAlignment="1">
      <alignment horizontal="center" vertical="top" wrapText="1"/>
    </xf>
    <xf numFmtId="0" fontId="18" fillId="0" borderId="13" xfId="0" applyFont="1" applyBorder="1" applyAlignment="1">
      <alignment horizontal="center" vertical="top" wrapText="1"/>
    </xf>
    <xf numFmtId="0" fontId="18" fillId="0" borderId="7" xfId="0" applyFont="1" applyBorder="1" applyAlignment="1">
      <alignment horizontal="center" vertical="top" wrapText="1"/>
    </xf>
    <xf numFmtId="0" fontId="18" fillId="0" borderId="0" xfId="129" applyFont="1" applyAlignment="1">
      <alignment horizontal="center" vertical="top" wrapText="1"/>
    </xf>
    <xf numFmtId="0" fontId="1" fillId="0" borderId="0" xfId="129" applyFont="1" applyAlignment="1">
      <alignment vertical="top"/>
    </xf>
    <xf numFmtId="0" fontId="18" fillId="0" borderId="0" xfId="129" applyFont="1" applyBorder="1" applyAlignment="1">
      <alignment horizontal="center" vertical="top" wrapText="1"/>
    </xf>
    <xf numFmtId="0" fontId="33" fillId="0" borderId="0" xfId="129" applyFont="1" applyAlignment="1">
      <alignment vertical="top"/>
    </xf>
    <xf numFmtId="0" fontId="18" fillId="0" borderId="0" xfId="129" applyFont="1" applyAlignment="1">
      <alignment horizontal="center" vertical="top" wrapText="1"/>
    </xf>
    <xf numFmtId="0" fontId="19" fillId="0" borderId="0" xfId="129" applyFont="1" applyBorder="1" applyAlignment="1">
      <alignment horizontal="right" vertical="top" wrapText="1"/>
    </xf>
    <xf numFmtId="0" fontId="18" fillId="0" borderId="4" xfId="129" applyFont="1" applyBorder="1" applyAlignment="1">
      <alignment horizontal="center" vertical="top" wrapText="1"/>
    </xf>
    <xf numFmtId="2" fontId="18" fillId="0" borderId="22" xfId="129" applyNumberFormat="1" applyFont="1" applyBorder="1" applyAlignment="1">
      <alignment horizontal="center" vertical="top" wrapText="1"/>
    </xf>
    <xf numFmtId="2" fontId="0" fillId="0" borderId="23" xfId="0" applyNumberFormat="1" applyBorder="1" applyAlignment="1">
      <alignment horizontal="center" vertical="top" wrapText="1"/>
    </xf>
    <xf numFmtId="0" fontId="18" fillId="0" borderId="1" xfId="129" applyFont="1" applyBorder="1" applyAlignment="1">
      <alignment horizontal="center" vertical="top" wrapText="1"/>
    </xf>
    <xf numFmtId="0" fontId="18" fillId="0" borderId="3" xfId="129" applyFont="1" applyBorder="1" applyAlignment="1">
      <alignment horizontal="center" vertical="top" wrapText="1"/>
    </xf>
    <xf numFmtId="2" fontId="18" fillId="0" borderId="24" xfId="129" applyNumberFormat="1" applyFont="1" applyBorder="1" applyAlignment="1">
      <alignment horizontal="center" vertical="top" wrapText="1"/>
    </xf>
    <xf numFmtId="2" fontId="0" fillId="0" borderId="25" xfId="0" applyNumberFormat="1" applyBorder="1" applyAlignment="1">
      <alignment horizontal="center" vertical="top" wrapText="1"/>
    </xf>
    <xf numFmtId="0" fontId="0" fillId="0" borderId="1" xfId="0" applyBorder="1" applyAlignment="1">
      <alignment horizontal="center" vertical="top" wrapText="1"/>
    </xf>
    <xf numFmtId="0" fontId="38" fillId="0" borderId="0" xfId="129" applyFont="1" applyAlignment="1">
      <alignment vertical="top"/>
    </xf>
    <xf numFmtId="0" fontId="18" fillId="0" borderId="0" xfId="129" applyFont="1" applyBorder="1" applyAlignment="1">
      <alignment horizontal="left" vertical="top" wrapText="1"/>
    </xf>
    <xf numFmtId="0" fontId="18" fillId="0" borderId="0" xfId="129" applyFont="1" applyBorder="1" applyAlignment="1">
      <alignment horizontal="center" vertical="top" wrapText="1"/>
    </xf>
    <xf numFmtId="4" fontId="1" fillId="0" borderId="0" xfId="129" applyNumberFormat="1" applyFont="1" applyAlignment="1">
      <alignment vertical="top"/>
    </xf>
    <xf numFmtId="0" fontId="18" fillId="0" borderId="1" xfId="129" applyFont="1" applyBorder="1" applyAlignment="1">
      <alignment horizontal="center" vertical="top" wrapText="1"/>
    </xf>
    <xf numFmtId="4" fontId="18" fillId="5" borderId="0" xfId="129" applyNumberFormat="1" applyFont="1" applyFill="1" applyBorder="1" applyAlignment="1">
      <alignment vertical="top" wrapText="1"/>
    </xf>
    <xf numFmtId="4" fontId="18" fillId="0" borderId="0" xfId="129" applyNumberFormat="1" applyFont="1" applyBorder="1" applyAlignment="1">
      <alignment vertical="top" wrapText="1"/>
    </xf>
    <xf numFmtId="4" fontId="18" fillId="0" borderId="0" xfId="129" applyNumberFormat="1" applyFont="1" applyBorder="1" applyAlignment="1">
      <alignment horizontal="right" vertical="top" wrapText="1"/>
    </xf>
    <xf numFmtId="4" fontId="18" fillId="0" borderId="0" xfId="129" applyNumberFormat="1" applyFont="1" applyFill="1" applyBorder="1" applyAlignment="1">
      <alignment horizontal="right" vertical="top" wrapText="1"/>
    </xf>
    <xf numFmtId="0" fontId="15" fillId="0" borderId="0" xfId="129" applyFont="1" applyBorder="1" applyAlignment="1">
      <alignment horizontal="left" vertical="top" wrapText="1"/>
    </xf>
    <xf numFmtId="0" fontId="15" fillId="0" borderId="0" xfId="129" applyFont="1" applyBorder="1" applyAlignment="1">
      <alignment horizontal="center" vertical="top" wrapText="1"/>
    </xf>
    <xf numFmtId="4" fontId="15" fillId="0" borderId="0" xfId="129" applyNumberFormat="1" applyFont="1" applyBorder="1" applyAlignment="1">
      <alignment horizontal="right" vertical="top" wrapText="1"/>
    </xf>
  </cellXfs>
  <cellStyles count="130">
    <cellStyle name="Обычный" xfId="0" builtinId="0"/>
    <cellStyle name="Обычный 2" xfId="5"/>
    <cellStyle name="Обычный 2 10" xfId="16"/>
    <cellStyle name="Обычный 2 100" xfId="17"/>
    <cellStyle name="Обычный 2 101" xfId="18"/>
    <cellStyle name="Обычный 2 102" xfId="19"/>
    <cellStyle name="Обычный 2 103" xfId="20"/>
    <cellStyle name="Обычный 2 104" xfId="21"/>
    <cellStyle name="Обычный 2 105" xfId="22"/>
    <cellStyle name="Обычный 2 106" xfId="23"/>
    <cellStyle name="Обычный 2 107" xfId="24"/>
    <cellStyle name="Обычный 2 108" xfId="25"/>
    <cellStyle name="Обычный 2 109" xfId="26"/>
    <cellStyle name="Обычный 2 11" xfId="27"/>
    <cellStyle name="Обычный 2 110" xfId="28"/>
    <cellStyle name="Обычный 2 111" xfId="29"/>
    <cellStyle name="Обычный 2 112" xfId="128"/>
    <cellStyle name="Обычный 2 12" xfId="30"/>
    <cellStyle name="Обычный 2 13" xfId="31"/>
    <cellStyle name="Обычный 2 14" xfId="32"/>
    <cellStyle name="Обычный 2 15" xfId="33"/>
    <cellStyle name="Обычный 2 16" xfId="34"/>
    <cellStyle name="Обычный 2 17" xfId="35"/>
    <cellStyle name="Обычный 2 18" xfId="36"/>
    <cellStyle name="Обычный 2 19" xfId="37"/>
    <cellStyle name="Обычный 2 2" xfId="1"/>
    <cellStyle name="Обычный 2 2 2" xfId="38"/>
    <cellStyle name="Обычный 2 2 3" xfId="39"/>
    <cellStyle name="Обычный 2 20" xfId="40"/>
    <cellStyle name="Обычный 2 21" xfId="41"/>
    <cellStyle name="Обычный 2 22" xfId="42"/>
    <cellStyle name="Обычный 2 23" xfId="43"/>
    <cellStyle name="Обычный 2 24" xfId="44"/>
    <cellStyle name="Обычный 2 25" xfId="45"/>
    <cellStyle name="Обычный 2 26" xfId="46"/>
    <cellStyle name="Обычный 2 27" xfId="47"/>
    <cellStyle name="Обычный 2 28" xfId="48"/>
    <cellStyle name="Обычный 2 29" xfId="49"/>
    <cellStyle name="Обычный 2 3" xfId="2"/>
    <cellStyle name="Обычный 2 3 2" xfId="50"/>
    <cellStyle name="Обычный 2 30" xfId="51"/>
    <cellStyle name="Обычный 2 31" xfId="52"/>
    <cellStyle name="Обычный 2 32" xfId="53"/>
    <cellStyle name="Обычный 2 33" xfId="54"/>
    <cellStyle name="Обычный 2 34" xfId="55"/>
    <cellStyle name="Обычный 2 35" xfId="56"/>
    <cellStyle name="Обычный 2 36" xfId="57"/>
    <cellStyle name="Обычный 2 37" xfId="58"/>
    <cellStyle name="Обычный 2 38" xfId="59"/>
    <cellStyle name="Обычный 2 39" xfId="60"/>
    <cellStyle name="Обычный 2 4" xfId="7"/>
    <cellStyle name="Обычный 2 4 2" xfId="126"/>
    <cellStyle name="Обычный 2 40" xfId="61"/>
    <cellStyle name="Обычный 2 41" xfId="62"/>
    <cellStyle name="Обычный 2 42" xfId="63"/>
    <cellStyle name="Обычный 2 43" xfId="64"/>
    <cellStyle name="Обычный 2 44" xfId="65"/>
    <cellStyle name="Обычный 2 45" xfId="66"/>
    <cellStyle name="Обычный 2 46" xfId="67"/>
    <cellStyle name="Обычный 2 47" xfId="68"/>
    <cellStyle name="Обычный 2 48" xfId="69"/>
    <cellStyle name="Обычный 2 49" xfId="70"/>
    <cellStyle name="Обычный 2 5" xfId="12"/>
    <cellStyle name="Обычный 2 5 2" xfId="71"/>
    <cellStyle name="Обычный 2 50" xfId="72"/>
    <cellStyle name="Обычный 2 51" xfId="73"/>
    <cellStyle name="Обычный 2 52" xfId="74"/>
    <cellStyle name="Обычный 2 53" xfId="75"/>
    <cellStyle name="Обычный 2 54" xfId="76"/>
    <cellStyle name="Обычный 2 55" xfId="77"/>
    <cellStyle name="Обычный 2 56" xfId="78"/>
    <cellStyle name="Обычный 2 57" xfId="79"/>
    <cellStyle name="Обычный 2 58" xfId="80"/>
    <cellStyle name="Обычный 2 59" xfId="81"/>
    <cellStyle name="Обычный 2 6" xfId="82"/>
    <cellStyle name="Обычный 2 60" xfId="83"/>
    <cellStyle name="Обычный 2 61" xfId="84"/>
    <cellStyle name="Обычный 2 62" xfId="85"/>
    <cellStyle name="Обычный 2 63" xfId="86"/>
    <cellStyle name="Обычный 2 64" xfId="87"/>
    <cellStyle name="Обычный 2 65" xfId="88"/>
    <cellStyle name="Обычный 2 66" xfId="89"/>
    <cellStyle name="Обычный 2 67" xfId="90"/>
    <cellStyle name="Обычный 2 68" xfId="91"/>
    <cellStyle name="Обычный 2 69" xfId="92"/>
    <cellStyle name="Обычный 2 7" xfId="93"/>
    <cellStyle name="Обычный 2 70" xfId="94"/>
    <cellStyle name="Обычный 2 71" xfId="95"/>
    <cellStyle name="Обычный 2 72" xfId="96"/>
    <cellStyle name="Обычный 2 73" xfId="97"/>
    <cellStyle name="Обычный 2 74" xfId="98"/>
    <cellStyle name="Обычный 2 75" xfId="99"/>
    <cellStyle name="Обычный 2 76" xfId="100"/>
    <cellStyle name="Обычный 2 77" xfId="101"/>
    <cellStyle name="Обычный 2 78" xfId="102"/>
    <cellStyle name="Обычный 2 79" xfId="103"/>
    <cellStyle name="Обычный 2 8" xfId="104"/>
    <cellStyle name="Обычный 2 80" xfId="105"/>
    <cellStyle name="Обычный 2 81" xfId="106"/>
    <cellStyle name="Обычный 2 82" xfId="107"/>
    <cellStyle name="Обычный 2 83" xfId="108"/>
    <cellStyle name="Обычный 2 84" xfId="109"/>
    <cellStyle name="Обычный 2 85" xfId="110"/>
    <cellStyle name="Обычный 2 86" xfId="111"/>
    <cellStyle name="Обычный 2 87" xfId="112"/>
    <cellStyle name="Обычный 2 88" xfId="113"/>
    <cellStyle name="Обычный 2 89" xfId="114"/>
    <cellStyle name="Обычный 2 9" xfId="115"/>
    <cellStyle name="Обычный 2 90" xfId="116"/>
    <cellStyle name="Обычный 2 91" xfId="117"/>
    <cellStyle name="Обычный 2 92" xfId="118"/>
    <cellStyle name="Обычный 2 93" xfId="119"/>
    <cellStyle name="Обычный 2 94" xfId="120"/>
    <cellStyle name="Обычный 2 95" xfId="121"/>
    <cellStyle name="Обычный 2 96" xfId="122"/>
    <cellStyle name="Обычный 2 97" xfId="123"/>
    <cellStyle name="Обычный 2 98" xfId="124"/>
    <cellStyle name="Обычный 2 99" xfId="125"/>
    <cellStyle name="Обычный 3" xfId="8"/>
    <cellStyle name="Обычный 4" xfId="10"/>
    <cellStyle name="Обычный 5" xfId="11"/>
    <cellStyle name="Обычный 5 2" xfId="15"/>
    <cellStyle name="Обычный 5 2 2" xfId="129"/>
    <cellStyle name="Обычный 6" xfId="13"/>
    <cellStyle name="Обычный 7" xfId="14"/>
    <cellStyle name="Обычный 8" xfId="127"/>
    <cellStyle name="Обычный_tmp" xfId="3"/>
    <cellStyle name="Финансовый" xfId="4" builtinId="3"/>
    <cellStyle name="Финансовый 2" xfId="6"/>
    <cellStyle name="Финансовый 3" xfId="9"/>
  </cellStyles>
  <dxfs count="0"/>
  <tableStyles count="0" defaultTableStyle="TableStyleMedium9" defaultPivotStyle="PivotStyleLight16"/>
  <colors>
    <mruColors>
      <color rgb="FFFFFFCC"/>
      <color rgb="FFCCFFCC"/>
      <color rgb="FFFFFF99"/>
      <color rgb="FFFFCCFF"/>
      <color rgb="FFAFEFEA"/>
      <color rgb="FFEBECB2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87;&#1086;%20&#1089;&#1086;&#1089;&#1090;&#1086;&#1103;&#1085;&#1080;&#1102;%20&#1085;&#1072;%2031.03.20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.Gomzina/Documents/&#1070;.&#1044;/2017%20&#1075;&#1086;&#1076;/&#1087;&#1088;&#1080;&#1082;&#1072;&#1079;&#1099;%20&#1050;&#1060;&#1080;&#1041;/&#1091;&#1090;&#1074;.%20&#1057;&#1041;&#1056;%20&#1085;&#1072;%202017-2019/&#1055;&#1088;&#1080;&#1083;.%202%20&#1057;&#1041;&#1056;%20&#1085;&#1072;%202018-2019%20&#1075;&#1086;&#1076;&#1099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прил. 1.1 СБР"/>
      <sheetName val="прил. 1.1 СБР (2)"/>
      <sheetName val="прил. 1.2 источники"/>
      <sheetName val="ИСТОЧНИКИ"/>
      <sheetName val="доходы ОБЩИЕ"/>
    </sheetNames>
    <sheetDataSet>
      <sheetData sheetId="0" refreshError="1"/>
      <sheetData sheetId="1" refreshError="1"/>
      <sheetData sheetId="2" refreshError="1"/>
      <sheetData sheetId="3">
        <row r="10">
          <cell r="B10">
            <v>0</v>
          </cell>
        </row>
      </sheetData>
      <sheetData sheetId="4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БА в тыс. руб."/>
      <sheetName val="БА в рублях"/>
      <sheetName val="БА в рублях (ред)"/>
      <sheetName val="БА в рублях (ред) (2)"/>
      <sheetName val="прил 2 БА в рублях (ред) (3)"/>
      <sheetName val="БА источники"/>
      <sheetName val="КВР"/>
      <sheetName val="аппарат"/>
    </sheetNames>
    <sheetDataSet>
      <sheetData sheetId="0"/>
      <sheetData sheetId="1"/>
      <sheetData sheetId="2"/>
      <sheetData sheetId="3"/>
      <sheetData sheetId="4">
        <row r="1340">
          <cell r="I1340">
            <v>875930</v>
          </cell>
          <cell r="K1340">
            <v>875930</v>
          </cell>
        </row>
      </sheetData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2">
    <tabColor rgb="FFFFFF00"/>
    <pageSetUpPr fitToPage="1"/>
  </sheetPr>
  <dimension ref="A1:O1717"/>
  <sheetViews>
    <sheetView view="pageBreakPreview" topLeftCell="A1695" zoomScaleNormal="100" zoomScaleSheetLayoutView="100" workbookViewId="0">
      <selection activeCell="G602" sqref="G602:I602"/>
    </sheetView>
  </sheetViews>
  <sheetFormatPr defaultColWidth="8.7265625" defaultRowHeight="15.75"/>
  <cols>
    <col min="1" max="1" width="35.90625" style="6" customWidth="1"/>
    <col min="2" max="2" width="5" style="62" customWidth="1"/>
    <col min="3" max="3" width="3.36328125" style="63" customWidth="1"/>
    <col min="4" max="4" width="3" style="63" customWidth="1"/>
    <col min="5" max="5" width="8.90625" style="63" customWidth="1"/>
    <col min="6" max="6" width="4" style="63" customWidth="1"/>
    <col min="7" max="8" width="10.36328125" style="64" customWidth="1"/>
    <col min="9" max="15" width="10.36328125" style="67" customWidth="1"/>
    <col min="16" max="16384" width="8.7265625" style="5"/>
  </cols>
  <sheetData>
    <row r="1" spans="1:15" s="2" customFormat="1">
      <c r="A1" s="1"/>
      <c r="B1" s="48"/>
      <c r="C1" s="33"/>
      <c r="D1" s="53"/>
      <c r="E1" s="53"/>
      <c r="F1" s="53"/>
      <c r="G1" s="48"/>
      <c r="H1" s="48"/>
      <c r="I1" s="66"/>
      <c r="J1" s="66"/>
      <c r="K1" s="66"/>
      <c r="L1" s="66"/>
      <c r="M1" s="66"/>
      <c r="N1" s="66"/>
      <c r="O1" s="66"/>
    </row>
    <row r="2" spans="1:15" s="2" customFormat="1" ht="16.5" thickBot="1">
      <c r="A2" s="7"/>
      <c r="B2" s="54"/>
      <c r="C2" s="55"/>
      <c r="D2" s="55"/>
      <c r="F2" s="73"/>
      <c r="G2" s="73"/>
      <c r="H2" s="51"/>
      <c r="I2" s="69" t="s">
        <v>193</v>
      </c>
      <c r="J2" s="78"/>
      <c r="K2" s="78"/>
      <c r="L2" s="78"/>
      <c r="M2" s="78"/>
      <c r="N2" s="78"/>
      <c r="O2" s="78"/>
    </row>
    <row r="3" spans="1:15" s="2" customFormat="1" ht="67.150000000000006" customHeight="1" thickBot="1">
      <c r="A3" s="75" t="s">
        <v>42</v>
      </c>
      <c r="B3" s="56" t="s">
        <v>43</v>
      </c>
      <c r="C3" s="57" t="s">
        <v>23</v>
      </c>
      <c r="D3" s="57" t="s">
        <v>44</v>
      </c>
      <c r="E3" s="57" t="s">
        <v>45</v>
      </c>
      <c r="F3" s="58" t="s">
        <v>46</v>
      </c>
      <c r="G3" s="59" t="s">
        <v>719</v>
      </c>
      <c r="H3" s="59" t="s">
        <v>720</v>
      </c>
      <c r="I3" s="59" t="s">
        <v>721</v>
      </c>
      <c r="J3" s="59" t="s">
        <v>719</v>
      </c>
      <c r="K3" s="59" t="s">
        <v>59</v>
      </c>
      <c r="L3" s="59" t="s">
        <v>720</v>
      </c>
      <c r="M3" s="59" t="s">
        <v>59</v>
      </c>
      <c r="N3" s="59" t="s">
        <v>721</v>
      </c>
      <c r="O3" s="59" t="s">
        <v>59</v>
      </c>
    </row>
    <row r="4" spans="1:15" s="68" customFormat="1" ht="16.5" thickBot="1">
      <c r="A4" s="8">
        <v>1</v>
      </c>
      <c r="B4" s="60">
        <v>2</v>
      </c>
      <c r="C4" s="60">
        <v>3</v>
      </c>
      <c r="D4" s="60" t="s">
        <v>552</v>
      </c>
      <c r="E4" s="60">
        <v>5</v>
      </c>
      <c r="F4" s="60">
        <v>6</v>
      </c>
      <c r="G4" s="60">
        <v>7</v>
      </c>
      <c r="H4" s="60">
        <v>8</v>
      </c>
      <c r="I4" s="60">
        <v>9</v>
      </c>
      <c r="J4" s="60">
        <v>7</v>
      </c>
      <c r="K4" s="60"/>
      <c r="L4" s="60">
        <v>8</v>
      </c>
      <c r="M4" s="60"/>
      <c r="N4" s="60">
        <v>9</v>
      </c>
      <c r="O4" s="60"/>
    </row>
    <row r="5" spans="1:15" s="3" customFormat="1">
      <c r="A5" s="107" t="s">
        <v>47</v>
      </c>
      <c r="B5" s="14" t="s">
        <v>48</v>
      </c>
      <c r="C5" s="15" t="s">
        <v>51</v>
      </c>
      <c r="D5" s="15" t="s">
        <v>51</v>
      </c>
      <c r="E5" s="15" t="s">
        <v>196</v>
      </c>
      <c r="F5" s="15" t="s">
        <v>58</v>
      </c>
      <c r="G5" s="16">
        <f>G6+G48</f>
        <v>55105.77</v>
      </c>
      <c r="H5" s="16">
        <f>H6+H48</f>
        <v>55107.76</v>
      </c>
      <c r="I5" s="16">
        <f>I6+I48</f>
        <v>55107.76</v>
      </c>
      <c r="J5" s="16">
        <f>J6+J48</f>
        <v>55105.77</v>
      </c>
      <c r="K5" s="16">
        <f>J5-G5</f>
        <v>0</v>
      </c>
      <c r="L5" s="16">
        <f>L6+L48</f>
        <v>55107.76</v>
      </c>
      <c r="M5" s="16">
        <f>L5-H5</f>
        <v>0</v>
      </c>
      <c r="N5" s="16">
        <f>N6+N48</f>
        <v>55107.76</v>
      </c>
      <c r="O5" s="16">
        <f>N5-I5</f>
        <v>0</v>
      </c>
    </row>
    <row r="6" spans="1:15" s="3" customFormat="1">
      <c r="A6" s="17" t="s">
        <v>64</v>
      </c>
      <c r="B6" s="18" t="s">
        <v>48</v>
      </c>
      <c r="C6" s="19" t="s">
        <v>65</v>
      </c>
      <c r="D6" s="19" t="s">
        <v>51</v>
      </c>
      <c r="E6" s="19" t="s">
        <v>196</v>
      </c>
      <c r="F6" s="19" t="s">
        <v>58</v>
      </c>
      <c r="G6" s="20">
        <f>G7+G42</f>
        <v>48015.27</v>
      </c>
      <c r="H6" s="20">
        <f>H7+H42</f>
        <v>48017.26</v>
      </c>
      <c r="I6" s="20">
        <f>I7+I42</f>
        <v>48017.26</v>
      </c>
      <c r="J6" s="20">
        <f>J7+J42</f>
        <v>48015.27</v>
      </c>
      <c r="K6" s="16">
        <f t="shared" ref="K6:K69" si="0">J6-G6</f>
        <v>0</v>
      </c>
      <c r="L6" s="20">
        <f>L7+L42</f>
        <v>48017.26</v>
      </c>
      <c r="M6" s="16">
        <f t="shared" ref="M6:M69" si="1">L6-H6</f>
        <v>0</v>
      </c>
      <c r="N6" s="20">
        <f>N7+N42</f>
        <v>48017.26</v>
      </c>
      <c r="O6" s="16">
        <f t="shared" ref="O6:O69" si="2">N6-I6</f>
        <v>0</v>
      </c>
    </row>
    <row r="7" spans="1:15" s="3" customFormat="1" ht="38.25">
      <c r="A7" s="21" t="s">
        <v>56</v>
      </c>
      <c r="B7" s="22" t="s">
        <v>48</v>
      </c>
      <c r="C7" s="23" t="s">
        <v>65</v>
      </c>
      <c r="D7" s="23" t="s">
        <v>53</v>
      </c>
      <c r="E7" s="23" t="s">
        <v>196</v>
      </c>
      <c r="F7" s="23" t="s">
        <v>58</v>
      </c>
      <c r="G7" s="24">
        <f>G8</f>
        <v>47515.27</v>
      </c>
      <c r="H7" s="24">
        <f>H8</f>
        <v>47517.26</v>
      </c>
      <c r="I7" s="24">
        <f>I8</f>
        <v>47517.26</v>
      </c>
      <c r="J7" s="24">
        <f>J8</f>
        <v>47515.27</v>
      </c>
      <c r="K7" s="16">
        <f t="shared" si="0"/>
        <v>0</v>
      </c>
      <c r="L7" s="24">
        <f>L8</f>
        <v>47517.26</v>
      </c>
      <c r="M7" s="16">
        <f t="shared" si="1"/>
        <v>0</v>
      </c>
      <c r="N7" s="24">
        <f>N8</f>
        <v>47517.26</v>
      </c>
      <c r="O7" s="16">
        <f t="shared" si="2"/>
        <v>0</v>
      </c>
    </row>
    <row r="8" spans="1:15" s="3" customFormat="1">
      <c r="A8" s="11" t="s">
        <v>124</v>
      </c>
      <c r="B8" s="25" t="s">
        <v>48</v>
      </c>
      <c r="C8" s="26" t="s">
        <v>65</v>
      </c>
      <c r="D8" s="26" t="s">
        <v>53</v>
      </c>
      <c r="E8" s="26" t="s">
        <v>197</v>
      </c>
      <c r="F8" s="26" t="s">
        <v>58</v>
      </c>
      <c r="G8" s="27">
        <f>G9+G33+G24</f>
        <v>47515.27</v>
      </c>
      <c r="H8" s="27">
        <f>H9+H33+H24</f>
        <v>47517.26</v>
      </c>
      <c r="I8" s="27">
        <f>I9+I33+I24</f>
        <v>47517.26</v>
      </c>
      <c r="J8" s="27">
        <f>J9+J33+J24</f>
        <v>47515.27</v>
      </c>
      <c r="K8" s="16">
        <f t="shared" si="0"/>
        <v>0</v>
      </c>
      <c r="L8" s="27">
        <f>L9+L33+L24</f>
        <v>47517.26</v>
      </c>
      <c r="M8" s="16">
        <f t="shared" si="1"/>
        <v>0</v>
      </c>
      <c r="N8" s="27">
        <f>N9+N33+N24</f>
        <v>47517.26</v>
      </c>
      <c r="O8" s="16">
        <f t="shared" si="2"/>
        <v>0</v>
      </c>
    </row>
    <row r="9" spans="1:15" s="3" customFormat="1" ht="25.5">
      <c r="A9" s="11" t="s">
        <v>125</v>
      </c>
      <c r="B9" s="25" t="s">
        <v>48</v>
      </c>
      <c r="C9" s="26" t="s">
        <v>65</v>
      </c>
      <c r="D9" s="26" t="s">
        <v>53</v>
      </c>
      <c r="E9" s="26" t="s">
        <v>200</v>
      </c>
      <c r="F9" s="26" t="s">
        <v>58</v>
      </c>
      <c r="G9" s="27">
        <f>G10+G20</f>
        <v>43813.45</v>
      </c>
      <c r="H9" s="27">
        <f>H10+H20</f>
        <v>43815.44</v>
      </c>
      <c r="I9" s="27">
        <f>I10+I20</f>
        <v>43815.44</v>
      </c>
      <c r="J9" s="27">
        <f>J10+J20</f>
        <v>43813.45</v>
      </c>
      <c r="K9" s="16">
        <f t="shared" si="0"/>
        <v>0</v>
      </c>
      <c r="L9" s="27">
        <f>L10+L20</f>
        <v>43815.44</v>
      </c>
      <c r="M9" s="16">
        <f t="shared" si="1"/>
        <v>0</v>
      </c>
      <c r="N9" s="27">
        <f>N10+N20</f>
        <v>43815.44</v>
      </c>
      <c r="O9" s="16">
        <f t="shared" si="2"/>
        <v>0</v>
      </c>
    </row>
    <row r="10" spans="1:15" s="3" customFormat="1" ht="25.5">
      <c r="A10" s="11" t="s">
        <v>114</v>
      </c>
      <c r="B10" s="25" t="s">
        <v>48</v>
      </c>
      <c r="C10" s="26" t="s">
        <v>65</v>
      </c>
      <c r="D10" s="26" t="s">
        <v>53</v>
      </c>
      <c r="E10" s="26" t="s">
        <v>201</v>
      </c>
      <c r="F10" s="26" t="s">
        <v>58</v>
      </c>
      <c r="G10" s="27">
        <f>G11+G15+G17</f>
        <v>10533.43</v>
      </c>
      <c r="H10" s="27">
        <f>H11+H15+H17</f>
        <v>10535.420000000002</v>
      </c>
      <c r="I10" s="27">
        <f>I11+I15+I17</f>
        <v>10535.420000000002</v>
      </c>
      <c r="J10" s="27">
        <f>J11+J15+J17</f>
        <v>10533.43</v>
      </c>
      <c r="K10" s="16">
        <f t="shared" si="0"/>
        <v>0</v>
      </c>
      <c r="L10" s="27">
        <f>L11+L15+L17</f>
        <v>10535.420000000002</v>
      </c>
      <c r="M10" s="16">
        <f t="shared" si="1"/>
        <v>0</v>
      </c>
      <c r="N10" s="27">
        <f>N11+N15+N17</f>
        <v>10535.420000000002</v>
      </c>
      <c r="O10" s="16">
        <f t="shared" si="2"/>
        <v>0</v>
      </c>
    </row>
    <row r="11" spans="1:15" s="3" customFormat="1" ht="25.5">
      <c r="A11" s="12" t="s">
        <v>107</v>
      </c>
      <c r="B11" s="25" t="s">
        <v>48</v>
      </c>
      <c r="C11" s="26" t="s">
        <v>65</v>
      </c>
      <c r="D11" s="26" t="s">
        <v>53</v>
      </c>
      <c r="E11" s="26" t="s">
        <v>201</v>
      </c>
      <c r="F11" s="26" t="s">
        <v>115</v>
      </c>
      <c r="G11" s="27">
        <f>SUM(G12:G14)</f>
        <v>3836.7799999999997</v>
      </c>
      <c r="H11" s="27">
        <f t="shared" ref="H11:I11" si="3">SUM(H12:H14)</f>
        <v>3836.7799999999997</v>
      </c>
      <c r="I11" s="27">
        <f t="shared" si="3"/>
        <v>3836.7799999999997</v>
      </c>
      <c r="J11" s="27">
        <f>1273+2333.12+230.66</f>
        <v>3836.7799999999997</v>
      </c>
      <c r="K11" s="16">
        <f t="shared" si="0"/>
        <v>0</v>
      </c>
      <c r="L11" s="27">
        <f>230.66+1273+2333.12</f>
        <v>3836.7799999999997</v>
      </c>
      <c r="M11" s="16">
        <f t="shared" si="1"/>
        <v>0</v>
      </c>
      <c r="N11" s="27">
        <f>230.66+1273+2333.12</f>
        <v>3836.7799999999997</v>
      </c>
      <c r="O11" s="16">
        <f t="shared" si="2"/>
        <v>0</v>
      </c>
    </row>
    <row r="12" spans="1:15" s="3" customFormat="1" ht="25.5">
      <c r="A12" s="12" t="s">
        <v>937</v>
      </c>
      <c r="B12" s="25" t="s">
        <v>48</v>
      </c>
      <c r="C12" s="26" t="s">
        <v>65</v>
      </c>
      <c r="D12" s="26" t="s">
        <v>53</v>
      </c>
      <c r="E12" s="26" t="s">
        <v>201</v>
      </c>
      <c r="F12" s="26" t="s">
        <v>1059</v>
      </c>
      <c r="G12" s="27">
        <v>1273</v>
      </c>
      <c r="H12" s="27">
        <v>1273</v>
      </c>
      <c r="I12" s="27">
        <v>1273</v>
      </c>
      <c r="J12" s="27"/>
      <c r="K12" s="16"/>
      <c r="L12" s="27"/>
      <c r="M12" s="16"/>
      <c r="N12" s="27"/>
      <c r="O12" s="16"/>
    </row>
    <row r="13" spans="1:15" s="4" customFormat="1" ht="38.25">
      <c r="A13" s="12" t="s">
        <v>938</v>
      </c>
      <c r="B13" s="25" t="s">
        <v>48</v>
      </c>
      <c r="C13" s="26" t="s">
        <v>65</v>
      </c>
      <c r="D13" s="26" t="s">
        <v>53</v>
      </c>
      <c r="E13" s="26" t="s">
        <v>201</v>
      </c>
      <c r="F13" s="26" t="s">
        <v>1068</v>
      </c>
      <c r="G13" s="27">
        <v>2333.12</v>
      </c>
      <c r="H13" s="27">
        <v>2333.12</v>
      </c>
      <c r="I13" s="27">
        <v>2333.12</v>
      </c>
      <c r="J13" s="80"/>
      <c r="K13" s="16">
        <f t="shared" si="0"/>
        <v>-2333.12</v>
      </c>
      <c r="L13" s="80"/>
      <c r="M13" s="16">
        <f t="shared" si="1"/>
        <v>-2333.12</v>
      </c>
      <c r="N13" s="80"/>
      <c r="O13" s="16">
        <f t="shared" si="2"/>
        <v>-2333.12</v>
      </c>
    </row>
    <row r="14" spans="1:15" s="4" customFormat="1" ht="38.25">
      <c r="A14" s="12" t="s">
        <v>939</v>
      </c>
      <c r="B14" s="25" t="s">
        <v>48</v>
      </c>
      <c r="C14" s="26" t="s">
        <v>65</v>
      </c>
      <c r="D14" s="26" t="s">
        <v>53</v>
      </c>
      <c r="E14" s="26" t="s">
        <v>201</v>
      </c>
      <c r="F14" s="26" t="s">
        <v>1060</v>
      </c>
      <c r="G14" s="27">
        <v>230.66</v>
      </c>
      <c r="H14" s="27">
        <v>230.66</v>
      </c>
      <c r="I14" s="27">
        <v>230.66</v>
      </c>
      <c r="J14" s="80"/>
      <c r="K14" s="16">
        <f t="shared" si="0"/>
        <v>-230.66</v>
      </c>
      <c r="L14" s="80"/>
      <c r="M14" s="16">
        <f t="shared" si="1"/>
        <v>-230.66</v>
      </c>
      <c r="N14" s="80"/>
      <c r="O14" s="16">
        <f t="shared" si="2"/>
        <v>-230.66</v>
      </c>
    </row>
    <row r="15" spans="1:15" s="3" customFormat="1" ht="25.5">
      <c r="A15" s="11" t="s">
        <v>108</v>
      </c>
      <c r="B15" s="25" t="s">
        <v>48</v>
      </c>
      <c r="C15" s="26" t="s">
        <v>65</v>
      </c>
      <c r="D15" s="26" t="s">
        <v>53</v>
      </c>
      <c r="E15" s="26" t="s">
        <v>201</v>
      </c>
      <c r="F15" s="26" t="s">
        <v>116</v>
      </c>
      <c r="G15" s="27">
        <f>G16</f>
        <v>6532.61</v>
      </c>
      <c r="H15" s="27">
        <f t="shared" ref="H15:I15" si="4">H16</f>
        <v>6534.6</v>
      </c>
      <c r="I15" s="27">
        <f t="shared" si="4"/>
        <v>6534.6</v>
      </c>
      <c r="J15" s="27">
        <f>6532.62-0.01</f>
        <v>6532.61</v>
      </c>
      <c r="K15" s="16">
        <f t="shared" si="0"/>
        <v>0</v>
      </c>
      <c r="L15" s="27">
        <f>6534.6</f>
        <v>6534.6</v>
      </c>
      <c r="M15" s="16">
        <f t="shared" si="1"/>
        <v>0</v>
      </c>
      <c r="N15" s="27">
        <f>6534.6</f>
        <v>6534.6</v>
      </c>
      <c r="O15" s="16">
        <f t="shared" si="2"/>
        <v>0</v>
      </c>
    </row>
    <row r="16" spans="1:15" s="4" customFormat="1" ht="25.5">
      <c r="A16" s="12" t="s">
        <v>973</v>
      </c>
      <c r="B16" s="25" t="s">
        <v>48</v>
      </c>
      <c r="C16" s="26" t="s">
        <v>65</v>
      </c>
      <c r="D16" s="26" t="s">
        <v>53</v>
      </c>
      <c r="E16" s="26" t="s">
        <v>201</v>
      </c>
      <c r="F16" s="26" t="s">
        <v>1043</v>
      </c>
      <c r="G16" s="27">
        <f>6532.62-0.01</f>
        <v>6532.61</v>
      </c>
      <c r="H16" s="27">
        <f>6534.6</f>
        <v>6534.6</v>
      </c>
      <c r="I16" s="27">
        <f>6534.6</f>
        <v>6534.6</v>
      </c>
      <c r="J16" s="80"/>
      <c r="K16" s="16">
        <f t="shared" si="0"/>
        <v>-6532.61</v>
      </c>
      <c r="L16" s="80"/>
      <c r="M16" s="16">
        <f t="shared" si="1"/>
        <v>-6534.6</v>
      </c>
      <c r="N16" s="80"/>
      <c r="O16" s="16">
        <f t="shared" si="2"/>
        <v>-6534.6</v>
      </c>
    </row>
    <row r="17" spans="1:15" s="3" customFormat="1">
      <c r="A17" s="11" t="s">
        <v>97</v>
      </c>
      <c r="B17" s="25" t="s">
        <v>48</v>
      </c>
      <c r="C17" s="26" t="s">
        <v>65</v>
      </c>
      <c r="D17" s="26" t="s">
        <v>53</v>
      </c>
      <c r="E17" s="26" t="s">
        <v>201</v>
      </c>
      <c r="F17" s="26" t="s">
        <v>118</v>
      </c>
      <c r="G17" s="27">
        <f>SUM(G18:G19)</f>
        <v>164.04000000000002</v>
      </c>
      <c r="H17" s="27">
        <f t="shared" ref="H17:I17" si="5">SUM(H18:H19)</f>
        <v>164.04000000000002</v>
      </c>
      <c r="I17" s="27">
        <f t="shared" si="5"/>
        <v>164.04000000000002</v>
      </c>
      <c r="J17" s="27">
        <f>78.37+85.67</f>
        <v>164.04000000000002</v>
      </c>
      <c r="K17" s="16">
        <f t="shared" si="0"/>
        <v>0</v>
      </c>
      <c r="L17" s="27">
        <f t="shared" ref="L17:N17" si="6">78.37+85.67</f>
        <v>164.04000000000002</v>
      </c>
      <c r="M17" s="16">
        <f t="shared" si="1"/>
        <v>0</v>
      </c>
      <c r="N17" s="27">
        <f t="shared" si="6"/>
        <v>164.04000000000002</v>
      </c>
      <c r="O17" s="16">
        <f t="shared" si="2"/>
        <v>0</v>
      </c>
    </row>
    <row r="18" spans="1:15" s="3" customFormat="1">
      <c r="A18" s="11" t="s">
        <v>1036</v>
      </c>
      <c r="B18" s="25" t="s">
        <v>48</v>
      </c>
      <c r="C18" s="26" t="s">
        <v>65</v>
      </c>
      <c r="D18" s="26" t="s">
        <v>53</v>
      </c>
      <c r="E18" s="26" t="s">
        <v>201</v>
      </c>
      <c r="F18" s="26" t="s">
        <v>1061</v>
      </c>
      <c r="G18" s="27">
        <v>78.37</v>
      </c>
      <c r="H18" s="27">
        <v>78.37</v>
      </c>
      <c r="I18" s="27">
        <v>78.37</v>
      </c>
      <c r="J18" s="27"/>
      <c r="K18" s="16">
        <f t="shared" si="0"/>
        <v>-78.37</v>
      </c>
      <c r="L18" s="27"/>
      <c r="M18" s="16">
        <f t="shared" si="1"/>
        <v>-78.37</v>
      </c>
      <c r="N18" s="27"/>
      <c r="O18" s="16">
        <f t="shared" si="2"/>
        <v>-78.37</v>
      </c>
    </row>
    <row r="19" spans="1:15" s="3" customFormat="1">
      <c r="A19" s="11" t="s">
        <v>1037</v>
      </c>
      <c r="B19" s="25" t="s">
        <v>48</v>
      </c>
      <c r="C19" s="26" t="s">
        <v>65</v>
      </c>
      <c r="D19" s="26" t="s">
        <v>53</v>
      </c>
      <c r="E19" s="26" t="s">
        <v>201</v>
      </c>
      <c r="F19" s="26" t="s">
        <v>1062</v>
      </c>
      <c r="G19" s="27">
        <v>85.67</v>
      </c>
      <c r="H19" s="27">
        <v>85.67</v>
      </c>
      <c r="I19" s="27">
        <v>85.67</v>
      </c>
      <c r="J19" s="27"/>
      <c r="K19" s="16">
        <f t="shared" si="0"/>
        <v>-85.67</v>
      </c>
      <c r="L19" s="27"/>
      <c r="M19" s="16">
        <f t="shared" si="1"/>
        <v>-85.67</v>
      </c>
      <c r="N19" s="27"/>
      <c r="O19" s="16">
        <f t="shared" si="2"/>
        <v>-85.67</v>
      </c>
    </row>
    <row r="20" spans="1:15" s="3" customFormat="1" ht="25.5">
      <c r="A20" s="11" t="s">
        <v>126</v>
      </c>
      <c r="B20" s="25" t="s">
        <v>48</v>
      </c>
      <c r="C20" s="26" t="s">
        <v>65</v>
      </c>
      <c r="D20" s="26" t="s">
        <v>53</v>
      </c>
      <c r="E20" s="26" t="s">
        <v>202</v>
      </c>
      <c r="F20" s="26" t="s">
        <v>58</v>
      </c>
      <c r="G20" s="27">
        <f>G21</f>
        <v>33280.019999999997</v>
      </c>
      <c r="H20" s="27">
        <f>H21</f>
        <v>33280.019999999997</v>
      </c>
      <c r="I20" s="27">
        <f>I21</f>
        <v>33280.019999999997</v>
      </c>
      <c r="J20" s="27">
        <f>J21</f>
        <v>33280.019999999997</v>
      </c>
      <c r="K20" s="16">
        <f t="shared" si="0"/>
        <v>0</v>
      </c>
      <c r="L20" s="27">
        <f>L21</f>
        <v>33280.019999999997</v>
      </c>
      <c r="M20" s="16">
        <f t="shared" si="1"/>
        <v>0</v>
      </c>
      <c r="N20" s="27">
        <f>N21</f>
        <v>33280.019999999997</v>
      </c>
      <c r="O20" s="16">
        <f t="shared" si="2"/>
        <v>0</v>
      </c>
    </row>
    <row r="21" spans="1:15" s="3" customFormat="1" ht="25.5">
      <c r="A21" s="11" t="s">
        <v>107</v>
      </c>
      <c r="B21" s="25" t="s">
        <v>48</v>
      </c>
      <c r="C21" s="26" t="s">
        <v>65</v>
      </c>
      <c r="D21" s="26" t="s">
        <v>53</v>
      </c>
      <c r="E21" s="26" t="s">
        <v>202</v>
      </c>
      <c r="F21" s="26" t="s">
        <v>115</v>
      </c>
      <c r="G21" s="27">
        <f>SUM(G22:G23)</f>
        <v>33280.019999999997</v>
      </c>
      <c r="H21" s="27">
        <f t="shared" ref="H21:I21" si="7">SUM(H22:H23)</f>
        <v>33280.019999999997</v>
      </c>
      <c r="I21" s="27">
        <f t="shared" si="7"/>
        <v>33280.019999999997</v>
      </c>
      <c r="J21" s="27">
        <f>25560.98+7719.41-0.37</f>
        <v>33280.019999999997</v>
      </c>
      <c r="K21" s="16">
        <f t="shared" si="0"/>
        <v>0</v>
      </c>
      <c r="L21" s="27">
        <f>25560.98+7719.41-0.37</f>
        <v>33280.019999999997</v>
      </c>
      <c r="M21" s="16">
        <f t="shared" si="1"/>
        <v>0</v>
      </c>
      <c r="N21" s="27">
        <f>25560.98+7719.41-0.37</f>
        <v>33280.019999999997</v>
      </c>
      <c r="O21" s="16">
        <f t="shared" si="2"/>
        <v>0</v>
      </c>
    </row>
    <row r="22" spans="1:15" s="3" customFormat="1">
      <c r="A22" s="11" t="s">
        <v>936</v>
      </c>
      <c r="B22" s="25" t="s">
        <v>48</v>
      </c>
      <c r="C22" s="26" t="s">
        <v>65</v>
      </c>
      <c r="D22" s="26" t="s">
        <v>53</v>
      </c>
      <c r="E22" s="26" t="s">
        <v>202</v>
      </c>
      <c r="F22" s="26" t="s">
        <v>1063</v>
      </c>
      <c r="G22" s="27">
        <f>25560.98-0.27</f>
        <v>25560.71</v>
      </c>
      <c r="H22" s="27">
        <f t="shared" ref="H22:I22" si="8">25560.98-0.27</f>
        <v>25560.71</v>
      </c>
      <c r="I22" s="27">
        <f t="shared" si="8"/>
        <v>25560.71</v>
      </c>
      <c r="J22" s="27"/>
      <c r="K22" s="16">
        <f t="shared" si="0"/>
        <v>-25560.71</v>
      </c>
      <c r="L22" s="27"/>
      <c r="M22" s="16">
        <f t="shared" si="1"/>
        <v>-25560.71</v>
      </c>
      <c r="N22" s="27"/>
      <c r="O22" s="16">
        <f t="shared" si="2"/>
        <v>-25560.71</v>
      </c>
    </row>
    <row r="23" spans="1:15" s="3" customFormat="1" ht="38.25">
      <c r="A23" s="11" t="s">
        <v>939</v>
      </c>
      <c r="B23" s="25" t="s">
        <v>48</v>
      </c>
      <c r="C23" s="26" t="s">
        <v>65</v>
      </c>
      <c r="D23" s="26" t="s">
        <v>53</v>
      </c>
      <c r="E23" s="26" t="s">
        <v>202</v>
      </c>
      <c r="F23" s="26" t="s">
        <v>1060</v>
      </c>
      <c r="G23" s="27">
        <f>7719.41-0.1</f>
        <v>7719.3099999999995</v>
      </c>
      <c r="H23" s="27">
        <f t="shared" ref="H23:I23" si="9">7719.41-0.1</f>
        <v>7719.3099999999995</v>
      </c>
      <c r="I23" s="27">
        <f t="shared" si="9"/>
        <v>7719.3099999999995</v>
      </c>
      <c r="J23" s="27"/>
      <c r="K23" s="16">
        <f t="shared" si="0"/>
        <v>-7719.3099999999995</v>
      </c>
      <c r="L23" s="27"/>
      <c r="M23" s="16">
        <f t="shared" si="1"/>
        <v>-7719.3099999999995</v>
      </c>
      <c r="N23" s="27"/>
      <c r="O23" s="16">
        <f t="shared" si="2"/>
        <v>-7719.3099999999995</v>
      </c>
    </row>
    <row r="24" spans="1:15" s="3" customFormat="1" ht="25.5">
      <c r="A24" s="11" t="s">
        <v>831</v>
      </c>
      <c r="B24" s="25" t="s">
        <v>48</v>
      </c>
      <c r="C24" s="26" t="s">
        <v>65</v>
      </c>
      <c r="D24" s="26" t="s">
        <v>53</v>
      </c>
      <c r="E24" s="26" t="s">
        <v>198</v>
      </c>
      <c r="F24" s="26" t="s">
        <v>58</v>
      </c>
      <c r="G24" s="27">
        <f>G29+G25</f>
        <v>1593.55</v>
      </c>
      <c r="H24" s="27">
        <f>H29+H25</f>
        <v>1593.55</v>
      </c>
      <c r="I24" s="27">
        <f>I29+I25</f>
        <v>1593.55</v>
      </c>
      <c r="J24" s="27">
        <f>J29+J25</f>
        <v>1593.55</v>
      </c>
      <c r="K24" s="16">
        <f t="shared" si="0"/>
        <v>0</v>
      </c>
      <c r="L24" s="27">
        <f>L29+L25</f>
        <v>1593.55</v>
      </c>
      <c r="M24" s="16">
        <f t="shared" si="1"/>
        <v>0</v>
      </c>
      <c r="N24" s="27">
        <f>N29+N25</f>
        <v>1593.55</v>
      </c>
      <c r="O24" s="16">
        <f t="shared" si="2"/>
        <v>0</v>
      </c>
    </row>
    <row r="25" spans="1:15" s="3" customFormat="1" ht="25.5">
      <c r="A25" s="11" t="s">
        <v>114</v>
      </c>
      <c r="B25" s="25" t="s">
        <v>48</v>
      </c>
      <c r="C25" s="26" t="s">
        <v>65</v>
      </c>
      <c r="D25" s="26" t="s">
        <v>53</v>
      </c>
      <c r="E25" s="26" t="s">
        <v>628</v>
      </c>
      <c r="F25" s="26" t="s">
        <v>58</v>
      </c>
      <c r="G25" s="27">
        <f>G26</f>
        <v>41.55</v>
      </c>
      <c r="H25" s="27">
        <f>H26</f>
        <v>41.55</v>
      </c>
      <c r="I25" s="27">
        <f>I26</f>
        <v>41.55</v>
      </c>
      <c r="J25" s="27">
        <f>J26</f>
        <v>41.55</v>
      </c>
      <c r="K25" s="16">
        <f t="shared" si="0"/>
        <v>0</v>
      </c>
      <c r="L25" s="27">
        <f>L26</f>
        <v>41.55</v>
      </c>
      <c r="M25" s="16">
        <f t="shared" si="1"/>
        <v>0</v>
      </c>
      <c r="N25" s="27">
        <f>N26</f>
        <v>41.55</v>
      </c>
      <c r="O25" s="16">
        <f t="shared" si="2"/>
        <v>0</v>
      </c>
    </row>
    <row r="26" spans="1:15" s="3" customFormat="1" ht="25.5">
      <c r="A26" s="11" t="s">
        <v>107</v>
      </c>
      <c r="B26" s="25" t="s">
        <v>48</v>
      </c>
      <c r="C26" s="26" t="s">
        <v>65</v>
      </c>
      <c r="D26" s="26" t="s">
        <v>53</v>
      </c>
      <c r="E26" s="26" t="s">
        <v>628</v>
      </c>
      <c r="F26" s="26" t="s">
        <v>115</v>
      </c>
      <c r="G26" s="27">
        <f>SUM(G27:G28)</f>
        <v>41.55</v>
      </c>
      <c r="H26" s="27">
        <f t="shared" ref="H26:I26" si="10">SUM(H27:H28)</f>
        <v>41.55</v>
      </c>
      <c r="I26" s="27">
        <f t="shared" si="10"/>
        <v>41.55</v>
      </c>
      <c r="J26" s="27">
        <f>31.91+9.64</f>
        <v>41.55</v>
      </c>
      <c r="K26" s="16">
        <f t="shared" si="0"/>
        <v>0</v>
      </c>
      <c r="L26" s="27">
        <f t="shared" ref="L26:N26" si="11">31.91+9.64</f>
        <v>41.55</v>
      </c>
      <c r="M26" s="16">
        <f t="shared" si="1"/>
        <v>0</v>
      </c>
      <c r="N26" s="27">
        <f t="shared" si="11"/>
        <v>41.55</v>
      </c>
      <c r="O26" s="16">
        <f t="shared" si="2"/>
        <v>0</v>
      </c>
    </row>
    <row r="27" spans="1:15" s="3" customFormat="1" ht="25.5">
      <c r="A27" s="11" t="s">
        <v>937</v>
      </c>
      <c r="B27" s="25" t="s">
        <v>48</v>
      </c>
      <c r="C27" s="26" t="s">
        <v>65</v>
      </c>
      <c r="D27" s="26" t="s">
        <v>53</v>
      </c>
      <c r="E27" s="26" t="s">
        <v>628</v>
      </c>
      <c r="F27" s="26" t="s">
        <v>1059</v>
      </c>
      <c r="G27" s="27">
        <v>31.91</v>
      </c>
      <c r="H27" s="27">
        <v>31.91</v>
      </c>
      <c r="I27" s="27">
        <v>31.91</v>
      </c>
      <c r="J27" s="27"/>
      <c r="K27" s="16">
        <f t="shared" si="0"/>
        <v>-31.91</v>
      </c>
      <c r="L27" s="27"/>
      <c r="M27" s="16">
        <f t="shared" si="1"/>
        <v>-31.91</v>
      </c>
      <c r="N27" s="27"/>
      <c r="O27" s="16">
        <f t="shared" si="2"/>
        <v>-31.91</v>
      </c>
    </row>
    <row r="28" spans="1:15" s="3" customFormat="1" ht="38.25">
      <c r="A28" s="11" t="s">
        <v>939</v>
      </c>
      <c r="B28" s="25" t="s">
        <v>48</v>
      </c>
      <c r="C28" s="26" t="s">
        <v>65</v>
      </c>
      <c r="D28" s="26" t="s">
        <v>53</v>
      </c>
      <c r="E28" s="26" t="s">
        <v>628</v>
      </c>
      <c r="F28" s="26" t="s">
        <v>1060</v>
      </c>
      <c r="G28" s="27">
        <v>9.64</v>
      </c>
      <c r="H28" s="27">
        <v>9.64</v>
      </c>
      <c r="I28" s="27">
        <v>9.64</v>
      </c>
      <c r="J28" s="27"/>
      <c r="K28" s="16">
        <f t="shared" si="0"/>
        <v>-9.64</v>
      </c>
      <c r="L28" s="27"/>
      <c r="M28" s="16">
        <f t="shared" si="1"/>
        <v>-9.64</v>
      </c>
      <c r="N28" s="27"/>
      <c r="O28" s="16">
        <f t="shared" si="2"/>
        <v>-9.64</v>
      </c>
    </row>
    <row r="29" spans="1:15" s="3" customFormat="1" ht="25.5">
      <c r="A29" s="11" t="s">
        <v>126</v>
      </c>
      <c r="B29" s="25" t="s">
        <v>48</v>
      </c>
      <c r="C29" s="26" t="s">
        <v>65</v>
      </c>
      <c r="D29" s="26" t="s">
        <v>53</v>
      </c>
      <c r="E29" s="26" t="s">
        <v>199</v>
      </c>
      <c r="F29" s="26" t="s">
        <v>58</v>
      </c>
      <c r="G29" s="27">
        <f>G30</f>
        <v>1552</v>
      </c>
      <c r="H29" s="27">
        <f>H30</f>
        <v>1552</v>
      </c>
      <c r="I29" s="27">
        <f>I30</f>
        <v>1552</v>
      </c>
      <c r="J29" s="27">
        <f>J30</f>
        <v>1552</v>
      </c>
      <c r="K29" s="16">
        <f t="shared" si="0"/>
        <v>0</v>
      </c>
      <c r="L29" s="27">
        <f>L30</f>
        <v>1552</v>
      </c>
      <c r="M29" s="16">
        <f t="shared" si="1"/>
        <v>0</v>
      </c>
      <c r="N29" s="27">
        <f>N30</f>
        <v>1552</v>
      </c>
      <c r="O29" s="16">
        <f t="shared" si="2"/>
        <v>0</v>
      </c>
    </row>
    <row r="30" spans="1:15" s="3" customFormat="1" ht="25.5">
      <c r="A30" s="11" t="s">
        <v>107</v>
      </c>
      <c r="B30" s="25" t="s">
        <v>48</v>
      </c>
      <c r="C30" s="26" t="s">
        <v>65</v>
      </c>
      <c r="D30" s="26" t="s">
        <v>53</v>
      </c>
      <c r="E30" s="26" t="s">
        <v>199</v>
      </c>
      <c r="F30" s="26" t="s">
        <v>115</v>
      </c>
      <c r="G30" s="27">
        <f>SUM(G31:G32)</f>
        <v>1552</v>
      </c>
      <c r="H30" s="27">
        <f t="shared" ref="H30:I30" si="12">SUM(H31:H32)</f>
        <v>1552</v>
      </c>
      <c r="I30" s="27">
        <f t="shared" si="12"/>
        <v>1552</v>
      </c>
      <c r="J30" s="27">
        <f>1191.73+359.9+0.37</f>
        <v>1552</v>
      </c>
      <c r="K30" s="16">
        <f t="shared" si="0"/>
        <v>0</v>
      </c>
      <c r="L30" s="27">
        <f>1191.73+359.9+0.37</f>
        <v>1552</v>
      </c>
      <c r="M30" s="16">
        <f t="shared" si="1"/>
        <v>0</v>
      </c>
      <c r="N30" s="27">
        <f>1191.73+359.9+0.37</f>
        <v>1552</v>
      </c>
      <c r="O30" s="16">
        <f t="shared" si="2"/>
        <v>0</v>
      </c>
    </row>
    <row r="31" spans="1:15" s="3" customFormat="1">
      <c r="A31" s="11" t="s">
        <v>936</v>
      </c>
      <c r="B31" s="25" t="s">
        <v>48</v>
      </c>
      <c r="C31" s="26" t="s">
        <v>65</v>
      </c>
      <c r="D31" s="26" t="s">
        <v>53</v>
      </c>
      <c r="E31" s="26" t="s">
        <v>199</v>
      </c>
      <c r="F31" s="26" t="s">
        <v>1063</v>
      </c>
      <c r="G31" s="27">
        <v>1192</v>
      </c>
      <c r="H31" s="27">
        <v>1192</v>
      </c>
      <c r="I31" s="27">
        <v>1192</v>
      </c>
      <c r="J31" s="27"/>
      <c r="K31" s="16">
        <f t="shared" si="0"/>
        <v>-1192</v>
      </c>
      <c r="L31" s="27"/>
      <c r="M31" s="16">
        <f t="shared" si="1"/>
        <v>-1192</v>
      </c>
      <c r="N31" s="27"/>
      <c r="O31" s="16">
        <f t="shared" si="2"/>
        <v>-1192</v>
      </c>
    </row>
    <row r="32" spans="1:15" s="3" customFormat="1" ht="38.25">
      <c r="A32" s="11" t="s">
        <v>939</v>
      </c>
      <c r="B32" s="25" t="s">
        <v>48</v>
      </c>
      <c r="C32" s="26" t="s">
        <v>65</v>
      </c>
      <c r="D32" s="26" t="s">
        <v>53</v>
      </c>
      <c r="E32" s="26" t="s">
        <v>199</v>
      </c>
      <c r="F32" s="26" t="s">
        <v>1060</v>
      </c>
      <c r="G32" s="27">
        <v>360</v>
      </c>
      <c r="H32" s="27">
        <v>360</v>
      </c>
      <c r="I32" s="27">
        <v>360</v>
      </c>
      <c r="J32" s="27"/>
      <c r="K32" s="16">
        <f t="shared" si="0"/>
        <v>-360</v>
      </c>
      <c r="L32" s="27"/>
      <c r="M32" s="16">
        <f t="shared" si="1"/>
        <v>-360</v>
      </c>
      <c r="N32" s="27"/>
      <c r="O32" s="16">
        <f t="shared" si="2"/>
        <v>-360</v>
      </c>
    </row>
    <row r="33" spans="1:15" s="3" customFormat="1">
      <c r="A33" s="11" t="s">
        <v>28</v>
      </c>
      <c r="B33" s="25" t="s">
        <v>48</v>
      </c>
      <c r="C33" s="26" t="s">
        <v>65</v>
      </c>
      <c r="D33" s="26" t="s">
        <v>53</v>
      </c>
      <c r="E33" s="26" t="s">
        <v>203</v>
      </c>
      <c r="F33" s="26" t="s">
        <v>58</v>
      </c>
      <c r="G33" s="27">
        <f>G38+G34</f>
        <v>2108.27</v>
      </c>
      <c r="H33" s="27">
        <f>H38+H34</f>
        <v>2108.27</v>
      </c>
      <c r="I33" s="27">
        <f>I38+I34</f>
        <v>2108.27</v>
      </c>
      <c r="J33" s="27">
        <f>J38+J34</f>
        <v>2108.27</v>
      </c>
      <c r="K33" s="16">
        <f t="shared" si="0"/>
        <v>0</v>
      </c>
      <c r="L33" s="27">
        <f>L38+L34</f>
        <v>2108.27</v>
      </c>
      <c r="M33" s="16">
        <f t="shared" si="1"/>
        <v>0</v>
      </c>
      <c r="N33" s="27">
        <f>N38+N34</f>
        <v>2108.27</v>
      </c>
      <c r="O33" s="16">
        <f t="shared" si="2"/>
        <v>0</v>
      </c>
    </row>
    <row r="34" spans="1:15" s="3" customFormat="1" ht="25.5">
      <c r="A34" s="11" t="s">
        <v>114</v>
      </c>
      <c r="B34" s="25" t="s">
        <v>48</v>
      </c>
      <c r="C34" s="26" t="s">
        <v>65</v>
      </c>
      <c r="D34" s="26" t="s">
        <v>53</v>
      </c>
      <c r="E34" s="26" t="s">
        <v>643</v>
      </c>
      <c r="F34" s="26" t="s">
        <v>58</v>
      </c>
      <c r="G34" s="27">
        <f>G35</f>
        <v>83.11</v>
      </c>
      <c r="H34" s="27">
        <f>H35</f>
        <v>83.11</v>
      </c>
      <c r="I34" s="27">
        <f>I35</f>
        <v>83.11</v>
      </c>
      <c r="J34" s="27">
        <f>J35</f>
        <v>83.11</v>
      </c>
      <c r="K34" s="16">
        <f t="shared" si="0"/>
        <v>0</v>
      </c>
      <c r="L34" s="27">
        <f>L35</f>
        <v>83.11</v>
      </c>
      <c r="M34" s="16">
        <f t="shared" si="1"/>
        <v>0</v>
      </c>
      <c r="N34" s="27">
        <f>N35</f>
        <v>83.11</v>
      </c>
      <c r="O34" s="16">
        <f t="shared" si="2"/>
        <v>0</v>
      </c>
    </row>
    <row r="35" spans="1:15" s="3" customFormat="1" ht="25.5">
      <c r="A35" s="11" t="s">
        <v>107</v>
      </c>
      <c r="B35" s="25" t="s">
        <v>48</v>
      </c>
      <c r="C35" s="26" t="s">
        <v>65</v>
      </c>
      <c r="D35" s="26" t="s">
        <v>53</v>
      </c>
      <c r="E35" s="26" t="s">
        <v>643</v>
      </c>
      <c r="F35" s="26" t="s">
        <v>115</v>
      </c>
      <c r="G35" s="27">
        <f>SUM(G36:G37)</f>
        <v>83.11</v>
      </c>
      <c r="H35" s="27">
        <f t="shared" ref="H35:I35" si="13">SUM(H36:H37)</f>
        <v>83.11</v>
      </c>
      <c r="I35" s="27">
        <f t="shared" si="13"/>
        <v>83.11</v>
      </c>
      <c r="J35" s="27">
        <f>63.83+19.28</f>
        <v>83.11</v>
      </c>
      <c r="K35" s="16">
        <f t="shared" si="0"/>
        <v>0</v>
      </c>
      <c r="L35" s="27">
        <f t="shared" ref="L35:N35" si="14">63.83+19.28</f>
        <v>83.11</v>
      </c>
      <c r="M35" s="16">
        <f t="shared" si="1"/>
        <v>0</v>
      </c>
      <c r="N35" s="27">
        <f t="shared" si="14"/>
        <v>83.11</v>
      </c>
      <c r="O35" s="16">
        <f t="shared" si="2"/>
        <v>0</v>
      </c>
    </row>
    <row r="36" spans="1:15" s="3" customFormat="1" ht="25.5">
      <c r="A36" s="11" t="s">
        <v>937</v>
      </c>
      <c r="B36" s="25" t="s">
        <v>48</v>
      </c>
      <c r="C36" s="26" t="s">
        <v>65</v>
      </c>
      <c r="D36" s="26" t="s">
        <v>53</v>
      </c>
      <c r="E36" s="26" t="s">
        <v>643</v>
      </c>
      <c r="F36" s="26" t="s">
        <v>1059</v>
      </c>
      <c r="G36" s="27">
        <v>63.83</v>
      </c>
      <c r="H36" s="27">
        <v>63.83</v>
      </c>
      <c r="I36" s="27">
        <v>63.83</v>
      </c>
      <c r="J36" s="27"/>
      <c r="K36" s="16">
        <f t="shared" si="0"/>
        <v>-63.83</v>
      </c>
      <c r="L36" s="27"/>
      <c r="M36" s="16">
        <f t="shared" si="1"/>
        <v>-63.83</v>
      </c>
      <c r="N36" s="27"/>
      <c r="O36" s="16">
        <f t="shared" si="2"/>
        <v>-63.83</v>
      </c>
    </row>
    <row r="37" spans="1:15" s="3" customFormat="1" ht="38.25">
      <c r="A37" s="11" t="s">
        <v>939</v>
      </c>
      <c r="B37" s="25" t="s">
        <v>48</v>
      </c>
      <c r="C37" s="26" t="s">
        <v>65</v>
      </c>
      <c r="D37" s="26" t="s">
        <v>53</v>
      </c>
      <c r="E37" s="26" t="s">
        <v>643</v>
      </c>
      <c r="F37" s="26" t="s">
        <v>1060</v>
      </c>
      <c r="G37" s="27">
        <v>19.28</v>
      </c>
      <c r="H37" s="27">
        <v>19.28</v>
      </c>
      <c r="I37" s="27">
        <v>19.28</v>
      </c>
      <c r="J37" s="27"/>
      <c r="K37" s="16">
        <f t="shared" si="0"/>
        <v>-19.28</v>
      </c>
      <c r="L37" s="27"/>
      <c r="M37" s="16">
        <f t="shared" si="1"/>
        <v>-19.28</v>
      </c>
      <c r="N37" s="27"/>
      <c r="O37" s="16">
        <f t="shared" si="2"/>
        <v>-19.28</v>
      </c>
    </row>
    <row r="38" spans="1:15" s="3" customFormat="1" ht="25.5">
      <c r="A38" s="11" t="s">
        <v>126</v>
      </c>
      <c r="B38" s="25" t="s">
        <v>48</v>
      </c>
      <c r="C38" s="26" t="s">
        <v>65</v>
      </c>
      <c r="D38" s="26" t="s">
        <v>53</v>
      </c>
      <c r="E38" s="26" t="s">
        <v>204</v>
      </c>
      <c r="F38" s="26" t="s">
        <v>58</v>
      </c>
      <c r="G38" s="27">
        <f>G39</f>
        <v>2025.16</v>
      </c>
      <c r="H38" s="27">
        <f>H39</f>
        <v>2025.16</v>
      </c>
      <c r="I38" s="27">
        <f>I39</f>
        <v>2025.16</v>
      </c>
      <c r="J38" s="27">
        <f>J39</f>
        <v>2025.16</v>
      </c>
      <c r="K38" s="16">
        <f t="shared" si="0"/>
        <v>0</v>
      </c>
      <c r="L38" s="27">
        <f>L39</f>
        <v>2025.16</v>
      </c>
      <c r="M38" s="16">
        <f t="shared" si="1"/>
        <v>0</v>
      </c>
      <c r="N38" s="27">
        <f>N39</f>
        <v>2025.16</v>
      </c>
      <c r="O38" s="16">
        <f t="shared" si="2"/>
        <v>0</v>
      </c>
    </row>
    <row r="39" spans="1:15" s="3" customFormat="1" ht="25.5">
      <c r="A39" s="11" t="s">
        <v>107</v>
      </c>
      <c r="B39" s="25" t="s">
        <v>48</v>
      </c>
      <c r="C39" s="26" t="s">
        <v>65</v>
      </c>
      <c r="D39" s="26" t="s">
        <v>53</v>
      </c>
      <c r="E39" s="26" t="s">
        <v>204</v>
      </c>
      <c r="F39" s="26" t="s">
        <v>115</v>
      </c>
      <c r="G39" s="27">
        <f>SUM(G40:G41)</f>
        <v>2025.16</v>
      </c>
      <c r="H39" s="27">
        <f t="shared" ref="H39:I39" si="15">SUM(H40:H41)</f>
        <v>2025.16</v>
      </c>
      <c r="I39" s="27">
        <f t="shared" si="15"/>
        <v>2025.16</v>
      </c>
      <c r="J39" s="27">
        <f>1555.42+469.74</f>
        <v>2025.16</v>
      </c>
      <c r="K39" s="16">
        <f t="shared" si="0"/>
        <v>0</v>
      </c>
      <c r="L39" s="27">
        <f t="shared" ref="L39:N39" si="16">1555.42+469.74</f>
        <v>2025.16</v>
      </c>
      <c r="M39" s="16">
        <f t="shared" si="1"/>
        <v>0</v>
      </c>
      <c r="N39" s="27">
        <f t="shared" si="16"/>
        <v>2025.16</v>
      </c>
      <c r="O39" s="16">
        <f t="shared" si="2"/>
        <v>0</v>
      </c>
    </row>
    <row r="40" spans="1:15" s="3" customFormat="1">
      <c r="A40" s="11" t="s">
        <v>936</v>
      </c>
      <c r="B40" s="25" t="s">
        <v>48</v>
      </c>
      <c r="C40" s="26" t="s">
        <v>65</v>
      </c>
      <c r="D40" s="26" t="s">
        <v>53</v>
      </c>
      <c r="E40" s="26" t="s">
        <v>204</v>
      </c>
      <c r="F40" s="26" t="s">
        <v>1063</v>
      </c>
      <c r="G40" s="27">
        <v>1555.42</v>
      </c>
      <c r="H40" s="27">
        <v>1555.42</v>
      </c>
      <c r="I40" s="27">
        <v>1555.42</v>
      </c>
      <c r="J40" s="27"/>
      <c r="K40" s="16">
        <f t="shared" si="0"/>
        <v>-1555.42</v>
      </c>
      <c r="L40" s="27"/>
      <c r="M40" s="16">
        <f t="shared" si="1"/>
        <v>-1555.42</v>
      </c>
      <c r="N40" s="27"/>
      <c r="O40" s="16">
        <f t="shared" si="2"/>
        <v>-1555.42</v>
      </c>
    </row>
    <row r="41" spans="1:15" s="3" customFormat="1" ht="38.25">
      <c r="A41" s="11" t="s">
        <v>939</v>
      </c>
      <c r="B41" s="25" t="s">
        <v>48</v>
      </c>
      <c r="C41" s="26" t="s">
        <v>65</v>
      </c>
      <c r="D41" s="26" t="s">
        <v>53</v>
      </c>
      <c r="E41" s="26" t="s">
        <v>204</v>
      </c>
      <c r="F41" s="26" t="s">
        <v>1060</v>
      </c>
      <c r="G41" s="27">
        <v>469.74</v>
      </c>
      <c r="H41" s="27">
        <v>469.74</v>
      </c>
      <c r="I41" s="27">
        <v>469.74</v>
      </c>
      <c r="J41" s="27"/>
      <c r="K41" s="16">
        <f t="shared" si="0"/>
        <v>-469.74</v>
      </c>
      <c r="L41" s="27"/>
      <c r="M41" s="16">
        <f t="shared" si="1"/>
        <v>-469.74</v>
      </c>
      <c r="N41" s="27"/>
      <c r="O41" s="16">
        <f t="shared" si="2"/>
        <v>-469.74</v>
      </c>
    </row>
    <row r="42" spans="1:15" s="3" customFormat="1">
      <c r="A42" s="21" t="s">
        <v>38</v>
      </c>
      <c r="B42" s="22" t="s">
        <v>48</v>
      </c>
      <c r="C42" s="23" t="s">
        <v>65</v>
      </c>
      <c r="D42" s="23" t="s">
        <v>84</v>
      </c>
      <c r="E42" s="23" t="s">
        <v>196</v>
      </c>
      <c r="F42" s="23" t="s">
        <v>58</v>
      </c>
      <c r="G42" s="24">
        <f t="shared" ref="G42:N44" si="17">G43</f>
        <v>500</v>
      </c>
      <c r="H42" s="24">
        <f t="shared" si="17"/>
        <v>500</v>
      </c>
      <c r="I42" s="24">
        <f t="shared" si="17"/>
        <v>500</v>
      </c>
      <c r="J42" s="24">
        <f t="shared" si="17"/>
        <v>500</v>
      </c>
      <c r="K42" s="16">
        <f t="shared" si="0"/>
        <v>0</v>
      </c>
      <c r="L42" s="24">
        <f t="shared" si="17"/>
        <v>500</v>
      </c>
      <c r="M42" s="16">
        <f t="shared" si="1"/>
        <v>0</v>
      </c>
      <c r="N42" s="24">
        <f t="shared" si="17"/>
        <v>500</v>
      </c>
      <c r="O42" s="16">
        <f t="shared" si="2"/>
        <v>0</v>
      </c>
    </row>
    <row r="43" spans="1:15" s="3" customFormat="1">
      <c r="A43" s="11" t="s">
        <v>124</v>
      </c>
      <c r="B43" s="25" t="s">
        <v>48</v>
      </c>
      <c r="C43" s="26" t="s">
        <v>65</v>
      </c>
      <c r="D43" s="26" t="s">
        <v>84</v>
      </c>
      <c r="E43" s="26" t="s">
        <v>197</v>
      </c>
      <c r="F43" s="26" t="s">
        <v>58</v>
      </c>
      <c r="G43" s="27">
        <f>G44</f>
        <v>500</v>
      </c>
      <c r="H43" s="27">
        <f t="shared" si="17"/>
        <v>500</v>
      </c>
      <c r="I43" s="27">
        <f t="shared" si="17"/>
        <v>500</v>
      </c>
      <c r="J43" s="27">
        <f>J44</f>
        <v>500</v>
      </c>
      <c r="K43" s="16">
        <f t="shared" si="0"/>
        <v>0</v>
      </c>
      <c r="L43" s="27">
        <f t="shared" si="17"/>
        <v>500</v>
      </c>
      <c r="M43" s="16">
        <f t="shared" si="1"/>
        <v>0</v>
      </c>
      <c r="N43" s="27">
        <f t="shared" si="17"/>
        <v>500</v>
      </c>
      <c r="O43" s="16">
        <f t="shared" si="2"/>
        <v>0</v>
      </c>
    </row>
    <row r="44" spans="1:15" s="3" customFormat="1">
      <c r="A44" s="11" t="s">
        <v>175</v>
      </c>
      <c r="B44" s="25" t="s">
        <v>48</v>
      </c>
      <c r="C44" s="26" t="s">
        <v>65</v>
      </c>
      <c r="D44" s="26" t="s">
        <v>84</v>
      </c>
      <c r="E44" s="26" t="s">
        <v>205</v>
      </c>
      <c r="F44" s="26" t="s">
        <v>58</v>
      </c>
      <c r="G44" s="27">
        <f>G45</f>
        <v>500</v>
      </c>
      <c r="H44" s="27">
        <f t="shared" ref="H44:I44" si="18">H45</f>
        <v>500</v>
      </c>
      <c r="I44" s="27">
        <f t="shared" si="18"/>
        <v>500</v>
      </c>
      <c r="J44" s="27">
        <f>J45</f>
        <v>500</v>
      </c>
      <c r="K44" s="16">
        <f t="shared" si="0"/>
        <v>0</v>
      </c>
      <c r="L44" s="27">
        <f t="shared" si="17"/>
        <v>500</v>
      </c>
      <c r="M44" s="16">
        <f t="shared" si="1"/>
        <v>0</v>
      </c>
      <c r="N44" s="27">
        <f t="shared" si="17"/>
        <v>500</v>
      </c>
      <c r="O44" s="16">
        <f t="shared" si="2"/>
        <v>0</v>
      </c>
    </row>
    <row r="45" spans="1:15" s="3" customFormat="1" ht="63.75">
      <c r="A45" s="34" t="s">
        <v>846</v>
      </c>
      <c r="B45" s="25" t="s">
        <v>48</v>
      </c>
      <c r="C45" s="26" t="s">
        <v>65</v>
      </c>
      <c r="D45" s="26" t="s">
        <v>84</v>
      </c>
      <c r="E45" s="26" t="s">
        <v>832</v>
      </c>
      <c r="F45" s="26" t="s">
        <v>58</v>
      </c>
      <c r="G45" s="27">
        <f t="shared" ref="G45:N46" si="19">G46</f>
        <v>500</v>
      </c>
      <c r="H45" s="27">
        <f t="shared" si="19"/>
        <v>500</v>
      </c>
      <c r="I45" s="27">
        <f t="shared" si="19"/>
        <v>500</v>
      </c>
      <c r="J45" s="27">
        <f t="shared" si="19"/>
        <v>500</v>
      </c>
      <c r="K45" s="16">
        <f t="shared" si="0"/>
        <v>0</v>
      </c>
      <c r="L45" s="27">
        <f t="shared" si="19"/>
        <v>500</v>
      </c>
      <c r="M45" s="16">
        <f t="shared" si="1"/>
        <v>0</v>
      </c>
      <c r="N45" s="27">
        <f t="shared" si="19"/>
        <v>500</v>
      </c>
      <c r="O45" s="16">
        <f t="shared" si="2"/>
        <v>0</v>
      </c>
    </row>
    <row r="46" spans="1:15" s="3" customFormat="1" ht="25.5">
      <c r="A46" s="11" t="s">
        <v>108</v>
      </c>
      <c r="B46" s="25" t="s">
        <v>48</v>
      </c>
      <c r="C46" s="26" t="s">
        <v>65</v>
      </c>
      <c r="D46" s="26" t="s">
        <v>84</v>
      </c>
      <c r="E46" s="26" t="s">
        <v>832</v>
      </c>
      <c r="F46" s="26" t="s">
        <v>116</v>
      </c>
      <c r="G46" s="27">
        <f>G47</f>
        <v>500</v>
      </c>
      <c r="H46" s="27">
        <f t="shared" si="19"/>
        <v>500</v>
      </c>
      <c r="I46" s="27">
        <f t="shared" si="19"/>
        <v>500</v>
      </c>
      <c r="J46" s="27">
        <f>500</f>
        <v>500</v>
      </c>
      <c r="K46" s="16">
        <f t="shared" si="0"/>
        <v>0</v>
      </c>
      <c r="L46" s="27">
        <f>500</f>
        <v>500</v>
      </c>
      <c r="M46" s="16">
        <f t="shared" si="1"/>
        <v>0</v>
      </c>
      <c r="N46" s="27">
        <f>500</f>
        <v>500</v>
      </c>
      <c r="O46" s="16">
        <f t="shared" si="2"/>
        <v>0</v>
      </c>
    </row>
    <row r="47" spans="1:15" s="4" customFormat="1" ht="25.5">
      <c r="A47" s="12" t="s">
        <v>973</v>
      </c>
      <c r="B47" s="25" t="s">
        <v>48</v>
      </c>
      <c r="C47" s="26" t="s">
        <v>65</v>
      </c>
      <c r="D47" s="26" t="s">
        <v>84</v>
      </c>
      <c r="E47" s="26" t="s">
        <v>832</v>
      </c>
      <c r="F47" s="26" t="s">
        <v>1043</v>
      </c>
      <c r="G47" s="27">
        <f>500</f>
        <v>500</v>
      </c>
      <c r="H47" s="27">
        <f>500</f>
        <v>500</v>
      </c>
      <c r="I47" s="27">
        <f>500</f>
        <v>500</v>
      </c>
      <c r="J47" s="80"/>
      <c r="K47" s="16">
        <f t="shared" si="0"/>
        <v>-500</v>
      </c>
      <c r="L47" s="80"/>
      <c r="M47" s="16">
        <f t="shared" si="1"/>
        <v>-500</v>
      </c>
      <c r="N47" s="80"/>
      <c r="O47" s="16">
        <f t="shared" si="2"/>
        <v>-500</v>
      </c>
    </row>
    <row r="48" spans="1:15" s="2" customFormat="1">
      <c r="A48" s="17" t="s">
        <v>77</v>
      </c>
      <c r="B48" s="18" t="s">
        <v>48</v>
      </c>
      <c r="C48" s="19" t="s">
        <v>40</v>
      </c>
      <c r="D48" s="19" t="s">
        <v>51</v>
      </c>
      <c r="E48" s="19" t="s">
        <v>196</v>
      </c>
      <c r="F48" s="19" t="s">
        <v>58</v>
      </c>
      <c r="G48" s="20">
        <f>G55+G49</f>
        <v>7090.5</v>
      </c>
      <c r="H48" s="20">
        <f t="shared" ref="H48:I48" si="20">H55+H49</f>
        <v>7090.5</v>
      </c>
      <c r="I48" s="20">
        <f t="shared" si="20"/>
        <v>7090.5</v>
      </c>
      <c r="J48" s="20">
        <f>J55+J49</f>
        <v>7090.5</v>
      </c>
      <c r="K48" s="16">
        <f t="shared" si="0"/>
        <v>0</v>
      </c>
      <c r="L48" s="20">
        <f t="shared" ref="L48:N48" si="21">L55+L49</f>
        <v>7090.5</v>
      </c>
      <c r="M48" s="16">
        <f t="shared" si="1"/>
        <v>0</v>
      </c>
      <c r="N48" s="20">
        <f t="shared" si="21"/>
        <v>7090.5</v>
      </c>
      <c r="O48" s="16">
        <f t="shared" si="2"/>
        <v>0</v>
      </c>
    </row>
    <row r="49" spans="1:15" s="2" customFormat="1">
      <c r="A49" s="21" t="s">
        <v>906</v>
      </c>
      <c r="B49" s="22" t="s">
        <v>48</v>
      </c>
      <c r="C49" s="23" t="s">
        <v>40</v>
      </c>
      <c r="D49" s="23" t="s">
        <v>65</v>
      </c>
      <c r="E49" s="23" t="s">
        <v>196</v>
      </c>
      <c r="F49" s="23" t="s">
        <v>58</v>
      </c>
      <c r="G49" s="24">
        <f>G50</f>
        <v>5900.5</v>
      </c>
      <c r="H49" s="24">
        <f t="shared" ref="H49:N50" si="22">H50</f>
        <v>5900.5</v>
      </c>
      <c r="I49" s="24">
        <f t="shared" si="22"/>
        <v>5900.5</v>
      </c>
      <c r="J49" s="24">
        <f>J50</f>
        <v>5900.5</v>
      </c>
      <c r="K49" s="16">
        <f t="shared" si="0"/>
        <v>0</v>
      </c>
      <c r="L49" s="24">
        <f t="shared" si="22"/>
        <v>5900.5</v>
      </c>
      <c r="M49" s="16">
        <f t="shared" si="1"/>
        <v>0</v>
      </c>
      <c r="N49" s="24">
        <f t="shared" si="22"/>
        <v>5900.5</v>
      </c>
      <c r="O49" s="16">
        <f t="shared" si="2"/>
        <v>0</v>
      </c>
    </row>
    <row r="50" spans="1:15" s="3" customFormat="1">
      <c r="A50" s="11" t="s">
        <v>124</v>
      </c>
      <c r="B50" s="25" t="s">
        <v>48</v>
      </c>
      <c r="C50" s="26" t="s">
        <v>40</v>
      </c>
      <c r="D50" s="26" t="s">
        <v>65</v>
      </c>
      <c r="E50" s="26" t="s">
        <v>197</v>
      </c>
      <c r="F50" s="26" t="s">
        <v>58</v>
      </c>
      <c r="G50" s="27">
        <f>G51</f>
        <v>5900.5</v>
      </c>
      <c r="H50" s="27">
        <f t="shared" si="22"/>
        <v>5900.5</v>
      </c>
      <c r="I50" s="27">
        <f t="shared" si="22"/>
        <v>5900.5</v>
      </c>
      <c r="J50" s="27">
        <f>J51</f>
        <v>5900.5</v>
      </c>
      <c r="K50" s="16">
        <f t="shared" si="0"/>
        <v>0</v>
      </c>
      <c r="L50" s="27">
        <f t="shared" si="22"/>
        <v>5900.5</v>
      </c>
      <c r="M50" s="16">
        <f t="shared" si="1"/>
        <v>0</v>
      </c>
      <c r="N50" s="27">
        <f t="shared" si="22"/>
        <v>5900.5</v>
      </c>
      <c r="O50" s="16">
        <f t="shared" si="2"/>
        <v>0</v>
      </c>
    </row>
    <row r="51" spans="1:15" s="3" customFormat="1">
      <c r="A51" s="11" t="s">
        <v>175</v>
      </c>
      <c r="B51" s="25" t="s">
        <v>48</v>
      </c>
      <c r="C51" s="26" t="s">
        <v>40</v>
      </c>
      <c r="D51" s="26" t="s">
        <v>65</v>
      </c>
      <c r="E51" s="26" t="s">
        <v>205</v>
      </c>
      <c r="F51" s="26" t="s">
        <v>58</v>
      </c>
      <c r="G51" s="27">
        <f t="shared" ref="G51:N53" si="23">G52</f>
        <v>5900.5</v>
      </c>
      <c r="H51" s="27">
        <f t="shared" si="23"/>
        <v>5900.5</v>
      </c>
      <c r="I51" s="27">
        <f t="shared" si="23"/>
        <v>5900.5</v>
      </c>
      <c r="J51" s="27">
        <f t="shared" si="23"/>
        <v>5900.5</v>
      </c>
      <c r="K51" s="16">
        <f t="shared" si="0"/>
        <v>0</v>
      </c>
      <c r="L51" s="27">
        <f t="shared" si="23"/>
        <v>5900.5</v>
      </c>
      <c r="M51" s="16">
        <f t="shared" si="1"/>
        <v>0</v>
      </c>
      <c r="N51" s="27">
        <f t="shared" si="23"/>
        <v>5900.5</v>
      </c>
      <c r="O51" s="16">
        <f t="shared" si="2"/>
        <v>0</v>
      </c>
    </row>
    <row r="52" spans="1:15" s="3" customFormat="1" ht="25.5">
      <c r="A52" s="11" t="s">
        <v>120</v>
      </c>
      <c r="B52" s="25" t="s">
        <v>48</v>
      </c>
      <c r="C52" s="26" t="s">
        <v>40</v>
      </c>
      <c r="D52" s="26" t="s">
        <v>65</v>
      </c>
      <c r="E52" s="26" t="s">
        <v>928</v>
      </c>
      <c r="F52" s="26" t="s">
        <v>58</v>
      </c>
      <c r="G52" s="27">
        <f t="shared" si="23"/>
        <v>5900.5</v>
      </c>
      <c r="H52" s="27">
        <f t="shared" si="23"/>
        <v>5900.5</v>
      </c>
      <c r="I52" s="27">
        <f t="shared" si="23"/>
        <v>5900.5</v>
      </c>
      <c r="J52" s="27">
        <f t="shared" si="23"/>
        <v>5900.5</v>
      </c>
      <c r="K52" s="16">
        <f t="shared" si="0"/>
        <v>0</v>
      </c>
      <c r="L52" s="27">
        <f t="shared" si="23"/>
        <v>5900.5</v>
      </c>
      <c r="M52" s="16">
        <f t="shared" si="1"/>
        <v>0</v>
      </c>
      <c r="N52" s="27">
        <f t="shared" si="23"/>
        <v>5900.5</v>
      </c>
      <c r="O52" s="16">
        <f t="shared" si="2"/>
        <v>0</v>
      </c>
    </row>
    <row r="53" spans="1:15" s="3" customFormat="1" ht="25.5">
      <c r="A53" s="11" t="s">
        <v>108</v>
      </c>
      <c r="B53" s="25" t="s">
        <v>48</v>
      </c>
      <c r="C53" s="26" t="s">
        <v>40</v>
      </c>
      <c r="D53" s="26" t="s">
        <v>65</v>
      </c>
      <c r="E53" s="26" t="s">
        <v>928</v>
      </c>
      <c r="F53" s="26" t="s">
        <v>116</v>
      </c>
      <c r="G53" s="27">
        <f>G54</f>
        <v>5900.5</v>
      </c>
      <c r="H53" s="27">
        <f t="shared" si="23"/>
        <v>5900.5</v>
      </c>
      <c r="I53" s="27">
        <f t="shared" si="23"/>
        <v>5900.5</v>
      </c>
      <c r="J53" s="27">
        <f>5900.5</f>
        <v>5900.5</v>
      </c>
      <c r="K53" s="16">
        <f t="shared" si="0"/>
        <v>0</v>
      </c>
      <c r="L53" s="27">
        <f>5900.5</f>
        <v>5900.5</v>
      </c>
      <c r="M53" s="16">
        <f t="shared" si="1"/>
        <v>0</v>
      </c>
      <c r="N53" s="27">
        <f>5900.5</f>
        <v>5900.5</v>
      </c>
      <c r="O53" s="16">
        <f t="shared" si="2"/>
        <v>0</v>
      </c>
    </row>
    <row r="54" spans="1:15" s="4" customFormat="1" ht="25.5">
      <c r="A54" s="12" t="s">
        <v>973</v>
      </c>
      <c r="B54" s="25" t="s">
        <v>48</v>
      </c>
      <c r="C54" s="26" t="s">
        <v>40</v>
      </c>
      <c r="D54" s="26" t="s">
        <v>65</v>
      </c>
      <c r="E54" s="26" t="s">
        <v>928</v>
      </c>
      <c r="F54" s="26" t="s">
        <v>1043</v>
      </c>
      <c r="G54" s="27">
        <f>5900.5</f>
        <v>5900.5</v>
      </c>
      <c r="H54" s="27">
        <f>5900.5</f>
        <v>5900.5</v>
      </c>
      <c r="I54" s="27">
        <f>5900.5</f>
        <v>5900.5</v>
      </c>
      <c r="J54" s="80"/>
      <c r="K54" s="16">
        <f t="shared" si="0"/>
        <v>-5900.5</v>
      </c>
      <c r="L54" s="80"/>
      <c r="M54" s="16">
        <f t="shared" si="1"/>
        <v>-5900.5</v>
      </c>
      <c r="N54" s="80"/>
      <c r="O54" s="16">
        <f t="shared" si="2"/>
        <v>-5900.5</v>
      </c>
    </row>
    <row r="55" spans="1:15" s="3" customFormat="1">
      <c r="A55" s="21" t="s">
        <v>52</v>
      </c>
      <c r="B55" s="22" t="s">
        <v>48</v>
      </c>
      <c r="C55" s="23" t="s">
        <v>40</v>
      </c>
      <c r="D55" s="23" t="s">
        <v>66</v>
      </c>
      <c r="E55" s="23" t="s">
        <v>196</v>
      </c>
      <c r="F55" s="23" t="s">
        <v>58</v>
      </c>
      <c r="G55" s="24">
        <f t="shared" ref="G55:N57" si="24">G56</f>
        <v>1190</v>
      </c>
      <c r="H55" s="24">
        <f t="shared" si="24"/>
        <v>1190</v>
      </c>
      <c r="I55" s="24">
        <f t="shared" si="24"/>
        <v>1190</v>
      </c>
      <c r="J55" s="24">
        <f t="shared" si="24"/>
        <v>1190</v>
      </c>
      <c r="K55" s="16">
        <f t="shared" si="0"/>
        <v>0</v>
      </c>
      <c r="L55" s="24">
        <f t="shared" si="24"/>
        <v>1190</v>
      </c>
      <c r="M55" s="16">
        <f t="shared" si="1"/>
        <v>0</v>
      </c>
      <c r="N55" s="24">
        <f t="shared" si="24"/>
        <v>1190</v>
      </c>
      <c r="O55" s="16">
        <f t="shared" si="2"/>
        <v>0</v>
      </c>
    </row>
    <row r="56" spans="1:15" s="3" customFormat="1">
      <c r="A56" s="11" t="s">
        <v>124</v>
      </c>
      <c r="B56" s="25" t="s">
        <v>48</v>
      </c>
      <c r="C56" s="26" t="s">
        <v>40</v>
      </c>
      <c r="D56" s="26" t="s">
        <v>66</v>
      </c>
      <c r="E56" s="26" t="s">
        <v>197</v>
      </c>
      <c r="F56" s="26" t="s">
        <v>58</v>
      </c>
      <c r="G56" s="27">
        <f>G57</f>
        <v>1190</v>
      </c>
      <c r="H56" s="27">
        <f t="shared" si="24"/>
        <v>1190</v>
      </c>
      <c r="I56" s="27">
        <f t="shared" si="24"/>
        <v>1190</v>
      </c>
      <c r="J56" s="27">
        <f>J57</f>
        <v>1190</v>
      </c>
      <c r="K56" s="16">
        <f t="shared" si="0"/>
        <v>0</v>
      </c>
      <c r="L56" s="27">
        <f t="shared" si="24"/>
        <v>1190</v>
      </c>
      <c r="M56" s="16">
        <f t="shared" si="1"/>
        <v>0</v>
      </c>
      <c r="N56" s="27">
        <f t="shared" si="24"/>
        <v>1190</v>
      </c>
      <c r="O56" s="16">
        <f t="shared" si="2"/>
        <v>0</v>
      </c>
    </row>
    <row r="57" spans="1:15" s="3" customFormat="1">
      <c r="A57" s="11" t="s">
        <v>175</v>
      </c>
      <c r="B57" s="25" t="s">
        <v>48</v>
      </c>
      <c r="C57" s="26" t="s">
        <v>40</v>
      </c>
      <c r="D57" s="26" t="s">
        <v>66</v>
      </c>
      <c r="E57" s="26" t="s">
        <v>205</v>
      </c>
      <c r="F57" s="26" t="s">
        <v>58</v>
      </c>
      <c r="G57" s="27">
        <f>G58</f>
        <v>1190</v>
      </c>
      <c r="H57" s="27">
        <f t="shared" si="24"/>
        <v>1190</v>
      </c>
      <c r="I57" s="27">
        <f t="shared" si="24"/>
        <v>1190</v>
      </c>
      <c r="J57" s="27">
        <f>J58</f>
        <v>1190</v>
      </c>
      <c r="K57" s="16">
        <f t="shared" si="0"/>
        <v>0</v>
      </c>
      <c r="L57" s="27">
        <f t="shared" si="24"/>
        <v>1190</v>
      </c>
      <c r="M57" s="16">
        <f t="shared" si="1"/>
        <v>0</v>
      </c>
      <c r="N57" s="27">
        <f t="shared" si="24"/>
        <v>1190</v>
      </c>
      <c r="O57" s="16">
        <f t="shared" si="2"/>
        <v>0</v>
      </c>
    </row>
    <row r="58" spans="1:15" s="3" customFormat="1" ht="25.5">
      <c r="A58" s="11" t="s">
        <v>120</v>
      </c>
      <c r="B58" s="25" t="s">
        <v>48</v>
      </c>
      <c r="C58" s="26" t="s">
        <v>40</v>
      </c>
      <c r="D58" s="26" t="s">
        <v>66</v>
      </c>
      <c r="E58" s="26" t="s">
        <v>928</v>
      </c>
      <c r="F58" s="26" t="s">
        <v>58</v>
      </c>
      <c r="G58" s="27">
        <f>G59</f>
        <v>1190</v>
      </c>
      <c r="H58" s="27">
        <f t="shared" ref="H58:N59" si="25">H59</f>
        <v>1190</v>
      </c>
      <c r="I58" s="27">
        <f t="shared" si="25"/>
        <v>1190</v>
      </c>
      <c r="J58" s="27">
        <f>J59</f>
        <v>1190</v>
      </c>
      <c r="K58" s="16">
        <f t="shared" si="0"/>
        <v>0</v>
      </c>
      <c r="L58" s="27">
        <f t="shared" si="25"/>
        <v>1190</v>
      </c>
      <c r="M58" s="16">
        <f t="shared" si="1"/>
        <v>0</v>
      </c>
      <c r="N58" s="27">
        <f t="shared" si="25"/>
        <v>1190</v>
      </c>
      <c r="O58" s="16">
        <f t="shared" si="2"/>
        <v>0</v>
      </c>
    </row>
    <row r="59" spans="1:15" s="3" customFormat="1" ht="25.5">
      <c r="A59" s="11" t="s">
        <v>108</v>
      </c>
      <c r="B59" s="25" t="s">
        <v>48</v>
      </c>
      <c r="C59" s="26" t="s">
        <v>40</v>
      </c>
      <c r="D59" s="26" t="s">
        <v>66</v>
      </c>
      <c r="E59" s="26" t="s">
        <v>928</v>
      </c>
      <c r="F59" s="26" t="s">
        <v>116</v>
      </c>
      <c r="G59" s="27">
        <f>G60</f>
        <v>1190</v>
      </c>
      <c r="H59" s="27">
        <f t="shared" si="25"/>
        <v>1190</v>
      </c>
      <c r="I59" s="27">
        <f t="shared" si="25"/>
        <v>1190</v>
      </c>
      <c r="J59" s="27">
        <f>1190</f>
        <v>1190</v>
      </c>
      <c r="K59" s="16">
        <f t="shared" si="0"/>
        <v>0</v>
      </c>
      <c r="L59" s="27">
        <f>1190</f>
        <v>1190</v>
      </c>
      <c r="M59" s="16">
        <f t="shared" si="1"/>
        <v>0</v>
      </c>
      <c r="N59" s="27">
        <f>1190</f>
        <v>1190</v>
      </c>
      <c r="O59" s="16">
        <f t="shared" si="2"/>
        <v>0</v>
      </c>
    </row>
    <row r="60" spans="1:15" s="4" customFormat="1" ht="25.5">
      <c r="A60" s="12" t="s">
        <v>973</v>
      </c>
      <c r="B60" s="25" t="s">
        <v>48</v>
      </c>
      <c r="C60" s="26" t="s">
        <v>40</v>
      </c>
      <c r="D60" s="26" t="s">
        <v>66</v>
      </c>
      <c r="E60" s="26" t="s">
        <v>928</v>
      </c>
      <c r="F60" s="26" t="s">
        <v>1043</v>
      </c>
      <c r="G60" s="27">
        <f>1190</f>
        <v>1190</v>
      </c>
      <c r="H60" s="27">
        <f>1190</f>
        <v>1190</v>
      </c>
      <c r="I60" s="27">
        <f>1190</f>
        <v>1190</v>
      </c>
      <c r="J60" s="80"/>
      <c r="K60" s="16">
        <f t="shared" si="0"/>
        <v>-1190</v>
      </c>
      <c r="L60" s="80"/>
      <c r="M60" s="16">
        <f t="shared" si="1"/>
        <v>-1190</v>
      </c>
      <c r="N60" s="80"/>
      <c r="O60" s="16">
        <f t="shared" si="2"/>
        <v>-1190</v>
      </c>
    </row>
    <row r="61" spans="1:15" s="71" customFormat="1">
      <c r="A61" s="79"/>
      <c r="B61" s="92"/>
      <c r="C61" s="70"/>
      <c r="D61" s="70"/>
      <c r="E61" s="70"/>
      <c r="F61" s="70"/>
      <c r="G61" s="72"/>
      <c r="H61" s="72"/>
      <c r="I61" s="72"/>
      <c r="J61" s="72"/>
      <c r="K61" s="91">
        <f t="shared" si="0"/>
        <v>0</v>
      </c>
      <c r="L61" s="72"/>
      <c r="M61" s="91">
        <f t="shared" si="1"/>
        <v>0</v>
      </c>
      <c r="N61" s="72"/>
      <c r="O61" s="91">
        <f t="shared" si="2"/>
        <v>0</v>
      </c>
    </row>
    <row r="62" spans="1:15" s="3" customFormat="1">
      <c r="A62" s="28" t="s">
        <v>54</v>
      </c>
      <c r="B62" s="14" t="s">
        <v>55</v>
      </c>
      <c r="C62" s="15" t="s">
        <v>51</v>
      </c>
      <c r="D62" s="15" t="s">
        <v>51</v>
      </c>
      <c r="E62" s="15" t="s">
        <v>196</v>
      </c>
      <c r="F62" s="15" t="s">
        <v>58</v>
      </c>
      <c r="G62" s="29">
        <f>G63+G212+G239+G247+G255</f>
        <v>272499.48</v>
      </c>
      <c r="H62" s="29">
        <f>H63+H212+H239+H247+H255</f>
        <v>261700.51999999996</v>
      </c>
      <c r="I62" s="29">
        <f>I63+I212+I239+I247+I255</f>
        <v>261700.51999999996</v>
      </c>
      <c r="J62" s="29">
        <f>J63+J212+J239+J247+J255</f>
        <v>272499.48</v>
      </c>
      <c r="K62" s="16">
        <f t="shared" si="0"/>
        <v>0</v>
      </c>
      <c r="L62" s="29">
        <f>L63+L212+L239+L247+L255</f>
        <v>261700.51999999996</v>
      </c>
      <c r="M62" s="16">
        <f t="shared" si="1"/>
        <v>0</v>
      </c>
      <c r="N62" s="29">
        <f>N63+N212+N239+N247+N255</f>
        <v>261700.51999999996</v>
      </c>
      <c r="O62" s="16">
        <f t="shared" si="2"/>
        <v>0</v>
      </c>
    </row>
    <row r="63" spans="1:15" s="2" customFormat="1">
      <c r="A63" s="17" t="s">
        <v>64</v>
      </c>
      <c r="B63" s="18" t="s">
        <v>55</v>
      </c>
      <c r="C63" s="19" t="s">
        <v>65</v>
      </c>
      <c r="D63" s="19" t="s">
        <v>51</v>
      </c>
      <c r="E63" s="19" t="s">
        <v>196</v>
      </c>
      <c r="F63" s="19" t="s">
        <v>58</v>
      </c>
      <c r="G63" s="20">
        <f>G75+G102+G108+G64</f>
        <v>242383.97999999998</v>
      </c>
      <c r="H63" s="20">
        <f>H75+H102+H108+H64</f>
        <v>232624.51999999996</v>
      </c>
      <c r="I63" s="20">
        <f>I75+I102+I108+I64</f>
        <v>232624.51999999996</v>
      </c>
      <c r="J63" s="20">
        <f>J75+J102+J108+J64</f>
        <v>242383.97999999998</v>
      </c>
      <c r="K63" s="16">
        <f t="shared" si="0"/>
        <v>0</v>
      </c>
      <c r="L63" s="20">
        <f>L75+L102+L108+L64</f>
        <v>232624.51999999996</v>
      </c>
      <c r="M63" s="16">
        <f t="shared" si="1"/>
        <v>0</v>
      </c>
      <c r="N63" s="20">
        <f>N75+N102+N108+N64</f>
        <v>232624.51999999996</v>
      </c>
      <c r="O63" s="16">
        <f t="shared" si="2"/>
        <v>0</v>
      </c>
    </row>
    <row r="64" spans="1:15" s="2" customFormat="1" ht="25.5">
      <c r="A64" s="21" t="s">
        <v>33</v>
      </c>
      <c r="B64" s="22" t="s">
        <v>55</v>
      </c>
      <c r="C64" s="23" t="s">
        <v>65</v>
      </c>
      <c r="D64" s="23" t="s">
        <v>66</v>
      </c>
      <c r="E64" s="23" t="s">
        <v>196</v>
      </c>
      <c r="F64" s="23" t="s">
        <v>58</v>
      </c>
      <c r="G64" s="24">
        <f>G65</f>
        <v>1593.55</v>
      </c>
      <c r="H64" s="24">
        <f t="shared" ref="H64:N65" si="26">H65</f>
        <v>1593.55</v>
      </c>
      <c r="I64" s="24">
        <f t="shared" si="26"/>
        <v>1593.55</v>
      </c>
      <c r="J64" s="24">
        <f>J65</f>
        <v>1593.55</v>
      </c>
      <c r="K64" s="16">
        <f t="shared" si="0"/>
        <v>0</v>
      </c>
      <c r="L64" s="24">
        <f t="shared" si="26"/>
        <v>1593.55</v>
      </c>
      <c r="M64" s="16">
        <f t="shared" si="1"/>
        <v>0</v>
      </c>
      <c r="N64" s="24">
        <f t="shared" si="26"/>
        <v>1593.55</v>
      </c>
      <c r="O64" s="16">
        <f t="shared" si="2"/>
        <v>0</v>
      </c>
    </row>
    <row r="65" spans="1:15" s="3" customFormat="1">
      <c r="A65" s="11" t="s">
        <v>112</v>
      </c>
      <c r="B65" s="25" t="s">
        <v>55</v>
      </c>
      <c r="C65" s="26" t="s">
        <v>65</v>
      </c>
      <c r="D65" s="26" t="s">
        <v>66</v>
      </c>
      <c r="E65" s="26" t="s">
        <v>206</v>
      </c>
      <c r="F65" s="26" t="s">
        <v>58</v>
      </c>
      <c r="G65" s="27">
        <f>G66</f>
        <v>1593.55</v>
      </c>
      <c r="H65" s="27">
        <f t="shared" si="26"/>
        <v>1593.55</v>
      </c>
      <c r="I65" s="27">
        <f t="shared" si="26"/>
        <v>1593.55</v>
      </c>
      <c r="J65" s="27">
        <f>J66</f>
        <v>1593.55</v>
      </c>
      <c r="K65" s="16">
        <f t="shared" si="0"/>
        <v>0</v>
      </c>
      <c r="L65" s="27">
        <f t="shared" si="26"/>
        <v>1593.55</v>
      </c>
      <c r="M65" s="16">
        <f t="shared" si="1"/>
        <v>0</v>
      </c>
      <c r="N65" s="27">
        <f t="shared" si="26"/>
        <v>1593.55</v>
      </c>
      <c r="O65" s="16">
        <f t="shared" si="2"/>
        <v>0</v>
      </c>
    </row>
    <row r="66" spans="1:15" s="3" customFormat="1">
      <c r="A66" s="11" t="s">
        <v>34</v>
      </c>
      <c r="B66" s="25" t="s">
        <v>55</v>
      </c>
      <c r="C66" s="26" t="s">
        <v>65</v>
      </c>
      <c r="D66" s="26" t="s">
        <v>66</v>
      </c>
      <c r="E66" s="26" t="s">
        <v>213</v>
      </c>
      <c r="F66" s="26" t="s">
        <v>58</v>
      </c>
      <c r="G66" s="27">
        <f>G67+G71</f>
        <v>1593.55</v>
      </c>
      <c r="H66" s="27">
        <f t="shared" ref="H66:I66" si="27">H67+H71</f>
        <v>1593.55</v>
      </c>
      <c r="I66" s="27">
        <f t="shared" si="27"/>
        <v>1593.55</v>
      </c>
      <c r="J66" s="27">
        <f>J67+J71</f>
        <v>1593.55</v>
      </c>
      <c r="K66" s="16">
        <f t="shared" si="0"/>
        <v>0</v>
      </c>
      <c r="L66" s="27">
        <f t="shared" ref="L66:N66" si="28">L67+L71</f>
        <v>1593.55</v>
      </c>
      <c r="M66" s="16">
        <f t="shared" si="1"/>
        <v>0</v>
      </c>
      <c r="N66" s="27">
        <f t="shared" si="28"/>
        <v>1593.55</v>
      </c>
      <c r="O66" s="16">
        <f t="shared" si="2"/>
        <v>0</v>
      </c>
    </row>
    <row r="67" spans="1:15" s="3" customFormat="1" ht="25.5">
      <c r="A67" s="11" t="s">
        <v>114</v>
      </c>
      <c r="B67" s="25" t="s">
        <v>55</v>
      </c>
      <c r="C67" s="26" t="s">
        <v>65</v>
      </c>
      <c r="D67" s="26" t="s">
        <v>66</v>
      </c>
      <c r="E67" s="26" t="s">
        <v>585</v>
      </c>
      <c r="F67" s="26" t="s">
        <v>58</v>
      </c>
      <c r="G67" s="27">
        <f>G68</f>
        <v>41.55</v>
      </c>
      <c r="H67" s="27">
        <f t="shared" ref="H67:N67" si="29">H68</f>
        <v>41.55</v>
      </c>
      <c r="I67" s="27">
        <f t="shared" si="29"/>
        <v>41.55</v>
      </c>
      <c r="J67" s="27">
        <f>J68</f>
        <v>41.55</v>
      </c>
      <c r="K67" s="16">
        <f t="shared" si="0"/>
        <v>0</v>
      </c>
      <c r="L67" s="27">
        <f t="shared" si="29"/>
        <v>41.55</v>
      </c>
      <c r="M67" s="16">
        <f t="shared" si="1"/>
        <v>0</v>
      </c>
      <c r="N67" s="27">
        <f t="shared" si="29"/>
        <v>41.55</v>
      </c>
      <c r="O67" s="16">
        <f t="shared" si="2"/>
        <v>0</v>
      </c>
    </row>
    <row r="68" spans="1:15" s="3" customFormat="1" ht="25.5">
      <c r="A68" s="11" t="s">
        <v>107</v>
      </c>
      <c r="B68" s="25" t="s">
        <v>55</v>
      </c>
      <c r="C68" s="26" t="s">
        <v>65</v>
      </c>
      <c r="D68" s="26" t="s">
        <v>66</v>
      </c>
      <c r="E68" s="26" t="s">
        <v>585</v>
      </c>
      <c r="F68" s="26" t="s">
        <v>115</v>
      </c>
      <c r="G68" s="27">
        <f>SUM(G69:G70)</f>
        <v>41.55</v>
      </c>
      <c r="H68" s="27">
        <f t="shared" ref="H68:I68" si="30">SUM(H69:H70)</f>
        <v>41.55</v>
      </c>
      <c r="I68" s="27">
        <f t="shared" si="30"/>
        <v>41.55</v>
      </c>
      <c r="J68" s="27">
        <f>31.91+9.64</f>
        <v>41.55</v>
      </c>
      <c r="K68" s="16">
        <f t="shared" si="0"/>
        <v>0</v>
      </c>
      <c r="L68" s="27">
        <f>31.91+9.64</f>
        <v>41.55</v>
      </c>
      <c r="M68" s="16">
        <f t="shared" si="1"/>
        <v>0</v>
      </c>
      <c r="N68" s="27">
        <f>31.91+9.64</f>
        <v>41.55</v>
      </c>
      <c r="O68" s="16">
        <f t="shared" si="2"/>
        <v>0</v>
      </c>
    </row>
    <row r="69" spans="1:15" s="3" customFormat="1" ht="25.5">
      <c r="A69" s="11" t="s">
        <v>937</v>
      </c>
      <c r="B69" s="25" t="s">
        <v>55</v>
      </c>
      <c r="C69" s="26" t="s">
        <v>65</v>
      </c>
      <c r="D69" s="26" t="s">
        <v>66</v>
      </c>
      <c r="E69" s="26" t="s">
        <v>585</v>
      </c>
      <c r="F69" s="26" t="s">
        <v>1059</v>
      </c>
      <c r="G69" s="27">
        <v>31.91</v>
      </c>
      <c r="H69" s="27">
        <v>31.91</v>
      </c>
      <c r="I69" s="27">
        <v>31.91</v>
      </c>
      <c r="J69" s="27"/>
      <c r="K69" s="16">
        <f t="shared" si="0"/>
        <v>-31.91</v>
      </c>
      <c r="L69" s="27"/>
      <c r="M69" s="16">
        <f t="shared" si="1"/>
        <v>-31.91</v>
      </c>
      <c r="N69" s="27"/>
      <c r="O69" s="16">
        <f t="shared" si="2"/>
        <v>-31.91</v>
      </c>
    </row>
    <row r="70" spans="1:15" s="3" customFormat="1" ht="38.25">
      <c r="A70" s="11" t="s">
        <v>939</v>
      </c>
      <c r="B70" s="25" t="s">
        <v>55</v>
      </c>
      <c r="C70" s="26" t="s">
        <v>65</v>
      </c>
      <c r="D70" s="26" t="s">
        <v>66</v>
      </c>
      <c r="E70" s="26" t="s">
        <v>585</v>
      </c>
      <c r="F70" s="26" t="s">
        <v>1060</v>
      </c>
      <c r="G70" s="27">
        <v>9.64</v>
      </c>
      <c r="H70" s="27">
        <v>9.64</v>
      </c>
      <c r="I70" s="27">
        <v>9.64</v>
      </c>
      <c r="J70" s="27"/>
      <c r="K70" s="16">
        <f t="shared" ref="K70:K131" si="31">J70-G70</f>
        <v>-9.64</v>
      </c>
      <c r="L70" s="27"/>
      <c r="M70" s="16">
        <f t="shared" ref="M70:M131" si="32">L70-H70</f>
        <v>-9.64</v>
      </c>
      <c r="N70" s="27"/>
      <c r="O70" s="16">
        <f t="shared" ref="O70:O131" si="33">N70-I70</f>
        <v>-9.64</v>
      </c>
    </row>
    <row r="71" spans="1:15" s="3" customFormat="1" ht="25.5">
      <c r="A71" s="11" t="s">
        <v>126</v>
      </c>
      <c r="B71" s="25" t="s">
        <v>55</v>
      </c>
      <c r="C71" s="26" t="s">
        <v>65</v>
      </c>
      <c r="D71" s="26" t="s">
        <v>66</v>
      </c>
      <c r="E71" s="26" t="s">
        <v>214</v>
      </c>
      <c r="F71" s="26" t="s">
        <v>58</v>
      </c>
      <c r="G71" s="27">
        <f>G72</f>
        <v>1552</v>
      </c>
      <c r="H71" s="27">
        <f t="shared" ref="H71:N71" si="34">H72</f>
        <v>1552</v>
      </c>
      <c r="I71" s="27">
        <f t="shared" si="34"/>
        <v>1552</v>
      </c>
      <c r="J71" s="27">
        <f>J72</f>
        <v>1552</v>
      </c>
      <c r="K71" s="16">
        <f t="shared" si="31"/>
        <v>0</v>
      </c>
      <c r="L71" s="27">
        <f t="shared" si="34"/>
        <v>1552</v>
      </c>
      <c r="M71" s="16">
        <f t="shared" si="32"/>
        <v>0</v>
      </c>
      <c r="N71" s="27">
        <f t="shared" si="34"/>
        <v>1552</v>
      </c>
      <c r="O71" s="16">
        <f t="shared" si="33"/>
        <v>0</v>
      </c>
    </row>
    <row r="72" spans="1:15" s="3" customFormat="1" ht="25.5">
      <c r="A72" s="12" t="s">
        <v>107</v>
      </c>
      <c r="B72" s="25" t="s">
        <v>55</v>
      </c>
      <c r="C72" s="26" t="s">
        <v>65</v>
      </c>
      <c r="D72" s="26" t="s">
        <v>66</v>
      </c>
      <c r="E72" s="26" t="s">
        <v>214</v>
      </c>
      <c r="F72" s="26" t="s">
        <v>115</v>
      </c>
      <c r="G72" s="27">
        <f>SUM(G73:G74)</f>
        <v>1552</v>
      </c>
      <c r="H72" s="27">
        <f t="shared" ref="H72:I72" si="35">SUM(H73:H74)</f>
        <v>1552</v>
      </c>
      <c r="I72" s="27">
        <f t="shared" si="35"/>
        <v>1552</v>
      </c>
      <c r="J72" s="27">
        <f>1192+360</f>
        <v>1552</v>
      </c>
      <c r="K72" s="16">
        <f t="shared" si="31"/>
        <v>0</v>
      </c>
      <c r="L72" s="27">
        <f>1192+360</f>
        <v>1552</v>
      </c>
      <c r="M72" s="16">
        <f t="shared" si="32"/>
        <v>0</v>
      </c>
      <c r="N72" s="27">
        <f>1192+360</f>
        <v>1552</v>
      </c>
      <c r="O72" s="16">
        <f t="shared" si="33"/>
        <v>0</v>
      </c>
    </row>
    <row r="73" spans="1:15" s="4" customFormat="1">
      <c r="A73" s="12" t="s">
        <v>936</v>
      </c>
      <c r="B73" s="25" t="s">
        <v>55</v>
      </c>
      <c r="C73" s="26" t="s">
        <v>65</v>
      </c>
      <c r="D73" s="26" t="s">
        <v>66</v>
      </c>
      <c r="E73" s="26" t="s">
        <v>214</v>
      </c>
      <c r="F73" s="26" t="s">
        <v>1063</v>
      </c>
      <c r="G73" s="27">
        <v>1192</v>
      </c>
      <c r="H73" s="27">
        <v>1192</v>
      </c>
      <c r="I73" s="27">
        <v>1192</v>
      </c>
      <c r="J73" s="80"/>
      <c r="K73" s="16">
        <f t="shared" si="31"/>
        <v>-1192</v>
      </c>
      <c r="L73" s="80"/>
      <c r="M73" s="16">
        <f t="shared" si="32"/>
        <v>-1192</v>
      </c>
      <c r="N73" s="80"/>
      <c r="O73" s="16">
        <f t="shared" si="33"/>
        <v>-1192</v>
      </c>
    </row>
    <row r="74" spans="1:15" s="4" customFormat="1" ht="38.25">
      <c r="A74" s="12" t="s">
        <v>939</v>
      </c>
      <c r="B74" s="25" t="s">
        <v>55</v>
      </c>
      <c r="C74" s="26" t="s">
        <v>65</v>
      </c>
      <c r="D74" s="26" t="s">
        <v>66</v>
      </c>
      <c r="E74" s="26" t="s">
        <v>214</v>
      </c>
      <c r="F74" s="26" t="s">
        <v>1060</v>
      </c>
      <c r="G74" s="27">
        <v>360</v>
      </c>
      <c r="H74" s="27">
        <v>360</v>
      </c>
      <c r="I74" s="27">
        <v>360</v>
      </c>
      <c r="J74" s="80"/>
      <c r="K74" s="16">
        <f t="shared" si="31"/>
        <v>-360</v>
      </c>
      <c r="L74" s="80"/>
      <c r="M74" s="16">
        <f t="shared" si="32"/>
        <v>-360</v>
      </c>
      <c r="N74" s="80"/>
      <c r="O74" s="16">
        <f t="shared" si="33"/>
        <v>-360</v>
      </c>
    </row>
    <row r="75" spans="1:15" s="3" customFormat="1" ht="38.25">
      <c r="A75" s="21" t="s">
        <v>31</v>
      </c>
      <c r="B75" s="22" t="s">
        <v>55</v>
      </c>
      <c r="C75" s="23" t="s">
        <v>65</v>
      </c>
      <c r="D75" s="23" t="s">
        <v>37</v>
      </c>
      <c r="E75" s="23" t="s">
        <v>196</v>
      </c>
      <c r="F75" s="23" t="s">
        <v>58</v>
      </c>
      <c r="G75" s="24">
        <f>G76</f>
        <v>107847.47</v>
      </c>
      <c r="H75" s="24">
        <f>H76</f>
        <v>107847.47</v>
      </c>
      <c r="I75" s="24">
        <f>I76</f>
        <v>107847.47</v>
      </c>
      <c r="J75" s="24">
        <f>J76</f>
        <v>107847.47</v>
      </c>
      <c r="K75" s="16">
        <f t="shared" si="31"/>
        <v>0</v>
      </c>
      <c r="L75" s="24">
        <f>L76</f>
        <v>107847.47</v>
      </c>
      <c r="M75" s="16">
        <f t="shared" si="32"/>
        <v>0</v>
      </c>
      <c r="N75" s="24">
        <f>N76</f>
        <v>107847.47</v>
      </c>
      <c r="O75" s="16">
        <f t="shared" si="33"/>
        <v>0</v>
      </c>
    </row>
    <row r="76" spans="1:15" s="3" customFormat="1">
      <c r="A76" s="34" t="s">
        <v>112</v>
      </c>
      <c r="B76" s="25" t="s">
        <v>55</v>
      </c>
      <c r="C76" s="26" t="s">
        <v>65</v>
      </c>
      <c r="D76" s="26" t="s">
        <v>37</v>
      </c>
      <c r="E76" s="26" t="s">
        <v>206</v>
      </c>
      <c r="F76" s="26" t="s">
        <v>58</v>
      </c>
      <c r="G76" s="27">
        <f>G77</f>
        <v>107847.47</v>
      </c>
      <c r="H76" s="27">
        <f t="shared" ref="H76:N76" si="36">H77</f>
        <v>107847.47</v>
      </c>
      <c r="I76" s="27">
        <f t="shared" si="36"/>
        <v>107847.47</v>
      </c>
      <c r="J76" s="27">
        <f>J77</f>
        <v>107847.47</v>
      </c>
      <c r="K76" s="16">
        <f t="shared" si="31"/>
        <v>0</v>
      </c>
      <c r="L76" s="27">
        <f t="shared" si="36"/>
        <v>107847.47</v>
      </c>
      <c r="M76" s="16">
        <f t="shared" si="32"/>
        <v>0</v>
      </c>
      <c r="N76" s="27">
        <f t="shared" si="36"/>
        <v>107847.47</v>
      </c>
      <c r="O76" s="16">
        <f t="shared" si="33"/>
        <v>0</v>
      </c>
    </row>
    <row r="77" spans="1:15" s="3" customFormat="1" ht="25.5">
      <c r="A77" s="34" t="s">
        <v>113</v>
      </c>
      <c r="B77" s="25" t="s">
        <v>55</v>
      </c>
      <c r="C77" s="26" t="s">
        <v>65</v>
      </c>
      <c r="D77" s="26" t="s">
        <v>37</v>
      </c>
      <c r="E77" s="26" t="s">
        <v>207</v>
      </c>
      <c r="F77" s="26" t="s">
        <v>58</v>
      </c>
      <c r="G77" s="27">
        <f>G78+G86+G90+G93+G99</f>
        <v>107847.47</v>
      </c>
      <c r="H77" s="27">
        <f>H78+H86+H90+H93+H99</f>
        <v>107847.47</v>
      </c>
      <c r="I77" s="27">
        <f>I78+I86+I90+I93+I99</f>
        <v>107847.47</v>
      </c>
      <c r="J77" s="27">
        <f>J78+J86+J90+J93+J99</f>
        <v>107847.47</v>
      </c>
      <c r="K77" s="16">
        <f t="shared" si="31"/>
        <v>0</v>
      </c>
      <c r="L77" s="27">
        <f>L78+L86+L90+L93+L99</f>
        <v>107847.47</v>
      </c>
      <c r="M77" s="16">
        <f t="shared" si="32"/>
        <v>0</v>
      </c>
      <c r="N77" s="27">
        <f>N78+N86+N90+N93+N99</f>
        <v>107847.47</v>
      </c>
      <c r="O77" s="16">
        <f t="shared" si="33"/>
        <v>0</v>
      </c>
    </row>
    <row r="78" spans="1:15" s="3" customFormat="1" ht="25.5">
      <c r="A78" s="34" t="s">
        <v>114</v>
      </c>
      <c r="B78" s="35" t="s">
        <v>55</v>
      </c>
      <c r="C78" s="36" t="s">
        <v>65</v>
      </c>
      <c r="D78" s="36" t="s">
        <v>37</v>
      </c>
      <c r="E78" s="36" t="s">
        <v>208</v>
      </c>
      <c r="F78" s="36" t="s">
        <v>58</v>
      </c>
      <c r="G78" s="37">
        <f>G79+G82+G84</f>
        <v>12309.69</v>
      </c>
      <c r="H78" s="37">
        <f t="shared" ref="H78:I78" si="37">H79+H82+H84</f>
        <v>12309.69</v>
      </c>
      <c r="I78" s="37">
        <f t="shared" si="37"/>
        <v>12309.69</v>
      </c>
      <c r="J78" s="37">
        <f>SUM(J79:J84)</f>
        <v>12309.69</v>
      </c>
      <c r="K78" s="16">
        <f t="shared" si="31"/>
        <v>0</v>
      </c>
      <c r="L78" s="37">
        <f>SUM(L79:L84)</f>
        <v>12309.69</v>
      </c>
      <c r="M78" s="16">
        <f t="shared" si="32"/>
        <v>0</v>
      </c>
      <c r="N78" s="37">
        <f>SUM(N79:N84)</f>
        <v>12309.69</v>
      </c>
      <c r="O78" s="16">
        <f t="shared" si="33"/>
        <v>0</v>
      </c>
    </row>
    <row r="79" spans="1:15" s="3" customFormat="1" ht="25.5">
      <c r="A79" s="12" t="s">
        <v>107</v>
      </c>
      <c r="B79" s="35" t="s">
        <v>55</v>
      </c>
      <c r="C79" s="36" t="s">
        <v>65</v>
      </c>
      <c r="D79" s="36" t="s">
        <v>37</v>
      </c>
      <c r="E79" s="36" t="s">
        <v>208</v>
      </c>
      <c r="F79" s="26" t="s">
        <v>115</v>
      </c>
      <c r="G79" s="27">
        <f>SUM(G80:G81)</f>
        <v>4384.0200000000004</v>
      </c>
      <c r="H79" s="27">
        <f t="shared" ref="H79:I79" si="38">SUM(H80:H81)</f>
        <v>4384.0200000000004</v>
      </c>
      <c r="I79" s="27">
        <f t="shared" si="38"/>
        <v>4384.0200000000004</v>
      </c>
      <c r="J79" s="27">
        <f>3681.77+702.25</f>
        <v>4384.0200000000004</v>
      </c>
      <c r="K79" s="16">
        <f t="shared" si="31"/>
        <v>0</v>
      </c>
      <c r="L79" s="27">
        <f>3681.77+702.25</f>
        <v>4384.0200000000004</v>
      </c>
      <c r="M79" s="16">
        <f t="shared" si="32"/>
        <v>0</v>
      </c>
      <c r="N79" s="27">
        <f>3681.77+702.25</f>
        <v>4384.0200000000004</v>
      </c>
      <c r="O79" s="16">
        <f t="shared" si="33"/>
        <v>0</v>
      </c>
    </row>
    <row r="80" spans="1:15" s="3" customFormat="1" ht="25.5">
      <c r="A80" s="11" t="s">
        <v>937</v>
      </c>
      <c r="B80" s="25" t="s">
        <v>55</v>
      </c>
      <c r="C80" s="26" t="s">
        <v>65</v>
      </c>
      <c r="D80" s="26" t="s">
        <v>37</v>
      </c>
      <c r="E80" s="26" t="s">
        <v>208</v>
      </c>
      <c r="F80" s="26" t="s">
        <v>1059</v>
      </c>
      <c r="G80" s="27">
        <f>3745.72-63.95</f>
        <v>3681.77</v>
      </c>
      <c r="H80" s="27">
        <f t="shared" ref="H80:I80" si="39">3745.72-63.95</f>
        <v>3681.77</v>
      </c>
      <c r="I80" s="27">
        <f t="shared" si="39"/>
        <v>3681.77</v>
      </c>
      <c r="J80" s="27"/>
      <c r="K80" s="16">
        <f t="shared" si="31"/>
        <v>-3681.77</v>
      </c>
      <c r="L80" s="27"/>
      <c r="M80" s="16">
        <f t="shared" si="32"/>
        <v>-3681.77</v>
      </c>
      <c r="N80" s="27"/>
      <c r="O80" s="16">
        <f t="shared" si="33"/>
        <v>-3681.77</v>
      </c>
    </row>
    <row r="81" spans="1:15" s="3" customFormat="1" ht="38.25">
      <c r="A81" s="11" t="s">
        <v>939</v>
      </c>
      <c r="B81" s="25" t="s">
        <v>55</v>
      </c>
      <c r="C81" s="26" t="s">
        <v>65</v>
      </c>
      <c r="D81" s="26" t="s">
        <v>37</v>
      </c>
      <c r="E81" s="26" t="s">
        <v>208</v>
      </c>
      <c r="F81" s="26" t="s">
        <v>1060</v>
      </c>
      <c r="G81" s="27">
        <v>702.25</v>
      </c>
      <c r="H81" s="27">
        <v>702.25</v>
      </c>
      <c r="I81" s="27">
        <v>702.25</v>
      </c>
      <c r="J81" s="27"/>
      <c r="K81" s="16">
        <f t="shared" si="31"/>
        <v>-702.25</v>
      </c>
      <c r="L81" s="27"/>
      <c r="M81" s="16">
        <f t="shared" si="32"/>
        <v>-702.25</v>
      </c>
      <c r="N81" s="27"/>
      <c r="O81" s="16">
        <f t="shared" si="33"/>
        <v>-702.25</v>
      </c>
    </row>
    <row r="82" spans="1:15" s="3" customFormat="1" ht="25.5">
      <c r="A82" s="11" t="s">
        <v>108</v>
      </c>
      <c r="B82" s="35" t="s">
        <v>55</v>
      </c>
      <c r="C82" s="36" t="s">
        <v>65</v>
      </c>
      <c r="D82" s="36" t="s">
        <v>37</v>
      </c>
      <c r="E82" s="36" t="s">
        <v>208</v>
      </c>
      <c r="F82" s="26" t="s">
        <v>116</v>
      </c>
      <c r="G82" s="27">
        <f>G83</f>
        <v>7901.67</v>
      </c>
      <c r="H82" s="27">
        <f t="shared" ref="H82:I82" si="40">H83</f>
        <v>7901.67</v>
      </c>
      <c r="I82" s="27">
        <f t="shared" si="40"/>
        <v>7901.67</v>
      </c>
      <c r="J82" s="27">
        <f>7901.67</f>
        <v>7901.67</v>
      </c>
      <c r="K82" s="16">
        <f t="shared" si="31"/>
        <v>0</v>
      </c>
      <c r="L82" s="27">
        <f t="shared" ref="H82:N83" si="41">7901.67</f>
        <v>7901.67</v>
      </c>
      <c r="M82" s="16">
        <f t="shared" si="32"/>
        <v>0</v>
      </c>
      <c r="N82" s="27">
        <f t="shared" si="41"/>
        <v>7901.67</v>
      </c>
      <c r="O82" s="16">
        <f t="shared" si="33"/>
        <v>0</v>
      </c>
    </row>
    <row r="83" spans="1:15" s="4" customFormat="1" ht="25.5">
      <c r="A83" s="12" t="s">
        <v>973</v>
      </c>
      <c r="B83" s="35" t="s">
        <v>55</v>
      </c>
      <c r="C83" s="36" t="s">
        <v>65</v>
      </c>
      <c r="D83" s="36" t="s">
        <v>37</v>
      </c>
      <c r="E83" s="36" t="s">
        <v>208</v>
      </c>
      <c r="F83" s="26" t="s">
        <v>1043</v>
      </c>
      <c r="G83" s="27">
        <f>7901.67</f>
        <v>7901.67</v>
      </c>
      <c r="H83" s="27">
        <f t="shared" si="41"/>
        <v>7901.67</v>
      </c>
      <c r="I83" s="27">
        <f t="shared" si="41"/>
        <v>7901.67</v>
      </c>
      <c r="J83" s="80"/>
      <c r="K83" s="16">
        <f t="shared" si="31"/>
        <v>-7901.67</v>
      </c>
      <c r="L83" s="80"/>
      <c r="M83" s="16">
        <f t="shared" si="32"/>
        <v>-7901.67</v>
      </c>
      <c r="N83" s="80"/>
      <c r="O83" s="16">
        <f t="shared" si="33"/>
        <v>-7901.67</v>
      </c>
    </row>
    <row r="84" spans="1:15" s="3" customFormat="1">
      <c r="A84" s="11" t="s">
        <v>97</v>
      </c>
      <c r="B84" s="35" t="s">
        <v>55</v>
      </c>
      <c r="C84" s="36" t="s">
        <v>65</v>
      </c>
      <c r="D84" s="36" t="s">
        <v>37</v>
      </c>
      <c r="E84" s="36" t="s">
        <v>208</v>
      </c>
      <c r="F84" s="26" t="s">
        <v>118</v>
      </c>
      <c r="G84" s="27">
        <f>G85</f>
        <v>24</v>
      </c>
      <c r="H84" s="27">
        <f t="shared" ref="H84:I84" si="42">H85</f>
        <v>24</v>
      </c>
      <c r="I84" s="27">
        <f t="shared" si="42"/>
        <v>24</v>
      </c>
      <c r="J84" s="27">
        <f>24</f>
        <v>24</v>
      </c>
      <c r="K84" s="16">
        <f t="shared" si="31"/>
        <v>0</v>
      </c>
      <c r="L84" s="27">
        <f>24</f>
        <v>24</v>
      </c>
      <c r="M84" s="16">
        <f t="shared" si="32"/>
        <v>0</v>
      </c>
      <c r="N84" s="27">
        <f>24</f>
        <v>24</v>
      </c>
      <c r="O84" s="16">
        <f t="shared" si="33"/>
        <v>0</v>
      </c>
    </row>
    <row r="85" spans="1:15" s="4" customFormat="1">
      <c r="A85" s="12" t="s">
        <v>1037</v>
      </c>
      <c r="B85" s="35" t="s">
        <v>55</v>
      </c>
      <c r="C85" s="36" t="s">
        <v>65</v>
      </c>
      <c r="D85" s="36" t="s">
        <v>37</v>
      </c>
      <c r="E85" s="36" t="s">
        <v>208</v>
      </c>
      <c r="F85" s="26" t="s">
        <v>1062</v>
      </c>
      <c r="G85" s="27">
        <f>24</f>
        <v>24</v>
      </c>
      <c r="H85" s="27">
        <f>24</f>
        <v>24</v>
      </c>
      <c r="I85" s="27">
        <f>24</f>
        <v>24</v>
      </c>
      <c r="J85" s="80"/>
      <c r="K85" s="16">
        <f t="shared" si="31"/>
        <v>-24</v>
      </c>
      <c r="L85" s="80"/>
      <c r="M85" s="16">
        <f t="shared" si="32"/>
        <v>-24</v>
      </c>
      <c r="N85" s="80"/>
      <c r="O85" s="16">
        <f t="shared" si="33"/>
        <v>-24</v>
      </c>
    </row>
    <row r="86" spans="1:15" s="3" customFormat="1" ht="25.5">
      <c r="A86" s="34" t="s">
        <v>126</v>
      </c>
      <c r="B86" s="25" t="s">
        <v>55</v>
      </c>
      <c r="C86" s="26" t="s">
        <v>65</v>
      </c>
      <c r="D86" s="26" t="s">
        <v>37</v>
      </c>
      <c r="E86" s="26" t="s">
        <v>209</v>
      </c>
      <c r="F86" s="36" t="s">
        <v>58</v>
      </c>
      <c r="G86" s="27">
        <f>G87</f>
        <v>94314.41</v>
      </c>
      <c r="H86" s="27">
        <f t="shared" ref="H86:N86" si="43">H87</f>
        <v>94314.41</v>
      </c>
      <c r="I86" s="27">
        <f t="shared" si="43"/>
        <v>94314.41</v>
      </c>
      <c r="J86" s="27">
        <f>J87</f>
        <v>94314.41</v>
      </c>
      <c r="K86" s="16">
        <f t="shared" si="31"/>
        <v>0</v>
      </c>
      <c r="L86" s="27">
        <f t="shared" si="43"/>
        <v>94314.41</v>
      </c>
      <c r="M86" s="16">
        <f t="shared" si="32"/>
        <v>0</v>
      </c>
      <c r="N86" s="27">
        <f t="shared" si="43"/>
        <v>94314.41</v>
      </c>
      <c r="O86" s="16">
        <f t="shared" si="33"/>
        <v>0</v>
      </c>
    </row>
    <row r="87" spans="1:15" s="3" customFormat="1" ht="25.5">
      <c r="A87" s="12" t="s">
        <v>107</v>
      </c>
      <c r="B87" s="25" t="s">
        <v>55</v>
      </c>
      <c r="C87" s="26" t="s">
        <v>65</v>
      </c>
      <c r="D87" s="26" t="s">
        <v>37</v>
      </c>
      <c r="E87" s="26" t="s">
        <v>209</v>
      </c>
      <c r="F87" s="36" t="s">
        <v>115</v>
      </c>
      <c r="G87" s="27">
        <f>SUM(G88:G89)</f>
        <v>94314.41</v>
      </c>
      <c r="H87" s="27">
        <f t="shared" ref="H87:I87" si="44">SUM(H88:H89)</f>
        <v>94314.41</v>
      </c>
      <c r="I87" s="27">
        <f t="shared" si="44"/>
        <v>94314.41</v>
      </c>
      <c r="J87" s="27">
        <f>72438.12+21876.29</f>
        <v>94314.41</v>
      </c>
      <c r="K87" s="16">
        <f t="shared" si="31"/>
        <v>0</v>
      </c>
      <c r="L87" s="27">
        <f>72438.12+21876.29</f>
        <v>94314.41</v>
      </c>
      <c r="M87" s="16">
        <f t="shared" si="32"/>
        <v>0</v>
      </c>
      <c r="N87" s="27">
        <f>72438.12+21876.29</f>
        <v>94314.41</v>
      </c>
      <c r="O87" s="16">
        <f t="shared" si="33"/>
        <v>0</v>
      </c>
    </row>
    <row r="88" spans="1:15" s="4" customFormat="1">
      <c r="A88" s="12" t="s">
        <v>936</v>
      </c>
      <c r="B88" s="25" t="s">
        <v>55</v>
      </c>
      <c r="C88" s="26" t="s">
        <v>65</v>
      </c>
      <c r="D88" s="26" t="s">
        <v>37</v>
      </c>
      <c r="E88" s="26" t="s">
        <v>209</v>
      </c>
      <c r="F88" s="26" t="s">
        <v>1063</v>
      </c>
      <c r="G88" s="27">
        <f>72389+49.12</f>
        <v>72438.12</v>
      </c>
      <c r="H88" s="27">
        <f t="shared" ref="H88:I88" si="45">72389+49.12</f>
        <v>72438.12</v>
      </c>
      <c r="I88" s="27">
        <f t="shared" si="45"/>
        <v>72438.12</v>
      </c>
      <c r="J88" s="80"/>
      <c r="K88" s="16">
        <f t="shared" si="31"/>
        <v>-72438.12</v>
      </c>
      <c r="L88" s="80"/>
      <c r="M88" s="16">
        <f t="shared" si="32"/>
        <v>-72438.12</v>
      </c>
      <c r="N88" s="80"/>
      <c r="O88" s="16">
        <f t="shared" si="33"/>
        <v>-72438.12</v>
      </c>
    </row>
    <row r="89" spans="1:15" s="4" customFormat="1" ht="38.25">
      <c r="A89" s="12" t="s">
        <v>939</v>
      </c>
      <c r="B89" s="25" t="s">
        <v>55</v>
      </c>
      <c r="C89" s="26" t="s">
        <v>65</v>
      </c>
      <c r="D89" s="26" t="s">
        <v>37</v>
      </c>
      <c r="E89" s="26" t="s">
        <v>209</v>
      </c>
      <c r="F89" s="26" t="s">
        <v>1060</v>
      </c>
      <c r="G89" s="27">
        <f>21861.46+14.83</f>
        <v>21876.29</v>
      </c>
      <c r="H89" s="27">
        <f t="shared" ref="H89:I89" si="46">21861.46+14.83</f>
        <v>21876.29</v>
      </c>
      <c r="I89" s="27">
        <f t="shared" si="46"/>
        <v>21876.29</v>
      </c>
      <c r="J89" s="80"/>
      <c r="K89" s="16">
        <f t="shared" si="31"/>
        <v>-21876.29</v>
      </c>
      <c r="L89" s="80"/>
      <c r="M89" s="16">
        <f t="shared" si="32"/>
        <v>-21876.29</v>
      </c>
      <c r="N89" s="80"/>
      <c r="O89" s="16">
        <f t="shared" si="33"/>
        <v>-21876.29</v>
      </c>
    </row>
    <row r="90" spans="1:15" s="3" customFormat="1" ht="51">
      <c r="A90" s="34" t="s">
        <v>870</v>
      </c>
      <c r="B90" s="25" t="s">
        <v>55</v>
      </c>
      <c r="C90" s="26" t="s">
        <v>65</v>
      </c>
      <c r="D90" s="26" t="s">
        <v>37</v>
      </c>
      <c r="E90" s="26" t="s">
        <v>210</v>
      </c>
      <c r="F90" s="36" t="s">
        <v>58</v>
      </c>
      <c r="G90" s="27">
        <f>G91</f>
        <v>51.73</v>
      </c>
      <c r="H90" s="27">
        <f>H91</f>
        <v>51.73</v>
      </c>
      <c r="I90" s="27">
        <f>I91</f>
        <v>51.73</v>
      </c>
      <c r="J90" s="27">
        <f>J91</f>
        <v>51.73</v>
      </c>
      <c r="K90" s="16">
        <f t="shared" si="31"/>
        <v>0</v>
      </c>
      <c r="L90" s="27">
        <f>L91</f>
        <v>51.73</v>
      </c>
      <c r="M90" s="16">
        <f t="shared" si="32"/>
        <v>0</v>
      </c>
      <c r="N90" s="27">
        <f>N91</f>
        <v>51.73</v>
      </c>
      <c r="O90" s="16">
        <f t="shared" si="33"/>
        <v>0</v>
      </c>
    </row>
    <row r="91" spans="1:15" s="3" customFormat="1" ht="25.5">
      <c r="A91" s="11" t="s">
        <v>108</v>
      </c>
      <c r="B91" s="25" t="s">
        <v>55</v>
      </c>
      <c r="C91" s="26" t="s">
        <v>65</v>
      </c>
      <c r="D91" s="26" t="s">
        <v>37</v>
      </c>
      <c r="E91" s="26" t="s">
        <v>210</v>
      </c>
      <c r="F91" s="26" t="s">
        <v>116</v>
      </c>
      <c r="G91" s="27">
        <f>G92</f>
        <v>51.73</v>
      </c>
      <c r="H91" s="27">
        <f t="shared" ref="H91:I91" si="47">H92</f>
        <v>51.73</v>
      </c>
      <c r="I91" s="27">
        <f t="shared" si="47"/>
        <v>51.73</v>
      </c>
      <c r="J91" s="27">
        <f>51.73</f>
        <v>51.73</v>
      </c>
      <c r="K91" s="16">
        <f t="shared" si="31"/>
        <v>0</v>
      </c>
      <c r="L91" s="27">
        <f>51.73</f>
        <v>51.73</v>
      </c>
      <c r="M91" s="16">
        <f t="shared" si="32"/>
        <v>0</v>
      </c>
      <c r="N91" s="27">
        <f>51.73</f>
        <v>51.73</v>
      </c>
      <c r="O91" s="16">
        <f t="shared" si="33"/>
        <v>0</v>
      </c>
    </row>
    <row r="92" spans="1:15" s="4" customFormat="1" ht="25.5">
      <c r="A92" s="12" t="s">
        <v>973</v>
      </c>
      <c r="B92" s="25" t="s">
        <v>55</v>
      </c>
      <c r="C92" s="26" t="s">
        <v>65</v>
      </c>
      <c r="D92" s="26" t="s">
        <v>37</v>
      </c>
      <c r="E92" s="26" t="s">
        <v>210</v>
      </c>
      <c r="F92" s="26" t="s">
        <v>1043</v>
      </c>
      <c r="G92" s="27">
        <f>51.73</f>
        <v>51.73</v>
      </c>
      <c r="H92" s="27">
        <f>51.73</f>
        <v>51.73</v>
      </c>
      <c r="I92" s="27">
        <f>51.73</f>
        <v>51.73</v>
      </c>
      <c r="J92" s="80"/>
      <c r="K92" s="16">
        <f t="shared" si="31"/>
        <v>-51.73</v>
      </c>
      <c r="L92" s="80"/>
      <c r="M92" s="16">
        <f t="shared" si="32"/>
        <v>-51.73</v>
      </c>
      <c r="N92" s="80"/>
      <c r="O92" s="16">
        <f t="shared" si="33"/>
        <v>-51.73</v>
      </c>
    </row>
    <row r="93" spans="1:15" s="3" customFormat="1" ht="51">
      <c r="A93" s="11" t="s">
        <v>597</v>
      </c>
      <c r="B93" s="35" t="s">
        <v>55</v>
      </c>
      <c r="C93" s="36" t="s">
        <v>65</v>
      </c>
      <c r="D93" s="36" t="s">
        <v>37</v>
      </c>
      <c r="E93" s="36" t="s">
        <v>211</v>
      </c>
      <c r="F93" s="36" t="s">
        <v>58</v>
      </c>
      <c r="G93" s="27">
        <f>G94+G97</f>
        <v>1162.6400000000001</v>
      </c>
      <c r="H93" s="27">
        <f t="shared" ref="H93:I93" si="48">H94+H97</f>
        <v>1162.6400000000001</v>
      </c>
      <c r="I93" s="27">
        <f t="shared" si="48"/>
        <v>1162.6400000000001</v>
      </c>
      <c r="J93" s="27">
        <f>SUM(J94:J97)</f>
        <v>1162.6400000000001</v>
      </c>
      <c r="K93" s="16">
        <f t="shared" si="31"/>
        <v>0</v>
      </c>
      <c r="L93" s="27">
        <f>SUM(L94:L97)</f>
        <v>1162.6400000000001</v>
      </c>
      <c r="M93" s="16">
        <f t="shared" si="32"/>
        <v>0</v>
      </c>
      <c r="N93" s="27">
        <f>SUM(N94:N97)</f>
        <v>1162.6400000000001</v>
      </c>
      <c r="O93" s="16">
        <f t="shared" si="33"/>
        <v>0</v>
      </c>
    </row>
    <row r="94" spans="1:15" s="3" customFormat="1" ht="25.5">
      <c r="A94" s="12" t="s">
        <v>107</v>
      </c>
      <c r="B94" s="35" t="s">
        <v>55</v>
      </c>
      <c r="C94" s="36" t="s">
        <v>65</v>
      </c>
      <c r="D94" s="36" t="s">
        <v>37</v>
      </c>
      <c r="E94" s="36" t="s">
        <v>211</v>
      </c>
      <c r="F94" s="36" t="s">
        <v>115</v>
      </c>
      <c r="G94" s="27">
        <f>SUM(G95:G96)</f>
        <v>855.7</v>
      </c>
      <c r="H94" s="27">
        <f t="shared" ref="H94:I94" si="49">SUM(H95:H96)</f>
        <v>855.7</v>
      </c>
      <c r="I94" s="27">
        <f t="shared" si="49"/>
        <v>855.7</v>
      </c>
      <c r="J94" s="27">
        <f>657.22+198.48</f>
        <v>855.7</v>
      </c>
      <c r="K94" s="16">
        <f t="shared" si="31"/>
        <v>0</v>
      </c>
      <c r="L94" s="27">
        <f t="shared" ref="L94:N94" si="50">657.22+198.48</f>
        <v>855.7</v>
      </c>
      <c r="M94" s="16">
        <f t="shared" si="32"/>
        <v>0</v>
      </c>
      <c r="N94" s="27">
        <f t="shared" si="50"/>
        <v>855.7</v>
      </c>
      <c r="O94" s="16">
        <f t="shared" si="33"/>
        <v>0</v>
      </c>
    </row>
    <row r="95" spans="1:15" s="4" customFormat="1">
      <c r="A95" s="12" t="s">
        <v>936</v>
      </c>
      <c r="B95" s="35" t="s">
        <v>55</v>
      </c>
      <c r="C95" s="36" t="s">
        <v>65</v>
      </c>
      <c r="D95" s="36" t="s">
        <v>37</v>
      </c>
      <c r="E95" s="36" t="s">
        <v>211</v>
      </c>
      <c r="F95" s="26" t="s">
        <v>1063</v>
      </c>
      <c r="G95" s="27">
        <v>657.22</v>
      </c>
      <c r="H95" s="27">
        <v>657.22</v>
      </c>
      <c r="I95" s="27">
        <v>657.22</v>
      </c>
      <c r="J95" s="80"/>
      <c r="K95" s="16">
        <f t="shared" si="31"/>
        <v>-657.22</v>
      </c>
      <c r="L95" s="80"/>
      <c r="M95" s="16">
        <f t="shared" si="32"/>
        <v>-657.22</v>
      </c>
      <c r="N95" s="80"/>
      <c r="O95" s="16">
        <f t="shared" si="33"/>
        <v>-657.22</v>
      </c>
    </row>
    <row r="96" spans="1:15" s="4" customFormat="1" ht="38.25">
      <c r="A96" s="12" t="s">
        <v>939</v>
      </c>
      <c r="B96" s="35" t="s">
        <v>55</v>
      </c>
      <c r="C96" s="36" t="s">
        <v>65</v>
      </c>
      <c r="D96" s="36" t="s">
        <v>37</v>
      </c>
      <c r="E96" s="36" t="s">
        <v>211</v>
      </c>
      <c r="F96" s="26" t="s">
        <v>1060</v>
      </c>
      <c r="G96" s="27">
        <v>198.48</v>
      </c>
      <c r="H96" s="27">
        <v>198.48</v>
      </c>
      <c r="I96" s="27">
        <v>198.48</v>
      </c>
      <c r="J96" s="80"/>
      <c r="K96" s="16">
        <f t="shared" si="31"/>
        <v>-198.48</v>
      </c>
      <c r="L96" s="80"/>
      <c r="M96" s="16">
        <f t="shared" si="32"/>
        <v>-198.48</v>
      </c>
      <c r="N96" s="80"/>
      <c r="O96" s="16">
        <f t="shared" si="33"/>
        <v>-198.48</v>
      </c>
    </row>
    <row r="97" spans="1:15" s="3" customFormat="1" ht="25.5">
      <c r="A97" s="11" t="s">
        <v>108</v>
      </c>
      <c r="B97" s="35" t="s">
        <v>55</v>
      </c>
      <c r="C97" s="36" t="s">
        <v>65</v>
      </c>
      <c r="D97" s="36" t="s">
        <v>37</v>
      </c>
      <c r="E97" s="36" t="s">
        <v>211</v>
      </c>
      <c r="F97" s="36" t="s">
        <v>116</v>
      </c>
      <c r="G97" s="27">
        <f>G98</f>
        <v>306.94</v>
      </c>
      <c r="H97" s="27">
        <f t="shared" ref="H97:I97" si="51">H98</f>
        <v>306.94</v>
      </c>
      <c r="I97" s="27">
        <f t="shared" si="51"/>
        <v>306.94</v>
      </c>
      <c r="J97" s="27">
        <f>306.94</f>
        <v>306.94</v>
      </c>
      <c r="K97" s="16">
        <f t="shared" si="31"/>
        <v>0</v>
      </c>
      <c r="L97" s="27">
        <f t="shared" ref="H97:N98" si="52">306.94</f>
        <v>306.94</v>
      </c>
      <c r="M97" s="16">
        <f t="shared" si="32"/>
        <v>0</v>
      </c>
      <c r="N97" s="27">
        <f t="shared" si="52"/>
        <v>306.94</v>
      </c>
      <c r="O97" s="16">
        <f t="shared" si="33"/>
        <v>0</v>
      </c>
    </row>
    <row r="98" spans="1:15" s="3" customFormat="1" ht="25.5">
      <c r="A98" s="12" t="s">
        <v>973</v>
      </c>
      <c r="B98" s="35" t="s">
        <v>55</v>
      </c>
      <c r="C98" s="36" t="s">
        <v>65</v>
      </c>
      <c r="D98" s="36" t="s">
        <v>37</v>
      </c>
      <c r="E98" s="36" t="s">
        <v>211</v>
      </c>
      <c r="F98" s="36" t="s">
        <v>1043</v>
      </c>
      <c r="G98" s="27">
        <f>306.94</f>
        <v>306.94</v>
      </c>
      <c r="H98" s="27">
        <f t="shared" si="52"/>
        <v>306.94</v>
      </c>
      <c r="I98" s="27">
        <f t="shared" si="52"/>
        <v>306.94</v>
      </c>
      <c r="J98" s="27"/>
      <c r="K98" s="16">
        <f t="shared" si="31"/>
        <v>-306.94</v>
      </c>
      <c r="L98" s="27"/>
      <c r="M98" s="16">
        <f t="shared" si="32"/>
        <v>-306.94</v>
      </c>
      <c r="N98" s="27"/>
      <c r="O98" s="16">
        <f t="shared" si="33"/>
        <v>-306.94</v>
      </c>
    </row>
    <row r="99" spans="1:15" s="3" customFormat="1" ht="38.25">
      <c r="A99" s="34" t="s">
        <v>596</v>
      </c>
      <c r="B99" s="35" t="s">
        <v>55</v>
      </c>
      <c r="C99" s="36" t="s">
        <v>65</v>
      </c>
      <c r="D99" s="36" t="s">
        <v>37</v>
      </c>
      <c r="E99" s="36" t="s">
        <v>212</v>
      </c>
      <c r="F99" s="36" t="s">
        <v>58</v>
      </c>
      <c r="G99" s="37">
        <f>G100</f>
        <v>9</v>
      </c>
      <c r="H99" s="37">
        <f>H100</f>
        <v>9</v>
      </c>
      <c r="I99" s="37">
        <f>I100</f>
        <v>9</v>
      </c>
      <c r="J99" s="37">
        <f>J100</f>
        <v>9</v>
      </c>
      <c r="K99" s="16">
        <f t="shared" si="31"/>
        <v>0</v>
      </c>
      <c r="L99" s="37">
        <f>L100</f>
        <v>9</v>
      </c>
      <c r="M99" s="16">
        <f t="shared" si="32"/>
        <v>0</v>
      </c>
      <c r="N99" s="37">
        <f>N100</f>
        <v>9</v>
      </c>
      <c r="O99" s="16">
        <f t="shared" si="33"/>
        <v>0</v>
      </c>
    </row>
    <row r="100" spans="1:15" s="3" customFormat="1" ht="25.5">
      <c r="A100" s="11" t="s">
        <v>108</v>
      </c>
      <c r="B100" s="35" t="s">
        <v>55</v>
      </c>
      <c r="C100" s="36" t="s">
        <v>65</v>
      </c>
      <c r="D100" s="36" t="s">
        <v>37</v>
      </c>
      <c r="E100" s="36" t="s">
        <v>212</v>
      </c>
      <c r="F100" s="36" t="s">
        <v>116</v>
      </c>
      <c r="G100" s="27">
        <f>G101</f>
        <v>9</v>
      </c>
      <c r="H100" s="27">
        <f t="shared" ref="H100:I100" si="53">H101</f>
        <v>9</v>
      </c>
      <c r="I100" s="27">
        <f t="shared" si="53"/>
        <v>9</v>
      </c>
      <c r="J100" s="27">
        <f>9</f>
        <v>9</v>
      </c>
      <c r="K100" s="16">
        <f t="shared" si="31"/>
        <v>0</v>
      </c>
      <c r="L100" s="27">
        <f>9</f>
        <v>9</v>
      </c>
      <c r="M100" s="16">
        <f t="shared" si="32"/>
        <v>0</v>
      </c>
      <c r="N100" s="27">
        <f>9</f>
        <v>9</v>
      </c>
      <c r="O100" s="16">
        <f t="shared" si="33"/>
        <v>0</v>
      </c>
    </row>
    <row r="101" spans="1:15" s="4" customFormat="1" ht="25.5">
      <c r="A101" s="12" t="s">
        <v>973</v>
      </c>
      <c r="B101" s="35" t="s">
        <v>55</v>
      </c>
      <c r="C101" s="36" t="s">
        <v>65</v>
      </c>
      <c r="D101" s="36" t="s">
        <v>37</v>
      </c>
      <c r="E101" s="36" t="s">
        <v>212</v>
      </c>
      <c r="F101" s="36" t="s">
        <v>1043</v>
      </c>
      <c r="G101" s="27">
        <f>9</f>
        <v>9</v>
      </c>
      <c r="H101" s="27">
        <f>9</f>
        <v>9</v>
      </c>
      <c r="I101" s="27">
        <f>9</f>
        <v>9</v>
      </c>
      <c r="J101" s="80"/>
      <c r="K101" s="16">
        <f t="shared" si="31"/>
        <v>-9</v>
      </c>
      <c r="L101" s="80"/>
      <c r="M101" s="16">
        <f t="shared" si="32"/>
        <v>-9</v>
      </c>
      <c r="N101" s="80"/>
      <c r="O101" s="16">
        <f t="shared" si="33"/>
        <v>-9</v>
      </c>
    </row>
    <row r="102" spans="1:15" s="3" customFormat="1">
      <c r="A102" s="21" t="s">
        <v>57</v>
      </c>
      <c r="B102" s="22" t="s">
        <v>55</v>
      </c>
      <c r="C102" s="23" t="s">
        <v>65</v>
      </c>
      <c r="D102" s="23" t="s">
        <v>8</v>
      </c>
      <c r="E102" s="23" t="s">
        <v>196</v>
      </c>
      <c r="F102" s="23" t="s">
        <v>58</v>
      </c>
      <c r="G102" s="24">
        <f>G103</f>
        <v>136.80000000000001</v>
      </c>
      <c r="H102" s="24">
        <f>H103</f>
        <v>136.80000000000001</v>
      </c>
      <c r="I102" s="24">
        <f>I103</f>
        <v>136.80000000000001</v>
      </c>
      <c r="J102" s="24">
        <f>J103</f>
        <v>136.80000000000001</v>
      </c>
      <c r="K102" s="16">
        <f t="shared" si="31"/>
        <v>0</v>
      </c>
      <c r="L102" s="24">
        <f>L103</f>
        <v>136.80000000000001</v>
      </c>
      <c r="M102" s="16">
        <f t="shared" si="32"/>
        <v>0</v>
      </c>
      <c r="N102" s="24">
        <f>N103</f>
        <v>136.80000000000001</v>
      </c>
      <c r="O102" s="16">
        <f t="shared" si="33"/>
        <v>0</v>
      </c>
    </row>
    <row r="103" spans="1:15" s="3" customFormat="1" ht="38.25">
      <c r="A103" s="11" t="s">
        <v>683</v>
      </c>
      <c r="B103" s="25" t="s">
        <v>55</v>
      </c>
      <c r="C103" s="26" t="s">
        <v>65</v>
      </c>
      <c r="D103" s="36" t="s">
        <v>8</v>
      </c>
      <c r="E103" s="26" t="s">
        <v>680</v>
      </c>
      <c r="F103" s="26" t="s">
        <v>58</v>
      </c>
      <c r="G103" s="27">
        <f t="shared" ref="G103:N106" si="54">G104</f>
        <v>136.80000000000001</v>
      </c>
      <c r="H103" s="27">
        <f t="shared" si="54"/>
        <v>136.80000000000001</v>
      </c>
      <c r="I103" s="27">
        <f t="shared" si="54"/>
        <v>136.80000000000001</v>
      </c>
      <c r="J103" s="27">
        <f t="shared" si="54"/>
        <v>136.80000000000001</v>
      </c>
      <c r="K103" s="16">
        <f t="shared" si="31"/>
        <v>0</v>
      </c>
      <c r="L103" s="27">
        <f t="shared" si="54"/>
        <v>136.80000000000001</v>
      </c>
      <c r="M103" s="16">
        <f t="shared" si="32"/>
        <v>0</v>
      </c>
      <c r="N103" s="27">
        <f t="shared" si="54"/>
        <v>136.80000000000001</v>
      </c>
      <c r="O103" s="16">
        <f t="shared" si="33"/>
        <v>0</v>
      </c>
    </row>
    <row r="104" spans="1:15" s="3" customFormat="1">
      <c r="A104" s="11" t="s">
        <v>684</v>
      </c>
      <c r="B104" s="25" t="s">
        <v>55</v>
      </c>
      <c r="C104" s="26" t="s">
        <v>65</v>
      </c>
      <c r="D104" s="36" t="s">
        <v>8</v>
      </c>
      <c r="E104" s="26" t="s">
        <v>681</v>
      </c>
      <c r="F104" s="26" t="s">
        <v>58</v>
      </c>
      <c r="G104" s="27">
        <f t="shared" si="54"/>
        <v>136.80000000000001</v>
      </c>
      <c r="H104" s="27">
        <f t="shared" si="54"/>
        <v>136.80000000000001</v>
      </c>
      <c r="I104" s="27">
        <f t="shared" si="54"/>
        <v>136.80000000000001</v>
      </c>
      <c r="J104" s="27">
        <f t="shared" si="54"/>
        <v>136.80000000000001</v>
      </c>
      <c r="K104" s="16">
        <f t="shared" si="31"/>
        <v>0</v>
      </c>
      <c r="L104" s="27">
        <f t="shared" si="54"/>
        <v>136.80000000000001</v>
      </c>
      <c r="M104" s="16">
        <f t="shared" si="32"/>
        <v>0</v>
      </c>
      <c r="N104" s="27">
        <f t="shared" si="54"/>
        <v>136.80000000000001</v>
      </c>
      <c r="O104" s="16">
        <f t="shared" si="33"/>
        <v>0</v>
      </c>
    </row>
    <row r="105" spans="1:15" s="3" customFormat="1" ht="38.25">
      <c r="A105" s="34" t="s">
        <v>903</v>
      </c>
      <c r="B105" s="35" t="s">
        <v>55</v>
      </c>
      <c r="C105" s="36" t="s">
        <v>65</v>
      </c>
      <c r="D105" s="36" t="s">
        <v>8</v>
      </c>
      <c r="E105" s="36" t="s">
        <v>682</v>
      </c>
      <c r="F105" s="36" t="s">
        <v>58</v>
      </c>
      <c r="G105" s="37">
        <f t="shared" si="54"/>
        <v>136.80000000000001</v>
      </c>
      <c r="H105" s="37">
        <f t="shared" si="54"/>
        <v>136.80000000000001</v>
      </c>
      <c r="I105" s="37">
        <f t="shared" si="54"/>
        <v>136.80000000000001</v>
      </c>
      <c r="J105" s="37">
        <f t="shared" si="54"/>
        <v>136.80000000000001</v>
      </c>
      <c r="K105" s="16">
        <f t="shared" si="31"/>
        <v>0</v>
      </c>
      <c r="L105" s="37">
        <f t="shared" si="54"/>
        <v>136.80000000000001</v>
      </c>
      <c r="M105" s="16">
        <f t="shared" si="32"/>
        <v>0</v>
      </c>
      <c r="N105" s="37">
        <f t="shared" si="54"/>
        <v>136.80000000000001</v>
      </c>
      <c r="O105" s="16">
        <f t="shared" si="33"/>
        <v>0</v>
      </c>
    </row>
    <row r="106" spans="1:15" s="3" customFormat="1" ht="25.5">
      <c r="A106" s="11" t="s">
        <v>108</v>
      </c>
      <c r="B106" s="35" t="s">
        <v>55</v>
      </c>
      <c r="C106" s="36" t="s">
        <v>65</v>
      </c>
      <c r="D106" s="36" t="s">
        <v>8</v>
      </c>
      <c r="E106" s="36" t="s">
        <v>682</v>
      </c>
      <c r="F106" s="36" t="s">
        <v>116</v>
      </c>
      <c r="G106" s="27">
        <f>G107</f>
        <v>136.80000000000001</v>
      </c>
      <c r="H106" s="27">
        <f t="shared" si="54"/>
        <v>136.80000000000001</v>
      </c>
      <c r="I106" s="27">
        <f t="shared" si="54"/>
        <v>136.80000000000001</v>
      </c>
      <c r="J106" s="27">
        <f>136.8</f>
        <v>136.80000000000001</v>
      </c>
      <c r="K106" s="16">
        <f t="shared" si="31"/>
        <v>0</v>
      </c>
      <c r="L106" s="27">
        <f>136.8</f>
        <v>136.80000000000001</v>
      </c>
      <c r="M106" s="16">
        <f t="shared" si="32"/>
        <v>0</v>
      </c>
      <c r="N106" s="27">
        <f>136.8</f>
        <v>136.80000000000001</v>
      </c>
      <c r="O106" s="16">
        <f t="shared" si="33"/>
        <v>0</v>
      </c>
    </row>
    <row r="107" spans="1:15" s="4" customFormat="1" ht="25.5">
      <c r="A107" s="12" t="s">
        <v>973</v>
      </c>
      <c r="B107" s="35" t="s">
        <v>55</v>
      </c>
      <c r="C107" s="36" t="s">
        <v>65</v>
      </c>
      <c r="D107" s="36" t="s">
        <v>8</v>
      </c>
      <c r="E107" s="36" t="s">
        <v>682</v>
      </c>
      <c r="F107" s="36" t="s">
        <v>1043</v>
      </c>
      <c r="G107" s="27">
        <f>136.8</f>
        <v>136.80000000000001</v>
      </c>
      <c r="H107" s="27">
        <f>136.8</f>
        <v>136.80000000000001</v>
      </c>
      <c r="I107" s="27">
        <f>136.8</f>
        <v>136.80000000000001</v>
      </c>
      <c r="J107" s="80"/>
      <c r="K107" s="16">
        <f t="shared" si="31"/>
        <v>-136.80000000000001</v>
      </c>
      <c r="L107" s="80"/>
      <c r="M107" s="16">
        <f t="shared" si="32"/>
        <v>-136.80000000000001</v>
      </c>
      <c r="N107" s="80"/>
      <c r="O107" s="16">
        <f t="shared" si="33"/>
        <v>-136.80000000000001</v>
      </c>
    </row>
    <row r="108" spans="1:15" s="3" customFormat="1">
      <c r="A108" s="21" t="s">
        <v>38</v>
      </c>
      <c r="B108" s="22" t="s">
        <v>55</v>
      </c>
      <c r="C108" s="23" t="s">
        <v>65</v>
      </c>
      <c r="D108" s="23" t="s">
        <v>84</v>
      </c>
      <c r="E108" s="23" t="s">
        <v>196</v>
      </c>
      <c r="F108" s="23" t="s">
        <v>58</v>
      </c>
      <c r="G108" s="24">
        <f>G109+G118+G124+G158+G187+G193+G206</f>
        <v>132806.15999999997</v>
      </c>
      <c r="H108" s="24">
        <f>H109+H118+H124+H158+H187+H193+H206</f>
        <v>123046.69999999998</v>
      </c>
      <c r="I108" s="24">
        <f>I109+I118+I124+I158+I187+I193+I206</f>
        <v>123046.69999999998</v>
      </c>
      <c r="J108" s="24">
        <f>J109+J118+J124+J158+J187+J193+J206</f>
        <v>132806.15999999997</v>
      </c>
      <c r="K108" s="16">
        <f t="shared" si="31"/>
        <v>0</v>
      </c>
      <c r="L108" s="24">
        <f>L109+L118+L124+L158+L187+L193+L206</f>
        <v>123046.69999999998</v>
      </c>
      <c r="M108" s="16">
        <f t="shared" si="32"/>
        <v>0</v>
      </c>
      <c r="N108" s="24">
        <f>N109+N118+N124+N158+N187+N193+N206</f>
        <v>123046.69999999998</v>
      </c>
      <c r="O108" s="16">
        <f t="shared" si="33"/>
        <v>0</v>
      </c>
    </row>
    <row r="109" spans="1:15" s="3" customFormat="1" ht="25.5">
      <c r="A109" s="34" t="s">
        <v>747</v>
      </c>
      <c r="B109" s="25" t="s">
        <v>55</v>
      </c>
      <c r="C109" s="26" t="s">
        <v>65</v>
      </c>
      <c r="D109" s="26" t="s">
        <v>84</v>
      </c>
      <c r="E109" s="26" t="s">
        <v>215</v>
      </c>
      <c r="F109" s="26" t="s">
        <v>58</v>
      </c>
      <c r="G109" s="27">
        <f t="shared" ref="G109:N110" si="55">G110</f>
        <v>2195</v>
      </c>
      <c r="H109" s="27">
        <f t="shared" si="55"/>
        <v>1975.5</v>
      </c>
      <c r="I109" s="27">
        <f t="shared" si="55"/>
        <v>1975.5</v>
      </c>
      <c r="J109" s="27">
        <f t="shared" si="55"/>
        <v>2195</v>
      </c>
      <c r="K109" s="16">
        <f t="shared" si="31"/>
        <v>0</v>
      </c>
      <c r="L109" s="27">
        <f t="shared" si="55"/>
        <v>1975.5</v>
      </c>
      <c r="M109" s="16">
        <f t="shared" si="32"/>
        <v>0</v>
      </c>
      <c r="N109" s="27">
        <f t="shared" si="55"/>
        <v>1975.5</v>
      </c>
      <c r="O109" s="16">
        <f t="shared" si="33"/>
        <v>0</v>
      </c>
    </row>
    <row r="110" spans="1:15" s="3" customFormat="1" ht="25.5">
      <c r="A110" s="34" t="s">
        <v>765</v>
      </c>
      <c r="B110" s="25" t="s">
        <v>55</v>
      </c>
      <c r="C110" s="26" t="s">
        <v>65</v>
      </c>
      <c r="D110" s="26" t="s">
        <v>84</v>
      </c>
      <c r="E110" s="26" t="s">
        <v>216</v>
      </c>
      <c r="F110" s="26" t="s">
        <v>58</v>
      </c>
      <c r="G110" s="27">
        <f t="shared" si="55"/>
        <v>2195</v>
      </c>
      <c r="H110" s="27">
        <f t="shared" si="55"/>
        <v>1975.5</v>
      </c>
      <c r="I110" s="27">
        <f t="shared" si="55"/>
        <v>1975.5</v>
      </c>
      <c r="J110" s="27">
        <f t="shared" si="55"/>
        <v>2195</v>
      </c>
      <c r="K110" s="16">
        <f t="shared" si="31"/>
        <v>0</v>
      </c>
      <c r="L110" s="27">
        <f t="shared" si="55"/>
        <v>1975.5</v>
      </c>
      <c r="M110" s="16">
        <f t="shared" si="32"/>
        <v>0</v>
      </c>
      <c r="N110" s="27">
        <f t="shared" si="55"/>
        <v>1975.5</v>
      </c>
      <c r="O110" s="16">
        <f t="shared" si="33"/>
        <v>0</v>
      </c>
    </row>
    <row r="111" spans="1:15" s="3" customFormat="1" ht="38.25">
      <c r="A111" s="34" t="s">
        <v>845</v>
      </c>
      <c r="B111" s="25" t="s">
        <v>55</v>
      </c>
      <c r="C111" s="26" t="s">
        <v>65</v>
      </c>
      <c r="D111" s="26" t="s">
        <v>84</v>
      </c>
      <c r="E111" s="26" t="s">
        <v>217</v>
      </c>
      <c r="F111" s="26" t="s">
        <v>58</v>
      </c>
      <c r="G111" s="27">
        <f>G112+G115</f>
        <v>2195</v>
      </c>
      <c r="H111" s="27">
        <f>H112+H115</f>
        <v>1975.5</v>
      </c>
      <c r="I111" s="27">
        <f>I112+I115</f>
        <v>1975.5</v>
      </c>
      <c r="J111" s="27">
        <f>J112+J115</f>
        <v>2195</v>
      </c>
      <c r="K111" s="16">
        <f t="shared" si="31"/>
        <v>0</v>
      </c>
      <c r="L111" s="27">
        <f>L112+L115</f>
        <v>1975.5</v>
      </c>
      <c r="M111" s="16">
        <f t="shared" si="32"/>
        <v>0</v>
      </c>
      <c r="N111" s="27">
        <f>N112+N115</f>
        <v>1975.5</v>
      </c>
      <c r="O111" s="16">
        <f t="shared" si="33"/>
        <v>0</v>
      </c>
    </row>
    <row r="112" spans="1:15" s="3" customFormat="1" ht="38.25">
      <c r="A112" s="34" t="s">
        <v>844</v>
      </c>
      <c r="B112" s="25" t="s">
        <v>55</v>
      </c>
      <c r="C112" s="26" t="s">
        <v>65</v>
      </c>
      <c r="D112" s="26" t="s">
        <v>84</v>
      </c>
      <c r="E112" s="26" t="s">
        <v>218</v>
      </c>
      <c r="F112" s="26" t="s">
        <v>58</v>
      </c>
      <c r="G112" s="27">
        <f>G113</f>
        <v>1405</v>
      </c>
      <c r="H112" s="27">
        <f>H113</f>
        <v>1185.5</v>
      </c>
      <c r="I112" s="27">
        <f>I113</f>
        <v>1185.5</v>
      </c>
      <c r="J112" s="27">
        <f>J113</f>
        <v>1405</v>
      </c>
      <c r="K112" s="16">
        <f t="shared" si="31"/>
        <v>0</v>
      </c>
      <c r="L112" s="27">
        <f>L113</f>
        <v>1185.5</v>
      </c>
      <c r="M112" s="16">
        <f t="shared" si="32"/>
        <v>0</v>
      </c>
      <c r="N112" s="27">
        <f>N113</f>
        <v>1185.5</v>
      </c>
      <c r="O112" s="16">
        <f t="shared" si="33"/>
        <v>0</v>
      </c>
    </row>
    <row r="113" spans="1:15" s="3" customFormat="1">
      <c r="A113" s="11" t="s">
        <v>97</v>
      </c>
      <c r="B113" s="25" t="s">
        <v>55</v>
      </c>
      <c r="C113" s="26" t="s">
        <v>65</v>
      </c>
      <c r="D113" s="26" t="s">
        <v>84</v>
      </c>
      <c r="E113" s="26" t="s">
        <v>218</v>
      </c>
      <c r="F113" s="26" t="s">
        <v>118</v>
      </c>
      <c r="G113" s="27">
        <f>G114</f>
        <v>1405</v>
      </c>
      <c r="H113" s="27">
        <f t="shared" ref="H113:I113" si="56">H114</f>
        <v>1185.5</v>
      </c>
      <c r="I113" s="27">
        <f t="shared" si="56"/>
        <v>1185.5</v>
      </c>
      <c r="J113" s="27">
        <f>1405</f>
        <v>1405</v>
      </c>
      <c r="K113" s="16">
        <f t="shared" si="31"/>
        <v>0</v>
      </c>
      <c r="L113" s="27">
        <f>1185.5</f>
        <v>1185.5</v>
      </c>
      <c r="M113" s="16">
        <f t="shared" si="32"/>
        <v>0</v>
      </c>
      <c r="N113" s="27">
        <f>1185.5</f>
        <v>1185.5</v>
      </c>
      <c r="O113" s="16">
        <f t="shared" si="33"/>
        <v>0</v>
      </c>
    </row>
    <row r="114" spans="1:15" s="4" customFormat="1">
      <c r="A114" s="12" t="s">
        <v>1038</v>
      </c>
      <c r="B114" s="25" t="s">
        <v>55</v>
      </c>
      <c r="C114" s="26" t="s">
        <v>65</v>
      </c>
      <c r="D114" s="26" t="s">
        <v>84</v>
      </c>
      <c r="E114" s="26" t="s">
        <v>218</v>
      </c>
      <c r="F114" s="26" t="s">
        <v>1066</v>
      </c>
      <c r="G114" s="27">
        <f>1405</f>
        <v>1405</v>
      </c>
      <c r="H114" s="27">
        <f>1185.5</f>
        <v>1185.5</v>
      </c>
      <c r="I114" s="27">
        <f>1185.5</f>
        <v>1185.5</v>
      </c>
      <c r="J114" s="80"/>
      <c r="K114" s="16">
        <f t="shared" si="31"/>
        <v>-1405</v>
      </c>
      <c r="L114" s="80"/>
      <c r="M114" s="16">
        <f t="shared" si="32"/>
        <v>-1185.5</v>
      </c>
      <c r="N114" s="80"/>
      <c r="O114" s="16">
        <f t="shared" si="33"/>
        <v>-1185.5</v>
      </c>
    </row>
    <row r="115" spans="1:15" s="3" customFormat="1" ht="63.75">
      <c r="A115" s="34" t="s">
        <v>846</v>
      </c>
      <c r="B115" s="25" t="s">
        <v>55</v>
      </c>
      <c r="C115" s="26" t="s">
        <v>65</v>
      </c>
      <c r="D115" s="26" t="s">
        <v>84</v>
      </c>
      <c r="E115" s="26" t="s">
        <v>219</v>
      </c>
      <c r="F115" s="26" t="s">
        <v>58</v>
      </c>
      <c r="G115" s="27">
        <f>G116</f>
        <v>790</v>
      </c>
      <c r="H115" s="27">
        <f>H116</f>
        <v>790</v>
      </c>
      <c r="I115" s="27">
        <f>I116</f>
        <v>790</v>
      </c>
      <c r="J115" s="27">
        <f>J116</f>
        <v>790</v>
      </c>
      <c r="K115" s="16">
        <f t="shared" si="31"/>
        <v>0</v>
      </c>
      <c r="L115" s="27">
        <f>L116</f>
        <v>790</v>
      </c>
      <c r="M115" s="16">
        <f t="shared" si="32"/>
        <v>0</v>
      </c>
      <c r="N115" s="27">
        <f>N116</f>
        <v>790</v>
      </c>
      <c r="O115" s="16">
        <f t="shared" si="33"/>
        <v>0</v>
      </c>
    </row>
    <row r="116" spans="1:15" s="3" customFormat="1" ht="25.5">
      <c r="A116" s="11" t="s">
        <v>108</v>
      </c>
      <c r="B116" s="25" t="s">
        <v>55</v>
      </c>
      <c r="C116" s="26" t="s">
        <v>65</v>
      </c>
      <c r="D116" s="26" t="s">
        <v>84</v>
      </c>
      <c r="E116" s="26" t="s">
        <v>219</v>
      </c>
      <c r="F116" s="26" t="s">
        <v>116</v>
      </c>
      <c r="G116" s="27">
        <f>790</f>
        <v>790</v>
      </c>
      <c r="H116" s="27">
        <f>790</f>
        <v>790</v>
      </c>
      <c r="I116" s="27">
        <f>790</f>
        <v>790</v>
      </c>
      <c r="J116" s="27">
        <f>790</f>
        <v>790</v>
      </c>
      <c r="K116" s="16">
        <f t="shared" si="31"/>
        <v>0</v>
      </c>
      <c r="L116" s="27">
        <f>790</f>
        <v>790</v>
      </c>
      <c r="M116" s="16">
        <f t="shared" si="32"/>
        <v>0</v>
      </c>
      <c r="N116" s="27">
        <f>790</f>
        <v>790</v>
      </c>
      <c r="O116" s="16">
        <f t="shared" si="33"/>
        <v>0</v>
      </c>
    </row>
    <row r="117" spans="1:15" s="3" customFormat="1" ht="25.5">
      <c r="A117" s="12" t="s">
        <v>973</v>
      </c>
      <c r="B117" s="25" t="s">
        <v>55</v>
      </c>
      <c r="C117" s="26" t="s">
        <v>65</v>
      </c>
      <c r="D117" s="26" t="s">
        <v>84</v>
      </c>
      <c r="E117" s="26" t="s">
        <v>219</v>
      </c>
      <c r="F117" s="26" t="s">
        <v>1043</v>
      </c>
      <c r="G117" s="27">
        <f>790</f>
        <v>790</v>
      </c>
      <c r="H117" s="27">
        <f>790</f>
        <v>790</v>
      </c>
      <c r="I117" s="27">
        <f>790</f>
        <v>790</v>
      </c>
      <c r="J117" s="27"/>
      <c r="K117" s="16">
        <f t="shared" si="31"/>
        <v>-790</v>
      </c>
      <c r="L117" s="27"/>
      <c r="M117" s="16">
        <f t="shared" si="32"/>
        <v>-790</v>
      </c>
      <c r="N117" s="27"/>
      <c r="O117" s="16">
        <f t="shared" si="33"/>
        <v>-790</v>
      </c>
    </row>
    <row r="118" spans="1:15" s="3" customFormat="1" ht="25.5">
      <c r="A118" s="34" t="s">
        <v>748</v>
      </c>
      <c r="B118" s="25" t="s">
        <v>55</v>
      </c>
      <c r="C118" s="26" t="s">
        <v>65</v>
      </c>
      <c r="D118" s="26" t="s">
        <v>84</v>
      </c>
      <c r="E118" s="26" t="s">
        <v>220</v>
      </c>
      <c r="F118" s="26" t="s">
        <v>58</v>
      </c>
      <c r="G118" s="27">
        <f>G119</f>
        <v>145</v>
      </c>
      <c r="H118" s="27">
        <f>H119</f>
        <v>100</v>
      </c>
      <c r="I118" s="27">
        <f>I119</f>
        <v>100</v>
      </c>
      <c r="J118" s="27">
        <f>J119</f>
        <v>145</v>
      </c>
      <c r="K118" s="16">
        <f t="shared" si="31"/>
        <v>0</v>
      </c>
      <c r="L118" s="27">
        <f>L119</f>
        <v>100</v>
      </c>
      <c r="M118" s="16">
        <f t="shared" si="32"/>
        <v>0</v>
      </c>
      <c r="N118" s="27">
        <f>N119</f>
        <v>100</v>
      </c>
      <c r="O118" s="16">
        <f t="shared" si="33"/>
        <v>0</v>
      </c>
    </row>
    <row r="119" spans="1:15" s="3" customFormat="1" ht="25.5">
      <c r="A119" s="11" t="s">
        <v>750</v>
      </c>
      <c r="B119" s="25" t="s">
        <v>55</v>
      </c>
      <c r="C119" s="26" t="s">
        <v>65</v>
      </c>
      <c r="D119" s="26" t="s">
        <v>84</v>
      </c>
      <c r="E119" s="26" t="s">
        <v>225</v>
      </c>
      <c r="F119" s="26" t="s">
        <v>58</v>
      </c>
      <c r="G119" s="27">
        <f>G120</f>
        <v>145</v>
      </c>
      <c r="H119" s="27">
        <f t="shared" ref="H119:N119" si="57">H120</f>
        <v>100</v>
      </c>
      <c r="I119" s="27">
        <f t="shared" si="57"/>
        <v>100</v>
      </c>
      <c r="J119" s="27">
        <f>J120</f>
        <v>145</v>
      </c>
      <c r="K119" s="16">
        <f t="shared" si="31"/>
        <v>0</v>
      </c>
      <c r="L119" s="27">
        <f t="shared" si="57"/>
        <v>100</v>
      </c>
      <c r="M119" s="16">
        <f t="shared" si="32"/>
        <v>0</v>
      </c>
      <c r="N119" s="27">
        <f t="shared" si="57"/>
        <v>100</v>
      </c>
      <c r="O119" s="16">
        <f t="shared" si="33"/>
        <v>0</v>
      </c>
    </row>
    <row r="120" spans="1:15" s="3" customFormat="1" ht="25.5">
      <c r="A120" s="34" t="s">
        <v>228</v>
      </c>
      <c r="B120" s="25" t="s">
        <v>55</v>
      </c>
      <c r="C120" s="26" t="s">
        <v>65</v>
      </c>
      <c r="D120" s="26" t="s">
        <v>84</v>
      </c>
      <c r="E120" s="26" t="s">
        <v>226</v>
      </c>
      <c r="F120" s="26" t="s">
        <v>58</v>
      </c>
      <c r="G120" s="27">
        <f>G121</f>
        <v>145</v>
      </c>
      <c r="H120" s="27">
        <f>H121</f>
        <v>100</v>
      </c>
      <c r="I120" s="27">
        <f>I121</f>
        <v>100</v>
      </c>
      <c r="J120" s="27">
        <f>J121</f>
        <v>145</v>
      </c>
      <c r="K120" s="16">
        <f t="shared" si="31"/>
        <v>0</v>
      </c>
      <c r="L120" s="27">
        <f>L121</f>
        <v>100</v>
      </c>
      <c r="M120" s="16">
        <f t="shared" si="32"/>
        <v>0</v>
      </c>
      <c r="N120" s="27">
        <f>N121</f>
        <v>100</v>
      </c>
      <c r="O120" s="16">
        <f t="shared" si="33"/>
        <v>0</v>
      </c>
    </row>
    <row r="121" spans="1:15" s="3" customFormat="1" ht="38.25">
      <c r="A121" s="34" t="s">
        <v>169</v>
      </c>
      <c r="B121" s="25" t="s">
        <v>55</v>
      </c>
      <c r="C121" s="26" t="s">
        <v>65</v>
      </c>
      <c r="D121" s="26" t="s">
        <v>84</v>
      </c>
      <c r="E121" s="26" t="s">
        <v>227</v>
      </c>
      <c r="F121" s="26" t="s">
        <v>58</v>
      </c>
      <c r="G121" s="27">
        <f>G122</f>
        <v>145</v>
      </c>
      <c r="H121" s="27">
        <f>H122</f>
        <v>100</v>
      </c>
      <c r="I121" s="27">
        <f>I122</f>
        <v>100</v>
      </c>
      <c r="J121" s="27">
        <f>J122</f>
        <v>145</v>
      </c>
      <c r="K121" s="16">
        <f t="shared" si="31"/>
        <v>0</v>
      </c>
      <c r="L121" s="27">
        <f>L122</f>
        <v>100</v>
      </c>
      <c r="M121" s="16">
        <f t="shared" si="32"/>
        <v>0</v>
      </c>
      <c r="N121" s="27">
        <f>N122</f>
        <v>100</v>
      </c>
      <c r="O121" s="16">
        <f t="shared" si="33"/>
        <v>0</v>
      </c>
    </row>
    <row r="122" spans="1:15" s="3" customFormat="1" ht="25.5">
      <c r="A122" s="11" t="s">
        <v>108</v>
      </c>
      <c r="B122" s="25" t="s">
        <v>55</v>
      </c>
      <c r="C122" s="26" t="s">
        <v>65</v>
      </c>
      <c r="D122" s="26" t="s">
        <v>84</v>
      </c>
      <c r="E122" s="26" t="s">
        <v>227</v>
      </c>
      <c r="F122" s="26" t="s">
        <v>116</v>
      </c>
      <c r="G122" s="27">
        <f>G123</f>
        <v>145</v>
      </c>
      <c r="H122" s="27">
        <f t="shared" ref="H122:I122" si="58">H123</f>
        <v>100</v>
      </c>
      <c r="I122" s="27">
        <f t="shared" si="58"/>
        <v>100</v>
      </c>
      <c r="J122" s="27">
        <f>145</f>
        <v>145</v>
      </c>
      <c r="K122" s="16">
        <f t="shared" si="31"/>
        <v>0</v>
      </c>
      <c r="L122" s="27">
        <f>100</f>
        <v>100</v>
      </c>
      <c r="M122" s="16">
        <f t="shared" si="32"/>
        <v>0</v>
      </c>
      <c r="N122" s="27">
        <f>100</f>
        <v>100</v>
      </c>
      <c r="O122" s="16">
        <f t="shared" si="33"/>
        <v>0</v>
      </c>
    </row>
    <row r="123" spans="1:15" s="4" customFormat="1" ht="25.5">
      <c r="A123" s="12" t="s">
        <v>973</v>
      </c>
      <c r="B123" s="25" t="s">
        <v>55</v>
      </c>
      <c r="C123" s="26" t="s">
        <v>65</v>
      </c>
      <c r="D123" s="26" t="s">
        <v>84</v>
      </c>
      <c r="E123" s="26" t="s">
        <v>227</v>
      </c>
      <c r="F123" s="26" t="s">
        <v>1043</v>
      </c>
      <c r="G123" s="27">
        <f>145</f>
        <v>145</v>
      </c>
      <c r="H123" s="27">
        <f>100</f>
        <v>100</v>
      </c>
      <c r="I123" s="27">
        <f>100</f>
        <v>100</v>
      </c>
      <c r="J123" s="80"/>
      <c r="K123" s="16">
        <f t="shared" si="31"/>
        <v>-145</v>
      </c>
      <c r="L123" s="80"/>
      <c r="M123" s="16">
        <f t="shared" si="32"/>
        <v>-100</v>
      </c>
      <c r="N123" s="80"/>
      <c r="O123" s="16">
        <f t="shared" si="33"/>
        <v>-100</v>
      </c>
    </row>
    <row r="124" spans="1:15" s="3" customFormat="1" ht="38.25">
      <c r="A124" s="34" t="s">
        <v>751</v>
      </c>
      <c r="B124" s="25" t="s">
        <v>55</v>
      </c>
      <c r="C124" s="26" t="s">
        <v>65</v>
      </c>
      <c r="D124" s="26" t="s">
        <v>84</v>
      </c>
      <c r="E124" s="26" t="s">
        <v>229</v>
      </c>
      <c r="F124" s="26" t="s">
        <v>58</v>
      </c>
      <c r="G124" s="27">
        <f>G125+G134</f>
        <v>79419.76999999999</v>
      </c>
      <c r="H124" s="27">
        <f>H125+H134</f>
        <v>78133.709999999992</v>
      </c>
      <c r="I124" s="27">
        <f>I125+I134</f>
        <v>78133.709999999992</v>
      </c>
      <c r="J124" s="27">
        <f>J125+J134</f>
        <v>79419.76999999999</v>
      </c>
      <c r="K124" s="16">
        <f t="shared" si="31"/>
        <v>0</v>
      </c>
      <c r="L124" s="27">
        <f>L125+L134</f>
        <v>78133.709999999992</v>
      </c>
      <c r="M124" s="16">
        <f t="shared" si="32"/>
        <v>0</v>
      </c>
      <c r="N124" s="27">
        <f>N125+N134</f>
        <v>78133.709999999992</v>
      </c>
      <c r="O124" s="16">
        <f t="shared" si="33"/>
        <v>0</v>
      </c>
    </row>
    <row r="125" spans="1:15" s="3" customFormat="1" ht="25.5">
      <c r="A125" s="34" t="s">
        <v>119</v>
      </c>
      <c r="B125" s="25" t="s">
        <v>55</v>
      </c>
      <c r="C125" s="26" t="s">
        <v>65</v>
      </c>
      <c r="D125" s="26" t="s">
        <v>84</v>
      </c>
      <c r="E125" s="26" t="s">
        <v>230</v>
      </c>
      <c r="F125" s="26" t="s">
        <v>58</v>
      </c>
      <c r="G125" s="27">
        <f>G126+G130</f>
        <v>12176.54</v>
      </c>
      <c r="H125" s="27">
        <f t="shared" ref="H125:I125" si="59">H126+H130</f>
        <v>10818.880000000001</v>
      </c>
      <c r="I125" s="27">
        <f t="shared" si="59"/>
        <v>10818.880000000001</v>
      </c>
      <c r="J125" s="27">
        <f>J126+J130</f>
        <v>12176.54</v>
      </c>
      <c r="K125" s="16">
        <f t="shared" si="31"/>
        <v>0</v>
      </c>
      <c r="L125" s="27">
        <f t="shared" ref="L125" si="60">L126+L130</f>
        <v>10818.880000000001</v>
      </c>
      <c r="M125" s="16">
        <f t="shared" si="32"/>
        <v>0</v>
      </c>
      <c r="N125" s="27">
        <f t="shared" ref="N125" si="61">N126+N130</f>
        <v>10818.880000000001</v>
      </c>
      <c r="O125" s="16">
        <f t="shared" si="33"/>
        <v>0</v>
      </c>
    </row>
    <row r="126" spans="1:15" s="3" customFormat="1" ht="38.25">
      <c r="A126" s="34" t="s">
        <v>231</v>
      </c>
      <c r="B126" s="25" t="s">
        <v>55</v>
      </c>
      <c r="C126" s="26" t="s">
        <v>65</v>
      </c>
      <c r="D126" s="26" t="s">
        <v>84</v>
      </c>
      <c r="E126" s="26" t="s">
        <v>232</v>
      </c>
      <c r="F126" s="26" t="s">
        <v>58</v>
      </c>
      <c r="G126" s="27">
        <f t="shared" ref="G126:N128" si="62">G127</f>
        <v>9323.17</v>
      </c>
      <c r="H126" s="27">
        <f t="shared" si="62"/>
        <v>8250.85</v>
      </c>
      <c r="I126" s="27">
        <f t="shared" si="62"/>
        <v>8250.85</v>
      </c>
      <c r="J126" s="27">
        <f t="shared" si="62"/>
        <v>9323.17</v>
      </c>
      <c r="K126" s="16">
        <f t="shared" si="31"/>
        <v>0</v>
      </c>
      <c r="L126" s="27">
        <f t="shared" si="62"/>
        <v>8250.85</v>
      </c>
      <c r="M126" s="16">
        <f t="shared" si="32"/>
        <v>0</v>
      </c>
      <c r="N126" s="27">
        <f t="shared" si="62"/>
        <v>8250.85</v>
      </c>
      <c r="O126" s="16">
        <f t="shared" si="33"/>
        <v>0</v>
      </c>
    </row>
    <row r="127" spans="1:15" s="3" customFormat="1" ht="25.5">
      <c r="A127" s="34" t="s">
        <v>170</v>
      </c>
      <c r="B127" s="25" t="s">
        <v>55</v>
      </c>
      <c r="C127" s="26" t="s">
        <v>65</v>
      </c>
      <c r="D127" s="26" t="s">
        <v>84</v>
      </c>
      <c r="E127" s="26" t="s">
        <v>233</v>
      </c>
      <c r="F127" s="26" t="s">
        <v>58</v>
      </c>
      <c r="G127" s="27">
        <f t="shared" si="62"/>
        <v>9323.17</v>
      </c>
      <c r="H127" s="27">
        <f t="shared" si="62"/>
        <v>8250.85</v>
      </c>
      <c r="I127" s="27">
        <f t="shared" si="62"/>
        <v>8250.85</v>
      </c>
      <c r="J127" s="27">
        <f t="shared" si="62"/>
        <v>9323.17</v>
      </c>
      <c r="K127" s="16">
        <f t="shared" si="31"/>
        <v>0</v>
      </c>
      <c r="L127" s="27">
        <f t="shared" si="62"/>
        <v>8250.85</v>
      </c>
      <c r="M127" s="16">
        <f t="shared" si="32"/>
        <v>0</v>
      </c>
      <c r="N127" s="27">
        <f t="shared" si="62"/>
        <v>8250.85</v>
      </c>
      <c r="O127" s="16">
        <f t="shared" si="33"/>
        <v>0</v>
      </c>
    </row>
    <row r="128" spans="1:15" s="3" customFormat="1" ht="25.5">
      <c r="A128" s="11" t="s">
        <v>108</v>
      </c>
      <c r="B128" s="25" t="s">
        <v>55</v>
      </c>
      <c r="C128" s="26" t="s">
        <v>65</v>
      </c>
      <c r="D128" s="26" t="s">
        <v>84</v>
      </c>
      <c r="E128" s="26" t="s">
        <v>233</v>
      </c>
      <c r="F128" s="26" t="s">
        <v>116</v>
      </c>
      <c r="G128" s="27">
        <f>G129</f>
        <v>9323.17</v>
      </c>
      <c r="H128" s="27">
        <f t="shared" si="62"/>
        <v>8250.85</v>
      </c>
      <c r="I128" s="27">
        <f t="shared" si="62"/>
        <v>8250.85</v>
      </c>
      <c r="J128" s="27">
        <f>9323.17</f>
        <v>9323.17</v>
      </c>
      <c r="K128" s="16">
        <f t="shared" si="31"/>
        <v>0</v>
      </c>
      <c r="L128" s="27">
        <f>8250.85</f>
        <v>8250.85</v>
      </c>
      <c r="M128" s="16">
        <f t="shared" si="32"/>
        <v>0</v>
      </c>
      <c r="N128" s="27">
        <f>8250.85</f>
        <v>8250.85</v>
      </c>
      <c r="O128" s="16">
        <f t="shared" si="33"/>
        <v>0</v>
      </c>
    </row>
    <row r="129" spans="1:15" s="4" customFormat="1" ht="25.5">
      <c r="A129" s="12" t="s">
        <v>973</v>
      </c>
      <c r="B129" s="25" t="s">
        <v>55</v>
      </c>
      <c r="C129" s="26" t="s">
        <v>65</v>
      </c>
      <c r="D129" s="26" t="s">
        <v>84</v>
      </c>
      <c r="E129" s="26" t="s">
        <v>233</v>
      </c>
      <c r="F129" s="26" t="s">
        <v>1043</v>
      </c>
      <c r="G129" s="27">
        <f>9323.17</f>
        <v>9323.17</v>
      </c>
      <c r="H129" s="27">
        <f>8250.85</f>
        <v>8250.85</v>
      </c>
      <c r="I129" s="27">
        <f>8250.85</f>
        <v>8250.85</v>
      </c>
      <c r="J129" s="80"/>
      <c r="K129" s="16">
        <f t="shared" si="31"/>
        <v>-9323.17</v>
      </c>
      <c r="L129" s="80"/>
      <c r="M129" s="16">
        <f t="shared" si="32"/>
        <v>-8250.85</v>
      </c>
      <c r="N129" s="80"/>
      <c r="O129" s="16">
        <f t="shared" si="33"/>
        <v>-8250.85</v>
      </c>
    </row>
    <row r="130" spans="1:15" s="3" customFormat="1" ht="38.25">
      <c r="A130" s="34" t="s">
        <v>234</v>
      </c>
      <c r="B130" s="25" t="s">
        <v>55</v>
      </c>
      <c r="C130" s="26" t="s">
        <v>65</v>
      </c>
      <c r="D130" s="26" t="s">
        <v>84</v>
      </c>
      <c r="E130" s="26" t="s">
        <v>235</v>
      </c>
      <c r="F130" s="26" t="s">
        <v>58</v>
      </c>
      <c r="G130" s="27">
        <f t="shared" ref="G130:N132" si="63">G131</f>
        <v>2853.37</v>
      </c>
      <c r="H130" s="27">
        <f t="shared" si="63"/>
        <v>2568.0300000000002</v>
      </c>
      <c r="I130" s="27">
        <f t="shared" si="63"/>
        <v>2568.0300000000002</v>
      </c>
      <c r="J130" s="27">
        <f t="shared" si="63"/>
        <v>2853.37</v>
      </c>
      <c r="K130" s="16">
        <f t="shared" si="31"/>
        <v>0</v>
      </c>
      <c r="L130" s="27">
        <f t="shared" si="63"/>
        <v>2568.0300000000002</v>
      </c>
      <c r="M130" s="16">
        <f t="shared" si="32"/>
        <v>0</v>
      </c>
      <c r="N130" s="27">
        <f t="shared" si="63"/>
        <v>2568.0300000000002</v>
      </c>
      <c r="O130" s="16">
        <f t="shared" si="33"/>
        <v>0</v>
      </c>
    </row>
    <row r="131" spans="1:15" s="3" customFormat="1" ht="25.5">
      <c r="A131" s="34" t="s">
        <v>170</v>
      </c>
      <c r="B131" s="25" t="s">
        <v>55</v>
      </c>
      <c r="C131" s="26" t="s">
        <v>65</v>
      </c>
      <c r="D131" s="26" t="s">
        <v>84</v>
      </c>
      <c r="E131" s="26" t="s">
        <v>236</v>
      </c>
      <c r="F131" s="26" t="s">
        <v>58</v>
      </c>
      <c r="G131" s="27">
        <f t="shared" si="63"/>
        <v>2853.37</v>
      </c>
      <c r="H131" s="27">
        <f t="shared" si="63"/>
        <v>2568.0300000000002</v>
      </c>
      <c r="I131" s="27">
        <f t="shared" si="63"/>
        <v>2568.0300000000002</v>
      </c>
      <c r="J131" s="27">
        <f t="shared" si="63"/>
        <v>2853.37</v>
      </c>
      <c r="K131" s="16">
        <f t="shared" si="31"/>
        <v>0</v>
      </c>
      <c r="L131" s="27">
        <f t="shared" si="63"/>
        <v>2568.0300000000002</v>
      </c>
      <c r="M131" s="16">
        <f t="shared" si="32"/>
        <v>0</v>
      </c>
      <c r="N131" s="27">
        <f t="shared" si="63"/>
        <v>2568.0300000000002</v>
      </c>
      <c r="O131" s="16">
        <f t="shared" si="33"/>
        <v>0</v>
      </c>
    </row>
    <row r="132" spans="1:15" s="3" customFormat="1" ht="25.5">
      <c r="A132" s="11" t="s">
        <v>108</v>
      </c>
      <c r="B132" s="25" t="s">
        <v>55</v>
      </c>
      <c r="C132" s="26" t="s">
        <v>65</v>
      </c>
      <c r="D132" s="26" t="s">
        <v>84</v>
      </c>
      <c r="E132" s="26" t="s">
        <v>236</v>
      </c>
      <c r="F132" s="26" t="s">
        <v>116</v>
      </c>
      <c r="G132" s="27">
        <f>G133</f>
        <v>2853.37</v>
      </c>
      <c r="H132" s="27">
        <f t="shared" si="63"/>
        <v>2568.0300000000002</v>
      </c>
      <c r="I132" s="27">
        <f t="shared" si="63"/>
        <v>2568.0300000000002</v>
      </c>
      <c r="J132" s="27">
        <f>2853.37</f>
        <v>2853.37</v>
      </c>
      <c r="K132" s="16">
        <f t="shared" ref="K132:K195" si="64">J132-G132</f>
        <v>0</v>
      </c>
      <c r="L132" s="27">
        <f>2568.03</f>
        <v>2568.0300000000002</v>
      </c>
      <c r="M132" s="16">
        <f t="shared" ref="M132:M195" si="65">L132-H132</f>
        <v>0</v>
      </c>
      <c r="N132" s="27">
        <f>2568.03</f>
        <v>2568.0300000000002</v>
      </c>
      <c r="O132" s="16">
        <f t="shared" ref="O132:O195" si="66">N132-I132</f>
        <v>0</v>
      </c>
    </row>
    <row r="133" spans="1:15" s="4" customFormat="1" ht="25.5">
      <c r="A133" s="12" t="s">
        <v>973</v>
      </c>
      <c r="B133" s="25" t="s">
        <v>55</v>
      </c>
      <c r="C133" s="26" t="s">
        <v>65</v>
      </c>
      <c r="D133" s="26" t="s">
        <v>84</v>
      </c>
      <c r="E133" s="26" t="s">
        <v>236</v>
      </c>
      <c r="F133" s="26" t="s">
        <v>1043</v>
      </c>
      <c r="G133" s="27">
        <f>2853.37</f>
        <v>2853.37</v>
      </c>
      <c r="H133" s="27">
        <f>2568.03</f>
        <v>2568.0300000000002</v>
      </c>
      <c r="I133" s="27">
        <f>2568.03</f>
        <v>2568.0300000000002</v>
      </c>
      <c r="J133" s="80"/>
      <c r="K133" s="16">
        <f t="shared" si="64"/>
        <v>-2853.37</v>
      </c>
      <c r="L133" s="80"/>
      <c r="M133" s="16">
        <f t="shared" si="65"/>
        <v>-2568.0300000000002</v>
      </c>
      <c r="N133" s="80"/>
      <c r="O133" s="16">
        <f t="shared" si="66"/>
        <v>-2568.0300000000002</v>
      </c>
    </row>
    <row r="134" spans="1:15" s="3" customFormat="1" ht="38.25">
      <c r="A134" s="34" t="s">
        <v>871</v>
      </c>
      <c r="B134" s="25" t="s">
        <v>55</v>
      </c>
      <c r="C134" s="26" t="s">
        <v>65</v>
      </c>
      <c r="D134" s="26" t="s">
        <v>84</v>
      </c>
      <c r="E134" s="26" t="s">
        <v>240</v>
      </c>
      <c r="F134" s="26" t="s">
        <v>58</v>
      </c>
      <c r="G134" s="27">
        <f>G135+G139+G147+G143</f>
        <v>67243.23</v>
      </c>
      <c r="H134" s="27">
        <f t="shared" ref="H134:I134" si="67">H135+H139+H147+H143</f>
        <v>67314.829999999987</v>
      </c>
      <c r="I134" s="27">
        <f t="shared" si="67"/>
        <v>67314.829999999987</v>
      </c>
      <c r="J134" s="27">
        <f>J135+J139+J147+J143</f>
        <v>67243.23</v>
      </c>
      <c r="K134" s="16">
        <f t="shared" si="64"/>
        <v>0</v>
      </c>
      <c r="L134" s="27">
        <f t="shared" ref="L134:N134" si="68">L135+L139+L147+L143</f>
        <v>67314.829999999987</v>
      </c>
      <c r="M134" s="16">
        <f t="shared" si="65"/>
        <v>0</v>
      </c>
      <c r="N134" s="27">
        <f t="shared" si="68"/>
        <v>67314.829999999987</v>
      </c>
      <c r="O134" s="16">
        <f t="shared" si="66"/>
        <v>0</v>
      </c>
    </row>
    <row r="135" spans="1:15" s="3" customFormat="1" ht="25.5">
      <c r="A135" s="34" t="s">
        <v>849</v>
      </c>
      <c r="B135" s="25" t="s">
        <v>55</v>
      </c>
      <c r="C135" s="26" t="s">
        <v>65</v>
      </c>
      <c r="D135" s="26" t="s">
        <v>84</v>
      </c>
      <c r="E135" s="26" t="s">
        <v>241</v>
      </c>
      <c r="F135" s="26" t="s">
        <v>58</v>
      </c>
      <c r="G135" s="27">
        <f t="shared" ref="G135:N137" si="69">G136</f>
        <v>450</v>
      </c>
      <c r="H135" s="27">
        <f t="shared" si="69"/>
        <v>450</v>
      </c>
      <c r="I135" s="27">
        <f t="shared" si="69"/>
        <v>450</v>
      </c>
      <c r="J135" s="27">
        <f t="shared" si="69"/>
        <v>450</v>
      </c>
      <c r="K135" s="16">
        <f t="shared" si="64"/>
        <v>0</v>
      </c>
      <c r="L135" s="27">
        <f t="shared" si="69"/>
        <v>450</v>
      </c>
      <c r="M135" s="16">
        <f t="shared" si="65"/>
        <v>0</v>
      </c>
      <c r="N135" s="27">
        <f t="shared" si="69"/>
        <v>450</v>
      </c>
      <c r="O135" s="16">
        <f t="shared" si="66"/>
        <v>0</v>
      </c>
    </row>
    <row r="136" spans="1:15" s="3" customFormat="1" ht="38.25">
      <c r="A136" s="34" t="s">
        <v>872</v>
      </c>
      <c r="B136" s="25" t="s">
        <v>55</v>
      </c>
      <c r="C136" s="26" t="s">
        <v>65</v>
      </c>
      <c r="D136" s="26" t="s">
        <v>84</v>
      </c>
      <c r="E136" s="26" t="s">
        <v>242</v>
      </c>
      <c r="F136" s="26" t="s">
        <v>58</v>
      </c>
      <c r="G136" s="27">
        <f t="shared" si="69"/>
        <v>450</v>
      </c>
      <c r="H136" s="27">
        <f t="shared" si="69"/>
        <v>450</v>
      </c>
      <c r="I136" s="27">
        <f t="shared" si="69"/>
        <v>450</v>
      </c>
      <c r="J136" s="27">
        <f t="shared" si="69"/>
        <v>450</v>
      </c>
      <c r="K136" s="16">
        <f t="shared" si="64"/>
        <v>0</v>
      </c>
      <c r="L136" s="27">
        <f t="shared" si="69"/>
        <v>450</v>
      </c>
      <c r="M136" s="16">
        <f t="shared" si="65"/>
        <v>0</v>
      </c>
      <c r="N136" s="27">
        <f t="shared" si="69"/>
        <v>450</v>
      </c>
      <c r="O136" s="16">
        <f t="shared" si="66"/>
        <v>0</v>
      </c>
    </row>
    <row r="137" spans="1:15" s="3" customFormat="1" ht="25.5">
      <c r="A137" s="11" t="s">
        <v>108</v>
      </c>
      <c r="B137" s="25" t="s">
        <v>55</v>
      </c>
      <c r="C137" s="26" t="s">
        <v>65</v>
      </c>
      <c r="D137" s="26" t="s">
        <v>84</v>
      </c>
      <c r="E137" s="26" t="s">
        <v>242</v>
      </c>
      <c r="F137" s="26" t="s">
        <v>116</v>
      </c>
      <c r="G137" s="27">
        <f>G138</f>
        <v>450</v>
      </c>
      <c r="H137" s="27">
        <f t="shared" si="69"/>
        <v>450</v>
      </c>
      <c r="I137" s="27">
        <f t="shared" si="69"/>
        <v>450</v>
      </c>
      <c r="J137" s="27">
        <f>450</f>
        <v>450</v>
      </c>
      <c r="K137" s="16">
        <f t="shared" si="64"/>
        <v>0</v>
      </c>
      <c r="L137" s="27">
        <f>450</f>
        <v>450</v>
      </c>
      <c r="M137" s="16">
        <f t="shared" si="65"/>
        <v>0</v>
      </c>
      <c r="N137" s="27">
        <f>450</f>
        <v>450</v>
      </c>
      <c r="O137" s="16">
        <f t="shared" si="66"/>
        <v>0</v>
      </c>
    </row>
    <row r="138" spans="1:15" s="4" customFormat="1" ht="25.5">
      <c r="A138" s="12" t="s">
        <v>973</v>
      </c>
      <c r="B138" s="25" t="s">
        <v>55</v>
      </c>
      <c r="C138" s="26" t="s">
        <v>65</v>
      </c>
      <c r="D138" s="26" t="s">
        <v>84</v>
      </c>
      <c r="E138" s="26" t="s">
        <v>242</v>
      </c>
      <c r="F138" s="26" t="s">
        <v>1043</v>
      </c>
      <c r="G138" s="27">
        <f>450</f>
        <v>450</v>
      </c>
      <c r="H138" s="27">
        <f>450</f>
        <v>450</v>
      </c>
      <c r="I138" s="27">
        <f>450</f>
        <v>450</v>
      </c>
      <c r="J138" s="80"/>
      <c r="K138" s="16">
        <f t="shared" si="64"/>
        <v>-450</v>
      </c>
      <c r="L138" s="80"/>
      <c r="M138" s="16">
        <f t="shared" si="65"/>
        <v>-450</v>
      </c>
      <c r="N138" s="80"/>
      <c r="O138" s="16">
        <f t="shared" si="66"/>
        <v>-450</v>
      </c>
    </row>
    <row r="139" spans="1:15" s="3" customFormat="1" ht="51">
      <c r="A139" s="34" t="s">
        <v>604</v>
      </c>
      <c r="B139" s="25" t="s">
        <v>55</v>
      </c>
      <c r="C139" s="26" t="s">
        <v>65</v>
      </c>
      <c r="D139" s="26" t="s">
        <v>84</v>
      </c>
      <c r="E139" s="26" t="s">
        <v>243</v>
      </c>
      <c r="F139" s="26" t="s">
        <v>58</v>
      </c>
      <c r="G139" s="27">
        <f t="shared" ref="G139:N141" si="70">G140</f>
        <v>85</v>
      </c>
      <c r="H139" s="27">
        <f t="shared" si="70"/>
        <v>76.5</v>
      </c>
      <c r="I139" s="27">
        <f t="shared" si="70"/>
        <v>76.5</v>
      </c>
      <c r="J139" s="27">
        <f t="shared" si="70"/>
        <v>85</v>
      </c>
      <c r="K139" s="16">
        <f t="shared" si="64"/>
        <v>0</v>
      </c>
      <c r="L139" s="27">
        <f t="shared" si="70"/>
        <v>76.5</v>
      </c>
      <c r="M139" s="16">
        <f t="shared" si="65"/>
        <v>0</v>
      </c>
      <c r="N139" s="27">
        <f t="shared" si="70"/>
        <v>76.5</v>
      </c>
      <c r="O139" s="16">
        <f t="shared" si="66"/>
        <v>0</v>
      </c>
    </row>
    <row r="140" spans="1:15" s="3" customFormat="1" ht="38.25">
      <c r="A140" s="34" t="s">
        <v>872</v>
      </c>
      <c r="B140" s="25" t="s">
        <v>55</v>
      </c>
      <c r="C140" s="26" t="s">
        <v>65</v>
      </c>
      <c r="D140" s="26" t="s">
        <v>84</v>
      </c>
      <c r="E140" s="26" t="s">
        <v>244</v>
      </c>
      <c r="F140" s="26" t="s">
        <v>58</v>
      </c>
      <c r="G140" s="27">
        <f t="shared" si="70"/>
        <v>85</v>
      </c>
      <c r="H140" s="27">
        <f t="shared" si="70"/>
        <v>76.5</v>
      </c>
      <c r="I140" s="27">
        <f t="shared" si="70"/>
        <v>76.5</v>
      </c>
      <c r="J140" s="27">
        <f t="shared" si="70"/>
        <v>85</v>
      </c>
      <c r="K140" s="16">
        <f t="shared" si="64"/>
        <v>0</v>
      </c>
      <c r="L140" s="27">
        <f t="shared" si="70"/>
        <v>76.5</v>
      </c>
      <c r="M140" s="16">
        <f t="shared" si="65"/>
        <v>0</v>
      </c>
      <c r="N140" s="27">
        <f t="shared" si="70"/>
        <v>76.5</v>
      </c>
      <c r="O140" s="16">
        <f t="shared" si="66"/>
        <v>0</v>
      </c>
    </row>
    <row r="141" spans="1:15" s="3" customFormat="1" ht="25.5">
      <c r="A141" s="11" t="s">
        <v>108</v>
      </c>
      <c r="B141" s="25" t="s">
        <v>55</v>
      </c>
      <c r="C141" s="26" t="s">
        <v>65</v>
      </c>
      <c r="D141" s="26" t="s">
        <v>84</v>
      </c>
      <c r="E141" s="26" t="s">
        <v>244</v>
      </c>
      <c r="F141" s="26" t="s">
        <v>116</v>
      </c>
      <c r="G141" s="27">
        <f>G142</f>
        <v>85</v>
      </c>
      <c r="H141" s="27">
        <f t="shared" si="70"/>
        <v>76.5</v>
      </c>
      <c r="I141" s="27">
        <f t="shared" si="70"/>
        <v>76.5</v>
      </c>
      <c r="J141" s="27">
        <f>85</f>
        <v>85</v>
      </c>
      <c r="K141" s="16">
        <f t="shared" si="64"/>
        <v>0</v>
      </c>
      <c r="L141" s="27">
        <f>76.5</f>
        <v>76.5</v>
      </c>
      <c r="M141" s="16">
        <f t="shared" si="65"/>
        <v>0</v>
      </c>
      <c r="N141" s="27">
        <f>76.5</f>
        <v>76.5</v>
      </c>
      <c r="O141" s="16">
        <f t="shared" si="66"/>
        <v>0</v>
      </c>
    </row>
    <row r="142" spans="1:15" s="4" customFormat="1" ht="25.5">
      <c r="A142" s="12" t="s">
        <v>973</v>
      </c>
      <c r="B142" s="25" t="s">
        <v>55</v>
      </c>
      <c r="C142" s="26" t="s">
        <v>65</v>
      </c>
      <c r="D142" s="26" t="s">
        <v>84</v>
      </c>
      <c r="E142" s="26" t="s">
        <v>244</v>
      </c>
      <c r="F142" s="26" t="s">
        <v>1043</v>
      </c>
      <c r="G142" s="27">
        <f>85</f>
        <v>85</v>
      </c>
      <c r="H142" s="27">
        <f>76.5</f>
        <v>76.5</v>
      </c>
      <c r="I142" s="27">
        <f>76.5</f>
        <v>76.5</v>
      </c>
      <c r="J142" s="80"/>
      <c r="K142" s="16">
        <f t="shared" si="64"/>
        <v>-85</v>
      </c>
      <c r="L142" s="80"/>
      <c r="M142" s="16">
        <f t="shared" si="65"/>
        <v>-76.5</v>
      </c>
      <c r="N142" s="80"/>
      <c r="O142" s="16">
        <f t="shared" si="66"/>
        <v>-76.5</v>
      </c>
    </row>
    <row r="143" spans="1:15" s="3" customFormat="1" ht="51">
      <c r="A143" s="34" t="s">
        <v>771</v>
      </c>
      <c r="B143" s="25" t="s">
        <v>55</v>
      </c>
      <c r="C143" s="26" t="s">
        <v>65</v>
      </c>
      <c r="D143" s="26" t="s">
        <v>84</v>
      </c>
      <c r="E143" s="26" t="s">
        <v>772</v>
      </c>
      <c r="F143" s="26" t="s">
        <v>58</v>
      </c>
      <c r="G143" s="27">
        <f>G144</f>
        <v>85</v>
      </c>
      <c r="H143" s="27">
        <f t="shared" ref="H143:N145" si="71">H144</f>
        <v>76.5</v>
      </c>
      <c r="I143" s="27">
        <f t="shared" si="71"/>
        <v>76.5</v>
      </c>
      <c r="J143" s="27">
        <f>J144</f>
        <v>85</v>
      </c>
      <c r="K143" s="16">
        <f t="shared" si="64"/>
        <v>0</v>
      </c>
      <c r="L143" s="27">
        <f t="shared" si="71"/>
        <v>76.5</v>
      </c>
      <c r="M143" s="16">
        <f t="shared" si="65"/>
        <v>0</v>
      </c>
      <c r="N143" s="27">
        <f t="shared" si="71"/>
        <v>76.5</v>
      </c>
      <c r="O143" s="16">
        <f t="shared" si="66"/>
        <v>0</v>
      </c>
    </row>
    <row r="144" spans="1:15" s="3" customFormat="1" ht="38.25">
      <c r="A144" s="34" t="s">
        <v>872</v>
      </c>
      <c r="B144" s="25" t="s">
        <v>55</v>
      </c>
      <c r="C144" s="26" t="s">
        <v>65</v>
      </c>
      <c r="D144" s="26" t="s">
        <v>84</v>
      </c>
      <c r="E144" s="26" t="s">
        <v>773</v>
      </c>
      <c r="F144" s="26" t="s">
        <v>58</v>
      </c>
      <c r="G144" s="27">
        <f>G145</f>
        <v>85</v>
      </c>
      <c r="H144" s="27">
        <f t="shared" si="71"/>
        <v>76.5</v>
      </c>
      <c r="I144" s="27">
        <f t="shared" si="71"/>
        <v>76.5</v>
      </c>
      <c r="J144" s="27">
        <f>J145</f>
        <v>85</v>
      </c>
      <c r="K144" s="16">
        <f t="shared" si="64"/>
        <v>0</v>
      </c>
      <c r="L144" s="27">
        <f t="shared" si="71"/>
        <v>76.5</v>
      </c>
      <c r="M144" s="16">
        <f t="shared" si="65"/>
        <v>0</v>
      </c>
      <c r="N144" s="27">
        <f t="shared" si="71"/>
        <v>76.5</v>
      </c>
      <c r="O144" s="16">
        <f t="shared" si="66"/>
        <v>0</v>
      </c>
    </row>
    <row r="145" spans="1:15" s="3" customFormat="1" ht="25.5">
      <c r="A145" s="11" t="s">
        <v>108</v>
      </c>
      <c r="B145" s="25" t="s">
        <v>55</v>
      </c>
      <c r="C145" s="26" t="s">
        <v>65</v>
      </c>
      <c r="D145" s="26" t="s">
        <v>84</v>
      </c>
      <c r="E145" s="26" t="s">
        <v>773</v>
      </c>
      <c r="F145" s="26" t="s">
        <v>116</v>
      </c>
      <c r="G145" s="27">
        <f>G146</f>
        <v>85</v>
      </c>
      <c r="H145" s="27">
        <f t="shared" si="71"/>
        <v>76.5</v>
      </c>
      <c r="I145" s="27">
        <f t="shared" si="71"/>
        <v>76.5</v>
      </c>
      <c r="J145" s="27">
        <f>85</f>
        <v>85</v>
      </c>
      <c r="K145" s="16">
        <f t="shared" si="64"/>
        <v>0</v>
      </c>
      <c r="L145" s="27">
        <f>76.5</f>
        <v>76.5</v>
      </c>
      <c r="M145" s="16">
        <f t="shared" si="65"/>
        <v>0</v>
      </c>
      <c r="N145" s="27">
        <f>76.5</f>
        <v>76.5</v>
      </c>
      <c r="O145" s="16">
        <f t="shared" si="66"/>
        <v>0</v>
      </c>
    </row>
    <row r="146" spans="1:15" s="4" customFormat="1" ht="25.5">
      <c r="A146" s="12" t="s">
        <v>973</v>
      </c>
      <c r="B146" s="25" t="s">
        <v>55</v>
      </c>
      <c r="C146" s="26" t="s">
        <v>65</v>
      </c>
      <c r="D146" s="26" t="s">
        <v>84</v>
      </c>
      <c r="E146" s="26" t="s">
        <v>773</v>
      </c>
      <c r="F146" s="26" t="s">
        <v>1043</v>
      </c>
      <c r="G146" s="27">
        <f>85</f>
        <v>85</v>
      </c>
      <c r="H146" s="27">
        <f>76.5</f>
        <v>76.5</v>
      </c>
      <c r="I146" s="27">
        <f>76.5</f>
        <v>76.5</v>
      </c>
      <c r="J146" s="80"/>
      <c r="K146" s="16">
        <f t="shared" si="64"/>
        <v>-85</v>
      </c>
      <c r="L146" s="80"/>
      <c r="M146" s="16">
        <f t="shared" si="65"/>
        <v>-76.5</v>
      </c>
      <c r="N146" s="80"/>
      <c r="O146" s="16">
        <f t="shared" si="66"/>
        <v>-76.5</v>
      </c>
    </row>
    <row r="147" spans="1:15" s="3" customFormat="1" ht="38.25">
      <c r="A147" s="34" t="s">
        <v>245</v>
      </c>
      <c r="B147" s="25" t="s">
        <v>55</v>
      </c>
      <c r="C147" s="26" t="s">
        <v>65</v>
      </c>
      <c r="D147" s="26" t="s">
        <v>84</v>
      </c>
      <c r="E147" s="26" t="s">
        <v>246</v>
      </c>
      <c r="F147" s="26" t="s">
        <v>58</v>
      </c>
      <c r="G147" s="27">
        <f>G148</f>
        <v>66623.23</v>
      </c>
      <c r="H147" s="27">
        <f>H148</f>
        <v>66711.829999999987</v>
      </c>
      <c r="I147" s="27">
        <f>I148</f>
        <v>66711.829999999987</v>
      </c>
      <c r="J147" s="27">
        <f>J148</f>
        <v>66623.23</v>
      </c>
      <c r="K147" s="16">
        <f t="shared" si="64"/>
        <v>0</v>
      </c>
      <c r="L147" s="27">
        <f>L148</f>
        <v>66711.829999999987</v>
      </c>
      <c r="M147" s="16">
        <f t="shared" si="65"/>
        <v>0</v>
      </c>
      <c r="N147" s="27">
        <f>N148</f>
        <v>66711.829999999987</v>
      </c>
      <c r="O147" s="16">
        <f t="shared" si="66"/>
        <v>0</v>
      </c>
    </row>
    <row r="148" spans="1:15" s="3" customFormat="1" ht="25.5">
      <c r="A148" s="34" t="s">
        <v>247</v>
      </c>
      <c r="B148" s="25" t="s">
        <v>55</v>
      </c>
      <c r="C148" s="26" t="s">
        <v>65</v>
      </c>
      <c r="D148" s="26" t="s">
        <v>84</v>
      </c>
      <c r="E148" s="26" t="s">
        <v>248</v>
      </c>
      <c r="F148" s="26" t="s">
        <v>58</v>
      </c>
      <c r="G148" s="27">
        <f>G149+G153+G155</f>
        <v>66623.23</v>
      </c>
      <c r="H148" s="27">
        <f t="shared" ref="H148:I148" si="72">H149+H153+H155</f>
        <v>66711.829999999987</v>
      </c>
      <c r="I148" s="27">
        <f t="shared" si="72"/>
        <v>66711.829999999987</v>
      </c>
      <c r="J148" s="27">
        <f>SUM(J149:J155)</f>
        <v>66623.23</v>
      </c>
      <c r="K148" s="16">
        <f t="shared" si="64"/>
        <v>0</v>
      </c>
      <c r="L148" s="27">
        <f>SUM(L149:L155)</f>
        <v>66711.829999999987</v>
      </c>
      <c r="M148" s="16">
        <f t="shared" si="65"/>
        <v>0</v>
      </c>
      <c r="N148" s="27">
        <f>SUM(N149:N155)</f>
        <v>66711.829999999987</v>
      </c>
      <c r="O148" s="16">
        <f t="shared" si="66"/>
        <v>0</v>
      </c>
    </row>
    <row r="149" spans="1:15" s="3" customFormat="1">
      <c r="A149" s="13" t="s">
        <v>106</v>
      </c>
      <c r="B149" s="25" t="s">
        <v>55</v>
      </c>
      <c r="C149" s="26" t="s">
        <v>65</v>
      </c>
      <c r="D149" s="26" t="s">
        <v>84</v>
      </c>
      <c r="E149" s="26" t="s">
        <v>248</v>
      </c>
      <c r="F149" s="26" t="s">
        <v>121</v>
      </c>
      <c r="G149" s="27">
        <f>SUM(G150:G152)</f>
        <v>58134.479999999996</v>
      </c>
      <c r="H149" s="27">
        <f t="shared" ref="H149:I149" si="73">SUM(H150:H152)</f>
        <v>58134.479999999996</v>
      </c>
      <c r="I149" s="27">
        <f t="shared" si="73"/>
        <v>58134.479999999996</v>
      </c>
      <c r="J149" s="27">
        <f>44638.77+14.8+13480.91</f>
        <v>58134.479999999996</v>
      </c>
      <c r="K149" s="16">
        <f t="shared" si="64"/>
        <v>0</v>
      </c>
      <c r="L149" s="27">
        <f>44638.77+14.8+13480.91</f>
        <v>58134.479999999996</v>
      </c>
      <c r="M149" s="16">
        <f t="shared" si="65"/>
        <v>0</v>
      </c>
      <c r="N149" s="27">
        <f>44638.77+14.8+13480.91</f>
        <v>58134.479999999996</v>
      </c>
      <c r="O149" s="16">
        <f t="shared" si="66"/>
        <v>0</v>
      </c>
    </row>
    <row r="150" spans="1:15" s="4" customFormat="1">
      <c r="A150" s="12" t="s">
        <v>932</v>
      </c>
      <c r="B150" s="25" t="s">
        <v>55</v>
      </c>
      <c r="C150" s="26" t="s">
        <v>65</v>
      </c>
      <c r="D150" s="26" t="s">
        <v>84</v>
      </c>
      <c r="E150" s="26" t="s">
        <v>248</v>
      </c>
      <c r="F150" s="26" t="s">
        <v>1056</v>
      </c>
      <c r="G150" s="27">
        <v>44638.77</v>
      </c>
      <c r="H150" s="27">
        <v>44638.77</v>
      </c>
      <c r="I150" s="27">
        <v>44638.77</v>
      </c>
      <c r="J150" s="80"/>
      <c r="K150" s="16">
        <f t="shared" si="64"/>
        <v>-44638.77</v>
      </c>
      <c r="L150" s="80"/>
      <c r="M150" s="16">
        <f t="shared" si="65"/>
        <v>-44638.77</v>
      </c>
      <c r="N150" s="80"/>
      <c r="O150" s="16">
        <f t="shared" si="66"/>
        <v>-44638.77</v>
      </c>
    </row>
    <row r="151" spans="1:15" s="4" customFormat="1" ht="25.5">
      <c r="A151" s="12" t="s">
        <v>933</v>
      </c>
      <c r="B151" s="25" t="s">
        <v>55</v>
      </c>
      <c r="C151" s="26" t="s">
        <v>65</v>
      </c>
      <c r="D151" s="26" t="s">
        <v>84</v>
      </c>
      <c r="E151" s="26" t="s">
        <v>248</v>
      </c>
      <c r="F151" s="26" t="s">
        <v>1069</v>
      </c>
      <c r="G151" s="27">
        <v>14.8</v>
      </c>
      <c r="H151" s="27">
        <v>14.8</v>
      </c>
      <c r="I151" s="27">
        <v>14.8</v>
      </c>
      <c r="J151" s="80"/>
      <c r="K151" s="16"/>
      <c r="L151" s="80"/>
      <c r="M151" s="16"/>
      <c r="N151" s="80"/>
      <c r="O151" s="16"/>
    </row>
    <row r="152" spans="1:15" s="4" customFormat="1" ht="38.25">
      <c r="A152" s="12" t="s">
        <v>935</v>
      </c>
      <c r="B152" s="25" t="s">
        <v>55</v>
      </c>
      <c r="C152" s="26" t="s">
        <v>65</v>
      </c>
      <c r="D152" s="26" t="s">
        <v>84</v>
      </c>
      <c r="E152" s="26" t="s">
        <v>248</v>
      </c>
      <c r="F152" s="26" t="s">
        <v>1057</v>
      </c>
      <c r="G152" s="27">
        <v>13480.91</v>
      </c>
      <c r="H152" s="27">
        <v>13480.91</v>
      </c>
      <c r="I152" s="27">
        <v>13480.91</v>
      </c>
      <c r="J152" s="80"/>
      <c r="K152" s="16">
        <f t="shared" si="64"/>
        <v>-13480.91</v>
      </c>
      <c r="L152" s="80"/>
      <c r="M152" s="16">
        <f t="shared" si="65"/>
        <v>-13480.91</v>
      </c>
      <c r="N152" s="80"/>
      <c r="O152" s="16">
        <f t="shared" si="66"/>
        <v>-13480.91</v>
      </c>
    </row>
    <row r="153" spans="1:15" s="3" customFormat="1" ht="25.5">
      <c r="A153" s="11" t="s">
        <v>108</v>
      </c>
      <c r="B153" s="25" t="s">
        <v>55</v>
      </c>
      <c r="C153" s="26" t="s">
        <v>65</v>
      </c>
      <c r="D153" s="26" t="s">
        <v>84</v>
      </c>
      <c r="E153" s="26" t="s">
        <v>248</v>
      </c>
      <c r="F153" s="26" t="s">
        <v>116</v>
      </c>
      <c r="G153" s="27">
        <f>G154</f>
        <v>7191.32</v>
      </c>
      <c r="H153" s="27">
        <f t="shared" ref="H153:I153" si="74">H154</f>
        <v>7279.92</v>
      </c>
      <c r="I153" s="27">
        <f t="shared" si="74"/>
        <v>7279.92</v>
      </c>
      <c r="J153" s="27">
        <v>7191.32</v>
      </c>
      <c r="K153" s="16">
        <f t="shared" si="64"/>
        <v>0</v>
      </c>
      <c r="L153" s="27">
        <f>7279.92</f>
        <v>7279.92</v>
      </c>
      <c r="M153" s="16">
        <f t="shared" si="65"/>
        <v>0</v>
      </c>
      <c r="N153" s="27">
        <f>7279.92</f>
        <v>7279.92</v>
      </c>
      <c r="O153" s="16">
        <f t="shared" si="66"/>
        <v>0</v>
      </c>
    </row>
    <row r="154" spans="1:15" s="4" customFormat="1" ht="25.5">
      <c r="A154" s="12" t="s">
        <v>973</v>
      </c>
      <c r="B154" s="25" t="s">
        <v>55</v>
      </c>
      <c r="C154" s="26" t="s">
        <v>65</v>
      </c>
      <c r="D154" s="26" t="s">
        <v>84</v>
      </c>
      <c r="E154" s="26" t="s">
        <v>248</v>
      </c>
      <c r="F154" s="26" t="s">
        <v>1043</v>
      </c>
      <c r="G154" s="27">
        <v>7191.32</v>
      </c>
      <c r="H154" s="27">
        <f>7279.92</f>
        <v>7279.92</v>
      </c>
      <c r="I154" s="27">
        <f>7279.92</f>
        <v>7279.92</v>
      </c>
      <c r="J154" s="80"/>
      <c r="K154" s="16">
        <f t="shared" si="64"/>
        <v>-7191.32</v>
      </c>
      <c r="L154" s="80"/>
      <c r="M154" s="16">
        <f t="shared" si="65"/>
        <v>-7279.92</v>
      </c>
      <c r="N154" s="80"/>
      <c r="O154" s="16">
        <f t="shared" si="66"/>
        <v>-7279.92</v>
      </c>
    </row>
    <row r="155" spans="1:15" s="3" customFormat="1">
      <c r="A155" s="11" t="s">
        <v>97</v>
      </c>
      <c r="B155" s="25" t="s">
        <v>55</v>
      </c>
      <c r="C155" s="26" t="s">
        <v>65</v>
      </c>
      <c r="D155" s="26" t="s">
        <v>84</v>
      </c>
      <c r="E155" s="26" t="s">
        <v>248</v>
      </c>
      <c r="F155" s="108">
        <v>850</v>
      </c>
      <c r="G155" s="27">
        <f>SUM(G156:G157)</f>
        <v>1297.4299999999998</v>
      </c>
      <c r="H155" s="27">
        <f t="shared" ref="H155:I155" si="75">SUM(H156:H157)</f>
        <v>1297.4299999999998</v>
      </c>
      <c r="I155" s="27">
        <f t="shared" si="75"/>
        <v>1297.4299999999998</v>
      </c>
      <c r="J155" s="27">
        <f>1283.59+13.84</f>
        <v>1297.4299999999998</v>
      </c>
      <c r="K155" s="16">
        <f t="shared" si="64"/>
        <v>0</v>
      </c>
      <c r="L155" s="27">
        <f>1283.59+13.84</f>
        <v>1297.4299999999998</v>
      </c>
      <c r="M155" s="16">
        <f t="shared" si="65"/>
        <v>0</v>
      </c>
      <c r="N155" s="27">
        <f>1283.59+13.84</f>
        <v>1297.4299999999998</v>
      </c>
      <c r="O155" s="16">
        <f t="shared" si="66"/>
        <v>0</v>
      </c>
    </row>
    <row r="156" spans="1:15" s="4" customFormat="1">
      <c r="A156" s="12" t="s">
        <v>1036</v>
      </c>
      <c r="B156" s="25" t="s">
        <v>55</v>
      </c>
      <c r="C156" s="26" t="s">
        <v>65</v>
      </c>
      <c r="D156" s="26" t="s">
        <v>84</v>
      </c>
      <c r="E156" s="26" t="s">
        <v>248</v>
      </c>
      <c r="F156" s="47">
        <v>851</v>
      </c>
      <c r="G156" s="27">
        <v>1283.5899999999999</v>
      </c>
      <c r="H156" s="27">
        <v>1283.5899999999999</v>
      </c>
      <c r="I156" s="27">
        <v>1283.5899999999999</v>
      </c>
      <c r="J156" s="80"/>
      <c r="K156" s="16">
        <f t="shared" si="64"/>
        <v>-1283.5899999999999</v>
      </c>
      <c r="L156" s="80"/>
      <c r="M156" s="16">
        <f t="shared" si="65"/>
        <v>-1283.5899999999999</v>
      </c>
      <c r="N156" s="80"/>
      <c r="O156" s="16">
        <f t="shared" si="66"/>
        <v>-1283.5899999999999</v>
      </c>
    </row>
    <row r="157" spans="1:15" s="4" customFormat="1">
      <c r="A157" s="12" t="s">
        <v>1037</v>
      </c>
      <c r="B157" s="25" t="s">
        <v>55</v>
      </c>
      <c r="C157" s="26" t="s">
        <v>65</v>
      </c>
      <c r="D157" s="26" t="s">
        <v>84</v>
      </c>
      <c r="E157" s="26" t="s">
        <v>248</v>
      </c>
      <c r="F157" s="47">
        <v>852</v>
      </c>
      <c r="G157" s="27">
        <v>13.84</v>
      </c>
      <c r="H157" s="27">
        <v>13.84</v>
      </c>
      <c r="I157" s="27">
        <v>13.84</v>
      </c>
      <c r="J157" s="80"/>
      <c r="K157" s="16">
        <f t="shared" si="64"/>
        <v>-13.84</v>
      </c>
      <c r="L157" s="80"/>
      <c r="M157" s="16">
        <f t="shared" si="65"/>
        <v>-13.84</v>
      </c>
      <c r="N157" s="80"/>
      <c r="O157" s="16">
        <f t="shared" si="66"/>
        <v>-13.84</v>
      </c>
    </row>
    <row r="158" spans="1:15" s="3" customFormat="1" ht="38.25">
      <c r="A158" s="12" t="s">
        <v>752</v>
      </c>
      <c r="B158" s="35">
        <v>601</v>
      </c>
      <c r="C158" s="35" t="s">
        <v>65</v>
      </c>
      <c r="D158" s="35">
        <v>13</v>
      </c>
      <c r="E158" s="35" t="s">
        <v>249</v>
      </c>
      <c r="F158" s="35" t="s">
        <v>58</v>
      </c>
      <c r="G158" s="38">
        <f>G159+G168+G183</f>
        <v>1113.0999999999999</v>
      </c>
      <c r="H158" s="38">
        <f>H159+H168+H183</f>
        <v>1001.79</v>
      </c>
      <c r="I158" s="38">
        <f>I159+I168+I183</f>
        <v>1001.79</v>
      </c>
      <c r="J158" s="38">
        <f>J159+J168+J183</f>
        <v>1113.0999999999999</v>
      </c>
      <c r="K158" s="16">
        <f t="shared" si="64"/>
        <v>0</v>
      </c>
      <c r="L158" s="38">
        <f>L159+L168+L183</f>
        <v>1001.79</v>
      </c>
      <c r="M158" s="16">
        <f t="shared" si="65"/>
        <v>0</v>
      </c>
      <c r="N158" s="38">
        <f>N159+N168+N183</f>
        <v>1001.79</v>
      </c>
      <c r="O158" s="16">
        <f t="shared" si="66"/>
        <v>0</v>
      </c>
    </row>
    <row r="159" spans="1:15" s="3" customFormat="1">
      <c r="A159" s="11" t="s">
        <v>753</v>
      </c>
      <c r="B159" s="35">
        <v>601</v>
      </c>
      <c r="C159" s="35" t="s">
        <v>65</v>
      </c>
      <c r="D159" s="35">
        <v>13</v>
      </c>
      <c r="E159" s="35" t="s">
        <v>250</v>
      </c>
      <c r="F159" s="35" t="s">
        <v>58</v>
      </c>
      <c r="G159" s="38">
        <f>G160+G164</f>
        <v>374</v>
      </c>
      <c r="H159" s="38">
        <f>H160+H164</f>
        <v>336.6</v>
      </c>
      <c r="I159" s="38">
        <f>I160+I164</f>
        <v>336.6</v>
      </c>
      <c r="J159" s="38">
        <f>J160+J164</f>
        <v>374</v>
      </c>
      <c r="K159" s="16">
        <f t="shared" si="64"/>
        <v>0</v>
      </c>
      <c r="L159" s="38">
        <f>L160+L164</f>
        <v>336.6</v>
      </c>
      <c r="M159" s="16">
        <f t="shared" si="65"/>
        <v>0</v>
      </c>
      <c r="N159" s="38">
        <f>N160+N164</f>
        <v>336.6</v>
      </c>
      <c r="O159" s="16">
        <f t="shared" si="66"/>
        <v>0</v>
      </c>
    </row>
    <row r="160" spans="1:15" s="3" customFormat="1" ht="38.25">
      <c r="A160" s="34" t="s">
        <v>880</v>
      </c>
      <c r="B160" s="35">
        <v>601</v>
      </c>
      <c r="C160" s="35" t="s">
        <v>65</v>
      </c>
      <c r="D160" s="35">
        <v>13</v>
      </c>
      <c r="E160" s="35" t="s">
        <v>538</v>
      </c>
      <c r="F160" s="35" t="s">
        <v>58</v>
      </c>
      <c r="G160" s="38">
        <f>G161</f>
        <v>357</v>
      </c>
      <c r="H160" s="38">
        <f>H161</f>
        <v>321.3</v>
      </c>
      <c r="I160" s="38">
        <f>I161</f>
        <v>321.3</v>
      </c>
      <c r="J160" s="38">
        <f>J161</f>
        <v>357</v>
      </c>
      <c r="K160" s="16">
        <f t="shared" si="64"/>
        <v>0</v>
      </c>
      <c r="L160" s="38">
        <f>L161</f>
        <v>321.3</v>
      </c>
      <c r="M160" s="16">
        <f t="shared" si="65"/>
        <v>0</v>
      </c>
      <c r="N160" s="38">
        <f>N161</f>
        <v>321.3</v>
      </c>
      <c r="O160" s="16">
        <f t="shared" si="66"/>
        <v>0</v>
      </c>
    </row>
    <row r="161" spans="1:15" s="3" customFormat="1" ht="25.5">
      <c r="A161" s="34" t="s">
        <v>122</v>
      </c>
      <c r="B161" s="35">
        <v>601</v>
      </c>
      <c r="C161" s="35" t="s">
        <v>65</v>
      </c>
      <c r="D161" s="35">
        <v>13</v>
      </c>
      <c r="E161" s="35" t="s">
        <v>539</v>
      </c>
      <c r="F161" s="35" t="s">
        <v>58</v>
      </c>
      <c r="G161" s="38">
        <f>SUM(G162:G162)</f>
        <v>357</v>
      </c>
      <c r="H161" s="38">
        <f>SUM(H162:H162)</f>
        <v>321.3</v>
      </c>
      <c r="I161" s="38">
        <f>SUM(I162:I162)</f>
        <v>321.3</v>
      </c>
      <c r="J161" s="38">
        <f>SUM(J162:J162)</f>
        <v>357</v>
      </c>
      <c r="K161" s="16">
        <f t="shared" si="64"/>
        <v>0</v>
      </c>
      <c r="L161" s="38">
        <f>SUM(L162:L162)</f>
        <v>321.3</v>
      </c>
      <c r="M161" s="16">
        <f t="shared" si="65"/>
        <v>0</v>
      </c>
      <c r="N161" s="38">
        <f>SUM(N162:N162)</f>
        <v>321.3</v>
      </c>
      <c r="O161" s="16">
        <f t="shared" si="66"/>
        <v>0</v>
      </c>
    </row>
    <row r="162" spans="1:15" s="3" customFormat="1" ht="25.5">
      <c r="A162" s="31" t="s">
        <v>108</v>
      </c>
      <c r="B162" s="35">
        <v>601</v>
      </c>
      <c r="C162" s="35" t="s">
        <v>65</v>
      </c>
      <c r="D162" s="35">
        <v>13</v>
      </c>
      <c r="E162" s="35" t="s">
        <v>539</v>
      </c>
      <c r="F162" s="35" t="s">
        <v>116</v>
      </c>
      <c r="G162" s="27">
        <f>G163</f>
        <v>357</v>
      </c>
      <c r="H162" s="27">
        <f t="shared" ref="H162:I162" si="76">H163</f>
        <v>321.3</v>
      </c>
      <c r="I162" s="27">
        <f t="shared" si="76"/>
        <v>321.3</v>
      </c>
      <c r="J162" s="27">
        <f>357</f>
        <v>357</v>
      </c>
      <c r="K162" s="16">
        <f t="shared" si="64"/>
        <v>0</v>
      </c>
      <c r="L162" s="27">
        <f>321.3</f>
        <v>321.3</v>
      </c>
      <c r="M162" s="16">
        <f t="shared" si="65"/>
        <v>0</v>
      </c>
      <c r="N162" s="27">
        <f>321.3</f>
        <v>321.3</v>
      </c>
      <c r="O162" s="16">
        <f t="shared" si="66"/>
        <v>0</v>
      </c>
    </row>
    <row r="163" spans="1:15" s="4" customFormat="1" ht="25.5">
      <c r="A163" s="12" t="s">
        <v>973</v>
      </c>
      <c r="B163" s="35">
        <v>601</v>
      </c>
      <c r="C163" s="35" t="s">
        <v>65</v>
      </c>
      <c r="D163" s="35">
        <v>13</v>
      </c>
      <c r="E163" s="35" t="s">
        <v>539</v>
      </c>
      <c r="F163" s="35" t="s">
        <v>1043</v>
      </c>
      <c r="G163" s="27">
        <f>357</f>
        <v>357</v>
      </c>
      <c r="H163" s="27">
        <f>321.3</f>
        <v>321.3</v>
      </c>
      <c r="I163" s="27">
        <f>321.3</f>
        <v>321.3</v>
      </c>
      <c r="J163" s="80"/>
      <c r="K163" s="16">
        <f t="shared" si="64"/>
        <v>-357</v>
      </c>
      <c r="L163" s="80"/>
      <c r="M163" s="16">
        <f t="shared" si="65"/>
        <v>-321.3</v>
      </c>
      <c r="N163" s="80"/>
      <c r="O163" s="16">
        <f t="shared" si="66"/>
        <v>-321.3</v>
      </c>
    </row>
    <row r="164" spans="1:15" s="3" customFormat="1" ht="25.5">
      <c r="A164" s="31" t="s">
        <v>618</v>
      </c>
      <c r="B164" s="35">
        <v>601</v>
      </c>
      <c r="C164" s="35" t="s">
        <v>65</v>
      </c>
      <c r="D164" s="35">
        <v>13</v>
      </c>
      <c r="E164" s="35" t="s">
        <v>540</v>
      </c>
      <c r="F164" s="35" t="s">
        <v>58</v>
      </c>
      <c r="G164" s="38">
        <f t="shared" ref="G164:N166" si="77">G165</f>
        <v>17</v>
      </c>
      <c r="H164" s="38">
        <f t="shared" si="77"/>
        <v>15.3</v>
      </c>
      <c r="I164" s="38">
        <f t="shared" si="77"/>
        <v>15.3</v>
      </c>
      <c r="J164" s="38">
        <f t="shared" si="77"/>
        <v>17</v>
      </c>
      <c r="K164" s="16">
        <f t="shared" si="64"/>
        <v>0</v>
      </c>
      <c r="L164" s="38">
        <f t="shared" si="77"/>
        <v>15.3</v>
      </c>
      <c r="M164" s="16">
        <f t="shared" si="65"/>
        <v>0</v>
      </c>
      <c r="N164" s="38">
        <f t="shared" si="77"/>
        <v>15.3</v>
      </c>
      <c r="O164" s="16">
        <f t="shared" si="66"/>
        <v>0</v>
      </c>
    </row>
    <row r="165" spans="1:15" s="3" customFormat="1" ht="25.5">
      <c r="A165" s="31" t="s">
        <v>122</v>
      </c>
      <c r="B165" s="35">
        <v>601</v>
      </c>
      <c r="C165" s="35" t="s">
        <v>65</v>
      </c>
      <c r="D165" s="35">
        <v>13</v>
      </c>
      <c r="E165" s="35" t="s">
        <v>571</v>
      </c>
      <c r="F165" s="35" t="s">
        <v>58</v>
      </c>
      <c r="G165" s="38">
        <f t="shared" si="77"/>
        <v>17</v>
      </c>
      <c r="H165" s="38">
        <f t="shared" si="77"/>
        <v>15.3</v>
      </c>
      <c r="I165" s="38">
        <f t="shared" si="77"/>
        <v>15.3</v>
      </c>
      <c r="J165" s="38">
        <f t="shared" si="77"/>
        <v>17</v>
      </c>
      <c r="K165" s="16">
        <f t="shared" si="64"/>
        <v>0</v>
      </c>
      <c r="L165" s="38">
        <f t="shared" si="77"/>
        <v>15.3</v>
      </c>
      <c r="M165" s="16">
        <f t="shared" si="65"/>
        <v>0</v>
      </c>
      <c r="N165" s="38">
        <f t="shared" si="77"/>
        <v>15.3</v>
      </c>
      <c r="O165" s="16">
        <f t="shared" si="66"/>
        <v>0</v>
      </c>
    </row>
    <row r="166" spans="1:15" s="3" customFormat="1" ht="25.5">
      <c r="A166" s="31" t="s">
        <v>108</v>
      </c>
      <c r="B166" s="35">
        <v>601</v>
      </c>
      <c r="C166" s="35" t="s">
        <v>65</v>
      </c>
      <c r="D166" s="35">
        <v>13</v>
      </c>
      <c r="E166" s="35" t="s">
        <v>571</v>
      </c>
      <c r="F166" s="35" t="s">
        <v>116</v>
      </c>
      <c r="G166" s="27">
        <f>G167</f>
        <v>17</v>
      </c>
      <c r="H166" s="27">
        <f t="shared" si="77"/>
        <v>15.3</v>
      </c>
      <c r="I166" s="27">
        <f t="shared" si="77"/>
        <v>15.3</v>
      </c>
      <c r="J166" s="27">
        <f>17</f>
        <v>17</v>
      </c>
      <c r="K166" s="16">
        <f t="shared" si="64"/>
        <v>0</v>
      </c>
      <c r="L166" s="27">
        <f>15.3</f>
        <v>15.3</v>
      </c>
      <c r="M166" s="16">
        <f t="shared" si="65"/>
        <v>0</v>
      </c>
      <c r="N166" s="27">
        <f>15.3</f>
        <v>15.3</v>
      </c>
      <c r="O166" s="16">
        <f t="shared" si="66"/>
        <v>0</v>
      </c>
    </row>
    <row r="167" spans="1:15" s="4" customFormat="1" ht="25.5">
      <c r="A167" s="12" t="s">
        <v>973</v>
      </c>
      <c r="B167" s="35">
        <v>601</v>
      </c>
      <c r="C167" s="35" t="s">
        <v>65</v>
      </c>
      <c r="D167" s="35">
        <v>13</v>
      </c>
      <c r="E167" s="35" t="s">
        <v>571</v>
      </c>
      <c r="F167" s="35" t="s">
        <v>1043</v>
      </c>
      <c r="G167" s="27">
        <f>17</f>
        <v>17</v>
      </c>
      <c r="H167" s="27">
        <f>15.3</f>
        <v>15.3</v>
      </c>
      <c r="I167" s="27">
        <f>15.3</f>
        <v>15.3</v>
      </c>
      <c r="J167" s="80"/>
      <c r="K167" s="16">
        <f t="shared" si="64"/>
        <v>-17</v>
      </c>
      <c r="L167" s="80"/>
      <c r="M167" s="16">
        <f t="shared" si="65"/>
        <v>-15.3</v>
      </c>
      <c r="N167" s="80"/>
      <c r="O167" s="16">
        <f t="shared" si="66"/>
        <v>-15.3</v>
      </c>
    </row>
    <row r="168" spans="1:15" s="3" customFormat="1">
      <c r="A168" s="12" t="s">
        <v>754</v>
      </c>
      <c r="B168" s="108">
        <v>601</v>
      </c>
      <c r="C168" s="35" t="s">
        <v>65</v>
      </c>
      <c r="D168" s="35">
        <v>13</v>
      </c>
      <c r="E168" s="35" t="s">
        <v>251</v>
      </c>
      <c r="F168" s="35" t="s">
        <v>58</v>
      </c>
      <c r="G168" s="38">
        <f>G173+G178+G169</f>
        <v>460.3</v>
      </c>
      <c r="H168" s="38">
        <f t="shared" ref="H168:I168" si="78">H173+H178+H169</f>
        <v>414.27</v>
      </c>
      <c r="I168" s="38">
        <f t="shared" si="78"/>
        <v>414.27</v>
      </c>
      <c r="J168" s="38">
        <f>J173+J178+J169</f>
        <v>460.3</v>
      </c>
      <c r="K168" s="16">
        <f t="shared" si="64"/>
        <v>0</v>
      </c>
      <c r="L168" s="38">
        <f t="shared" ref="L168:N168" si="79">L173+L178+L169</f>
        <v>414.27</v>
      </c>
      <c r="M168" s="16">
        <f t="shared" si="65"/>
        <v>0</v>
      </c>
      <c r="N168" s="38">
        <f t="shared" si="79"/>
        <v>414.27</v>
      </c>
      <c r="O168" s="16">
        <f t="shared" si="66"/>
        <v>0</v>
      </c>
    </row>
    <row r="169" spans="1:15" s="3" customFormat="1" ht="38.25">
      <c r="A169" s="34" t="s">
        <v>774</v>
      </c>
      <c r="B169" s="108">
        <v>601</v>
      </c>
      <c r="C169" s="35" t="s">
        <v>65</v>
      </c>
      <c r="D169" s="35">
        <v>13</v>
      </c>
      <c r="E169" s="35" t="s">
        <v>775</v>
      </c>
      <c r="F169" s="35" t="s">
        <v>58</v>
      </c>
      <c r="G169" s="38">
        <f>G170</f>
        <v>83.3</v>
      </c>
      <c r="H169" s="38">
        <f t="shared" ref="H169:N171" si="80">H170</f>
        <v>74.97</v>
      </c>
      <c r="I169" s="38">
        <f t="shared" si="80"/>
        <v>74.97</v>
      </c>
      <c r="J169" s="38">
        <f>J170</f>
        <v>83.3</v>
      </c>
      <c r="K169" s="16">
        <f t="shared" si="64"/>
        <v>0</v>
      </c>
      <c r="L169" s="38">
        <f t="shared" si="80"/>
        <v>74.97</v>
      </c>
      <c r="M169" s="16">
        <f t="shared" si="65"/>
        <v>0</v>
      </c>
      <c r="N169" s="38">
        <f t="shared" si="80"/>
        <v>74.97</v>
      </c>
      <c r="O169" s="16">
        <f t="shared" si="66"/>
        <v>0</v>
      </c>
    </row>
    <row r="170" spans="1:15" s="3" customFormat="1" ht="51">
      <c r="A170" s="34" t="s">
        <v>873</v>
      </c>
      <c r="B170" s="108">
        <v>601</v>
      </c>
      <c r="C170" s="35" t="s">
        <v>65</v>
      </c>
      <c r="D170" s="35">
        <v>13</v>
      </c>
      <c r="E170" s="35" t="s">
        <v>776</v>
      </c>
      <c r="F170" s="35" t="s">
        <v>58</v>
      </c>
      <c r="G170" s="27">
        <f>G171</f>
        <v>83.3</v>
      </c>
      <c r="H170" s="27">
        <f t="shared" si="80"/>
        <v>74.97</v>
      </c>
      <c r="I170" s="27">
        <f t="shared" si="80"/>
        <v>74.97</v>
      </c>
      <c r="J170" s="27">
        <f>J171</f>
        <v>83.3</v>
      </c>
      <c r="K170" s="16">
        <f t="shared" si="64"/>
        <v>0</v>
      </c>
      <c r="L170" s="27">
        <f t="shared" si="80"/>
        <v>74.97</v>
      </c>
      <c r="M170" s="16">
        <f t="shared" si="65"/>
        <v>0</v>
      </c>
      <c r="N170" s="27">
        <f t="shared" si="80"/>
        <v>74.97</v>
      </c>
      <c r="O170" s="16">
        <f t="shared" si="66"/>
        <v>0</v>
      </c>
    </row>
    <row r="171" spans="1:15" s="3" customFormat="1" ht="25.5">
      <c r="A171" s="11" t="s">
        <v>108</v>
      </c>
      <c r="B171" s="108">
        <v>601</v>
      </c>
      <c r="C171" s="35" t="s">
        <v>65</v>
      </c>
      <c r="D171" s="35">
        <v>13</v>
      </c>
      <c r="E171" s="35" t="s">
        <v>776</v>
      </c>
      <c r="F171" s="35" t="s">
        <v>116</v>
      </c>
      <c r="G171" s="27">
        <f>G172</f>
        <v>83.3</v>
      </c>
      <c r="H171" s="27">
        <f t="shared" si="80"/>
        <v>74.97</v>
      </c>
      <c r="I171" s="27">
        <f t="shared" si="80"/>
        <v>74.97</v>
      </c>
      <c r="J171" s="27">
        <f>83.3</f>
        <v>83.3</v>
      </c>
      <c r="K171" s="16">
        <f t="shared" si="64"/>
        <v>0</v>
      </c>
      <c r="L171" s="38">
        <f>74.97</f>
        <v>74.97</v>
      </c>
      <c r="M171" s="16">
        <f t="shared" si="65"/>
        <v>0</v>
      </c>
      <c r="N171" s="38">
        <f>74.97</f>
        <v>74.97</v>
      </c>
      <c r="O171" s="16">
        <f t="shared" si="66"/>
        <v>0</v>
      </c>
    </row>
    <row r="172" spans="1:15" s="4" customFormat="1" ht="25.5">
      <c r="A172" s="12" t="s">
        <v>973</v>
      </c>
      <c r="B172" s="108">
        <v>601</v>
      </c>
      <c r="C172" s="35" t="s">
        <v>65</v>
      </c>
      <c r="D172" s="35">
        <v>13</v>
      </c>
      <c r="E172" s="35" t="s">
        <v>776</v>
      </c>
      <c r="F172" s="35" t="s">
        <v>1043</v>
      </c>
      <c r="G172" s="27">
        <f>83.3</f>
        <v>83.3</v>
      </c>
      <c r="H172" s="38">
        <f>74.97</f>
        <v>74.97</v>
      </c>
      <c r="I172" s="38">
        <f>74.97</f>
        <v>74.97</v>
      </c>
      <c r="J172" s="80"/>
      <c r="K172" s="16">
        <f t="shared" si="64"/>
        <v>-83.3</v>
      </c>
      <c r="L172" s="82"/>
      <c r="M172" s="16">
        <f t="shared" si="65"/>
        <v>-74.97</v>
      </c>
      <c r="N172" s="82"/>
      <c r="O172" s="16">
        <f t="shared" si="66"/>
        <v>-74.97</v>
      </c>
    </row>
    <row r="173" spans="1:15" s="3" customFormat="1" ht="38.25">
      <c r="A173" s="34" t="s">
        <v>611</v>
      </c>
      <c r="B173" s="108">
        <v>601</v>
      </c>
      <c r="C173" s="35" t="s">
        <v>65</v>
      </c>
      <c r="D173" s="35">
        <v>13</v>
      </c>
      <c r="E173" s="35" t="s">
        <v>252</v>
      </c>
      <c r="F173" s="26" t="s">
        <v>58</v>
      </c>
      <c r="G173" s="27">
        <f>G174</f>
        <v>175</v>
      </c>
      <c r="H173" s="27">
        <f>H174</f>
        <v>157.5</v>
      </c>
      <c r="I173" s="27">
        <f>I174</f>
        <v>157.5</v>
      </c>
      <c r="J173" s="27">
        <f>J174</f>
        <v>175</v>
      </c>
      <c r="K173" s="16">
        <f t="shared" si="64"/>
        <v>0</v>
      </c>
      <c r="L173" s="27">
        <f>L174</f>
        <v>157.5</v>
      </c>
      <c r="M173" s="16">
        <f t="shared" si="65"/>
        <v>0</v>
      </c>
      <c r="N173" s="27">
        <f>N174</f>
        <v>157.5</v>
      </c>
      <c r="O173" s="16">
        <f t="shared" si="66"/>
        <v>0</v>
      </c>
    </row>
    <row r="174" spans="1:15" s="3" customFormat="1" ht="51">
      <c r="A174" s="34" t="s">
        <v>873</v>
      </c>
      <c r="B174" s="108">
        <v>601</v>
      </c>
      <c r="C174" s="35" t="s">
        <v>65</v>
      </c>
      <c r="D174" s="35">
        <v>13</v>
      </c>
      <c r="E174" s="35" t="s">
        <v>253</v>
      </c>
      <c r="F174" s="26" t="s">
        <v>58</v>
      </c>
      <c r="G174" s="27">
        <f>G175+G177</f>
        <v>175</v>
      </c>
      <c r="H174" s="27">
        <f>H175+H177</f>
        <v>157.5</v>
      </c>
      <c r="I174" s="27">
        <f>I175+I177</f>
        <v>157.5</v>
      </c>
      <c r="J174" s="27">
        <f>J175+J177</f>
        <v>175</v>
      </c>
      <c r="K174" s="16">
        <f t="shared" si="64"/>
        <v>0</v>
      </c>
      <c r="L174" s="27">
        <f>L175+L177</f>
        <v>157.5</v>
      </c>
      <c r="M174" s="16">
        <f t="shared" si="65"/>
        <v>0</v>
      </c>
      <c r="N174" s="27">
        <f>N175+N177</f>
        <v>157.5</v>
      </c>
      <c r="O174" s="16">
        <f t="shared" si="66"/>
        <v>0</v>
      </c>
    </row>
    <row r="175" spans="1:15" s="3" customFormat="1" ht="25.5">
      <c r="A175" s="11" t="s">
        <v>108</v>
      </c>
      <c r="B175" s="108">
        <v>601</v>
      </c>
      <c r="C175" s="35" t="s">
        <v>65</v>
      </c>
      <c r="D175" s="35">
        <v>13</v>
      </c>
      <c r="E175" s="35" t="s">
        <v>253</v>
      </c>
      <c r="F175" s="26" t="s">
        <v>116</v>
      </c>
      <c r="G175" s="27">
        <f>G176</f>
        <v>105</v>
      </c>
      <c r="H175" s="27">
        <f t="shared" ref="H175:I175" si="81">H176</f>
        <v>94.5</v>
      </c>
      <c r="I175" s="27">
        <f t="shared" si="81"/>
        <v>94.5</v>
      </c>
      <c r="J175" s="27">
        <f>105</f>
        <v>105</v>
      </c>
      <c r="K175" s="16">
        <f t="shared" si="64"/>
        <v>0</v>
      </c>
      <c r="L175" s="27">
        <f>94.5</f>
        <v>94.5</v>
      </c>
      <c r="M175" s="16">
        <f t="shared" si="65"/>
        <v>0</v>
      </c>
      <c r="N175" s="27">
        <f>94.5</f>
        <v>94.5</v>
      </c>
      <c r="O175" s="16">
        <f t="shared" si="66"/>
        <v>0</v>
      </c>
    </row>
    <row r="176" spans="1:15" s="4" customFormat="1" ht="25.5">
      <c r="A176" s="12" t="s">
        <v>973</v>
      </c>
      <c r="B176" s="108">
        <v>601</v>
      </c>
      <c r="C176" s="35" t="s">
        <v>65</v>
      </c>
      <c r="D176" s="35">
        <v>13</v>
      </c>
      <c r="E176" s="35" t="s">
        <v>253</v>
      </c>
      <c r="F176" s="26" t="s">
        <v>1043</v>
      </c>
      <c r="G176" s="27">
        <f>105</f>
        <v>105</v>
      </c>
      <c r="H176" s="27">
        <f>94.5</f>
        <v>94.5</v>
      </c>
      <c r="I176" s="27">
        <f>94.5</f>
        <v>94.5</v>
      </c>
      <c r="J176" s="80"/>
      <c r="K176" s="16">
        <f t="shared" si="64"/>
        <v>-105</v>
      </c>
      <c r="L176" s="80"/>
      <c r="M176" s="16">
        <f t="shared" si="65"/>
        <v>-94.5</v>
      </c>
      <c r="N176" s="80"/>
      <c r="O176" s="16">
        <f t="shared" si="66"/>
        <v>-94.5</v>
      </c>
    </row>
    <row r="177" spans="1:15" s="3" customFormat="1">
      <c r="A177" s="31" t="s">
        <v>91</v>
      </c>
      <c r="B177" s="108">
        <v>601</v>
      </c>
      <c r="C177" s="35" t="s">
        <v>65</v>
      </c>
      <c r="D177" s="35">
        <v>13</v>
      </c>
      <c r="E177" s="35" t="s">
        <v>253</v>
      </c>
      <c r="F177" s="26" t="s">
        <v>100</v>
      </c>
      <c r="G177" s="27">
        <f>70</f>
        <v>70</v>
      </c>
      <c r="H177" s="27">
        <f>63</f>
        <v>63</v>
      </c>
      <c r="I177" s="27">
        <f>63</f>
        <v>63</v>
      </c>
      <c r="J177" s="27">
        <f>70</f>
        <v>70</v>
      </c>
      <c r="K177" s="16">
        <f t="shared" si="64"/>
        <v>0</v>
      </c>
      <c r="L177" s="27">
        <f>63</f>
        <v>63</v>
      </c>
      <c r="M177" s="16">
        <f t="shared" si="65"/>
        <v>0</v>
      </c>
      <c r="N177" s="27">
        <f>63</f>
        <v>63</v>
      </c>
      <c r="O177" s="16">
        <f t="shared" si="66"/>
        <v>0</v>
      </c>
    </row>
    <row r="178" spans="1:15" s="3" customFormat="1" ht="25.5">
      <c r="A178" s="34" t="s">
        <v>615</v>
      </c>
      <c r="B178" s="108">
        <v>601</v>
      </c>
      <c r="C178" s="35" t="s">
        <v>65</v>
      </c>
      <c r="D178" s="35">
        <v>13</v>
      </c>
      <c r="E178" s="35" t="s">
        <v>254</v>
      </c>
      <c r="F178" s="26" t="s">
        <v>58</v>
      </c>
      <c r="G178" s="27">
        <f>G179</f>
        <v>202</v>
      </c>
      <c r="H178" s="27">
        <f>H179</f>
        <v>181.8</v>
      </c>
      <c r="I178" s="27">
        <f>I179</f>
        <v>181.8</v>
      </c>
      <c r="J178" s="27">
        <f>J179</f>
        <v>202</v>
      </c>
      <c r="K178" s="16">
        <f t="shared" si="64"/>
        <v>0</v>
      </c>
      <c r="L178" s="27">
        <f>L179</f>
        <v>181.8</v>
      </c>
      <c r="M178" s="16">
        <f t="shared" si="65"/>
        <v>0</v>
      </c>
      <c r="N178" s="27">
        <f>N179</f>
        <v>181.8</v>
      </c>
      <c r="O178" s="16">
        <f t="shared" si="66"/>
        <v>0</v>
      </c>
    </row>
    <row r="179" spans="1:15" s="3" customFormat="1" ht="51">
      <c r="A179" s="34" t="s">
        <v>873</v>
      </c>
      <c r="B179" s="108">
        <v>601</v>
      </c>
      <c r="C179" s="35" t="s">
        <v>65</v>
      </c>
      <c r="D179" s="35">
        <v>13</v>
      </c>
      <c r="E179" s="35" t="s">
        <v>255</v>
      </c>
      <c r="F179" s="26" t="s">
        <v>58</v>
      </c>
      <c r="G179" s="27">
        <f>G180+G182</f>
        <v>202</v>
      </c>
      <c r="H179" s="27">
        <f>H180+H182</f>
        <v>181.8</v>
      </c>
      <c r="I179" s="27">
        <f>I180+I182</f>
        <v>181.8</v>
      </c>
      <c r="J179" s="27">
        <f>J180+J182</f>
        <v>202</v>
      </c>
      <c r="K179" s="16">
        <f t="shared" si="64"/>
        <v>0</v>
      </c>
      <c r="L179" s="27">
        <f>L180+L182</f>
        <v>181.8</v>
      </c>
      <c r="M179" s="16">
        <f t="shared" si="65"/>
        <v>0</v>
      </c>
      <c r="N179" s="27">
        <f>N180+N182</f>
        <v>181.8</v>
      </c>
      <c r="O179" s="16">
        <f t="shared" si="66"/>
        <v>0</v>
      </c>
    </row>
    <row r="180" spans="1:15" s="3" customFormat="1" ht="25.5">
      <c r="A180" s="11" t="s">
        <v>108</v>
      </c>
      <c r="B180" s="108">
        <v>601</v>
      </c>
      <c r="C180" s="35" t="s">
        <v>65</v>
      </c>
      <c r="D180" s="35">
        <v>13</v>
      </c>
      <c r="E180" s="35" t="s">
        <v>255</v>
      </c>
      <c r="F180" s="26" t="s">
        <v>116</v>
      </c>
      <c r="G180" s="27">
        <f>G181</f>
        <v>140</v>
      </c>
      <c r="H180" s="27">
        <f t="shared" ref="H180:I180" si="82">H181</f>
        <v>121.8</v>
      </c>
      <c r="I180" s="27">
        <f t="shared" si="82"/>
        <v>121.8</v>
      </c>
      <c r="J180" s="27">
        <f>140</f>
        <v>140</v>
      </c>
      <c r="K180" s="16">
        <f t="shared" si="64"/>
        <v>0</v>
      </c>
      <c r="L180" s="27">
        <f>121.8</f>
        <v>121.8</v>
      </c>
      <c r="M180" s="16">
        <f t="shared" si="65"/>
        <v>0</v>
      </c>
      <c r="N180" s="27">
        <f>121.8</f>
        <v>121.8</v>
      </c>
      <c r="O180" s="16">
        <f t="shared" si="66"/>
        <v>0</v>
      </c>
    </row>
    <row r="181" spans="1:15" s="4" customFormat="1" ht="25.5">
      <c r="A181" s="12" t="s">
        <v>973</v>
      </c>
      <c r="B181" s="108">
        <v>601</v>
      </c>
      <c r="C181" s="35" t="s">
        <v>65</v>
      </c>
      <c r="D181" s="35">
        <v>13</v>
      </c>
      <c r="E181" s="35" t="s">
        <v>255</v>
      </c>
      <c r="F181" s="26" t="s">
        <v>1043</v>
      </c>
      <c r="G181" s="27">
        <f>140</f>
        <v>140</v>
      </c>
      <c r="H181" s="27">
        <f>121.8</f>
        <v>121.8</v>
      </c>
      <c r="I181" s="27">
        <f>121.8</f>
        <v>121.8</v>
      </c>
      <c r="J181" s="80"/>
      <c r="K181" s="16">
        <f t="shared" si="64"/>
        <v>-140</v>
      </c>
      <c r="L181" s="80"/>
      <c r="M181" s="16">
        <f t="shared" si="65"/>
        <v>-121.8</v>
      </c>
      <c r="N181" s="80"/>
      <c r="O181" s="16">
        <f t="shared" si="66"/>
        <v>-121.8</v>
      </c>
    </row>
    <row r="182" spans="1:15" s="3" customFormat="1">
      <c r="A182" s="31" t="s">
        <v>91</v>
      </c>
      <c r="B182" s="108">
        <v>601</v>
      </c>
      <c r="C182" s="35" t="s">
        <v>65</v>
      </c>
      <c r="D182" s="35">
        <v>13</v>
      </c>
      <c r="E182" s="35" t="s">
        <v>255</v>
      </c>
      <c r="F182" s="26" t="s">
        <v>100</v>
      </c>
      <c r="G182" s="27">
        <f>62</f>
        <v>62</v>
      </c>
      <c r="H182" s="27">
        <f>60</f>
        <v>60</v>
      </c>
      <c r="I182" s="27">
        <f>60</f>
        <v>60</v>
      </c>
      <c r="J182" s="27">
        <f>62</f>
        <v>62</v>
      </c>
      <c r="K182" s="16">
        <f t="shared" si="64"/>
        <v>0</v>
      </c>
      <c r="L182" s="27">
        <f>60</f>
        <v>60</v>
      </c>
      <c r="M182" s="16">
        <f t="shared" si="65"/>
        <v>0</v>
      </c>
      <c r="N182" s="27">
        <f>60</f>
        <v>60</v>
      </c>
      <c r="O182" s="16">
        <f t="shared" si="66"/>
        <v>0</v>
      </c>
    </row>
    <row r="183" spans="1:15" s="3" customFormat="1" ht="25.5">
      <c r="A183" s="11" t="s">
        <v>755</v>
      </c>
      <c r="B183" s="108">
        <v>601</v>
      </c>
      <c r="C183" s="35" t="s">
        <v>65</v>
      </c>
      <c r="D183" s="35">
        <v>13</v>
      </c>
      <c r="E183" s="35" t="s">
        <v>256</v>
      </c>
      <c r="F183" s="26" t="s">
        <v>58</v>
      </c>
      <c r="G183" s="27">
        <f t="shared" ref="G183:N185" si="83">G184</f>
        <v>278.8</v>
      </c>
      <c r="H183" s="27">
        <f t="shared" si="83"/>
        <v>250.92</v>
      </c>
      <c r="I183" s="27">
        <f t="shared" si="83"/>
        <v>250.92</v>
      </c>
      <c r="J183" s="27">
        <f t="shared" si="83"/>
        <v>278.8</v>
      </c>
      <c r="K183" s="16">
        <f t="shared" si="64"/>
        <v>0</v>
      </c>
      <c r="L183" s="27">
        <f t="shared" si="83"/>
        <v>250.92</v>
      </c>
      <c r="M183" s="16">
        <f t="shared" si="65"/>
        <v>0</v>
      </c>
      <c r="N183" s="27">
        <f t="shared" si="83"/>
        <v>250.92</v>
      </c>
      <c r="O183" s="16">
        <f t="shared" si="66"/>
        <v>0</v>
      </c>
    </row>
    <row r="184" spans="1:15" s="3" customFormat="1" ht="25.5">
      <c r="A184" s="11" t="s">
        <v>679</v>
      </c>
      <c r="B184" s="108">
        <v>601</v>
      </c>
      <c r="C184" s="35" t="s">
        <v>65</v>
      </c>
      <c r="D184" s="35">
        <v>13</v>
      </c>
      <c r="E184" s="35" t="s">
        <v>257</v>
      </c>
      <c r="F184" s="26" t="s">
        <v>58</v>
      </c>
      <c r="G184" s="27">
        <f t="shared" si="83"/>
        <v>278.8</v>
      </c>
      <c r="H184" s="27">
        <f t="shared" si="83"/>
        <v>250.92</v>
      </c>
      <c r="I184" s="27">
        <f t="shared" si="83"/>
        <v>250.92</v>
      </c>
      <c r="J184" s="27">
        <f t="shared" si="83"/>
        <v>278.8</v>
      </c>
      <c r="K184" s="16">
        <f t="shared" si="64"/>
        <v>0</v>
      </c>
      <c r="L184" s="27">
        <f t="shared" si="83"/>
        <v>250.92</v>
      </c>
      <c r="M184" s="16">
        <f t="shared" si="65"/>
        <v>0</v>
      </c>
      <c r="N184" s="27">
        <f t="shared" si="83"/>
        <v>250.92</v>
      </c>
      <c r="O184" s="16">
        <f t="shared" si="66"/>
        <v>0</v>
      </c>
    </row>
    <row r="185" spans="1:15" s="3" customFormat="1" ht="38.25">
      <c r="A185" s="11" t="s">
        <v>678</v>
      </c>
      <c r="B185" s="108">
        <v>601</v>
      </c>
      <c r="C185" s="35" t="s">
        <v>65</v>
      </c>
      <c r="D185" s="35">
        <v>13</v>
      </c>
      <c r="E185" s="35" t="s">
        <v>258</v>
      </c>
      <c r="F185" s="26" t="s">
        <v>58</v>
      </c>
      <c r="G185" s="27">
        <f t="shared" si="83"/>
        <v>278.8</v>
      </c>
      <c r="H185" s="27">
        <f t="shared" si="83"/>
        <v>250.92</v>
      </c>
      <c r="I185" s="27">
        <f t="shared" si="83"/>
        <v>250.92</v>
      </c>
      <c r="J185" s="27">
        <f t="shared" si="83"/>
        <v>278.8</v>
      </c>
      <c r="K185" s="16">
        <f t="shared" si="64"/>
        <v>0</v>
      </c>
      <c r="L185" s="27">
        <f t="shared" si="83"/>
        <v>250.92</v>
      </c>
      <c r="M185" s="16">
        <f t="shared" si="65"/>
        <v>0</v>
      </c>
      <c r="N185" s="27">
        <f t="shared" si="83"/>
        <v>250.92</v>
      </c>
      <c r="O185" s="16">
        <f t="shared" si="66"/>
        <v>0</v>
      </c>
    </row>
    <row r="186" spans="1:15" s="3" customFormat="1">
      <c r="A186" s="31" t="s">
        <v>91</v>
      </c>
      <c r="B186" s="108">
        <v>601</v>
      </c>
      <c r="C186" s="35" t="s">
        <v>65</v>
      </c>
      <c r="D186" s="35">
        <v>13</v>
      </c>
      <c r="E186" s="35" t="s">
        <v>258</v>
      </c>
      <c r="F186" s="26" t="s">
        <v>100</v>
      </c>
      <c r="G186" s="27">
        <f>278.8</f>
        <v>278.8</v>
      </c>
      <c r="H186" s="27">
        <f>250.92</f>
        <v>250.92</v>
      </c>
      <c r="I186" s="27">
        <f>250.92</f>
        <v>250.92</v>
      </c>
      <c r="J186" s="27">
        <f>278.8</f>
        <v>278.8</v>
      </c>
      <c r="K186" s="16">
        <f t="shared" si="64"/>
        <v>0</v>
      </c>
      <c r="L186" s="27">
        <f>250.92</f>
        <v>250.92</v>
      </c>
      <c r="M186" s="16">
        <f t="shared" si="65"/>
        <v>0</v>
      </c>
      <c r="N186" s="27">
        <f>250.92</f>
        <v>250.92</v>
      </c>
      <c r="O186" s="16">
        <f t="shared" si="66"/>
        <v>0</v>
      </c>
    </row>
    <row r="187" spans="1:15" s="3" customFormat="1" ht="25.5">
      <c r="A187" s="11" t="s">
        <v>759</v>
      </c>
      <c r="B187" s="25" t="s">
        <v>55</v>
      </c>
      <c r="C187" s="26" t="s">
        <v>65</v>
      </c>
      <c r="D187" s="26" t="s">
        <v>84</v>
      </c>
      <c r="E187" s="26" t="s">
        <v>259</v>
      </c>
      <c r="F187" s="26" t="s">
        <v>58</v>
      </c>
      <c r="G187" s="27">
        <f t="shared" ref="G187:N191" si="84">G188</f>
        <v>2292.5</v>
      </c>
      <c r="H187" s="27">
        <f t="shared" si="84"/>
        <v>2292.5</v>
      </c>
      <c r="I187" s="27">
        <f t="shared" si="84"/>
        <v>2292.5</v>
      </c>
      <c r="J187" s="27">
        <f t="shared" si="84"/>
        <v>2292.5</v>
      </c>
      <c r="K187" s="16">
        <f t="shared" si="64"/>
        <v>0</v>
      </c>
      <c r="L187" s="27">
        <f t="shared" si="84"/>
        <v>2292.5</v>
      </c>
      <c r="M187" s="16">
        <f t="shared" si="65"/>
        <v>0</v>
      </c>
      <c r="N187" s="27">
        <f t="shared" si="84"/>
        <v>2292.5</v>
      </c>
      <c r="O187" s="16">
        <f t="shared" si="66"/>
        <v>0</v>
      </c>
    </row>
    <row r="188" spans="1:15" s="3" customFormat="1" ht="25.5">
      <c r="A188" s="11" t="s">
        <v>760</v>
      </c>
      <c r="B188" s="25" t="s">
        <v>55</v>
      </c>
      <c r="C188" s="26" t="s">
        <v>65</v>
      </c>
      <c r="D188" s="26" t="s">
        <v>84</v>
      </c>
      <c r="E188" s="26" t="s">
        <v>260</v>
      </c>
      <c r="F188" s="26" t="s">
        <v>58</v>
      </c>
      <c r="G188" s="27">
        <f t="shared" si="84"/>
        <v>2292.5</v>
      </c>
      <c r="H188" s="27">
        <f t="shared" si="84"/>
        <v>2292.5</v>
      </c>
      <c r="I188" s="27">
        <f t="shared" si="84"/>
        <v>2292.5</v>
      </c>
      <c r="J188" s="27">
        <f t="shared" si="84"/>
        <v>2292.5</v>
      </c>
      <c r="K188" s="16">
        <f t="shared" si="64"/>
        <v>0</v>
      </c>
      <c r="L188" s="27">
        <f t="shared" si="84"/>
        <v>2292.5</v>
      </c>
      <c r="M188" s="16">
        <f t="shared" si="65"/>
        <v>0</v>
      </c>
      <c r="N188" s="27">
        <f t="shared" si="84"/>
        <v>2292.5</v>
      </c>
      <c r="O188" s="16">
        <f t="shared" si="66"/>
        <v>0</v>
      </c>
    </row>
    <row r="189" spans="1:15" s="3" customFormat="1" ht="51">
      <c r="A189" s="34" t="s">
        <v>261</v>
      </c>
      <c r="B189" s="25" t="s">
        <v>55</v>
      </c>
      <c r="C189" s="26" t="s">
        <v>65</v>
      </c>
      <c r="D189" s="26" t="s">
        <v>84</v>
      </c>
      <c r="E189" s="26" t="s">
        <v>262</v>
      </c>
      <c r="F189" s="26" t="s">
        <v>58</v>
      </c>
      <c r="G189" s="27">
        <f t="shared" si="84"/>
        <v>2292.5</v>
      </c>
      <c r="H189" s="27">
        <f t="shared" si="84"/>
        <v>2292.5</v>
      </c>
      <c r="I189" s="27">
        <f t="shared" si="84"/>
        <v>2292.5</v>
      </c>
      <c r="J189" s="27">
        <f t="shared" si="84"/>
        <v>2292.5</v>
      </c>
      <c r="K189" s="16">
        <f t="shared" si="64"/>
        <v>0</v>
      </c>
      <c r="L189" s="27">
        <f t="shared" si="84"/>
        <v>2292.5</v>
      </c>
      <c r="M189" s="16">
        <f t="shared" si="65"/>
        <v>0</v>
      </c>
      <c r="N189" s="27">
        <f t="shared" si="84"/>
        <v>2292.5</v>
      </c>
      <c r="O189" s="16">
        <f t="shared" si="66"/>
        <v>0</v>
      </c>
    </row>
    <row r="190" spans="1:15" s="3" customFormat="1" ht="89.25">
      <c r="A190" s="11" t="s">
        <v>677</v>
      </c>
      <c r="B190" s="25" t="s">
        <v>55</v>
      </c>
      <c r="C190" s="26" t="s">
        <v>65</v>
      </c>
      <c r="D190" s="26" t="s">
        <v>84</v>
      </c>
      <c r="E190" s="26" t="s">
        <v>263</v>
      </c>
      <c r="F190" s="26" t="s">
        <v>58</v>
      </c>
      <c r="G190" s="27">
        <f t="shared" si="84"/>
        <v>2292.5</v>
      </c>
      <c r="H190" s="27">
        <f t="shared" si="84"/>
        <v>2292.5</v>
      </c>
      <c r="I190" s="27">
        <f t="shared" si="84"/>
        <v>2292.5</v>
      </c>
      <c r="J190" s="27">
        <f t="shared" si="84"/>
        <v>2292.5</v>
      </c>
      <c r="K190" s="16">
        <f t="shared" si="64"/>
        <v>0</v>
      </c>
      <c r="L190" s="27">
        <f t="shared" si="84"/>
        <v>2292.5</v>
      </c>
      <c r="M190" s="16">
        <f t="shared" si="65"/>
        <v>0</v>
      </c>
      <c r="N190" s="27">
        <f t="shared" si="84"/>
        <v>2292.5</v>
      </c>
      <c r="O190" s="16">
        <f t="shared" si="66"/>
        <v>0</v>
      </c>
    </row>
    <row r="191" spans="1:15" s="3" customFormat="1" ht="25.5">
      <c r="A191" s="11" t="s">
        <v>111</v>
      </c>
      <c r="B191" s="25" t="s">
        <v>55</v>
      </c>
      <c r="C191" s="26" t="s">
        <v>65</v>
      </c>
      <c r="D191" s="26" t="s">
        <v>84</v>
      </c>
      <c r="E191" s="26" t="s">
        <v>263</v>
      </c>
      <c r="F191" s="26" t="s">
        <v>104</v>
      </c>
      <c r="G191" s="27">
        <f>G192</f>
        <v>2292.5</v>
      </c>
      <c r="H191" s="27">
        <f t="shared" si="84"/>
        <v>2292.5</v>
      </c>
      <c r="I191" s="27">
        <f t="shared" si="84"/>
        <v>2292.5</v>
      </c>
      <c r="J191" s="27">
        <f>2292.5</f>
        <v>2292.5</v>
      </c>
      <c r="K191" s="16">
        <f t="shared" si="64"/>
        <v>0</v>
      </c>
      <c r="L191" s="27">
        <f>2292.5</f>
        <v>2292.5</v>
      </c>
      <c r="M191" s="16">
        <f t="shared" si="65"/>
        <v>0</v>
      </c>
      <c r="N191" s="27">
        <f>2292.5</f>
        <v>2292.5</v>
      </c>
      <c r="O191" s="16">
        <f t="shared" si="66"/>
        <v>0</v>
      </c>
    </row>
    <row r="192" spans="1:15" s="4" customFormat="1" ht="76.5">
      <c r="A192" s="12" t="s">
        <v>1048</v>
      </c>
      <c r="B192" s="25" t="s">
        <v>55</v>
      </c>
      <c r="C192" s="26" t="s">
        <v>65</v>
      </c>
      <c r="D192" s="26" t="s">
        <v>84</v>
      </c>
      <c r="E192" s="26" t="s">
        <v>263</v>
      </c>
      <c r="F192" s="26" t="s">
        <v>1055</v>
      </c>
      <c r="G192" s="27">
        <f>2292.5</f>
        <v>2292.5</v>
      </c>
      <c r="H192" s="27">
        <f>2292.5</f>
        <v>2292.5</v>
      </c>
      <c r="I192" s="27">
        <f>2292.5</f>
        <v>2292.5</v>
      </c>
      <c r="J192" s="80"/>
      <c r="K192" s="16">
        <f t="shared" si="64"/>
        <v>-2292.5</v>
      </c>
      <c r="L192" s="80"/>
      <c r="M192" s="16">
        <f t="shared" si="65"/>
        <v>-2292.5</v>
      </c>
      <c r="N192" s="80"/>
      <c r="O192" s="16">
        <f t="shared" si="66"/>
        <v>-2292.5</v>
      </c>
    </row>
    <row r="193" spans="1:15" s="3" customFormat="1">
      <c r="A193" s="34" t="s">
        <v>112</v>
      </c>
      <c r="B193" s="35" t="s">
        <v>55</v>
      </c>
      <c r="C193" s="36" t="s">
        <v>65</v>
      </c>
      <c r="D193" s="36" t="s">
        <v>84</v>
      </c>
      <c r="E193" s="36" t="s">
        <v>206</v>
      </c>
      <c r="F193" s="36" t="s">
        <v>58</v>
      </c>
      <c r="G193" s="27">
        <f>G194</f>
        <v>34270.649999999994</v>
      </c>
      <c r="H193" s="27">
        <f>H194</f>
        <v>32138.51</v>
      </c>
      <c r="I193" s="27">
        <f>I194</f>
        <v>32138.51</v>
      </c>
      <c r="J193" s="27">
        <f>J194</f>
        <v>34270.649999999994</v>
      </c>
      <c r="K193" s="16">
        <f t="shared" si="64"/>
        <v>0</v>
      </c>
      <c r="L193" s="27">
        <f>L194</f>
        <v>32138.51</v>
      </c>
      <c r="M193" s="16">
        <f t="shared" si="65"/>
        <v>0</v>
      </c>
      <c r="N193" s="27">
        <f>N194</f>
        <v>32138.51</v>
      </c>
      <c r="O193" s="16">
        <f t="shared" si="66"/>
        <v>0</v>
      </c>
    </row>
    <row r="194" spans="1:15" s="3" customFormat="1" ht="25.5">
      <c r="A194" s="34" t="s">
        <v>113</v>
      </c>
      <c r="B194" s="35" t="s">
        <v>55</v>
      </c>
      <c r="C194" s="36" t="s">
        <v>65</v>
      </c>
      <c r="D194" s="36" t="s">
        <v>84</v>
      </c>
      <c r="E194" s="36" t="s">
        <v>207</v>
      </c>
      <c r="F194" s="36" t="s">
        <v>58</v>
      </c>
      <c r="G194" s="27">
        <f>G195</f>
        <v>34270.649999999994</v>
      </c>
      <c r="H194" s="27">
        <f t="shared" ref="H194:N194" si="85">H195</f>
        <v>32138.51</v>
      </c>
      <c r="I194" s="27">
        <f t="shared" si="85"/>
        <v>32138.51</v>
      </c>
      <c r="J194" s="27">
        <f>J195</f>
        <v>34270.649999999994</v>
      </c>
      <c r="K194" s="16">
        <f t="shared" si="64"/>
        <v>0</v>
      </c>
      <c r="L194" s="27">
        <f t="shared" si="85"/>
        <v>32138.51</v>
      </c>
      <c r="M194" s="16">
        <f t="shared" si="65"/>
        <v>0</v>
      </c>
      <c r="N194" s="27">
        <f t="shared" si="85"/>
        <v>32138.51</v>
      </c>
      <c r="O194" s="16">
        <f t="shared" si="66"/>
        <v>0</v>
      </c>
    </row>
    <row r="195" spans="1:15" s="3" customFormat="1" ht="25.5">
      <c r="A195" s="34" t="s">
        <v>247</v>
      </c>
      <c r="B195" s="35" t="s">
        <v>55</v>
      </c>
      <c r="C195" s="36" t="s">
        <v>65</v>
      </c>
      <c r="D195" s="36" t="s">
        <v>84</v>
      </c>
      <c r="E195" s="36" t="s">
        <v>264</v>
      </c>
      <c r="F195" s="36" t="s">
        <v>58</v>
      </c>
      <c r="G195" s="37">
        <f>G196+G200+G202</f>
        <v>34270.649999999994</v>
      </c>
      <c r="H195" s="37">
        <f t="shared" ref="H195:I195" si="86">H196+H200+H202</f>
        <v>32138.51</v>
      </c>
      <c r="I195" s="37">
        <f t="shared" si="86"/>
        <v>32138.51</v>
      </c>
      <c r="J195" s="37">
        <f>SUM(J196:J202)</f>
        <v>34270.649999999994</v>
      </c>
      <c r="K195" s="16">
        <f t="shared" si="64"/>
        <v>0</v>
      </c>
      <c r="L195" s="37">
        <f>SUM(L196:L202)</f>
        <v>32138.51</v>
      </c>
      <c r="M195" s="16">
        <f t="shared" si="65"/>
        <v>0</v>
      </c>
      <c r="N195" s="37">
        <f>SUM(N196:N202)</f>
        <v>32138.51</v>
      </c>
      <c r="O195" s="16">
        <f t="shared" si="66"/>
        <v>0</v>
      </c>
    </row>
    <row r="196" spans="1:15" s="3" customFormat="1">
      <c r="A196" s="13" t="s">
        <v>106</v>
      </c>
      <c r="B196" s="35" t="s">
        <v>55</v>
      </c>
      <c r="C196" s="36" t="s">
        <v>65</v>
      </c>
      <c r="D196" s="36" t="s">
        <v>84</v>
      </c>
      <c r="E196" s="36" t="s">
        <v>264</v>
      </c>
      <c r="F196" s="36" t="s">
        <v>121</v>
      </c>
      <c r="G196" s="27">
        <f>SUM(G197:G199)</f>
        <v>12661.96</v>
      </c>
      <c r="H196" s="27">
        <f t="shared" ref="H196:I196" si="87">SUM(H197:H199)</f>
        <v>12661.96</v>
      </c>
      <c r="I196" s="27">
        <f t="shared" si="87"/>
        <v>12661.96</v>
      </c>
      <c r="J196" s="27">
        <f>9739.07+55+2867.89</f>
        <v>12661.96</v>
      </c>
      <c r="K196" s="16">
        <f t="shared" ref="K196:K261" si="88">J196-G196</f>
        <v>0</v>
      </c>
      <c r="L196" s="27">
        <f>9739.07+55+2867.89</f>
        <v>12661.96</v>
      </c>
      <c r="M196" s="16">
        <f t="shared" ref="M196:M261" si="89">L196-H196</f>
        <v>0</v>
      </c>
      <c r="N196" s="27">
        <f>9739.07+55+2867.89</f>
        <v>12661.96</v>
      </c>
      <c r="O196" s="16">
        <f t="shared" ref="O196:O261" si="90">N196-I196</f>
        <v>0</v>
      </c>
    </row>
    <row r="197" spans="1:15" s="4" customFormat="1">
      <c r="A197" s="12" t="s">
        <v>932</v>
      </c>
      <c r="B197" s="35" t="s">
        <v>55</v>
      </c>
      <c r="C197" s="36" t="s">
        <v>65</v>
      </c>
      <c r="D197" s="36" t="s">
        <v>84</v>
      </c>
      <c r="E197" s="36" t="s">
        <v>264</v>
      </c>
      <c r="F197" s="26" t="s">
        <v>1056</v>
      </c>
      <c r="G197" s="27">
        <v>9739.07</v>
      </c>
      <c r="H197" s="27">
        <v>9739.07</v>
      </c>
      <c r="I197" s="27">
        <v>9739.07</v>
      </c>
      <c r="J197" s="80"/>
      <c r="K197" s="16">
        <f t="shared" si="88"/>
        <v>-9739.07</v>
      </c>
      <c r="L197" s="80"/>
      <c r="M197" s="16">
        <f t="shared" si="89"/>
        <v>-9739.07</v>
      </c>
      <c r="N197" s="80"/>
      <c r="O197" s="16">
        <f t="shared" si="90"/>
        <v>-9739.07</v>
      </c>
    </row>
    <row r="198" spans="1:15" s="4" customFormat="1" ht="25.5">
      <c r="A198" s="12" t="s">
        <v>933</v>
      </c>
      <c r="B198" s="35" t="s">
        <v>55</v>
      </c>
      <c r="C198" s="36" t="s">
        <v>65</v>
      </c>
      <c r="D198" s="36" t="s">
        <v>84</v>
      </c>
      <c r="E198" s="36" t="s">
        <v>264</v>
      </c>
      <c r="F198" s="26" t="s">
        <v>1069</v>
      </c>
      <c r="G198" s="27">
        <v>55</v>
      </c>
      <c r="H198" s="27">
        <v>55</v>
      </c>
      <c r="I198" s="27">
        <v>55</v>
      </c>
      <c r="J198" s="80"/>
      <c r="K198" s="16">
        <f t="shared" si="88"/>
        <v>-55</v>
      </c>
      <c r="L198" s="80"/>
      <c r="M198" s="16">
        <f t="shared" si="89"/>
        <v>-55</v>
      </c>
      <c r="N198" s="80"/>
      <c r="O198" s="16">
        <f t="shared" si="90"/>
        <v>-55</v>
      </c>
    </row>
    <row r="199" spans="1:15" s="4" customFormat="1" ht="38.25">
      <c r="A199" s="12" t="s">
        <v>935</v>
      </c>
      <c r="B199" s="35" t="s">
        <v>55</v>
      </c>
      <c r="C199" s="36" t="s">
        <v>65</v>
      </c>
      <c r="D199" s="36" t="s">
        <v>84</v>
      </c>
      <c r="E199" s="36" t="s">
        <v>264</v>
      </c>
      <c r="F199" s="26" t="s">
        <v>1057</v>
      </c>
      <c r="G199" s="27">
        <v>2867.89</v>
      </c>
      <c r="H199" s="27">
        <v>2867.89</v>
      </c>
      <c r="I199" s="27">
        <v>2867.89</v>
      </c>
      <c r="J199" s="80"/>
      <c r="K199" s="16"/>
      <c r="L199" s="80"/>
      <c r="M199" s="16"/>
      <c r="N199" s="80"/>
      <c r="O199" s="16"/>
    </row>
    <row r="200" spans="1:15" s="3" customFormat="1" ht="25.5">
      <c r="A200" s="11" t="s">
        <v>108</v>
      </c>
      <c r="B200" s="35" t="s">
        <v>55</v>
      </c>
      <c r="C200" s="36" t="s">
        <v>65</v>
      </c>
      <c r="D200" s="36" t="s">
        <v>84</v>
      </c>
      <c r="E200" s="36" t="s">
        <v>264</v>
      </c>
      <c r="F200" s="36" t="s">
        <v>116</v>
      </c>
      <c r="G200" s="27">
        <f>G201</f>
        <v>21214.16</v>
      </c>
      <c r="H200" s="27">
        <f t="shared" ref="H200:I200" si="91">H201</f>
        <v>19082.02</v>
      </c>
      <c r="I200" s="27">
        <f t="shared" si="91"/>
        <v>19082.02</v>
      </c>
      <c r="J200" s="27">
        <f>21214.16</f>
        <v>21214.16</v>
      </c>
      <c r="K200" s="16">
        <f t="shared" si="88"/>
        <v>0</v>
      </c>
      <c r="L200" s="27">
        <f>19082.02</f>
        <v>19082.02</v>
      </c>
      <c r="M200" s="16">
        <f t="shared" si="89"/>
        <v>0</v>
      </c>
      <c r="N200" s="27">
        <f>19082.02</f>
        <v>19082.02</v>
      </c>
      <c r="O200" s="16">
        <f t="shared" si="90"/>
        <v>0</v>
      </c>
    </row>
    <row r="201" spans="1:15" s="4" customFormat="1" ht="25.5">
      <c r="A201" s="12" t="s">
        <v>973</v>
      </c>
      <c r="B201" s="35" t="s">
        <v>55</v>
      </c>
      <c r="C201" s="36" t="s">
        <v>65</v>
      </c>
      <c r="D201" s="36" t="s">
        <v>84</v>
      </c>
      <c r="E201" s="36" t="s">
        <v>264</v>
      </c>
      <c r="F201" s="36" t="s">
        <v>1043</v>
      </c>
      <c r="G201" s="27">
        <f>21214.16</f>
        <v>21214.16</v>
      </c>
      <c r="H201" s="27">
        <f>19082.02</f>
        <v>19082.02</v>
      </c>
      <c r="I201" s="27">
        <f>19082.02</f>
        <v>19082.02</v>
      </c>
      <c r="J201" s="80"/>
      <c r="K201" s="16">
        <f t="shared" si="88"/>
        <v>-21214.16</v>
      </c>
      <c r="L201" s="80"/>
      <c r="M201" s="16">
        <f t="shared" si="89"/>
        <v>-19082.02</v>
      </c>
      <c r="N201" s="80"/>
      <c r="O201" s="16">
        <f t="shared" si="90"/>
        <v>-19082.02</v>
      </c>
    </row>
    <row r="202" spans="1:15" s="3" customFormat="1">
      <c r="A202" s="11" t="s">
        <v>97</v>
      </c>
      <c r="B202" s="25" t="s">
        <v>55</v>
      </c>
      <c r="C202" s="26" t="s">
        <v>65</v>
      </c>
      <c r="D202" s="26" t="s">
        <v>84</v>
      </c>
      <c r="E202" s="26" t="s">
        <v>264</v>
      </c>
      <c r="F202" s="26" t="s">
        <v>118</v>
      </c>
      <c r="G202" s="27">
        <f>SUM(G203:G205)</f>
        <v>394.53</v>
      </c>
      <c r="H202" s="27">
        <f t="shared" ref="H202:I202" si="92">SUM(H203:H205)</f>
        <v>394.53</v>
      </c>
      <c r="I202" s="27">
        <f t="shared" si="92"/>
        <v>394.53</v>
      </c>
      <c r="J202" s="27">
        <f>200+192.53+2</f>
        <v>394.53</v>
      </c>
      <c r="K202" s="16">
        <f t="shared" si="88"/>
        <v>0</v>
      </c>
      <c r="L202" s="27">
        <f>200+192.53+2</f>
        <v>394.53</v>
      </c>
      <c r="M202" s="16">
        <f t="shared" si="89"/>
        <v>0</v>
      </c>
      <c r="N202" s="27">
        <f>200+192.53+2</f>
        <v>394.53</v>
      </c>
      <c r="O202" s="16">
        <f t="shared" si="90"/>
        <v>0</v>
      </c>
    </row>
    <row r="203" spans="1:15" s="3" customFormat="1">
      <c r="A203" s="11" t="s">
        <v>1036</v>
      </c>
      <c r="B203" s="25" t="s">
        <v>55</v>
      </c>
      <c r="C203" s="26" t="s">
        <v>65</v>
      </c>
      <c r="D203" s="26" t="s">
        <v>84</v>
      </c>
      <c r="E203" s="26" t="s">
        <v>264</v>
      </c>
      <c r="F203" s="26" t="s">
        <v>1061</v>
      </c>
      <c r="G203" s="27">
        <v>200</v>
      </c>
      <c r="H203" s="27">
        <v>200</v>
      </c>
      <c r="I203" s="27">
        <v>200</v>
      </c>
      <c r="J203" s="27"/>
      <c r="K203" s="16">
        <f t="shared" si="88"/>
        <v>-200</v>
      </c>
      <c r="L203" s="27"/>
      <c r="M203" s="16">
        <f t="shared" si="89"/>
        <v>-200</v>
      </c>
      <c r="N203" s="27"/>
      <c r="O203" s="16">
        <f t="shared" si="90"/>
        <v>-200</v>
      </c>
    </row>
    <row r="204" spans="1:15" s="3" customFormat="1">
      <c r="A204" s="11" t="s">
        <v>1037</v>
      </c>
      <c r="B204" s="25" t="s">
        <v>55</v>
      </c>
      <c r="C204" s="26" t="s">
        <v>65</v>
      </c>
      <c r="D204" s="26" t="s">
        <v>84</v>
      </c>
      <c r="E204" s="26" t="s">
        <v>264</v>
      </c>
      <c r="F204" s="26" t="s">
        <v>1062</v>
      </c>
      <c r="G204" s="27">
        <v>192.53</v>
      </c>
      <c r="H204" s="27">
        <v>192.53</v>
      </c>
      <c r="I204" s="27">
        <v>192.53</v>
      </c>
      <c r="J204" s="27"/>
      <c r="K204" s="16">
        <f t="shared" si="88"/>
        <v>-192.53</v>
      </c>
      <c r="L204" s="27"/>
      <c r="M204" s="16">
        <f t="shared" si="89"/>
        <v>-192.53</v>
      </c>
      <c r="N204" s="27"/>
      <c r="O204" s="16">
        <f t="shared" si="90"/>
        <v>-192.53</v>
      </c>
    </row>
    <row r="205" spans="1:15" s="3" customFormat="1">
      <c r="A205" s="11" t="s">
        <v>1038</v>
      </c>
      <c r="B205" s="25" t="s">
        <v>55</v>
      </c>
      <c r="C205" s="26" t="s">
        <v>65</v>
      </c>
      <c r="D205" s="26" t="s">
        <v>84</v>
      </c>
      <c r="E205" s="26" t="s">
        <v>264</v>
      </c>
      <c r="F205" s="26" t="s">
        <v>1066</v>
      </c>
      <c r="G205" s="27">
        <v>2</v>
      </c>
      <c r="H205" s="27">
        <v>2</v>
      </c>
      <c r="I205" s="27">
        <v>2</v>
      </c>
      <c r="J205" s="27"/>
      <c r="K205" s="16">
        <f t="shared" si="88"/>
        <v>-2</v>
      </c>
      <c r="L205" s="27"/>
      <c r="M205" s="16">
        <f t="shared" si="89"/>
        <v>-2</v>
      </c>
      <c r="N205" s="27"/>
      <c r="O205" s="16">
        <f t="shared" si="90"/>
        <v>-2</v>
      </c>
    </row>
    <row r="206" spans="1:15" s="3" customFormat="1" ht="38.25">
      <c r="A206" s="11" t="s">
        <v>683</v>
      </c>
      <c r="B206" s="35" t="s">
        <v>55</v>
      </c>
      <c r="C206" s="36" t="s">
        <v>65</v>
      </c>
      <c r="D206" s="36" t="s">
        <v>84</v>
      </c>
      <c r="E206" s="36" t="s">
        <v>680</v>
      </c>
      <c r="F206" s="36" t="s">
        <v>58</v>
      </c>
      <c r="G206" s="27">
        <f>G207</f>
        <v>13370.14</v>
      </c>
      <c r="H206" s="27">
        <f t="shared" ref="H206:N206" si="93">H207</f>
        <v>7404.69</v>
      </c>
      <c r="I206" s="27">
        <f t="shared" si="93"/>
        <v>7404.69</v>
      </c>
      <c r="J206" s="27">
        <f>J207</f>
        <v>13370.14</v>
      </c>
      <c r="K206" s="16">
        <f t="shared" si="88"/>
        <v>0</v>
      </c>
      <c r="L206" s="27">
        <f t="shared" si="93"/>
        <v>7404.69</v>
      </c>
      <c r="M206" s="16">
        <f t="shared" si="89"/>
        <v>0</v>
      </c>
      <c r="N206" s="27">
        <f t="shared" si="93"/>
        <v>7404.69</v>
      </c>
      <c r="O206" s="16">
        <f t="shared" si="90"/>
        <v>0</v>
      </c>
    </row>
    <row r="207" spans="1:15" s="3" customFormat="1">
      <c r="A207" s="11" t="s">
        <v>684</v>
      </c>
      <c r="B207" s="35" t="s">
        <v>55</v>
      </c>
      <c r="C207" s="36" t="s">
        <v>65</v>
      </c>
      <c r="D207" s="36" t="s">
        <v>84</v>
      </c>
      <c r="E207" s="36" t="s">
        <v>681</v>
      </c>
      <c r="F207" s="36" t="s">
        <v>58</v>
      </c>
      <c r="G207" s="27">
        <f>G208</f>
        <v>13370.14</v>
      </c>
      <c r="H207" s="27">
        <f t="shared" ref="H207:N207" si="94">H208</f>
        <v>7404.69</v>
      </c>
      <c r="I207" s="27">
        <f t="shared" si="94"/>
        <v>7404.69</v>
      </c>
      <c r="J207" s="27">
        <f>J208</f>
        <v>13370.14</v>
      </c>
      <c r="K207" s="16">
        <f t="shared" si="88"/>
        <v>0</v>
      </c>
      <c r="L207" s="27">
        <f t="shared" si="94"/>
        <v>7404.69</v>
      </c>
      <c r="M207" s="16">
        <f t="shared" si="89"/>
        <v>0</v>
      </c>
      <c r="N207" s="27">
        <f t="shared" si="94"/>
        <v>7404.69</v>
      </c>
      <c r="O207" s="16">
        <f t="shared" si="90"/>
        <v>0</v>
      </c>
    </row>
    <row r="208" spans="1:15" s="3" customFormat="1" ht="38.25">
      <c r="A208" s="34" t="s">
        <v>265</v>
      </c>
      <c r="B208" s="35" t="s">
        <v>55</v>
      </c>
      <c r="C208" s="36" t="s">
        <v>65</v>
      </c>
      <c r="D208" s="36" t="s">
        <v>84</v>
      </c>
      <c r="E208" s="36" t="s">
        <v>770</v>
      </c>
      <c r="F208" s="36" t="s">
        <v>58</v>
      </c>
      <c r="G208" s="27">
        <f>SUM(G209:G209)</f>
        <v>13370.14</v>
      </c>
      <c r="H208" s="27">
        <f>SUM(H209:H209)</f>
        <v>7404.69</v>
      </c>
      <c r="I208" s="27">
        <f>SUM(I209:I209)</f>
        <v>7404.69</v>
      </c>
      <c r="J208" s="27">
        <f>SUM(J209:J209)</f>
        <v>13370.14</v>
      </c>
      <c r="K208" s="16">
        <f t="shared" si="88"/>
        <v>0</v>
      </c>
      <c r="L208" s="27">
        <f>SUM(L209:L209)</f>
        <v>7404.69</v>
      </c>
      <c r="M208" s="16">
        <f t="shared" si="89"/>
        <v>0</v>
      </c>
      <c r="N208" s="27">
        <f>SUM(N209:N209)</f>
        <v>7404.69</v>
      </c>
      <c r="O208" s="16">
        <f t="shared" si="90"/>
        <v>0</v>
      </c>
    </row>
    <row r="209" spans="1:15" s="3" customFormat="1" ht="25.5">
      <c r="A209" s="12" t="s">
        <v>107</v>
      </c>
      <c r="B209" s="35" t="s">
        <v>55</v>
      </c>
      <c r="C209" s="36" t="s">
        <v>65</v>
      </c>
      <c r="D209" s="36" t="s">
        <v>84</v>
      </c>
      <c r="E209" s="36" t="s">
        <v>770</v>
      </c>
      <c r="F209" s="36" t="s">
        <v>115</v>
      </c>
      <c r="G209" s="27">
        <f>SUM(G210:G211)</f>
        <v>13370.14</v>
      </c>
      <c r="H209" s="27">
        <f t="shared" ref="H209:I209" si="95">SUM(H210:H211)</f>
        <v>7404.69</v>
      </c>
      <c r="I209" s="27">
        <f t="shared" si="95"/>
        <v>7404.69</v>
      </c>
      <c r="J209" s="27">
        <f>5687.16+1717.53+5965.45</f>
        <v>13370.14</v>
      </c>
      <c r="K209" s="16">
        <f t="shared" si="88"/>
        <v>0</v>
      </c>
      <c r="L209" s="27">
        <f>5687.16+1717.53</f>
        <v>7404.69</v>
      </c>
      <c r="M209" s="16">
        <f t="shared" si="89"/>
        <v>0</v>
      </c>
      <c r="N209" s="27">
        <f>5687.16+1717.53</f>
        <v>7404.69</v>
      </c>
      <c r="O209" s="16">
        <f t="shared" si="90"/>
        <v>0</v>
      </c>
    </row>
    <row r="210" spans="1:15" s="4" customFormat="1">
      <c r="A210" s="12" t="s">
        <v>936</v>
      </c>
      <c r="B210" s="35" t="s">
        <v>55</v>
      </c>
      <c r="C210" s="36" t="s">
        <v>65</v>
      </c>
      <c r="D210" s="36" t="s">
        <v>84</v>
      </c>
      <c r="E210" s="36" t="s">
        <v>770</v>
      </c>
      <c r="F210" s="26" t="s">
        <v>1063</v>
      </c>
      <c r="G210" s="27">
        <f>5687.16+4581.76</f>
        <v>10268.92</v>
      </c>
      <c r="H210" s="27">
        <v>5687.16</v>
      </c>
      <c r="I210" s="27">
        <v>5687.16</v>
      </c>
      <c r="J210" s="80"/>
      <c r="K210" s="16">
        <f t="shared" si="88"/>
        <v>-10268.92</v>
      </c>
      <c r="L210" s="80"/>
      <c r="M210" s="16">
        <f t="shared" si="89"/>
        <v>-5687.16</v>
      </c>
      <c r="N210" s="80"/>
      <c r="O210" s="16">
        <f t="shared" si="90"/>
        <v>-5687.16</v>
      </c>
    </row>
    <row r="211" spans="1:15" s="4" customFormat="1" ht="38.25">
      <c r="A211" s="12" t="s">
        <v>939</v>
      </c>
      <c r="B211" s="35" t="s">
        <v>55</v>
      </c>
      <c r="C211" s="36" t="s">
        <v>65</v>
      </c>
      <c r="D211" s="36" t="s">
        <v>84</v>
      </c>
      <c r="E211" s="36" t="s">
        <v>770</v>
      </c>
      <c r="F211" s="26" t="s">
        <v>1060</v>
      </c>
      <c r="G211" s="27">
        <f>1717.53+1383.69</f>
        <v>3101.2200000000003</v>
      </c>
      <c r="H211" s="27">
        <v>1717.53</v>
      </c>
      <c r="I211" s="27">
        <v>1717.53</v>
      </c>
      <c r="J211" s="80"/>
      <c r="K211" s="16">
        <f t="shared" si="88"/>
        <v>-3101.2200000000003</v>
      </c>
      <c r="L211" s="80"/>
      <c r="M211" s="16">
        <f t="shared" si="89"/>
        <v>-1717.53</v>
      </c>
      <c r="N211" s="80"/>
      <c r="O211" s="16">
        <f t="shared" si="90"/>
        <v>-1717.53</v>
      </c>
    </row>
    <row r="212" spans="1:15" s="3" customFormat="1">
      <c r="A212" s="17" t="s">
        <v>35</v>
      </c>
      <c r="B212" s="18" t="s">
        <v>55</v>
      </c>
      <c r="C212" s="19" t="s">
        <v>37</v>
      </c>
      <c r="D212" s="19" t="s">
        <v>51</v>
      </c>
      <c r="E212" s="19" t="s">
        <v>196</v>
      </c>
      <c r="F212" s="19" t="s">
        <v>58</v>
      </c>
      <c r="G212" s="20">
        <f t="shared" ref="G212:N213" si="96">G213</f>
        <v>7375</v>
      </c>
      <c r="H212" s="20">
        <f t="shared" si="96"/>
        <v>6547.5</v>
      </c>
      <c r="I212" s="20">
        <f t="shared" si="96"/>
        <v>6547.5</v>
      </c>
      <c r="J212" s="20">
        <f t="shared" si="96"/>
        <v>7375</v>
      </c>
      <c r="K212" s="16">
        <f t="shared" si="88"/>
        <v>0</v>
      </c>
      <c r="L212" s="20">
        <f t="shared" si="96"/>
        <v>6547.5</v>
      </c>
      <c r="M212" s="16">
        <f t="shared" si="89"/>
        <v>0</v>
      </c>
      <c r="N212" s="20">
        <f t="shared" si="96"/>
        <v>6547.5</v>
      </c>
      <c r="O212" s="16">
        <f t="shared" si="90"/>
        <v>0</v>
      </c>
    </row>
    <row r="213" spans="1:15" s="3" customFormat="1">
      <c r="A213" s="21" t="s">
        <v>30</v>
      </c>
      <c r="B213" s="22" t="s">
        <v>55</v>
      </c>
      <c r="C213" s="23" t="s">
        <v>37</v>
      </c>
      <c r="D213" s="23" t="s">
        <v>40</v>
      </c>
      <c r="E213" s="23" t="s">
        <v>196</v>
      </c>
      <c r="F213" s="23" t="s">
        <v>58</v>
      </c>
      <c r="G213" s="24">
        <f t="shared" si="96"/>
        <v>7375</v>
      </c>
      <c r="H213" s="24">
        <f t="shared" si="96"/>
        <v>6547.5</v>
      </c>
      <c r="I213" s="24">
        <f t="shared" si="96"/>
        <v>6547.5</v>
      </c>
      <c r="J213" s="24">
        <f t="shared" si="96"/>
        <v>7375</v>
      </c>
      <c r="K213" s="16">
        <f t="shared" si="88"/>
        <v>0</v>
      </c>
      <c r="L213" s="24">
        <f t="shared" si="96"/>
        <v>6547.5</v>
      </c>
      <c r="M213" s="16">
        <f t="shared" si="89"/>
        <v>0</v>
      </c>
      <c r="N213" s="24">
        <f t="shared" si="96"/>
        <v>6547.5</v>
      </c>
      <c r="O213" s="16">
        <f t="shared" si="90"/>
        <v>0</v>
      </c>
    </row>
    <row r="214" spans="1:15" s="3" customFormat="1" ht="25.5">
      <c r="A214" s="34" t="s">
        <v>747</v>
      </c>
      <c r="B214" s="25" t="s">
        <v>55</v>
      </c>
      <c r="C214" s="26" t="s">
        <v>37</v>
      </c>
      <c r="D214" s="26" t="s">
        <v>40</v>
      </c>
      <c r="E214" s="26" t="s">
        <v>215</v>
      </c>
      <c r="F214" s="26" t="s">
        <v>58</v>
      </c>
      <c r="G214" s="27">
        <f>G215+G229</f>
        <v>7375</v>
      </c>
      <c r="H214" s="27">
        <f t="shared" ref="H214:I214" si="97">H215+H229</f>
        <v>6547.5</v>
      </c>
      <c r="I214" s="27">
        <f t="shared" si="97"/>
        <v>6547.5</v>
      </c>
      <c r="J214" s="27">
        <f>J215+J229</f>
        <v>7375</v>
      </c>
      <c r="K214" s="16">
        <f t="shared" si="88"/>
        <v>0</v>
      </c>
      <c r="L214" s="27">
        <f t="shared" ref="L214:N214" si="98">L215+L229</f>
        <v>6547.5</v>
      </c>
      <c r="M214" s="16">
        <f t="shared" si="89"/>
        <v>0</v>
      </c>
      <c r="N214" s="27">
        <f t="shared" si="98"/>
        <v>6547.5</v>
      </c>
      <c r="O214" s="16">
        <f t="shared" si="90"/>
        <v>0</v>
      </c>
    </row>
    <row r="215" spans="1:15" s="3" customFormat="1" ht="25.5">
      <c r="A215" s="34" t="s">
        <v>153</v>
      </c>
      <c r="B215" s="25" t="s">
        <v>55</v>
      </c>
      <c r="C215" s="26" t="s">
        <v>37</v>
      </c>
      <c r="D215" s="26" t="s">
        <v>40</v>
      </c>
      <c r="E215" s="26" t="s">
        <v>266</v>
      </c>
      <c r="F215" s="26" t="s">
        <v>58</v>
      </c>
      <c r="G215" s="27">
        <f>G216+G221+G225</f>
        <v>6600</v>
      </c>
      <c r="H215" s="27">
        <f>H216+H221+H225</f>
        <v>5967</v>
      </c>
      <c r="I215" s="27">
        <f>I216+I221+I225</f>
        <v>5967</v>
      </c>
      <c r="J215" s="27">
        <f>J216+J221+J225</f>
        <v>6600</v>
      </c>
      <c r="K215" s="16">
        <f t="shared" si="88"/>
        <v>0</v>
      </c>
      <c r="L215" s="27">
        <f>L216+L221+L225</f>
        <v>5967</v>
      </c>
      <c r="M215" s="16">
        <f t="shared" si="89"/>
        <v>0</v>
      </c>
      <c r="N215" s="27">
        <f>N216+N221+N225</f>
        <v>5967</v>
      </c>
      <c r="O215" s="16">
        <f t="shared" si="90"/>
        <v>0</v>
      </c>
    </row>
    <row r="216" spans="1:15" s="3" customFormat="1" ht="25.5">
      <c r="A216" s="34" t="s">
        <v>586</v>
      </c>
      <c r="B216" s="25" t="s">
        <v>55</v>
      </c>
      <c r="C216" s="26" t="s">
        <v>37</v>
      </c>
      <c r="D216" s="26" t="s">
        <v>40</v>
      </c>
      <c r="E216" s="26" t="s">
        <v>267</v>
      </c>
      <c r="F216" s="26" t="s">
        <v>58</v>
      </c>
      <c r="G216" s="27">
        <f t="shared" ref="G216:N217" si="99">G217</f>
        <v>5000</v>
      </c>
      <c r="H216" s="27">
        <f t="shared" si="99"/>
        <v>4410</v>
      </c>
      <c r="I216" s="27">
        <f t="shared" si="99"/>
        <v>4410</v>
      </c>
      <c r="J216" s="27">
        <f t="shared" si="99"/>
        <v>5000</v>
      </c>
      <c r="K216" s="16">
        <f t="shared" si="88"/>
        <v>0</v>
      </c>
      <c r="L216" s="27">
        <f t="shared" si="99"/>
        <v>4410</v>
      </c>
      <c r="M216" s="16">
        <f t="shared" si="89"/>
        <v>0</v>
      </c>
      <c r="N216" s="27">
        <f t="shared" si="99"/>
        <v>4410</v>
      </c>
      <c r="O216" s="16">
        <f t="shared" si="90"/>
        <v>0</v>
      </c>
    </row>
    <row r="217" spans="1:15" s="3" customFormat="1" ht="38.25">
      <c r="A217" s="34" t="s">
        <v>268</v>
      </c>
      <c r="B217" s="25" t="s">
        <v>55</v>
      </c>
      <c r="C217" s="26" t="s">
        <v>37</v>
      </c>
      <c r="D217" s="26" t="s">
        <v>40</v>
      </c>
      <c r="E217" s="26" t="s">
        <v>269</v>
      </c>
      <c r="F217" s="26" t="s">
        <v>58</v>
      </c>
      <c r="G217" s="27">
        <f t="shared" si="99"/>
        <v>5000</v>
      </c>
      <c r="H217" s="27">
        <f t="shared" si="99"/>
        <v>4410</v>
      </c>
      <c r="I217" s="27">
        <f t="shared" si="99"/>
        <v>4410</v>
      </c>
      <c r="J217" s="27">
        <f t="shared" si="99"/>
        <v>5000</v>
      </c>
      <c r="K217" s="16">
        <f t="shared" si="88"/>
        <v>0</v>
      </c>
      <c r="L217" s="27">
        <f t="shared" si="99"/>
        <v>4410</v>
      </c>
      <c r="M217" s="16">
        <f t="shared" si="89"/>
        <v>0</v>
      </c>
      <c r="N217" s="27">
        <f t="shared" si="99"/>
        <v>4410</v>
      </c>
      <c r="O217" s="16">
        <f t="shared" si="90"/>
        <v>0</v>
      </c>
    </row>
    <row r="218" spans="1:15" s="3" customFormat="1" ht="38.25">
      <c r="A218" s="46" t="s">
        <v>561</v>
      </c>
      <c r="B218" s="25" t="s">
        <v>55</v>
      </c>
      <c r="C218" s="26" t="s">
        <v>37</v>
      </c>
      <c r="D218" s="26" t="s">
        <v>40</v>
      </c>
      <c r="E218" s="26" t="s">
        <v>269</v>
      </c>
      <c r="F218" s="26" t="s">
        <v>101</v>
      </c>
      <c r="G218" s="27">
        <f>SUM(G219:G220)</f>
        <v>5000</v>
      </c>
      <c r="H218" s="27">
        <f t="shared" ref="H218:I218" si="100">SUM(H219:H220)</f>
        <v>4410</v>
      </c>
      <c r="I218" s="27">
        <f t="shared" si="100"/>
        <v>4410</v>
      </c>
      <c r="J218" s="27">
        <f>5000</f>
        <v>5000</v>
      </c>
      <c r="K218" s="16">
        <f t="shared" si="88"/>
        <v>0</v>
      </c>
      <c r="L218" s="27">
        <f>4410</f>
        <v>4410</v>
      </c>
      <c r="M218" s="16">
        <f t="shared" si="89"/>
        <v>0</v>
      </c>
      <c r="N218" s="27">
        <f>4410</f>
        <v>4410</v>
      </c>
      <c r="O218" s="16">
        <f t="shared" si="90"/>
        <v>0</v>
      </c>
    </row>
    <row r="219" spans="1:15" s="3" customFormat="1" ht="51">
      <c r="A219" s="12" t="s">
        <v>1047</v>
      </c>
      <c r="B219" s="25" t="s">
        <v>55</v>
      </c>
      <c r="C219" s="26" t="s">
        <v>37</v>
      </c>
      <c r="D219" s="26" t="s">
        <v>40</v>
      </c>
      <c r="E219" s="26" t="s">
        <v>269</v>
      </c>
      <c r="F219" s="26" t="s">
        <v>1050</v>
      </c>
      <c r="G219" s="27">
        <v>2000</v>
      </c>
      <c r="H219" s="27">
        <v>1710</v>
      </c>
      <c r="I219" s="27">
        <f>1410+600+300</f>
        <v>2310</v>
      </c>
      <c r="J219" s="27"/>
      <c r="K219" s="16"/>
      <c r="L219" s="27"/>
      <c r="M219" s="16"/>
      <c r="N219" s="27"/>
      <c r="O219" s="16"/>
    </row>
    <row r="220" spans="1:15" s="4" customFormat="1" ht="76.5">
      <c r="A220" s="12" t="s">
        <v>1048</v>
      </c>
      <c r="B220" s="25" t="s">
        <v>55</v>
      </c>
      <c r="C220" s="26" t="s">
        <v>37</v>
      </c>
      <c r="D220" s="26" t="s">
        <v>40</v>
      </c>
      <c r="E220" s="26" t="s">
        <v>269</v>
      </c>
      <c r="F220" s="26" t="s">
        <v>1051</v>
      </c>
      <c r="G220" s="27">
        <v>3000</v>
      </c>
      <c r="H220" s="27">
        <v>2700</v>
      </c>
      <c r="I220" s="27">
        <v>2100</v>
      </c>
      <c r="J220" s="80"/>
      <c r="K220" s="16">
        <f t="shared" si="88"/>
        <v>-3000</v>
      </c>
      <c r="L220" s="80"/>
      <c r="M220" s="16">
        <f t="shared" si="89"/>
        <v>-2700</v>
      </c>
      <c r="N220" s="80"/>
      <c r="O220" s="16">
        <f t="shared" si="90"/>
        <v>-2100</v>
      </c>
    </row>
    <row r="221" spans="1:15" s="3" customFormat="1" ht="38.25">
      <c r="A221" s="34" t="s">
        <v>270</v>
      </c>
      <c r="B221" s="25" t="s">
        <v>55</v>
      </c>
      <c r="C221" s="26" t="s">
        <v>37</v>
      </c>
      <c r="D221" s="26" t="s">
        <v>40</v>
      </c>
      <c r="E221" s="26" t="s">
        <v>271</v>
      </c>
      <c r="F221" s="26" t="s">
        <v>58</v>
      </c>
      <c r="G221" s="27">
        <f t="shared" ref="G221:N223" si="101">G222</f>
        <v>1150</v>
      </c>
      <c r="H221" s="27">
        <f t="shared" si="101"/>
        <v>1150</v>
      </c>
      <c r="I221" s="27">
        <f t="shared" si="101"/>
        <v>1150</v>
      </c>
      <c r="J221" s="27">
        <f t="shared" si="101"/>
        <v>1150</v>
      </c>
      <c r="K221" s="16">
        <f t="shared" si="88"/>
        <v>0</v>
      </c>
      <c r="L221" s="27">
        <f t="shared" si="101"/>
        <v>1150</v>
      </c>
      <c r="M221" s="16">
        <f t="shared" si="89"/>
        <v>0</v>
      </c>
      <c r="N221" s="27">
        <f t="shared" si="101"/>
        <v>1150</v>
      </c>
      <c r="O221" s="16">
        <f t="shared" si="90"/>
        <v>0</v>
      </c>
    </row>
    <row r="222" spans="1:15" s="3" customFormat="1" ht="38.25">
      <c r="A222" s="34" t="s">
        <v>874</v>
      </c>
      <c r="B222" s="25" t="s">
        <v>55</v>
      </c>
      <c r="C222" s="26" t="s">
        <v>37</v>
      </c>
      <c r="D222" s="26" t="s">
        <v>40</v>
      </c>
      <c r="E222" s="26" t="s">
        <v>272</v>
      </c>
      <c r="F222" s="26" t="s">
        <v>58</v>
      </c>
      <c r="G222" s="27">
        <f t="shared" si="101"/>
        <v>1150</v>
      </c>
      <c r="H222" s="27">
        <f t="shared" si="101"/>
        <v>1150</v>
      </c>
      <c r="I222" s="27">
        <f t="shared" si="101"/>
        <v>1150</v>
      </c>
      <c r="J222" s="27">
        <f t="shared" si="101"/>
        <v>1150</v>
      </c>
      <c r="K222" s="16">
        <f t="shared" si="88"/>
        <v>0</v>
      </c>
      <c r="L222" s="27">
        <f t="shared" si="101"/>
        <v>1150</v>
      </c>
      <c r="M222" s="16">
        <f t="shared" si="89"/>
        <v>0</v>
      </c>
      <c r="N222" s="27">
        <f t="shared" si="101"/>
        <v>1150</v>
      </c>
      <c r="O222" s="16">
        <f t="shared" si="90"/>
        <v>0</v>
      </c>
    </row>
    <row r="223" spans="1:15" s="3" customFormat="1" ht="25.5">
      <c r="A223" s="11" t="s">
        <v>108</v>
      </c>
      <c r="B223" s="25" t="s">
        <v>55</v>
      </c>
      <c r="C223" s="26" t="s">
        <v>37</v>
      </c>
      <c r="D223" s="26" t="s">
        <v>40</v>
      </c>
      <c r="E223" s="26" t="s">
        <v>272</v>
      </c>
      <c r="F223" s="26" t="s">
        <v>116</v>
      </c>
      <c r="G223" s="27">
        <f>G224</f>
        <v>1150</v>
      </c>
      <c r="H223" s="27">
        <f t="shared" si="101"/>
        <v>1150</v>
      </c>
      <c r="I223" s="27">
        <f t="shared" si="101"/>
        <v>1150</v>
      </c>
      <c r="J223" s="27">
        <f>1150</f>
        <v>1150</v>
      </c>
      <c r="K223" s="16">
        <f t="shared" si="88"/>
        <v>0</v>
      </c>
      <c r="L223" s="27">
        <f>1150</f>
        <v>1150</v>
      </c>
      <c r="M223" s="16">
        <f t="shared" si="89"/>
        <v>0</v>
      </c>
      <c r="N223" s="27">
        <f>1150</f>
        <v>1150</v>
      </c>
      <c r="O223" s="16">
        <f t="shared" si="90"/>
        <v>0</v>
      </c>
    </row>
    <row r="224" spans="1:15" s="94" customFormat="1" ht="25.5">
      <c r="A224" s="12" t="s">
        <v>973</v>
      </c>
      <c r="B224" s="25" t="s">
        <v>55</v>
      </c>
      <c r="C224" s="26" t="s">
        <v>37</v>
      </c>
      <c r="D224" s="26" t="s">
        <v>40</v>
      </c>
      <c r="E224" s="26" t="s">
        <v>272</v>
      </c>
      <c r="F224" s="26" t="s">
        <v>1043</v>
      </c>
      <c r="G224" s="27">
        <f>1150</f>
        <v>1150</v>
      </c>
      <c r="H224" s="27">
        <f>1150</f>
        <v>1150</v>
      </c>
      <c r="I224" s="27">
        <f>1150</f>
        <v>1150</v>
      </c>
      <c r="J224" s="81"/>
      <c r="K224" s="91">
        <f t="shared" si="88"/>
        <v>-1150</v>
      </c>
      <c r="L224" s="81"/>
      <c r="M224" s="91">
        <f t="shared" si="89"/>
        <v>-1150</v>
      </c>
      <c r="N224" s="81"/>
      <c r="O224" s="91">
        <f t="shared" si="90"/>
        <v>-1150</v>
      </c>
    </row>
    <row r="225" spans="1:15" s="3" customFormat="1" ht="38.25">
      <c r="A225" s="34" t="s">
        <v>608</v>
      </c>
      <c r="B225" s="25" t="s">
        <v>55</v>
      </c>
      <c r="C225" s="26" t="s">
        <v>37</v>
      </c>
      <c r="D225" s="26" t="s">
        <v>40</v>
      </c>
      <c r="E225" s="26" t="s">
        <v>273</v>
      </c>
      <c r="F225" s="26" t="s">
        <v>58</v>
      </c>
      <c r="G225" s="27">
        <f t="shared" ref="G225:N227" si="102">G226</f>
        <v>450</v>
      </c>
      <c r="H225" s="27">
        <f t="shared" si="102"/>
        <v>407</v>
      </c>
      <c r="I225" s="27">
        <f t="shared" si="102"/>
        <v>407</v>
      </c>
      <c r="J225" s="27">
        <f t="shared" si="102"/>
        <v>450</v>
      </c>
      <c r="K225" s="16">
        <f t="shared" si="88"/>
        <v>0</v>
      </c>
      <c r="L225" s="27">
        <f t="shared" si="102"/>
        <v>407</v>
      </c>
      <c r="M225" s="16">
        <f t="shared" si="89"/>
        <v>0</v>
      </c>
      <c r="N225" s="27">
        <f t="shared" si="102"/>
        <v>407</v>
      </c>
      <c r="O225" s="16">
        <f t="shared" si="90"/>
        <v>0</v>
      </c>
    </row>
    <row r="226" spans="1:15" s="3" customFormat="1" ht="38.25">
      <c r="A226" s="34" t="s">
        <v>874</v>
      </c>
      <c r="B226" s="25" t="s">
        <v>55</v>
      </c>
      <c r="C226" s="26" t="s">
        <v>37</v>
      </c>
      <c r="D226" s="26" t="s">
        <v>40</v>
      </c>
      <c r="E226" s="26" t="s">
        <v>274</v>
      </c>
      <c r="F226" s="26" t="s">
        <v>58</v>
      </c>
      <c r="G226" s="27">
        <f t="shared" si="102"/>
        <v>450</v>
      </c>
      <c r="H226" s="27">
        <f t="shared" si="102"/>
        <v>407</v>
      </c>
      <c r="I226" s="27">
        <f t="shared" si="102"/>
        <v>407</v>
      </c>
      <c r="J226" s="27">
        <f t="shared" si="102"/>
        <v>450</v>
      </c>
      <c r="K226" s="16">
        <f t="shared" si="88"/>
        <v>0</v>
      </c>
      <c r="L226" s="27">
        <f t="shared" si="102"/>
        <v>407</v>
      </c>
      <c r="M226" s="16">
        <f t="shared" si="89"/>
        <v>0</v>
      </c>
      <c r="N226" s="27">
        <f t="shared" si="102"/>
        <v>407</v>
      </c>
      <c r="O226" s="16">
        <f t="shared" si="90"/>
        <v>0</v>
      </c>
    </row>
    <row r="227" spans="1:15" s="3" customFormat="1" ht="31.9" customHeight="1">
      <c r="A227" s="11" t="s">
        <v>108</v>
      </c>
      <c r="B227" s="25" t="s">
        <v>55</v>
      </c>
      <c r="C227" s="26" t="s">
        <v>37</v>
      </c>
      <c r="D227" s="26" t="s">
        <v>40</v>
      </c>
      <c r="E227" s="26" t="s">
        <v>274</v>
      </c>
      <c r="F227" s="26" t="s">
        <v>116</v>
      </c>
      <c r="G227" s="27">
        <f>G228</f>
        <v>450</v>
      </c>
      <c r="H227" s="27">
        <f t="shared" si="102"/>
        <v>407</v>
      </c>
      <c r="I227" s="27">
        <f t="shared" si="102"/>
        <v>407</v>
      </c>
      <c r="J227" s="27">
        <f>450</f>
        <v>450</v>
      </c>
      <c r="K227" s="16">
        <f t="shared" si="88"/>
        <v>0</v>
      </c>
      <c r="L227" s="27">
        <f>407</f>
        <v>407</v>
      </c>
      <c r="M227" s="16">
        <f t="shared" si="89"/>
        <v>0</v>
      </c>
      <c r="N227" s="27">
        <f>407</f>
        <v>407</v>
      </c>
      <c r="O227" s="16">
        <f t="shared" si="90"/>
        <v>0</v>
      </c>
    </row>
    <row r="228" spans="1:15" s="4" customFormat="1" ht="25.5">
      <c r="A228" s="12" t="s">
        <v>973</v>
      </c>
      <c r="B228" s="25" t="s">
        <v>55</v>
      </c>
      <c r="C228" s="26" t="s">
        <v>37</v>
      </c>
      <c r="D228" s="26" t="s">
        <v>40</v>
      </c>
      <c r="E228" s="26" t="s">
        <v>274</v>
      </c>
      <c r="F228" s="26" t="s">
        <v>1043</v>
      </c>
      <c r="G228" s="27">
        <f>450</f>
        <v>450</v>
      </c>
      <c r="H228" s="27">
        <f>407</f>
        <v>407</v>
      </c>
      <c r="I228" s="27">
        <f>407</f>
        <v>407</v>
      </c>
      <c r="J228" s="80"/>
      <c r="K228" s="16">
        <f t="shared" si="88"/>
        <v>-450</v>
      </c>
      <c r="L228" s="80"/>
      <c r="M228" s="16">
        <f t="shared" si="89"/>
        <v>-407</v>
      </c>
      <c r="N228" s="80"/>
      <c r="O228" s="16">
        <f t="shared" si="90"/>
        <v>-407</v>
      </c>
    </row>
    <row r="229" spans="1:15" s="3" customFormat="1" ht="25.5">
      <c r="A229" s="11" t="s">
        <v>765</v>
      </c>
      <c r="B229" s="25" t="s">
        <v>55</v>
      </c>
      <c r="C229" s="26" t="s">
        <v>37</v>
      </c>
      <c r="D229" s="26" t="s">
        <v>40</v>
      </c>
      <c r="E229" s="26" t="s">
        <v>216</v>
      </c>
      <c r="F229" s="26" t="s">
        <v>58</v>
      </c>
      <c r="G229" s="27">
        <f>G234+G230</f>
        <v>775</v>
      </c>
      <c r="H229" s="27">
        <f t="shared" ref="H229:I229" si="103">H234+H230</f>
        <v>580.5</v>
      </c>
      <c r="I229" s="27">
        <f t="shared" si="103"/>
        <v>580.5</v>
      </c>
      <c r="J229" s="27">
        <f>J234+J230</f>
        <v>775</v>
      </c>
      <c r="K229" s="16">
        <f t="shared" si="88"/>
        <v>0</v>
      </c>
      <c r="L229" s="27">
        <f t="shared" ref="L229:N229" si="104">L234+L230</f>
        <v>580.5</v>
      </c>
      <c r="M229" s="16">
        <f t="shared" si="89"/>
        <v>0</v>
      </c>
      <c r="N229" s="27">
        <f t="shared" si="104"/>
        <v>580.5</v>
      </c>
      <c r="O229" s="16">
        <f t="shared" si="90"/>
        <v>0</v>
      </c>
    </row>
    <row r="230" spans="1:15" s="3" customFormat="1" ht="25.5">
      <c r="A230" s="34" t="s">
        <v>847</v>
      </c>
      <c r="B230" s="25" t="s">
        <v>55</v>
      </c>
      <c r="C230" s="26" t="s">
        <v>37</v>
      </c>
      <c r="D230" s="26" t="s">
        <v>40</v>
      </c>
      <c r="E230" s="26" t="s">
        <v>777</v>
      </c>
      <c r="F230" s="26" t="s">
        <v>58</v>
      </c>
      <c r="G230" s="27">
        <f>G231</f>
        <v>280</v>
      </c>
      <c r="H230" s="27">
        <f t="shared" ref="H230:N232" si="105">H231</f>
        <v>252</v>
      </c>
      <c r="I230" s="27">
        <f t="shared" si="105"/>
        <v>252</v>
      </c>
      <c r="J230" s="27">
        <f>J231</f>
        <v>280</v>
      </c>
      <c r="K230" s="16">
        <f t="shared" si="88"/>
        <v>0</v>
      </c>
      <c r="L230" s="27">
        <f t="shared" si="105"/>
        <v>252</v>
      </c>
      <c r="M230" s="16">
        <f t="shared" si="89"/>
        <v>0</v>
      </c>
      <c r="N230" s="27">
        <f t="shared" si="105"/>
        <v>252</v>
      </c>
      <c r="O230" s="16">
        <f t="shared" si="90"/>
        <v>0</v>
      </c>
    </row>
    <row r="231" spans="1:15" s="3" customFormat="1" ht="25.5">
      <c r="A231" s="34" t="s">
        <v>875</v>
      </c>
      <c r="B231" s="25" t="s">
        <v>55</v>
      </c>
      <c r="C231" s="26" t="s">
        <v>37</v>
      </c>
      <c r="D231" s="26" t="s">
        <v>40</v>
      </c>
      <c r="E231" s="26" t="s">
        <v>778</v>
      </c>
      <c r="F231" s="26" t="s">
        <v>58</v>
      </c>
      <c r="G231" s="27">
        <f>G232</f>
        <v>280</v>
      </c>
      <c r="H231" s="27">
        <f t="shared" si="105"/>
        <v>252</v>
      </c>
      <c r="I231" s="27">
        <f t="shared" si="105"/>
        <v>252</v>
      </c>
      <c r="J231" s="27">
        <f>J232</f>
        <v>280</v>
      </c>
      <c r="K231" s="16">
        <f t="shared" si="88"/>
        <v>0</v>
      </c>
      <c r="L231" s="27">
        <f t="shared" si="105"/>
        <v>252</v>
      </c>
      <c r="M231" s="16">
        <f t="shared" si="89"/>
        <v>0</v>
      </c>
      <c r="N231" s="27">
        <f t="shared" si="105"/>
        <v>252</v>
      </c>
      <c r="O231" s="16">
        <f t="shared" si="90"/>
        <v>0</v>
      </c>
    </row>
    <row r="232" spans="1:15" s="3" customFormat="1" ht="25.5">
      <c r="A232" s="11" t="s">
        <v>108</v>
      </c>
      <c r="B232" s="25" t="s">
        <v>55</v>
      </c>
      <c r="C232" s="26" t="s">
        <v>37</v>
      </c>
      <c r="D232" s="26" t="s">
        <v>40</v>
      </c>
      <c r="E232" s="26" t="s">
        <v>778</v>
      </c>
      <c r="F232" s="26" t="s">
        <v>116</v>
      </c>
      <c r="G232" s="27">
        <f>G233</f>
        <v>280</v>
      </c>
      <c r="H232" s="27">
        <f t="shared" si="105"/>
        <v>252</v>
      </c>
      <c r="I232" s="27">
        <f t="shared" si="105"/>
        <v>252</v>
      </c>
      <c r="J232" s="27">
        <f>200+80</f>
        <v>280</v>
      </c>
      <c r="K232" s="16">
        <f t="shared" si="88"/>
        <v>0</v>
      </c>
      <c r="L232" s="27">
        <f>72+180</f>
        <v>252</v>
      </c>
      <c r="M232" s="16">
        <f t="shared" si="89"/>
        <v>0</v>
      </c>
      <c r="N232" s="27">
        <f>72+180</f>
        <v>252</v>
      </c>
      <c r="O232" s="16">
        <f t="shared" si="90"/>
        <v>0</v>
      </c>
    </row>
    <row r="233" spans="1:15" s="4" customFormat="1" ht="25.5">
      <c r="A233" s="12" t="s">
        <v>973</v>
      </c>
      <c r="B233" s="25" t="s">
        <v>55</v>
      </c>
      <c r="C233" s="26" t="s">
        <v>37</v>
      </c>
      <c r="D233" s="26" t="s">
        <v>40</v>
      </c>
      <c r="E233" s="26" t="s">
        <v>778</v>
      </c>
      <c r="F233" s="26" t="s">
        <v>1043</v>
      </c>
      <c r="G233" s="27">
        <f>200+80</f>
        <v>280</v>
      </c>
      <c r="H233" s="27">
        <f>72+180</f>
        <v>252</v>
      </c>
      <c r="I233" s="27">
        <f>72+180</f>
        <v>252</v>
      </c>
      <c r="J233" s="80"/>
      <c r="K233" s="16">
        <f t="shared" si="88"/>
        <v>-280</v>
      </c>
      <c r="L233" s="80"/>
      <c r="M233" s="16">
        <f t="shared" si="89"/>
        <v>-252</v>
      </c>
      <c r="N233" s="80"/>
      <c r="O233" s="16">
        <f t="shared" si="90"/>
        <v>-252</v>
      </c>
    </row>
    <row r="234" spans="1:15" s="3" customFormat="1" ht="25.5">
      <c r="A234" s="11" t="s">
        <v>851</v>
      </c>
      <c r="B234" s="25" t="s">
        <v>55</v>
      </c>
      <c r="C234" s="26" t="s">
        <v>37</v>
      </c>
      <c r="D234" s="26" t="s">
        <v>40</v>
      </c>
      <c r="E234" s="26" t="s">
        <v>275</v>
      </c>
      <c r="F234" s="26" t="s">
        <v>58</v>
      </c>
      <c r="G234" s="27">
        <f t="shared" ref="G234:N234" si="106">G235</f>
        <v>495</v>
      </c>
      <c r="H234" s="27">
        <f t="shared" si="106"/>
        <v>328.5</v>
      </c>
      <c r="I234" s="27">
        <f t="shared" si="106"/>
        <v>328.5</v>
      </c>
      <c r="J234" s="27">
        <f t="shared" si="106"/>
        <v>495</v>
      </c>
      <c r="K234" s="16">
        <f t="shared" si="88"/>
        <v>0</v>
      </c>
      <c r="L234" s="27">
        <f t="shared" si="106"/>
        <v>328.5</v>
      </c>
      <c r="M234" s="16">
        <f t="shared" si="89"/>
        <v>0</v>
      </c>
      <c r="N234" s="27">
        <f t="shared" si="106"/>
        <v>328.5</v>
      </c>
      <c r="O234" s="16">
        <f t="shared" si="90"/>
        <v>0</v>
      </c>
    </row>
    <row r="235" spans="1:15" s="3" customFormat="1" ht="38.25">
      <c r="A235" s="34" t="s">
        <v>876</v>
      </c>
      <c r="B235" s="25" t="s">
        <v>55</v>
      </c>
      <c r="C235" s="26" t="s">
        <v>37</v>
      </c>
      <c r="D235" s="26" t="s">
        <v>40</v>
      </c>
      <c r="E235" s="26" t="s">
        <v>276</v>
      </c>
      <c r="F235" s="26" t="s">
        <v>58</v>
      </c>
      <c r="G235" s="27">
        <f>G236+G238</f>
        <v>495</v>
      </c>
      <c r="H235" s="27">
        <f t="shared" ref="H235:I235" si="107">H236+H238</f>
        <v>328.5</v>
      </c>
      <c r="I235" s="27">
        <f t="shared" si="107"/>
        <v>328.5</v>
      </c>
      <c r="J235" s="27">
        <f>J236+J238</f>
        <v>495</v>
      </c>
      <c r="K235" s="16">
        <f t="shared" si="88"/>
        <v>0</v>
      </c>
      <c r="L235" s="27">
        <f t="shared" ref="L235:N235" si="108">L236+L238</f>
        <v>328.5</v>
      </c>
      <c r="M235" s="16">
        <f t="shared" si="89"/>
        <v>0</v>
      </c>
      <c r="N235" s="27">
        <f t="shared" si="108"/>
        <v>328.5</v>
      </c>
      <c r="O235" s="16">
        <f t="shared" si="90"/>
        <v>0</v>
      </c>
    </row>
    <row r="236" spans="1:15" s="3" customFormat="1" ht="25.5">
      <c r="A236" s="11" t="s">
        <v>108</v>
      </c>
      <c r="B236" s="25" t="s">
        <v>55</v>
      </c>
      <c r="C236" s="26" t="s">
        <v>37</v>
      </c>
      <c r="D236" s="26" t="s">
        <v>40</v>
      </c>
      <c r="E236" s="26" t="s">
        <v>276</v>
      </c>
      <c r="F236" s="26" t="s">
        <v>116</v>
      </c>
      <c r="G236" s="27">
        <f>G237</f>
        <v>395</v>
      </c>
      <c r="H236" s="27">
        <f t="shared" ref="H236:I236" si="109">H237</f>
        <v>328.5</v>
      </c>
      <c r="I236" s="27">
        <f t="shared" si="109"/>
        <v>328.5</v>
      </c>
      <c r="J236" s="27">
        <f>395</f>
        <v>395</v>
      </c>
      <c r="K236" s="16">
        <f t="shared" si="88"/>
        <v>0</v>
      </c>
      <c r="L236" s="27">
        <f>328.5</f>
        <v>328.5</v>
      </c>
      <c r="M236" s="16">
        <f t="shared" si="89"/>
        <v>0</v>
      </c>
      <c r="N236" s="27">
        <f>328.5</f>
        <v>328.5</v>
      </c>
      <c r="O236" s="16">
        <f t="shared" si="90"/>
        <v>0</v>
      </c>
    </row>
    <row r="237" spans="1:15" s="4" customFormat="1" ht="25.5">
      <c r="A237" s="12" t="s">
        <v>973</v>
      </c>
      <c r="B237" s="25" t="s">
        <v>55</v>
      </c>
      <c r="C237" s="26" t="s">
        <v>37</v>
      </c>
      <c r="D237" s="26" t="s">
        <v>40</v>
      </c>
      <c r="E237" s="26" t="s">
        <v>276</v>
      </c>
      <c r="F237" s="26" t="s">
        <v>1043</v>
      </c>
      <c r="G237" s="27">
        <f>395</f>
        <v>395</v>
      </c>
      <c r="H237" s="27">
        <f>328.5</f>
        <v>328.5</v>
      </c>
      <c r="I237" s="27">
        <f>328.5</f>
        <v>328.5</v>
      </c>
      <c r="J237" s="80"/>
      <c r="K237" s="16">
        <f t="shared" si="88"/>
        <v>-395</v>
      </c>
      <c r="L237" s="80"/>
      <c r="M237" s="16">
        <f t="shared" si="89"/>
        <v>-328.5</v>
      </c>
      <c r="N237" s="80"/>
      <c r="O237" s="16">
        <f t="shared" si="90"/>
        <v>-328.5</v>
      </c>
    </row>
    <row r="238" spans="1:15" s="3" customFormat="1">
      <c r="A238" s="11" t="s">
        <v>99</v>
      </c>
      <c r="B238" s="25" t="s">
        <v>55</v>
      </c>
      <c r="C238" s="26" t="s">
        <v>37</v>
      </c>
      <c r="D238" s="26" t="s">
        <v>40</v>
      </c>
      <c r="E238" s="26" t="s">
        <v>276</v>
      </c>
      <c r="F238" s="26" t="s">
        <v>105</v>
      </c>
      <c r="G238" s="27">
        <f>100</f>
        <v>100</v>
      </c>
      <c r="H238" s="27">
        <v>0</v>
      </c>
      <c r="I238" s="27">
        <v>0</v>
      </c>
      <c r="J238" s="27">
        <f>100</f>
        <v>100</v>
      </c>
      <c r="K238" s="16">
        <f t="shared" si="88"/>
        <v>0</v>
      </c>
      <c r="L238" s="27">
        <v>0</v>
      </c>
      <c r="M238" s="16">
        <f t="shared" si="89"/>
        <v>0</v>
      </c>
      <c r="N238" s="27">
        <v>0</v>
      </c>
      <c r="O238" s="16">
        <f t="shared" si="90"/>
        <v>0</v>
      </c>
    </row>
    <row r="239" spans="1:15" s="3" customFormat="1">
      <c r="A239" s="17" t="s">
        <v>70</v>
      </c>
      <c r="B239" s="18" t="s">
        <v>55</v>
      </c>
      <c r="C239" s="19" t="s">
        <v>71</v>
      </c>
      <c r="D239" s="19" t="s">
        <v>51</v>
      </c>
      <c r="E239" s="19" t="s">
        <v>196</v>
      </c>
      <c r="F239" s="19" t="s">
        <v>58</v>
      </c>
      <c r="G239" s="20">
        <f t="shared" ref="G239:N244" si="110">G240</f>
        <v>160</v>
      </c>
      <c r="H239" s="20">
        <f t="shared" si="110"/>
        <v>160</v>
      </c>
      <c r="I239" s="20">
        <f t="shared" si="110"/>
        <v>160</v>
      </c>
      <c r="J239" s="20">
        <f t="shared" si="110"/>
        <v>160</v>
      </c>
      <c r="K239" s="16">
        <f t="shared" si="88"/>
        <v>0</v>
      </c>
      <c r="L239" s="20">
        <f t="shared" si="110"/>
        <v>160</v>
      </c>
      <c r="M239" s="16">
        <f t="shared" si="89"/>
        <v>0</v>
      </c>
      <c r="N239" s="20">
        <f t="shared" si="110"/>
        <v>160</v>
      </c>
      <c r="O239" s="16">
        <f t="shared" si="90"/>
        <v>0</v>
      </c>
    </row>
    <row r="240" spans="1:15" s="3" customFormat="1" ht="25.5">
      <c r="A240" s="21" t="s">
        <v>664</v>
      </c>
      <c r="B240" s="22" t="s">
        <v>55</v>
      </c>
      <c r="C240" s="23" t="s">
        <v>71</v>
      </c>
      <c r="D240" s="23" t="s">
        <v>8</v>
      </c>
      <c r="E240" s="23" t="s">
        <v>196</v>
      </c>
      <c r="F240" s="23" t="s">
        <v>58</v>
      </c>
      <c r="G240" s="24">
        <f t="shared" si="110"/>
        <v>160</v>
      </c>
      <c r="H240" s="24">
        <f t="shared" si="110"/>
        <v>160</v>
      </c>
      <c r="I240" s="24">
        <f t="shared" si="110"/>
        <v>160</v>
      </c>
      <c r="J240" s="24">
        <f t="shared" si="110"/>
        <v>160</v>
      </c>
      <c r="K240" s="16">
        <f t="shared" si="88"/>
        <v>0</v>
      </c>
      <c r="L240" s="24">
        <f t="shared" si="110"/>
        <v>160</v>
      </c>
      <c r="M240" s="16">
        <f t="shared" si="89"/>
        <v>0</v>
      </c>
      <c r="N240" s="24">
        <f t="shared" si="110"/>
        <v>160</v>
      </c>
      <c r="O240" s="16">
        <f t="shared" si="90"/>
        <v>0</v>
      </c>
    </row>
    <row r="241" spans="1:15" s="3" customFormat="1" ht="25.5">
      <c r="A241" s="34" t="s">
        <v>748</v>
      </c>
      <c r="B241" s="25" t="s">
        <v>55</v>
      </c>
      <c r="C241" s="26" t="s">
        <v>71</v>
      </c>
      <c r="D241" s="26" t="s">
        <v>8</v>
      </c>
      <c r="E241" s="26" t="s">
        <v>220</v>
      </c>
      <c r="F241" s="26" t="s">
        <v>58</v>
      </c>
      <c r="G241" s="27">
        <f t="shared" si="110"/>
        <v>160</v>
      </c>
      <c r="H241" s="27">
        <f t="shared" si="110"/>
        <v>160</v>
      </c>
      <c r="I241" s="27">
        <f t="shared" si="110"/>
        <v>160</v>
      </c>
      <c r="J241" s="27">
        <f t="shared" si="110"/>
        <v>160</v>
      </c>
      <c r="K241" s="16">
        <f t="shared" si="88"/>
        <v>0</v>
      </c>
      <c r="L241" s="27">
        <f t="shared" si="110"/>
        <v>160</v>
      </c>
      <c r="M241" s="16">
        <f t="shared" si="89"/>
        <v>0</v>
      </c>
      <c r="N241" s="27">
        <f t="shared" si="110"/>
        <v>160</v>
      </c>
      <c r="O241" s="16">
        <f t="shared" si="90"/>
        <v>0</v>
      </c>
    </row>
    <row r="242" spans="1:15" s="3" customFormat="1" ht="25.5">
      <c r="A242" s="34" t="s">
        <v>749</v>
      </c>
      <c r="B242" s="25" t="s">
        <v>55</v>
      </c>
      <c r="C242" s="26" t="s">
        <v>71</v>
      </c>
      <c r="D242" s="26" t="s">
        <v>8</v>
      </c>
      <c r="E242" s="26" t="s">
        <v>221</v>
      </c>
      <c r="F242" s="26" t="s">
        <v>58</v>
      </c>
      <c r="G242" s="27">
        <f t="shared" si="110"/>
        <v>160</v>
      </c>
      <c r="H242" s="27">
        <f t="shared" si="110"/>
        <v>160</v>
      </c>
      <c r="I242" s="27">
        <f t="shared" si="110"/>
        <v>160</v>
      </c>
      <c r="J242" s="27">
        <f t="shared" si="110"/>
        <v>160</v>
      </c>
      <c r="K242" s="16">
        <f t="shared" si="88"/>
        <v>0</v>
      </c>
      <c r="L242" s="27">
        <f t="shared" si="110"/>
        <v>160</v>
      </c>
      <c r="M242" s="16">
        <f t="shared" si="89"/>
        <v>0</v>
      </c>
      <c r="N242" s="27">
        <f t="shared" si="110"/>
        <v>160</v>
      </c>
      <c r="O242" s="16">
        <f t="shared" si="90"/>
        <v>0</v>
      </c>
    </row>
    <row r="243" spans="1:15" s="3" customFormat="1" ht="38.25">
      <c r="A243" s="34" t="s">
        <v>222</v>
      </c>
      <c r="B243" s="25" t="s">
        <v>55</v>
      </c>
      <c r="C243" s="26" t="s">
        <v>71</v>
      </c>
      <c r="D243" s="26" t="s">
        <v>8</v>
      </c>
      <c r="E243" s="26" t="s">
        <v>223</v>
      </c>
      <c r="F243" s="26" t="s">
        <v>58</v>
      </c>
      <c r="G243" s="27">
        <f t="shared" si="110"/>
        <v>160</v>
      </c>
      <c r="H243" s="27">
        <f t="shared" si="110"/>
        <v>160</v>
      </c>
      <c r="I243" s="27">
        <f t="shared" si="110"/>
        <v>160</v>
      </c>
      <c r="J243" s="27">
        <f t="shared" si="110"/>
        <v>160</v>
      </c>
      <c r="K243" s="16">
        <f t="shared" si="88"/>
        <v>0</v>
      </c>
      <c r="L243" s="27">
        <f t="shared" si="110"/>
        <v>160</v>
      </c>
      <c r="M243" s="16">
        <f t="shared" si="89"/>
        <v>0</v>
      </c>
      <c r="N243" s="27">
        <f t="shared" si="110"/>
        <v>160</v>
      </c>
      <c r="O243" s="16">
        <f t="shared" si="90"/>
        <v>0</v>
      </c>
    </row>
    <row r="244" spans="1:15" s="3" customFormat="1" ht="25.5">
      <c r="A244" s="34" t="s">
        <v>877</v>
      </c>
      <c r="B244" s="25" t="s">
        <v>55</v>
      </c>
      <c r="C244" s="26" t="s">
        <v>71</v>
      </c>
      <c r="D244" s="26" t="s">
        <v>8</v>
      </c>
      <c r="E244" s="26" t="s">
        <v>224</v>
      </c>
      <c r="F244" s="26" t="s">
        <v>58</v>
      </c>
      <c r="G244" s="27">
        <f t="shared" si="110"/>
        <v>160</v>
      </c>
      <c r="H244" s="27">
        <f t="shared" si="110"/>
        <v>160</v>
      </c>
      <c r="I244" s="27">
        <f t="shared" si="110"/>
        <v>160</v>
      </c>
      <c r="J244" s="27">
        <f t="shared" si="110"/>
        <v>160</v>
      </c>
      <c r="K244" s="16">
        <f t="shared" si="88"/>
        <v>0</v>
      </c>
      <c r="L244" s="27">
        <f t="shared" si="110"/>
        <v>160</v>
      </c>
      <c r="M244" s="16">
        <f t="shared" si="89"/>
        <v>0</v>
      </c>
      <c r="N244" s="27">
        <f t="shared" si="110"/>
        <v>160</v>
      </c>
      <c r="O244" s="16">
        <f t="shared" si="90"/>
        <v>0</v>
      </c>
    </row>
    <row r="245" spans="1:15" s="3" customFormat="1" ht="25.5">
      <c r="A245" s="11" t="s">
        <v>108</v>
      </c>
      <c r="B245" s="25" t="s">
        <v>55</v>
      </c>
      <c r="C245" s="26" t="s">
        <v>71</v>
      </c>
      <c r="D245" s="26" t="s">
        <v>8</v>
      </c>
      <c r="E245" s="26" t="s">
        <v>224</v>
      </c>
      <c r="F245" s="26" t="s">
        <v>116</v>
      </c>
      <c r="G245" s="27">
        <f>160</f>
        <v>160</v>
      </c>
      <c r="H245" s="27">
        <f>160</f>
        <v>160</v>
      </c>
      <c r="I245" s="27">
        <f>160</f>
        <v>160</v>
      </c>
      <c r="J245" s="27">
        <f>160</f>
        <v>160</v>
      </c>
      <c r="K245" s="16">
        <f t="shared" si="88"/>
        <v>0</v>
      </c>
      <c r="L245" s="27">
        <f>160</f>
        <v>160</v>
      </c>
      <c r="M245" s="16">
        <f t="shared" si="89"/>
        <v>0</v>
      </c>
      <c r="N245" s="27">
        <f>160</f>
        <v>160</v>
      </c>
      <c r="O245" s="16">
        <f t="shared" si="90"/>
        <v>0</v>
      </c>
    </row>
    <row r="246" spans="1:15" s="4" customFormat="1" ht="25.5">
      <c r="A246" s="12" t="s">
        <v>973</v>
      </c>
      <c r="B246" s="25" t="s">
        <v>55</v>
      </c>
      <c r="C246" s="26" t="s">
        <v>71</v>
      </c>
      <c r="D246" s="26" t="s">
        <v>8</v>
      </c>
      <c r="E246" s="26" t="s">
        <v>224</v>
      </c>
      <c r="F246" s="26" t="s">
        <v>1043</v>
      </c>
      <c r="G246" s="27">
        <f>160</f>
        <v>160</v>
      </c>
      <c r="H246" s="27">
        <f>160</f>
        <v>160</v>
      </c>
      <c r="I246" s="27">
        <f>160</f>
        <v>160</v>
      </c>
      <c r="J246" s="80"/>
      <c r="K246" s="16">
        <f t="shared" si="88"/>
        <v>-160</v>
      </c>
      <c r="L246" s="80"/>
      <c r="M246" s="16">
        <f t="shared" si="89"/>
        <v>-160</v>
      </c>
      <c r="N246" s="80"/>
      <c r="O246" s="16">
        <f t="shared" si="90"/>
        <v>-160</v>
      </c>
    </row>
    <row r="247" spans="1:15" s="3" customFormat="1">
      <c r="A247" s="17" t="s">
        <v>499</v>
      </c>
      <c r="B247" s="18" t="s">
        <v>55</v>
      </c>
      <c r="C247" s="19" t="s">
        <v>50</v>
      </c>
      <c r="D247" s="19" t="s">
        <v>51</v>
      </c>
      <c r="E247" s="19" t="s">
        <v>196</v>
      </c>
      <c r="F247" s="19" t="s">
        <v>58</v>
      </c>
      <c r="G247" s="20">
        <f t="shared" ref="G247:N248" si="111">G248</f>
        <v>2123</v>
      </c>
      <c r="H247" s="20">
        <f t="shared" si="111"/>
        <v>1911</v>
      </c>
      <c r="I247" s="20">
        <f t="shared" si="111"/>
        <v>1911</v>
      </c>
      <c r="J247" s="20">
        <f t="shared" si="111"/>
        <v>2123</v>
      </c>
      <c r="K247" s="16">
        <f t="shared" si="88"/>
        <v>0</v>
      </c>
      <c r="L247" s="20">
        <f t="shared" si="111"/>
        <v>1911</v>
      </c>
      <c r="M247" s="16">
        <f t="shared" si="89"/>
        <v>0</v>
      </c>
      <c r="N247" s="20">
        <f t="shared" si="111"/>
        <v>1911</v>
      </c>
      <c r="O247" s="16">
        <f t="shared" si="90"/>
        <v>0</v>
      </c>
    </row>
    <row r="248" spans="1:15" s="3" customFormat="1">
      <c r="A248" s="21" t="s">
        <v>27</v>
      </c>
      <c r="B248" s="22" t="s">
        <v>55</v>
      </c>
      <c r="C248" s="23" t="s">
        <v>50</v>
      </c>
      <c r="D248" s="23" t="s">
        <v>65</v>
      </c>
      <c r="E248" s="23" t="s">
        <v>196</v>
      </c>
      <c r="F248" s="23" t="s">
        <v>58</v>
      </c>
      <c r="G248" s="24">
        <f t="shared" si="111"/>
        <v>2123</v>
      </c>
      <c r="H248" s="24">
        <f t="shared" si="111"/>
        <v>1911</v>
      </c>
      <c r="I248" s="24">
        <f t="shared" si="111"/>
        <v>1911</v>
      </c>
      <c r="J248" s="24">
        <f t="shared" si="111"/>
        <v>2123</v>
      </c>
      <c r="K248" s="16">
        <f t="shared" si="88"/>
        <v>0</v>
      </c>
      <c r="L248" s="24">
        <f t="shared" si="111"/>
        <v>1911</v>
      </c>
      <c r="M248" s="16">
        <f t="shared" si="89"/>
        <v>0</v>
      </c>
      <c r="N248" s="24">
        <f t="shared" si="111"/>
        <v>1911</v>
      </c>
      <c r="O248" s="16">
        <f t="shared" si="90"/>
        <v>0</v>
      </c>
    </row>
    <row r="249" spans="1:15" s="3" customFormat="1">
      <c r="A249" s="11" t="s">
        <v>739</v>
      </c>
      <c r="B249" s="25" t="s">
        <v>55</v>
      </c>
      <c r="C249" s="26" t="s">
        <v>50</v>
      </c>
      <c r="D249" s="26" t="s">
        <v>65</v>
      </c>
      <c r="E249" s="26" t="s">
        <v>277</v>
      </c>
      <c r="F249" s="26" t="s">
        <v>58</v>
      </c>
      <c r="G249" s="27">
        <f t="shared" ref="G249:N251" si="112">G250</f>
        <v>2123</v>
      </c>
      <c r="H249" s="27">
        <f t="shared" si="112"/>
        <v>1911</v>
      </c>
      <c r="I249" s="27">
        <f t="shared" si="112"/>
        <v>1911</v>
      </c>
      <c r="J249" s="27">
        <f t="shared" si="112"/>
        <v>2123</v>
      </c>
      <c r="K249" s="16">
        <f t="shared" si="88"/>
        <v>0</v>
      </c>
      <c r="L249" s="27">
        <f t="shared" si="112"/>
        <v>1911</v>
      </c>
      <c r="M249" s="16">
        <f t="shared" si="89"/>
        <v>0</v>
      </c>
      <c r="N249" s="27">
        <f t="shared" si="112"/>
        <v>1911</v>
      </c>
      <c r="O249" s="16">
        <f t="shared" si="90"/>
        <v>0</v>
      </c>
    </row>
    <row r="250" spans="1:15" s="3" customFormat="1" ht="51">
      <c r="A250" s="34" t="s">
        <v>191</v>
      </c>
      <c r="B250" s="25" t="s">
        <v>55</v>
      </c>
      <c r="C250" s="26" t="s">
        <v>50</v>
      </c>
      <c r="D250" s="26" t="s">
        <v>65</v>
      </c>
      <c r="E250" s="26" t="s">
        <v>278</v>
      </c>
      <c r="F250" s="26" t="s">
        <v>58</v>
      </c>
      <c r="G250" s="27">
        <f t="shared" si="112"/>
        <v>2123</v>
      </c>
      <c r="H250" s="27">
        <f t="shared" si="112"/>
        <v>1911</v>
      </c>
      <c r="I250" s="27">
        <f t="shared" si="112"/>
        <v>1911</v>
      </c>
      <c r="J250" s="27">
        <f t="shared" si="112"/>
        <v>2123</v>
      </c>
      <c r="K250" s="16">
        <f t="shared" si="88"/>
        <v>0</v>
      </c>
      <c r="L250" s="27">
        <f t="shared" si="112"/>
        <v>1911</v>
      </c>
      <c r="M250" s="16">
        <f t="shared" si="89"/>
        <v>0</v>
      </c>
      <c r="N250" s="27">
        <f t="shared" si="112"/>
        <v>1911</v>
      </c>
      <c r="O250" s="16">
        <f t="shared" si="90"/>
        <v>0</v>
      </c>
    </row>
    <row r="251" spans="1:15" s="3" customFormat="1" ht="63.75">
      <c r="A251" s="34" t="s">
        <v>605</v>
      </c>
      <c r="B251" s="25" t="s">
        <v>55</v>
      </c>
      <c r="C251" s="26" t="s">
        <v>50</v>
      </c>
      <c r="D251" s="26" t="s">
        <v>65</v>
      </c>
      <c r="E251" s="26" t="s">
        <v>279</v>
      </c>
      <c r="F251" s="26" t="s">
        <v>58</v>
      </c>
      <c r="G251" s="27">
        <f t="shared" si="112"/>
        <v>2123</v>
      </c>
      <c r="H251" s="27">
        <f t="shared" si="112"/>
        <v>1911</v>
      </c>
      <c r="I251" s="27">
        <f t="shared" si="112"/>
        <v>1911</v>
      </c>
      <c r="J251" s="27">
        <f t="shared" si="112"/>
        <v>2123</v>
      </c>
      <c r="K251" s="16">
        <f t="shared" si="88"/>
        <v>0</v>
      </c>
      <c r="L251" s="27">
        <f t="shared" si="112"/>
        <v>1911</v>
      </c>
      <c r="M251" s="16">
        <f t="shared" si="89"/>
        <v>0</v>
      </c>
      <c r="N251" s="27">
        <f t="shared" si="112"/>
        <v>1911</v>
      </c>
      <c r="O251" s="16">
        <f t="shared" si="90"/>
        <v>0</v>
      </c>
    </row>
    <row r="252" spans="1:15" s="3" customFormat="1" ht="25.5">
      <c r="A252" s="34" t="s">
        <v>161</v>
      </c>
      <c r="B252" s="25" t="s">
        <v>55</v>
      </c>
      <c r="C252" s="26" t="s">
        <v>50</v>
      </c>
      <c r="D252" s="26" t="s">
        <v>65</v>
      </c>
      <c r="E252" s="26" t="s">
        <v>320</v>
      </c>
      <c r="F252" s="26" t="s">
        <v>58</v>
      </c>
      <c r="G252" s="27">
        <f>G253</f>
        <v>2123</v>
      </c>
      <c r="H252" s="27">
        <f>H253</f>
        <v>1911</v>
      </c>
      <c r="I252" s="27">
        <f>I253</f>
        <v>1911</v>
      </c>
      <c r="J252" s="27">
        <f>J253</f>
        <v>2123</v>
      </c>
      <c r="K252" s="16">
        <f t="shared" si="88"/>
        <v>0</v>
      </c>
      <c r="L252" s="27">
        <f>L253</f>
        <v>1911</v>
      </c>
      <c r="M252" s="16">
        <f t="shared" si="89"/>
        <v>0</v>
      </c>
      <c r="N252" s="27">
        <f>N253</f>
        <v>1911</v>
      </c>
      <c r="O252" s="16">
        <f t="shared" si="90"/>
        <v>0</v>
      </c>
    </row>
    <row r="253" spans="1:15" s="3" customFormat="1" ht="25.5">
      <c r="A253" s="11" t="s">
        <v>108</v>
      </c>
      <c r="B253" s="25" t="s">
        <v>55</v>
      </c>
      <c r="C253" s="26" t="s">
        <v>50</v>
      </c>
      <c r="D253" s="26" t="s">
        <v>65</v>
      </c>
      <c r="E253" s="26" t="s">
        <v>320</v>
      </c>
      <c r="F253" s="26" t="s">
        <v>116</v>
      </c>
      <c r="G253" s="27">
        <f>G254</f>
        <v>2123</v>
      </c>
      <c r="H253" s="27">
        <f t="shared" ref="H253:I253" si="113">H254</f>
        <v>1911</v>
      </c>
      <c r="I253" s="27">
        <f t="shared" si="113"/>
        <v>1911</v>
      </c>
      <c r="J253" s="27">
        <f>2123</f>
        <v>2123</v>
      </c>
      <c r="K253" s="16">
        <f t="shared" si="88"/>
        <v>0</v>
      </c>
      <c r="L253" s="27">
        <f>1911</f>
        <v>1911</v>
      </c>
      <c r="M253" s="16">
        <f t="shared" si="89"/>
        <v>0</v>
      </c>
      <c r="N253" s="27">
        <f>1911</f>
        <v>1911</v>
      </c>
      <c r="O253" s="16">
        <f t="shared" si="90"/>
        <v>0</v>
      </c>
    </row>
    <row r="254" spans="1:15" s="4" customFormat="1" ht="25.5">
      <c r="A254" s="12" t="s">
        <v>973</v>
      </c>
      <c r="B254" s="25" t="s">
        <v>55</v>
      </c>
      <c r="C254" s="26" t="s">
        <v>50</v>
      </c>
      <c r="D254" s="26" t="s">
        <v>65</v>
      </c>
      <c r="E254" s="26" t="s">
        <v>320</v>
      </c>
      <c r="F254" s="26" t="s">
        <v>1043</v>
      </c>
      <c r="G254" s="27">
        <f>2123</f>
        <v>2123</v>
      </c>
      <c r="H254" s="27">
        <f>1911</f>
        <v>1911</v>
      </c>
      <c r="I254" s="27">
        <f>1911</f>
        <v>1911</v>
      </c>
      <c r="J254" s="80"/>
      <c r="K254" s="16">
        <f t="shared" si="88"/>
        <v>-2123</v>
      </c>
      <c r="L254" s="80"/>
      <c r="M254" s="16">
        <f t="shared" si="89"/>
        <v>-1911</v>
      </c>
      <c r="N254" s="80"/>
      <c r="O254" s="16">
        <f t="shared" si="90"/>
        <v>-1911</v>
      </c>
    </row>
    <row r="255" spans="1:15" s="2" customFormat="1">
      <c r="A255" s="17" t="s">
        <v>77</v>
      </c>
      <c r="B255" s="18" t="s">
        <v>55</v>
      </c>
      <c r="C255" s="19" t="s">
        <v>40</v>
      </c>
      <c r="D255" s="19" t="s">
        <v>51</v>
      </c>
      <c r="E255" s="19" t="s">
        <v>196</v>
      </c>
      <c r="F255" s="19" t="s">
        <v>58</v>
      </c>
      <c r="G255" s="20">
        <f>G263+G256</f>
        <v>20457.5</v>
      </c>
      <c r="H255" s="20">
        <f>H263+H256</f>
        <v>20457.5</v>
      </c>
      <c r="I255" s="20">
        <f>I263+I256</f>
        <v>20457.5</v>
      </c>
      <c r="J255" s="20">
        <f>J263+J256</f>
        <v>20457.5</v>
      </c>
      <c r="K255" s="16">
        <f t="shared" si="88"/>
        <v>0</v>
      </c>
      <c r="L255" s="20">
        <f>L263+L256</f>
        <v>20457.5</v>
      </c>
      <c r="M255" s="16">
        <f t="shared" si="89"/>
        <v>0</v>
      </c>
      <c r="N255" s="20">
        <f>N263+N256</f>
        <v>20457.5</v>
      </c>
      <c r="O255" s="16">
        <f t="shared" si="90"/>
        <v>0</v>
      </c>
    </row>
    <row r="256" spans="1:15" s="2" customFormat="1">
      <c r="A256" s="21" t="s">
        <v>906</v>
      </c>
      <c r="B256" s="22" t="s">
        <v>55</v>
      </c>
      <c r="C256" s="23" t="s">
        <v>40</v>
      </c>
      <c r="D256" s="23" t="s">
        <v>65</v>
      </c>
      <c r="E256" s="23" t="s">
        <v>196</v>
      </c>
      <c r="F256" s="23" t="s">
        <v>58</v>
      </c>
      <c r="G256" s="24">
        <f t="shared" ref="G256:G261" si="114">G257</f>
        <v>5900.5</v>
      </c>
      <c r="H256" s="24">
        <f t="shared" ref="H256:N261" si="115">H257</f>
        <v>5900.5</v>
      </c>
      <c r="I256" s="24">
        <f t="shared" si="115"/>
        <v>5900.5</v>
      </c>
      <c r="J256" s="24">
        <f>J257</f>
        <v>5900.5</v>
      </c>
      <c r="K256" s="16">
        <f t="shared" si="88"/>
        <v>0</v>
      </c>
      <c r="L256" s="24">
        <f t="shared" si="115"/>
        <v>5900.5</v>
      </c>
      <c r="M256" s="16">
        <f t="shared" si="89"/>
        <v>0</v>
      </c>
      <c r="N256" s="24">
        <f t="shared" si="115"/>
        <v>5900.5</v>
      </c>
      <c r="O256" s="16">
        <f t="shared" si="90"/>
        <v>0</v>
      </c>
    </row>
    <row r="257" spans="1:15" s="2" customFormat="1" ht="38.25">
      <c r="A257" s="34" t="s">
        <v>751</v>
      </c>
      <c r="B257" s="25" t="s">
        <v>55</v>
      </c>
      <c r="C257" s="26" t="s">
        <v>40</v>
      </c>
      <c r="D257" s="26" t="s">
        <v>65</v>
      </c>
      <c r="E257" s="26" t="s">
        <v>229</v>
      </c>
      <c r="F257" s="26" t="s">
        <v>58</v>
      </c>
      <c r="G257" s="27">
        <f t="shared" si="114"/>
        <v>5900.5</v>
      </c>
      <c r="H257" s="27">
        <f t="shared" si="115"/>
        <v>5900.5</v>
      </c>
      <c r="I257" s="27">
        <f t="shared" si="115"/>
        <v>5900.5</v>
      </c>
      <c r="J257" s="27">
        <f>J258</f>
        <v>5900.5</v>
      </c>
      <c r="K257" s="16">
        <f t="shared" si="88"/>
        <v>0</v>
      </c>
      <c r="L257" s="27">
        <f t="shared" si="115"/>
        <v>5900.5</v>
      </c>
      <c r="M257" s="16">
        <f t="shared" si="89"/>
        <v>0</v>
      </c>
      <c r="N257" s="27">
        <f t="shared" si="115"/>
        <v>5900.5</v>
      </c>
      <c r="O257" s="16">
        <f t="shared" si="90"/>
        <v>0</v>
      </c>
    </row>
    <row r="258" spans="1:15" s="2" customFormat="1" ht="25.5">
      <c r="A258" s="34" t="s">
        <v>119</v>
      </c>
      <c r="B258" s="25" t="s">
        <v>55</v>
      </c>
      <c r="C258" s="26" t="s">
        <v>40</v>
      </c>
      <c r="D258" s="26" t="s">
        <v>65</v>
      </c>
      <c r="E258" s="26" t="s">
        <v>230</v>
      </c>
      <c r="F258" s="26" t="s">
        <v>58</v>
      </c>
      <c r="G258" s="27">
        <f t="shared" si="114"/>
        <v>5900.5</v>
      </c>
      <c r="H258" s="27">
        <f t="shared" si="115"/>
        <v>5900.5</v>
      </c>
      <c r="I258" s="27">
        <f t="shared" si="115"/>
        <v>5900.5</v>
      </c>
      <c r="J258" s="27">
        <f>J259</f>
        <v>5900.5</v>
      </c>
      <c r="K258" s="16">
        <f t="shared" si="88"/>
        <v>0</v>
      </c>
      <c r="L258" s="27">
        <f t="shared" si="115"/>
        <v>5900.5</v>
      </c>
      <c r="M258" s="16">
        <f t="shared" si="89"/>
        <v>0</v>
      </c>
      <c r="N258" s="27">
        <f t="shared" si="115"/>
        <v>5900.5</v>
      </c>
      <c r="O258" s="16">
        <f t="shared" si="90"/>
        <v>0</v>
      </c>
    </row>
    <row r="259" spans="1:15" s="2" customFormat="1" ht="38.25">
      <c r="A259" s="34" t="s">
        <v>237</v>
      </c>
      <c r="B259" s="25" t="s">
        <v>55</v>
      </c>
      <c r="C259" s="26" t="s">
        <v>40</v>
      </c>
      <c r="D259" s="26" t="s">
        <v>65</v>
      </c>
      <c r="E259" s="26" t="s">
        <v>238</v>
      </c>
      <c r="F259" s="26" t="s">
        <v>58</v>
      </c>
      <c r="G259" s="27">
        <f t="shared" si="114"/>
        <v>5900.5</v>
      </c>
      <c r="H259" s="27">
        <f t="shared" si="115"/>
        <v>5900.5</v>
      </c>
      <c r="I259" s="27">
        <f t="shared" si="115"/>
        <v>5900.5</v>
      </c>
      <c r="J259" s="27">
        <f>J260</f>
        <v>5900.5</v>
      </c>
      <c r="K259" s="16">
        <f t="shared" si="88"/>
        <v>0</v>
      </c>
      <c r="L259" s="27">
        <f t="shared" si="115"/>
        <v>5900.5</v>
      </c>
      <c r="M259" s="16">
        <f t="shared" si="89"/>
        <v>0</v>
      </c>
      <c r="N259" s="27">
        <f t="shared" si="115"/>
        <v>5900.5</v>
      </c>
      <c r="O259" s="16">
        <f t="shared" si="90"/>
        <v>0</v>
      </c>
    </row>
    <row r="260" spans="1:15" s="2" customFormat="1" ht="25.5">
      <c r="A260" s="34" t="s">
        <v>120</v>
      </c>
      <c r="B260" s="25" t="s">
        <v>55</v>
      </c>
      <c r="C260" s="26" t="s">
        <v>40</v>
      </c>
      <c r="D260" s="26" t="s">
        <v>65</v>
      </c>
      <c r="E260" s="26" t="s">
        <v>907</v>
      </c>
      <c r="F260" s="26" t="s">
        <v>58</v>
      </c>
      <c r="G260" s="27">
        <f t="shared" si="114"/>
        <v>5900.5</v>
      </c>
      <c r="H260" s="27">
        <f t="shared" si="115"/>
        <v>5900.5</v>
      </c>
      <c r="I260" s="27">
        <f t="shared" si="115"/>
        <v>5900.5</v>
      </c>
      <c r="J260" s="27">
        <f>J261</f>
        <v>5900.5</v>
      </c>
      <c r="K260" s="16">
        <f t="shared" si="88"/>
        <v>0</v>
      </c>
      <c r="L260" s="27">
        <f t="shared" si="115"/>
        <v>5900.5</v>
      </c>
      <c r="M260" s="16">
        <f t="shared" si="89"/>
        <v>0</v>
      </c>
      <c r="N260" s="27">
        <f t="shared" si="115"/>
        <v>5900.5</v>
      </c>
      <c r="O260" s="16">
        <f t="shared" si="90"/>
        <v>0</v>
      </c>
    </row>
    <row r="261" spans="1:15" s="2" customFormat="1" ht="25.5">
      <c r="A261" s="11" t="s">
        <v>108</v>
      </c>
      <c r="B261" s="25" t="s">
        <v>55</v>
      </c>
      <c r="C261" s="26" t="s">
        <v>40</v>
      </c>
      <c r="D261" s="26" t="s">
        <v>65</v>
      </c>
      <c r="E261" s="26" t="s">
        <v>907</v>
      </c>
      <c r="F261" s="26" t="s">
        <v>116</v>
      </c>
      <c r="G261" s="27">
        <f t="shared" si="114"/>
        <v>5900.5</v>
      </c>
      <c r="H261" s="27">
        <f t="shared" si="115"/>
        <v>5900.5</v>
      </c>
      <c r="I261" s="27">
        <f t="shared" si="115"/>
        <v>5900.5</v>
      </c>
      <c r="J261" s="27">
        <f>5900.5</f>
        <v>5900.5</v>
      </c>
      <c r="K261" s="16">
        <f t="shared" si="88"/>
        <v>0</v>
      </c>
      <c r="L261" s="27">
        <f>5900.5</f>
        <v>5900.5</v>
      </c>
      <c r="M261" s="16">
        <f t="shared" si="89"/>
        <v>0</v>
      </c>
      <c r="N261" s="27">
        <f>5900.5</f>
        <v>5900.5</v>
      </c>
      <c r="O261" s="16">
        <f t="shared" si="90"/>
        <v>0</v>
      </c>
    </row>
    <row r="262" spans="1:15" ht="25.5">
      <c r="A262" s="12" t="s">
        <v>973</v>
      </c>
      <c r="B262" s="25" t="s">
        <v>55</v>
      </c>
      <c r="C262" s="26" t="s">
        <v>40</v>
      </c>
      <c r="D262" s="26" t="s">
        <v>65</v>
      </c>
      <c r="E262" s="26" t="s">
        <v>907</v>
      </c>
      <c r="F262" s="26" t="s">
        <v>1043</v>
      </c>
      <c r="G262" s="27">
        <f>5900.5</f>
        <v>5900.5</v>
      </c>
      <c r="H262" s="27">
        <f>5900.5</f>
        <v>5900.5</v>
      </c>
      <c r="I262" s="27">
        <f>5900.5</f>
        <v>5900.5</v>
      </c>
      <c r="J262" s="80"/>
      <c r="K262" s="16">
        <f t="shared" ref="K262:K323" si="116">J262-G262</f>
        <v>-5900.5</v>
      </c>
      <c r="L262" s="80"/>
      <c r="M262" s="16">
        <f t="shared" ref="M262:M323" si="117">L262-H262</f>
        <v>-5900.5</v>
      </c>
      <c r="N262" s="80"/>
      <c r="O262" s="16">
        <f t="shared" ref="O262:O323" si="118">N262-I262</f>
        <v>-5900.5</v>
      </c>
    </row>
    <row r="263" spans="1:15" s="2" customFormat="1">
      <c r="A263" s="21" t="s">
        <v>52</v>
      </c>
      <c r="B263" s="22" t="s">
        <v>55</v>
      </c>
      <c r="C263" s="23" t="s">
        <v>40</v>
      </c>
      <c r="D263" s="23" t="s">
        <v>66</v>
      </c>
      <c r="E263" s="23" t="s">
        <v>196</v>
      </c>
      <c r="F263" s="23" t="s">
        <v>58</v>
      </c>
      <c r="G263" s="24">
        <f t="shared" ref="G263:N272" si="119">G264</f>
        <v>14557</v>
      </c>
      <c r="H263" s="24">
        <f t="shared" si="119"/>
        <v>14557</v>
      </c>
      <c r="I263" s="24">
        <f t="shared" si="119"/>
        <v>14557</v>
      </c>
      <c r="J263" s="24">
        <f t="shared" si="119"/>
        <v>14557</v>
      </c>
      <c r="K263" s="16">
        <f t="shared" si="116"/>
        <v>0</v>
      </c>
      <c r="L263" s="24">
        <f t="shared" si="119"/>
        <v>14557</v>
      </c>
      <c r="M263" s="16">
        <f t="shared" si="117"/>
        <v>0</v>
      </c>
      <c r="N263" s="24">
        <f t="shared" si="119"/>
        <v>14557</v>
      </c>
      <c r="O263" s="16">
        <f t="shared" si="118"/>
        <v>0</v>
      </c>
    </row>
    <row r="264" spans="1:15" s="3" customFormat="1" ht="38.25">
      <c r="A264" s="34" t="s">
        <v>751</v>
      </c>
      <c r="B264" s="25" t="s">
        <v>55</v>
      </c>
      <c r="C264" s="26" t="s">
        <v>40</v>
      </c>
      <c r="D264" s="26" t="s">
        <v>66</v>
      </c>
      <c r="E264" s="26" t="s">
        <v>229</v>
      </c>
      <c r="F264" s="26" t="s">
        <v>58</v>
      </c>
      <c r="G264" s="27">
        <f t="shared" si="119"/>
        <v>14557</v>
      </c>
      <c r="H264" s="27">
        <f t="shared" si="119"/>
        <v>14557</v>
      </c>
      <c r="I264" s="27">
        <f t="shared" si="119"/>
        <v>14557</v>
      </c>
      <c r="J264" s="27">
        <f t="shared" si="119"/>
        <v>14557</v>
      </c>
      <c r="K264" s="16">
        <f t="shared" si="116"/>
        <v>0</v>
      </c>
      <c r="L264" s="27">
        <f t="shared" si="119"/>
        <v>14557</v>
      </c>
      <c r="M264" s="16">
        <f t="shared" si="117"/>
        <v>0</v>
      </c>
      <c r="N264" s="27">
        <f t="shared" si="119"/>
        <v>14557</v>
      </c>
      <c r="O264" s="16">
        <f t="shared" si="118"/>
        <v>0</v>
      </c>
    </row>
    <row r="265" spans="1:15" s="3" customFormat="1" ht="25.5">
      <c r="A265" s="34" t="s">
        <v>119</v>
      </c>
      <c r="B265" s="25" t="s">
        <v>55</v>
      </c>
      <c r="C265" s="26" t="s">
        <v>40</v>
      </c>
      <c r="D265" s="26" t="s">
        <v>66</v>
      </c>
      <c r="E265" s="26" t="s">
        <v>230</v>
      </c>
      <c r="F265" s="26" t="s">
        <v>58</v>
      </c>
      <c r="G265" s="27">
        <f>G270+G266</f>
        <v>14557</v>
      </c>
      <c r="H265" s="27">
        <f t="shared" ref="H265:I265" si="120">H270+H266</f>
        <v>14557</v>
      </c>
      <c r="I265" s="27">
        <f t="shared" si="120"/>
        <v>14557</v>
      </c>
      <c r="J265" s="27">
        <f>J270+J266</f>
        <v>14557</v>
      </c>
      <c r="K265" s="16">
        <f t="shared" si="116"/>
        <v>0</v>
      </c>
      <c r="L265" s="27">
        <f t="shared" ref="L265:N265" si="121">L270+L266</f>
        <v>14557</v>
      </c>
      <c r="M265" s="16">
        <f t="shared" si="117"/>
        <v>0</v>
      </c>
      <c r="N265" s="27">
        <f t="shared" si="121"/>
        <v>14557</v>
      </c>
      <c r="O265" s="16">
        <f t="shared" si="118"/>
        <v>0</v>
      </c>
    </row>
    <row r="266" spans="1:15" s="2" customFormat="1" ht="38.25">
      <c r="A266" s="34" t="s">
        <v>237</v>
      </c>
      <c r="B266" s="25" t="s">
        <v>55</v>
      </c>
      <c r="C266" s="26" t="s">
        <v>40</v>
      </c>
      <c r="D266" s="26" t="s">
        <v>66</v>
      </c>
      <c r="E266" s="26" t="s">
        <v>238</v>
      </c>
      <c r="F266" s="26" t="s">
        <v>58</v>
      </c>
      <c r="G266" s="27">
        <f>G267</f>
        <v>1190</v>
      </c>
      <c r="H266" s="27">
        <f t="shared" ref="H266:N267" si="122">H267</f>
        <v>1190</v>
      </c>
      <c r="I266" s="27">
        <f t="shared" si="122"/>
        <v>1190</v>
      </c>
      <c r="J266" s="27">
        <f>J267</f>
        <v>1190</v>
      </c>
      <c r="K266" s="16">
        <f t="shared" si="116"/>
        <v>0</v>
      </c>
      <c r="L266" s="27">
        <f t="shared" si="122"/>
        <v>1190</v>
      </c>
      <c r="M266" s="16">
        <f t="shared" si="117"/>
        <v>0</v>
      </c>
      <c r="N266" s="27">
        <f t="shared" si="122"/>
        <v>1190</v>
      </c>
      <c r="O266" s="16">
        <f t="shared" si="118"/>
        <v>0</v>
      </c>
    </row>
    <row r="267" spans="1:15" s="2" customFormat="1" ht="25.5">
      <c r="A267" s="34" t="s">
        <v>120</v>
      </c>
      <c r="B267" s="25" t="s">
        <v>55</v>
      </c>
      <c r="C267" s="26" t="s">
        <v>40</v>
      </c>
      <c r="D267" s="26" t="s">
        <v>66</v>
      </c>
      <c r="E267" s="26" t="s">
        <v>907</v>
      </c>
      <c r="F267" s="26" t="s">
        <v>58</v>
      </c>
      <c r="G267" s="27">
        <f>G268</f>
        <v>1190</v>
      </c>
      <c r="H267" s="27">
        <f t="shared" si="122"/>
        <v>1190</v>
      </c>
      <c r="I267" s="27">
        <f t="shared" si="122"/>
        <v>1190</v>
      </c>
      <c r="J267" s="27">
        <f>J268</f>
        <v>1190</v>
      </c>
      <c r="K267" s="16">
        <f t="shared" si="116"/>
        <v>0</v>
      </c>
      <c r="L267" s="27">
        <f t="shared" si="122"/>
        <v>1190</v>
      </c>
      <c r="M267" s="16">
        <f t="shared" si="117"/>
        <v>0</v>
      </c>
      <c r="N267" s="27">
        <f t="shared" si="122"/>
        <v>1190</v>
      </c>
      <c r="O267" s="16">
        <f t="shared" si="118"/>
        <v>0</v>
      </c>
    </row>
    <row r="268" spans="1:15" s="2" customFormat="1" ht="25.5">
      <c r="A268" s="11" t="s">
        <v>108</v>
      </c>
      <c r="B268" s="25" t="s">
        <v>55</v>
      </c>
      <c r="C268" s="26" t="s">
        <v>40</v>
      </c>
      <c r="D268" s="26" t="s">
        <v>66</v>
      </c>
      <c r="E268" s="26" t="s">
        <v>907</v>
      </c>
      <c r="F268" s="26" t="s">
        <v>116</v>
      </c>
      <c r="G268" s="27">
        <f>G269</f>
        <v>1190</v>
      </c>
      <c r="H268" s="27">
        <f>H269</f>
        <v>1190</v>
      </c>
      <c r="I268" s="27">
        <f>I269</f>
        <v>1190</v>
      </c>
      <c r="J268" s="27">
        <f>1190</f>
        <v>1190</v>
      </c>
      <c r="K268" s="16">
        <f t="shared" si="116"/>
        <v>0</v>
      </c>
      <c r="L268" s="27">
        <f>1190</f>
        <v>1190</v>
      </c>
      <c r="M268" s="16">
        <f t="shared" si="117"/>
        <v>0</v>
      </c>
      <c r="N268" s="27">
        <f>1190</f>
        <v>1190</v>
      </c>
      <c r="O268" s="16">
        <f t="shared" si="118"/>
        <v>0</v>
      </c>
    </row>
    <row r="269" spans="1:15" ht="25.5">
      <c r="A269" s="12" t="s">
        <v>973</v>
      </c>
      <c r="B269" s="25" t="s">
        <v>55</v>
      </c>
      <c r="C269" s="26" t="s">
        <v>40</v>
      </c>
      <c r="D269" s="26" t="s">
        <v>66</v>
      </c>
      <c r="E269" s="26" t="s">
        <v>907</v>
      </c>
      <c r="F269" s="26" t="s">
        <v>1043</v>
      </c>
      <c r="G269" s="27">
        <f>1190</f>
        <v>1190</v>
      </c>
      <c r="H269" s="27">
        <f>1190</f>
        <v>1190</v>
      </c>
      <c r="I269" s="27">
        <f>1190</f>
        <v>1190</v>
      </c>
      <c r="J269" s="80"/>
      <c r="K269" s="16">
        <f t="shared" si="116"/>
        <v>-1190</v>
      </c>
      <c r="L269" s="80"/>
      <c r="M269" s="16">
        <f t="shared" si="117"/>
        <v>-1190</v>
      </c>
      <c r="N269" s="80"/>
      <c r="O269" s="16">
        <f t="shared" si="118"/>
        <v>-1190</v>
      </c>
    </row>
    <row r="270" spans="1:15" s="3" customFormat="1" ht="38.25">
      <c r="A270" s="34" t="s">
        <v>603</v>
      </c>
      <c r="B270" s="25" t="s">
        <v>55</v>
      </c>
      <c r="C270" s="26" t="s">
        <v>40</v>
      </c>
      <c r="D270" s="26" t="s">
        <v>66</v>
      </c>
      <c r="E270" s="26" t="s">
        <v>239</v>
      </c>
      <c r="F270" s="26" t="s">
        <v>58</v>
      </c>
      <c r="G270" s="27">
        <f>G271</f>
        <v>13367</v>
      </c>
      <c r="H270" s="27">
        <f t="shared" ref="H270:I270" si="123">H271</f>
        <v>13367</v>
      </c>
      <c r="I270" s="27">
        <f t="shared" si="123"/>
        <v>13367</v>
      </c>
      <c r="J270" s="27">
        <f>J271</f>
        <v>13367</v>
      </c>
      <c r="K270" s="16">
        <f t="shared" si="116"/>
        <v>0</v>
      </c>
      <c r="L270" s="27">
        <f t="shared" ref="L270" si="124">L271</f>
        <v>13367</v>
      </c>
      <c r="M270" s="16">
        <f t="shared" si="117"/>
        <v>0</v>
      </c>
      <c r="N270" s="27">
        <f t="shared" ref="N270" si="125">N271</f>
        <v>13367</v>
      </c>
      <c r="O270" s="16">
        <f t="shared" si="118"/>
        <v>0</v>
      </c>
    </row>
    <row r="271" spans="1:15" s="3" customFormat="1" ht="25.5">
      <c r="A271" s="34" t="s">
        <v>171</v>
      </c>
      <c r="B271" s="25" t="s">
        <v>55</v>
      </c>
      <c r="C271" s="26" t="s">
        <v>40</v>
      </c>
      <c r="D271" s="26" t="s">
        <v>66</v>
      </c>
      <c r="E271" s="26" t="s">
        <v>929</v>
      </c>
      <c r="F271" s="26" t="s">
        <v>58</v>
      </c>
      <c r="G271" s="27">
        <f t="shared" si="119"/>
        <v>13367</v>
      </c>
      <c r="H271" s="27">
        <f t="shared" si="119"/>
        <v>13367</v>
      </c>
      <c r="I271" s="27">
        <f t="shared" si="119"/>
        <v>13367</v>
      </c>
      <c r="J271" s="27">
        <f t="shared" si="119"/>
        <v>13367</v>
      </c>
      <c r="K271" s="16">
        <f t="shared" si="116"/>
        <v>0</v>
      </c>
      <c r="L271" s="27">
        <f t="shared" si="119"/>
        <v>13367</v>
      </c>
      <c r="M271" s="16">
        <f t="shared" si="117"/>
        <v>0</v>
      </c>
      <c r="N271" s="27">
        <f t="shared" si="119"/>
        <v>13367</v>
      </c>
      <c r="O271" s="16">
        <f t="shared" si="118"/>
        <v>0</v>
      </c>
    </row>
    <row r="272" spans="1:15" s="3" customFormat="1" ht="38.25">
      <c r="A272" s="34" t="s">
        <v>561</v>
      </c>
      <c r="B272" s="25" t="s">
        <v>55</v>
      </c>
      <c r="C272" s="26" t="s">
        <v>40</v>
      </c>
      <c r="D272" s="26" t="s">
        <v>66</v>
      </c>
      <c r="E272" s="26" t="s">
        <v>929</v>
      </c>
      <c r="F272" s="26" t="s">
        <v>101</v>
      </c>
      <c r="G272" s="27">
        <f>G273</f>
        <v>13367</v>
      </c>
      <c r="H272" s="27">
        <f t="shared" si="119"/>
        <v>13367</v>
      </c>
      <c r="I272" s="27">
        <f t="shared" si="119"/>
        <v>13367</v>
      </c>
      <c r="J272" s="27">
        <f>13367</f>
        <v>13367</v>
      </c>
      <c r="K272" s="16">
        <f t="shared" si="116"/>
        <v>0</v>
      </c>
      <c r="L272" s="27">
        <f>13367</f>
        <v>13367</v>
      </c>
      <c r="M272" s="16">
        <f t="shared" si="117"/>
        <v>0</v>
      </c>
      <c r="N272" s="27">
        <f>13367</f>
        <v>13367</v>
      </c>
      <c r="O272" s="16">
        <f t="shared" si="118"/>
        <v>0</v>
      </c>
    </row>
    <row r="273" spans="1:15" s="94" customFormat="1" ht="76.5">
      <c r="A273" s="12" t="s">
        <v>1048</v>
      </c>
      <c r="B273" s="25" t="s">
        <v>55</v>
      </c>
      <c r="C273" s="26" t="s">
        <v>40</v>
      </c>
      <c r="D273" s="26" t="s">
        <v>66</v>
      </c>
      <c r="E273" s="26" t="s">
        <v>929</v>
      </c>
      <c r="F273" s="26" t="s">
        <v>1051</v>
      </c>
      <c r="G273" s="27">
        <f>13367</f>
        <v>13367</v>
      </c>
      <c r="H273" s="27">
        <f>13367</f>
        <v>13367</v>
      </c>
      <c r="I273" s="27">
        <f>13367</f>
        <v>13367</v>
      </c>
      <c r="J273" s="81"/>
      <c r="K273" s="91">
        <f t="shared" si="116"/>
        <v>-13367</v>
      </c>
      <c r="L273" s="81"/>
      <c r="M273" s="91">
        <f t="shared" si="117"/>
        <v>-13367</v>
      </c>
      <c r="N273" s="81"/>
      <c r="O273" s="91">
        <f t="shared" si="118"/>
        <v>-13367</v>
      </c>
    </row>
    <row r="274" spans="1:15" s="71" customFormat="1">
      <c r="A274" s="95"/>
      <c r="B274" s="92"/>
      <c r="C274" s="70"/>
      <c r="D274" s="70"/>
      <c r="E274" s="70"/>
      <c r="F274" s="70"/>
      <c r="G274" s="72"/>
      <c r="H274" s="72"/>
      <c r="I274" s="72"/>
      <c r="J274" s="72"/>
      <c r="K274" s="91">
        <f t="shared" si="116"/>
        <v>0</v>
      </c>
      <c r="L274" s="72"/>
      <c r="M274" s="91">
        <f t="shared" si="117"/>
        <v>0</v>
      </c>
      <c r="N274" s="72"/>
      <c r="O274" s="91">
        <f t="shared" si="118"/>
        <v>0</v>
      </c>
    </row>
    <row r="275" spans="1:15" s="109" customFormat="1" ht="25.5">
      <c r="A275" s="28" t="s">
        <v>60</v>
      </c>
      <c r="B275" s="14" t="s">
        <v>29</v>
      </c>
      <c r="C275" s="15" t="s">
        <v>51</v>
      </c>
      <c r="D275" s="15" t="s">
        <v>51</v>
      </c>
      <c r="E275" s="15" t="s">
        <v>196</v>
      </c>
      <c r="F275" s="15" t="s">
        <v>58</v>
      </c>
      <c r="G275" s="29">
        <f>G276+G323</f>
        <v>81223.37</v>
      </c>
      <c r="H275" s="29">
        <f>H276+H323</f>
        <v>67262.680000000008</v>
      </c>
      <c r="I275" s="29">
        <f>I276+I323</f>
        <v>67262.680000000008</v>
      </c>
      <c r="J275" s="29">
        <f>J276+J323</f>
        <v>81223.37</v>
      </c>
      <c r="K275" s="16">
        <f t="shared" si="116"/>
        <v>0</v>
      </c>
      <c r="L275" s="29">
        <f>L276+L323</f>
        <v>67262.680000000008</v>
      </c>
      <c r="M275" s="16">
        <f t="shared" si="117"/>
        <v>0</v>
      </c>
      <c r="N275" s="29">
        <f>N276+N323</f>
        <v>67262.680000000008</v>
      </c>
      <c r="O275" s="16">
        <f t="shared" si="118"/>
        <v>0</v>
      </c>
    </row>
    <row r="276" spans="1:15" s="109" customFormat="1" ht="12.75">
      <c r="A276" s="17" t="s">
        <v>64</v>
      </c>
      <c r="B276" s="18" t="s">
        <v>29</v>
      </c>
      <c r="C276" s="19" t="s">
        <v>65</v>
      </c>
      <c r="D276" s="19" t="s">
        <v>51</v>
      </c>
      <c r="E276" s="19" t="s">
        <v>196</v>
      </c>
      <c r="F276" s="19" t="s">
        <v>58</v>
      </c>
      <c r="G276" s="20">
        <f>G277</f>
        <v>69598.09</v>
      </c>
      <c r="H276" s="20">
        <f>H277</f>
        <v>66470.680000000008</v>
      </c>
      <c r="I276" s="20">
        <f>I277</f>
        <v>66470.680000000008</v>
      </c>
      <c r="J276" s="20">
        <f>J277</f>
        <v>69598.09</v>
      </c>
      <c r="K276" s="16">
        <f t="shared" si="116"/>
        <v>0</v>
      </c>
      <c r="L276" s="20">
        <f>L277</f>
        <v>66470.680000000008</v>
      </c>
      <c r="M276" s="16">
        <f t="shared" si="117"/>
        <v>0</v>
      </c>
      <c r="N276" s="20">
        <f>N277</f>
        <v>66470.680000000008</v>
      </c>
      <c r="O276" s="16">
        <f t="shared" si="118"/>
        <v>0</v>
      </c>
    </row>
    <row r="277" spans="1:15" s="109" customFormat="1" ht="12.75">
      <c r="A277" s="21" t="s">
        <v>38</v>
      </c>
      <c r="B277" s="22" t="s">
        <v>29</v>
      </c>
      <c r="C277" s="23" t="s">
        <v>65</v>
      </c>
      <c r="D277" s="23" t="s">
        <v>84</v>
      </c>
      <c r="E277" s="23" t="s">
        <v>196</v>
      </c>
      <c r="F277" s="23" t="s">
        <v>58</v>
      </c>
      <c r="G277" s="24">
        <f>G278+G308+G296+G302</f>
        <v>69598.09</v>
      </c>
      <c r="H277" s="24">
        <f>H278+H308+H296+H302</f>
        <v>66470.680000000008</v>
      </c>
      <c r="I277" s="24">
        <f>I278+I308+I296+I302</f>
        <v>66470.680000000008</v>
      </c>
      <c r="J277" s="24">
        <f>J278+J308+J296+J302</f>
        <v>69598.09</v>
      </c>
      <c r="K277" s="16">
        <f t="shared" si="116"/>
        <v>0</v>
      </c>
      <c r="L277" s="24">
        <f>L278+L308+L296+L302</f>
        <v>66470.680000000008</v>
      </c>
      <c r="M277" s="16">
        <f t="shared" si="117"/>
        <v>0</v>
      </c>
      <c r="N277" s="24">
        <f>N278+N308+N296+N302</f>
        <v>66470.680000000008</v>
      </c>
      <c r="O277" s="16">
        <f t="shared" si="118"/>
        <v>0</v>
      </c>
    </row>
    <row r="278" spans="1:15" s="109" customFormat="1" ht="38.25">
      <c r="A278" s="13" t="s">
        <v>745</v>
      </c>
      <c r="B278" s="25" t="s">
        <v>29</v>
      </c>
      <c r="C278" s="26" t="s">
        <v>65</v>
      </c>
      <c r="D278" s="26" t="s">
        <v>84</v>
      </c>
      <c r="E278" s="26" t="s">
        <v>280</v>
      </c>
      <c r="F278" s="26" t="s">
        <v>58</v>
      </c>
      <c r="G278" s="27">
        <f>G279</f>
        <v>5231.4100000000008</v>
      </c>
      <c r="H278" s="27">
        <f>H279</f>
        <v>5065.2700000000004</v>
      </c>
      <c r="I278" s="27">
        <f>I279</f>
        <v>5065.2700000000004</v>
      </c>
      <c r="J278" s="27">
        <f>J279</f>
        <v>5231.4100000000008</v>
      </c>
      <c r="K278" s="16">
        <f t="shared" si="116"/>
        <v>0</v>
      </c>
      <c r="L278" s="27">
        <f>L279</f>
        <v>5065.2700000000004</v>
      </c>
      <c r="M278" s="16">
        <f t="shared" si="117"/>
        <v>0</v>
      </c>
      <c r="N278" s="27">
        <f>N279</f>
        <v>5065.2700000000004</v>
      </c>
      <c r="O278" s="16">
        <f t="shared" si="118"/>
        <v>0</v>
      </c>
    </row>
    <row r="279" spans="1:15" s="109" customFormat="1" ht="51">
      <c r="A279" s="13" t="s">
        <v>746</v>
      </c>
      <c r="B279" s="25" t="s">
        <v>29</v>
      </c>
      <c r="C279" s="26" t="s">
        <v>65</v>
      </c>
      <c r="D279" s="26" t="s">
        <v>84</v>
      </c>
      <c r="E279" s="26" t="s">
        <v>281</v>
      </c>
      <c r="F279" s="26" t="s">
        <v>58</v>
      </c>
      <c r="G279" s="27">
        <f>G280+G292</f>
        <v>5231.4100000000008</v>
      </c>
      <c r="H279" s="27">
        <f>H280+H292</f>
        <v>5065.2700000000004</v>
      </c>
      <c r="I279" s="27">
        <f>I280+I292</f>
        <v>5065.2700000000004</v>
      </c>
      <c r="J279" s="27">
        <f>J280+J292</f>
        <v>5231.4100000000008</v>
      </c>
      <c r="K279" s="16">
        <f t="shared" si="116"/>
        <v>0</v>
      </c>
      <c r="L279" s="27">
        <f>L280+L292</f>
        <v>5065.2700000000004</v>
      </c>
      <c r="M279" s="16">
        <f t="shared" si="117"/>
        <v>0</v>
      </c>
      <c r="N279" s="27">
        <f>N280+N292</f>
        <v>5065.2700000000004</v>
      </c>
      <c r="O279" s="16">
        <f t="shared" si="118"/>
        <v>0</v>
      </c>
    </row>
    <row r="280" spans="1:15" s="109" customFormat="1" ht="38.25">
      <c r="A280" s="11" t="s">
        <v>282</v>
      </c>
      <c r="B280" s="25" t="s">
        <v>29</v>
      </c>
      <c r="C280" s="26" t="s">
        <v>65</v>
      </c>
      <c r="D280" s="26" t="s">
        <v>84</v>
      </c>
      <c r="E280" s="26" t="s">
        <v>283</v>
      </c>
      <c r="F280" s="26" t="s">
        <v>58</v>
      </c>
      <c r="G280" s="27">
        <f>G281+G286+G289</f>
        <v>4850.6100000000006</v>
      </c>
      <c r="H280" s="27">
        <f>H281+H286+H289</f>
        <v>4722.55</v>
      </c>
      <c r="I280" s="27">
        <f>I281+I286+I289</f>
        <v>4722.55</v>
      </c>
      <c r="J280" s="27">
        <f>J281+J286+J289</f>
        <v>4850.6100000000006</v>
      </c>
      <c r="K280" s="16">
        <f t="shared" si="116"/>
        <v>0</v>
      </c>
      <c r="L280" s="27">
        <f>L281+L286+L289</f>
        <v>4722.55</v>
      </c>
      <c r="M280" s="16">
        <f t="shared" si="117"/>
        <v>0</v>
      </c>
      <c r="N280" s="27">
        <f>N281+N286+N289</f>
        <v>4722.55</v>
      </c>
      <c r="O280" s="16">
        <f t="shared" si="118"/>
        <v>0</v>
      </c>
    </row>
    <row r="281" spans="1:15" s="109" customFormat="1" ht="51">
      <c r="A281" s="11" t="s">
        <v>165</v>
      </c>
      <c r="B281" s="25" t="s">
        <v>29</v>
      </c>
      <c r="C281" s="26" t="s">
        <v>65</v>
      </c>
      <c r="D281" s="26" t="s">
        <v>84</v>
      </c>
      <c r="E281" s="26" t="s">
        <v>284</v>
      </c>
      <c r="F281" s="26" t="s">
        <v>58</v>
      </c>
      <c r="G281" s="27">
        <f>G282+G284</f>
        <v>1363</v>
      </c>
      <c r="H281" s="27">
        <f t="shared" ref="H281:I281" si="126">H282+H284</f>
        <v>1261</v>
      </c>
      <c r="I281" s="27">
        <f t="shared" si="126"/>
        <v>1261</v>
      </c>
      <c r="J281" s="27">
        <f>SUM(J282:J284)</f>
        <v>1363</v>
      </c>
      <c r="K281" s="16">
        <f t="shared" si="116"/>
        <v>0</v>
      </c>
      <c r="L281" s="27">
        <f>SUM(L282:L284)</f>
        <v>1261</v>
      </c>
      <c r="M281" s="16">
        <f t="shared" si="117"/>
        <v>0</v>
      </c>
      <c r="N281" s="27">
        <f>SUM(N282:N284)</f>
        <v>1261</v>
      </c>
      <c r="O281" s="16">
        <f t="shared" si="118"/>
        <v>0</v>
      </c>
    </row>
    <row r="282" spans="1:15" s="109" customFormat="1" ht="25.5">
      <c r="A282" s="11" t="s">
        <v>108</v>
      </c>
      <c r="B282" s="25" t="s">
        <v>29</v>
      </c>
      <c r="C282" s="26" t="s">
        <v>65</v>
      </c>
      <c r="D282" s="26" t="s">
        <v>84</v>
      </c>
      <c r="E282" s="26" t="s">
        <v>284</v>
      </c>
      <c r="F282" s="26" t="s">
        <v>116</v>
      </c>
      <c r="G282" s="27">
        <f>G283</f>
        <v>1350</v>
      </c>
      <c r="H282" s="27">
        <f t="shared" ref="H282:I282" si="127">H283</f>
        <v>1250</v>
      </c>
      <c r="I282" s="27">
        <f t="shared" si="127"/>
        <v>1250</v>
      </c>
      <c r="J282" s="27">
        <f>1350</f>
        <v>1350</v>
      </c>
      <c r="K282" s="16">
        <f t="shared" si="116"/>
        <v>0</v>
      </c>
      <c r="L282" s="27">
        <f>1250</f>
        <v>1250</v>
      </c>
      <c r="M282" s="16">
        <f t="shared" si="117"/>
        <v>0</v>
      </c>
      <c r="N282" s="27">
        <f>1250</f>
        <v>1250</v>
      </c>
      <c r="O282" s="16">
        <f t="shared" si="118"/>
        <v>0</v>
      </c>
    </row>
    <row r="283" spans="1:15" s="110" customFormat="1" ht="25.5">
      <c r="A283" s="12" t="s">
        <v>973</v>
      </c>
      <c r="B283" s="25" t="s">
        <v>29</v>
      </c>
      <c r="C283" s="26" t="s">
        <v>65</v>
      </c>
      <c r="D283" s="26" t="s">
        <v>84</v>
      </c>
      <c r="E283" s="26" t="s">
        <v>284</v>
      </c>
      <c r="F283" s="26" t="s">
        <v>1043</v>
      </c>
      <c r="G283" s="27">
        <f>1350</f>
        <v>1350</v>
      </c>
      <c r="H283" s="27">
        <f>1250</f>
        <v>1250</v>
      </c>
      <c r="I283" s="27">
        <f>1250</f>
        <v>1250</v>
      </c>
      <c r="J283" s="80"/>
      <c r="K283" s="16">
        <f t="shared" si="116"/>
        <v>-1350</v>
      </c>
      <c r="L283" s="80"/>
      <c r="M283" s="16">
        <f t="shared" si="117"/>
        <v>-1250</v>
      </c>
      <c r="N283" s="80"/>
      <c r="O283" s="16">
        <f t="shared" si="118"/>
        <v>-1250</v>
      </c>
    </row>
    <row r="284" spans="1:15" s="109" customFormat="1" ht="12.75">
      <c r="A284" s="11" t="s">
        <v>97</v>
      </c>
      <c r="B284" s="25" t="s">
        <v>29</v>
      </c>
      <c r="C284" s="26" t="s">
        <v>65</v>
      </c>
      <c r="D284" s="26" t="s">
        <v>84</v>
      </c>
      <c r="E284" s="26" t="s">
        <v>284</v>
      </c>
      <c r="F284" s="26" t="s">
        <v>118</v>
      </c>
      <c r="G284" s="27">
        <f>G285</f>
        <v>13</v>
      </c>
      <c r="H284" s="27">
        <f t="shared" ref="H284:I284" si="128">H285</f>
        <v>11</v>
      </c>
      <c r="I284" s="27">
        <f t="shared" si="128"/>
        <v>11</v>
      </c>
      <c r="J284" s="27">
        <f>13</f>
        <v>13</v>
      </c>
      <c r="K284" s="16">
        <f t="shared" si="116"/>
        <v>0</v>
      </c>
      <c r="L284" s="27">
        <f>11</f>
        <v>11</v>
      </c>
      <c r="M284" s="16">
        <f t="shared" si="117"/>
        <v>0</v>
      </c>
      <c r="N284" s="27">
        <f>11</f>
        <v>11</v>
      </c>
      <c r="O284" s="16">
        <f t="shared" si="118"/>
        <v>0</v>
      </c>
    </row>
    <row r="285" spans="1:15" s="110" customFormat="1" ht="12.75">
      <c r="A285" s="12" t="s">
        <v>1037</v>
      </c>
      <c r="B285" s="25" t="s">
        <v>29</v>
      </c>
      <c r="C285" s="26" t="s">
        <v>65</v>
      </c>
      <c r="D285" s="26" t="s">
        <v>84</v>
      </c>
      <c r="E285" s="26" t="s">
        <v>284</v>
      </c>
      <c r="F285" s="26" t="s">
        <v>1062</v>
      </c>
      <c r="G285" s="27">
        <f>13</f>
        <v>13</v>
      </c>
      <c r="H285" s="27">
        <f>11</f>
        <v>11</v>
      </c>
      <c r="I285" s="27">
        <f>11</f>
        <v>11</v>
      </c>
      <c r="J285" s="80"/>
      <c r="K285" s="16">
        <f t="shared" si="116"/>
        <v>-13</v>
      </c>
      <c r="L285" s="80"/>
      <c r="M285" s="16">
        <f t="shared" si="117"/>
        <v>-11</v>
      </c>
      <c r="N285" s="80"/>
      <c r="O285" s="16">
        <f t="shared" si="118"/>
        <v>-11</v>
      </c>
    </row>
    <row r="286" spans="1:15" s="109" customFormat="1" ht="27" customHeight="1">
      <c r="A286" s="11" t="s">
        <v>166</v>
      </c>
      <c r="B286" s="25" t="s">
        <v>29</v>
      </c>
      <c r="C286" s="26" t="s">
        <v>65</v>
      </c>
      <c r="D286" s="26" t="s">
        <v>84</v>
      </c>
      <c r="E286" s="26" t="s">
        <v>285</v>
      </c>
      <c r="F286" s="26" t="s">
        <v>58</v>
      </c>
      <c r="G286" s="27">
        <f>G287</f>
        <v>1729.98</v>
      </c>
      <c r="H286" s="27">
        <f>H287</f>
        <v>1703.92</v>
      </c>
      <c r="I286" s="27">
        <f>I287</f>
        <v>1703.92</v>
      </c>
      <c r="J286" s="27">
        <f>J287</f>
        <v>1729.98</v>
      </c>
      <c r="K286" s="16">
        <f t="shared" si="116"/>
        <v>0</v>
      </c>
      <c r="L286" s="27">
        <f>L287</f>
        <v>1703.92</v>
      </c>
      <c r="M286" s="16">
        <f t="shared" si="117"/>
        <v>0</v>
      </c>
      <c r="N286" s="27">
        <f>N287</f>
        <v>1703.92</v>
      </c>
      <c r="O286" s="16">
        <f t="shared" si="118"/>
        <v>0</v>
      </c>
    </row>
    <row r="287" spans="1:15" s="109" customFormat="1" ht="27" customHeight="1">
      <c r="A287" s="11" t="s">
        <v>108</v>
      </c>
      <c r="B287" s="25" t="s">
        <v>29</v>
      </c>
      <c r="C287" s="26" t="s">
        <v>65</v>
      </c>
      <c r="D287" s="26" t="s">
        <v>84</v>
      </c>
      <c r="E287" s="26" t="s">
        <v>285</v>
      </c>
      <c r="F287" s="26" t="s">
        <v>116</v>
      </c>
      <c r="G287" s="27">
        <f>G288</f>
        <v>1729.98</v>
      </c>
      <c r="H287" s="27">
        <f t="shared" ref="H287:I287" si="129">H288</f>
        <v>1703.92</v>
      </c>
      <c r="I287" s="27">
        <f t="shared" si="129"/>
        <v>1703.92</v>
      </c>
      <c r="J287" s="27">
        <f>3487.61-1757.63</f>
        <v>1729.98</v>
      </c>
      <c r="K287" s="16">
        <f t="shared" si="116"/>
        <v>0</v>
      </c>
      <c r="L287" s="27">
        <f>3461.55-1757.63</f>
        <v>1703.92</v>
      </c>
      <c r="M287" s="16">
        <f t="shared" si="117"/>
        <v>0</v>
      </c>
      <c r="N287" s="27">
        <f>3461.55-1757.63</f>
        <v>1703.92</v>
      </c>
      <c r="O287" s="16">
        <f t="shared" si="118"/>
        <v>0</v>
      </c>
    </row>
    <row r="288" spans="1:15" s="110" customFormat="1" ht="27" customHeight="1">
      <c r="A288" s="12" t="s">
        <v>973</v>
      </c>
      <c r="B288" s="25" t="s">
        <v>29</v>
      </c>
      <c r="C288" s="26" t="s">
        <v>65</v>
      </c>
      <c r="D288" s="26" t="s">
        <v>84</v>
      </c>
      <c r="E288" s="26" t="s">
        <v>285</v>
      </c>
      <c r="F288" s="26" t="s">
        <v>1043</v>
      </c>
      <c r="G288" s="27">
        <f>3487.61-1757.63</f>
        <v>1729.98</v>
      </c>
      <c r="H288" s="27">
        <f>3461.55-1757.63</f>
        <v>1703.92</v>
      </c>
      <c r="I288" s="27">
        <f>3461.55-1757.63</f>
        <v>1703.92</v>
      </c>
      <c r="J288" s="80"/>
      <c r="K288" s="16">
        <f t="shared" si="116"/>
        <v>-1729.98</v>
      </c>
      <c r="L288" s="80"/>
      <c r="M288" s="16">
        <f t="shared" si="117"/>
        <v>-1703.92</v>
      </c>
      <c r="N288" s="80"/>
      <c r="O288" s="16">
        <f t="shared" si="118"/>
        <v>-1703.92</v>
      </c>
    </row>
    <row r="289" spans="1:15" s="109" customFormat="1" ht="27" customHeight="1">
      <c r="A289" s="11" t="s">
        <v>859</v>
      </c>
      <c r="B289" s="25" t="s">
        <v>29</v>
      </c>
      <c r="C289" s="26" t="s">
        <v>65</v>
      </c>
      <c r="D289" s="26" t="s">
        <v>84</v>
      </c>
      <c r="E289" s="26" t="s">
        <v>858</v>
      </c>
      <c r="F289" s="26" t="s">
        <v>58</v>
      </c>
      <c r="G289" s="27">
        <f>G290</f>
        <v>1757.63</v>
      </c>
      <c r="H289" s="27">
        <f t="shared" ref="H289:N290" si="130">H290</f>
        <v>1757.63</v>
      </c>
      <c r="I289" s="27">
        <f t="shared" si="130"/>
        <v>1757.63</v>
      </c>
      <c r="J289" s="27">
        <f>J290</f>
        <v>1757.63</v>
      </c>
      <c r="K289" s="16">
        <f t="shared" si="116"/>
        <v>0</v>
      </c>
      <c r="L289" s="27">
        <f t="shared" si="130"/>
        <v>1757.63</v>
      </c>
      <c r="M289" s="16">
        <f t="shared" si="117"/>
        <v>0</v>
      </c>
      <c r="N289" s="27">
        <f t="shared" si="130"/>
        <v>1757.63</v>
      </c>
      <c r="O289" s="16">
        <f t="shared" si="118"/>
        <v>0</v>
      </c>
    </row>
    <row r="290" spans="1:15" s="109" customFormat="1" ht="25.5">
      <c r="A290" s="11" t="s">
        <v>108</v>
      </c>
      <c r="B290" s="25" t="s">
        <v>29</v>
      </c>
      <c r="C290" s="26" t="s">
        <v>65</v>
      </c>
      <c r="D290" s="26" t="s">
        <v>84</v>
      </c>
      <c r="E290" s="26" t="s">
        <v>858</v>
      </c>
      <c r="F290" s="26" t="s">
        <v>116</v>
      </c>
      <c r="G290" s="27">
        <f>G291</f>
        <v>1757.63</v>
      </c>
      <c r="H290" s="27">
        <f t="shared" si="130"/>
        <v>1757.63</v>
      </c>
      <c r="I290" s="27">
        <f t="shared" si="130"/>
        <v>1757.63</v>
      </c>
      <c r="J290" s="27">
        <f>1757.63</f>
        <v>1757.63</v>
      </c>
      <c r="K290" s="16">
        <f t="shared" si="116"/>
        <v>0</v>
      </c>
      <c r="L290" s="27">
        <f>1757.63</f>
        <v>1757.63</v>
      </c>
      <c r="M290" s="16">
        <f t="shared" si="117"/>
        <v>0</v>
      </c>
      <c r="N290" s="27">
        <f>1757.63</f>
        <v>1757.63</v>
      </c>
      <c r="O290" s="16">
        <f t="shared" si="118"/>
        <v>0</v>
      </c>
    </row>
    <row r="291" spans="1:15" s="110" customFormat="1" ht="25.5">
      <c r="A291" s="12" t="s">
        <v>973</v>
      </c>
      <c r="B291" s="25" t="s">
        <v>29</v>
      </c>
      <c r="C291" s="26" t="s">
        <v>65</v>
      </c>
      <c r="D291" s="26" t="s">
        <v>84</v>
      </c>
      <c r="E291" s="26" t="s">
        <v>858</v>
      </c>
      <c r="F291" s="26" t="s">
        <v>1043</v>
      </c>
      <c r="G291" s="27">
        <f>1757.63</f>
        <v>1757.63</v>
      </c>
      <c r="H291" s="27">
        <f>1757.63</f>
        <v>1757.63</v>
      </c>
      <c r="I291" s="27">
        <f>1757.63</f>
        <v>1757.63</v>
      </c>
      <c r="J291" s="80"/>
      <c r="K291" s="16">
        <f t="shared" si="116"/>
        <v>-1757.63</v>
      </c>
      <c r="L291" s="80"/>
      <c r="M291" s="16">
        <f t="shared" si="117"/>
        <v>-1757.63</v>
      </c>
      <c r="N291" s="80"/>
      <c r="O291" s="16">
        <f t="shared" si="118"/>
        <v>-1757.63</v>
      </c>
    </row>
    <row r="292" spans="1:15" s="109" customFormat="1" ht="51">
      <c r="A292" s="76" t="s">
        <v>852</v>
      </c>
      <c r="B292" s="25" t="s">
        <v>29</v>
      </c>
      <c r="C292" s="26" t="s">
        <v>65</v>
      </c>
      <c r="D292" s="26" t="s">
        <v>84</v>
      </c>
      <c r="E292" s="26" t="s">
        <v>289</v>
      </c>
      <c r="F292" s="26" t="s">
        <v>58</v>
      </c>
      <c r="G292" s="27">
        <f t="shared" ref="G292:N294" si="131">G293</f>
        <v>380.8</v>
      </c>
      <c r="H292" s="27">
        <f t="shared" si="131"/>
        <v>342.72</v>
      </c>
      <c r="I292" s="27">
        <f t="shared" si="131"/>
        <v>342.72</v>
      </c>
      <c r="J292" s="27">
        <f t="shared" si="131"/>
        <v>380.8</v>
      </c>
      <c r="K292" s="16">
        <f t="shared" si="116"/>
        <v>0</v>
      </c>
      <c r="L292" s="27">
        <f t="shared" si="131"/>
        <v>342.72</v>
      </c>
      <c r="M292" s="16">
        <f t="shared" si="117"/>
        <v>0</v>
      </c>
      <c r="N292" s="27">
        <f t="shared" si="131"/>
        <v>342.72</v>
      </c>
      <c r="O292" s="16">
        <f t="shared" si="118"/>
        <v>0</v>
      </c>
    </row>
    <row r="293" spans="1:15" s="109" customFormat="1" ht="51">
      <c r="A293" s="11" t="s">
        <v>168</v>
      </c>
      <c r="B293" s="25" t="s">
        <v>29</v>
      </c>
      <c r="C293" s="26" t="s">
        <v>65</v>
      </c>
      <c r="D293" s="26" t="s">
        <v>84</v>
      </c>
      <c r="E293" s="26" t="s">
        <v>290</v>
      </c>
      <c r="F293" s="26" t="s">
        <v>58</v>
      </c>
      <c r="G293" s="27">
        <f t="shared" si="131"/>
        <v>380.8</v>
      </c>
      <c r="H293" s="27">
        <f t="shared" si="131"/>
        <v>342.72</v>
      </c>
      <c r="I293" s="27">
        <f t="shared" si="131"/>
        <v>342.72</v>
      </c>
      <c r="J293" s="27">
        <f t="shared" si="131"/>
        <v>380.8</v>
      </c>
      <c r="K293" s="16">
        <f t="shared" si="116"/>
        <v>0</v>
      </c>
      <c r="L293" s="27">
        <f t="shared" si="131"/>
        <v>342.72</v>
      </c>
      <c r="M293" s="16">
        <f t="shared" si="117"/>
        <v>0</v>
      </c>
      <c r="N293" s="27">
        <f t="shared" si="131"/>
        <v>342.72</v>
      </c>
      <c r="O293" s="16">
        <f t="shared" si="118"/>
        <v>0</v>
      </c>
    </row>
    <row r="294" spans="1:15" s="109" customFormat="1" ht="25.5">
      <c r="A294" s="11" t="s">
        <v>108</v>
      </c>
      <c r="B294" s="25" t="s">
        <v>29</v>
      </c>
      <c r="C294" s="26" t="s">
        <v>65</v>
      </c>
      <c r="D294" s="26" t="s">
        <v>84</v>
      </c>
      <c r="E294" s="26" t="s">
        <v>290</v>
      </c>
      <c r="F294" s="26" t="s">
        <v>116</v>
      </c>
      <c r="G294" s="27">
        <f>G295</f>
        <v>380.8</v>
      </c>
      <c r="H294" s="27">
        <f t="shared" si="131"/>
        <v>342.72</v>
      </c>
      <c r="I294" s="27">
        <f t="shared" si="131"/>
        <v>342.72</v>
      </c>
      <c r="J294" s="27">
        <f>380.8</f>
        <v>380.8</v>
      </c>
      <c r="K294" s="16">
        <f t="shared" si="116"/>
        <v>0</v>
      </c>
      <c r="L294" s="27">
        <f>342.72</f>
        <v>342.72</v>
      </c>
      <c r="M294" s="16">
        <f t="shared" si="117"/>
        <v>0</v>
      </c>
      <c r="N294" s="27">
        <f>342.72</f>
        <v>342.72</v>
      </c>
      <c r="O294" s="16">
        <f t="shared" si="118"/>
        <v>0</v>
      </c>
    </row>
    <row r="295" spans="1:15" s="110" customFormat="1" ht="25.5">
      <c r="A295" s="12" t="s">
        <v>973</v>
      </c>
      <c r="B295" s="25" t="s">
        <v>29</v>
      </c>
      <c r="C295" s="26" t="s">
        <v>65</v>
      </c>
      <c r="D295" s="26" t="s">
        <v>84</v>
      </c>
      <c r="E295" s="26" t="s">
        <v>290</v>
      </c>
      <c r="F295" s="26" t="s">
        <v>1043</v>
      </c>
      <c r="G295" s="27">
        <f>380.8</f>
        <v>380.8</v>
      </c>
      <c r="H295" s="27">
        <f>342.72</f>
        <v>342.72</v>
      </c>
      <c r="I295" s="27">
        <f>342.72</f>
        <v>342.72</v>
      </c>
      <c r="J295" s="80"/>
      <c r="K295" s="16">
        <f t="shared" si="116"/>
        <v>-380.8</v>
      </c>
      <c r="L295" s="80"/>
      <c r="M295" s="16">
        <f t="shared" si="117"/>
        <v>-342.72</v>
      </c>
      <c r="N295" s="80"/>
      <c r="O295" s="16">
        <f t="shared" si="118"/>
        <v>-342.72</v>
      </c>
    </row>
    <row r="296" spans="1:15" s="109" customFormat="1" ht="38.25">
      <c r="A296" s="34" t="s">
        <v>751</v>
      </c>
      <c r="B296" s="25" t="s">
        <v>29</v>
      </c>
      <c r="C296" s="26" t="s">
        <v>65</v>
      </c>
      <c r="D296" s="26" t="s">
        <v>84</v>
      </c>
      <c r="E296" s="26" t="s">
        <v>229</v>
      </c>
      <c r="F296" s="26" t="s">
        <v>58</v>
      </c>
      <c r="G296" s="27">
        <f t="shared" ref="G296:N300" si="132">G297</f>
        <v>478</v>
      </c>
      <c r="H296" s="27">
        <f t="shared" si="132"/>
        <v>478</v>
      </c>
      <c r="I296" s="27">
        <f t="shared" si="132"/>
        <v>478</v>
      </c>
      <c r="J296" s="27">
        <f t="shared" si="132"/>
        <v>478</v>
      </c>
      <c r="K296" s="16">
        <f t="shared" si="116"/>
        <v>0</v>
      </c>
      <c r="L296" s="27">
        <f t="shared" si="132"/>
        <v>478</v>
      </c>
      <c r="M296" s="16">
        <f t="shared" si="117"/>
        <v>0</v>
      </c>
      <c r="N296" s="27">
        <f t="shared" si="132"/>
        <v>478</v>
      </c>
      <c r="O296" s="16">
        <f t="shared" si="118"/>
        <v>0</v>
      </c>
    </row>
    <row r="297" spans="1:15" s="109" customFormat="1" ht="25.5">
      <c r="A297" s="34" t="s">
        <v>119</v>
      </c>
      <c r="B297" s="25" t="s">
        <v>29</v>
      </c>
      <c r="C297" s="26" t="s">
        <v>65</v>
      </c>
      <c r="D297" s="26" t="s">
        <v>84</v>
      </c>
      <c r="E297" s="26" t="s">
        <v>230</v>
      </c>
      <c r="F297" s="26" t="s">
        <v>58</v>
      </c>
      <c r="G297" s="27">
        <f t="shared" si="132"/>
        <v>478</v>
      </c>
      <c r="H297" s="27">
        <f t="shared" si="132"/>
        <v>478</v>
      </c>
      <c r="I297" s="27">
        <f t="shared" si="132"/>
        <v>478</v>
      </c>
      <c r="J297" s="27">
        <f t="shared" si="132"/>
        <v>478</v>
      </c>
      <c r="K297" s="16">
        <f t="shared" si="116"/>
        <v>0</v>
      </c>
      <c r="L297" s="27">
        <f t="shared" si="132"/>
        <v>478</v>
      </c>
      <c r="M297" s="16">
        <f t="shared" si="117"/>
        <v>0</v>
      </c>
      <c r="N297" s="27">
        <f t="shared" si="132"/>
        <v>478</v>
      </c>
      <c r="O297" s="16">
        <f t="shared" si="118"/>
        <v>0</v>
      </c>
    </row>
    <row r="298" spans="1:15" s="109" customFormat="1" ht="38.25">
      <c r="A298" s="34" t="s">
        <v>234</v>
      </c>
      <c r="B298" s="25" t="s">
        <v>29</v>
      </c>
      <c r="C298" s="26" t="s">
        <v>65</v>
      </c>
      <c r="D298" s="26" t="s">
        <v>84</v>
      </c>
      <c r="E298" s="26" t="s">
        <v>235</v>
      </c>
      <c r="F298" s="26" t="s">
        <v>58</v>
      </c>
      <c r="G298" s="27">
        <f t="shared" si="132"/>
        <v>478</v>
      </c>
      <c r="H298" s="27">
        <f t="shared" si="132"/>
        <v>478</v>
      </c>
      <c r="I298" s="27">
        <f t="shared" si="132"/>
        <v>478</v>
      </c>
      <c r="J298" s="27">
        <f t="shared" si="132"/>
        <v>478</v>
      </c>
      <c r="K298" s="16">
        <f t="shared" si="116"/>
        <v>0</v>
      </c>
      <c r="L298" s="27">
        <f t="shared" si="132"/>
        <v>478</v>
      </c>
      <c r="M298" s="16">
        <f t="shared" si="117"/>
        <v>0</v>
      </c>
      <c r="N298" s="27">
        <f t="shared" si="132"/>
        <v>478</v>
      </c>
      <c r="O298" s="16">
        <f t="shared" si="118"/>
        <v>0</v>
      </c>
    </row>
    <row r="299" spans="1:15" s="109" customFormat="1" ht="25.5">
      <c r="A299" s="34" t="s">
        <v>170</v>
      </c>
      <c r="B299" s="25" t="s">
        <v>29</v>
      </c>
      <c r="C299" s="26" t="s">
        <v>65</v>
      </c>
      <c r="D299" s="26" t="s">
        <v>84</v>
      </c>
      <c r="E299" s="26" t="s">
        <v>236</v>
      </c>
      <c r="F299" s="26" t="s">
        <v>58</v>
      </c>
      <c r="G299" s="27">
        <f t="shared" si="132"/>
        <v>478</v>
      </c>
      <c r="H299" s="27">
        <f t="shared" si="132"/>
        <v>478</v>
      </c>
      <c r="I299" s="27">
        <f t="shared" si="132"/>
        <v>478</v>
      </c>
      <c r="J299" s="27">
        <f t="shared" si="132"/>
        <v>478</v>
      </c>
      <c r="K299" s="16">
        <f t="shared" si="116"/>
        <v>0</v>
      </c>
      <c r="L299" s="27">
        <f t="shared" si="132"/>
        <v>478</v>
      </c>
      <c r="M299" s="16">
        <f t="shared" si="117"/>
        <v>0</v>
      </c>
      <c r="N299" s="27">
        <f t="shared" si="132"/>
        <v>478</v>
      </c>
      <c r="O299" s="16">
        <f t="shared" si="118"/>
        <v>0</v>
      </c>
    </row>
    <row r="300" spans="1:15" s="109" customFormat="1" ht="25.5">
      <c r="A300" s="11" t="s">
        <v>108</v>
      </c>
      <c r="B300" s="25" t="s">
        <v>29</v>
      </c>
      <c r="C300" s="26" t="s">
        <v>65</v>
      </c>
      <c r="D300" s="26" t="s">
        <v>84</v>
      </c>
      <c r="E300" s="26" t="s">
        <v>236</v>
      </c>
      <c r="F300" s="26" t="s">
        <v>116</v>
      </c>
      <c r="G300" s="27">
        <f>G301</f>
        <v>478</v>
      </c>
      <c r="H300" s="27">
        <f t="shared" si="132"/>
        <v>478</v>
      </c>
      <c r="I300" s="27">
        <f t="shared" si="132"/>
        <v>478</v>
      </c>
      <c r="J300" s="27">
        <f>478</f>
        <v>478</v>
      </c>
      <c r="K300" s="16">
        <f t="shared" si="116"/>
        <v>0</v>
      </c>
      <c r="L300" s="27">
        <f>478</f>
        <v>478</v>
      </c>
      <c r="M300" s="16">
        <f t="shared" si="117"/>
        <v>0</v>
      </c>
      <c r="N300" s="27">
        <f>478</f>
        <v>478</v>
      </c>
      <c r="O300" s="16">
        <f t="shared" si="118"/>
        <v>0</v>
      </c>
    </row>
    <row r="301" spans="1:15" s="110" customFormat="1" ht="25.5">
      <c r="A301" s="12" t="s">
        <v>973</v>
      </c>
      <c r="B301" s="25" t="s">
        <v>29</v>
      </c>
      <c r="C301" s="26" t="s">
        <v>65</v>
      </c>
      <c r="D301" s="26" t="s">
        <v>84</v>
      </c>
      <c r="E301" s="26" t="s">
        <v>236</v>
      </c>
      <c r="F301" s="26" t="s">
        <v>1043</v>
      </c>
      <c r="G301" s="27">
        <f>478</f>
        <v>478</v>
      </c>
      <c r="H301" s="27">
        <f>478</f>
        <v>478</v>
      </c>
      <c r="I301" s="27">
        <f>478</f>
        <v>478</v>
      </c>
      <c r="J301" s="80"/>
      <c r="K301" s="16">
        <f t="shared" si="116"/>
        <v>-478</v>
      </c>
      <c r="L301" s="80"/>
      <c r="M301" s="16">
        <f t="shared" si="117"/>
        <v>-478</v>
      </c>
      <c r="N301" s="80"/>
      <c r="O301" s="16">
        <f t="shared" si="118"/>
        <v>-478</v>
      </c>
    </row>
    <row r="302" spans="1:15" s="3" customFormat="1" ht="38.25">
      <c r="A302" s="12" t="s">
        <v>752</v>
      </c>
      <c r="B302" s="25" t="s">
        <v>29</v>
      </c>
      <c r="C302" s="35" t="s">
        <v>65</v>
      </c>
      <c r="D302" s="35">
        <v>13</v>
      </c>
      <c r="E302" s="35" t="s">
        <v>249</v>
      </c>
      <c r="F302" s="35" t="s">
        <v>58</v>
      </c>
      <c r="G302" s="38">
        <f>G303</f>
        <v>3000</v>
      </c>
      <c r="H302" s="38">
        <f t="shared" ref="H302:N302" si="133">H303</f>
        <v>0</v>
      </c>
      <c r="I302" s="38">
        <f t="shared" si="133"/>
        <v>0</v>
      </c>
      <c r="J302" s="38">
        <f>J303</f>
        <v>3000</v>
      </c>
      <c r="K302" s="16">
        <f t="shared" si="116"/>
        <v>0</v>
      </c>
      <c r="L302" s="38">
        <f t="shared" si="133"/>
        <v>0</v>
      </c>
      <c r="M302" s="16">
        <f t="shared" si="117"/>
        <v>0</v>
      </c>
      <c r="N302" s="38">
        <f t="shared" si="133"/>
        <v>0</v>
      </c>
      <c r="O302" s="16">
        <f t="shared" si="118"/>
        <v>0</v>
      </c>
    </row>
    <row r="303" spans="1:15" s="3" customFormat="1">
      <c r="A303" s="11" t="s">
        <v>753</v>
      </c>
      <c r="B303" s="25" t="s">
        <v>29</v>
      </c>
      <c r="C303" s="35" t="s">
        <v>65</v>
      </c>
      <c r="D303" s="35">
        <v>13</v>
      </c>
      <c r="E303" s="35" t="s">
        <v>250</v>
      </c>
      <c r="F303" s="35" t="s">
        <v>58</v>
      </c>
      <c r="G303" s="38">
        <f>G304</f>
        <v>3000</v>
      </c>
      <c r="H303" s="38">
        <f t="shared" ref="H303:N303" si="134">H304</f>
        <v>0</v>
      </c>
      <c r="I303" s="38">
        <f t="shared" si="134"/>
        <v>0</v>
      </c>
      <c r="J303" s="38">
        <f>J304</f>
        <v>3000</v>
      </c>
      <c r="K303" s="16">
        <f t="shared" si="116"/>
        <v>0</v>
      </c>
      <c r="L303" s="38">
        <f t="shared" si="134"/>
        <v>0</v>
      </c>
      <c r="M303" s="16">
        <f t="shared" si="117"/>
        <v>0</v>
      </c>
      <c r="N303" s="38">
        <f t="shared" si="134"/>
        <v>0</v>
      </c>
      <c r="O303" s="16">
        <f t="shared" si="118"/>
        <v>0</v>
      </c>
    </row>
    <row r="304" spans="1:15" s="3" customFormat="1" ht="25.5">
      <c r="A304" s="31" t="s">
        <v>618</v>
      </c>
      <c r="B304" s="25" t="s">
        <v>29</v>
      </c>
      <c r="C304" s="35" t="s">
        <v>65</v>
      </c>
      <c r="D304" s="35">
        <v>13</v>
      </c>
      <c r="E304" s="35" t="s">
        <v>540</v>
      </c>
      <c r="F304" s="35" t="s">
        <v>58</v>
      </c>
      <c r="G304" s="38">
        <f t="shared" ref="G304:N306" si="135">G305</f>
        <v>3000</v>
      </c>
      <c r="H304" s="38">
        <f t="shared" si="135"/>
        <v>0</v>
      </c>
      <c r="I304" s="38">
        <f t="shared" si="135"/>
        <v>0</v>
      </c>
      <c r="J304" s="38">
        <f t="shared" si="135"/>
        <v>3000</v>
      </c>
      <c r="K304" s="16">
        <f t="shared" si="116"/>
        <v>0</v>
      </c>
      <c r="L304" s="38">
        <f t="shared" si="135"/>
        <v>0</v>
      </c>
      <c r="M304" s="16">
        <f t="shared" si="117"/>
        <v>0</v>
      </c>
      <c r="N304" s="38">
        <f t="shared" si="135"/>
        <v>0</v>
      </c>
      <c r="O304" s="16">
        <f t="shared" si="118"/>
        <v>0</v>
      </c>
    </row>
    <row r="305" spans="1:15" s="3" customFormat="1" ht="25.5">
      <c r="A305" s="31" t="s">
        <v>122</v>
      </c>
      <c r="B305" s="25" t="s">
        <v>29</v>
      </c>
      <c r="C305" s="35" t="s">
        <v>65</v>
      </c>
      <c r="D305" s="35">
        <v>13</v>
      </c>
      <c r="E305" s="35" t="s">
        <v>571</v>
      </c>
      <c r="F305" s="35" t="s">
        <v>58</v>
      </c>
      <c r="G305" s="38">
        <f t="shared" si="135"/>
        <v>3000</v>
      </c>
      <c r="H305" s="38">
        <f t="shared" si="135"/>
        <v>0</v>
      </c>
      <c r="I305" s="38">
        <f t="shared" si="135"/>
        <v>0</v>
      </c>
      <c r="J305" s="38">
        <f t="shared" si="135"/>
        <v>3000</v>
      </c>
      <c r="K305" s="16">
        <f t="shared" si="116"/>
        <v>0</v>
      </c>
      <c r="L305" s="38">
        <f t="shared" si="135"/>
        <v>0</v>
      </c>
      <c r="M305" s="16">
        <f t="shared" si="117"/>
        <v>0</v>
      </c>
      <c r="N305" s="38">
        <f t="shared" si="135"/>
        <v>0</v>
      </c>
      <c r="O305" s="16">
        <f t="shared" si="118"/>
        <v>0</v>
      </c>
    </row>
    <row r="306" spans="1:15" s="3" customFormat="1" ht="25.5">
      <c r="A306" s="31" t="s">
        <v>108</v>
      </c>
      <c r="B306" s="25" t="s">
        <v>29</v>
      </c>
      <c r="C306" s="35" t="s">
        <v>65</v>
      </c>
      <c r="D306" s="35">
        <v>13</v>
      </c>
      <c r="E306" s="35" t="s">
        <v>571</v>
      </c>
      <c r="F306" s="35" t="s">
        <v>116</v>
      </c>
      <c r="G306" s="27">
        <f>G307</f>
        <v>3000</v>
      </c>
      <c r="H306" s="27">
        <f t="shared" si="135"/>
        <v>0</v>
      </c>
      <c r="I306" s="27">
        <f t="shared" si="135"/>
        <v>0</v>
      </c>
      <c r="J306" s="27">
        <f>3000</f>
        <v>3000</v>
      </c>
      <c r="K306" s="16">
        <f t="shared" si="116"/>
        <v>0</v>
      </c>
      <c r="L306" s="27">
        <v>0</v>
      </c>
      <c r="M306" s="16">
        <f t="shared" si="117"/>
        <v>0</v>
      </c>
      <c r="N306" s="27">
        <v>0</v>
      </c>
      <c r="O306" s="16">
        <f t="shared" si="118"/>
        <v>0</v>
      </c>
    </row>
    <row r="307" spans="1:15" s="4" customFormat="1" ht="25.5">
      <c r="A307" s="12" t="s">
        <v>973</v>
      </c>
      <c r="B307" s="25" t="s">
        <v>29</v>
      </c>
      <c r="C307" s="35" t="s">
        <v>65</v>
      </c>
      <c r="D307" s="35">
        <v>13</v>
      </c>
      <c r="E307" s="35" t="s">
        <v>571</v>
      </c>
      <c r="F307" s="35" t="s">
        <v>1043</v>
      </c>
      <c r="G307" s="27">
        <f>3000</f>
        <v>3000</v>
      </c>
      <c r="H307" s="27">
        <v>0</v>
      </c>
      <c r="I307" s="27">
        <v>0</v>
      </c>
      <c r="J307" s="80"/>
      <c r="K307" s="16">
        <f t="shared" si="116"/>
        <v>-3000</v>
      </c>
      <c r="L307" s="80"/>
      <c r="M307" s="16">
        <f t="shared" si="117"/>
        <v>0</v>
      </c>
      <c r="N307" s="80"/>
      <c r="O307" s="16">
        <f t="shared" si="118"/>
        <v>0</v>
      </c>
    </row>
    <row r="308" spans="1:15" s="109" customFormat="1" ht="25.5">
      <c r="A308" s="11" t="s">
        <v>291</v>
      </c>
      <c r="B308" s="25" t="s">
        <v>29</v>
      </c>
      <c r="C308" s="26" t="s">
        <v>65</v>
      </c>
      <c r="D308" s="26" t="s">
        <v>84</v>
      </c>
      <c r="E308" s="26" t="s">
        <v>292</v>
      </c>
      <c r="F308" s="26" t="s">
        <v>58</v>
      </c>
      <c r="G308" s="27">
        <f>G309</f>
        <v>60888.68</v>
      </c>
      <c r="H308" s="27">
        <f t="shared" ref="H308:N308" si="136">H309</f>
        <v>60927.41</v>
      </c>
      <c r="I308" s="27">
        <f t="shared" si="136"/>
        <v>60927.41</v>
      </c>
      <c r="J308" s="27">
        <f>J309</f>
        <v>60888.68</v>
      </c>
      <c r="K308" s="16">
        <f t="shared" si="116"/>
        <v>0</v>
      </c>
      <c r="L308" s="27">
        <f t="shared" si="136"/>
        <v>60927.41</v>
      </c>
      <c r="M308" s="16">
        <f t="shared" si="117"/>
        <v>0</v>
      </c>
      <c r="N308" s="27">
        <f t="shared" si="136"/>
        <v>60927.41</v>
      </c>
      <c r="O308" s="16">
        <f t="shared" si="118"/>
        <v>0</v>
      </c>
    </row>
    <row r="309" spans="1:15" s="109" customFormat="1" ht="38.25">
      <c r="A309" s="11" t="s">
        <v>581</v>
      </c>
      <c r="B309" s="25" t="s">
        <v>29</v>
      </c>
      <c r="C309" s="26" t="s">
        <v>65</v>
      </c>
      <c r="D309" s="26" t="s">
        <v>84</v>
      </c>
      <c r="E309" s="26" t="s">
        <v>293</v>
      </c>
      <c r="F309" s="26" t="s">
        <v>58</v>
      </c>
      <c r="G309" s="27">
        <f>G319+G310</f>
        <v>60888.68</v>
      </c>
      <c r="H309" s="27">
        <f t="shared" ref="H309:I309" si="137">H319+H310</f>
        <v>60927.41</v>
      </c>
      <c r="I309" s="27">
        <f t="shared" si="137"/>
        <v>60927.41</v>
      </c>
      <c r="J309" s="27">
        <f>J319+J310</f>
        <v>60888.68</v>
      </c>
      <c r="K309" s="16">
        <f t="shared" si="116"/>
        <v>0</v>
      </c>
      <c r="L309" s="27">
        <f t="shared" ref="L309:N309" si="138">L319+L310</f>
        <v>60927.41</v>
      </c>
      <c r="M309" s="16">
        <f t="shared" si="117"/>
        <v>0</v>
      </c>
      <c r="N309" s="27">
        <f t="shared" si="138"/>
        <v>60927.41</v>
      </c>
      <c r="O309" s="16">
        <f t="shared" si="118"/>
        <v>0</v>
      </c>
    </row>
    <row r="310" spans="1:15" s="109" customFormat="1" ht="25.5">
      <c r="A310" s="11" t="s">
        <v>114</v>
      </c>
      <c r="B310" s="25" t="s">
        <v>29</v>
      </c>
      <c r="C310" s="26" t="s">
        <v>65</v>
      </c>
      <c r="D310" s="26" t="s">
        <v>84</v>
      </c>
      <c r="E310" s="26" t="s">
        <v>294</v>
      </c>
      <c r="F310" s="26" t="s">
        <v>58</v>
      </c>
      <c r="G310" s="27">
        <f>G311+G314+G316</f>
        <v>10065.11</v>
      </c>
      <c r="H310" s="27">
        <f t="shared" ref="H310:I310" si="139">H311+H314+H316</f>
        <v>10103.84</v>
      </c>
      <c r="I310" s="27">
        <f t="shared" si="139"/>
        <v>10103.84</v>
      </c>
      <c r="J310" s="27">
        <f>SUM(J311:J316)</f>
        <v>10065.11</v>
      </c>
      <c r="K310" s="16">
        <f t="shared" si="116"/>
        <v>0</v>
      </c>
      <c r="L310" s="27">
        <f>SUM(L311:L316)</f>
        <v>10103.84</v>
      </c>
      <c r="M310" s="16">
        <f t="shared" si="117"/>
        <v>0</v>
      </c>
      <c r="N310" s="27">
        <f>SUM(N311:N316)</f>
        <v>10103.84</v>
      </c>
      <c r="O310" s="16">
        <f t="shared" si="118"/>
        <v>0</v>
      </c>
    </row>
    <row r="311" spans="1:15" s="109" customFormat="1" ht="25.5">
      <c r="A311" s="12" t="s">
        <v>107</v>
      </c>
      <c r="B311" s="25" t="s">
        <v>29</v>
      </c>
      <c r="C311" s="26" t="s">
        <v>65</v>
      </c>
      <c r="D311" s="26" t="s">
        <v>84</v>
      </c>
      <c r="E311" s="26" t="s">
        <v>294</v>
      </c>
      <c r="F311" s="26" t="s">
        <v>115</v>
      </c>
      <c r="G311" s="27">
        <f>SUM(G312:G313)</f>
        <v>1328.03</v>
      </c>
      <c r="H311" s="27">
        <f t="shared" ref="H311:I311" si="140">SUM(H312:H313)</f>
        <v>1328.03</v>
      </c>
      <c r="I311" s="27">
        <f t="shared" si="140"/>
        <v>1328.03</v>
      </c>
      <c r="J311" s="27">
        <f>1328.03</f>
        <v>1328.03</v>
      </c>
      <c r="K311" s="16">
        <f t="shared" si="116"/>
        <v>0</v>
      </c>
      <c r="L311" s="27">
        <f t="shared" ref="L311:N311" si="141">1328.03</f>
        <v>1328.03</v>
      </c>
      <c r="M311" s="16">
        <f t="shared" si="117"/>
        <v>0</v>
      </c>
      <c r="N311" s="27">
        <f t="shared" si="141"/>
        <v>1328.03</v>
      </c>
      <c r="O311" s="16">
        <f t="shared" si="118"/>
        <v>0</v>
      </c>
    </row>
    <row r="312" spans="1:15" s="110" customFormat="1" ht="25.5">
      <c r="A312" s="12" t="s">
        <v>937</v>
      </c>
      <c r="B312" s="25" t="s">
        <v>29</v>
      </c>
      <c r="C312" s="26" t="s">
        <v>65</v>
      </c>
      <c r="D312" s="26" t="s">
        <v>84</v>
      </c>
      <c r="E312" s="26" t="s">
        <v>294</v>
      </c>
      <c r="F312" s="26" t="s">
        <v>1059</v>
      </c>
      <c r="G312" s="27">
        <v>1033.1199999999999</v>
      </c>
      <c r="H312" s="27">
        <v>1033.1199999999999</v>
      </c>
      <c r="I312" s="27">
        <v>1033.1199999999999</v>
      </c>
      <c r="J312" s="80"/>
      <c r="K312" s="16">
        <f t="shared" si="116"/>
        <v>-1033.1199999999999</v>
      </c>
      <c r="L312" s="80"/>
      <c r="M312" s="16">
        <f t="shared" si="117"/>
        <v>-1033.1199999999999</v>
      </c>
      <c r="N312" s="80"/>
      <c r="O312" s="16">
        <f t="shared" si="118"/>
        <v>-1033.1199999999999</v>
      </c>
    </row>
    <row r="313" spans="1:15" s="110" customFormat="1" ht="38.25">
      <c r="A313" s="12" t="s">
        <v>939</v>
      </c>
      <c r="B313" s="25" t="s">
        <v>29</v>
      </c>
      <c r="C313" s="26" t="s">
        <v>65</v>
      </c>
      <c r="D313" s="26" t="s">
        <v>84</v>
      </c>
      <c r="E313" s="26" t="s">
        <v>294</v>
      </c>
      <c r="F313" s="26" t="s">
        <v>1060</v>
      </c>
      <c r="G313" s="27">
        <v>294.91000000000003</v>
      </c>
      <c r="H313" s="27">
        <v>294.91000000000003</v>
      </c>
      <c r="I313" s="27">
        <v>294.91000000000003</v>
      </c>
      <c r="J313" s="80"/>
      <c r="K313" s="16">
        <f t="shared" si="116"/>
        <v>-294.91000000000003</v>
      </c>
      <c r="L313" s="80"/>
      <c r="M313" s="16">
        <f t="shared" si="117"/>
        <v>-294.91000000000003</v>
      </c>
      <c r="N313" s="80"/>
      <c r="O313" s="16">
        <f t="shared" si="118"/>
        <v>-294.91000000000003</v>
      </c>
    </row>
    <row r="314" spans="1:15" s="109" customFormat="1" ht="25.5">
      <c r="A314" s="11" t="s">
        <v>108</v>
      </c>
      <c r="B314" s="25" t="s">
        <v>29</v>
      </c>
      <c r="C314" s="26" t="s">
        <v>65</v>
      </c>
      <c r="D314" s="26" t="s">
        <v>84</v>
      </c>
      <c r="E314" s="26" t="s">
        <v>294</v>
      </c>
      <c r="F314" s="26" t="s">
        <v>116</v>
      </c>
      <c r="G314" s="27">
        <f>G315</f>
        <v>8589.41</v>
      </c>
      <c r="H314" s="27">
        <f t="shared" ref="H314:I314" si="142">H315</f>
        <v>8628.14</v>
      </c>
      <c r="I314" s="27">
        <f t="shared" si="142"/>
        <v>8628.14</v>
      </c>
      <c r="J314" s="27">
        <f>8589.41</f>
        <v>8589.41</v>
      </c>
      <c r="K314" s="16">
        <f t="shared" si="116"/>
        <v>0</v>
      </c>
      <c r="L314" s="27">
        <f>8628.14</f>
        <v>8628.14</v>
      </c>
      <c r="M314" s="16">
        <f t="shared" si="117"/>
        <v>0</v>
      </c>
      <c r="N314" s="27">
        <f>8628.14</f>
        <v>8628.14</v>
      </c>
      <c r="O314" s="16">
        <f t="shared" si="118"/>
        <v>0</v>
      </c>
    </row>
    <row r="315" spans="1:15" s="110" customFormat="1" ht="25.5">
      <c r="A315" s="12" t="s">
        <v>973</v>
      </c>
      <c r="B315" s="25" t="s">
        <v>29</v>
      </c>
      <c r="C315" s="26" t="s">
        <v>65</v>
      </c>
      <c r="D315" s="26" t="s">
        <v>84</v>
      </c>
      <c r="E315" s="26" t="s">
        <v>294</v>
      </c>
      <c r="F315" s="26" t="s">
        <v>1043</v>
      </c>
      <c r="G315" s="27">
        <f>8589.41</f>
        <v>8589.41</v>
      </c>
      <c r="H315" s="27">
        <f>8628.14</f>
        <v>8628.14</v>
      </c>
      <c r="I315" s="27">
        <f>8628.14</f>
        <v>8628.14</v>
      </c>
      <c r="J315" s="80"/>
      <c r="K315" s="16">
        <f t="shared" si="116"/>
        <v>-8589.41</v>
      </c>
      <c r="L315" s="80"/>
      <c r="M315" s="16">
        <f t="shared" si="117"/>
        <v>-8628.14</v>
      </c>
      <c r="N315" s="80"/>
      <c r="O315" s="16">
        <f t="shared" si="118"/>
        <v>-8628.14</v>
      </c>
    </row>
    <row r="316" spans="1:15" s="109" customFormat="1" ht="12.75">
      <c r="A316" s="11" t="s">
        <v>97</v>
      </c>
      <c r="B316" s="25" t="s">
        <v>29</v>
      </c>
      <c r="C316" s="26" t="s">
        <v>65</v>
      </c>
      <c r="D316" s="26" t="s">
        <v>84</v>
      </c>
      <c r="E316" s="26" t="s">
        <v>294</v>
      </c>
      <c r="F316" s="26" t="s">
        <v>118</v>
      </c>
      <c r="G316" s="27">
        <f>SUM(G317:G318)</f>
        <v>147.66999999999999</v>
      </c>
      <c r="H316" s="27">
        <f t="shared" ref="H316:I316" si="143">SUM(H317:H318)</f>
        <v>147.66999999999999</v>
      </c>
      <c r="I316" s="27">
        <f t="shared" si="143"/>
        <v>147.66999999999999</v>
      </c>
      <c r="J316" s="27">
        <f>147.67</f>
        <v>147.66999999999999</v>
      </c>
      <c r="K316" s="16">
        <f t="shared" si="116"/>
        <v>0</v>
      </c>
      <c r="L316" s="27">
        <f t="shared" ref="L316:N316" si="144">147.67</f>
        <v>147.66999999999999</v>
      </c>
      <c r="M316" s="16">
        <f t="shared" si="117"/>
        <v>0</v>
      </c>
      <c r="N316" s="27">
        <f t="shared" si="144"/>
        <v>147.66999999999999</v>
      </c>
      <c r="O316" s="16">
        <f t="shared" si="118"/>
        <v>0</v>
      </c>
    </row>
    <row r="317" spans="1:15" s="100" customFormat="1" ht="12.75">
      <c r="A317" s="12" t="s">
        <v>1036</v>
      </c>
      <c r="B317" s="25" t="s">
        <v>29</v>
      </c>
      <c r="C317" s="26" t="s">
        <v>65</v>
      </c>
      <c r="D317" s="26" t="s">
        <v>84</v>
      </c>
      <c r="E317" s="26" t="s">
        <v>294</v>
      </c>
      <c r="F317" s="26" t="s">
        <v>1061</v>
      </c>
      <c r="G317" s="27">
        <v>86.55</v>
      </c>
      <c r="H317" s="27">
        <v>86.55</v>
      </c>
      <c r="I317" s="27">
        <v>86.55</v>
      </c>
      <c r="J317" s="81"/>
      <c r="K317" s="91">
        <f t="shared" si="116"/>
        <v>-86.55</v>
      </c>
      <c r="L317" s="81"/>
      <c r="M317" s="91">
        <f t="shared" si="117"/>
        <v>-86.55</v>
      </c>
      <c r="N317" s="81"/>
      <c r="O317" s="91">
        <f t="shared" si="118"/>
        <v>-86.55</v>
      </c>
    </row>
    <row r="318" spans="1:15" s="100" customFormat="1" ht="12.75">
      <c r="A318" s="12" t="s">
        <v>1037</v>
      </c>
      <c r="B318" s="25" t="s">
        <v>29</v>
      </c>
      <c r="C318" s="26" t="s">
        <v>65</v>
      </c>
      <c r="D318" s="26" t="s">
        <v>84</v>
      </c>
      <c r="E318" s="26" t="s">
        <v>294</v>
      </c>
      <c r="F318" s="26" t="s">
        <v>1062</v>
      </c>
      <c r="G318" s="27">
        <v>61.12</v>
      </c>
      <c r="H318" s="27">
        <v>61.12</v>
      </c>
      <c r="I318" s="27">
        <v>61.12</v>
      </c>
      <c r="J318" s="81"/>
      <c r="K318" s="91">
        <f t="shared" si="116"/>
        <v>-61.12</v>
      </c>
      <c r="L318" s="81"/>
      <c r="M318" s="91">
        <f t="shared" si="117"/>
        <v>-61.12</v>
      </c>
      <c r="N318" s="81"/>
      <c r="O318" s="91">
        <f t="shared" si="118"/>
        <v>-61.12</v>
      </c>
    </row>
    <row r="319" spans="1:15" s="109" customFormat="1" ht="25.5">
      <c r="A319" s="11" t="s">
        <v>126</v>
      </c>
      <c r="B319" s="25" t="s">
        <v>29</v>
      </c>
      <c r="C319" s="26" t="s">
        <v>65</v>
      </c>
      <c r="D319" s="26" t="s">
        <v>84</v>
      </c>
      <c r="E319" s="26" t="s">
        <v>295</v>
      </c>
      <c r="F319" s="26" t="s">
        <v>58</v>
      </c>
      <c r="G319" s="27">
        <f>SUM(G320:G320)</f>
        <v>50823.57</v>
      </c>
      <c r="H319" s="27">
        <f>SUM(H320:H320)</f>
        <v>50823.57</v>
      </c>
      <c r="I319" s="27">
        <f>SUM(I320:I320)</f>
        <v>50823.57</v>
      </c>
      <c r="J319" s="27">
        <f>SUM(J320:J320)</f>
        <v>50823.57</v>
      </c>
      <c r="K319" s="16">
        <f t="shared" si="116"/>
        <v>0</v>
      </c>
      <c r="L319" s="27">
        <f>SUM(L320:L320)</f>
        <v>50823.57</v>
      </c>
      <c r="M319" s="16">
        <f t="shared" si="117"/>
        <v>0</v>
      </c>
      <c r="N319" s="27">
        <f>SUM(N320:N320)</f>
        <v>50823.57</v>
      </c>
      <c r="O319" s="16">
        <f t="shared" si="118"/>
        <v>0</v>
      </c>
    </row>
    <row r="320" spans="1:15" s="109" customFormat="1" ht="25.5">
      <c r="A320" s="11" t="s">
        <v>107</v>
      </c>
      <c r="B320" s="25" t="s">
        <v>29</v>
      </c>
      <c r="C320" s="26" t="s">
        <v>65</v>
      </c>
      <c r="D320" s="26" t="s">
        <v>84</v>
      </c>
      <c r="E320" s="26" t="s">
        <v>295</v>
      </c>
      <c r="F320" s="26" t="s">
        <v>115</v>
      </c>
      <c r="G320" s="27">
        <f>SUM(G321:G322)</f>
        <v>50823.57</v>
      </c>
      <c r="H320" s="27">
        <f t="shared" ref="H320:I320" si="145">SUM(H321:H322)</f>
        <v>50823.57</v>
      </c>
      <c r="I320" s="27">
        <f t="shared" si="145"/>
        <v>50823.57</v>
      </c>
      <c r="J320" s="27">
        <f>50823.57</f>
        <v>50823.57</v>
      </c>
      <c r="K320" s="16">
        <f t="shared" si="116"/>
        <v>0</v>
      </c>
      <c r="L320" s="27">
        <f t="shared" ref="L320:N320" si="146">50823.57</f>
        <v>50823.57</v>
      </c>
      <c r="M320" s="16">
        <f t="shared" si="117"/>
        <v>0</v>
      </c>
      <c r="N320" s="27">
        <f t="shared" si="146"/>
        <v>50823.57</v>
      </c>
      <c r="O320" s="16">
        <f t="shared" si="118"/>
        <v>0</v>
      </c>
    </row>
    <row r="321" spans="1:15" s="109" customFormat="1" ht="12.75">
      <c r="A321" s="11" t="s">
        <v>936</v>
      </c>
      <c r="B321" s="25" t="s">
        <v>29</v>
      </c>
      <c r="C321" s="26" t="s">
        <v>65</v>
      </c>
      <c r="D321" s="26" t="s">
        <v>84</v>
      </c>
      <c r="E321" s="26" t="s">
        <v>295</v>
      </c>
      <c r="F321" s="26" t="s">
        <v>1063</v>
      </c>
      <c r="G321" s="27">
        <v>39035</v>
      </c>
      <c r="H321" s="27">
        <v>39035</v>
      </c>
      <c r="I321" s="27">
        <v>39035</v>
      </c>
      <c r="J321" s="27"/>
      <c r="K321" s="16">
        <f t="shared" si="116"/>
        <v>-39035</v>
      </c>
      <c r="L321" s="27"/>
      <c r="M321" s="16">
        <f t="shared" si="117"/>
        <v>-39035</v>
      </c>
      <c r="N321" s="27"/>
      <c r="O321" s="16">
        <f t="shared" si="118"/>
        <v>-39035</v>
      </c>
    </row>
    <row r="322" spans="1:15" s="109" customFormat="1" ht="38.25">
      <c r="A322" s="11" t="s">
        <v>939</v>
      </c>
      <c r="B322" s="25" t="s">
        <v>29</v>
      </c>
      <c r="C322" s="26" t="s">
        <v>65</v>
      </c>
      <c r="D322" s="26" t="s">
        <v>84</v>
      </c>
      <c r="E322" s="26" t="s">
        <v>295</v>
      </c>
      <c r="F322" s="26" t="s">
        <v>1060</v>
      </c>
      <c r="G322" s="27">
        <v>11788.57</v>
      </c>
      <c r="H322" s="27">
        <v>11788.57</v>
      </c>
      <c r="I322" s="27">
        <v>11788.57</v>
      </c>
      <c r="J322" s="27"/>
      <c r="K322" s="16">
        <f t="shared" si="116"/>
        <v>-11788.57</v>
      </c>
      <c r="L322" s="27"/>
      <c r="M322" s="16">
        <f t="shared" si="117"/>
        <v>-11788.57</v>
      </c>
      <c r="N322" s="27"/>
      <c r="O322" s="16">
        <f t="shared" si="118"/>
        <v>-11788.57</v>
      </c>
    </row>
    <row r="323" spans="1:15" s="109" customFormat="1" ht="12.75">
      <c r="A323" s="17" t="s">
        <v>35</v>
      </c>
      <c r="B323" s="18" t="s">
        <v>29</v>
      </c>
      <c r="C323" s="19" t="s">
        <v>37</v>
      </c>
      <c r="D323" s="19" t="s">
        <v>51</v>
      </c>
      <c r="E323" s="19" t="s">
        <v>196</v>
      </c>
      <c r="F323" s="19" t="s">
        <v>58</v>
      </c>
      <c r="G323" s="20">
        <f>G324</f>
        <v>11625.28</v>
      </c>
      <c r="H323" s="20">
        <f>H324</f>
        <v>792</v>
      </c>
      <c r="I323" s="20">
        <f>I324</f>
        <v>792</v>
      </c>
      <c r="J323" s="20">
        <f>J324</f>
        <v>11625.28</v>
      </c>
      <c r="K323" s="16">
        <f t="shared" si="116"/>
        <v>0</v>
      </c>
      <c r="L323" s="20">
        <f>L324</f>
        <v>792</v>
      </c>
      <c r="M323" s="16">
        <f t="shared" si="117"/>
        <v>0</v>
      </c>
      <c r="N323" s="20">
        <f>N324</f>
        <v>792</v>
      </c>
      <c r="O323" s="16">
        <f t="shared" si="118"/>
        <v>0</v>
      </c>
    </row>
    <row r="324" spans="1:15" s="109" customFormat="1" ht="12.75">
      <c r="A324" s="21" t="s">
        <v>73</v>
      </c>
      <c r="B324" s="22" t="s">
        <v>29</v>
      </c>
      <c r="C324" s="23" t="s">
        <v>37</v>
      </c>
      <c r="D324" s="23" t="s">
        <v>40</v>
      </c>
      <c r="E324" s="111" t="s">
        <v>196</v>
      </c>
      <c r="F324" s="111" t="s">
        <v>58</v>
      </c>
      <c r="G324" s="24">
        <f>G325+G331+G337</f>
        <v>11625.28</v>
      </c>
      <c r="H324" s="24">
        <f t="shared" ref="H324:I324" si="147">H325+H331+H337</f>
        <v>792</v>
      </c>
      <c r="I324" s="24">
        <f t="shared" si="147"/>
        <v>792</v>
      </c>
      <c r="J324" s="24">
        <f>J325+J331+J337</f>
        <v>11625.28</v>
      </c>
      <c r="K324" s="16">
        <f t="shared" ref="K324:K387" si="148">J324-G324</f>
        <v>0</v>
      </c>
      <c r="L324" s="24">
        <f t="shared" ref="L324:N324" si="149">L325+L331+L337</f>
        <v>792</v>
      </c>
      <c r="M324" s="16">
        <f t="shared" ref="M324:M387" si="150">L324-H324</f>
        <v>0</v>
      </c>
      <c r="N324" s="24">
        <f t="shared" si="149"/>
        <v>792</v>
      </c>
      <c r="O324" s="16">
        <f t="shared" ref="O324:O387" si="151">N324-I324</f>
        <v>0</v>
      </c>
    </row>
    <row r="325" spans="1:15" s="109" customFormat="1" ht="38.25">
      <c r="A325" s="31" t="s">
        <v>725</v>
      </c>
      <c r="B325" s="25" t="s">
        <v>29</v>
      </c>
      <c r="C325" s="26" t="s">
        <v>37</v>
      </c>
      <c r="D325" s="26" t="s">
        <v>40</v>
      </c>
      <c r="E325" s="26" t="s">
        <v>296</v>
      </c>
      <c r="F325" s="26" t="s">
        <v>58</v>
      </c>
      <c r="G325" s="27">
        <f t="shared" ref="G325:N327" si="152">G326</f>
        <v>200</v>
      </c>
      <c r="H325" s="27">
        <f t="shared" si="152"/>
        <v>180</v>
      </c>
      <c r="I325" s="27">
        <f t="shared" si="152"/>
        <v>180</v>
      </c>
      <c r="J325" s="27">
        <f t="shared" si="152"/>
        <v>200</v>
      </c>
      <c r="K325" s="16">
        <f t="shared" si="148"/>
        <v>0</v>
      </c>
      <c r="L325" s="27">
        <f t="shared" si="152"/>
        <v>180</v>
      </c>
      <c r="M325" s="16">
        <f t="shared" si="150"/>
        <v>0</v>
      </c>
      <c r="N325" s="27">
        <f t="shared" si="152"/>
        <v>180</v>
      </c>
      <c r="O325" s="16">
        <f t="shared" si="151"/>
        <v>0</v>
      </c>
    </row>
    <row r="326" spans="1:15" s="109" customFormat="1" ht="51">
      <c r="A326" s="11" t="s">
        <v>726</v>
      </c>
      <c r="B326" s="25" t="s">
        <v>29</v>
      </c>
      <c r="C326" s="26" t="s">
        <v>37</v>
      </c>
      <c r="D326" s="26" t="s">
        <v>40</v>
      </c>
      <c r="E326" s="26" t="s">
        <v>297</v>
      </c>
      <c r="F326" s="26" t="s">
        <v>58</v>
      </c>
      <c r="G326" s="27">
        <f t="shared" si="152"/>
        <v>200</v>
      </c>
      <c r="H326" s="27">
        <f t="shared" si="152"/>
        <v>180</v>
      </c>
      <c r="I326" s="27">
        <f t="shared" si="152"/>
        <v>180</v>
      </c>
      <c r="J326" s="27">
        <f t="shared" si="152"/>
        <v>200</v>
      </c>
      <c r="K326" s="16">
        <f t="shared" si="148"/>
        <v>0</v>
      </c>
      <c r="L326" s="27">
        <f t="shared" si="152"/>
        <v>180</v>
      </c>
      <c r="M326" s="16">
        <f t="shared" si="150"/>
        <v>0</v>
      </c>
      <c r="N326" s="27">
        <f t="shared" si="152"/>
        <v>180</v>
      </c>
      <c r="O326" s="16">
        <f t="shared" si="151"/>
        <v>0</v>
      </c>
    </row>
    <row r="327" spans="1:15" s="109" customFormat="1" ht="51">
      <c r="A327" s="11" t="s">
        <v>606</v>
      </c>
      <c r="B327" s="25" t="s">
        <v>29</v>
      </c>
      <c r="C327" s="26" t="s">
        <v>37</v>
      </c>
      <c r="D327" s="26" t="s">
        <v>40</v>
      </c>
      <c r="E327" s="26" t="s">
        <v>298</v>
      </c>
      <c r="F327" s="26" t="s">
        <v>58</v>
      </c>
      <c r="G327" s="27">
        <f t="shared" si="152"/>
        <v>200</v>
      </c>
      <c r="H327" s="27">
        <f t="shared" si="152"/>
        <v>180</v>
      </c>
      <c r="I327" s="27">
        <f t="shared" si="152"/>
        <v>180</v>
      </c>
      <c r="J327" s="27">
        <f t="shared" si="152"/>
        <v>200</v>
      </c>
      <c r="K327" s="16">
        <f t="shared" si="148"/>
        <v>0</v>
      </c>
      <c r="L327" s="27">
        <f t="shared" si="152"/>
        <v>180</v>
      </c>
      <c r="M327" s="16">
        <f t="shared" si="150"/>
        <v>0</v>
      </c>
      <c r="N327" s="27">
        <f t="shared" si="152"/>
        <v>180</v>
      </c>
      <c r="O327" s="16">
        <f t="shared" si="151"/>
        <v>0</v>
      </c>
    </row>
    <row r="328" spans="1:15" s="109" customFormat="1" ht="51">
      <c r="A328" s="11" t="s">
        <v>156</v>
      </c>
      <c r="B328" s="25" t="s">
        <v>29</v>
      </c>
      <c r="C328" s="26" t="s">
        <v>37</v>
      </c>
      <c r="D328" s="26" t="s">
        <v>40</v>
      </c>
      <c r="E328" s="26" t="s">
        <v>299</v>
      </c>
      <c r="F328" s="26" t="s">
        <v>58</v>
      </c>
      <c r="G328" s="27">
        <f>G329</f>
        <v>200</v>
      </c>
      <c r="H328" s="27">
        <f>H329</f>
        <v>180</v>
      </c>
      <c r="I328" s="27">
        <f>I329</f>
        <v>180</v>
      </c>
      <c r="J328" s="27">
        <f>J329</f>
        <v>200</v>
      </c>
      <c r="K328" s="16">
        <f t="shared" si="148"/>
        <v>0</v>
      </c>
      <c r="L328" s="27">
        <f>L329</f>
        <v>180</v>
      </c>
      <c r="M328" s="16">
        <f t="shared" si="150"/>
        <v>0</v>
      </c>
      <c r="N328" s="27">
        <f>N329</f>
        <v>180</v>
      </c>
      <c r="O328" s="16">
        <f t="shared" si="151"/>
        <v>0</v>
      </c>
    </row>
    <row r="329" spans="1:15" s="109" customFormat="1" ht="25.5">
      <c r="A329" s="11" t="s">
        <v>108</v>
      </c>
      <c r="B329" s="25" t="s">
        <v>29</v>
      </c>
      <c r="C329" s="26" t="s">
        <v>37</v>
      </c>
      <c r="D329" s="26" t="s">
        <v>40</v>
      </c>
      <c r="E329" s="26" t="s">
        <v>299</v>
      </c>
      <c r="F329" s="26" t="s">
        <v>116</v>
      </c>
      <c r="G329" s="27">
        <f>G330</f>
        <v>200</v>
      </c>
      <c r="H329" s="27">
        <f t="shared" ref="H329:I329" si="153">H330</f>
        <v>180</v>
      </c>
      <c r="I329" s="27">
        <f t="shared" si="153"/>
        <v>180</v>
      </c>
      <c r="J329" s="27">
        <f>200</f>
        <v>200</v>
      </c>
      <c r="K329" s="16">
        <f t="shared" si="148"/>
        <v>0</v>
      </c>
      <c r="L329" s="27">
        <f>180</f>
        <v>180</v>
      </c>
      <c r="M329" s="16">
        <f t="shared" si="150"/>
        <v>0</v>
      </c>
      <c r="N329" s="27">
        <f>180</f>
        <v>180</v>
      </c>
      <c r="O329" s="16">
        <f t="shared" si="151"/>
        <v>0</v>
      </c>
    </row>
    <row r="330" spans="1:15" s="110" customFormat="1" ht="25.5">
      <c r="A330" s="12" t="s">
        <v>973</v>
      </c>
      <c r="B330" s="25" t="s">
        <v>29</v>
      </c>
      <c r="C330" s="26" t="s">
        <v>37</v>
      </c>
      <c r="D330" s="26" t="s">
        <v>40</v>
      </c>
      <c r="E330" s="26" t="s">
        <v>299</v>
      </c>
      <c r="F330" s="26" t="s">
        <v>1043</v>
      </c>
      <c r="G330" s="27">
        <f>200</f>
        <v>200</v>
      </c>
      <c r="H330" s="27">
        <f>180</f>
        <v>180</v>
      </c>
      <c r="I330" s="27">
        <f>180</f>
        <v>180</v>
      </c>
      <c r="J330" s="80"/>
      <c r="K330" s="16">
        <f t="shared" si="148"/>
        <v>-200</v>
      </c>
      <c r="L330" s="80"/>
      <c r="M330" s="16">
        <f t="shared" si="150"/>
        <v>-180</v>
      </c>
      <c r="N330" s="80"/>
      <c r="O330" s="16">
        <f t="shared" si="151"/>
        <v>-180</v>
      </c>
    </row>
    <row r="331" spans="1:15" s="109" customFormat="1" ht="38.25">
      <c r="A331" s="12" t="s">
        <v>722</v>
      </c>
      <c r="B331" s="25" t="s">
        <v>29</v>
      </c>
      <c r="C331" s="26" t="s">
        <v>37</v>
      </c>
      <c r="D331" s="26" t="s">
        <v>40</v>
      </c>
      <c r="E331" s="26" t="s">
        <v>300</v>
      </c>
      <c r="F331" s="26" t="s">
        <v>58</v>
      </c>
      <c r="G331" s="27">
        <f t="shared" ref="G331:N335" si="154">G332</f>
        <v>10745.28</v>
      </c>
      <c r="H331" s="27">
        <f t="shared" si="154"/>
        <v>0</v>
      </c>
      <c r="I331" s="27">
        <f t="shared" si="154"/>
        <v>0</v>
      </c>
      <c r="J331" s="27">
        <f t="shared" si="154"/>
        <v>10745.28</v>
      </c>
      <c r="K331" s="16">
        <f t="shared" si="148"/>
        <v>0</v>
      </c>
      <c r="L331" s="27">
        <f t="shared" si="154"/>
        <v>0</v>
      </c>
      <c r="M331" s="16">
        <f t="shared" si="150"/>
        <v>0</v>
      </c>
      <c r="N331" s="27">
        <f t="shared" si="154"/>
        <v>0</v>
      </c>
      <c r="O331" s="16">
        <f t="shared" si="151"/>
        <v>0</v>
      </c>
    </row>
    <row r="332" spans="1:15" s="109" customFormat="1" ht="38.25">
      <c r="A332" s="40" t="s">
        <v>729</v>
      </c>
      <c r="B332" s="25" t="s">
        <v>29</v>
      </c>
      <c r="C332" s="26" t="s">
        <v>37</v>
      </c>
      <c r="D332" s="26" t="s">
        <v>40</v>
      </c>
      <c r="E332" s="26" t="s">
        <v>301</v>
      </c>
      <c r="F332" s="26" t="s">
        <v>58</v>
      </c>
      <c r="G332" s="27">
        <f t="shared" si="154"/>
        <v>10745.28</v>
      </c>
      <c r="H332" s="27">
        <f t="shared" si="154"/>
        <v>0</v>
      </c>
      <c r="I332" s="27">
        <f t="shared" si="154"/>
        <v>0</v>
      </c>
      <c r="J332" s="27">
        <f t="shared" si="154"/>
        <v>10745.28</v>
      </c>
      <c r="K332" s="16">
        <f t="shared" si="148"/>
        <v>0</v>
      </c>
      <c r="L332" s="27">
        <f t="shared" si="154"/>
        <v>0</v>
      </c>
      <c r="M332" s="16">
        <f t="shared" si="150"/>
        <v>0</v>
      </c>
      <c r="N332" s="27">
        <f t="shared" si="154"/>
        <v>0</v>
      </c>
      <c r="O332" s="16">
        <f t="shared" si="151"/>
        <v>0</v>
      </c>
    </row>
    <row r="333" spans="1:15" s="109" customFormat="1" ht="38.25">
      <c r="A333" s="11" t="s">
        <v>644</v>
      </c>
      <c r="B333" s="25" t="s">
        <v>29</v>
      </c>
      <c r="C333" s="26" t="s">
        <v>37</v>
      </c>
      <c r="D333" s="26" t="s">
        <v>40</v>
      </c>
      <c r="E333" s="26" t="s">
        <v>302</v>
      </c>
      <c r="F333" s="26" t="s">
        <v>58</v>
      </c>
      <c r="G333" s="27">
        <f t="shared" si="154"/>
        <v>10745.28</v>
      </c>
      <c r="H333" s="27">
        <f t="shared" si="154"/>
        <v>0</v>
      </c>
      <c r="I333" s="27">
        <f t="shared" si="154"/>
        <v>0</v>
      </c>
      <c r="J333" s="27">
        <f t="shared" si="154"/>
        <v>10745.28</v>
      </c>
      <c r="K333" s="16">
        <f t="shared" si="148"/>
        <v>0</v>
      </c>
      <c r="L333" s="27">
        <f t="shared" si="154"/>
        <v>0</v>
      </c>
      <c r="M333" s="16">
        <f t="shared" si="150"/>
        <v>0</v>
      </c>
      <c r="N333" s="27">
        <f t="shared" si="154"/>
        <v>0</v>
      </c>
      <c r="O333" s="16">
        <f t="shared" si="151"/>
        <v>0</v>
      </c>
    </row>
    <row r="334" spans="1:15" s="109" customFormat="1" ht="25.5">
      <c r="A334" s="11" t="s">
        <v>303</v>
      </c>
      <c r="B334" s="25" t="s">
        <v>29</v>
      </c>
      <c r="C334" s="26" t="s">
        <v>37</v>
      </c>
      <c r="D334" s="26" t="s">
        <v>40</v>
      </c>
      <c r="E334" s="26" t="s">
        <v>304</v>
      </c>
      <c r="F334" s="26" t="s">
        <v>58</v>
      </c>
      <c r="G334" s="27">
        <f t="shared" si="154"/>
        <v>10745.28</v>
      </c>
      <c r="H334" s="27">
        <f t="shared" si="154"/>
        <v>0</v>
      </c>
      <c r="I334" s="27">
        <f t="shared" si="154"/>
        <v>0</v>
      </c>
      <c r="J334" s="27">
        <f t="shared" si="154"/>
        <v>10745.28</v>
      </c>
      <c r="K334" s="16">
        <f t="shared" si="148"/>
        <v>0</v>
      </c>
      <c r="L334" s="27">
        <f t="shared" si="154"/>
        <v>0</v>
      </c>
      <c r="M334" s="16">
        <f t="shared" si="150"/>
        <v>0</v>
      </c>
      <c r="N334" s="27">
        <f t="shared" si="154"/>
        <v>0</v>
      </c>
      <c r="O334" s="16">
        <f t="shared" si="151"/>
        <v>0</v>
      </c>
    </row>
    <row r="335" spans="1:15" s="109" customFormat="1" ht="25.5">
      <c r="A335" s="11" t="s">
        <v>108</v>
      </c>
      <c r="B335" s="25" t="s">
        <v>29</v>
      </c>
      <c r="C335" s="26" t="s">
        <v>37</v>
      </c>
      <c r="D335" s="26" t="s">
        <v>40</v>
      </c>
      <c r="E335" s="26" t="s">
        <v>304</v>
      </c>
      <c r="F335" s="26" t="s">
        <v>116</v>
      </c>
      <c r="G335" s="27">
        <f>G336</f>
        <v>10745.28</v>
      </c>
      <c r="H335" s="27">
        <f t="shared" si="154"/>
        <v>0</v>
      </c>
      <c r="I335" s="27">
        <f t="shared" si="154"/>
        <v>0</v>
      </c>
      <c r="J335" s="27">
        <f>10745.28</f>
        <v>10745.28</v>
      </c>
      <c r="K335" s="16">
        <f t="shared" si="148"/>
        <v>0</v>
      </c>
      <c r="L335" s="27">
        <v>0</v>
      </c>
      <c r="M335" s="16">
        <f t="shared" si="150"/>
        <v>0</v>
      </c>
      <c r="N335" s="27">
        <v>0</v>
      </c>
      <c r="O335" s="16">
        <f t="shared" si="151"/>
        <v>0</v>
      </c>
    </row>
    <row r="336" spans="1:15" s="110" customFormat="1" ht="25.5">
      <c r="A336" s="12" t="s">
        <v>973</v>
      </c>
      <c r="B336" s="25" t="s">
        <v>29</v>
      </c>
      <c r="C336" s="26" t="s">
        <v>37</v>
      </c>
      <c r="D336" s="26" t="s">
        <v>40</v>
      </c>
      <c r="E336" s="26" t="s">
        <v>304</v>
      </c>
      <c r="F336" s="26" t="s">
        <v>1043</v>
      </c>
      <c r="G336" s="27">
        <f>10745.28</f>
        <v>10745.28</v>
      </c>
      <c r="H336" s="27">
        <v>0</v>
      </c>
      <c r="I336" s="27">
        <v>0</v>
      </c>
      <c r="J336" s="80"/>
      <c r="K336" s="16">
        <f t="shared" si="148"/>
        <v>-10745.28</v>
      </c>
      <c r="L336" s="80"/>
      <c r="M336" s="16">
        <f t="shared" si="150"/>
        <v>0</v>
      </c>
      <c r="N336" s="80"/>
      <c r="O336" s="16">
        <f t="shared" si="151"/>
        <v>0</v>
      </c>
    </row>
    <row r="337" spans="1:15" s="109" customFormat="1" ht="38.25">
      <c r="A337" s="13" t="s">
        <v>745</v>
      </c>
      <c r="B337" s="25" t="s">
        <v>29</v>
      </c>
      <c r="C337" s="26" t="s">
        <v>37</v>
      </c>
      <c r="D337" s="26" t="s">
        <v>40</v>
      </c>
      <c r="E337" s="26" t="s">
        <v>280</v>
      </c>
      <c r="F337" s="26" t="s">
        <v>58</v>
      </c>
      <c r="G337" s="27">
        <f t="shared" ref="G337:N339" si="155">G338</f>
        <v>680</v>
      </c>
      <c r="H337" s="27">
        <f t="shared" si="155"/>
        <v>612</v>
      </c>
      <c r="I337" s="27">
        <f t="shared" si="155"/>
        <v>612</v>
      </c>
      <c r="J337" s="27">
        <f t="shared" si="155"/>
        <v>680</v>
      </c>
      <c r="K337" s="16">
        <f t="shared" si="148"/>
        <v>0</v>
      </c>
      <c r="L337" s="27">
        <f t="shared" si="155"/>
        <v>612</v>
      </c>
      <c r="M337" s="16">
        <f t="shared" si="150"/>
        <v>0</v>
      </c>
      <c r="N337" s="27">
        <f t="shared" si="155"/>
        <v>612</v>
      </c>
      <c r="O337" s="16">
        <f t="shared" si="151"/>
        <v>0</v>
      </c>
    </row>
    <row r="338" spans="1:15" s="109" customFormat="1" ht="51">
      <c r="A338" s="13" t="s">
        <v>746</v>
      </c>
      <c r="B338" s="25" t="s">
        <v>29</v>
      </c>
      <c r="C338" s="26" t="s">
        <v>37</v>
      </c>
      <c r="D338" s="26" t="s">
        <v>40</v>
      </c>
      <c r="E338" s="26" t="s">
        <v>281</v>
      </c>
      <c r="F338" s="26" t="s">
        <v>58</v>
      </c>
      <c r="G338" s="27">
        <f t="shared" si="155"/>
        <v>680</v>
      </c>
      <c r="H338" s="27">
        <f t="shared" si="155"/>
        <v>612</v>
      </c>
      <c r="I338" s="27">
        <f t="shared" si="155"/>
        <v>612</v>
      </c>
      <c r="J338" s="27">
        <f t="shared" si="155"/>
        <v>680</v>
      </c>
      <c r="K338" s="16">
        <f t="shared" si="148"/>
        <v>0</v>
      </c>
      <c r="L338" s="27">
        <f t="shared" si="155"/>
        <v>612</v>
      </c>
      <c r="M338" s="16">
        <f t="shared" si="150"/>
        <v>0</v>
      </c>
      <c r="N338" s="27">
        <f t="shared" si="155"/>
        <v>612</v>
      </c>
      <c r="O338" s="16">
        <f t="shared" si="151"/>
        <v>0</v>
      </c>
    </row>
    <row r="339" spans="1:15" s="109" customFormat="1" ht="25.5">
      <c r="A339" s="11" t="s">
        <v>286</v>
      </c>
      <c r="B339" s="25" t="s">
        <v>29</v>
      </c>
      <c r="C339" s="26" t="s">
        <v>37</v>
      </c>
      <c r="D339" s="26" t="s">
        <v>40</v>
      </c>
      <c r="E339" s="26" t="s">
        <v>287</v>
      </c>
      <c r="F339" s="26" t="s">
        <v>58</v>
      </c>
      <c r="G339" s="27">
        <f t="shared" si="155"/>
        <v>680</v>
      </c>
      <c r="H339" s="27">
        <f t="shared" si="155"/>
        <v>612</v>
      </c>
      <c r="I339" s="27">
        <f t="shared" si="155"/>
        <v>612</v>
      </c>
      <c r="J339" s="27">
        <f t="shared" si="155"/>
        <v>680</v>
      </c>
      <c r="K339" s="16">
        <f t="shared" si="148"/>
        <v>0</v>
      </c>
      <c r="L339" s="27">
        <f t="shared" si="155"/>
        <v>612</v>
      </c>
      <c r="M339" s="16">
        <f t="shared" si="150"/>
        <v>0</v>
      </c>
      <c r="N339" s="27">
        <f t="shared" si="155"/>
        <v>612</v>
      </c>
      <c r="O339" s="16">
        <f t="shared" si="151"/>
        <v>0</v>
      </c>
    </row>
    <row r="340" spans="1:15" s="109" customFormat="1" ht="38.25">
      <c r="A340" s="11" t="s">
        <v>878</v>
      </c>
      <c r="B340" s="25" t="s">
        <v>29</v>
      </c>
      <c r="C340" s="26" t="s">
        <v>37</v>
      </c>
      <c r="D340" s="26" t="s">
        <v>40</v>
      </c>
      <c r="E340" s="26" t="s">
        <v>288</v>
      </c>
      <c r="F340" s="26" t="s">
        <v>58</v>
      </c>
      <c r="G340" s="27">
        <f>G341</f>
        <v>680</v>
      </c>
      <c r="H340" s="27">
        <f>H341</f>
        <v>612</v>
      </c>
      <c r="I340" s="27">
        <f>I341</f>
        <v>612</v>
      </c>
      <c r="J340" s="27">
        <f>J341</f>
        <v>680</v>
      </c>
      <c r="K340" s="16">
        <f t="shared" si="148"/>
        <v>0</v>
      </c>
      <c r="L340" s="27">
        <f>L341</f>
        <v>612</v>
      </c>
      <c r="M340" s="16">
        <f t="shared" si="150"/>
        <v>0</v>
      </c>
      <c r="N340" s="27">
        <f>N341</f>
        <v>612</v>
      </c>
      <c r="O340" s="16">
        <f t="shared" si="151"/>
        <v>0</v>
      </c>
    </row>
    <row r="341" spans="1:15" s="109" customFormat="1" ht="25.5">
      <c r="A341" s="11" t="s">
        <v>108</v>
      </c>
      <c r="B341" s="25" t="s">
        <v>29</v>
      </c>
      <c r="C341" s="26" t="s">
        <v>37</v>
      </c>
      <c r="D341" s="26" t="s">
        <v>40</v>
      </c>
      <c r="E341" s="26" t="s">
        <v>288</v>
      </c>
      <c r="F341" s="26" t="s">
        <v>116</v>
      </c>
      <c r="G341" s="27">
        <f>G342</f>
        <v>680</v>
      </c>
      <c r="H341" s="27">
        <f t="shared" ref="H341:I341" si="156">H342</f>
        <v>612</v>
      </c>
      <c r="I341" s="27">
        <f t="shared" si="156"/>
        <v>612</v>
      </c>
      <c r="J341" s="27">
        <f>680</f>
        <v>680</v>
      </c>
      <c r="K341" s="16">
        <f t="shared" si="148"/>
        <v>0</v>
      </c>
      <c r="L341" s="27">
        <f>612</f>
        <v>612</v>
      </c>
      <c r="M341" s="16">
        <f t="shared" si="150"/>
        <v>0</v>
      </c>
      <c r="N341" s="27">
        <f>612</f>
        <v>612</v>
      </c>
      <c r="O341" s="16">
        <f t="shared" si="151"/>
        <v>0</v>
      </c>
    </row>
    <row r="342" spans="1:15" s="110" customFormat="1" ht="25.5">
      <c r="A342" s="12" t="s">
        <v>973</v>
      </c>
      <c r="B342" s="25" t="s">
        <v>29</v>
      </c>
      <c r="C342" s="26" t="s">
        <v>37</v>
      </c>
      <c r="D342" s="26" t="s">
        <v>40</v>
      </c>
      <c r="E342" s="26" t="s">
        <v>288</v>
      </c>
      <c r="F342" s="26" t="s">
        <v>1043</v>
      </c>
      <c r="G342" s="27">
        <f>680</f>
        <v>680</v>
      </c>
      <c r="H342" s="27">
        <f>612</f>
        <v>612</v>
      </c>
      <c r="I342" s="27">
        <f>612</f>
        <v>612</v>
      </c>
      <c r="J342" s="80"/>
      <c r="K342" s="16">
        <f t="shared" si="148"/>
        <v>-680</v>
      </c>
      <c r="L342" s="80"/>
      <c r="M342" s="16">
        <f t="shared" si="150"/>
        <v>-612</v>
      </c>
      <c r="N342" s="80"/>
      <c r="O342" s="16">
        <f t="shared" si="151"/>
        <v>-612</v>
      </c>
    </row>
    <row r="343" spans="1:15" s="99" customFormat="1" ht="12.75">
      <c r="A343" s="79"/>
      <c r="B343" s="92"/>
      <c r="C343" s="70"/>
      <c r="D343" s="70"/>
      <c r="E343" s="70"/>
      <c r="F343" s="70"/>
      <c r="G343" s="72"/>
      <c r="H343" s="72"/>
      <c r="I343" s="72"/>
      <c r="J343" s="72"/>
      <c r="K343" s="91">
        <f t="shared" si="148"/>
        <v>0</v>
      </c>
      <c r="L343" s="72"/>
      <c r="M343" s="91">
        <f t="shared" si="150"/>
        <v>0</v>
      </c>
      <c r="N343" s="72"/>
      <c r="O343" s="91">
        <f t="shared" si="151"/>
        <v>0</v>
      </c>
    </row>
    <row r="344" spans="1:15" s="109" customFormat="1" ht="12.75">
      <c r="A344" s="28" t="s">
        <v>74</v>
      </c>
      <c r="B344" s="14" t="s">
        <v>75</v>
      </c>
      <c r="C344" s="15" t="s">
        <v>51</v>
      </c>
      <c r="D344" s="15" t="s">
        <v>51</v>
      </c>
      <c r="E344" s="15" t="s">
        <v>196</v>
      </c>
      <c r="F344" s="15" t="s">
        <v>58</v>
      </c>
      <c r="G344" s="29">
        <f>G345+G382</f>
        <v>251032.28</v>
      </c>
      <c r="H344" s="29">
        <f>H345+H382</f>
        <v>280155.52000000002</v>
      </c>
      <c r="I344" s="29">
        <f>I345+I382</f>
        <v>328041.52</v>
      </c>
      <c r="J344" s="29">
        <f>J345+J382</f>
        <v>251032.28</v>
      </c>
      <c r="K344" s="16">
        <f t="shared" si="148"/>
        <v>0</v>
      </c>
      <c r="L344" s="29">
        <f>L345+L382</f>
        <v>280155.52000000002</v>
      </c>
      <c r="M344" s="16">
        <f t="shared" si="150"/>
        <v>0</v>
      </c>
      <c r="N344" s="29">
        <f>N345+N382</f>
        <v>328041.52</v>
      </c>
      <c r="O344" s="16">
        <f t="shared" si="151"/>
        <v>0</v>
      </c>
    </row>
    <row r="345" spans="1:15" s="109" customFormat="1" ht="12.75">
      <c r="A345" s="17" t="s">
        <v>64</v>
      </c>
      <c r="B345" s="18" t="s">
        <v>75</v>
      </c>
      <c r="C345" s="19" t="s">
        <v>65</v>
      </c>
      <c r="D345" s="19" t="s">
        <v>51</v>
      </c>
      <c r="E345" s="19" t="s">
        <v>196</v>
      </c>
      <c r="F345" s="19" t="s">
        <v>58</v>
      </c>
      <c r="G345" s="20">
        <f>G346+G363+G369</f>
        <v>86322.28</v>
      </c>
      <c r="H345" s="20">
        <f>H346+H363+H369</f>
        <v>80113.51999999999</v>
      </c>
      <c r="I345" s="20">
        <f>I346+I363+I369</f>
        <v>86313.51999999999</v>
      </c>
      <c r="J345" s="20">
        <f>J346+J363+J369</f>
        <v>86322.28</v>
      </c>
      <c r="K345" s="16">
        <f t="shared" si="148"/>
        <v>0</v>
      </c>
      <c r="L345" s="20">
        <f>L346+L363+L369</f>
        <v>80113.51999999999</v>
      </c>
      <c r="M345" s="16">
        <f t="shared" si="150"/>
        <v>0</v>
      </c>
      <c r="N345" s="20">
        <f>N346+N363+N369</f>
        <v>86313.51999999999</v>
      </c>
      <c r="O345" s="16">
        <f t="shared" si="151"/>
        <v>0</v>
      </c>
    </row>
    <row r="346" spans="1:15" s="109" customFormat="1" ht="25.5">
      <c r="A346" s="21" t="s">
        <v>32</v>
      </c>
      <c r="B346" s="22" t="s">
        <v>75</v>
      </c>
      <c r="C346" s="23" t="s">
        <v>65</v>
      </c>
      <c r="D346" s="23" t="s">
        <v>2</v>
      </c>
      <c r="E346" s="23" t="s">
        <v>196</v>
      </c>
      <c r="F346" s="23" t="s">
        <v>58</v>
      </c>
      <c r="G346" s="24">
        <f t="shared" ref="G346:N347" si="157">G347</f>
        <v>45084.11</v>
      </c>
      <c r="H346" s="24">
        <f t="shared" si="157"/>
        <v>45088.77</v>
      </c>
      <c r="I346" s="24">
        <f t="shared" si="157"/>
        <v>45088.77</v>
      </c>
      <c r="J346" s="24">
        <f t="shared" si="157"/>
        <v>45084.11</v>
      </c>
      <c r="K346" s="16">
        <f t="shared" si="148"/>
        <v>0</v>
      </c>
      <c r="L346" s="24">
        <f t="shared" si="157"/>
        <v>45088.77</v>
      </c>
      <c r="M346" s="16">
        <f t="shared" si="150"/>
        <v>0</v>
      </c>
      <c r="N346" s="24">
        <f t="shared" si="157"/>
        <v>45088.77</v>
      </c>
      <c r="O346" s="16">
        <f t="shared" si="151"/>
        <v>0</v>
      </c>
    </row>
    <row r="347" spans="1:15" s="109" customFormat="1" ht="25.5">
      <c r="A347" s="112" t="s">
        <v>128</v>
      </c>
      <c r="B347" s="25" t="s">
        <v>75</v>
      </c>
      <c r="C347" s="26" t="s">
        <v>65</v>
      </c>
      <c r="D347" s="26" t="s">
        <v>2</v>
      </c>
      <c r="E347" s="26" t="s">
        <v>305</v>
      </c>
      <c r="F347" s="26" t="s">
        <v>58</v>
      </c>
      <c r="G347" s="27">
        <f t="shared" si="157"/>
        <v>45084.11</v>
      </c>
      <c r="H347" s="27">
        <f t="shared" si="157"/>
        <v>45088.77</v>
      </c>
      <c r="I347" s="27">
        <f t="shared" si="157"/>
        <v>45088.77</v>
      </c>
      <c r="J347" s="27">
        <f t="shared" si="157"/>
        <v>45084.11</v>
      </c>
      <c r="K347" s="16">
        <f t="shared" si="148"/>
        <v>0</v>
      </c>
      <c r="L347" s="27">
        <f t="shared" si="157"/>
        <v>45088.77</v>
      </c>
      <c r="M347" s="16">
        <f t="shared" si="150"/>
        <v>0</v>
      </c>
      <c r="N347" s="27">
        <f t="shared" si="157"/>
        <v>45088.77</v>
      </c>
      <c r="O347" s="16">
        <f t="shared" si="151"/>
        <v>0</v>
      </c>
    </row>
    <row r="348" spans="1:15" s="109" customFormat="1" ht="25.5">
      <c r="A348" s="112" t="s">
        <v>129</v>
      </c>
      <c r="B348" s="25" t="s">
        <v>75</v>
      </c>
      <c r="C348" s="26" t="s">
        <v>65</v>
      </c>
      <c r="D348" s="26" t="s">
        <v>2</v>
      </c>
      <c r="E348" s="26" t="s">
        <v>306</v>
      </c>
      <c r="F348" s="26" t="s">
        <v>58</v>
      </c>
      <c r="G348" s="27">
        <f>G349+G359</f>
        <v>45084.11</v>
      </c>
      <c r="H348" s="27">
        <f>H349+H359</f>
        <v>45088.77</v>
      </c>
      <c r="I348" s="27">
        <f>I349+I359</f>
        <v>45088.77</v>
      </c>
      <c r="J348" s="27">
        <f>J349+J359</f>
        <v>45084.11</v>
      </c>
      <c r="K348" s="16">
        <f t="shared" si="148"/>
        <v>0</v>
      </c>
      <c r="L348" s="27">
        <f>L349+L359</f>
        <v>45088.77</v>
      </c>
      <c r="M348" s="16">
        <f t="shared" si="150"/>
        <v>0</v>
      </c>
      <c r="N348" s="27">
        <f>N349+N359</f>
        <v>45088.77</v>
      </c>
      <c r="O348" s="16">
        <f t="shared" si="151"/>
        <v>0</v>
      </c>
    </row>
    <row r="349" spans="1:15" s="109" customFormat="1" ht="25.5">
      <c r="A349" s="113" t="s">
        <v>114</v>
      </c>
      <c r="B349" s="25" t="s">
        <v>75</v>
      </c>
      <c r="C349" s="26" t="s">
        <v>65</v>
      </c>
      <c r="D349" s="26" t="s">
        <v>2</v>
      </c>
      <c r="E349" s="26" t="s">
        <v>307</v>
      </c>
      <c r="F349" s="26" t="s">
        <v>58</v>
      </c>
      <c r="G349" s="27">
        <f>G350+G353+G355</f>
        <v>4897.5800000000008</v>
      </c>
      <c r="H349" s="27">
        <f t="shared" ref="H349:I349" si="158">H350+H353+H355</f>
        <v>4902.2400000000007</v>
      </c>
      <c r="I349" s="27">
        <f t="shared" si="158"/>
        <v>4902.2400000000007</v>
      </c>
      <c r="J349" s="27">
        <f>SUM(J350:J355)</f>
        <v>4897.5800000000008</v>
      </c>
      <c r="K349" s="16">
        <f t="shared" si="148"/>
        <v>0</v>
      </c>
      <c r="L349" s="27">
        <f>SUM(L350:L355)</f>
        <v>4902.2400000000007</v>
      </c>
      <c r="M349" s="16">
        <f t="shared" si="150"/>
        <v>0</v>
      </c>
      <c r="N349" s="27">
        <f>SUM(N350:N355)</f>
        <v>4902.2400000000007</v>
      </c>
      <c r="O349" s="16">
        <f t="shared" si="151"/>
        <v>0</v>
      </c>
    </row>
    <row r="350" spans="1:15" s="109" customFormat="1" ht="25.5">
      <c r="A350" s="12" t="s">
        <v>107</v>
      </c>
      <c r="B350" s="25" t="s">
        <v>75</v>
      </c>
      <c r="C350" s="26" t="s">
        <v>65</v>
      </c>
      <c r="D350" s="26" t="s">
        <v>2</v>
      </c>
      <c r="E350" s="26" t="s">
        <v>307</v>
      </c>
      <c r="F350" s="26" t="s">
        <v>115</v>
      </c>
      <c r="G350" s="27">
        <f>SUM(G351:G352)</f>
        <v>1307.96</v>
      </c>
      <c r="H350" s="27">
        <f t="shared" ref="H350:I350" si="159">SUM(H351:H352)</f>
        <v>1307.96</v>
      </c>
      <c r="I350" s="27">
        <f t="shared" si="159"/>
        <v>1307.96</v>
      </c>
      <c r="J350" s="27">
        <f>1307.96</f>
        <v>1307.96</v>
      </c>
      <c r="K350" s="16">
        <f t="shared" si="148"/>
        <v>0</v>
      </c>
      <c r="L350" s="27">
        <f t="shared" ref="L350:N350" si="160">1307.96</f>
        <v>1307.96</v>
      </c>
      <c r="M350" s="16">
        <f t="shared" si="150"/>
        <v>0</v>
      </c>
      <c r="N350" s="27">
        <f t="shared" si="160"/>
        <v>1307.96</v>
      </c>
      <c r="O350" s="16">
        <f t="shared" si="151"/>
        <v>0</v>
      </c>
    </row>
    <row r="351" spans="1:15" s="110" customFormat="1" ht="25.5">
      <c r="A351" s="12" t="s">
        <v>937</v>
      </c>
      <c r="B351" s="25" t="s">
        <v>75</v>
      </c>
      <c r="C351" s="26" t="s">
        <v>65</v>
      </c>
      <c r="D351" s="26" t="s">
        <v>2</v>
      </c>
      <c r="E351" s="26" t="s">
        <v>307</v>
      </c>
      <c r="F351" s="26" t="s">
        <v>1059</v>
      </c>
      <c r="G351" s="27">
        <v>1032.33</v>
      </c>
      <c r="H351" s="27">
        <v>1032.33</v>
      </c>
      <c r="I351" s="27">
        <v>1032.33</v>
      </c>
      <c r="J351" s="80"/>
      <c r="K351" s="16">
        <f t="shared" si="148"/>
        <v>-1032.33</v>
      </c>
      <c r="L351" s="80"/>
      <c r="M351" s="16">
        <f t="shared" si="150"/>
        <v>-1032.33</v>
      </c>
      <c r="N351" s="80"/>
      <c r="O351" s="16">
        <f t="shared" si="151"/>
        <v>-1032.33</v>
      </c>
    </row>
    <row r="352" spans="1:15" s="110" customFormat="1" ht="38.25">
      <c r="A352" s="12" t="s">
        <v>939</v>
      </c>
      <c r="B352" s="25" t="s">
        <v>75</v>
      </c>
      <c r="C352" s="26" t="s">
        <v>65</v>
      </c>
      <c r="D352" s="26" t="s">
        <v>2</v>
      </c>
      <c r="E352" s="26" t="s">
        <v>307</v>
      </c>
      <c r="F352" s="26" t="s">
        <v>1060</v>
      </c>
      <c r="G352" s="27">
        <v>275.63</v>
      </c>
      <c r="H352" s="27">
        <v>275.63</v>
      </c>
      <c r="I352" s="27">
        <v>275.63</v>
      </c>
      <c r="J352" s="80"/>
      <c r="K352" s="16">
        <f t="shared" si="148"/>
        <v>-275.63</v>
      </c>
      <c r="L352" s="80"/>
      <c r="M352" s="16">
        <f t="shared" si="150"/>
        <v>-275.63</v>
      </c>
      <c r="N352" s="80"/>
      <c r="O352" s="16">
        <f t="shared" si="151"/>
        <v>-275.63</v>
      </c>
    </row>
    <row r="353" spans="1:15" s="109" customFormat="1" ht="25.5">
      <c r="A353" s="11" t="s">
        <v>108</v>
      </c>
      <c r="B353" s="25" t="s">
        <v>75</v>
      </c>
      <c r="C353" s="26" t="s">
        <v>65</v>
      </c>
      <c r="D353" s="26" t="s">
        <v>2</v>
      </c>
      <c r="E353" s="26" t="s">
        <v>307</v>
      </c>
      <c r="F353" s="26" t="s">
        <v>116</v>
      </c>
      <c r="G353" s="27">
        <f>G354</f>
        <v>3529.15</v>
      </c>
      <c r="H353" s="27">
        <f t="shared" ref="H353:I353" si="161">H354</f>
        <v>3533.81</v>
      </c>
      <c r="I353" s="27">
        <f t="shared" si="161"/>
        <v>3533.81</v>
      </c>
      <c r="J353" s="27">
        <f>3529.15</f>
        <v>3529.15</v>
      </c>
      <c r="K353" s="16">
        <f t="shared" si="148"/>
        <v>0</v>
      </c>
      <c r="L353" s="27">
        <f>3533.81</f>
        <v>3533.81</v>
      </c>
      <c r="M353" s="16">
        <f t="shared" si="150"/>
        <v>0</v>
      </c>
      <c r="N353" s="27">
        <f>3533.81</f>
        <v>3533.81</v>
      </c>
      <c r="O353" s="16">
        <f t="shared" si="151"/>
        <v>0</v>
      </c>
    </row>
    <row r="354" spans="1:15" s="110" customFormat="1" ht="25.5">
      <c r="A354" s="12" t="s">
        <v>973</v>
      </c>
      <c r="B354" s="25" t="s">
        <v>75</v>
      </c>
      <c r="C354" s="26" t="s">
        <v>65</v>
      </c>
      <c r="D354" s="26" t="s">
        <v>2</v>
      </c>
      <c r="E354" s="26" t="s">
        <v>307</v>
      </c>
      <c r="F354" s="26" t="s">
        <v>1043</v>
      </c>
      <c r="G354" s="27">
        <f>3529.15</f>
        <v>3529.15</v>
      </c>
      <c r="H354" s="27">
        <f>3533.81</f>
        <v>3533.81</v>
      </c>
      <c r="I354" s="27">
        <f>3533.81</f>
        <v>3533.81</v>
      </c>
      <c r="J354" s="80"/>
      <c r="K354" s="16">
        <f t="shared" si="148"/>
        <v>-3529.15</v>
      </c>
      <c r="L354" s="80"/>
      <c r="M354" s="16">
        <f t="shared" si="150"/>
        <v>-3533.81</v>
      </c>
      <c r="N354" s="80"/>
      <c r="O354" s="16">
        <f t="shared" si="151"/>
        <v>-3533.81</v>
      </c>
    </row>
    <row r="355" spans="1:15" s="109" customFormat="1" ht="12.75">
      <c r="A355" s="11" t="s">
        <v>97</v>
      </c>
      <c r="B355" s="25" t="s">
        <v>75</v>
      </c>
      <c r="C355" s="26" t="s">
        <v>65</v>
      </c>
      <c r="D355" s="26" t="s">
        <v>2</v>
      </c>
      <c r="E355" s="26" t="s">
        <v>307</v>
      </c>
      <c r="F355" s="26" t="s">
        <v>118</v>
      </c>
      <c r="G355" s="27">
        <f>SUM(G356:G358)</f>
        <v>60.47</v>
      </c>
      <c r="H355" s="27">
        <f t="shared" ref="H355:I355" si="162">SUM(H356:H358)</f>
        <v>60.47</v>
      </c>
      <c r="I355" s="27">
        <f t="shared" si="162"/>
        <v>60.47</v>
      </c>
      <c r="J355" s="27">
        <f>60.47</f>
        <v>60.47</v>
      </c>
      <c r="K355" s="16">
        <f t="shared" si="148"/>
        <v>0</v>
      </c>
      <c r="L355" s="27">
        <f t="shared" ref="L355:N355" si="163">60.47</f>
        <v>60.47</v>
      </c>
      <c r="M355" s="16">
        <f t="shared" si="150"/>
        <v>0</v>
      </c>
      <c r="N355" s="27">
        <f t="shared" si="163"/>
        <v>60.47</v>
      </c>
      <c r="O355" s="16">
        <f t="shared" si="151"/>
        <v>0</v>
      </c>
    </row>
    <row r="356" spans="1:15" s="109" customFormat="1" ht="12.75">
      <c r="A356" s="11" t="s">
        <v>1036</v>
      </c>
      <c r="B356" s="25" t="s">
        <v>75</v>
      </c>
      <c r="C356" s="26" t="s">
        <v>65</v>
      </c>
      <c r="D356" s="26" t="s">
        <v>2</v>
      </c>
      <c r="E356" s="26" t="s">
        <v>307</v>
      </c>
      <c r="F356" s="26" t="s">
        <v>1061</v>
      </c>
      <c r="G356" s="27">
        <v>2</v>
      </c>
      <c r="H356" s="27">
        <v>2</v>
      </c>
      <c r="I356" s="27">
        <v>2</v>
      </c>
      <c r="J356" s="27"/>
      <c r="K356" s="16">
        <f t="shared" si="148"/>
        <v>-2</v>
      </c>
      <c r="L356" s="27"/>
      <c r="M356" s="16">
        <f t="shared" si="150"/>
        <v>-2</v>
      </c>
      <c r="N356" s="27"/>
      <c r="O356" s="16">
        <f t="shared" si="151"/>
        <v>-2</v>
      </c>
    </row>
    <row r="357" spans="1:15" s="109" customFormat="1" ht="12.75">
      <c r="A357" s="11" t="s">
        <v>1037</v>
      </c>
      <c r="B357" s="25" t="s">
        <v>75</v>
      </c>
      <c r="C357" s="26" t="s">
        <v>65</v>
      </c>
      <c r="D357" s="26" t="s">
        <v>2</v>
      </c>
      <c r="E357" s="26" t="s">
        <v>307</v>
      </c>
      <c r="F357" s="26" t="s">
        <v>1062</v>
      </c>
      <c r="G357" s="27">
        <v>23.47</v>
      </c>
      <c r="H357" s="27">
        <v>23.47</v>
      </c>
      <c r="I357" s="27">
        <v>23.47</v>
      </c>
      <c r="J357" s="27"/>
      <c r="K357" s="16">
        <f t="shared" si="148"/>
        <v>-23.47</v>
      </c>
      <c r="L357" s="27"/>
      <c r="M357" s="16">
        <f t="shared" si="150"/>
        <v>-23.47</v>
      </c>
      <c r="N357" s="27"/>
      <c r="O357" s="16">
        <f t="shared" si="151"/>
        <v>-23.47</v>
      </c>
    </row>
    <row r="358" spans="1:15" s="109" customFormat="1" ht="12.75">
      <c r="A358" s="11" t="s">
        <v>1038</v>
      </c>
      <c r="B358" s="25" t="s">
        <v>75</v>
      </c>
      <c r="C358" s="26" t="s">
        <v>65</v>
      </c>
      <c r="D358" s="26" t="s">
        <v>2</v>
      </c>
      <c r="E358" s="26" t="s">
        <v>307</v>
      </c>
      <c r="F358" s="26" t="s">
        <v>1066</v>
      </c>
      <c r="G358" s="27">
        <v>35</v>
      </c>
      <c r="H358" s="27">
        <v>35</v>
      </c>
      <c r="I358" s="27">
        <v>35</v>
      </c>
      <c r="J358" s="27"/>
      <c r="K358" s="16">
        <f t="shared" si="148"/>
        <v>-35</v>
      </c>
      <c r="L358" s="27"/>
      <c r="M358" s="16">
        <f t="shared" si="150"/>
        <v>-35</v>
      </c>
      <c r="N358" s="27"/>
      <c r="O358" s="16">
        <f t="shared" si="151"/>
        <v>-35</v>
      </c>
    </row>
    <row r="359" spans="1:15" s="109" customFormat="1" ht="25.5">
      <c r="A359" s="74" t="s">
        <v>126</v>
      </c>
      <c r="B359" s="25" t="s">
        <v>75</v>
      </c>
      <c r="C359" s="26" t="s">
        <v>65</v>
      </c>
      <c r="D359" s="26" t="s">
        <v>2</v>
      </c>
      <c r="E359" s="26" t="s">
        <v>308</v>
      </c>
      <c r="F359" s="26" t="s">
        <v>58</v>
      </c>
      <c r="G359" s="27">
        <f>G360</f>
        <v>40186.53</v>
      </c>
      <c r="H359" s="27">
        <f>H360</f>
        <v>40186.53</v>
      </c>
      <c r="I359" s="27">
        <f>I360</f>
        <v>40186.53</v>
      </c>
      <c r="J359" s="27">
        <f>J360</f>
        <v>40186.53</v>
      </c>
      <c r="K359" s="16">
        <f t="shared" si="148"/>
        <v>0</v>
      </c>
      <c r="L359" s="27">
        <f>L360</f>
        <v>40186.53</v>
      </c>
      <c r="M359" s="16">
        <f t="shared" si="150"/>
        <v>0</v>
      </c>
      <c r="N359" s="27">
        <f>N360</f>
        <v>40186.53</v>
      </c>
      <c r="O359" s="16">
        <f t="shared" si="151"/>
        <v>0</v>
      </c>
    </row>
    <row r="360" spans="1:15" s="109" customFormat="1" ht="25.5">
      <c r="A360" s="11" t="s">
        <v>107</v>
      </c>
      <c r="B360" s="25" t="s">
        <v>75</v>
      </c>
      <c r="C360" s="26" t="s">
        <v>65</v>
      </c>
      <c r="D360" s="26" t="s">
        <v>2</v>
      </c>
      <c r="E360" s="26" t="s">
        <v>308</v>
      </c>
      <c r="F360" s="26" t="s">
        <v>115</v>
      </c>
      <c r="G360" s="27">
        <f>SUM(G361:G362)</f>
        <v>40186.53</v>
      </c>
      <c r="H360" s="27">
        <f t="shared" ref="H360:I360" si="164">SUM(H361:H362)</f>
        <v>40186.53</v>
      </c>
      <c r="I360" s="27">
        <f t="shared" si="164"/>
        <v>40186.53</v>
      </c>
      <c r="J360" s="27">
        <f>40186.53</f>
        <v>40186.53</v>
      </c>
      <c r="K360" s="16">
        <f t="shared" si="148"/>
        <v>0</v>
      </c>
      <c r="L360" s="27">
        <f>40186.53</f>
        <v>40186.53</v>
      </c>
      <c r="M360" s="16">
        <f t="shared" si="150"/>
        <v>0</v>
      </c>
      <c r="N360" s="27">
        <f>40186.53</f>
        <v>40186.53</v>
      </c>
      <c r="O360" s="16">
        <f t="shared" si="151"/>
        <v>0</v>
      </c>
    </row>
    <row r="361" spans="1:15" s="109" customFormat="1" ht="12.75">
      <c r="A361" s="11" t="s">
        <v>936</v>
      </c>
      <c r="B361" s="25" t="s">
        <v>75</v>
      </c>
      <c r="C361" s="26" t="s">
        <v>65</v>
      </c>
      <c r="D361" s="26" t="s">
        <v>2</v>
      </c>
      <c r="E361" s="26" t="s">
        <v>308</v>
      </c>
      <c r="F361" s="26" t="s">
        <v>1063</v>
      </c>
      <c r="G361" s="27">
        <v>30865.23</v>
      </c>
      <c r="H361" s="27">
        <v>30865.23</v>
      </c>
      <c r="I361" s="27">
        <v>30865.23</v>
      </c>
      <c r="J361" s="27"/>
      <c r="K361" s="16">
        <f t="shared" si="148"/>
        <v>-30865.23</v>
      </c>
      <c r="L361" s="27"/>
      <c r="M361" s="16">
        <f t="shared" si="150"/>
        <v>-30865.23</v>
      </c>
      <c r="N361" s="27"/>
      <c r="O361" s="16">
        <f t="shared" si="151"/>
        <v>-30865.23</v>
      </c>
    </row>
    <row r="362" spans="1:15" s="109" customFormat="1" ht="38.25">
      <c r="A362" s="11" t="s">
        <v>939</v>
      </c>
      <c r="B362" s="25" t="s">
        <v>75</v>
      </c>
      <c r="C362" s="26" t="s">
        <v>65</v>
      </c>
      <c r="D362" s="26" t="s">
        <v>2</v>
      </c>
      <c r="E362" s="26" t="s">
        <v>308</v>
      </c>
      <c r="F362" s="26" t="s">
        <v>1060</v>
      </c>
      <c r="G362" s="27">
        <v>9321.2999999999993</v>
      </c>
      <c r="H362" s="27">
        <v>9321.2999999999993</v>
      </c>
      <c r="I362" s="27">
        <v>9321.2999999999993</v>
      </c>
      <c r="J362" s="27"/>
      <c r="K362" s="16">
        <f t="shared" si="148"/>
        <v>-9321.2999999999993</v>
      </c>
      <c r="L362" s="27"/>
      <c r="M362" s="16">
        <f t="shared" si="150"/>
        <v>-9321.2999999999993</v>
      </c>
      <c r="N362" s="27"/>
      <c r="O362" s="16">
        <f t="shared" si="151"/>
        <v>-9321.2999999999993</v>
      </c>
    </row>
    <row r="363" spans="1:15" s="109" customFormat="1" ht="12.75">
      <c r="A363" s="21" t="s">
        <v>309</v>
      </c>
      <c r="B363" s="22" t="s">
        <v>75</v>
      </c>
      <c r="C363" s="23" t="s">
        <v>65</v>
      </c>
      <c r="D363" s="23" t="s">
        <v>78</v>
      </c>
      <c r="E363" s="23" t="s">
        <v>196</v>
      </c>
      <c r="F363" s="23" t="s">
        <v>310</v>
      </c>
      <c r="G363" s="24">
        <f t="shared" ref="G363:N367" si="165">G364</f>
        <v>14195.04</v>
      </c>
      <c r="H363" s="24">
        <f t="shared" si="165"/>
        <v>12775.54</v>
      </c>
      <c r="I363" s="24">
        <f t="shared" si="165"/>
        <v>12775.54</v>
      </c>
      <c r="J363" s="24">
        <f t="shared" si="165"/>
        <v>14195.04</v>
      </c>
      <c r="K363" s="16">
        <f t="shared" si="148"/>
        <v>0</v>
      </c>
      <c r="L363" s="24">
        <f t="shared" si="165"/>
        <v>12775.54</v>
      </c>
      <c r="M363" s="16">
        <f t="shared" si="150"/>
        <v>0</v>
      </c>
      <c r="N363" s="24">
        <f t="shared" si="165"/>
        <v>12775.54</v>
      </c>
      <c r="O363" s="16">
        <f t="shared" si="151"/>
        <v>0</v>
      </c>
    </row>
    <row r="364" spans="1:15" s="109" customFormat="1" ht="25.5">
      <c r="A364" s="12" t="s">
        <v>743</v>
      </c>
      <c r="B364" s="25" t="s">
        <v>75</v>
      </c>
      <c r="C364" s="26" t="s">
        <v>65</v>
      </c>
      <c r="D364" s="26" t="s">
        <v>78</v>
      </c>
      <c r="E364" s="26" t="s">
        <v>311</v>
      </c>
      <c r="F364" s="26" t="s">
        <v>310</v>
      </c>
      <c r="G364" s="27">
        <f t="shared" si="165"/>
        <v>14195.04</v>
      </c>
      <c r="H364" s="27">
        <f t="shared" si="165"/>
        <v>12775.54</v>
      </c>
      <c r="I364" s="27">
        <f t="shared" si="165"/>
        <v>12775.54</v>
      </c>
      <c r="J364" s="27">
        <f t="shared" si="165"/>
        <v>14195.04</v>
      </c>
      <c r="K364" s="16">
        <f t="shared" si="148"/>
        <v>0</v>
      </c>
      <c r="L364" s="27">
        <f t="shared" si="165"/>
        <v>12775.54</v>
      </c>
      <c r="M364" s="16">
        <f t="shared" si="150"/>
        <v>0</v>
      </c>
      <c r="N364" s="27">
        <f t="shared" si="165"/>
        <v>12775.54</v>
      </c>
      <c r="O364" s="16">
        <f t="shared" si="151"/>
        <v>0</v>
      </c>
    </row>
    <row r="365" spans="1:15" s="109" customFormat="1" ht="38.25">
      <c r="A365" s="12" t="s">
        <v>744</v>
      </c>
      <c r="B365" s="25" t="s">
        <v>75</v>
      </c>
      <c r="C365" s="26" t="s">
        <v>65</v>
      </c>
      <c r="D365" s="26" t="s">
        <v>78</v>
      </c>
      <c r="E365" s="26" t="s">
        <v>312</v>
      </c>
      <c r="F365" s="26" t="s">
        <v>58</v>
      </c>
      <c r="G365" s="27">
        <f t="shared" si="165"/>
        <v>14195.04</v>
      </c>
      <c r="H365" s="27">
        <f t="shared" si="165"/>
        <v>12775.54</v>
      </c>
      <c r="I365" s="27">
        <f t="shared" si="165"/>
        <v>12775.54</v>
      </c>
      <c r="J365" s="27">
        <f t="shared" si="165"/>
        <v>14195.04</v>
      </c>
      <c r="K365" s="16">
        <f t="shared" si="148"/>
        <v>0</v>
      </c>
      <c r="L365" s="27">
        <f t="shared" si="165"/>
        <v>12775.54</v>
      </c>
      <c r="M365" s="16">
        <f t="shared" si="150"/>
        <v>0</v>
      </c>
      <c r="N365" s="27">
        <f t="shared" si="165"/>
        <v>12775.54</v>
      </c>
      <c r="O365" s="16">
        <f t="shared" si="151"/>
        <v>0</v>
      </c>
    </row>
    <row r="366" spans="1:15" s="109" customFormat="1" ht="25.5">
      <c r="A366" s="12" t="s">
        <v>313</v>
      </c>
      <c r="B366" s="25" t="s">
        <v>75</v>
      </c>
      <c r="C366" s="26" t="s">
        <v>65</v>
      </c>
      <c r="D366" s="26" t="s">
        <v>78</v>
      </c>
      <c r="E366" s="26" t="s">
        <v>568</v>
      </c>
      <c r="F366" s="26" t="s">
        <v>58</v>
      </c>
      <c r="G366" s="27">
        <f t="shared" si="165"/>
        <v>14195.04</v>
      </c>
      <c r="H366" s="27">
        <f t="shared" si="165"/>
        <v>12775.54</v>
      </c>
      <c r="I366" s="27">
        <f t="shared" si="165"/>
        <v>12775.54</v>
      </c>
      <c r="J366" s="27">
        <f t="shared" si="165"/>
        <v>14195.04</v>
      </c>
      <c r="K366" s="16">
        <f t="shared" si="148"/>
        <v>0</v>
      </c>
      <c r="L366" s="27">
        <f t="shared" si="165"/>
        <v>12775.54</v>
      </c>
      <c r="M366" s="16">
        <f t="shared" si="150"/>
        <v>0</v>
      </c>
      <c r="N366" s="27">
        <f t="shared" si="165"/>
        <v>12775.54</v>
      </c>
      <c r="O366" s="16">
        <f t="shared" si="151"/>
        <v>0</v>
      </c>
    </row>
    <row r="367" spans="1:15" s="109" customFormat="1" ht="12.75">
      <c r="A367" s="11" t="s">
        <v>0</v>
      </c>
      <c r="B367" s="25" t="s">
        <v>75</v>
      </c>
      <c r="C367" s="26" t="s">
        <v>65</v>
      </c>
      <c r="D367" s="26" t="s">
        <v>78</v>
      </c>
      <c r="E367" s="26" t="s">
        <v>569</v>
      </c>
      <c r="F367" s="26" t="s">
        <v>58</v>
      </c>
      <c r="G367" s="27">
        <f t="shared" si="165"/>
        <v>14195.04</v>
      </c>
      <c r="H367" s="27">
        <f t="shared" si="165"/>
        <v>12775.54</v>
      </c>
      <c r="I367" s="27">
        <f t="shared" si="165"/>
        <v>12775.54</v>
      </c>
      <c r="J367" s="27">
        <f t="shared" si="165"/>
        <v>14195.04</v>
      </c>
      <c r="K367" s="16">
        <f t="shared" si="148"/>
        <v>0</v>
      </c>
      <c r="L367" s="27">
        <f t="shared" si="165"/>
        <v>12775.54</v>
      </c>
      <c r="M367" s="16">
        <f t="shared" si="150"/>
        <v>0</v>
      </c>
      <c r="N367" s="27">
        <f t="shared" si="165"/>
        <v>12775.54</v>
      </c>
      <c r="O367" s="16">
        <f t="shared" si="151"/>
        <v>0</v>
      </c>
    </row>
    <row r="368" spans="1:15" s="109" customFormat="1" ht="14.45" customHeight="1">
      <c r="A368" s="11" t="s">
        <v>98</v>
      </c>
      <c r="B368" s="25" t="s">
        <v>75</v>
      </c>
      <c r="C368" s="26" t="s">
        <v>65</v>
      </c>
      <c r="D368" s="26" t="s">
        <v>78</v>
      </c>
      <c r="E368" s="26" t="s">
        <v>569</v>
      </c>
      <c r="F368" s="26" t="s">
        <v>102</v>
      </c>
      <c r="G368" s="27">
        <f>14195.04</f>
        <v>14195.04</v>
      </c>
      <c r="H368" s="27">
        <f>12775.54</f>
        <v>12775.54</v>
      </c>
      <c r="I368" s="27">
        <f>12775.54</f>
        <v>12775.54</v>
      </c>
      <c r="J368" s="27">
        <f>14195.04</f>
        <v>14195.04</v>
      </c>
      <c r="K368" s="16">
        <f t="shared" si="148"/>
        <v>0</v>
      </c>
      <c r="L368" s="27">
        <f>12775.54</f>
        <v>12775.54</v>
      </c>
      <c r="M368" s="16">
        <f t="shared" si="150"/>
        <v>0</v>
      </c>
      <c r="N368" s="27">
        <f>12775.54</f>
        <v>12775.54</v>
      </c>
      <c r="O368" s="16">
        <f t="shared" si="151"/>
        <v>0</v>
      </c>
    </row>
    <row r="369" spans="1:15" s="109" customFormat="1" ht="12.75">
      <c r="A369" s="21" t="s">
        <v>38</v>
      </c>
      <c r="B369" s="22" t="s">
        <v>75</v>
      </c>
      <c r="C369" s="23" t="s">
        <v>65</v>
      </c>
      <c r="D369" s="23" t="s">
        <v>84</v>
      </c>
      <c r="E369" s="23" t="s">
        <v>196</v>
      </c>
      <c r="F369" s="23" t="s">
        <v>58</v>
      </c>
      <c r="G369" s="24">
        <f>G376+G370</f>
        <v>27043.13</v>
      </c>
      <c r="H369" s="24">
        <f>H376+H370</f>
        <v>22249.21</v>
      </c>
      <c r="I369" s="24">
        <f>I376+I370</f>
        <v>28449.21</v>
      </c>
      <c r="J369" s="24">
        <f>J376+J370</f>
        <v>27043.13</v>
      </c>
      <c r="K369" s="16">
        <f t="shared" si="148"/>
        <v>0</v>
      </c>
      <c r="L369" s="24">
        <f>L376+L370</f>
        <v>22249.21</v>
      </c>
      <c r="M369" s="16">
        <f t="shared" si="150"/>
        <v>0</v>
      </c>
      <c r="N369" s="24">
        <f>N376+N370</f>
        <v>28449.21</v>
      </c>
      <c r="O369" s="16">
        <f t="shared" si="151"/>
        <v>0</v>
      </c>
    </row>
    <row r="370" spans="1:15" s="109" customFormat="1" ht="25.5">
      <c r="A370" s="12" t="s">
        <v>743</v>
      </c>
      <c r="B370" s="25" t="s">
        <v>75</v>
      </c>
      <c r="C370" s="26" t="s">
        <v>65</v>
      </c>
      <c r="D370" s="26" t="s">
        <v>84</v>
      </c>
      <c r="E370" s="26" t="s">
        <v>311</v>
      </c>
      <c r="F370" s="26" t="s">
        <v>58</v>
      </c>
      <c r="G370" s="27">
        <f t="shared" ref="G370:N374" si="166">G371</f>
        <v>8338.34</v>
      </c>
      <c r="H370" s="27">
        <f t="shared" si="166"/>
        <v>3544.42</v>
      </c>
      <c r="I370" s="27">
        <f t="shared" si="166"/>
        <v>9744.42</v>
      </c>
      <c r="J370" s="27">
        <f t="shared" si="166"/>
        <v>8338.34</v>
      </c>
      <c r="K370" s="16">
        <f t="shared" si="148"/>
        <v>0</v>
      </c>
      <c r="L370" s="27">
        <f t="shared" si="166"/>
        <v>3544.42</v>
      </c>
      <c r="M370" s="16">
        <f t="shared" si="150"/>
        <v>0</v>
      </c>
      <c r="N370" s="27">
        <f t="shared" si="166"/>
        <v>9744.42</v>
      </c>
      <c r="O370" s="16">
        <f t="shared" si="151"/>
        <v>0</v>
      </c>
    </row>
    <row r="371" spans="1:15" s="109" customFormat="1" ht="38.25">
      <c r="A371" s="12" t="s">
        <v>744</v>
      </c>
      <c r="B371" s="25" t="s">
        <v>75</v>
      </c>
      <c r="C371" s="26" t="s">
        <v>65</v>
      </c>
      <c r="D371" s="26" t="s">
        <v>84</v>
      </c>
      <c r="E371" s="26" t="s">
        <v>312</v>
      </c>
      <c r="F371" s="26" t="s">
        <v>58</v>
      </c>
      <c r="G371" s="27">
        <f t="shared" si="166"/>
        <v>8338.34</v>
      </c>
      <c r="H371" s="27">
        <f t="shared" si="166"/>
        <v>3544.42</v>
      </c>
      <c r="I371" s="27">
        <f t="shared" si="166"/>
        <v>9744.42</v>
      </c>
      <c r="J371" s="27">
        <f t="shared" si="166"/>
        <v>8338.34</v>
      </c>
      <c r="K371" s="16">
        <f t="shared" si="148"/>
        <v>0</v>
      </c>
      <c r="L371" s="27">
        <f t="shared" si="166"/>
        <v>3544.42</v>
      </c>
      <c r="M371" s="16">
        <f t="shared" si="150"/>
        <v>0</v>
      </c>
      <c r="N371" s="27">
        <f t="shared" si="166"/>
        <v>9744.42</v>
      </c>
      <c r="O371" s="16">
        <f t="shared" si="151"/>
        <v>0</v>
      </c>
    </row>
    <row r="372" spans="1:15" s="109" customFormat="1" ht="51">
      <c r="A372" s="12" t="s">
        <v>315</v>
      </c>
      <c r="B372" s="25" t="s">
        <v>75</v>
      </c>
      <c r="C372" s="26" t="s">
        <v>65</v>
      </c>
      <c r="D372" s="26" t="s">
        <v>84</v>
      </c>
      <c r="E372" s="26" t="s">
        <v>314</v>
      </c>
      <c r="F372" s="26" t="s">
        <v>58</v>
      </c>
      <c r="G372" s="27">
        <f t="shared" si="166"/>
        <v>8338.34</v>
      </c>
      <c r="H372" s="27">
        <f t="shared" si="166"/>
        <v>3544.42</v>
      </c>
      <c r="I372" s="27">
        <f t="shared" si="166"/>
        <v>9744.42</v>
      </c>
      <c r="J372" s="27">
        <f t="shared" si="166"/>
        <v>8338.34</v>
      </c>
      <c r="K372" s="16">
        <f t="shared" si="148"/>
        <v>0</v>
      </c>
      <c r="L372" s="27">
        <f t="shared" si="166"/>
        <v>3544.42</v>
      </c>
      <c r="M372" s="16">
        <f t="shared" si="150"/>
        <v>0</v>
      </c>
      <c r="N372" s="27">
        <f t="shared" si="166"/>
        <v>9744.42</v>
      </c>
      <c r="O372" s="16">
        <f t="shared" si="151"/>
        <v>0</v>
      </c>
    </row>
    <row r="373" spans="1:15" s="109" customFormat="1" ht="25.5">
      <c r="A373" s="11" t="s">
        <v>130</v>
      </c>
      <c r="B373" s="25" t="s">
        <v>75</v>
      </c>
      <c r="C373" s="26" t="s">
        <v>65</v>
      </c>
      <c r="D373" s="26" t="s">
        <v>84</v>
      </c>
      <c r="E373" s="26" t="s">
        <v>570</v>
      </c>
      <c r="F373" s="26" t="s">
        <v>58</v>
      </c>
      <c r="G373" s="27">
        <f t="shared" si="166"/>
        <v>8338.34</v>
      </c>
      <c r="H373" s="27">
        <f t="shared" si="166"/>
        <v>3544.42</v>
      </c>
      <c r="I373" s="27">
        <f t="shared" si="166"/>
        <v>9744.42</v>
      </c>
      <c r="J373" s="27">
        <f t="shared" si="166"/>
        <v>8338.34</v>
      </c>
      <c r="K373" s="16">
        <f t="shared" si="148"/>
        <v>0</v>
      </c>
      <c r="L373" s="27">
        <f t="shared" si="166"/>
        <v>3544.42</v>
      </c>
      <c r="M373" s="16">
        <f t="shared" si="150"/>
        <v>0</v>
      </c>
      <c r="N373" s="27">
        <f t="shared" si="166"/>
        <v>9744.42</v>
      </c>
      <c r="O373" s="16">
        <f t="shared" si="151"/>
        <v>0</v>
      </c>
    </row>
    <row r="374" spans="1:15" s="109" customFormat="1" ht="12.75">
      <c r="A374" s="11" t="s">
        <v>96</v>
      </c>
      <c r="B374" s="25" t="s">
        <v>75</v>
      </c>
      <c r="C374" s="26" t="s">
        <v>65</v>
      </c>
      <c r="D374" s="26" t="s">
        <v>84</v>
      </c>
      <c r="E374" s="26" t="s">
        <v>570</v>
      </c>
      <c r="F374" s="26" t="s">
        <v>131</v>
      </c>
      <c r="G374" s="27">
        <f>G375</f>
        <v>8338.34</v>
      </c>
      <c r="H374" s="27">
        <f t="shared" si="166"/>
        <v>3544.42</v>
      </c>
      <c r="I374" s="27">
        <f t="shared" si="166"/>
        <v>9744.42</v>
      </c>
      <c r="J374" s="27">
        <f>10827.13-2488.79</f>
        <v>8338.34</v>
      </c>
      <c r="K374" s="16">
        <f t="shared" si="148"/>
        <v>0</v>
      </c>
      <c r="L374" s="27">
        <f>9744.42-6200</f>
        <v>3544.42</v>
      </c>
      <c r="M374" s="16">
        <f t="shared" si="150"/>
        <v>0</v>
      </c>
      <c r="N374" s="27">
        <f>9744.42</f>
        <v>9744.42</v>
      </c>
      <c r="O374" s="16">
        <f t="shared" si="151"/>
        <v>0</v>
      </c>
    </row>
    <row r="375" spans="1:15" s="110" customFormat="1" ht="25.5">
      <c r="A375" s="12" t="s">
        <v>1044</v>
      </c>
      <c r="B375" s="25" t="s">
        <v>75</v>
      </c>
      <c r="C375" s="26" t="s">
        <v>65</v>
      </c>
      <c r="D375" s="26" t="s">
        <v>84</v>
      </c>
      <c r="E375" s="26" t="s">
        <v>570</v>
      </c>
      <c r="F375" s="26" t="s">
        <v>1045</v>
      </c>
      <c r="G375" s="27">
        <f>10827.13-2488.79</f>
        <v>8338.34</v>
      </c>
      <c r="H375" s="27">
        <f>9744.42-6200</f>
        <v>3544.42</v>
      </c>
      <c r="I375" s="27">
        <f>9744.42</f>
        <v>9744.42</v>
      </c>
      <c r="J375" s="80"/>
      <c r="K375" s="16">
        <f t="shared" si="148"/>
        <v>-8338.34</v>
      </c>
      <c r="L375" s="80"/>
      <c r="M375" s="16">
        <f t="shared" si="150"/>
        <v>-3544.42</v>
      </c>
      <c r="N375" s="80"/>
      <c r="O375" s="16">
        <f t="shared" si="151"/>
        <v>-9744.42</v>
      </c>
    </row>
    <row r="376" spans="1:15" s="109" customFormat="1" ht="38.25">
      <c r="A376" s="11" t="s">
        <v>683</v>
      </c>
      <c r="B376" s="25" t="s">
        <v>75</v>
      </c>
      <c r="C376" s="26" t="s">
        <v>65</v>
      </c>
      <c r="D376" s="26" t="s">
        <v>84</v>
      </c>
      <c r="E376" s="26" t="s">
        <v>680</v>
      </c>
      <c r="F376" s="26" t="s">
        <v>58</v>
      </c>
      <c r="G376" s="27">
        <f>G377</f>
        <v>18704.79</v>
      </c>
      <c r="H376" s="27">
        <f>H377</f>
        <v>18704.79</v>
      </c>
      <c r="I376" s="27">
        <f>I377</f>
        <v>18704.79</v>
      </c>
      <c r="J376" s="27">
        <f>J377</f>
        <v>18704.79</v>
      </c>
      <c r="K376" s="16">
        <f t="shared" si="148"/>
        <v>0</v>
      </c>
      <c r="L376" s="27">
        <f>L377</f>
        <v>18704.79</v>
      </c>
      <c r="M376" s="16">
        <f t="shared" si="150"/>
        <v>0</v>
      </c>
      <c r="N376" s="27">
        <f>N377</f>
        <v>18704.79</v>
      </c>
      <c r="O376" s="16">
        <f t="shared" si="151"/>
        <v>0</v>
      </c>
    </row>
    <row r="377" spans="1:15" s="109" customFormat="1" ht="12.75">
      <c r="A377" s="11" t="s">
        <v>684</v>
      </c>
      <c r="B377" s="25" t="s">
        <v>75</v>
      </c>
      <c r="C377" s="26" t="s">
        <v>65</v>
      </c>
      <c r="D377" s="26" t="s">
        <v>84</v>
      </c>
      <c r="E377" s="26" t="s">
        <v>681</v>
      </c>
      <c r="F377" s="26" t="s">
        <v>58</v>
      </c>
      <c r="G377" s="27">
        <f>G378+G380</f>
        <v>18704.79</v>
      </c>
      <c r="H377" s="27">
        <f>H378+H380</f>
        <v>18704.79</v>
      </c>
      <c r="I377" s="27">
        <f>I378+I380</f>
        <v>18704.79</v>
      </c>
      <c r="J377" s="27">
        <f>J378+J380</f>
        <v>18704.79</v>
      </c>
      <c r="K377" s="16">
        <f t="shared" si="148"/>
        <v>0</v>
      </c>
      <c r="L377" s="27">
        <f>L378+L380</f>
        <v>18704.79</v>
      </c>
      <c r="M377" s="16">
        <f t="shared" si="150"/>
        <v>0</v>
      </c>
      <c r="N377" s="27">
        <f>N378+N380</f>
        <v>18704.79</v>
      </c>
      <c r="O377" s="16">
        <f t="shared" si="151"/>
        <v>0</v>
      </c>
    </row>
    <row r="378" spans="1:15" s="109" customFormat="1" ht="25.5">
      <c r="A378" s="11" t="s">
        <v>602</v>
      </c>
      <c r="B378" s="25" t="s">
        <v>75</v>
      </c>
      <c r="C378" s="26" t="s">
        <v>65</v>
      </c>
      <c r="D378" s="26" t="s">
        <v>84</v>
      </c>
      <c r="E378" s="26" t="s">
        <v>685</v>
      </c>
      <c r="F378" s="26" t="s">
        <v>58</v>
      </c>
      <c r="G378" s="27">
        <f>G379</f>
        <v>2000</v>
      </c>
      <c r="H378" s="27">
        <f>H379</f>
        <v>2000</v>
      </c>
      <c r="I378" s="27">
        <f>I379</f>
        <v>2000</v>
      </c>
      <c r="J378" s="27">
        <f>J379</f>
        <v>2000</v>
      </c>
      <c r="K378" s="16">
        <f t="shared" si="148"/>
        <v>0</v>
      </c>
      <c r="L378" s="27">
        <f>L379</f>
        <v>2000</v>
      </c>
      <c r="M378" s="16">
        <f t="shared" si="150"/>
        <v>0</v>
      </c>
      <c r="N378" s="27">
        <f>N379</f>
        <v>2000</v>
      </c>
      <c r="O378" s="16">
        <f t="shared" si="151"/>
        <v>0</v>
      </c>
    </row>
    <row r="379" spans="1:15" s="109" customFormat="1" ht="12.75">
      <c r="A379" s="34" t="s">
        <v>99</v>
      </c>
      <c r="B379" s="25" t="s">
        <v>75</v>
      </c>
      <c r="C379" s="26" t="s">
        <v>65</v>
      </c>
      <c r="D379" s="26" t="s">
        <v>84</v>
      </c>
      <c r="E379" s="26" t="s">
        <v>685</v>
      </c>
      <c r="F379" s="26" t="s">
        <v>105</v>
      </c>
      <c r="G379" s="27">
        <f>2000</f>
        <v>2000</v>
      </c>
      <c r="H379" s="27">
        <f>2000</f>
        <v>2000</v>
      </c>
      <c r="I379" s="27">
        <f>2000</f>
        <v>2000</v>
      </c>
      <c r="J379" s="27">
        <f>2000</f>
        <v>2000</v>
      </c>
      <c r="K379" s="16">
        <f t="shared" si="148"/>
        <v>0</v>
      </c>
      <c r="L379" s="27">
        <f>2000</f>
        <v>2000</v>
      </c>
      <c r="M379" s="16">
        <f t="shared" si="150"/>
        <v>0</v>
      </c>
      <c r="N379" s="27">
        <f>2000</f>
        <v>2000</v>
      </c>
      <c r="O379" s="16">
        <f t="shared" si="151"/>
        <v>0</v>
      </c>
    </row>
    <row r="380" spans="1:15" s="109" customFormat="1" ht="89.25">
      <c r="A380" s="115" t="s">
        <v>601</v>
      </c>
      <c r="B380" s="25" t="s">
        <v>75</v>
      </c>
      <c r="C380" s="26" t="s">
        <v>65</v>
      </c>
      <c r="D380" s="26" t="s">
        <v>84</v>
      </c>
      <c r="E380" s="26" t="s">
        <v>686</v>
      </c>
      <c r="F380" s="26" t="s">
        <v>58</v>
      </c>
      <c r="G380" s="27">
        <f>G381</f>
        <v>16704.79</v>
      </c>
      <c r="H380" s="27">
        <f>H381</f>
        <v>16704.79</v>
      </c>
      <c r="I380" s="27">
        <f>I381</f>
        <v>16704.79</v>
      </c>
      <c r="J380" s="27">
        <f>J381</f>
        <v>16704.79</v>
      </c>
      <c r="K380" s="16">
        <f t="shared" si="148"/>
        <v>0</v>
      </c>
      <c r="L380" s="27">
        <f>L381</f>
        <v>16704.79</v>
      </c>
      <c r="M380" s="16">
        <f t="shared" si="150"/>
        <v>0</v>
      </c>
      <c r="N380" s="27">
        <f>N381</f>
        <v>16704.79</v>
      </c>
      <c r="O380" s="16">
        <f t="shared" si="151"/>
        <v>0</v>
      </c>
    </row>
    <row r="381" spans="1:15" s="109" customFormat="1" ht="12.75">
      <c r="A381" s="34" t="s">
        <v>99</v>
      </c>
      <c r="B381" s="25" t="s">
        <v>75</v>
      </c>
      <c r="C381" s="26" t="s">
        <v>65</v>
      </c>
      <c r="D381" s="26" t="s">
        <v>84</v>
      </c>
      <c r="E381" s="26" t="s">
        <v>686</v>
      </c>
      <c r="F381" s="26" t="s">
        <v>105</v>
      </c>
      <c r="G381" s="27">
        <f>16704.79</f>
        <v>16704.79</v>
      </c>
      <c r="H381" s="27">
        <f t="shared" ref="H381:N381" si="167">16704.79</f>
        <v>16704.79</v>
      </c>
      <c r="I381" s="27">
        <f t="shared" si="167"/>
        <v>16704.79</v>
      </c>
      <c r="J381" s="27">
        <f>16704.79</f>
        <v>16704.79</v>
      </c>
      <c r="K381" s="16">
        <f t="shared" si="148"/>
        <v>0</v>
      </c>
      <c r="L381" s="27">
        <f t="shared" si="167"/>
        <v>16704.79</v>
      </c>
      <c r="M381" s="16">
        <f t="shared" si="150"/>
        <v>0</v>
      </c>
      <c r="N381" s="27">
        <f t="shared" si="167"/>
        <v>16704.79</v>
      </c>
      <c r="O381" s="16">
        <f t="shared" si="151"/>
        <v>0</v>
      </c>
    </row>
    <row r="382" spans="1:15" s="109" customFormat="1" ht="12.75">
      <c r="A382" s="17" t="s">
        <v>85</v>
      </c>
      <c r="B382" s="18" t="s">
        <v>75</v>
      </c>
      <c r="C382" s="19" t="s">
        <v>84</v>
      </c>
      <c r="D382" s="19" t="s">
        <v>51</v>
      </c>
      <c r="E382" s="19" t="s">
        <v>196</v>
      </c>
      <c r="F382" s="19" t="s">
        <v>58</v>
      </c>
      <c r="G382" s="20">
        <f t="shared" ref="G382:N387" si="168">G383</f>
        <v>164710</v>
      </c>
      <c r="H382" s="20">
        <f t="shared" si="168"/>
        <v>200042</v>
      </c>
      <c r="I382" s="20">
        <f t="shared" si="168"/>
        <v>241728</v>
      </c>
      <c r="J382" s="20">
        <f t="shared" si="168"/>
        <v>164710</v>
      </c>
      <c r="K382" s="16">
        <f t="shared" si="148"/>
        <v>0</v>
      </c>
      <c r="L382" s="20">
        <f t="shared" si="168"/>
        <v>200042</v>
      </c>
      <c r="M382" s="16">
        <f t="shared" si="150"/>
        <v>0</v>
      </c>
      <c r="N382" s="20">
        <f t="shared" si="168"/>
        <v>241728</v>
      </c>
      <c r="O382" s="16">
        <f t="shared" si="151"/>
        <v>0</v>
      </c>
    </row>
    <row r="383" spans="1:15" s="109" customFormat="1" ht="25.5">
      <c r="A383" s="21" t="s">
        <v>86</v>
      </c>
      <c r="B383" s="22" t="s">
        <v>75</v>
      </c>
      <c r="C383" s="23" t="s">
        <v>84</v>
      </c>
      <c r="D383" s="23" t="s">
        <v>65</v>
      </c>
      <c r="E383" s="23" t="s">
        <v>196</v>
      </c>
      <c r="F383" s="23" t="s">
        <v>58</v>
      </c>
      <c r="G383" s="24">
        <f t="shared" si="168"/>
        <v>164710</v>
      </c>
      <c r="H383" s="24">
        <f t="shared" si="168"/>
        <v>200042</v>
      </c>
      <c r="I383" s="24">
        <f t="shared" si="168"/>
        <v>241728</v>
      </c>
      <c r="J383" s="24">
        <f t="shared" si="168"/>
        <v>164710</v>
      </c>
      <c r="K383" s="16">
        <f t="shared" si="148"/>
        <v>0</v>
      </c>
      <c r="L383" s="24">
        <f t="shared" si="168"/>
        <v>200042</v>
      </c>
      <c r="M383" s="16">
        <f t="shared" si="150"/>
        <v>0</v>
      </c>
      <c r="N383" s="24">
        <f t="shared" si="168"/>
        <v>241728</v>
      </c>
      <c r="O383" s="16">
        <f t="shared" si="151"/>
        <v>0</v>
      </c>
    </row>
    <row r="384" spans="1:15" s="109" customFormat="1" ht="25.5">
      <c r="A384" s="12" t="s">
        <v>743</v>
      </c>
      <c r="B384" s="25" t="s">
        <v>75</v>
      </c>
      <c r="C384" s="26" t="s">
        <v>84</v>
      </c>
      <c r="D384" s="26" t="s">
        <v>65</v>
      </c>
      <c r="E384" s="26" t="s">
        <v>311</v>
      </c>
      <c r="F384" s="26" t="s">
        <v>58</v>
      </c>
      <c r="G384" s="27">
        <f t="shared" si="168"/>
        <v>164710</v>
      </c>
      <c r="H384" s="27">
        <f t="shared" si="168"/>
        <v>200042</v>
      </c>
      <c r="I384" s="27">
        <f t="shared" si="168"/>
        <v>241728</v>
      </c>
      <c r="J384" s="27">
        <f t="shared" si="168"/>
        <v>164710</v>
      </c>
      <c r="K384" s="16">
        <f t="shared" si="148"/>
        <v>0</v>
      </c>
      <c r="L384" s="27">
        <f t="shared" si="168"/>
        <v>200042</v>
      </c>
      <c r="M384" s="16">
        <f t="shared" si="150"/>
        <v>0</v>
      </c>
      <c r="N384" s="27">
        <f t="shared" si="168"/>
        <v>241728</v>
      </c>
      <c r="O384" s="16">
        <f t="shared" si="151"/>
        <v>0</v>
      </c>
    </row>
    <row r="385" spans="1:15" s="109" customFormat="1" ht="38.25">
      <c r="A385" s="12" t="s">
        <v>744</v>
      </c>
      <c r="B385" s="25" t="s">
        <v>75</v>
      </c>
      <c r="C385" s="26" t="s">
        <v>84</v>
      </c>
      <c r="D385" s="26" t="s">
        <v>65</v>
      </c>
      <c r="E385" s="26" t="s">
        <v>312</v>
      </c>
      <c r="F385" s="26" t="s">
        <v>58</v>
      </c>
      <c r="G385" s="27">
        <f t="shared" si="168"/>
        <v>164710</v>
      </c>
      <c r="H385" s="27">
        <f t="shared" si="168"/>
        <v>200042</v>
      </c>
      <c r="I385" s="27">
        <f t="shared" si="168"/>
        <v>241728</v>
      </c>
      <c r="J385" s="27">
        <f t="shared" si="168"/>
        <v>164710</v>
      </c>
      <c r="K385" s="16">
        <f t="shared" si="148"/>
        <v>0</v>
      </c>
      <c r="L385" s="27">
        <f t="shared" si="168"/>
        <v>200042</v>
      </c>
      <c r="M385" s="16">
        <f t="shared" si="150"/>
        <v>0</v>
      </c>
      <c r="N385" s="27">
        <f t="shared" si="168"/>
        <v>241728</v>
      </c>
      <c r="O385" s="16">
        <f t="shared" si="151"/>
        <v>0</v>
      </c>
    </row>
    <row r="386" spans="1:15" s="109" customFormat="1" ht="38.25">
      <c r="A386" s="12" t="s">
        <v>316</v>
      </c>
      <c r="B386" s="25" t="s">
        <v>75</v>
      </c>
      <c r="C386" s="26" t="s">
        <v>84</v>
      </c>
      <c r="D386" s="26" t="s">
        <v>65</v>
      </c>
      <c r="E386" s="26" t="s">
        <v>317</v>
      </c>
      <c r="F386" s="26" t="s">
        <v>58</v>
      </c>
      <c r="G386" s="27">
        <f t="shared" si="168"/>
        <v>164710</v>
      </c>
      <c r="H386" s="27">
        <f t="shared" si="168"/>
        <v>200042</v>
      </c>
      <c r="I386" s="27">
        <f t="shared" si="168"/>
        <v>241728</v>
      </c>
      <c r="J386" s="27">
        <f t="shared" si="168"/>
        <v>164710</v>
      </c>
      <c r="K386" s="16">
        <f t="shared" si="148"/>
        <v>0</v>
      </c>
      <c r="L386" s="27">
        <f t="shared" si="168"/>
        <v>200042</v>
      </c>
      <c r="M386" s="16">
        <f t="shared" si="150"/>
        <v>0</v>
      </c>
      <c r="N386" s="27">
        <f t="shared" si="168"/>
        <v>241728</v>
      </c>
      <c r="O386" s="16">
        <f t="shared" si="151"/>
        <v>0</v>
      </c>
    </row>
    <row r="387" spans="1:15" s="109" customFormat="1" ht="12.75">
      <c r="A387" s="12" t="s">
        <v>95</v>
      </c>
      <c r="B387" s="25" t="s">
        <v>75</v>
      </c>
      <c r="C387" s="26" t="s">
        <v>84</v>
      </c>
      <c r="D387" s="26" t="s">
        <v>65</v>
      </c>
      <c r="E387" s="26" t="s">
        <v>318</v>
      </c>
      <c r="F387" s="26" t="s">
        <v>58</v>
      </c>
      <c r="G387" s="27">
        <f t="shared" si="168"/>
        <v>164710</v>
      </c>
      <c r="H387" s="27">
        <f t="shared" si="168"/>
        <v>200042</v>
      </c>
      <c r="I387" s="27">
        <f t="shared" si="168"/>
        <v>241728</v>
      </c>
      <c r="J387" s="27">
        <f t="shared" si="168"/>
        <v>164710</v>
      </c>
      <c r="K387" s="16">
        <f t="shared" si="148"/>
        <v>0</v>
      </c>
      <c r="L387" s="27">
        <f t="shared" si="168"/>
        <v>200042</v>
      </c>
      <c r="M387" s="16">
        <f t="shared" si="150"/>
        <v>0</v>
      </c>
      <c r="N387" s="27">
        <f t="shared" si="168"/>
        <v>241728</v>
      </c>
      <c r="O387" s="16">
        <f t="shared" si="151"/>
        <v>0</v>
      </c>
    </row>
    <row r="388" spans="1:15" s="109" customFormat="1" ht="12.75">
      <c r="A388" s="12" t="s">
        <v>94</v>
      </c>
      <c r="B388" s="25" t="s">
        <v>75</v>
      </c>
      <c r="C388" s="26" t="s">
        <v>84</v>
      </c>
      <c r="D388" s="26" t="s">
        <v>65</v>
      </c>
      <c r="E388" s="26" t="s">
        <v>318</v>
      </c>
      <c r="F388" s="26" t="s">
        <v>132</v>
      </c>
      <c r="G388" s="27">
        <f>164710</f>
        <v>164710</v>
      </c>
      <c r="H388" s="27">
        <f>200042</f>
        <v>200042</v>
      </c>
      <c r="I388" s="27">
        <f>241728</f>
        <v>241728</v>
      </c>
      <c r="J388" s="27">
        <f>164710</f>
        <v>164710</v>
      </c>
      <c r="K388" s="16">
        <f t="shared" ref="K388:K447" si="169">J388-G388</f>
        <v>0</v>
      </c>
      <c r="L388" s="27">
        <f>200042</f>
        <v>200042</v>
      </c>
      <c r="M388" s="16">
        <f t="shared" ref="M388:M447" si="170">L388-H388</f>
        <v>0</v>
      </c>
      <c r="N388" s="27">
        <f>241728</f>
        <v>241728</v>
      </c>
      <c r="O388" s="16">
        <f t="shared" ref="O388:O447" si="171">N388-I388</f>
        <v>0</v>
      </c>
    </row>
    <row r="389" spans="1:15" s="99" customFormat="1" ht="12.75">
      <c r="A389" s="93"/>
      <c r="B389" s="92"/>
      <c r="C389" s="70"/>
      <c r="D389" s="70"/>
      <c r="E389" s="70"/>
      <c r="F389" s="70"/>
      <c r="G389" s="72"/>
      <c r="H389" s="72"/>
      <c r="I389" s="72"/>
      <c r="J389" s="72"/>
      <c r="K389" s="91">
        <f t="shared" si="169"/>
        <v>0</v>
      </c>
      <c r="L389" s="72"/>
      <c r="M389" s="91">
        <f t="shared" si="170"/>
        <v>0</v>
      </c>
      <c r="N389" s="72"/>
      <c r="O389" s="91">
        <f t="shared" si="171"/>
        <v>0</v>
      </c>
    </row>
    <row r="390" spans="1:15" s="3" customFormat="1" ht="25.5">
      <c r="A390" s="28" t="s">
        <v>87</v>
      </c>
      <c r="B390" s="14" t="s">
        <v>68</v>
      </c>
      <c r="C390" s="15" t="s">
        <v>51</v>
      </c>
      <c r="D390" s="15" t="s">
        <v>51</v>
      </c>
      <c r="E390" s="15" t="s">
        <v>196</v>
      </c>
      <c r="F390" s="15" t="s">
        <v>58</v>
      </c>
      <c r="G390" s="29">
        <f>G391+G422+G414</f>
        <v>32190.38</v>
      </c>
      <c r="H390" s="29">
        <f>H391+H422+H414</f>
        <v>31515.759999999998</v>
      </c>
      <c r="I390" s="29">
        <f>I391+I422+I414</f>
        <v>31515.759999999998</v>
      </c>
      <c r="J390" s="29">
        <f>J391+J422+J414</f>
        <v>32190.38</v>
      </c>
      <c r="K390" s="16">
        <f t="shared" si="169"/>
        <v>0</v>
      </c>
      <c r="L390" s="29">
        <f>L391+L422+L414</f>
        <v>31515.759999999998</v>
      </c>
      <c r="M390" s="16">
        <f t="shared" si="170"/>
        <v>0</v>
      </c>
      <c r="N390" s="29">
        <f>N391+N422+N414</f>
        <v>31515.759999999998</v>
      </c>
      <c r="O390" s="16">
        <f t="shared" si="171"/>
        <v>0</v>
      </c>
    </row>
    <row r="391" spans="1:15" s="116" customFormat="1">
      <c r="A391" s="17" t="s">
        <v>64</v>
      </c>
      <c r="B391" s="18" t="s">
        <v>68</v>
      </c>
      <c r="C391" s="19" t="s">
        <v>65</v>
      </c>
      <c r="D391" s="19" t="s">
        <v>51</v>
      </c>
      <c r="E391" s="19" t="s">
        <v>196</v>
      </c>
      <c r="F391" s="19" t="s">
        <v>58</v>
      </c>
      <c r="G391" s="20">
        <f t="shared" ref="G391:N399" si="172">G392</f>
        <v>28446.74</v>
      </c>
      <c r="H391" s="20">
        <f t="shared" si="172"/>
        <v>28278.44</v>
      </c>
      <c r="I391" s="20">
        <f t="shared" si="172"/>
        <v>28278.44</v>
      </c>
      <c r="J391" s="20">
        <f t="shared" si="172"/>
        <v>28446.74</v>
      </c>
      <c r="K391" s="16">
        <f t="shared" si="169"/>
        <v>0</v>
      </c>
      <c r="L391" s="20">
        <f t="shared" si="172"/>
        <v>28278.44</v>
      </c>
      <c r="M391" s="16">
        <f t="shared" si="170"/>
        <v>0</v>
      </c>
      <c r="N391" s="20">
        <f t="shared" si="172"/>
        <v>28278.44</v>
      </c>
      <c r="O391" s="16">
        <f t="shared" si="171"/>
        <v>0</v>
      </c>
    </row>
    <row r="392" spans="1:15" s="4" customFormat="1">
      <c r="A392" s="21" t="s">
        <v>38</v>
      </c>
      <c r="B392" s="22" t="s">
        <v>68</v>
      </c>
      <c r="C392" s="23" t="s">
        <v>65</v>
      </c>
      <c r="D392" s="23" t="s">
        <v>84</v>
      </c>
      <c r="E392" s="23" t="s">
        <v>196</v>
      </c>
      <c r="F392" s="23" t="s">
        <v>58</v>
      </c>
      <c r="G392" s="24">
        <f>G399+G393</f>
        <v>28446.74</v>
      </c>
      <c r="H392" s="24">
        <f t="shared" ref="H392:I392" si="173">H399+H393</f>
        <v>28278.44</v>
      </c>
      <c r="I392" s="24">
        <f t="shared" si="173"/>
        <v>28278.44</v>
      </c>
      <c r="J392" s="24">
        <f>J399+J393</f>
        <v>28446.74</v>
      </c>
      <c r="K392" s="16">
        <f t="shared" si="169"/>
        <v>0</v>
      </c>
      <c r="L392" s="24">
        <f t="shared" ref="L392:N392" si="174">L399+L393</f>
        <v>28278.44</v>
      </c>
      <c r="M392" s="16">
        <f t="shared" si="170"/>
        <v>0</v>
      </c>
      <c r="N392" s="24">
        <f t="shared" si="174"/>
        <v>28278.44</v>
      </c>
      <c r="O392" s="16">
        <f t="shared" si="171"/>
        <v>0</v>
      </c>
    </row>
    <row r="393" spans="1:15" s="3" customFormat="1" ht="38.25">
      <c r="A393" s="11" t="s">
        <v>752</v>
      </c>
      <c r="B393" s="25" t="s">
        <v>68</v>
      </c>
      <c r="C393" s="26" t="s">
        <v>65</v>
      </c>
      <c r="D393" s="26" t="s">
        <v>84</v>
      </c>
      <c r="E393" s="26" t="s">
        <v>249</v>
      </c>
      <c r="F393" s="26" t="s">
        <v>58</v>
      </c>
      <c r="G393" s="27">
        <f t="shared" ref="G393:N397" si="175">G394</f>
        <v>7.65</v>
      </c>
      <c r="H393" s="27">
        <f t="shared" si="175"/>
        <v>6.89</v>
      </c>
      <c r="I393" s="27">
        <f t="shared" si="175"/>
        <v>6.89</v>
      </c>
      <c r="J393" s="27">
        <f t="shared" si="175"/>
        <v>7.65</v>
      </c>
      <c r="K393" s="16">
        <f t="shared" si="169"/>
        <v>0</v>
      </c>
      <c r="L393" s="27">
        <f t="shared" si="175"/>
        <v>6.89</v>
      </c>
      <c r="M393" s="16">
        <f t="shared" si="170"/>
        <v>0</v>
      </c>
      <c r="N393" s="27">
        <f t="shared" si="175"/>
        <v>6.89</v>
      </c>
      <c r="O393" s="16">
        <f t="shared" si="171"/>
        <v>0</v>
      </c>
    </row>
    <row r="394" spans="1:15" s="3" customFormat="1" ht="25.5">
      <c r="A394" s="11" t="s">
        <v>879</v>
      </c>
      <c r="B394" s="25" t="s">
        <v>68</v>
      </c>
      <c r="C394" s="26" t="s">
        <v>65</v>
      </c>
      <c r="D394" s="26" t="s">
        <v>84</v>
      </c>
      <c r="E394" s="26" t="s">
        <v>256</v>
      </c>
      <c r="F394" s="26" t="s">
        <v>58</v>
      </c>
      <c r="G394" s="27">
        <f t="shared" si="175"/>
        <v>7.65</v>
      </c>
      <c r="H394" s="27">
        <f t="shared" si="175"/>
        <v>6.89</v>
      </c>
      <c r="I394" s="27">
        <f t="shared" si="175"/>
        <v>6.89</v>
      </c>
      <c r="J394" s="27">
        <f t="shared" si="175"/>
        <v>7.65</v>
      </c>
      <c r="K394" s="16">
        <f t="shared" si="169"/>
        <v>0</v>
      </c>
      <c r="L394" s="27">
        <f t="shared" si="175"/>
        <v>6.89</v>
      </c>
      <c r="M394" s="16">
        <f t="shared" si="170"/>
        <v>0</v>
      </c>
      <c r="N394" s="27">
        <f t="shared" si="175"/>
        <v>6.89</v>
      </c>
      <c r="O394" s="16">
        <f t="shared" si="171"/>
        <v>0</v>
      </c>
    </row>
    <row r="395" spans="1:15" s="3" customFormat="1" ht="25.5">
      <c r="A395" s="11" t="s">
        <v>616</v>
      </c>
      <c r="B395" s="25" t="s">
        <v>68</v>
      </c>
      <c r="C395" s="26" t="s">
        <v>65</v>
      </c>
      <c r="D395" s="26" t="s">
        <v>84</v>
      </c>
      <c r="E395" s="26" t="s">
        <v>321</v>
      </c>
      <c r="F395" s="26" t="s">
        <v>58</v>
      </c>
      <c r="G395" s="27">
        <f t="shared" si="175"/>
        <v>7.65</v>
      </c>
      <c r="H395" s="27">
        <f t="shared" si="175"/>
        <v>6.89</v>
      </c>
      <c r="I395" s="27">
        <f t="shared" si="175"/>
        <v>6.89</v>
      </c>
      <c r="J395" s="27">
        <f t="shared" si="175"/>
        <v>7.65</v>
      </c>
      <c r="K395" s="16">
        <f t="shared" si="169"/>
        <v>0</v>
      </c>
      <c r="L395" s="27">
        <f t="shared" si="175"/>
        <v>6.89</v>
      </c>
      <c r="M395" s="16">
        <f t="shared" si="170"/>
        <v>0</v>
      </c>
      <c r="N395" s="27">
        <f t="shared" si="175"/>
        <v>6.89</v>
      </c>
      <c r="O395" s="16">
        <f t="shared" si="171"/>
        <v>0</v>
      </c>
    </row>
    <row r="396" spans="1:15" s="3" customFormat="1" ht="25.5">
      <c r="A396" s="11" t="s">
        <v>133</v>
      </c>
      <c r="B396" s="25" t="s">
        <v>68</v>
      </c>
      <c r="C396" s="26" t="s">
        <v>65</v>
      </c>
      <c r="D396" s="26" t="s">
        <v>84</v>
      </c>
      <c r="E396" s="26" t="s">
        <v>322</v>
      </c>
      <c r="F396" s="26" t="s">
        <v>58</v>
      </c>
      <c r="G396" s="27">
        <f t="shared" si="175"/>
        <v>7.65</v>
      </c>
      <c r="H396" s="27">
        <f t="shared" si="175"/>
        <v>6.89</v>
      </c>
      <c r="I396" s="27">
        <f t="shared" si="175"/>
        <v>6.89</v>
      </c>
      <c r="J396" s="27">
        <f t="shared" si="175"/>
        <v>7.65</v>
      </c>
      <c r="K396" s="16">
        <f t="shared" si="169"/>
        <v>0</v>
      </c>
      <c r="L396" s="27">
        <f t="shared" si="175"/>
        <v>6.89</v>
      </c>
      <c r="M396" s="16">
        <f t="shared" si="170"/>
        <v>0</v>
      </c>
      <c r="N396" s="27">
        <f t="shared" si="175"/>
        <v>6.89</v>
      </c>
      <c r="O396" s="16">
        <f t="shared" si="171"/>
        <v>0</v>
      </c>
    </row>
    <row r="397" spans="1:15" s="3" customFormat="1" ht="25.5">
      <c r="A397" s="11" t="s">
        <v>108</v>
      </c>
      <c r="B397" s="25" t="s">
        <v>68</v>
      </c>
      <c r="C397" s="26" t="s">
        <v>65</v>
      </c>
      <c r="D397" s="26" t="s">
        <v>84</v>
      </c>
      <c r="E397" s="26" t="s">
        <v>322</v>
      </c>
      <c r="F397" s="26" t="s">
        <v>116</v>
      </c>
      <c r="G397" s="27">
        <f>G398</f>
        <v>7.65</v>
      </c>
      <c r="H397" s="27">
        <f t="shared" si="175"/>
        <v>6.89</v>
      </c>
      <c r="I397" s="27">
        <f t="shared" si="175"/>
        <v>6.89</v>
      </c>
      <c r="J397" s="27">
        <f>7.65</f>
        <v>7.65</v>
      </c>
      <c r="K397" s="16">
        <f t="shared" si="169"/>
        <v>0</v>
      </c>
      <c r="L397" s="27">
        <f>6.89</f>
        <v>6.89</v>
      </c>
      <c r="M397" s="16">
        <f t="shared" si="170"/>
        <v>0</v>
      </c>
      <c r="N397" s="27">
        <f>6.89</f>
        <v>6.89</v>
      </c>
      <c r="O397" s="16">
        <f t="shared" si="171"/>
        <v>0</v>
      </c>
    </row>
    <row r="398" spans="1:15" s="94" customFormat="1" ht="25.5">
      <c r="A398" s="12" t="s">
        <v>973</v>
      </c>
      <c r="B398" s="25" t="s">
        <v>68</v>
      </c>
      <c r="C398" s="26" t="s">
        <v>65</v>
      </c>
      <c r="D398" s="26" t="s">
        <v>84</v>
      </c>
      <c r="E398" s="26" t="s">
        <v>322</v>
      </c>
      <c r="F398" s="26" t="s">
        <v>1043</v>
      </c>
      <c r="G398" s="27">
        <f>7.65</f>
        <v>7.65</v>
      </c>
      <c r="H398" s="27">
        <f>6.89</f>
        <v>6.89</v>
      </c>
      <c r="I398" s="27">
        <f>6.89</f>
        <v>6.89</v>
      </c>
      <c r="J398" s="81"/>
      <c r="K398" s="91">
        <f t="shared" si="169"/>
        <v>-7.65</v>
      </c>
      <c r="L398" s="81"/>
      <c r="M398" s="91">
        <f t="shared" si="170"/>
        <v>-6.89</v>
      </c>
      <c r="N398" s="81"/>
      <c r="O398" s="91">
        <f t="shared" si="171"/>
        <v>-6.89</v>
      </c>
    </row>
    <row r="399" spans="1:15" s="3" customFormat="1" ht="25.5">
      <c r="A399" s="11" t="s">
        <v>582</v>
      </c>
      <c r="B399" s="25" t="s">
        <v>68</v>
      </c>
      <c r="C399" s="26" t="s">
        <v>65</v>
      </c>
      <c r="D399" s="26" t="s">
        <v>84</v>
      </c>
      <c r="E399" s="26" t="s">
        <v>323</v>
      </c>
      <c r="F399" s="26" t="s">
        <v>58</v>
      </c>
      <c r="G399" s="27">
        <f t="shared" si="172"/>
        <v>28439.09</v>
      </c>
      <c r="H399" s="27">
        <f t="shared" si="172"/>
        <v>28271.55</v>
      </c>
      <c r="I399" s="27">
        <f t="shared" si="172"/>
        <v>28271.55</v>
      </c>
      <c r="J399" s="27">
        <f t="shared" si="172"/>
        <v>28439.09</v>
      </c>
      <c r="K399" s="16">
        <f t="shared" si="169"/>
        <v>0</v>
      </c>
      <c r="L399" s="27">
        <f t="shared" si="172"/>
        <v>28271.55</v>
      </c>
      <c r="M399" s="16">
        <f t="shared" si="170"/>
        <v>0</v>
      </c>
      <c r="N399" s="27">
        <f t="shared" si="172"/>
        <v>28271.55</v>
      </c>
      <c r="O399" s="16">
        <f t="shared" si="171"/>
        <v>0</v>
      </c>
    </row>
    <row r="400" spans="1:15" s="3" customFormat="1" ht="38.25">
      <c r="A400" s="11" t="s">
        <v>583</v>
      </c>
      <c r="B400" s="25" t="s">
        <v>68</v>
      </c>
      <c r="C400" s="26" t="s">
        <v>65</v>
      </c>
      <c r="D400" s="26" t="s">
        <v>84</v>
      </c>
      <c r="E400" s="26" t="s">
        <v>324</v>
      </c>
      <c r="F400" s="26" t="s">
        <v>58</v>
      </c>
      <c r="G400" s="27">
        <f>G401+G410</f>
        <v>28439.09</v>
      </c>
      <c r="H400" s="27">
        <f>H401+H410</f>
        <v>28271.55</v>
      </c>
      <c r="I400" s="27">
        <f>I401+I410</f>
        <v>28271.55</v>
      </c>
      <c r="J400" s="27">
        <f>J401+J410</f>
        <v>28439.09</v>
      </c>
      <c r="K400" s="16">
        <f t="shared" si="169"/>
        <v>0</v>
      </c>
      <c r="L400" s="27">
        <f>L401+L410</f>
        <v>28271.55</v>
      </c>
      <c r="M400" s="16">
        <f t="shared" si="170"/>
        <v>0</v>
      </c>
      <c r="N400" s="27">
        <f>N401+N410</f>
        <v>28271.55</v>
      </c>
      <c r="O400" s="16">
        <f t="shared" si="171"/>
        <v>0</v>
      </c>
    </row>
    <row r="401" spans="1:15" s="3" customFormat="1" ht="25.5">
      <c r="A401" s="11" t="s">
        <v>114</v>
      </c>
      <c r="B401" s="25" t="s">
        <v>68</v>
      </c>
      <c r="C401" s="26" t="s">
        <v>65</v>
      </c>
      <c r="D401" s="26" t="s">
        <v>84</v>
      </c>
      <c r="E401" s="26" t="s">
        <v>325</v>
      </c>
      <c r="F401" s="26" t="s">
        <v>58</v>
      </c>
      <c r="G401" s="27">
        <f>G402+G405+G407</f>
        <v>3219.05</v>
      </c>
      <c r="H401" s="27">
        <f t="shared" ref="H401:I401" si="176">H402+H405+H407</f>
        <v>3051.5099999999998</v>
      </c>
      <c r="I401" s="27">
        <f t="shared" si="176"/>
        <v>3051.5099999999998</v>
      </c>
      <c r="J401" s="27">
        <f>SUM(J402:J407)</f>
        <v>3219.05</v>
      </c>
      <c r="K401" s="16">
        <f t="shared" si="169"/>
        <v>0</v>
      </c>
      <c r="L401" s="27">
        <f>SUM(L402:L407)</f>
        <v>3051.5099999999998</v>
      </c>
      <c r="M401" s="16">
        <f t="shared" si="170"/>
        <v>0</v>
      </c>
      <c r="N401" s="27">
        <f>SUM(N402:N407)</f>
        <v>3051.5099999999998</v>
      </c>
      <c r="O401" s="16">
        <f t="shared" si="171"/>
        <v>0</v>
      </c>
    </row>
    <row r="402" spans="1:15" s="3" customFormat="1" ht="25.5">
      <c r="A402" s="11" t="s">
        <v>107</v>
      </c>
      <c r="B402" s="25" t="s">
        <v>68</v>
      </c>
      <c r="C402" s="26" t="s">
        <v>65</v>
      </c>
      <c r="D402" s="26" t="s">
        <v>84</v>
      </c>
      <c r="E402" s="26" t="s">
        <v>325</v>
      </c>
      <c r="F402" s="26" t="s">
        <v>115</v>
      </c>
      <c r="G402" s="27">
        <f>SUM(G403:G404)</f>
        <v>757.89</v>
      </c>
      <c r="H402" s="27">
        <f t="shared" ref="H402:I402" si="177">SUM(H403:H404)</f>
        <v>757.89</v>
      </c>
      <c r="I402" s="27">
        <f t="shared" si="177"/>
        <v>757.89</v>
      </c>
      <c r="J402" s="27">
        <f>757.89</f>
        <v>757.89</v>
      </c>
      <c r="K402" s="16">
        <f t="shared" si="169"/>
        <v>0</v>
      </c>
      <c r="L402" s="27">
        <f t="shared" ref="L402:N402" si="178">757.89</f>
        <v>757.89</v>
      </c>
      <c r="M402" s="16">
        <f t="shared" si="170"/>
        <v>0</v>
      </c>
      <c r="N402" s="27">
        <f t="shared" si="178"/>
        <v>757.89</v>
      </c>
      <c r="O402" s="16">
        <f t="shared" si="171"/>
        <v>0</v>
      </c>
    </row>
    <row r="403" spans="1:15" s="3" customFormat="1" ht="25.5">
      <c r="A403" s="11" t="s">
        <v>937</v>
      </c>
      <c r="B403" s="25" t="s">
        <v>68</v>
      </c>
      <c r="C403" s="26" t="s">
        <v>65</v>
      </c>
      <c r="D403" s="26" t="s">
        <v>84</v>
      </c>
      <c r="E403" s="26" t="s">
        <v>325</v>
      </c>
      <c r="F403" s="26" t="s">
        <v>1059</v>
      </c>
      <c r="G403" s="27">
        <v>585.05999999999995</v>
      </c>
      <c r="H403" s="27">
        <v>585.05999999999995</v>
      </c>
      <c r="I403" s="27">
        <v>585.05999999999995</v>
      </c>
      <c r="J403" s="27"/>
      <c r="K403" s="16">
        <f t="shared" si="169"/>
        <v>-585.05999999999995</v>
      </c>
      <c r="L403" s="27"/>
      <c r="M403" s="16">
        <f t="shared" si="170"/>
        <v>-585.05999999999995</v>
      </c>
      <c r="N403" s="27"/>
      <c r="O403" s="16">
        <f t="shared" si="171"/>
        <v>-585.05999999999995</v>
      </c>
    </row>
    <row r="404" spans="1:15" s="3" customFormat="1" ht="38.25">
      <c r="A404" s="11" t="s">
        <v>939</v>
      </c>
      <c r="B404" s="25" t="s">
        <v>68</v>
      </c>
      <c r="C404" s="26" t="s">
        <v>65</v>
      </c>
      <c r="D404" s="26" t="s">
        <v>84</v>
      </c>
      <c r="E404" s="26" t="s">
        <v>325</v>
      </c>
      <c r="F404" s="26" t="s">
        <v>1060</v>
      </c>
      <c r="G404" s="27">
        <v>172.83</v>
      </c>
      <c r="H404" s="27">
        <v>172.83</v>
      </c>
      <c r="I404" s="27">
        <v>172.83</v>
      </c>
      <c r="J404" s="27"/>
      <c r="K404" s="16">
        <f t="shared" si="169"/>
        <v>-172.83</v>
      </c>
      <c r="L404" s="27"/>
      <c r="M404" s="16">
        <f t="shared" si="170"/>
        <v>-172.83</v>
      </c>
      <c r="N404" s="27"/>
      <c r="O404" s="16">
        <f t="shared" si="171"/>
        <v>-172.83</v>
      </c>
    </row>
    <row r="405" spans="1:15" s="3" customFormat="1" ht="25.5">
      <c r="A405" s="11" t="s">
        <v>108</v>
      </c>
      <c r="B405" s="25" t="s">
        <v>68</v>
      </c>
      <c r="C405" s="26" t="s">
        <v>65</v>
      </c>
      <c r="D405" s="26" t="s">
        <v>84</v>
      </c>
      <c r="E405" s="26" t="s">
        <v>325</v>
      </c>
      <c r="F405" s="26" t="s">
        <v>116</v>
      </c>
      <c r="G405" s="27">
        <f>G406</f>
        <v>2441.0100000000002</v>
      </c>
      <c r="H405" s="27">
        <f t="shared" ref="H405:I405" si="179">H406</f>
        <v>2273.4699999999998</v>
      </c>
      <c r="I405" s="27">
        <f t="shared" si="179"/>
        <v>2273.4699999999998</v>
      </c>
      <c r="J405" s="27">
        <f>2441.01</f>
        <v>2441.0100000000002</v>
      </c>
      <c r="K405" s="16">
        <f t="shared" si="169"/>
        <v>0</v>
      </c>
      <c r="L405" s="27">
        <f>2273.47</f>
        <v>2273.4699999999998</v>
      </c>
      <c r="M405" s="16">
        <f t="shared" si="170"/>
        <v>0</v>
      </c>
      <c r="N405" s="27">
        <f>2273.47</f>
        <v>2273.4699999999998</v>
      </c>
      <c r="O405" s="16">
        <f t="shared" si="171"/>
        <v>0</v>
      </c>
    </row>
    <row r="406" spans="1:15" s="4" customFormat="1" ht="25.5">
      <c r="A406" s="12" t="s">
        <v>973</v>
      </c>
      <c r="B406" s="25" t="s">
        <v>68</v>
      </c>
      <c r="C406" s="26" t="s">
        <v>65</v>
      </c>
      <c r="D406" s="26" t="s">
        <v>84</v>
      </c>
      <c r="E406" s="26" t="s">
        <v>325</v>
      </c>
      <c r="F406" s="26" t="s">
        <v>1043</v>
      </c>
      <c r="G406" s="27">
        <f>2441.01</f>
        <v>2441.0100000000002</v>
      </c>
      <c r="H406" s="27">
        <f>2273.47</f>
        <v>2273.4699999999998</v>
      </c>
      <c r="I406" s="27">
        <f>2273.47</f>
        <v>2273.4699999999998</v>
      </c>
      <c r="J406" s="80"/>
      <c r="K406" s="16">
        <f t="shared" si="169"/>
        <v>-2441.0100000000002</v>
      </c>
      <c r="L406" s="80"/>
      <c r="M406" s="16">
        <f t="shared" si="170"/>
        <v>-2273.4699999999998</v>
      </c>
      <c r="N406" s="80"/>
      <c r="O406" s="16">
        <f t="shared" si="171"/>
        <v>-2273.4699999999998</v>
      </c>
    </row>
    <row r="407" spans="1:15" s="3" customFormat="1">
      <c r="A407" s="11" t="s">
        <v>97</v>
      </c>
      <c r="B407" s="25" t="s">
        <v>68</v>
      </c>
      <c r="C407" s="26" t="s">
        <v>65</v>
      </c>
      <c r="D407" s="26" t="s">
        <v>84</v>
      </c>
      <c r="E407" s="26" t="s">
        <v>325</v>
      </c>
      <c r="F407" s="26" t="s">
        <v>118</v>
      </c>
      <c r="G407" s="27">
        <f>SUM(G408:G409)</f>
        <v>20.149999999999999</v>
      </c>
      <c r="H407" s="27">
        <f t="shared" ref="H407:I407" si="180">SUM(H408:H409)</f>
        <v>20.149999999999999</v>
      </c>
      <c r="I407" s="27">
        <f t="shared" si="180"/>
        <v>20.149999999999999</v>
      </c>
      <c r="J407" s="27">
        <f>20.15</f>
        <v>20.149999999999999</v>
      </c>
      <c r="K407" s="16">
        <f t="shared" si="169"/>
        <v>0</v>
      </c>
      <c r="L407" s="27">
        <f t="shared" ref="L407:N407" si="181">20.15</f>
        <v>20.149999999999999</v>
      </c>
      <c r="M407" s="16">
        <f t="shared" si="170"/>
        <v>0</v>
      </c>
      <c r="N407" s="27">
        <f t="shared" si="181"/>
        <v>20.149999999999999</v>
      </c>
      <c r="O407" s="16">
        <f t="shared" si="171"/>
        <v>0</v>
      </c>
    </row>
    <row r="408" spans="1:15" s="4" customFormat="1">
      <c r="A408" s="12" t="s">
        <v>1036</v>
      </c>
      <c r="B408" s="25" t="s">
        <v>68</v>
      </c>
      <c r="C408" s="26" t="s">
        <v>65</v>
      </c>
      <c r="D408" s="26" t="s">
        <v>84</v>
      </c>
      <c r="E408" s="26" t="s">
        <v>325</v>
      </c>
      <c r="F408" s="26" t="s">
        <v>1061</v>
      </c>
      <c r="G408" s="27">
        <v>1.5</v>
      </c>
      <c r="H408" s="27">
        <v>1.5</v>
      </c>
      <c r="I408" s="27">
        <v>1.5</v>
      </c>
      <c r="J408" s="80"/>
      <c r="K408" s="16">
        <f t="shared" si="169"/>
        <v>-1.5</v>
      </c>
      <c r="L408" s="80"/>
      <c r="M408" s="16">
        <f t="shared" si="170"/>
        <v>-1.5</v>
      </c>
      <c r="N408" s="80"/>
      <c r="O408" s="16">
        <f t="shared" si="171"/>
        <v>-1.5</v>
      </c>
    </row>
    <row r="409" spans="1:15" s="4" customFormat="1">
      <c r="A409" s="12" t="s">
        <v>1037</v>
      </c>
      <c r="B409" s="25" t="s">
        <v>68</v>
      </c>
      <c r="C409" s="26" t="s">
        <v>65</v>
      </c>
      <c r="D409" s="26" t="s">
        <v>84</v>
      </c>
      <c r="E409" s="26" t="s">
        <v>325</v>
      </c>
      <c r="F409" s="26" t="s">
        <v>1062</v>
      </c>
      <c r="G409" s="27">
        <v>18.649999999999999</v>
      </c>
      <c r="H409" s="27">
        <v>18.649999999999999</v>
      </c>
      <c r="I409" s="27">
        <v>18.649999999999999</v>
      </c>
      <c r="J409" s="80"/>
      <c r="K409" s="16">
        <f t="shared" si="169"/>
        <v>-18.649999999999999</v>
      </c>
      <c r="L409" s="80"/>
      <c r="M409" s="16">
        <f t="shared" si="170"/>
        <v>-18.649999999999999</v>
      </c>
      <c r="N409" s="80"/>
      <c r="O409" s="16">
        <f t="shared" si="171"/>
        <v>-18.649999999999999</v>
      </c>
    </row>
    <row r="410" spans="1:15" s="3" customFormat="1" ht="25.5">
      <c r="A410" s="11" t="s">
        <v>126</v>
      </c>
      <c r="B410" s="25" t="s">
        <v>68</v>
      </c>
      <c r="C410" s="26" t="s">
        <v>65</v>
      </c>
      <c r="D410" s="26" t="s">
        <v>84</v>
      </c>
      <c r="E410" s="26" t="s">
        <v>326</v>
      </c>
      <c r="F410" s="26" t="s">
        <v>58</v>
      </c>
      <c r="G410" s="27">
        <f>G411</f>
        <v>25220.04</v>
      </c>
      <c r="H410" s="27">
        <f>H411</f>
        <v>25220.04</v>
      </c>
      <c r="I410" s="27">
        <f>I411</f>
        <v>25220.04</v>
      </c>
      <c r="J410" s="27">
        <f>J411</f>
        <v>25220.04</v>
      </c>
      <c r="K410" s="16">
        <f t="shared" si="169"/>
        <v>0</v>
      </c>
      <c r="L410" s="27">
        <f>L411</f>
        <v>25220.04</v>
      </c>
      <c r="M410" s="16">
        <f t="shared" si="170"/>
        <v>0</v>
      </c>
      <c r="N410" s="27">
        <f>N411</f>
        <v>25220.04</v>
      </c>
      <c r="O410" s="16">
        <f t="shared" si="171"/>
        <v>0</v>
      </c>
    </row>
    <row r="411" spans="1:15" s="3" customFormat="1" ht="25.5">
      <c r="A411" s="12" t="s">
        <v>107</v>
      </c>
      <c r="B411" s="25" t="s">
        <v>68</v>
      </c>
      <c r="C411" s="26" t="s">
        <v>65</v>
      </c>
      <c r="D411" s="26" t="s">
        <v>84</v>
      </c>
      <c r="E411" s="26" t="s">
        <v>326</v>
      </c>
      <c r="F411" s="26" t="s">
        <v>115</v>
      </c>
      <c r="G411" s="27">
        <f>SUM(G412:G413)</f>
        <v>25220.04</v>
      </c>
      <c r="H411" s="27">
        <f t="shared" ref="H411:I411" si="182">SUM(H412:H413)</f>
        <v>25220.04</v>
      </c>
      <c r="I411" s="27">
        <f t="shared" si="182"/>
        <v>25220.04</v>
      </c>
      <c r="J411" s="27">
        <f>25220.04</f>
        <v>25220.04</v>
      </c>
      <c r="K411" s="16">
        <f t="shared" si="169"/>
        <v>0</v>
      </c>
      <c r="L411" s="27">
        <f t="shared" ref="L411:N411" si="183">25220.04</f>
        <v>25220.04</v>
      </c>
      <c r="M411" s="16">
        <f t="shared" si="170"/>
        <v>0</v>
      </c>
      <c r="N411" s="27">
        <f t="shared" si="183"/>
        <v>25220.04</v>
      </c>
      <c r="O411" s="16">
        <f t="shared" si="171"/>
        <v>0</v>
      </c>
    </row>
    <row r="412" spans="1:15" s="4" customFormat="1">
      <c r="A412" s="12" t="s">
        <v>936</v>
      </c>
      <c r="B412" s="25" t="s">
        <v>68</v>
      </c>
      <c r="C412" s="26" t="s">
        <v>65</v>
      </c>
      <c r="D412" s="26" t="s">
        <v>84</v>
      </c>
      <c r="E412" s="26" t="s">
        <v>326</v>
      </c>
      <c r="F412" s="26" t="s">
        <v>1063</v>
      </c>
      <c r="G412" s="27">
        <v>19370.23</v>
      </c>
      <c r="H412" s="27">
        <v>19370.23</v>
      </c>
      <c r="I412" s="27">
        <v>19370.23</v>
      </c>
      <c r="J412" s="80"/>
      <c r="K412" s="16">
        <f t="shared" si="169"/>
        <v>-19370.23</v>
      </c>
      <c r="L412" s="80"/>
      <c r="M412" s="16">
        <f t="shared" si="170"/>
        <v>-19370.23</v>
      </c>
      <c r="N412" s="80"/>
      <c r="O412" s="16">
        <f t="shared" si="171"/>
        <v>-19370.23</v>
      </c>
    </row>
    <row r="413" spans="1:15" s="4" customFormat="1" ht="38.25">
      <c r="A413" s="12" t="s">
        <v>939</v>
      </c>
      <c r="B413" s="25" t="s">
        <v>68</v>
      </c>
      <c r="C413" s="26" t="s">
        <v>65</v>
      </c>
      <c r="D413" s="26" t="s">
        <v>84</v>
      </c>
      <c r="E413" s="26" t="s">
        <v>326</v>
      </c>
      <c r="F413" s="26" t="s">
        <v>1060</v>
      </c>
      <c r="G413" s="27">
        <v>5849.81</v>
      </c>
      <c r="H413" s="27">
        <v>5849.81</v>
      </c>
      <c r="I413" s="27">
        <v>5849.81</v>
      </c>
      <c r="J413" s="80"/>
      <c r="K413" s="16">
        <f t="shared" si="169"/>
        <v>-5849.81</v>
      </c>
      <c r="L413" s="80"/>
      <c r="M413" s="16">
        <f t="shared" si="170"/>
        <v>-5849.81</v>
      </c>
      <c r="N413" s="80"/>
      <c r="O413" s="16">
        <f t="shared" si="171"/>
        <v>-5849.81</v>
      </c>
    </row>
    <row r="414" spans="1:15" s="3" customFormat="1">
      <c r="A414" s="17" t="s">
        <v>499</v>
      </c>
      <c r="B414" s="18" t="s">
        <v>68</v>
      </c>
      <c r="C414" s="19" t="s">
        <v>50</v>
      </c>
      <c r="D414" s="19" t="s">
        <v>51</v>
      </c>
      <c r="E414" s="19" t="s">
        <v>196</v>
      </c>
      <c r="F414" s="19" t="s">
        <v>58</v>
      </c>
      <c r="G414" s="20">
        <f t="shared" ref="G414:N418" si="184">G415</f>
        <v>1096.2</v>
      </c>
      <c r="H414" s="20">
        <f t="shared" si="184"/>
        <v>987</v>
      </c>
      <c r="I414" s="20">
        <f t="shared" si="184"/>
        <v>987</v>
      </c>
      <c r="J414" s="20">
        <f t="shared" si="184"/>
        <v>1096.2</v>
      </c>
      <c r="K414" s="16">
        <f t="shared" si="169"/>
        <v>0</v>
      </c>
      <c r="L414" s="20">
        <f t="shared" si="184"/>
        <v>987</v>
      </c>
      <c r="M414" s="16">
        <f t="shared" si="170"/>
        <v>0</v>
      </c>
      <c r="N414" s="20">
        <f t="shared" si="184"/>
        <v>987</v>
      </c>
      <c r="O414" s="16">
        <f t="shared" si="171"/>
        <v>0</v>
      </c>
    </row>
    <row r="415" spans="1:15" s="3" customFormat="1">
      <c r="A415" s="21" t="s">
        <v>27</v>
      </c>
      <c r="B415" s="22" t="s">
        <v>68</v>
      </c>
      <c r="C415" s="23" t="s">
        <v>50</v>
      </c>
      <c r="D415" s="23" t="s">
        <v>65</v>
      </c>
      <c r="E415" s="23" t="s">
        <v>196</v>
      </c>
      <c r="F415" s="23" t="s">
        <v>58</v>
      </c>
      <c r="G415" s="24">
        <f t="shared" si="184"/>
        <v>1096.2</v>
      </c>
      <c r="H415" s="24">
        <f t="shared" si="184"/>
        <v>987</v>
      </c>
      <c r="I415" s="24">
        <f t="shared" si="184"/>
        <v>987</v>
      </c>
      <c r="J415" s="24">
        <f t="shared" si="184"/>
        <v>1096.2</v>
      </c>
      <c r="K415" s="16">
        <f t="shared" si="169"/>
        <v>0</v>
      </c>
      <c r="L415" s="24">
        <f t="shared" si="184"/>
        <v>987</v>
      </c>
      <c r="M415" s="16">
        <f t="shared" si="170"/>
        <v>0</v>
      </c>
      <c r="N415" s="24">
        <f t="shared" si="184"/>
        <v>987</v>
      </c>
      <c r="O415" s="16">
        <f t="shared" si="171"/>
        <v>0</v>
      </c>
    </row>
    <row r="416" spans="1:15" s="3" customFormat="1">
      <c r="A416" s="11" t="s">
        <v>739</v>
      </c>
      <c r="B416" s="35" t="s">
        <v>68</v>
      </c>
      <c r="C416" s="36" t="s">
        <v>50</v>
      </c>
      <c r="D416" s="36" t="s">
        <v>65</v>
      </c>
      <c r="E416" s="36" t="s">
        <v>277</v>
      </c>
      <c r="F416" s="36" t="s">
        <v>58</v>
      </c>
      <c r="G416" s="37">
        <f t="shared" si="184"/>
        <v>1096.2</v>
      </c>
      <c r="H416" s="37">
        <f t="shared" si="184"/>
        <v>987</v>
      </c>
      <c r="I416" s="37">
        <f t="shared" si="184"/>
        <v>987</v>
      </c>
      <c r="J416" s="37">
        <f t="shared" si="184"/>
        <v>1096.2</v>
      </c>
      <c r="K416" s="16">
        <f t="shared" si="169"/>
        <v>0</v>
      </c>
      <c r="L416" s="37">
        <f t="shared" si="184"/>
        <v>987</v>
      </c>
      <c r="M416" s="16">
        <f t="shared" si="170"/>
        <v>0</v>
      </c>
      <c r="N416" s="37">
        <f t="shared" si="184"/>
        <v>987</v>
      </c>
      <c r="O416" s="16">
        <f t="shared" si="171"/>
        <v>0</v>
      </c>
    </row>
    <row r="417" spans="1:15" s="3" customFormat="1" ht="51">
      <c r="A417" s="11" t="s">
        <v>194</v>
      </c>
      <c r="B417" s="35" t="s">
        <v>68</v>
      </c>
      <c r="C417" s="36" t="s">
        <v>50</v>
      </c>
      <c r="D417" s="36" t="s">
        <v>65</v>
      </c>
      <c r="E417" s="36" t="s">
        <v>278</v>
      </c>
      <c r="F417" s="36" t="s">
        <v>58</v>
      </c>
      <c r="G417" s="37">
        <f t="shared" si="184"/>
        <v>1096.2</v>
      </c>
      <c r="H417" s="37">
        <f t="shared" si="184"/>
        <v>987</v>
      </c>
      <c r="I417" s="37">
        <f t="shared" si="184"/>
        <v>987</v>
      </c>
      <c r="J417" s="37">
        <f t="shared" si="184"/>
        <v>1096.2</v>
      </c>
      <c r="K417" s="16">
        <f t="shared" si="169"/>
        <v>0</v>
      </c>
      <c r="L417" s="37">
        <f t="shared" si="184"/>
        <v>987</v>
      </c>
      <c r="M417" s="16">
        <f t="shared" si="170"/>
        <v>0</v>
      </c>
      <c r="N417" s="37">
        <f t="shared" si="184"/>
        <v>987</v>
      </c>
      <c r="O417" s="16">
        <f t="shared" si="171"/>
        <v>0</v>
      </c>
    </row>
    <row r="418" spans="1:15" s="3" customFormat="1" ht="63.75">
      <c r="A418" s="11" t="s">
        <v>605</v>
      </c>
      <c r="B418" s="35" t="s">
        <v>68</v>
      </c>
      <c r="C418" s="36" t="s">
        <v>50</v>
      </c>
      <c r="D418" s="36" t="s">
        <v>65</v>
      </c>
      <c r="E418" s="36" t="s">
        <v>319</v>
      </c>
      <c r="F418" s="36" t="s">
        <v>58</v>
      </c>
      <c r="G418" s="37">
        <f t="shared" si="184"/>
        <v>1096.2</v>
      </c>
      <c r="H418" s="37">
        <f t="shared" si="184"/>
        <v>987</v>
      </c>
      <c r="I418" s="37">
        <f t="shared" si="184"/>
        <v>987</v>
      </c>
      <c r="J418" s="37">
        <f t="shared" si="184"/>
        <v>1096.2</v>
      </c>
      <c r="K418" s="16">
        <f t="shared" si="169"/>
        <v>0</v>
      </c>
      <c r="L418" s="37">
        <f t="shared" si="184"/>
        <v>987</v>
      </c>
      <c r="M418" s="16">
        <f t="shared" si="170"/>
        <v>0</v>
      </c>
      <c r="N418" s="37">
        <f t="shared" si="184"/>
        <v>987</v>
      </c>
      <c r="O418" s="16">
        <f t="shared" si="171"/>
        <v>0</v>
      </c>
    </row>
    <row r="419" spans="1:15" s="3" customFormat="1" ht="25.5">
      <c r="A419" s="11" t="s">
        <v>161</v>
      </c>
      <c r="B419" s="35" t="s">
        <v>68</v>
      </c>
      <c r="C419" s="36" t="s">
        <v>50</v>
      </c>
      <c r="D419" s="36" t="s">
        <v>65</v>
      </c>
      <c r="E419" s="36" t="s">
        <v>320</v>
      </c>
      <c r="F419" s="36" t="s">
        <v>58</v>
      </c>
      <c r="G419" s="37">
        <f>G420</f>
        <v>1096.2</v>
      </c>
      <c r="H419" s="37">
        <f>H420</f>
        <v>987</v>
      </c>
      <c r="I419" s="37">
        <f>I420</f>
        <v>987</v>
      </c>
      <c r="J419" s="37">
        <f>J420</f>
        <v>1096.2</v>
      </c>
      <c r="K419" s="16">
        <f t="shared" si="169"/>
        <v>0</v>
      </c>
      <c r="L419" s="37">
        <f>L420</f>
        <v>987</v>
      </c>
      <c r="M419" s="16">
        <f t="shared" si="170"/>
        <v>0</v>
      </c>
      <c r="N419" s="37">
        <f>N420</f>
        <v>987</v>
      </c>
      <c r="O419" s="16">
        <f t="shared" si="171"/>
        <v>0</v>
      </c>
    </row>
    <row r="420" spans="1:15" s="3" customFormat="1" ht="25.5">
      <c r="A420" s="11" t="s">
        <v>108</v>
      </c>
      <c r="B420" s="35" t="s">
        <v>68</v>
      </c>
      <c r="C420" s="36" t="s">
        <v>50</v>
      </c>
      <c r="D420" s="36" t="s">
        <v>65</v>
      </c>
      <c r="E420" s="36" t="s">
        <v>320</v>
      </c>
      <c r="F420" s="36" t="s">
        <v>116</v>
      </c>
      <c r="G420" s="27">
        <f>G421</f>
        <v>1096.2</v>
      </c>
      <c r="H420" s="27">
        <f t="shared" ref="H420:I420" si="185">H421</f>
        <v>987</v>
      </c>
      <c r="I420" s="27">
        <f t="shared" si="185"/>
        <v>987</v>
      </c>
      <c r="J420" s="27">
        <f>1096.2</f>
        <v>1096.2</v>
      </c>
      <c r="K420" s="16">
        <f t="shared" si="169"/>
        <v>0</v>
      </c>
      <c r="L420" s="27">
        <f>987</f>
        <v>987</v>
      </c>
      <c r="M420" s="16">
        <f t="shared" si="170"/>
        <v>0</v>
      </c>
      <c r="N420" s="27">
        <f>987</f>
        <v>987</v>
      </c>
      <c r="O420" s="16">
        <f t="shared" si="171"/>
        <v>0</v>
      </c>
    </row>
    <row r="421" spans="1:15" s="4" customFormat="1" ht="25.5">
      <c r="A421" s="12" t="s">
        <v>973</v>
      </c>
      <c r="B421" s="35" t="s">
        <v>68</v>
      </c>
      <c r="C421" s="36" t="s">
        <v>50</v>
      </c>
      <c r="D421" s="36" t="s">
        <v>65</v>
      </c>
      <c r="E421" s="36" t="s">
        <v>320</v>
      </c>
      <c r="F421" s="36" t="s">
        <v>1043</v>
      </c>
      <c r="G421" s="27">
        <f>1096.2</f>
        <v>1096.2</v>
      </c>
      <c r="H421" s="27">
        <f>987</f>
        <v>987</v>
      </c>
      <c r="I421" s="27">
        <f>987</f>
        <v>987</v>
      </c>
      <c r="J421" s="80"/>
      <c r="K421" s="16">
        <f t="shared" si="169"/>
        <v>-1096.2</v>
      </c>
      <c r="L421" s="80"/>
      <c r="M421" s="16">
        <f t="shared" si="170"/>
        <v>-987</v>
      </c>
      <c r="N421" s="80"/>
      <c r="O421" s="16">
        <f t="shared" si="171"/>
        <v>-987</v>
      </c>
    </row>
    <row r="422" spans="1:15" s="116" customFormat="1">
      <c r="A422" s="17" t="s">
        <v>49</v>
      </c>
      <c r="B422" s="18" t="s">
        <v>68</v>
      </c>
      <c r="C422" s="19" t="s">
        <v>14</v>
      </c>
      <c r="D422" s="19" t="s">
        <v>51</v>
      </c>
      <c r="E422" s="19" t="s">
        <v>196</v>
      </c>
      <c r="F422" s="19" t="s">
        <v>58</v>
      </c>
      <c r="G422" s="20">
        <f t="shared" ref="G422:N428" si="186">G423</f>
        <v>2647.44</v>
      </c>
      <c r="H422" s="20">
        <f t="shared" si="186"/>
        <v>2250.3200000000002</v>
      </c>
      <c r="I422" s="20">
        <f t="shared" si="186"/>
        <v>2250.3200000000002</v>
      </c>
      <c r="J422" s="20">
        <f t="shared" si="186"/>
        <v>2647.44</v>
      </c>
      <c r="K422" s="16">
        <f t="shared" si="169"/>
        <v>0</v>
      </c>
      <c r="L422" s="20">
        <f t="shared" si="186"/>
        <v>2250.3200000000002</v>
      </c>
      <c r="M422" s="16">
        <f t="shared" si="170"/>
        <v>0</v>
      </c>
      <c r="N422" s="20">
        <f t="shared" si="186"/>
        <v>2250.3200000000002</v>
      </c>
      <c r="O422" s="16">
        <f t="shared" si="171"/>
        <v>0</v>
      </c>
    </row>
    <row r="423" spans="1:15" s="4" customFormat="1">
      <c r="A423" s="21" t="s">
        <v>63</v>
      </c>
      <c r="B423" s="22" t="s">
        <v>68</v>
      </c>
      <c r="C423" s="23" t="s">
        <v>14</v>
      </c>
      <c r="D423" s="23" t="s">
        <v>53</v>
      </c>
      <c r="E423" s="23" t="s">
        <v>196</v>
      </c>
      <c r="F423" s="23" t="s">
        <v>58</v>
      </c>
      <c r="G423" s="24">
        <f t="shared" si="186"/>
        <v>2647.44</v>
      </c>
      <c r="H423" s="24">
        <f t="shared" si="186"/>
        <v>2250.3200000000002</v>
      </c>
      <c r="I423" s="24">
        <f t="shared" si="186"/>
        <v>2250.3200000000002</v>
      </c>
      <c r="J423" s="24">
        <f t="shared" si="186"/>
        <v>2647.44</v>
      </c>
      <c r="K423" s="16">
        <f t="shared" si="169"/>
        <v>0</v>
      </c>
      <c r="L423" s="24">
        <f t="shared" si="186"/>
        <v>2250.3200000000002</v>
      </c>
      <c r="M423" s="16">
        <f t="shared" si="170"/>
        <v>0</v>
      </c>
      <c r="N423" s="24">
        <f t="shared" si="186"/>
        <v>2250.3200000000002</v>
      </c>
      <c r="O423" s="16">
        <f t="shared" si="171"/>
        <v>0</v>
      </c>
    </row>
    <row r="424" spans="1:15" s="3" customFormat="1" ht="25.5">
      <c r="A424" s="31" t="s">
        <v>727</v>
      </c>
      <c r="B424" s="25" t="s">
        <v>68</v>
      </c>
      <c r="C424" s="26" t="s">
        <v>14</v>
      </c>
      <c r="D424" s="26" t="s">
        <v>53</v>
      </c>
      <c r="E424" s="26" t="s">
        <v>327</v>
      </c>
      <c r="F424" s="26" t="s">
        <v>58</v>
      </c>
      <c r="G424" s="27">
        <f t="shared" si="186"/>
        <v>2647.44</v>
      </c>
      <c r="H424" s="27">
        <f t="shared" si="186"/>
        <v>2250.3200000000002</v>
      </c>
      <c r="I424" s="27">
        <f t="shared" si="186"/>
        <v>2250.3200000000002</v>
      </c>
      <c r="J424" s="27">
        <f t="shared" si="186"/>
        <v>2647.44</v>
      </c>
      <c r="K424" s="16">
        <f t="shared" si="169"/>
        <v>0</v>
      </c>
      <c r="L424" s="27">
        <f t="shared" si="186"/>
        <v>2250.3200000000002</v>
      </c>
      <c r="M424" s="16">
        <f t="shared" si="170"/>
        <v>0</v>
      </c>
      <c r="N424" s="27">
        <f t="shared" si="186"/>
        <v>2250.3200000000002</v>
      </c>
      <c r="O424" s="16">
        <f t="shared" si="171"/>
        <v>0</v>
      </c>
    </row>
    <row r="425" spans="1:15" s="3" customFormat="1" ht="38.25">
      <c r="A425" s="31" t="s">
        <v>842</v>
      </c>
      <c r="B425" s="25" t="s">
        <v>68</v>
      </c>
      <c r="C425" s="26" t="s">
        <v>14</v>
      </c>
      <c r="D425" s="26" t="s">
        <v>53</v>
      </c>
      <c r="E425" s="26" t="s">
        <v>328</v>
      </c>
      <c r="F425" s="26" t="s">
        <v>58</v>
      </c>
      <c r="G425" s="27">
        <f t="shared" si="186"/>
        <v>2647.44</v>
      </c>
      <c r="H425" s="27">
        <f t="shared" si="186"/>
        <v>2250.3200000000002</v>
      </c>
      <c r="I425" s="27">
        <f t="shared" si="186"/>
        <v>2250.3200000000002</v>
      </c>
      <c r="J425" s="27">
        <f t="shared" si="186"/>
        <v>2647.44</v>
      </c>
      <c r="K425" s="16">
        <f t="shared" si="169"/>
        <v>0</v>
      </c>
      <c r="L425" s="27">
        <f t="shared" si="186"/>
        <v>2250.3200000000002</v>
      </c>
      <c r="M425" s="16">
        <f t="shared" si="170"/>
        <v>0</v>
      </c>
      <c r="N425" s="27">
        <f t="shared" si="186"/>
        <v>2250.3200000000002</v>
      </c>
      <c r="O425" s="16">
        <f t="shared" si="171"/>
        <v>0</v>
      </c>
    </row>
    <row r="426" spans="1:15" s="3" customFormat="1" ht="38.25">
      <c r="A426" s="11" t="s">
        <v>635</v>
      </c>
      <c r="B426" s="25" t="s">
        <v>68</v>
      </c>
      <c r="C426" s="26" t="s">
        <v>14</v>
      </c>
      <c r="D426" s="26" t="s">
        <v>53</v>
      </c>
      <c r="E426" s="26" t="s">
        <v>560</v>
      </c>
      <c r="F426" s="26" t="s">
        <v>58</v>
      </c>
      <c r="G426" s="27">
        <f t="shared" si="186"/>
        <v>2647.44</v>
      </c>
      <c r="H426" s="27">
        <f t="shared" si="186"/>
        <v>2250.3200000000002</v>
      </c>
      <c r="I426" s="27">
        <f t="shared" si="186"/>
        <v>2250.3200000000002</v>
      </c>
      <c r="J426" s="27">
        <f t="shared" si="186"/>
        <v>2647.44</v>
      </c>
      <c r="K426" s="16">
        <f t="shared" si="169"/>
        <v>0</v>
      </c>
      <c r="L426" s="27">
        <f t="shared" si="186"/>
        <v>2250.3200000000002</v>
      </c>
      <c r="M426" s="16">
        <f t="shared" si="170"/>
        <v>0</v>
      </c>
      <c r="N426" s="27">
        <f t="shared" si="186"/>
        <v>2250.3200000000002</v>
      </c>
      <c r="O426" s="16">
        <f t="shared" si="171"/>
        <v>0</v>
      </c>
    </row>
    <row r="427" spans="1:15" s="3" customFormat="1" ht="25.5">
      <c r="A427" s="11" t="s">
        <v>329</v>
      </c>
      <c r="B427" s="25" t="s">
        <v>68</v>
      </c>
      <c r="C427" s="26" t="s">
        <v>14</v>
      </c>
      <c r="D427" s="26" t="s">
        <v>53</v>
      </c>
      <c r="E427" s="26" t="s">
        <v>330</v>
      </c>
      <c r="F427" s="26" t="s">
        <v>58</v>
      </c>
      <c r="G427" s="27">
        <f t="shared" si="186"/>
        <v>2647.44</v>
      </c>
      <c r="H427" s="27">
        <f t="shared" si="186"/>
        <v>2250.3200000000002</v>
      </c>
      <c r="I427" s="27">
        <f t="shared" si="186"/>
        <v>2250.3200000000002</v>
      </c>
      <c r="J427" s="27">
        <f t="shared" si="186"/>
        <v>2647.44</v>
      </c>
      <c r="K427" s="16">
        <f t="shared" si="169"/>
        <v>0</v>
      </c>
      <c r="L427" s="27">
        <f t="shared" si="186"/>
        <v>2250.3200000000002</v>
      </c>
      <c r="M427" s="16">
        <f t="shared" si="170"/>
        <v>0</v>
      </c>
      <c r="N427" s="27">
        <f t="shared" si="186"/>
        <v>2250.3200000000002</v>
      </c>
      <c r="O427" s="16">
        <f t="shared" si="171"/>
        <v>0</v>
      </c>
    </row>
    <row r="428" spans="1:15" s="3" customFormat="1" ht="38.25">
      <c r="A428" s="34" t="s">
        <v>561</v>
      </c>
      <c r="B428" s="25" t="s">
        <v>68</v>
      </c>
      <c r="C428" s="26" t="s">
        <v>14</v>
      </c>
      <c r="D428" s="26" t="s">
        <v>53</v>
      </c>
      <c r="E428" s="26" t="s">
        <v>330</v>
      </c>
      <c r="F428" s="26" t="s">
        <v>101</v>
      </c>
      <c r="G428" s="27">
        <f>G429</f>
        <v>2647.44</v>
      </c>
      <c r="H428" s="27">
        <f t="shared" si="186"/>
        <v>2250.3200000000002</v>
      </c>
      <c r="I428" s="27">
        <f t="shared" si="186"/>
        <v>2250.3200000000002</v>
      </c>
      <c r="J428" s="27">
        <f>2647.44</f>
        <v>2647.44</v>
      </c>
      <c r="K428" s="16">
        <f t="shared" si="169"/>
        <v>0</v>
      </c>
      <c r="L428" s="27">
        <f>2250.32</f>
        <v>2250.3200000000002</v>
      </c>
      <c r="M428" s="16">
        <f t="shared" si="170"/>
        <v>0</v>
      </c>
      <c r="N428" s="27">
        <f>2250.32</f>
        <v>2250.3200000000002</v>
      </c>
      <c r="O428" s="16">
        <f t="shared" si="171"/>
        <v>0</v>
      </c>
    </row>
    <row r="429" spans="1:15" s="3" customFormat="1" ht="51">
      <c r="A429" s="11" t="s">
        <v>1047</v>
      </c>
      <c r="B429" s="25" t="s">
        <v>68</v>
      </c>
      <c r="C429" s="26" t="s">
        <v>14</v>
      </c>
      <c r="D429" s="26" t="s">
        <v>53</v>
      </c>
      <c r="E429" s="26" t="s">
        <v>330</v>
      </c>
      <c r="F429" s="26" t="s">
        <v>1050</v>
      </c>
      <c r="G429" s="27">
        <f>2647.44</f>
        <v>2647.44</v>
      </c>
      <c r="H429" s="27">
        <f>2250.32</f>
        <v>2250.3200000000002</v>
      </c>
      <c r="I429" s="27">
        <f>2250.32</f>
        <v>2250.3200000000002</v>
      </c>
      <c r="J429" s="27"/>
      <c r="K429" s="16">
        <f t="shared" si="169"/>
        <v>-2647.44</v>
      </c>
      <c r="L429" s="27"/>
      <c r="M429" s="16">
        <f t="shared" si="170"/>
        <v>-2250.3200000000002</v>
      </c>
      <c r="N429" s="27"/>
      <c r="O429" s="16">
        <f t="shared" si="171"/>
        <v>-2250.3200000000002</v>
      </c>
    </row>
    <row r="430" spans="1:15" s="71" customFormat="1">
      <c r="A430" s="95"/>
      <c r="B430" s="92"/>
      <c r="C430" s="70"/>
      <c r="D430" s="70"/>
      <c r="E430" s="70"/>
      <c r="F430" s="70"/>
      <c r="G430" s="72"/>
      <c r="H430" s="72"/>
      <c r="I430" s="72"/>
      <c r="J430" s="72"/>
      <c r="K430" s="91">
        <f t="shared" si="169"/>
        <v>0</v>
      </c>
      <c r="L430" s="72"/>
      <c r="M430" s="91">
        <f t="shared" si="170"/>
        <v>0</v>
      </c>
      <c r="N430" s="72"/>
      <c r="O430" s="91">
        <f t="shared" si="171"/>
        <v>0</v>
      </c>
    </row>
    <row r="431" spans="1:15" s="30" customFormat="1">
      <c r="A431" s="28" t="s">
        <v>179</v>
      </c>
      <c r="B431" s="14" t="s">
        <v>69</v>
      </c>
      <c r="C431" s="15" t="s">
        <v>51</v>
      </c>
      <c r="D431" s="15" t="s">
        <v>51</v>
      </c>
      <c r="E431" s="15" t="s">
        <v>196</v>
      </c>
      <c r="F431" s="15" t="s">
        <v>58</v>
      </c>
      <c r="G431" s="29">
        <f>G432+G609</f>
        <v>3399213.1900000004</v>
      </c>
      <c r="H431" s="29">
        <f>H432+H609</f>
        <v>3150695.48</v>
      </c>
      <c r="I431" s="29">
        <f>I432+I609</f>
        <v>3301215.2</v>
      </c>
      <c r="J431" s="29">
        <f>J432+J609</f>
        <v>3399213.1900000004</v>
      </c>
      <c r="K431" s="16">
        <f t="shared" si="169"/>
        <v>0</v>
      </c>
      <c r="L431" s="29">
        <f>L432+L609</f>
        <v>3150695.48</v>
      </c>
      <c r="M431" s="16">
        <f t="shared" si="170"/>
        <v>0</v>
      </c>
      <c r="N431" s="29">
        <f>N432+N609</f>
        <v>3301215.2</v>
      </c>
      <c r="O431" s="16">
        <f t="shared" si="171"/>
        <v>0</v>
      </c>
    </row>
    <row r="432" spans="1:15" s="30" customFormat="1">
      <c r="A432" s="17" t="s">
        <v>70</v>
      </c>
      <c r="B432" s="18" t="s">
        <v>69</v>
      </c>
      <c r="C432" s="19" t="s">
        <v>71</v>
      </c>
      <c r="D432" s="19" t="s">
        <v>51</v>
      </c>
      <c r="E432" s="19" t="s">
        <v>196</v>
      </c>
      <c r="F432" s="19" t="s">
        <v>58</v>
      </c>
      <c r="G432" s="20">
        <f>G433+G471+G547+G563+G530</f>
        <v>3284741.7800000003</v>
      </c>
      <c r="H432" s="20">
        <f>H433+H471+H547+H563+H530</f>
        <v>3036224.07</v>
      </c>
      <c r="I432" s="20">
        <f>I433+I471+I547+I563+I530</f>
        <v>3186743.79</v>
      </c>
      <c r="J432" s="20">
        <f>J433+J471+J547+J563+J530</f>
        <v>3284741.7800000003</v>
      </c>
      <c r="K432" s="16">
        <f t="shared" si="169"/>
        <v>0</v>
      </c>
      <c r="L432" s="20">
        <f>L433+L471+L547+L563+L530</f>
        <v>3036224.07</v>
      </c>
      <c r="M432" s="16">
        <f t="shared" si="170"/>
        <v>0</v>
      </c>
      <c r="N432" s="20">
        <f>N433+N471+N547+N563+N530</f>
        <v>3186743.79</v>
      </c>
      <c r="O432" s="16">
        <f t="shared" si="171"/>
        <v>0</v>
      </c>
    </row>
    <row r="433" spans="1:15" s="30" customFormat="1">
      <c r="A433" s="21" t="s">
        <v>72</v>
      </c>
      <c r="B433" s="22" t="s">
        <v>69</v>
      </c>
      <c r="C433" s="23" t="s">
        <v>71</v>
      </c>
      <c r="D433" s="23" t="s">
        <v>65</v>
      </c>
      <c r="E433" s="23" t="s">
        <v>196</v>
      </c>
      <c r="F433" s="23" t="s">
        <v>58</v>
      </c>
      <c r="G433" s="24">
        <f>G434+G457+G465</f>
        <v>1412080.49</v>
      </c>
      <c r="H433" s="24">
        <f>H434+H457+H465</f>
        <v>1327658.3899999997</v>
      </c>
      <c r="I433" s="24">
        <f>I434+I457+I465</f>
        <v>1391037.6299999997</v>
      </c>
      <c r="J433" s="24">
        <f>J434+J457+J465</f>
        <v>1412080.49</v>
      </c>
      <c r="K433" s="16">
        <f t="shared" si="169"/>
        <v>0</v>
      </c>
      <c r="L433" s="24">
        <f>L434+L457+L465</f>
        <v>1327658.3899999997</v>
      </c>
      <c r="M433" s="16">
        <f t="shared" si="170"/>
        <v>0</v>
      </c>
      <c r="N433" s="24">
        <f>N434+N457+N465</f>
        <v>1391037.6299999997</v>
      </c>
      <c r="O433" s="16">
        <f t="shared" si="171"/>
        <v>0</v>
      </c>
    </row>
    <row r="434" spans="1:15" s="30" customFormat="1" ht="25.5">
      <c r="A434" s="13" t="s">
        <v>723</v>
      </c>
      <c r="B434" s="25" t="s">
        <v>69</v>
      </c>
      <c r="C434" s="26" t="s">
        <v>71</v>
      </c>
      <c r="D434" s="26" t="s">
        <v>65</v>
      </c>
      <c r="E434" s="26" t="s">
        <v>331</v>
      </c>
      <c r="F434" s="26" t="s">
        <v>58</v>
      </c>
      <c r="G434" s="27">
        <f>G435</f>
        <v>1407820.92</v>
      </c>
      <c r="H434" s="27">
        <f>H435</f>
        <v>1318685.0099999998</v>
      </c>
      <c r="I434" s="27">
        <f>I435</f>
        <v>1382064.2499999998</v>
      </c>
      <c r="J434" s="27">
        <f>J435</f>
        <v>1407820.92</v>
      </c>
      <c r="K434" s="16">
        <f t="shared" si="169"/>
        <v>0</v>
      </c>
      <c r="L434" s="27">
        <f>L435</f>
        <v>1318685.0099999998</v>
      </c>
      <c r="M434" s="16">
        <f t="shared" si="170"/>
        <v>0</v>
      </c>
      <c r="N434" s="27">
        <f>N435</f>
        <v>1382064.2499999998</v>
      </c>
      <c r="O434" s="16">
        <f t="shared" si="171"/>
        <v>0</v>
      </c>
    </row>
    <row r="435" spans="1:15" s="30" customFormat="1" ht="25.5">
      <c r="A435" s="13" t="s">
        <v>860</v>
      </c>
      <c r="B435" s="25" t="s">
        <v>69</v>
      </c>
      <c r="C435" s="26" t="s">
        <v>71</v>
      </c>
      <c r="D435" s="26" t="s">
        <v>65</v>
      </c>
      <c r="E435" s="26" t="s">
        <v>332</v>
      </c>
      <c r="F435" s="26" t="s">
        <v>58</v>
      </c>
      <c r="G435" s="27">
        <f>G436+G450</f>
        <v>1407820.92</v>
      </c>
      <c r="H435" s="27">
        <f>H436+H450</f>
        <v>1318685.0099999998</v>
      </c>
      <c r="I435" s="27">
        <f>I436+I450</f>
        <v>1382064.2499999998</v>
      </c>
      <c r="J435" s="27">
        <f>J436+J450</f>
        <v>1407820.92</v>
      </c>
      <c r="K435" s="16">
        <f t="shared" si="169"/>
        <v>0</v>
      </c>
      <c r="L435" s="27">
        <f>L436+L450</f>
        <v>1318685.0099999998</v>
      </c>
      <c r="M435" s="16">
        <f t="shared" si="170"/>
        <v>0</v>
      </c>
      <c r="N435" s="27">
        <f>N436+N450</f>
        <v>1382064.2499999998</v>
      </c>
      <c r="O435" s="16">
        <f t="shared" si="171"/>
        <v>0</v>
      </c>
    </row>
    <row r="436" spans="1:15" s="30" customFormat="1" ht="25.5">
      <c r="A436" s="13" t="s">
        <v>607</v>
      </c>
      <c r="B436" s="25" t="s">
        <v>69</v>
      </c>
      <c r="C436" s="26" t="s">
        <v>71</v>
      </c>
      <c r="D436" s="26" t="s">
        <v>65</v>
      </c>
      <c r="E436" s="26" t="s">
        <v>333</v>
      </c>
      <c r="F436" s="26" t="s">
        <v>58</v>
      </c>
      <c r="G436" s="27">
        <f>G437+G443</f>
        <v>1371990.88</v>
      </c>
      <c r="H436" s="27">
        <f>H437+H443</f>
        <v>1305154.3499999999</v>
      </c>
      <c r="I436" s="27">
        <f>I437+I443</f>
        <v>1368533.5899999999</v>
      </c>
      <c r="J436" s="27">
        <f>J437+J443</f>
        <v>1371990.88</v>
      </c>
      <c r="K436" s="16">
        <f t="shared" si="169"/>
        <v>0</v>
      </c>
      <c r="L436" s="27">
        <f>L437+L443</f>
        <v>1305154.3499999999</v>
      </c>
      <c r="M436" s="16">
        <f t="shared" si="170"/>
        <v>0</v>
      </c>
      <c r="N436" s="27">
        <f>N437+N443</f>
        <v>1368533.5899999999</v>
      </c>
      <c r="O436" s="16">
        <f t="shared" si="171"/>
        <v>0</v>
      </c>
    </row>
    <row r="437" spans="1:15" s="30" customFormat="1" ht="25.5">
      <c r="A437" s="13" t="s">
        <v>247</v>
      </c>
      <c r="B437" s="25" t="s">
        <v>69</v>
      </c>
      <c r="C437" s="26" t="s">
        <v>71</v>
      </c>
      <c r="D437" s="26" t="s">
        <v>65</v>
      </c>
      <c r="E437" s="26" t="s">
        <v>334</v>
      </c>
      <c r="F437" s="26" t="s">
        <v>58</v>
      </c>
      <c r="G437" s="27">
        <f>G438+G441</f>
        <v>687567.61</v>
      </c>
      <c r="H437" s="27">
        <f t="shared" ref="H437:I437" si="187">H438+H441</f>
        <v>691063.41999999993</v>
      </c>
      <c r="I437" s="27">
        <f t="shared" si="187"/>
        <v>691063.41999999993</v>
      </c>
      <c r="J437" s="27">
        <f>SUM(J438:J441)</f>
        <v>687567.61</v>
      </c>
      <c r="K437" s="16">
        <f t="shared" si="169"/>
        <v>0</v>
      </c>
      <c r="L437" s="27">
        <f>SUM(L438:L441)</f>
        <v>691063.41999999993</v>
      </c>
      <c r="M437" s="16">
        <f t="shared" si="170"/>
        <v>0</v>
      </c>
      <c r="N437" s="27">
        <f>SUM(N438:N441)</f>
        <v>691063.41999999993</v>
      </c>
      <c r="O437" s="16">
        <f t="shared" si="171"/>
        <v>0</v>
      </c>
    </row>
    <row r="438" spans="1:15" s="30" customFormat="1">
      <c r="A438" s="13" t="s">
        <v>92</v>
      </c>
      <c r="B438" s="25" t="s">
        <v>69</v>
      </c>
      <c r="C438" s="26" t="s">
        <v>71</v>
      </c>
      <c r="D438" s="26" t="s">
        <v>65</v>
      </c>
      <c r="E438" s="26" t="s">
        <v>334</v>
      </c>
      <c r="F438" s="26" t="s">
        <v>138</v>
      </c>
      <c r="G438" s="27">
        <f>SUM(G439:G440)</f>
        <v>658082.26</v>
      </c>
      <c r="H438" s="27">
        <f t="shared" ref="H438:I438" si="188">SUM(H439:H440)</f>
        <v>661578.06999999995</v>
      </c>
      <c r="I438" s="27">
        <f t="shared" si="188"/>
        <v>661578.06999999995</v>
      </c>
      <c r="J438" s="27">
        <f>658082.26</f>
        <v>658082.26</v>
      </c>
      <c r="K438" s="16">
        <f t="shared" si="169"/>
        <v>0</v>
      </c>
      <c r="L438" s="27">
        <f>661578.07</f>
        <v>661578.06999999995</v>
      </c>
      <c r="M438" s="16">
        <f t="shared" si="170"/>
        <v>0</v>
      </c>
      <c r="N438" s="27">
        <f>661578.07</f>
        <v>661578.06999999995</v>
      </c>
      <c r="O438" s="16">
        <f t="shared" si="171"/>
        <v>0</v>
      </c>
    </row>
    <row r="439" spans="1:15" s="83" customFormat="1" ht="38.25">
      <c r="A439" s="12" t="s">
        <v>1015</v>
      </c>
      <c r="B439" s="25" t="s">
        <v>69</v>
      </c>
      <c r="C439" s="26" t="s">
        <v>71</v>
      </c>
      <c r="D439" s="26" t="s">
        <v>65</v>
      </c>
      <c r="E439" s="26" t="s">
        <v>334</v>
      </c>
      <c r="F439" s="26" t="s">
        <v>67</v>
      </c>
      <c r="G439" s="27">
        <v>654720.66</v>
      </c>
      <c r="H439" s="27">
        <v>658216.47</v>
      </c>
      <c r="I439" s="27">
        <v>658216.47</v>
      </c>
      <c r="J439" s="80"/>
      <c r="K439" s="16">
        <f t="shared" si="169"/>
        <v>-654720.66</v>
      </c>
      <c r="L439" s="80"/>
      <c r="M439" s="16">
        <f t="shared" si="170"/>
        <v>-658216.47</v>
      </c>
      <c r="N439" s="80"/>
      <c r="O439" s="16">
        <f t="shared" si="171"/>
        <v>-658216.47</v>
      </c>
    </row>
    <row r="440" spans="1:15" s="83" customFormat="1">
      <c r="A440" s="12" t="s">
        <v>1016</v>
      </c>
      <c r="B440" s="25" t="s">
        <v>69</v>
      </c>
      <c r="C440" s="26" t="s">
        <v>71</v>
      </c>
      <c r="D440" s="26" t="s">
        <v>65</v>
      </c>
      <c r="E440" s="26" t="s">
        <v>334</v>
      </c>
      <c r="F440" s="26" t="s">
        <v>1046</v>
      </c>
      <c r="G440" s="27">
        <v>3361.6</v>
      </c>
      <c r="H440" s="27">
        <v>3361.6</v>
      </c>
      <c r="I440" s="27">
        <v>3361.6</v>
      </c>
      <c r="J440" s="80"/>
      <c r="K440" s="16">
        <f t="shared" si="169"/>
        <v>-3361.6</v>
      </c>
      <c r="L440" s="80"/>
      <c r="M440" s="16">
        <f t="shared" si="170"/>
        <v>-3361.6</v>
      </c>
      <c r="N440" s="80"/>
      <c r="O440" s="16">
        <f t="shared" si="171"/>
        <v>-3361.6</v>
      </c>
    </row>
    <row r="441" spans="1:15" s="30" customFormat="1">
      <c r="A441" s="13" t="s">
        <v>93</v>
      </c>
      <c r="B441" s="25" t="s">
        <v>69</v>
      </c>
      <c r="C441" s="26" t="s">
        <v>71</v>
      </c>
      <c r="D441" s="26" t="s">
        <v>65</v>
      </c>
      <c r="E441" s="26" t="s">
        <v>334</v>
      </c>
      <c r="F441" s="26" t="s">
        <v>20</v>
      </c>
      <c r="G441" s="27">
        <f>G442</f>
        <v>29485.35</v>
      </c>
      <c r="H441" s="27">
        <f t="shared" ref="H441:I441" si="189">H442</f>
        <v>29485.35</v>
      </c>
      <c r="I441" s="27">
        <f t="shared" si="189"/>
        <v>29485.35</v>
      </c>
      <c r="J441" s="27">
        <f>29485.35</f>
        <v>29485.35</v>
      </c>
      <c r="K441" s="16">
        <f t="shared" si="169"/>
        <v>0</v>
      </c>
      <c r="L441" s="27">
        <f>29485.35</f>
        <v>29485.35</v>
      </c>
      <c r="M441" s="16">
        <f t="shared" si="170"/>
        <v>0</v>
      </c>
      <c r="N441" s="27">
        <f>29485.35</f>
        <v>29485.35</v>
      </c>
      <c r="O441" s="16">
        <f t="shared" si="171"/>
        <v>0</v>
      </c>
    </row>
    <row r="442" spans="1:15" s="83" customFormat="1" ht="38.25">
      <c r="A442" s="12" t="s">
        <v>1018</v>
      </c>
      <c r="B442" s="25" t="s">
        <v>69</v>
      </c>
      <c r="C442" s="26" t="s">
        <v>71</v>
      </c>
      <c r="D442" s="26" t="s">
        <v>65</v>
      </c>
      <c r="E442" s="26" t="s">
        <v>334</v>
      </c>
      <c r="F442" s="26" t="s">
        <v>16</v>
      </c>
      <c r="G442" s="27">
        <f>29485.35</f>
        <v>29485.35</v>
      </c>
      <c r="H442" s="27">
        <f>29485.35</f>
        <v>29485.35</v>
      </c>
      <c r="I442" s="27">
        <f>29485.35</f>
        <v>29485.35</v>
      </c>
      <c r="J442" s="80"/>
      <c r="K442" s="16">
        <f t="shared" si="169"/>
        <v>-29485.35</v>
      </c>
      <c r="L442" s="80"/>
      <c r="M442" s="16">
        <f t="shared" si="170"/>
        <v>-29485.35</v>
      </c>
      <c r="N442" s="80"/>
      <c r="O442" s="16">
        <f t="shared" si="171"/>
        <v>-29485.35</v>
      </c>
    </row>
    <row r="443" spans="1:15" s="30" customFormat="1" ht="76.5">
      <c r="A443" s="11" t="s">
        <v>335</v>
      </c>
      <c r="B443" s="25" t="s">
        <v>69</v>
      </c>
      <c r="C443" s="26" t="s">
        <v>71</v>
      </c>
      <c r="D443" s="26" t="s">
        <v>65</v>
      </c>
      <c r="E443" s="26" t="s">
        <v>336</v>
      </c>
      <c r="F443" s="26" t="s">
        <v>58</v>
      </c>
      <c r="G443" s="27">
        <f>G444+G446+G448</f>
        <v>684423.27</v>
      </c>
      <c r="H443" s="27">
        <f>H444+H446+H448</f>
        <v>614090.92999999993</v>
      </c>
      <c r="I443" s="27">
        <f>I444+I446+I448</f>
        <v>677470.16999999993</v>
      </c>
      <c r="J443" s="27">
        <f>J444+J446+J448</f>
        <v>684423.27</v>
      </c>
      <c r="K443" s="16">
        <f t="shared" si="169"/>
        <v>0</v>
      </c>
      <c r="L443" s="27">
        <f>L444+L446+L448</f>
        <v>614090.92999999993</v>
      </c>
      <c r="M443" s="16">
        <f t="shared" si="170"/>
        <v>0</v>
      </c>
      <c r="N443" s="27">
        <f>N444+N446+N448</f>
        <v>677470.16999999993</v>
      </c>
      <c r="O443" s="16">
        <f t="shared" si="171"/>
        <v>0</v>
      </c>
    </row>
    <row r="444" spans="1:15" s="30" customFormat="1">
      <c r="A444" s="13" t="s">
        <v>92</v>
      </c>
      <c r="B444" s="25" t="s">
        <v>69</v>
      </c>
      <c r="C444" s="26" t="s">
        <v>71</v>
      </c>
      <c r="D444" s="26" t="s">
        <v>65</v>
      </c>
      <c r="E444" s="26" t="s">
        <v>336</v>
      </c>
      <c r="F444" s="26" t="s">
        <v>138</v>
      </c>
      <c r="G444" s="27">
        <f>G445</f>
        <v>652243.16</v>
      </c>
      <c r="H444" s="27">
        <f t="shared" ref="H444:I444" si="190">H445</f>
        <v>581910.81999999995</v>
      </c>
      <c r="I444" s="27">
        <f t="shared" si="190"/>
        <v>645290.05999999994</v>
      </c>
      <c r="J444" s="27">
        <f>652243.16</f>
        <v>652243.16</v>
      </c>
      <c r="K444" s="16">
        <f t="shared" si="169"/>
        <v>0</v>
      </c>
      <c r="L444" s="27">
        <f>581936.82-26</f>
        <v>581910.81999999995</v>
      </c>
      <c r="M444" s="16">
        <f t="shared" si="170"/>
        <v>0</v>
      </c>
      <c r="N444" s="27">
        <f>645319.94-29.88</f>
        <v>645290.05999999994</v>
      </c>
      <c r="O444" s="16">
        <f t="shared" si="171"/>
        <v>0</v>
      </c>
    </row>
    <row r="445" spans="1:15" s="83" customFormat="1" ht="38.25">
      <c r="A445" s="12" t="s">
        <v>1015</v>
      </c>
      <c r="B445" s="25" t="s">
        <v>69</v>
      </c>
      <c r="C445" s="26" t="s">
        <v>71</v>
      </c>
      <c r="D445" s="26" t="s">
        <v>65</v>
      </c>
      <c r="E445" s="26" t="s">
        <v>336</v>
      </c>
      <c r="F445" s="26" t="s">
        <v>67</v>
      </c>
      <c r="G445" s="27">
        <f>652243.16</f>
        <v>652243.16</v>
      </c>
      <c r="H445" s="27">
        <f>581936.82-26</f>
        <v>581910.81999999995</v>
      </c>
      <c r="I445" s="27">
        <f>645319.94-29.88</f>
        <v>645290.05999999994</v>
      </c>
      <c r="J445" s="80"/>
      <c r="K445" s="16">
        <f t="shared" si="169"/>
        <v>-652243.16</v>
      </c>
      <c r="L445" s="80"/>
      <c r="M445" s="16">
        <f t="shared" si="170"/>
        <v>-581910.81999999995</v>
      </c>
      <c r="N445" s="80"/>
      <c r="O445" s="16">
        <f t="shared" si="171"/>
        <v>-645290.05999999994</v>
      </c>
    </row>
    <row r="446" spans="1:15" s="30" customFormat="1">
      <c r="A446" s="13" t="s">
        <v>93</v>
      </c>
      <c r="B446" s="25" t="s">
        <v>69</v>
      </c>
      <c r="C446" s="26" t="s">
        <v>71</v>
      </c>
      <c r="D446" s="26" t="s">
        <v>65</v>
      </c>
      <c r="E446" s="26" t="s">
        <v>336</v>
      </c>
      <c r="F446" s="26" t="s">
        <v>20</v>
      </c>
      <c r="G446" s="27">
        <f>G447</f>
        <v>27575.85</v>
      </c>
      <c r="H446" s="27">
        <f t="shared" ref="H446:I446" si="191">H447</f>
        <v>27575.85</v>
      </c>
      <c r="I446" s="27">
        <f t="shared" si="191"/>
        <v>27575.85</v>
      </c>
      <c r="J446" s="27">
        <f>27575.85</f>
        <v>27575.85</v>
      </c>
      <c r="K446" s="16">
        <f t="shared" si="169"/>
        <v>0</v>
      </c>
      <c r="L446" s="27">
        <f>27575.85</f>
        <v>27575.85</v>
      </c>
      <c r="M446" s="16">
        <f t="shared" si="170"/>
        <v>0</v>
      </c>
      <c r="N446" s="27">
        <f>27575.85</f>
        <v>27575.85</v>
      </c>
      <c r="O446" s="16">
        <f t="shared" si="171"/>
        <v>0</v>
      </c>
    </row>
    <row r="447" spans="1:15" s="83" customFormat="1" ht="38.25">
      <c r="A447" s="12" t="s">
        <v>1018</v>
      </c>
      <c r="B447" s="25" t="s">
        <v>69</v>
      </c>
      <c r="C447" s="26" t="s">
        <v>71</v>
      </c>
      <c r="D447" s="26" t="s">
        <v>65</v>
      </c>
      <c r="E447" s="26" t="s">
        <v>336</v>
      </c>
      <c r="F447" s="26" t="s">
        <v>16</v>
      </c>
      <c r="G447" s="27">
        <f>27575.85</f>
        <v>27575.85</v>
      </c>
      <c r="H447" s="27">
        <f>27575.85</f>
        <v>27575.85</v>
      </c>
      <c r="I447" s="27">
        <f>27575.85</f>
        <v>27575.85</v>
      </c>
      <c r="J447" s="80"/>
      <c r="K447" s="16">
        <f t="shared" si="169"/>
        <v>-27575.85</v>
      </c>
      <c r="L447" s="80"/>
      <c r="M447" s="16">
        <f t="shared" si="170"/>
        <v>-27575.85</v>
      </c>
      <c r="N447" s="80"/>
      <c r="O447" s="16">
        <f t="shared" si="171"/>
        <v>-27575.85</v>
      </c>
    </row>
    <row r="448" spans="1:15" s="30" customFormat="1" ht="25.5">
      <c r="A448" s="11" t="s">
        <v>111</v>
      </c>
      <c r="B448" s="25" t="s">
        <v>69</v>
      </c>
      <c r="C448" s="26" t="s">
        <v>71</v>
      </c>
      <c r="D448" s="26" t="s">
        <v>65</v>
      </c>
      <c r="E448" s="26" t="s">
        <v>336</v>
      </c>
      <c r="F448" s="26" t="s">
        <v>104</v>
      </c>
      <c r="G448" s="27">
        <f>G449</f>
        <v>4604.26</v>
      </c>
      <c r="H448" s="27">
        <f t="shared" ref="H448:I448" si="192">H449</f>
        <v>4604.26</v>
      </c>
      <c r="I448" s="27">
        <f t="shared" si="192"/>
        <v>4604.26</v>
      </c>
      <c r="J448" s="27">
        <f>4604.26</f>
        <v>4604.26</v>
      </c>
      <c r="K448" s="16">
        <f t="shared" ref="K448:K502" si="193">J448-G448</f>
        <v>0</v>
      </c>
      <c r="L448" s="27">
        <f>4604.26</f>
        <v>4604.26</v>
      </c>
      <c r="M448" s="16">
        <f t="shared" ref="M448:M502" si="194">L448-H448</f>
        <v>0</v>
      </c>
      <c r="N448" s="27">
        <f>4604.26</f>
        <v>4604.26</v>
      </c>
      <c r="O448" s="16">
        <f t="shared" ref="O448:O502" si="195">N448-I448</f>
        <v>0</v>
      </c>
    </row>
    <row r="449" spans="1:15" s="83" customFormat="1" ht="76.5">
      <c r="A449" s="12" t="s">
        <v>1048</v>
      </c>
      <c r="B449" s="25" t="s">
        <v>69</v>
      </c>
      <c r="C449" s="26" t="s">
        <v>71</v>
      </c>
      <c r="D449" s="26" t="s">
        <v>65</v>
      </c>
      <c r="E449" s="26" t="s">
        <v>336</v>
      </c>
      <c r="F449" s="26" t="s">
        <v>1055</v>
      </c>
      <c r="G449" s="27">
        <f>4604.26</f>
        <v>4604.26</v>
      </c>
      <c r="H449" s="27">
        <f>4604.26</f>
        <v>4604.26</v>
      </c>
      <c r="I449" s="27">
        <f>4604.26</f>
        <v>4604.26</v>
      </c>
      <c r="J449" s="80"/>
      <c r="K449" s="16">
        <f t="shared" si="193"/>
        <v>-4604.26</v>
      </c>
      <c r="L449" s="80"/>
      <c r="M449" s="16">
        <f t="shared" si="194"/>
        <v>-4604.26</v>
      </c>
      <c r="N449" s="80"/>
      <c r="O449" s="16">
        <f t="shared" si="195"/>
        <v>-4604.26</v>
      </c>
    </row>
    <row r="450" spans="1:15" s="30" customFormat="1" ht="51">
      <c r="A450" s="11" t="s">
        <v>629</v>
      </c>
      <c r="B450" s="25" t="s">
        <v>69</v>
      </c>
      <c r="C450" s="26" t="s">
        <v>71</v>
      </c>
      <c r="D450" s="26" t="s">
        <v>65</v>
      </c>
      <c r="E450" s="26" t="s">
        <v>337</v>
      </c>
      <c r="F450" s="26" t="s">
        <v>58</v>
      </c>
      <c r="G450" s="27">
        <f>G451+G454</f>
        <v>35830.04</v>
      </c>
      <c r="H450" s="27">
        <f>H451+H454</f>
        <v>13530.66</v>
      </c>
      <c r="I450" s="27">
        <f>I451+I454</f>
        <v>13530.66</v>
      </c>
      <c r="J450" s="27">
        <f>J451+J454</f>
        <v>35830.04</v>
      </c>
      <c r="K450" s="16">
        <f t="shared" si="193"/>
        <v>0</v>
      </c>
      <c r="L450" s="27">
        <f>L451+L454</f>
        <v>13530.66</v>
      </c>
      <c r="M450" s="16">
        <f t="shared" si="194"/>
        <v>0</v>
      </c>
      <c r="N450" s="27">
        <f>N451+N454</f>
        <v>13530.66</v>
      </c>
      <c r="O450" s="16">
        <f t="shared" si="195"/>
        <v>0</v>
      </c>
    </row>
    <row r="451" spans="1:15" s="30" customFormat="1" ht="25.5">
      <c r="A451" s="13" t="s">
        <v>247</v>
      </c>
      <c r="B451" s="25" t="s">
        <v>69</v>
      </c>
      <c r="C451" s="26" t="s">
        <v>71</v>
      </c>
      <c r="D451" s="26" t="s">
        <v>65</v>
      </c>
      <c r="E451" s="26" t="s">
        <v>338</v>
      </c>
      <c r="F451" s="26" t="s">
        <v>58</v>
      </c>
      <c r="G451" s="27">
        <f>G452</f>
        <v>35580.04</v>
      </c>
      <c r="H451" s="27">
        <f>H452</f>
        <v>13530.66</v>
      </c>
      <c r="I451" s="27">
        <f>I452</f>
        <v>13530.66</v>
      </c>
      <c r="J451" s="27">
        <f>J452</f>
        <v>35580.04</v>
      </c>
      <c r="K451" s="16">
        <f t="shared" si="193"/>
        <v>0</v>
      </c>
      <c r="L451" s="27">
        <f>L452</f>
        <v>13530.66</v>
      </c>
      <c r="M451" s="16">
        <f t="shared" si="194"/>
        <v>0</v>
      </c>
      <c r="N451" s="27">
        <f>N452</f>
        <v>13530.66</v>
      </c>
      <c r="O451" s="16">
        <f t="shared" si="195"/>
        <v>0</v>
      </c>
    </row>
    <row r="452" spans="1:15" s="30" customFormat="1">
      <c r="A452" s="13" t="s">
        <v>92</v>
      </c>
      <c r="B452" s="25" t="s">
        <v>69</v>
      </c>
      <c r="C452" s="26" t="s">
        <v>71</v>
      </c>
      <c r="D452" s="26" t="s">
        <v>65</v>
      </c>
      <c r="E452" s="26" t="s">
        <v>338</v>
      </c>
      <c r="F452" s="26" t="s">
        <v>138</v>
      </c>
      <c r="G452" s="27">
        <f>G453</f>
        <v>35580.04</v>
      </c>
      <c r="H452" s="27">
        <f t="shared" ref="H452:I452" si="196">H453</f>
        <v>13530.66</v>
      </c>
      <c r="I452" s="27">
        <f t="shared" si="196"/>
        <v>13530.66</v>
      </c>
      <c r="J452" s="27">
        <f>35580.04</f>
        <v>35580.04</v>
      </c>
      <c r="K452" s="16">
        <f t="shared" si="193"/>
        <v>0</v>
      </c>
      <c r="L452" s="27">
        <f>13530.66</f>
        <v>13530.66</v>
      </c>
      <c r="M452" s="16">
        <f t="shared" si="194"/>
        <v>0</v>
      </c>
      <c r="N452" s="27">
        <f>13530.66</f>
        <v>13530.66</v>
      </c>
      <c r="O452" s="16">
        <f t="shared" si="195"/>
        <v>0</v>
      </c>
    </row>
    <row r="453" spans="1:15" s="83" customFormat="1">
      <c r="A453" s="12" t="s">
        <v>1016</v>
      </c>
      <c r="B453" s="25" t="s">
        <v>69</v>
      </c>
      <c r="C453" s="26" t="s">
        <v>71</v>
      </c>
      <c r="D453" s="26" t="s">
        <v>65</v>
      </c>
      <c r="E453" s="26" t="s">
        <v>338</v>
      </c>
      <c r="F453" s="26" t="s">
        <v>1046</v>
      </c>
      <c r="G453" s="27">
        <f>35580.04</f>
        <v>35580.04</v>
      </c>
      <c r="H453" s="27">
        <f>13530.66</f>
        <v>13530.66</v>
      </c>
      <c r="I453" s="27">
        <f>13530.66</f>
        <v>13530.66</v>
      </c>
      <c r="J453" s="80"/>
      <c r="K453" s="16">
        <f t="shared" si="193"/>
        <v>-35580.04</v>
      </c>
      <c r="L453" s="80"/>
      <c r="M453" s="16">
        <f t="shared" si="194"/>
        <v>-13530.66</v>
      </c>
      <c r="N453" s="80"/>
      <c r="O453" s="16">
        <f t="shared" si="195"/>
        <v>-13530.66</v>
      </c>
    </row>
    <row r="454" spans="1:15" s="30" customFormat="1" ht="38.25">
      <c r="A454" s="13" t="s">
        <v>702</v>
      </c>
      <c r="B454" s="25" t="s">
        <v>69</v>
      </c>
      <c r="C454" s="26" t="s">
        <v>71</v>
      </c>
      <c r="D454" s="26" t="s">
        <v>65</v>
      </c>
      <c r="E454" s="26" t="s">
        <v>701</v>
      </c>
      <c r="F454" s="26" t="s">
        <v>58</v>
      </c>
      <c r="G454" s="27">
        <f>G455</f>
        <v>250</v>
      </c>
      <c r="H454" s="27">
        <f>H455</f>
        <v>0</v>
      </c>
      <c r="I454" s="27">
        <f>I455</f>
        <v>0</v>
      </c>
      <c r="J454" s="27">
        <f>J455</f>
        <v>250</v>
      </c>
      <c r="K454" s="16">
        <f t="shared" si="193"/>
        <v>0</v>
      </c>
      <c r="L454" s="27">
        <f>L455</f>
        <v>0</v>
      </c>
      <c r="M454" s="16">
        <f t="shared" si="194"/>
        <v>0</v>
      </c>
      <c r="N454" s="27">
        <f>N455</f>
        <v>0</v>
      </c>
      <c r="O454" s="16">
        <f t="shared" si="195"/>
        <v>0</v>
      </c>
    </row>
    <row r="455" spans="1:15" s="30" customFormat="1">
      <c r="A455" s="13" t="s">
        <v>92</v>
      </c>
      <c r="B455" s="25" t="s">
        <v>69</v>
      </c>
      <c r="C455" s="26" t="s">
        <v>71</v>
      </c>
      <c r="D455" s="26" t="s">
        <v>65</v>
      </c>
      <c r="E455" s="26" t="s">
        <v>701</v>
      </c>
      <c r="F455" s="26" t="s">
        <v>138</v>
      </c>
      <c r="G455" s="27">
        <f>G456</f>
        <v>250</v>
      </c>
      <c r="H455" s="27">
        <f t="shared" ref="H455:I455" si="197">H456</f>
        <v>0</v>
      </c>
      <c r="I455" s="27">
        <f t="shared" si="197"/>
        <v>0</v>
      </c>
      <c r="J455" s="27">
        <f>250</f>
        <v>250</v>
      </c>
      <c r="K455" s="16">
        <f t="shared" si="193"/>
        <v>0</v>
      </c>
      <c r="L455" s="27">
        <v>0</v>
      </c>
      <c r="M455" s="16">
        <f t="shared" si="194"/>
        <v>0</v>
      </c>
      <c r="N455" s="27">
        <v>0</v>
      </c>
      <c r="O455" s="16">
        <f t="shared" si="195"/>
        <v>0</v>
      </c>
    </row>
    <row r="456" spans="1:15" s="83" customFormat="1">
      <c r="A456" s="12" t="s">
        <v>1016</v>
      </c>
      <c r="B456" s="25" t="s">
        <v>69</v>
      </c>
      <c r="C456" s="26" t="s">
        <v>71</v>
      </c>
      <c r="D456" s="26" t="s">
        <v>65</v>
      </c>
      <c r="E456" s="26" t="s">
        <v>701</v>
      </c>
      <c r="F456" s="26" t="s">
        <v>1046</v>
      </c>
      <c r="G456" s="27">
        <f>250</f>
        <v>250</v>
      </c>
      <c r="H456" s="27">
        <v>0</v>
      </c>
      <c r="I456" s="27">
        <v>0</v>
      </c>
      <c r="J456" s="80"/>
      <c r="K456" s="16">
        <f t="shared" si="193"/>
        <v>-250</v>
      </c>
      <c r="L456" s="80"/>
      <c r="M456" s="16">
        <f t="shared" si="194"/>
        <v>0</v>
      </c>
      <c r="N456" s="80"/>
      <c r="O456" s="16">
        <f t="shared" si="195"/>
        <v>0</v>
      </c>
    </row>
    <row r="457" spans="1:15" s="30" customFormat="1" ht="63.75">
      <c r="A457" s="11" t="s">
        <v>756</v>
      </c>
      <c r="B457" s="25" t="s">
        <v>69</v>
      </c>
      <c r="C457" s="26" t="s">
        <v>71</v>
      </c>
      <c r="D457" s="26" t="s">
        <v>65</v>
      </c>
      <c r="E457" s="26" t="s">
        <v>339</v>
      </c>
      <c r="F457" s="26" t="s">
        <v>58</v>
      </c>
      <c r="G457" s="27">
        <f t="shared" ref="G457:N459" si="198">G458</f>
        <v>4259.57</v>
      </c>
      <c r="H457" s="27">
        <f t="shared" si="198"/>
        <v>3895.64</v>
      </c>
      <c r="I457" s="27">
        <f t="shared" si="198"/>
        <v>3895.64</v>
      </c>
      <c r="J457" s="27">
        <f t="shared" si="198"/>
        <v>4259.57</v>
      </c>
      <c r="K457" s="16">
        <f t="shared" si="193"/>
        <v>0</v>
      </c>
      <c r="L457" s="27">
        <f t="shared" si="198"/>
        <v>3895.64</v>
      </c>
      <c r="M457" s="16">
        <f t="shared" si="194"/>
        <v>0</v>
      </c>
      <c r="N457" s="27">
        <f t="shared" si="198"/>
        <v>3895.64</v>
      </c>
      <c r="O457" s="16">
        <f t="shared" si="195"/>
        <v>0</v>
      </c>
    </row>
    <row r="458" spans="1:15" s="30" customFormat="1" ht="25.5">
      <c r="A458" s="11" t="s">
        <v>136</v>
      </c>
      <c r="B458" s="25" t="s">
        <v>69</v>
      </c>
      <c r="C458" s="26" t="s">
        <v>71</v>
      </c>
      <c r="D458" s="26" t="s">
        <v>65</v>
      </c>
      <c r="E458" s="26" t="s">
        <v>340</v>
      </c>
      <c r="F458" s="26" t="s">
        <v>58</v>
      </c>
      <c r="G458" s="27">
        <f t="shared" si="198"/>
        <v>4259.57</v>
      </c>
      <c r="H458" s="27">
        <f t="shared" si="198"/>
        <v>3895.64</v>
      </c>
      <c r="I458" s="27">
        <f t="shared" si="198"/>
        <v>3895.64</v>
      </c>
      <c r="J458" s="27">
        <f t="shared" si="198"/>
        <v>4259.57</v>
      </c>
      <c r="K458" s="16">
        <f t="shared" si="193"/>
        <v>0</v>
      </c>
      <c r="L458" s="27">
        <f t="shared" si="198"/>
        <v>3895.64</v>
      </c>
      <c r="M458" s="16">
        <f t="shared" si="194"/>
        <v>0</v>
      </c>
      <c r="N458" s="27">
        <f t="shared" si="198"/>
        <v>3895.64</v>
      </c>
      <c r="O458" s="16">
        <f t="shared" si="195"/>
        <v>0</v>
      </c>
    </row>
    <row r="459" spans="1:15" s="30" customFormat="1" ht="25.5">
      <c r="A459" s="11" t="s">
        <v>667</v>
      </c>
      <c r="B459" s="25" t="s">
        <v>69</v>
      </c>
      <c r="C459" s="26" t="s">
        <v>71</v>
      </c>
      <c r="D459" s="26" t="s">
        <v>65</v>
      </c>
      <c r="E459" s="26" t="s">
        <v>609</v>
      </c>
      <c r="F459" s="26" t="s">
        <v>58</v>
      </c>
      <c r="G459" s="27">
        <f t="shared" si="198"/>
        <v>4259.57</v>
      </c>
      <c r="H459" s="27">
        <f t="shared" si="198"/>
        <v>3895.64</v>
      </c>
      <c r="I459" s="27">
        <f t="shared" si="198"/>
        <v>3895.64</v>
      </c>
      <c r="J459" s="27">
        <f t="shared" si="198"/>
        <v>4259.57</v>
      </c>
      <c r="K459" s="16">
        <f t="shared" si="193"/>
        <v>0</v>
      </c>
      <c r="L459" s="27">
        <f t="shared" si="198"/>
        <v>3895.64</v>
      </c>
      <c r="M459" s="16">
        <f t="shared" si="194"/>
        <v>0</v>
      </c>
      <c r="N459" s="27">
        <f t="shared" si="198"/>
        <v>3895.64</v>
      </c>
      <c r="O459" s="16">
        <f t="shared" si="195"/>
        <v>0</v>
      </c>
    </row>
    <row r="460" spans="1:15" s="30" customFormat="1" ht="38.25">
      <c r="A460" s="11" t="s">
        <v>177</v>
      </c>
      <c r="B460" s="25" t="s">
        <v>69</v>
      </c>
      <c r="C460" s="26" t="s">
        <v>71</v>
      </c>
      <c r="D460" s="26" t="s">
        <v>65</v>
      </c>
      <c r="E460" s="26" t="s">
        <v>610</v>
      </c>
      <c r="F460" s="26" t="s">
        <v>58</v>
      </c>
      <c r="G460" s="27">
        <f>G461+G463</f>
        <v>4259.57</v>
      </c>
      <c r="H460" s="27">
        <f t="shared" ref="H460:I460" si="199">H461+H463</f>
        <v>3895.64</v>
      </c>
      <c r="I460" s="27">
        <f t="shared" si="199"/>
        <v>3895.64</v>
      </c>
      <c r="J460" s="27">
        <f>SUM(J461:J463)</f>
        <v>4259.57</v>
      </c>
      <c r="K460" s="16">
        <f t="shared" si="193"/>
        <v>0</v>
      </c>
      <c r="L460" s="27">
        <f>SUM(L461:L463)</f>
        <v>3895.64</v>
      </c>
      <c r="M460" s="16">
        <f t="shared" si="194"/>
        <v>0</v>
      </c>
      <c r="N460" s="27">
        <f>SUM(N461:N463)</f>
        <v>3895.64</v>
      </c>
      <c r="O460" s="16">
        <f t="shared" si="195"/>
        <v>0</v>
      </c>
    </row>
    <row r="461" spans="1:15" s="30" customFormat="1">
      <c r="A461" s="13" t="s">
        <v>92</v>
      </c>
      <c r="B461" s="25" t="s">
        <v>69</v>
      </c>
      <c r="C461" s="26" t="s">
        <v>71</v>
      </c>
      <c r="D461" s="26" t="s">
        <v>65</v>
      </c>
      <c r="E461" s="26" t="s">
        <v>610</v>
      </c>
      <c r="F461" s="26" t="s">
        <v>138</v>
      </c>
      <c r="G461" s="27">
        <f>G462</f>
        <v>4161.07</v>
      </c>
      <c r="H461" s="27">
        <f t="shared" ref="H461:I461" si="200">H462</f>
        <v>3797.14</v>
      </c>
      <c r="I461" s="27">
        <f t="shared" si="200"/>
        <v>3797.14</v>
      </c>
      <c r="J461" s="27">
        <f>4161.07</f>
        <v>4161.07</v>
      </c>
      <c r="K461" s="16">
        <f t="shared" si="193"/>
        <v>0</v>
      </c>
      <c r="L461" s="27">
        <f>3797.14</f>
        <v>3797.14</v>
      </c>
      <c r="M461" s="16">
        <f t="shared" si="194"/>
        <v>0</v>
      </c>
      <c r="N461" s="27">
        <f>3797.14</f>
        <v>3797.14</v>
      </c>
      <c r="O461" s="16">
        <f t="shared" si="195"/>
        <v>0</v>
      </c>
    </row>
    <row r="462" spans="1:15" s="83" customFormat="1">
      <c r="A462" s="12" t="s">
        <v>1016</v>
      </c>
      <c r="B462" s="25" t="s">
        <v>69</v>
      </c>
      <c r="C462" s="26" t="s">
        <v>71</v>
      </c>
      <c r="D462" s="26" t="s">
        <v>65</v>
      </c>
      <c r="E462" s="26" t="s">
        <v>610</v>
      </c>
      <c r="F462" s="26" t="s">
        <v>1046</v>
      </c>
      <c r="G462" s="27">
        <f>4161.07</f>
        <v>4161.07</v>
      </c>
      <c r="H462" s="27">
        <f>3797.14</f>
        <v>3797.14</v>
      </c>
      <c r="I462" s="27">
        <f>3797.14</f>
        <v>3797.14</v>
      </c>
      <c r="J462" s="80"/>
      <c r="K462" s="16">
        <f t="shared" si="193"/>
        <v>-4161.07</v>
      </c>
      <c r="L462" s="80"/>
      <c r="M462" s="16">
        <f t="shared" si="194"/>
        <v>-3797.14</v>
      </c>
      <c r="N462" s="80"/>
      <c r="O462" s="16">
        <f t="shared" si="195"/>
        <v>-3797.14</v>
      </c>
    </row>
    <row r="463" spans="1:15" s="30" customFormat="1">
      <c r="A463" s="13" t="s">
        <v>93</v>
      </c>
      <c r="B463" s="25" t="s">
        <v>69</v>
      </c>
      <c r="C463" s="26" t="s">
        <v>71</v>
      </c>
      <c r="D463" s="26" t="s">
        <v>65</v>
      </c>
      <c r="E463" s="26" t="s">
        <v>610</v>
      </c>
      <c r="F463" s="26" t="s">
        <v>20</v>
      </c>
      <c r="G463" s="27">
        <f>G464</f>
        <v>98.5</v>
      </c>
      <c r="H463" s="27">
        <f t="shared" ref="H463:I463" si="201">H464</f>
        <v>98.5</v>
      </c>
      <c r="I463" s="27">
        <f t="shared" si="201"/>
        <v>98.5</v>
      </c>
      <c r="J463" s="27">
        <f>98.5</f>
        <v>98.5</v>
      </c>
      <c r="K463" s="16">
        <f t="shared" si="193"/>
        <v>0</v>
      </c>
      <c r="L463" s="27">
        <f>98.5</f>
        <v>98.5</v>
      </c>
      <c r="M463" s="16">
        <f t="shared" si="194"/>
        <v>0</v>
      </c>
      <c r="N463" s="27">
        <f>98.5</f>
        <v>98.5</v>
      </c>
      <c r="O463" s="16">
        <f t="shared" si="195"/>
        <v>0</v>
      </c>
    </row>
    <row r="464" spans="1:15" s="83" customFormat="1">
      <c r="A464" s="12" t="s">
        <v>1019</v>
      </c>
      <c r="B464" s="25" t="s">
        <v>69</v>
      </c>
      <c r="C464" s="26" t="s">
        <v>71</v>
      </c>
      <c r="D464" s="26" t="s">
        <v>65</v>
      </c>
      <c r="E464" s="26" t="s">
        <v>610</v>
      </c>
      <c r="F464" s="26" t="s">
        <v>1054</v>
      </c>
      <c r="G464" s="27">
        <f>98.5</f>
        <v>98.5</v>
      </c>
      <c r="H464" s="27">
        <f>98.5</f>
        <v>98.5</v>
      </c>
      <c r="I464" s="27">
        <f>98.5</f>
        <v>98.5</v>
      </c>
      <c r="J464" s="80"/>
      <c r="K464" s="16">
        <f t="shared" si="193"/>
        <v>-98.5</v>
      </c>
      <c r="L464" s="80"/>
      <c r="M464" s="16">
        <f t="shared" si="194"/>
        <v>-98.5</v>
      </c>
      <c r="N464" s="80"/>
      <c r="O464" s="16">
        <f t="shared" si="195"/>
        <v>-98.5</v>
      </c>
    </row>
    <row r="465" spans="1:15" s="30" customFormat="1" ht="25.5">
      <c r="A465" s="11" t="s">
        <v>757</v>
      </c>
      <c r="B465" s="25" t="s">
        <v>69</v>
      </c>
      <c r="C465" s="26" t="s">
        <v>71</v>
      </c>
      <c r="D465" s="26" t="s">
        <v>65</v>
      </c>
      <c r="E465" s="26" t="s">
        <v>342</v>
      </c>
      <c r="F465" s="26" t="s">
        <v>58</v>
      </c>
      <c r="G465" s="27">
        <f t="shared" ref="G465:N466" si="202">G466</f>
        <v>0</v>
      </c>
      <c r="H465" s="27">
        <f t="shared" si="202"/>
        <v>5077.74</v>
      </c>
      <c r="I465" s="27">
        <f t="shared" si="202"/>
        <v>5077.74</v>
      </c>
      <c r="J465" s="27">
        <f t="shared" si="202"/>
        <v>0</v>
      </c>
      <c r="K465" s="16">
        <f t="shared" si="193"/>
        <v>0</v>
      </c>
      <c r="L465" s="27">
        <f t="shared" si="202"/>
        <v>5077.74</v>
      </c>
      <c r="M465" s="16">
        <f t="shared" si="194"/>
        <v>0</v>
      </c>
      <c r="N465" s="27">
        <f t="shared" si="202"/>
        <v>5077.74</v>
      </c>
      <c r="O465" s="16">
        <f t="shared" si="195"/>
        <v>0</v>
      </c>
    </row>
    <row r="466" spans="1:15" s="30" customFormat="1" ht="38.25">
      <c r="A466" s="34" t="s">
        <v>758</v>
      </c>
      <c r="B466" s="25" t="s">
        <v>69</v>
      </c>
      <c r="C466" s="26" t="s">
        <v>71</v>
      </c>
      <c r="D466" s="26" t="s">
        <v>65</v>
      </c>
      <c r="E466" s="26" t="s">
        <v>343</v>
      </c>
      <c r="F466" s="26" t="s">
        <v>58</v>
      </c>
      <c r="G466" s="27">
        <f t="shared" si="202"/>
        <v>0</v>
      </c>
      <c r="H466" s="27">
        <f t="shared" si="202"/>
        <v>5077.74</v>
      </c>
      <c r="I466" s="27">
        <f t="shared" si="202"/>
        <v>5077.74</v>
      </c>
      <c r="J466" s="27">
        <f t="shared" si="202"/>
        <v>0</v>
      </c>
      <c r="K466" s="16">
        <f t="shared" si="193"/>
        <v>0</v>
      </c>
      <c r="L466" s="27">
        <f t="shared" si="202"/>
        <v>5077.74</v>
      </c>
      <c r="M466" s="16">
        <f t="shared" si="194"/>
        <v>0</v>
      </c>
      <c r="N466" s="27">
        <f t="shared" si="202"/>
        <v>5077.74</v>
      </c>
      <c r="O466" s="16">
        <f t="shared" si="195"/>
        <v>0</v>
      </c>
    </row>
    <row r="467" spans="1:15" s="30" customFormat="1" ht="25.5">
      <c r="A467" s="11" t="s">
        <v>344</v>
      </c>
      <c r="B467" s="25" t="s">
        <v>69</v>
      </c>
      <c r="C467" s="26" t="s">
        <v>71</v>
      </c>
      <c r="D467" s="26" t="s">
        <v>65</v>
      </c>
      <c r="E467" s="26" t="s">
        <v>345</v>
      </c>
      <c r="F467" s="26" t="s">
        <v>58</v>
      </c>
      <c r="G467" s="27">
        <f>G469</f>
        <v>0</v>
      </c>
      <c r="H467" s="27">
        <f>H469</f>
        <v>5077.74</v>
      </c>
      <c r="I467" s="27">
        <f>I469</f>
        <v>5077.74</v>
      </c>
      <c r="J467" s="27">
        <f>J469</f>
        <v>0</v>
      </c>
      <c r="K467" s="16">
        <f t="shared" si="193"/>
        <v>0</v>
      </c>
      <c r="L467" s="27">
        <f>L469</f>
        <v>5077.74</v>
      </c>
      <c r="M467" s="16">
        <f t="shared" si="194"/>
        <v>0</v>
      </c>
      <c r="N467" s="27">
        <f>N469</f>
        <v>5077.74</v>
      </c>
      <c r="O467" s="16">
        <f t="shared" si="195"/>
        <v>0</v>
      </c>
    </row>
    <row r="468" spans="1:15" s="30" customFormat="1" ht="25.5">
      <c r="A468" s="13" t="s">
        <v>174</v>
      </c>
      <c r="B468" s="25" t="s">
        <v>69</v>
      </c>
      <c r="C468" s="26" t="s">
        <v>71</v>
      </c>
      <c r="D468" s="26" t="s">
        <v>65</v>
      </c>
      <c r="E468" s="26" t="s">
        <v>346</v>
      </c>
      <c r="F468" s="26" t="s">
        <v>58</v>
      </c>
      <c r="G468" s="27">
        <f>G469</f>
        <v>0</v>
      </c>
      <c r="H468" s="27">
        <f>H469</f>
        <v>5077.74</v>
      </c>
      <c r="I468" s="27">
        <f>I469</f>
        <v>5077.74</v>
      </c>
      <c r="J468" s="27">
        <f>J469</f>
        <v>0</v>
      </c>
      <c r="K468" s="16">
        <f t="shared" si="193"/>
        <v>0</v>
      </c>
      <c r="L468" s="27">
        <f>L469</f>
        <v>5077.74</v>
      </c>
      <c r="M468" s="16">
        <f t="shared" si="194"/>
        <v>0</v>
      </c>
      <c r="N468" s="27">
        <f>N469</f>
        <v>5077.74</v>
      </c>
      <c r="O468" s="16">
        <f t="shared" si="195"/>
        <v>0</v>
      </c>
    </row>
    <row r="469" spans="1:15" s="30" customFormat="1">
      <c r="A469" s="13" t="s">
        <v>92</v>
      </c>
      <c r="B469" s="25" t="s">
        <v>69</v>
      </c>
      <c r="C469" s="26" t="s">
        <v>71</v>
      </c>
      <c r="D469" s="26" t="s">
        <v>65</v>
      </c>
      <c r="E469" s="26" t="s">
        <v>346</v>
      </c>
      <c r="F469" s="26" t="s">
        <v>138</v>
      </c>
      <c r="G469" s="27">
        <f>G470</f>
        <v>0</v>
      </c>
      <c r="H469" s="27">
        <f t="shared" ref="H469:I469" si="203">H470</f>
        <v>5077.74</v>
      </c>
      <c r="I469" s="27">
        <f t="shared" si="203"/>
        <v>5077.74</v>
      </c>
      <c r="J469" s="27">
        <f>0</f>
        <v>0</v>
      </c>
      <c r="K469" s="16">
        <f t="shared" si="193"/>
        <v>0</v>
      </c>
      <c r="L469" s="27">
        <f>5077.74</f>
        <v>5077.74</v>
      </c>
      <c r="M469" s="16">
        <f t="shared" si="194"/>
        <v>0</v>
      </c>
      <c r="N469" s="27">
        <f>5077.74</f>
        <v>5077.74</v>
      </c>
      <c r="O469" s="16">
        <f t="shared" si="195"/>
        <v>0</v>
      </c>
    </row>
    <row r="470" spans="1:15" s="83" customFormat="1">
      <c r="A470" s="12" t="s">
        <v>1016</v>
      </c>
      <c r="B470" s="25" t="s">
        <v>69</v>
      </c>
      <c r="C470" s="26" t="s">
        <v>71</v>
      </c>
      <c r="D470" s="26" t="s">
        <v>65</v>
      </c>
      <c r="E470" s="26" t="s">
        <v>346</v>
      </c>
      <c r="F470" s="26" t="s">
        <v>1046</v>
      </c>
      <c r="G470" s="27">
        <f>0</f>
        <v>0</v>
      </c>
      <c r="H470" s="27">
        <f>5077.74</f>
        <v>5077.74</v>
      </c>
      <c r="I470" s="27">
        <f>5077.74</f>
        <v>5077.74</v>
      </c>
      <c r="J470" s="80"/>
      <c r="K470" s="16">
        <f t="shared" si="193"/>
        <v>0</v>
      </c>
      <c r="L470" s="80"/>
      <c r="M470" s="16">
        <f t="shared" si="194"/>
        <v>-5077.74</v>
      </c>
      <c r="N470" s="80"/>
      <c r="O470" s="16">
        <f t="shared" si="195"/>
        <v>-5077.74</v>
      </c>
    </row>
    <row r="471" spans="1:15" s="30" customFormat="1">
      <c r="A471" s="21" t="s">
        <v>61</v>
      </c>
      <c r="B471" s="22" t="s">
        <v>69</v>
      </c>
      <c r="C471" s="23" t="s">
        <v>71</v>
      </c>
      <c r="D471" s="23" t="s">
        <v>66</v>
      </c>
      <c r="E471" s="23" t="s">
        <v>196</v>
      </c>
      <c r="F471" s="23" t="s">
        <v>58</v>
      </c>
      <c r="G471" s="24">
        <f>G472+G505+G516+G524</f>
        <v>1639816.01</v>
      </c>
      <c r="H471" s="24">
        <f>H472+H505+H516+H524</f>
        <v>1476120.7200000002</v>
      </c>
      <c r="I471" s="24">
        <f>I472+I505+I516+I524</f>
        <v>1563261.2000000002</v>
      </c>
      <c r="J471" s="24">
        <f>J472+J505+J516+J524</f>
        <v>1639816.01</v>
      </c>
      <c r="K471" s="16">
        <f t="shared" si="193"/>
        <v>0</v>
      </c>
      <c r="L471" s="24">
        <f>L472+L505+L516+L524</f>
        <v>1476120.7200000002</v>
      </c>
      <c r="M471" s="16">
        <f t="shared" si="194"/>
        <v>0</v>
      </c>
      <c r="N471" s="24">
        <f>N472+N505+N516+N524</f>
        <v>1563261.2000000002</v>
      </c>
      <c r="O471" s="16">
        <f t="shared" si="195"/>
        <v>0</v>
      </c>
    </row>
    <row r="472" spans="1:15" s="30" customFormat="1" ht="25.5">
      <c r="A472" s="13" t="s">
        <v>723</v>
      </c>
      <c r="B472" s="25" t="s">
        <v>69</v>
      </c>
      <c r="C472" s="26" t="s">
        <v>71</v>
      </c>
      <c r="D472" s="26" t="s">
        <v>66</v>
      </c>
      <c r="E472" s="26" t="s">
        <v>331</v>
      </c>
      <c r="F472" s="26" t="s">
        <v>58</v>
      </c>
      <c r="G472" s="27">
        <f>G473+G500</f>
        <v>1634402.45</v>
      </c>
      <c r="H472" s="27">
        <f>H473+H500</f>
        <v>1471240.9100000001</v>
      </c>
      <c r="I472" s="27">
        <f>I473+I500</f>
        <v>1558381.3900000001</v>
      </c>
      <c r="J472" s="27">
        <f>J473+J500</f>
        <v>1634402.45</v>
      </c>
      <c r="K472" s="16">
        <f t="shared" si="193"/>
        <v>0</v>
      </c>
      <c r="L472" s="27">
        <f>L473+L500</f>
        <v>1471240.9100000001</v>
      </c>
      <c r="M472" s="16">
        <f t="shared" si="194"/>
        <v>0</v>
      </c>
      <c r="N472" s="27">
        <f>N473+N500</f>
        <v>1558381.3900000001</v>
      </c>
      <c r="O472" s="16">
        <f t="shared" si="195"/>
        <v>0</v>
      </c>
    </row>
    <row r="473" spans="1:15" s="30" customFormat="1" ht="25.5">
      <c r="A473" s="13" t="s">
        <v>860</v>
      </c>
      <c r="B473" s="25" t="s">
        <v>69</v>
      </c>
      <c r="C473" s="26" t="s">
        <v>71</v>
      </c>
      <c r="D473" s="26" t="s">
        <v>66</v>
      </c>
      <c r="E473" s="26" t="s">
        <v>332</v>
      </c>
      <c r="F473" s="26" t="s">
        <v>58</v>
      </c>
      <c r="G473" s="27">
        <f>G474+G496</f>
        <v>1630682.45</v>
      </c>
      <c r="H473" s="27">
        <f>H474+H496</f>
        <v>1464421.29</v>
      </c>
      <c r="I473" s="27">
        <f>I474+I496</f>
        <v>1558381.3900000001</v>
      </c>
      <c r="J473" s="27">
        <f>J474+J496</f>
        <v>1630682.45</v>
      </c>
      <c r="K473" s="16">
        <f t="shared" si="193"/>
        <v>0</v>
      </c>
      <c r="L473" s="27">
        <f>L474+L496</f>
        <v>1464421.29</v>
      </c>
      <c r="M473" s="16">
        <f t="shared" si="194"/>
        <v>0</v>
      </c>
      <c r="N473" s="27">
        <f>N474+N496</f>
        <v>1558381.3900000001</v>
      </c>
      <c r="O473" s="16">
        <f t="shared" si="195"/>
        <v>0</v>
      </c>
    </row>
    <row r="474" spans="1:15" s="30" customFormat="1" ht="38.25">
      <c r="A474" s="13" t="s">
        <v>663</v>
      </c>
      <c r="B474" s="25" t="s">
        <v>69</v>
      </c>
      <c r="C474" s="26" t="s">
        <v>71</v>
      </c>
      <c r="D474" s="26" t="s">
        <v>66</v>
      </c>
      <c r="E474" s="26" t="s">
        <v>347</v>
      </c>
      <c r="F474" s="26" t="s">
        <v>58</v>
      </c>
      <c r="G474" s="27">
        <f>G475+G486</f>
        <v>1619344.25</v>
      </c>
      <c r="H474" s="27">
        <f>H475+H486</f>
        <v>1460421.29</v>
      </c>
      <c r="I474" s="27">
        <f>I475+I486</f>
        <v>1554381.3900000001</v>
      </c>
      <c r="J474" s="27">
        <f>J475+J486</f>
        <v>1619344.25</v>
      </c>
      <c r="K474" s="16">
        <f t="shared" si="193"/>
        <v>0</v>
      </c>
      <c r="L474" s="27">
        <f>L475+L486</f>
        <v>1460421.29</v>
      </c>
      <c r="M474" s="16">
        <f t="shared" si="194"/>
        <v>0</v>
      </c>
      <c r="N474" s="27">
        <f>N475+N486</f>
        <v>1554381.3900000001</v>
      </c>
      <c r="O474" s="16">
        <f t="shared" si="195"/>
        <v>0</v>
      </c>
    </row>
    <row r="475" spans="1:15" s="30" customFormat="1" ht="25.5">
      <c r="A475" s="13" t="s">
        <v>247</v>
      </c>
      <c r="B475" s="25" t="s">
        <v>69</v>
      </c>
      <c r="C475" s="26" t="s">
        <v>71</v>
      </c>
      <c r="D475" s="26" t="s">
        <v>66</v>
      </c>
      <c r="E475" s="26" t="s">
        <v>348</v>
      </c>
      <c r="F475" s="26" t="s">
        <v>58</v>
      </c>
      <c r="G475" s="27">
        <f>G476+G479+G481+G484</f>
        <v>529533.96</v>
      </c>
      <c r="H475" s="27">
        <f>H476+H479+H481+H484</f>
        <v>533711.88</v>
      </c>
      <c r="I475" s="27">
        <f>I476+I479+I481+I484</f>
        <v>533711.88</v>
      </c>
      <c r="J475" s="27">
        <f>SUM(J476:J484)</f>
        <v>529533.96</v>
      </c>
      <c r="K475" s="16">
        <f t="shared" si="193"/>
        <v>0</v>
      </c>
      <c r="L475" s="27">
        <f>SUM(L476:L484)</f>
        <v>533711.88</v>
      </c>
      <c r="M475" s="16">
        <f t="shared" si="194"/>
        <v>0</v>
      </c>
      <c r="N475" s="27">
        <f>SUM(N476:N484)</f>
        <v>533711.88</v>
      </c>
      <c r="O475" s="16">
        <f t="shared" si="195"/>
        <v>0</v>
      </c>
    </row>
    <row r="476" spans="1:15" s="30" customFormat="1">
      <c r="A476" s="13" t="s">
        <v>106</v>
      </c>
      <c r="B476" s="25" t="s">
        <v>69</v>
      </c>
      <c r="C476" s="26" t="s">
        <v>71</v>
      </c>
      <c r="D476" s="26" t="s">
        <v>66</v>
      </c>
      <c r="E476" s="26" t="s">
        <v>348</v>
      </c>
      <c r="F476" s="26" t="s">
        <v>121</v>
      </c>
      <c r="G476" s="27">
        <f>SUM(G477:G478)</f>
        <v>1601.6100000000001</v>
      </c>
      <c r="H476" s="27">
        <f t="shared" ref="H476:I476" si="204">SUM(H477:H478)</f>
        <v>1601.6100000000001</v>
      </c>
      <c r="I476" s="27">
        <f t="shared" si="204"/>
        <v>1601.6100000000001</v>
      </c>
      <c r="J476" s="27">
        <f>1601.61</f>
        <v>1601.61</v>
      </c>
      <c r="K476" s="16">
        <f t="shared" si="193"/>
        <v>0</v>
      </c>
      <c r="L476" s="27">
        <f>1601.61</f>
        <v>1601.61</v>
      </c>
      <c r="M476" s="16">
        <f t="shared" si="194"/>
        <v>0</v>
      </c>
      <c r="N476" s="27">
        <f>1601.61</f>
        <v>1601.61</v>
      </c>
      <c r="O476" s="16">
        <f t="shared" si="195"/>
        <v>0</v>
      </c>
    </row>
    <row r="477" spans="1:15" s="83" customFormat="1">
      <c r="A477" s="12" t="s">
        <v>932</v>
      </c>
      <c r="B477" s="25" t="s">
        <v>69</v>
      </c>
      <c r="C477" s="26" t="s">
        <v>71</v>
      </c>
      <c r="D477" s="26" t="s">
        <v>66</v>
      </c>
      <c r="E477" s="26" t="s">
        <v>348</v>
      </c>
      <c r="F477" s="26" t="s">
        <v>1056</v>
      </c>
      <c r="G477" s="27">
        <v>1229.44</v>
      </c>
      <c r="H477" s="27">
        <v>1229.44</v>
      </c>
      <c r="I477" s="27">
        <v>1229.44</v>
      </c>
      <c r="J477" s="80"/>
      <c r="K477" s="16">
        <f t="shared" si="193"/>
        <v>-1229.44</v>
      </c>
      <c r="L477" s="80"/>
      <c r="M477" s="16">
        <f t="shared" si="194"/>
        <v>-1229.44</v>
      </c>
      <c r="N477" s="80"/>
      <c r="O477" s="16">
        <f t="shared" si="195"/>
        <v>-1229.44</v>
      </c>
    </row>
    <row r="478" spans="1:15" s="83" customFormat="1" ht="38.25">
      <c r="A478" s="12" t="s">
        <v>935</v>
      </c>
      <c r="B478" s="25" t="s">
        <v>69</v>
      </c>
      <c r="C478" s="26" t="s">
        <v>71</v>
      </c>
      <c r="D478" s="26" t="s">
        <v>66</v>
      </c>
      <c r="E478" s="26" t="s">
        <v>348</v>
      </c>
      <c r="F478" s="26" t="s">
        <v>1057</v>
      </c>
      <c r="G478" s="27">
        <v>372.17</v>
      </c>
      <c r="H478" s="27">
        <v>372.17</v>
      </c>
      <c r="I478" s="27">
        <v>372.17</v>
      </c>
      <c r="J478" s="80"/>
      <c r="K478" s="16">
        <f t="shared" si="193"/>
        <v>-372.17</v>
      </c>
      <c r="L478" s="80"/>
      <c r="M478" s="16">
        <f t="shared" si="194"/>
        <v>-372.17</v>
      </c>
      <c r="N478" s="80"/>
      <c r="O478" s="16">
        <f t="shared" si="195"/>
        <v>-372.17</v>
      </c>
    </row>
    <row r="479" spans="1:15" s="30" customFormat="1" ht="25.5">
      <c r="A479" s="11" t="s">
        <v>108</v>
      </c>
      <c r="B479" s="25" t="s">
        <v>69</v>
      </c>
      <c r="C479" s="26" t="s">
        <v>71</v>
      </c>
      <c r="D479" s="26" t="s">
        <v>66</v>
      </c>
      <c r="E479" s="26" t="s">
        <v>348</v>
      </c>
      <c r="F479" s="26" t="s">
        <v>116</v>
      </c>
      <c r="G479" s="27">
        <f>G480</f>
        <v>70</v>
      </c>
      <c r="H479" s="27">
        <f t="shared" ref="H479:I479" si="205">H480</f>
        <v>70</v>
      </c>
      <c r="I479" s="27">
        <f t="shared" si="205"/>
        <v>70</v>
      </c>
      <c r="J479" s="27">
        <f>70</f>
        <v>70</v>
      </c>
      <c r="K479" s="16">
        <f t="shared" si="193"/>
        <v>0</v>
      </c>
      <c r="L479" s="27">
        <f>70</f>
        <v>70</v>
      </c>
      <c r="M479" s="16">
        <f t="shared" si="194"/>
        <v>0</v>
      </c>
      <c r="N479" s="27">
        <f>70</f>
        <v>70</v>
      </c>
      <c r="O479" s="16">
        <f t="shared" si="195"/>
        <v>0</v>
      </c>
    </row>
    <row r="480" spans="1:15" s="83" customFormat="1" ht="25.5">
      <c r="A480" s="12" t="s">
        <v>973</v>
      </c>
      <c r="B480" s="25" t="s">
        <v>69</v>
      </c>
      <c r="C480" s="26" t="s">
        <v>71</v>
      </c>
      <c r="D480" s="26" t="s">
        <v>66</v>
      </c>
      <c r="E480" s="26" t="s">
        <v>348</v>
      </c>
      <c r="F480" s="26" t="s">
        <v>1043</v>
      </c>
      <c r="G480" s="27">
        <f>70</f>
        <v>70</v>
      </c>
      <c r="H480" s="27">
        <f>70</f>
        <v>70</v>
      </c>
      <c r="I480" s="27">
        <f>70</f>
        <v>70</v>
      </c>
      <c r="J480" s="80"/>
      <c r="K480" s="16">
        <f t="shared" si="193"/>
        <v>-70</v>
      </c>
      <c r="L480" s="80"/>
      <c r="M480" s="16">
        <f t="shared" si="194"/>
        <v>-70</v>
      </c>
      <c r="N480" s="80"/>
      <c r="O480" s="16">
        <f t="shared" si="195"/>
        <v>-70</v>
      </c>
    </row>
    <row r="481" spans="1:15" s="30" customFormat="1">
      <c r="A481" s="13" t="s">
        <v>92</v>
      </c>
      <c r="B481" s="25" t="s">
        <v>69</v>
      </c>
      <c r="C481" s="26" t="s">
        <v>71</v>
      </c>
      <c r="D481" s="26" t="s">
        <v>66</v>
      </c>
      <c r="E481" s="26" t="s">
        <v>348</v>
      </c>
      <c r="F481" s="26" t="s">
        <v>138</v>
      </c>
      <c r="G481" s="27">
        <f>SUM(G482:G483)</f>
        <v>489742.48</v>
      </c>
      <c r="H481" s="27">
        <f t="shared" ref="H481:I481" si="206">SUM(H482:H483)</f>
        <v>493920.4</v>
      </c>
      <c r="I481" s="27">
        <f t="shared" si="206"/>
        <v>493920.4</v>
      </c>
      <c r="J481" s="27">
        <f>489742.48</f>
        <v>489742.48</v>
      </c>
      <c r="K481" s="16">
        <f t="shared" si="193"/>
        <v>0</v>
      </c>
      <c r="L481" s="27">
        <f>493920.4</f>
        <v>493920.4</v>
      </c>
      <c r="M481" s="16">
        <f t="shared" si="194"/>
        <v>0</v>
      </c>
      <c r="N481" s="27">
        <f>493920.4</f>
        <v>493920.4</v>
      </c>
      <c r="O481" s="16">
        <f t="shared" si="195"/>
        <v>0</v>
      </c>
    </row>
    <row r="482" spans="1:15" s="83" customFormat="1" ht="38.25">
      <c r="A482" s="12" t="s">
        <v>1015</v>
      </c>
      <c r="B482" s="25" t="s">
        <v>69</v>
      </c>
      <c r="C482" s="26" t="s">
        <v>71</v>
      </c>
      <c r="D482" s="26" t="s">
        <v>66</v>
      </c>
      <c r="E482" s="26" t="s">
        <v>348</v>
      </c>
      <c r="F482" s="26" t="s">
        <v>67</v>
      </c>
      <c r="G482" s="27">
        <v>485744.73</v>
      </c>
      <c r="H482" s="27">
        <v>489922.65</v>
      </c>
      <c r="I482" s="27">
        <v>489922.65</v>
      </c>
      <c r="J482" s="80"/>
      <c r="K482" s="16">
        <f t="shared" si="193"/>
        <v>-485744.73</v>
      </c>
      <c r="L482" s="80"/>
      <c r="M482" s="16">
        <f t="shared" si="194"/>
        <v>-489922.65</v>
      </c>
      <c r="N482" s="80"/>
      <c r="O482" s="16">
        <f t="shared" si="195"/>
        <v>-489922.65</v>
      </c>
    </row>
    <row r="483" spans="1:15" s="83" customFormat="1">
      <c r="A483" s="12" t="s">
        <v>1016</v>
      </c>
      <c r="B483" s="25" t="s">
        <v>69</v>
      </c>
      <c r="C483" s="26" t="s">
        <v>71</v>
      </c>
      <c r="D483" s="26" t="s">
        <v>66</v>
      </c>
      <c r="E483" s="26" t="s">
        <v>348</v>
      </c>
      <c r="F483" s="26" t="s">
        <v>1046</v>
      </c>
      <c r="G483" s="27">
        <v>3997.75</v>
      </c>
      <c r="H483" s="27">
        <v>3997.75</v>
      </c>
      <c r="I483" s="27">
        <v>3997.75</v>
      </c>
      <c r="J483" s="80"/>
      <c r="K483" s="16">
        <f t="shared" si="193"/>
        <v>-3997.75</v>
      </c>
      <c r="L483" s="80"/>
      <c r="M483" s="16">
        <f t="shared" si="194"/>
        <v>-3997.75</v>
      </c>
      <c r="N483" s="80"/>
      <c r="O483" s="16">
        <f t="shared" si="195"/>
        <v>-3997.75</v>
      </c>
    </row>
    <row r="484" spans="1:15" s="30" customFormat="1">
      <c r="A484" s="13" t="s">
        <v>93</v>
      </c>
      <c r="B484" s="25" t="s">
        <v>69</v>
      </c>
      <c r="C484" s="26" t="s">
        <v>71</v>
      </c>
      <c r="D484" s="26" t="s">
        <v>66</v>
      </c>
      <c r="E484" s="26" t="s">
        <v>348</v>
      </c>
      <c r="F484" s="26" t="s">
        <v>20</v>
      </c>
      <c r="G484" s="27">
        <f>G485</f>
        <v>38119.870000000003</v>
      </c>
      <c r="H484" s="27">
        <f t="shared" ref="H484:I484" si="207">H485</f>
        <v>38119.870000000003</v>
      </c>
      <c r="I484" s="27">
        <f t="shared" si="207"/>
        <v>38119.870000000003</v>
      </c>
      <c r="J484" s="27">
        <f>38119.87</f>
        <v>38119.870000000003</v>
      </c>
      <c r="K484" s="16">
        <f t="shared" si="193"/>
        <v>0</v>
      </c>
      <c r="L484" s="27">
        <f>38119.87</f>
        <v>38119.870000000003</v>
      </c>
      <c r="M484" s="16">
        <f t="shared" si="194"/>
        <v>0</v>
      </c>
      <c r="N484" s="27">
        <f>38119.87</f>
        <v>38119.870000000003</v>
      </c>
      <c r="O484" s="16">
        <f t="shared" si="195"/>
        <v>0</v>
      </c>
    </row>
    <row r="485" spans="1:15" s="83" customFormat="1" ht="38.25">
      <c r="A485" s="12" t="s">
        <v>1018</v>
      </c>
      <c r="B485" s="25" t="s">
        <v>69</v>
      </c>
      <c r="C485" s="26" t="s">
        <v>71</v>
      </c>
      <c r="D485" s="26" t="s">
        <v>66</v>
      </c>
      <c r="E485" s="26" t="s">
        <v>348</v>
      </c>
      <c r="F485" s="26" t="s">
        <v>16</v>
      </c>
      <c r="G485" s="27">
        <f>38119.87</f>
        <v>38119.870000000003</v>
      </c>
      <c r="H485" s="27">
        <f>38119.87</f>
        <v>38119.870000000003</v>
      </c>
      <c r="I485" s="27">
        <f>38119.87</f>
        <v>38119.870000000003</v>
      </c>
      <c r="J485" s="80"/>
      <c r="K485" s="16">
        <f t="shared" si="193"/>
        <v>-38119.870000000003</v>
      </c>
      <c r="L485" s="80"/>
      <c r="M485" s="16">
        <f t="shared" si="194"/>
        <v>-38119.870000000003</v>
      </c>
      <c r="N485" s="80"/>
      <c r="O485" s="16">
        <f t="shared" si="195"/>
        <v>-38119.870000000003</v>
      </c>
    </row>
    <row r="486" spans="1:15" s="30" customFormat="1" ht="114.75">
      <c r="A486" s="12" t="s">
        <v>349</v>
      </c>
      <c r="B486" s="25" t="s">
        <v>69</v>
      </c>
      <c r="C486" s="26" t="s">
        <v>71</v>
      </c>
      <c r="D486" s="26" t="s">
        <v>66</v>
      </c>
      <c r="E486" s="26" t="s">
        <v>350</v>
      </c>
      <c r="F486" s="26" t="s">
        <v>58</v>
      </c>
      <c r="G486" s="27">
        <f>G487+G490+G492+G494</f>
        <v>1089810.29</v>
      </c>
      <c r="H486" s="27">
        <f>H487+H490+H492+H494</f>
        <v>926709.41</v>
      </c>
      <c r="I486" s="27">
        <f>I487+I490+I492+I494</f>
        <v>1020669.51</v>
      </c>
      <c r="J486" s="27">
        <f>J487+J490+J492+J494</f>
        <v>1089810.29</v>
      </c>
      <c r="K486" s="16">
        <f t="shared" si="193"/>
        <v>0</v>
      </c>
      <c r="L486" s="27">
        <f>L487+L490+L492+L494</f>
        <v>926709.41</v>
      </c>
      <c r="M486" s="16">
        <f t="shared" si="194"/>
        <v>0</v>
      </c>
      <c r="N486" s="27">
        <f>N487+N490+N492+N494</f>
        <v>1020669.51</v>
      </c>
      <c r="O486" s="16">
        <f t="shared" si="195"/>
        <v>0</v>
      </c>
    </row>
    <row r="487" spans="1:15" s="30" customFormat="1">
      <c r="A487" s="12" t="s">
        <v>106</v>
      </c>
      <c r="B487" s="25" t="s">
        <v>69</v>
      </c>
      <c r="C487" s="26" t="s">
        <v>71</v>
      </c>
      <c r="D487" s="26" t="s">
        <v>66</v>
      </c>
      <c r="E487" s="26" t="s">
        <v>350</v>
      </c>
      <c r="F487" s="26" t="s">
        <v>121</v>
      </c>
      <c r="G487" s="27">
        <f>SUM(G488:G489)</f>
        <v>11605.66</v>
      </c>
      <c r="H487" s="27">
        <f t="shared" ref="H487:I487" si="208">SUM(H488:H489)</f>
        <v>11605.66</v>
      </c>
      <c r="I487" s="27">
        <f t="shared" si="208"/>
        <v>11605.66</v>
      </c>
      <c r="J487" s="27">
        <f>11605.66</f>
        <v>11605.66</v>
      </c>
      <c r="K487" s="16">
        <f t="shared" si="193"/>
        <v>0</v>
      </c>
      <c r="L487" s="27">
        <f t="shared" ref="L487:N487" si="209">11605.66</f>
        <v>11605.66</v>
      </c>
      <c r="M487" s="16">
        <f t="shared" si="194"/>
        <v>0</v>
      </c>
      <c r="N487" s="27">
        <f t="shared" si="209"/>
        <v>11605.66</v>
      </c>
      <c r="O487" s="16">
        <f t="shared" si="195"/>
        <v>0</v>
      </c>
    </row>
    <row r="488" spans="1:15" s="83" customFormat="1">
      <c r="A488" s="12" t="s">
        <v>932</v>
      </c>
      <c r="B488" s="25" t="s">
        <v>69</v>
      </c>
      <c r="C488" s="26" t="s">
        <v>71</v>
      </c>
      <c r="D488" s="26" t="s">
        <v>66</v>
      </c>
      <c r="E488" s="26" t="s">
        <v>350</v>
      </c>
      <c r="F488" s="26" t="s">
        <v>1056</v>
      </c>
      <c r="G488" s="27">
        <v>8913.7199999999993</v>
      </c>
      <c r="H488" s="27">
        <f>G488</f>
        <v>8913.7199999999993</v>
      </c>
      <c r="I488" s="27">
        <f>H488</f>
        <v>8913.7199999999993</v>
      </c>
      <c r="J488" s="80"/>
      <c r="K488" s="16">
        <f t="shared" si="193"/>
        <v>-8913.7199999999993</v>
      </c>
      <c r="L488" s="80"/>
      <c r="M488" s="16">
        <f t="shared" si="194"/>
        <v>-8913.7199999999993</v>
      </c>
      <c r="N488" s="80"/>
      <c r="O488" s="16">
        <f t="shared" si="195"/>
        <v>-8913.7199999999993</v>
      </c>
    </row>
    <row r="489" spans="1:15" s="83" customFormat="1" ht="38.25">
      <c r="A489" s="12" t="s">
        <v>935</v>
      </c>
      <c r="B489" s="25" t="s">
        <v>69</v>
      </c>
      <c r="C489" s="26" t="s">
        <v>71</v>
      </c>
      <c r="D489" s="26" t="s">
        <v>66</v>
      </c>
      <c r="E489" s="26" t="s">
        <v>350</v>
      </c>
      <c r="F489" s="26" t="s">
        <v>1057</v>
      </c>
      <c r="G489" s="27">
        <v>2691.94</v>
      </c>
      <c r="H489" s="27">
        <f>G489</f>
        <v>2691.94</v>
      </c>
      <c r="I489" s="27">
        <f>H489</f>
        <v>2691.94</v>
      </c>
      <c r="J489" s="80"/>
      <c r="K489" s="16">
        <f t="shared" si="193"/>
        <v>-2691.94</v>
      </c>
      <c r="L489" s="80"/>
      <c r="M489" s="16">
        <f t="shared" si="194"/>
        <v>-2691.94</v>
      </c>
      <c r="N489" s="80"/>
      <c r="O489" s="16">
        <f t="shared" si="195"/>
        <v>-2691.94</v>
      </c>
    </row>
    <row r="490" spans="1:15" s="30" customFormat="1">
      <c r="A490" s="13" t="s">
        <v>92</v>
      </c>
      <c r="B490" s="25" t="s">
        <v>69</v>
      </c>
      <c r="C490" s="26" t="s">
        <v>71</v>
      </c>
      <c r="D490" s="26" t="s">
        <v>66</v>
      </c>
      <c r="E490" s="26" t="s">
        <v>350</v>
      </c>
      <c r="F490" s="26" t="s">
        <v>138</v>
      </c>
      <c r="G490" s="27">
        <f>G491</f>
        <v>975154.19</v>
      </c>
      <c r="H490" s="27">
        <f t="shared" ref="H490:I490" si="210">H491</f>
        <v>812053.31</v>
      </c>
      <c r="I490" s="27">
        <f t="shared" si="210"/>
        <v>906013.41</v>
      </c>
      <c r="J490" s="27">
        <f>975154.19</f>
        <v>975154.19</v>
      </c>
      <c r="K490" s="16">
        <f t="shared" si="193"/>
        <v>0</v>
      </c>
      <c r="L490" s="27">
        <f>812053.31</f>
        <v>812053.31</v>
      </c>
      <c r="M490" s="16">
        <f t="shared" si="194"/>
        <v>0</v>
      </c>
      <c r="N490" s="27">
        <f>906013.41</f>
        <v>906013.41</v>
      </c>
      <c r="O490" s="16">
        <f t="shared" si="195"/>
        <v>0</v>
      </c>
    </row>
    <row r="491" spans="1:15" s="83" customFormat="1" ht="38.25">
      <c r="A491" s="12" t="s">
        <v>1015</v>
      </c>
      <c r="B491" s="25" t="s">
        <v>69</v>
      </c>
      <c r="C491" s="26" t="s">
        <v>71</v>
      </c>
      <c r="D491" s="26" t="s">
        <v>66</v>
      </c>
      <c r="E491" s="26" t="s">
        <v>350</v>
      </c>
      <c r="F491" s="26" t="s">
        <v>67</v>
      </c>
      <c r="G491" s="27">
        <f>975154.19</f>
        <v>975154.19</v>
      </c>
      <c r="H491" s="27">
        <f>812053.31</f>
        <v>812053.31</v>
      </c>
      <c r="I491" s="27">
        <f>906013.41</f>
        <v>906013.41</v>
      </c>
      <c r="J491" s="80"/>
      <c r="K491" s="16">
        <f t="shared" si="193"/>
        <v>-975154.19</v>
      </c>
      <c r="L491" s="80"/>
      <c r="M491" s="16">
        <f t="shared" si="194"/>
        <v>-812053.31</v>
      </c>
      <c r="N491" s="80"/>
      <c r="O491" s="16">
        <f t="shared" si="195"/>
        <v>-906013.41</v>
      </c>
    </row>
    <row r="492" spans="1:15" s="30" customFormat="1">
      <c r="A492" s="13" t="s">
        <v>93</v>
      </c>
      <c r="B492" s="25" t="s">
        <v>69</v>
      </c>
      <c r="C492" s="26" t="s">
        <v>71</v>
      </c>
      <c r="D492" s="26" t="s">
        <v>66</v>
      </c>
      <c r="E492" s="26" t="s">
        <v>350</v>
      </c>
      <c r="F492" s="26" t="s">
        <v>20</v>
      </c>
      <c r="G492" s="27">
        <f>G493</f>
        <v>98318.6</v>
      </c>
      <c r="H492" s="27">
        <f t="shared" ref="H492:I492" si="211">H493</f>
        <v>98318.6</v>
      </c>
      <c r="I492" s="27">
        <f t="shared" si="211"/>
        <v>98318.6</v>
      </c>
      <c r="J492" s="27">
        <f>98318.6</f>
        <v>98318.6</v>
      </c>
      <c r="K492" s="16">
        <f t="shared" si="193"/>
        <v>0</v>
      </c>
      <c r="L492" s="27">
        <f t="shared" ref="H492:N493" si="212">98318.6</f>
        <v>98318.6</v>
      </c>
      <c r="M492" s="16">
        <f t="shared" si="194"/>
        <v>0</v>
      </c>
      <c r="N492" s="27">
        <f t="shared" si="212"/>
        <v>98318.6</v>
      </c>
      <c r="O492" s="16">
        <f t="shared" si="195"/>
        <v>0</v>
      </c>
    </row>
    <row r="493" spans="1:15" s="83" customFormat="1" ht="38.25">
      <c r="A493" s="12" t="s">
        <v>1018</v>
      </c>
      <c r="B493" s="25" t="s">
        <v>69</v>
      </c>
      <c r="C493" s="26" t="s">
        <v>71</v>
      </c>
      <c r="D493" s="26" t="s">
        <v>66</v>
      </c>
      <c r="E493" s="26" t="s">
        <v>350</v>
      </c>
      <c r="F493" s="26" t="s">
        <v>16</v>
      </c>
      <c r="G493" s="27">
        <f>98318.6</f>
        <v>98318.6</v>
      </c>
      <c r="H493" s="27">
        <f t="shared" si="212"/>
        <v>98318.6</v>
      </c>
      <c r="I493" s="27">
        <f t="shared" si="212"/>
        <v>98318.6</v>
      </c>
      <c r="J493" s="80"/>
      <c r="K493" s="16">
        <f t="shared" si="193"/>
        <v>-98318.6</v>
      </c>
      <c r="L493" s="80"/>
      <c r="M493" s="16">
        <f t="shared" si="194"/>
        <v>-98318.6</v>
      </c>
      <c r="N493" s="80"/>
      <c r="O493" s="16">
        <f t="shared" si="195"/>
        <v>-98318.6</v>
      </c>
    </row>
    <row r="494" spans="1:15" s="30" customFormat="1" ht="25.5">
      <c r="A494" s="11" t="s">
        <v>111</v>
      </c>
      <c r="B494" s="25" t="s">
        <v>69</v>
      </c>
      <c r="C494" s="26" t="s">
        <v>71</v>
      </c>
      <c r="D494" s="26" t="s">
        <v>66</v>
      </c>
      <c r="E494" s="26" t="s">
        <v>350</v>
      </c>
      <c r="F494" s="26" t="s">
        <v>104</v>
      </c>
      <c r="G494" s="27">
        <f>G495</f>
        <v>4731.84</v>
      </c>
      <c r="H494" s="27">
        <f t="shared" ref="H494:I494" si="213">H495</f>
        <v>4731.84</v>
      </c>
      <c r="I494" s="27">
        <f t="shared" si="213"/>
        <v>4731.84</v>
      </c>
      <c r="J494" s="27">
        <f>4731.84</f>
        <v>4731.84</v>
      </c>
      <c r="K494" s="16">
        <f t="shared" si="193"/>
        <v>0</v>
      </c>
      <c r="L494" s="27">
        <f t="shared" ref="H494:N495" si="214">4731.84</f>
        <v>4731.84</v>
      </c>
      <c r="M494" s="16">
        <f t="shared" si="194"/>
        <v>0</v>
      </c>
      <c r="N494" s="27">
        <f t="shared" si="214"/>
        <v>4731.84</v>
      </c>
      <c r="O494" s="16">
        <f t="shared" si="195"/>
        <v>0</v>
      </c>
    </row>
    <row r="495" spans="1:15" s="83" customFormat="1" ht="76.5">
      <c r="A495" s="12" t="s">
        <v>1048</v>
      </c>
      <c r="B495" s="25" t="s">
        <v>69</v>
      </c>
      <c r="C495" s="26" t="s">
        <v>71</v>
      </c>
      <c r="D495" s="26" t="s">
        <v>66</v>
      </c>
      <c r="E495" s="26" t="s">
        <v>350</v>
      </c>
      <c r="F495" s="26" t="s">
        <v>1055</v>
      </c>
      <c r="G495" s="27">
        <f>4731.84</f>
        <v>4731.84</v>
      </c>
      <c r="H495" s="27">
        <f t="shared" si="214"/>
        <v>4731.84</v>
      </c>
      <c r="I495" s="27">
        <f t="shared" si="214"/>
        <v>4731.84</v>
      </c>
      <c r="J495" s="80"/>
      <c r="K495" s="16">
        <f t="shared" si="193"/>
        <v>-4731.84</v>
      </c>
      <c r="L495" s="80"/>
      <c r="M495" s="16">
        <f t="shared" si="194"/>
        <v>-4731.84</v>
      </c>
      <c r="N495" s="80"/>
      <c r="O495" s="16">
        <f t="shared" si="195"/>
        <v>-4731.84</v>
      </c>
    </row>
    <row r="496" spans="1:15" s="30" customFormat="1" ht="51">
      <c r="A496" s="11" t="s">
        <v>629</v>
      </c>
      <c r="B496" s="25" t="s">
        <v>69</v>
      </c>
      <c r="C496" s="26" t="s">
        <v>71</v>
      </c>
      <c r="D496" s="26" t="s">
        <v>66</v>
      </c>
      <c r="E496" s="26" t="s">
        <v>337</v>
      </c>
      <c r="F496" s="26" t="s">
        <v>58</v>
      </c>
      <c r="G496" s="27">
        <f t="shared" ref="G496:N498" si="215">G497</f>
        <v>11338.2</v>
      </c>
      <c r="H496" s="27">
        <f t="shared" si="215"/>
        <v>4000</v>
      </c>
      <c r="I496" s="27">
        <f t="shared" si="215"/>
        <v>4000</v>
      </c>
      <c r="J496" s="27">
        <f t="shared" si="215"/>
        <v>11338.2</v>
      </c>
      <c r="K496" s="16">
        <f t="shared" si="193"/>
        <v>0</v>
      </c>
      <c r="L496" s="27">
        <f t="shared" si="215"/>
        <v>4000</v>
      </c>
      <c r="M496" s="16">
        <f t="shared" si="194"/>
        <v>0</v>
      </c>
      <c r="N496" s="27">
        <f t="shared" si="215"/>
        <v>4000</v>
      </c>
      <c r="O496" s="16">
        <f t="shared" si="195"/>
        <v>0</v>
      </c>
    </row>
    <row r="497" spans="1:15" s="30" customFormat="1" ht="25.5">
      <c r="A497" s="13" t="s">
        <v>247</v>
      </c>
      <c r="B497" s="25" t="s">
        <v>69</v>
      </c>
      <c r="C497" s="26" t="s">
        <v>71</v>
      </c>
      <c r="D497" s="26" t="s">
        <v>66</v>
      </c>
      <c r="E497" s="26" t="s">
        <v>338</v>
      </c>
      <c r="F497" s="26" t="s">
        <v>58</v>
      </c>
      <c r="G497" s="27">
        <f t="shared" si="215"/>
        <v>11338.2</v>
      </c>
      <c r="H497" s="27">
        <f t="shared" si="215"/>
        <v>4000</v>
      </c>
      <c r="I497" s="27">
        <f t="shared" si="215"/>
        <v>4000</v>
      </c>
      <c r="J497" s="27">
        <f t="shared" si="215"/>
        <v>11338.2</v>
      </c>
      <c r="K497" s="16">
        <f t="shared" si="193"/>
        <v>0</v>
      </c>
      <c r="L497" s="27">
        <f t="shared" si="215"/>
        <v>4000</v>
      </c>
      <c r="M497" s="16">
        <f t="shared" si="194"/>
        <v>0</v>
      </c>
      <c r="N497" s="27">
        <f t="shared" si="215"/>
        <v>4000</v>
      </c>
      <c r="O497" s="16">
        <f t="shared" si="195"/>
        <v>0</v>
      </c>
    </row>
    <row r="498" spans="1:15" s="30" customFormat="1">
      <c r="A498" s="13" t="s">
        <v>92</v>
      </c>
      <c r="B498" s="25" t="s">
        <v>69</v>
      </c>
      <c r="C498" s="26" t="s">
        <v>71</v>
      </c>
      <c r="D498" s="26" t="s">
        <v>66</v>
      </c>
      <c r="E498" s="26" t="s">
        <v>338</v>
      </c>
      <c r="F498" s="26" t="s">
        <v>138</v>
      </c>
      <c r="G498" s="27">
        <f>G499</f>
        <v>11338.2</v>
      </c>
      <c r="H498" s="27">
        <f t="shared" si="215"/>
        <v>4000</v>
      </c>
      <c r="I498" s="27">
        <f t="shared" si="215"/>
        <v>4000</v>
      </c>
      <c r="J498" s="27">
        <f>11338.2</f>
        <v>11338.2</v>
      </c>
      <c r="K498" s="16">
        <f t="shared" si="193"/>
        <v>0</v>
      </c>
      <c r="L498" s="27">
        <f>4000</f>
        <v>4000</v>
      </c>
      <c r="M498" s="16">
        <f t="shared" si="194"/>
        <v>0</v>
      </c>
      <c r="N498" s="27">
        <f>4000</f>
        <v>4000</v>
      </c>
      <c r="O498" s="16">
        <f t="shared" si="195"/>
        <v>0</v>
      </c>
    </row>
    <row r="499" spans="1:15" s="83" customFormat="1">
      <c r="A499" s="12" t="s">
        <v>1016</v>
      </c>
      <c r="B499" s="25" t="s">
        <v>69</v>
      </c>
      <c r="C499" s="26" t="s">
        <v>71</v>
      </c>
      <c r="D499" s="26" t="s">
        <v>66</v>
      </c>
      <c r="E499" s="26" t="s">
        <v>338</v>
      </c>
      <c r="F499" s="26" t="s">
        <v>1046</v>
      </c>
      <c r="G499" s="27">
        <f>11338.2</f>
        <v>11338.2</v>
      </c>
      <c r="H499" s="27">
        <f>4000</f>
        <v>4000</v>
      </c>
      <c r="I499" s="27">
        <f>4000</f>
        <v>4000</v>
      </c>
      <c r="J499" s="80"/>
      <c r="K499" s="16">
        <f t="shared" si="193"/>
        <v>-11338.2</v>
      </c>
      <c r="L499" s="80"/>
      <c r="M499" s="16">
        <f t="shared" si="194"/>
        <v>-4000</v>
      </c>
      <c r="N499" s="80"/>
      <c r="O499" s="16">
        <f t="shared" si="195"/>
        <v>-4000</v>
      </c>
    </row>
    <row r="500" spans="1:15" s="30" customFormat="1" ht="25.5">
      <c r="A500" s="13" t="s">
        <v>724</v>
      </c>
      <c r="B500" s="25" t="s">
        <v>69</v>
      </c>
      <c r="C500" s="26" t="s">
        <v>71</v>
      </c>
      <c r="D500" s="26" t="s">
        <v>66</v>
      </c>
      <c r="E500" s="26" t="s">
        <v>562</v>
      </c>
      <c r="F500" s="26" t="s">
        <v>58</v>
      </c>
      <c r="G500" s="27">
        <f>G501</f>
        <v>3720</v>
      </c>
      <c r="H500" s="27">
        <f t="shared" ref="H500:N501" si="216">H501</f>
        <v>6819.62</v>
      </c>
      <c r="I500" s="27">
        <f t="shared" si="216"/>
        <v>0</v>
      </c>
      <c r="J500" s="27">
        <f>J501</f>
        <v>3720</v>
      </c>
      <c r="K500" s="16">
        <f t="shared" si="193"/>
        <v>0</v>
      </c>
      <c r="L500" s="27">
        <f t="shared" si="216"/>
        <v>6819.62</v>
      </c>
      <c r="M500" s="16">
        <f t="shared" si="194"/>
        <v>0</v>
      </c>
      <c r="N500" s="27">
        <f t="shared" si="216"/>
        <v>0</v>
      </c>
      <c r="O500" s="16">
        <f t="shared" si="195"/>
        <v>0</v>
      </c>
    </row>
    <row r="501" spans="1:15" s="30" customFormat="1" ht="38.25">
      <c r="A501" s="13" t="s">
        <v>642</v>
      </c>
      <c r="B501" s="25" t="s">
        <v>69</v>
      </c>
      <c r="C501" s="26" t="s">
        <v>71</v>
      </c>
      <c r="D501" s="26" t="s">
        <v>66</v>
      </c>
      <c r="E501" s="26" t="s">
        <v>563</v>
      </c>
      <c r="F501" s="26" t="s">
        <v>58</v>
      </c>
      <c r="G501" s="27">
        <f>G502</f>
        <v>3720</v>
      </c>
      <c r="H501" s="27">
        <f t="shared" si="216"/>
        <v>6819.62</v>
      </c>
      <c r="I501" s="27">
        <f t="shared" si="216"/>
        <v>0</v>
      </c>
      <c r="J501" s="27">
        <f>J502</f>
        <v>3720</v>
      </c>
      <c r="K501" s="16">
        <f t="shared" si="193"/>
        <v>0</v>
      </c>
      <c r="L501" s="27">
        <f t="shared" si="216"/>
        <v>6819.62</v>
      </c>
      <c r="M501" s="16">
        <f t="shared" si="194"/>
        <v>0</v>
      </c>
      <c r="N501" s="27">
        <f t="shared" si="216"/>
        <v>0</v>
      </c>
      <c r="O501" s="16">
        <f t="shared" si="195"/>
        <v>0</v>
      </c>
    </row>
    <row r="502" spans="1:15" s="30" customFormat="1" ht="38.25">
      <c r="A502" s="13" t="s">
        <v>154</v>
      </c>
      <c r="B502" s="25" t="s">
        <v>69</v>
      </c>
      <c r="C502" s="26" t="s">
        <v>71</v>
      </c>
      <c r="D502" s="26" t="s">
        <v>66</v>
      </c>
      <c r="E502" s="26" t="s">
        <v>564</v>
      </c>
      <c r="F502" s="26" t="s">
        <v>58</v>
      </c>
      <c r="G502" s="27">
        <f>G503</f>
        <v>3720</v>
      </c>
      <c r="H502" s="27">
        <f t="shared" ref="H502:I502" si="217">H503</f>
        <v>6819.62</v>
      </c>
      <c r="I502" s="27">
        <f t="shared" si="217"/>
        <v>0</v>
      </c>
      <c r="J502" s="27">
        <f>J503</f>
        <v>3720</v>
      </c>
      <c r="K502" s="16">
        <f t="shared" si="193"/>
        <v>0</v>
      </c>
      <c r="L502" s="27">
        <f t="shared" ref="L502:N502" si="218">L503</f>
        <v>6819.62</v>
      </c>
      <c r="M502" s="16">
        <f t="shared" si="194"/>
        <v>0</v>
      </c>
      <c r="N502" s="27">
        <f t="shared" si="218"/>
        <v>0</v>
      </c>
      <c r="O502" s="16">
        <f t="shared" si="195"/>
        <v>0</v>
      </c>
    </row>
    <row r="503" spans="1:15" s="30" customFormat="1" ht="89.25">
      <c r="A503" s="13" t="s">
        <v>868</v>
      </c>
      <c r="B503" s="25" t="s">
        <v>69</v>
      </c>
      <c r="C503" s="26" t="s">
        <v>71</v>
      </c>
      <c r="D503" s="26" t="s">
        <v>66</v>
      </c>
      <c r="E503" s="26" t="s">
        <v>564</v>
      </c>
      <c r="F503" s="26" t="s">
        <v>848</v>
      </c>
      <c r="G503" s="27">
        <f>G504</f>
        <v>3720</v>
      </c>
      <c r="H503" s="27">
        <f t="shared" ref="H503:I503" si="219">H504</f>
        <v>6819.62</v>
      </c>
      <c r="I503" s="27">
        <f t="shared" si="219"/>
        <v>0</v>
      </c>
      <c r="J503" s="27">
        <f>3720</f>
        <v>3720</v>
      </c>
      <c r="K503" s="16">
        <f t="shared" ref="K503:K556" si="220">J503-G503</f>
        <v>0</v>
      </c>
      <c r="L503" s="27">
        <f>6819.62</f>
        <v>6819.62</v>
      </c>
      <c r="M503" s="16">
        <f t="shared" ref="M503:M556" si="221">L503-H503</f>
        <v>0</v>
      </c>
      <c r="N503" s="27">
        <v>0</v>
      </c>
      <c r="O503" s="16">
        <f t="shared" ref="O503:O556" si="222">N503-I503</f>
        <v>0</v>
      </c>
    </row>
    <row r="504" spans="1:15" s="83" customFormat="1" ht="38.25">
      <c r="A504" s="12" t="s">
        <v>999</v>
      </c>
      <c r="B504" s="25" t="s">
        <v>69</v>
      </c>
      <c r="C504" s="26" t="s">
        <v>71</v>
      </c>
      <c r="D504" s="26" t="s">
        <v>66</v>
      </c>
      <c r="E504" s="26" t="s">
        <v>564</v>
      </c>
      <c r="F504" s="26" t="s">
        <v>1058</v>
      </c>
      <c r="G504" s="27">
        <f>3720</f>
        <v>3720</v>
      </c>
      <c r="H504" s="27">
        <f>6819.62</f>
        <v>6819.62</v>
      </c>
      <c r="I504" s="27">
        <v>0</v>
      </c>
      <c r="J504" s="80"/>
      <c r="K504" s="16">
        <f t="shared" si="220"/>
        <v>-3720</v>
      </c>
      <c r="L504" s="80"/>
      <c r="M504" s="16">
        <f t="shared" si="221"/>
        <v>-6819.62</v>
      </c>
      <c r="N504" s="80"/>
      <c r="O504" s="16">
        <f t="shared" si="222"/>
        <v>0</v>
      </c>
    </row>
    <row r="505" spans="1:15" s="30" customFormat="1" ht="38.25">
      <c r="A505" s="12" t="s">
        <v>752</v>
      </c>
      <c r="B505" s="25" t="s">
        <v>69</v>
      </c>
      <c r="C505" s="26" t="s">
        <v>71</v>
      </c>
      <c r="D505" s="26" t="s">
        <v>66</v>
      </c>
      <c r="E505" s="26" t="s">
        <v>249</v>
      </c>
      <c r="F505" s="26" t="s">
        <v>58</v>
      </c>
      <c r="G505" s="27">
        <f>G506+G511</f>
        <v>2235.5</v>
      </c>
      <c r="H505" s="27">
        <f>H506+H511</f>
        <v>2011.95</v>
      </c>
      <c r="I505" s="27">
        <f>I506+I511</f>
        <v>2011.95</v>
      </c>
      <c r="J505" s="27">
        <f>J506+J511</f>
        <v>2235.5</v>
      </c>
      <c r="K505" s="16">
        <f t="shared" si="220"/>
        <v>0</v>
      </c>
      <c r="L505" s="27">
        <f>L506+L511</f>
        <v>2011.95</v>
      </c>
      <c r="M505" s="16">
        <f t="shared" si="221"/>
        <v>0</v>
      </c>
      <c r="N505" s="27">
        <f>N506+N511</f>
        <v>2011.95</v>
      </c>
      <c r="O505" s="16">
        <f t="shared" si="222"/>
        <v>0</v>
      </c>
    </row>
    <row r="506" spans="1:15" s="30" customFormat="1">
      <c r="A506" s="12" t="s">
        <v>754</v>
      </c>
      <c r="B506" s="25" t="s">
        <v>69</v>
      </c>
      <c r="C506" s="26" t="s">
        <v>71</v>
      </c>
      <c r="D506" s="26" t="s">
        <v>66</v>
      </c>
      <c r="E506" s="26" t="s">
        <v>251</v>
      </c>
      <c r="F506" s="26" t="s">
        <v>58</v>
      </c>
      <c r="G506" s="27">
        <f t="shared" ref="G506:N509" si="223">G507</f>
        <v>263.5</v>
      </c>
      <c r="H506" s="27">
        <f t="shared" si="223"/>
        <v>237.15</v>
      </c>
      <c r="I506" s="27">
        <f t="shared" si="223"/>
        <v>237.15</v>
      </c>
      <c r="J506" s="27">
        <f t="shared" si="223"/>
        <v>263.5</v>
      </c>
      <c r="K506" s="16">
        <f t="shared" si="220"/>
        <v>0</v>
      </c>
      <c r="L506" s="27">
        <f t="shared" si="223"/>
        <v>237.15</v>
      </c>
      <c r="M506" s="16">
        <f t="shared" si="221"/>
        <v>0</v>
      </c>
      <c r="N506" s="27">
        <f t="shared" si="223"/>
        <v>237.15</v>
      </c>
      <c r="O506" s="16">
        <f t="shared" si="222"/>
        <v>0</v>
      </c>
    </row>
    <row r="507" spans="1:15" s="30" customFormat="1" ht="38.25">
      <c r="A507" s="12" t="s">
        <v>611</v>
      </c>
      <c r="B507" s="25" t="s">
        <v>69</v>
      </c>
      <c r="C507" s="26" t="s">
        <v>71</v>
      </c>
      <c r="D507" s="26" t="s">
        <v>66</v>
      </c>
      <c r="E507" s="26" t="s">
        <v>252</v>
      </c>
      <c r="F507" s="26" t="s">
        <v>58</v>
      </c>
      <c r="G507" s="27">
        <f t="shared" si="223"/>
        <v>263.5</v>
      </c>
      <c r="H507" s="27">
        <f t="shared" si="223"/>
        <v>237.15</v>
      </c>
      <c r="I507" s="27">
        <f t="shared" si="223"/>
        <v>237.15</v>
      </c>
      <c r="J507" s="27">
        <f t="shared" si="223"/>
        <v>263.5</v>
      </c>
      <c r="K507" s="16">
        <f t="shared" si="220"/>
        <v>0</v>
      </c>
      <c r="L507" s="27">
        <f t="shared" si="223"/>
        <v>237.15</v>
      </c>
      <c r="M507" s="16">
        <f t="shared" si="221"/>
        <v>0</v>
      </c>
      <c r="N507" s="27">
        <f t="shared" si="223"/>
        <v>237.15</v>
      </c>
      <c r="O507" s="16">
        <f t="shared" si="222"/>
        <v>0</v>
      </c>
    </row>
    <row r="508" spans="1:15" s="30" customFormat="1" ht="51">
      <c r="A508" s="34" t="s">
        <v>873</v>
      </c>
      <c r="B508" s="25" t="s">
        <v>69</v>
      </c>
      <c r="C508" s="26" t="s">
        <v>71</v>
      </c>
      <c r="D508" s="26" t="s">
        <v>66</v>
      </c>
      <c r="E508" s="26" t="s">
        <v>253</v>
      </c>
      <c r="F508" s="26" t="s">
        <v>58</v>
      </c>
      <c r="G508" s="27">
        <f t="shared" si="223"/>
        <v>263.5</v>
      </c>
      <c r="H508" s="27">
        <f t="shared" si="223"/>
        <v>237.15</v>
      </c>
      <c r="I508" s="27">
        <f t="shared" si="223"/>
        <v>237.15</v>
      </c>
      <c r="J508" s="27">
        <f t="shared" si="223"/>
        <v>263.5</v>
      </c>
      <c r="K508" s="16">
        <f t="shared" si="220"/>
        <v>0</v>
      </c>
      <c r="L508" s="27">
        <f t="shared" si="223"/>
        <v>237.15</v>
      </c>
      <c r="M508" s="16">
        <f t="shared" si="221"/>
        <v>0</v>
      </c>
      <c r="N508" s="27">
        <f t="shared" si="223"/>
        <v>237.15</v>
      </c>
      <c r="O508" s="16">
        <f t="shared" si="222"/>
        <v>0</v>
      </c>
    </row>
    <row r="509" spans="1:15" s="30" customFormat="1">
      <c r="A509" s="13" t="s">
        <v>92</v>
      </c>
      <c r="B509" s="25" t="s">
        <v>69</v>
      </c>
      <c r="C509" s="26" t="s">
        <v>71</v>
      </c>
      <c r="D509" s="26" t="s">
        <v>66</v>
      </c>
      <c r="E509" s="26" t="s">
        <v>253</v>
      </c>
      <c r="F509" s="26" t="s">
        <v>138</v>
      </c>
      <c r="G509" s="27">
        <f>G510</f>
        <v>263.5</v>
      </c>
      <c r="H509" s="27">
        <f t="shared" si="223"/>
        <v>237.15</v>
      </c>
      <c r="I509" s="27">
        <f t="shared" si="223"/>
        <v>237.15</v>
      </c>
      <c r="J509" s="27">
        <f>263.5</f>
        <v>263.5</v>
      </c>
      <c r="K509" s="16">
        <f t="shared" si="220"/>
        <v>0</v>
      </c>
      <c r="L509" s="27">
        <f>237.15</f>
        <v>237.15</v>
      </c>
      <c r="M509" s="16">
        <f t="shared" si="221"/>
        <v>0</v>
      </c>
      <c r="N509" s="27">
        <f>237.15</f>
        <v>237.15</v>
      </c>
      <c r="O509" s="16">
        <f t="shared" si="222"/>
        <v>0</v>
      </c>
    </row>
    <row r="510" spans="1:15" s="83" customFormat="1">
      <c r="A510" s="12" t="s">
        <v>1016</v>
      </c>
      <c r="B510" s="25" t="s">
        <v>69</v>
      </c>
      <c r="C510" s="26" t="s">
        <v>71</v>
      </c>
      <c r="D510" s="26" t="s">
        <v>66</v>
      </c>
      <c r="E510" s="26" t="s">
        <v>253</v>
      </c>
      <c r="F510" s="26" t="s">
        <v>1046</v>
      </c>
      <c r="G510" s="27">
        <f>263.5</f>
        <v>263.5</v>
      </c>
      <c r="H510" s="27">
        <f>237.15</f>
        <v>237.15</v>
      </c>
      <c r="I510" s="27">
        <f>237.15</f>
        <v>237.15</v>
      </c>
      <c r="J510" s="80"/>
      <c r="K510" s="16">
        <f t="shared" si="220"/>
        <v>-263.5</v>
      </c>
      <c r="L510" s="80"/>
      <c r="M510" s="16">
        <f t="shared" si="221"/>
        <v>-237.15</v>
      </c>
      <c r="N510" s="80"/>
      <c r="O510" s="16">
        <f t="shared" si="222"/>
        <v>-237.15</v>
      </c>
    </row>
    <row r="511" spans="1:15" s="30" customFormat="1" ht="25.5">
      <c r="A511" s="11" t="s">
        <v>755</v>
      </c>
      <c r="B511" s="25" t="s">
        <v>69</v>
      </c>
      <c r="C511" s="26" t="s">
        <v>71</v>
      </c>
      <c r="D511" s="26" t="s">
        <v>66</v>
      </c>
      <c r="E511" s="26" t="s">
        <v>256</v>
      </c>
      <c r="F511" s="26" t="s">
        <v>58</v>
      </c>
      <c r="G511" s="27">
        <f t="shared" ref="G511:N514" si="224">G512</f>
        <v>1972</v>
      </c>
      <c r="H511" s="27">
        <f t="shared" si="224"/>
        <v>1774.8</v>
      </c>
      <c r="I511" s="27">
        <f t="shared" si="224"/>
        <v>1774.8</v>
      </c>
      <c r="J511" s="27">
        <f t="shared" si="224"/>
        <v>1972</v>
      </c>
      <c r="K511" s="16">
        <f t="shared" si="220"/>
        <v>0</v>
      </c>
      <c r="L511" s="27">
        <f t="shared" si="224"/>
        <v>1774.8</v>
      </c>
      <c r="M511" s="16">
        <f t="shared" si="221"/>
        <v>0</v>
      </c>
      <c r="N511" s="27">
        <f t="shared" si="224"/>
        <v>1774.8</v>
      </c>
      <c r="O511" s="16">
        <f t="shared" si="222"/>
        <v>0</v>
      </c>
    </row>
    <row r="512" spans="1:15" s="30" customFormat="1" ht="25.5">
      <c r="A512" s="11" t="s">
        <v>616</v>
      </c>
      <c r="B512" s="25" t="s">
        <v>69</v>
      </c>
      <c r="C512" s="26" t="s">
        <v>71</v>
      </c>
      <c r="D512" s="26" t="s">
        <v>66</v>
      </c>
      <c r="E512" s="26" t="s">
        <v>321</v>
      </c>
      <c r="F512" s="26" t="s">
        <v>58</v>
      </c>
      <c r="G512" s="27">
        <f t="shared" si="224"/>
        <v>1972</v>
      </c>
      <c r="H512" s="27">
        <f t="shared" si="224"/>
        <v>1774.8</v>
      </c>
      <c r="I512" s="27">
        <f t="shared" si="224"/>
        <v>1774.8</v>
      </c>
      <c r="J512" s="27">
        <f t="shared" si="224"/>
        <v>1972</v>
      </c>
      <c r="K512" s="16">
        <f t="shared" si="220"/>
        <v>0</v>
      </c>
      <c r="L512" s="27">
        <f t="shared" si="224"/>
        <v>1774.8</v>
      </c>
      <c r="M512" s="16">
        <f t="shared" si="221"/>
        <v>0</v>
      </c>
      <c r="N512" s="27">
        <f t="shared" si="224"/>
        <v>1774.8</v>
      </c>
      <c r="O512" s="16">
        <f t="shared" si="222"/>
        <v>0</v>
      </c>
    </row>
    <row r="513" spans="1:15" s="30" customFormat="1" ht="25.5">
      <c r="A513" s="11" t="s">
        <v>133</v>
      </c>
      <c r="B513" s="25" t="s">
        <v>69</v>
      </c>
      <c r="C513" s="26" t="s">
        <v>71</v>
      </c>
      <c r="D513" s="26" t="s">
        <v>66</v>
      </c>
      <c r="E513" s="26" t="s">
        <v>322</v>
      </c>
      <c r="F513" s="26" t="s">
        <v>58</v>
      </c>
      <c r="G513" s="27">
        <f t="shared" si="224"/>
        <v>1972</v>
      </c>
      <c r="H513" s="27">
        <f t="shared" si="224"/>
        <v>1774.8</v>
      </c>
      <c r="I513" s="27">
        <f t="shared" si="224"/>
        <v>1774.8</v>
      </c>
      <c r="J513" s="27">
        <f t="shared" si="224"/>
        <v>1972</v>
      </c>
      <c r="K513" s="16">
        <f t="shared" si="220"/>
        <v>0</v>
      </c>
      <c r="L513" s="27">
        <f t="shared" si="224"/>
        <v>1774.8</v>
      </c>
      <c r="M513" s="16">
        <f t="shared" si="221"/>
        <v>0</v>
      </c>
      <c r="N513" s="27">
        <f t="shared" si="224"/>
        <v>1774.8</v>
      </c>
      <c r="O513" s="16">
        <f t="shared" si="222"/>
        <v>0</v>
      </c>
    </row>
    <row r="514" spans="1:15" s="30" customFormat="1">
      <c r="A514" s="13" t="s">
        <v>92</v>
      </c>
      <c r="B514" s="25" t="s">
        <v>69</v>
      </c>
      <c r="C514" s="26" t="s">
        <v>71</v>
      </c>
      <c r="D514" s="26" t="s">
        <v>66</v>
      </c>
      <c r="E514" s="26" t="s">
        <v>322</v>
      </c>
      <c r="F514" s="26" t="s">
        <v>138</v>
      </c>
      <c r="G514" s="27">
        <f>G515</f>
        <v>1972</v>
      </c>
      <c r="H514" s="27">
        <f t="shared" si="224"/>
        <v>1774.8</v>
      </c>
      <c r="I514" s="27">
        <f t="shared" si="224"/>
        <v>1774.8</v>
      </c>
      <c r="J514" s="27">
        <f>1972</f>
        <v>1972</v>
      </c>
      <c r="K514" s="16">
        <f t="shared" si="220"/>
        <v>0</v>
      </c>
      <c r="L514" s="27">
        <f>1774.8</f>
        <v>1774.8</v>
      </c>
      <c r="M514" s="16">
        <f t="shared" si="221"/>
        <v>0</v>
      </c>
      <c r="N514" s="27">
        <f>1774.8</f>
        <v>1774.8</v>
      </c>
      <c r="O514" s="16">
        <f t="shared" si="222"/>
        <v>0</v>
      </c>
    </row>
    <row r="515" spans="1:15" s="83" customFormat="1">
      <c r="A515" s="12" t="s">
        <v>1016</v>
      </c>
      <c r="B515" s="25" t="s">
        <v>69</v>
      </c>
      <c r="C515" s="26" t="s">
        <v>71</v>
      </c>
      <c r="D515" s="26" t="s">
        <v>66</v>
      </c>
      <c r="E515" s="26" t="s">
        <v>322</v>
      </c>
      <c r="F515" s="26" t="s">
        <v>1046</v>
      </c>
      <c r="G515" s="27">
        <f>1972</f>
        <v>1972</v>
      </c>
      <c r="H515" s="27">
        <f>1774.8</f>
        <v>1774.8</v>
      </c>
      <c r="I515" s="27">
        <f>1774.8</f>
        <v>1774.8</v>
      </c>
      <c r="J515" s="80"/>
      <c r="K515" s="16">
        <f t="shared" si="220"/>
        <v>-1972</v>
      </c>
      <c r="L515" s="80"/>
      <c r="M515" s="16">
        <f t="shared" si="221"/>
        <v>-1774.8</v>
      </c>
      <c r="N515" s="80"/>
      <c r="O515" s="16">
        <f t="shared" si="222"/>
        <v>-1774.8</v>
      </c>
    </row>
    <row r="516" spans="1:15" s="30" customFormat="1" ht="63.75">
      <c r="A516" s="11" t="s">
        <v>756</v>
      </c>
      <c r="B516" s="25" t="s">
        <v>69</v>
      </c>
      <c r="C516" s="26" t="s">
        <v>71</v>
      </c>
      <c r="D516" s="26" t="s">
        <v>66</v>
      </c>
      <c r="E516" s="26" t="s">
        <v>339</v>
      </c>
      <c r="F516" s="26" t="s">
        <v>58</v>
      </c>
      <c r="G516" s="27">
        <f t="shared" ref="G516:N518" si="225">G517</f>
        <v>3076.06</v>
      </c>
      <c r="H516" s="27">
        <f t="shared" si="225"/>
        <v>2776.06</v>
      </c>
      <c r="I516" s="27">
        <f t="shared" si="225"/>
        <v>2776.06</v>
      </c>
      <c r="J516" s="27">
        <f t="shared" si="225"/>
        <v>3076.06</v>
      </c>
      <c r="K516" s="16">
        <f t="shared" si="220"/>
        <v>0</v>
      </c>
      <c r="L516" s="27">
        <f t="shared" si="225"/>
        <v>2776.06</v>
      </c>
      <c r="M516" s="16">
        <f t="shared" si="221"/>
        <v>0</v>
      </c>
      <c r="N516" s="27">
        <f t="shared" si="225"/>
        <v>2776.06</v>
      </c>
      <c r="O516" s="16">
        <f t="shared" si="222"/>
        <v>0</v>
      </c>
    </row>
    <row r="517" spans="1:15" s="30" customFormat="1" ht="25.5">
      <c r="A517" s="11" t="s">
        <v>136</v>
      </c>
      <c r="B517" s="25" t="s">
        <v>69</v>
      </c>
      <c r="C517" s="26" t="s">
        <v>71</v>
      </c>
      <c r="D517" s="26" t="s">
        <v>66</v>
      </c>
      <c r="E517" s="26" t="s">
        <v>340</v>
      </c>
      <c r="F517" s="26" t="s">
        <v>58</v>
      </c>
      <c r="G517" s="27">
        <f t="shared" si="225"/>
        <v>3076.06</v>
      </c>
      <c r="H517" s="27">
        <f t="shared" si="225"/>
        <v>2776.06</v>
      </c>
      <c r="I517" s="27">
        <f t="shared" si="225"/>
        <v>2776.06</v>
      </c>
      <c r="J517" s="27">
        <f t="shared" si="225"/>
        <v>3076.06</v>
      </c>
      <c r="K517" s="16">
        <f t="shared" si="220"/>
        <v>0</v>
      </c>
      <c r="L517" s="27">
        <f t="shared" si="225"/>
        <v>2776.06</v>
      </c>
      <c r="M517" s="16">
        <f t="shared" si="221"/>
        <v>0</v>
      </c>
      <c r="N517" s="27">
        <f t="shared" si="225"/>
        <v>2776.06</v>
      </c>
      <c r="O517" s="16">
        <f t="shared" si="222"/>
        <v>0</v>
      </c>
    </row>
    <row r="518" spans="1:15" s="30" customFormat="1" ht="25.5">
      <c r="A518" s="11" t="s">
        <v>667</v>
      </c>
      <c r="B518" s="25" t="s">
        <v>69</v>
      </c>
      <c r="C518" s="26" t="s">
        <v>71</v>
      </c>
      <c r="D518" s="26" t="s">
        <v>66</v>
      </c>
      <c r="E518" s="26" t="s">
        <v>609</v>
      </c>
      <c r="F518" s="26" t="s">
        <v>58</v>
      </c>
      <c r="G518" s="27">
        <f t="shared" si="225"/>
        <v>3076.06</v>
      </c>
      <c r="H518" s="27">
        <f t="shared" si="225"/>
        <v>2776.06</v>
      </c>
      <c r="I518" s="27">
        <f t="shared" si="225"/>
        <v>2776.06</v>
      </c>
      <c r="J518" s="27">
        <f t="shared" si="225"/>
        <v>3076.06</v>
      </c>
      <c r="K518" s="16">
        <f t="shared" si="220"/>
        <v>0</v>
      </c>
      <c r="L518" s="27">
        <f t="shared" si="225"/>
        <v>2776.06</v>
      </c>
      <c r="M518" s="16">
        <f t="shared" si="221"/>
        <v>0</v>
      </c>
      <c r="N518" s="27">
        <f t="shared" si="225"/>
        <v>2776.06</v>
      </c>
      <c r="O518" s="16">
        <f t="shared" si="222"/>
        <v>0</v>
      </c>
    </row>
    <row r="519" spans="1:15" s="30" customFormat="1" ht="38.25">
      <c r="A519" s="11" t="s">
        <v>177</v>
      </c>
      <c r="B519" s="25" t="s">
        <v>69</v>
      </c>
      <c r="C519" s="26" t="s">
        <v>71</v>
      </c>
      <c r="D519" s="26" t="s">
        <v>66</v>
      </c>
      <c r="E519" s="26" t="s">
        <v>610</v>
      </c>
      <c r="F519" s="26" t="s">
        <v>58</v>
      </c>
      <c r="G519" s="27">
        <f>G520+G522</f>
        <v>3076.06</v>
      </c>
      <c r="H519" s="27">
        <f>H520+H522</f>
        <v>2776.06</v>
      </c>
      <c r="I519" s="27">
        <f>I520+I522</f>
        <v>2776.06</v>
      </c>
      <c r="J519" s="27">
        <f>J520+J522</f>
        <v>3076.06</v>
      </c>
      <c r="K519" s="16">
        <f t="shared" si="220"/>
        <v>0</v>
      </c>
      <c r="L519" s="27">
        <f>L520+L522</f>
        <v>2776.06</v>
      </c>
      <c r="M519" s="16">
        <f t="shared" si="221"/>
        <v>0</v>
      </c>
      <c r="N519" s="27">
        <f>N520+N522</f>
        <v>2776.06</v>
      </c>
      <c r="O519" s="16">
        <f t="shared" si="222"/>
        <v>0</v>
      </c>
    </row>
    <row r="520" spans="1:15" s="30" customFormat="1">
      <c r="A520" s="13" t="s">
        <v>92</v>
      </c>
      <c r="B520" s="25" t="s">
        <v>69</v>
      </c>
      <c r="C520" s="26" t="s">
        <v>71</v>
      </c>
      <c r="D520" s="26" t="s">
        <v>66</v>
      </c>
      <c r="E520" s="26" t="s">
        <v>610</v>
      </c>
      <c r="F520" s="26" t="s">
        <v>138</v>
      </c>
      <c r="G520" s="27">
        <f>G521</f>
        <v>2927.36</v>
      </c>
      <c r="H520" s="27">
        <f t="shared" ref="H520:I520" si="226">H521</f>
        <v>2627.36</v>
      </c>
      <c r="I520" s="27">
        <f t="shared" si="226"/>
        <v>2627.36</v>
      </c>
      <c r="J520" s="27">
        <f>2927.36</f>
        <v>2927.36</v>
      </c>
      <c r="K520" s="16">
        <f t="shared" si="220"/>
        <v>0</v>
      </c>
      <c r="L520" s="27">
        <f>2627.36</f>
        <v>2627.36</v>
      </c>
      <c r="M520" s="16">
        <f t="shared" si="221"/>
        <v>0</v>
      </c>
      <c r="N520" s="27">
        <f>2627.36</f>
        <v>2627.36</v>
      </c>
      <c r="O520" s="16">
        <f t="shared" si="222"/>
        <v>0</v>
      </c>
    </row>
    <row r="521" spans="1:15" s="83" customFormat="1">
      <c r="A521" s="12" t="s">
        <v>1016</v>
      </c>
      <c r="B521" s="25" t="s">
        <v>69</v>
      </c>
      <c r="C521" s="26" t="s">
        <v>71</v>
      </c>
      <c r="D521" s="26" t="s">
        <v>66</v>
      </c>
      <c r="E521" s="26" t="s">
        <v>610</v>
      </c>
      <c r="F521" s="26" t="s">
        <v>1046</v>
      </c>
      <c r="G521" s="27">
        <f>2927.36</f>
        <v>2927.36</v>
      </c>
      <c r="H521" s="27">
        <f>2627.36</f>
        <v>2627.36</v>
      </c>
      <c r="I521" s="27">
        <f>2627.36</f>
        <v>2627.36</v>
      </c>
      <c r="J521" s="80"/>
      <c r="K521" s="16">
        <f t="shared" si="220"/>
        <v>-2927.36</v>
      </c>
      <c r="L521" s="80"/>
      <c r="M521" s="16">
        <f t="shared" si="221"/>
        <v>-2627.36</v>
      </c>
      <c r="N521" s="80"/>
      <c r="O521" s="16">
        <f t="shared" si="222"/>
        <v>-2627.36</v>
      </c>
    </row>
    <row r="522" spans="1:15" s="30" customFormat="1">
      <c r="A522" s="13" t="s">
        <v>93</v>
      </c>
      <c r="B522" s="25" t="s">
        <v>69</v>
      </c>
      <c r="C522" s="26" t="s">
        <v>71</v>
      </c>
      <c r="D522" s="26" t="s">
        <v>66</v>
      </c>
      <c r="E522" s="26" t="s">
        <v>610</v>
      </c>
      <c r="F522" s="26" t="s">
        <v>20</v>
      </c>
      <c r="G522" s="27">
        <f>G523</f>
        <v>148.69999999999999</v>
      </c>
      <c r="H522" s="27">
        <f t="shared" ref="H522:I522" si="227">H523</f>
        <v>148.69999999999999</v>
      </c>
      <c r="I522" s="27">
        <f t="shared" si="227"/>
        <v>148.69999999999999</v>
      </c>
      <c r="J522" s="27">
        <f>148.7</f>
        <v>148.69999999999999</v>
      </c>
      <c r="K522" s="16">
        <f t="shared" si="220"/>
        <v>0</v>
      </c>
      <c r="L522" s="27">
        <f>148.7</f>
        <v>148.69999999999999</v>
      </c>
      <c r="M522" s="16">
        <f t="shared" si="221"/>
        <v>0</v>
      </c>
      <c r="N522" s="27">
        <f>148.7</f>
        <v>148.69999999999999</v>
      </c>
      <c r="O522" s="16">
        <f t="shared" si="222"/>
        <v>0</v>
      </c>
    </row>
    <row r="523" spans="1:15" s="83" customFormat="1">
      <c r="A523" s="12" t="s">
        <v>1019</v>
      </c>
      <c r="B523" s="25" t="s">
        <v>69</v>
      </c>
      <c r="C523" s="26" t="s">
        <v>71</v>
      </c>
      <c r="D523" s="26" t="s">
        <v>66</v>
      </c>
      <c r="E523" s="26" t="s">
        <v>610</v>
      </c>
      <c r="F523" s="26" t="s">
        <v>1054</v>
      </c>
      <c r="G523" s="27">
        <f>148.7</f>
        <v>148.69999999999999</v>
      </c>
      <c r="H523" s="27">
        <f>148.7</f>
        <v>148.69999999999999</v>
      </c>
      <c r="I523" s="27">
        <f>148.7</f>
        <v>148.69999999999999</v>
      </c>
      <c r="J523" s="80"/>
      <c r="K523" s="16">
        <f t="shared" si="220"/>
        <v>-148.69999999999999</v>
      </c>
      <c r="L523" s="80"/>
      <c r="M523" s="16">
        <f t="shared" si="221"/>
        <v>-148.69999999999999</v>
      </c>
      <c r="N523" s="80"/>
      <c r="O523" s="16">
        <f t="shared" si="222"/>
        <v>-148.69999999999999</v>
      </c>
    </row>
    <row r="524" spans="1:15" s="30" customFormat="1" ht="25.5">
      <c r="A524" s="13" t="s">
        <v>759</v>
      </c>
      <c r="B524" s="25" t="s">
        <v>69</v>
      </c>
      <c r="C524" s="26" t="s">
        <v>71</v>
      </c>
      <c r="D524" s="26" t="s">
        <v>66</v>
      </c>
      <c r="E524" s="26" t="s">
        <v>259</v>
      </c>
      <c r="F524" s="26" t="s">
        <v>58</v>
      </c>
      <c r="G524" s="27">
        <f t="shared" ref="G524:N528" si="228">G525</f>
        <v>102</v>
      </c>
      <c r="H524" s="27">
        <f t="shared" si="228"/>
        <v>91.8</v>
      </c>
      <c r="I524" s="27">
        <f t="shared" si="228"/>
        <v>91.8</v>
      </c>
      <c r="J524" s="27">
        <f t="shared" si="228"/>
        <v>102</v>
      </c>
      <c r="K524" s="16">
        <f t="shared" si="220"/>
        <v>0</v>
      </c>
      <c r="L524" s="27">
        <f t="shared" si="228"/>
        <v>91.8</v>
      </c>
      <c r="M524" s="16">
        <f t="shared" si="221"/>
        <v>0</v>
      </c>
      <c r="N524" s="27">
        <f t="shared" si="228"/>
        <v>91.8</v>
      </c>
      <c r="O524" s="16">
        <f t="shared" si="222"/>
        <v>0</v>
      </c>
    </row>
    <row r="525" spans="1:15" s="30" customFormat="1" ht="25.5">
      <c r="A525" s="13" t="s">
        <v>760</v>
      </c>
      <c r="B525" s="25" t="s">
        <v>69</v>
      </c>
      <c r="C525" s="26" t="s">
        <v>71</v>
      </c>
      <c r="D525" s="26" t="s">
        <v>66</v>
      </c>
      <c r="E525" s="26" t="s">
        <v>260</v>
      </c>
      <c r="F525" s="26" t="s">
        <v>58</v>
      </c>
      <c r="G525" s="27">
        <f t="shared" si="228"/>
        <v>102</v>
      </c>
      <c r="H525" s="27">
        <f t="shared" si="228"/>
        <v>91.8</v>
      </c>
      <c r="I525" s="27">
        <f t="shared" si="228"/>
        <v>91.8</v>
      </c>
      <c r="J525" s="27">
        <f t="shared" si="228"/>
        <v>102</v>
      </c>
      <c r="K525" s="16">
        <f t="shared" si="220"/>
        <v>0</v>
      </c>
      <c r="L525" s="27">
        <f t="shared" si="228"/>
        <v>91.8</v>
      </c>
      <c r="M525" s="16">
        <f t="shared" si="221"/>
        <v>0</v>
      </c>
      <c r="N525" s="27">
        <f t="shared" si="228"/>
        <v>91.8</v>
      </c>
      <c r="O525" s="16">
        <f t="shared" si="222"/>
        <v>0</v>
      </c>
    </row>
    <row r="526" spans="1:15" s="30" customFormat="1" ht="51">
      <c r="A526" s="11" t="s">
        <v>784</v>
      </c>
      <c r="B526" s="25" t="s">
        <v>69</v>
      </c>
      <c r="C526" s="26" t="s">
        <v>71</v>
      </c>
      <c r="D526" s="26" t="s">
        <v>66</v>
      </c>
      <c r="E526" s="26" t="s">
        <v>785</v>
      </c>
      <c r="F526" s="26" t="s">
        <v>58</v>
      </c>
      <c r="G526" s="27">
        <f t="shared" si="228"/>
        <v>102</v>
      </c>
      <c r="H526" s="27">
        <f t="shared" si="228"/>
        <v>91.8</v>
      </c>
      <c r="I526" s="27">
        <f t="shared" si="228"/>
        <v>91.8</v>
      </c>
      <c r="J526" s="27">
        <f t="shared" si="228"/>
        <v>102</v>
      </c>
      <c r="K526" s="16">
        <f t="shared" si="220"/>
        <v>0</v>
      </c>
      <c r="L526" s="27">
        <f t="shared" si="228"/>
        <v>91.8</v>
      </c>
      <c r="M526" s="16">
        <f t="shared" si="221"/>
        <v>0</v>
      </c>
      <c r="N526" s="27">
        <f t="shared" si="228"/>
        <v>91.8</v>
      </c>
      <c r="O526" s="16">
        <f t="shared" si="222"/>
        <v>0</v>
      </c>
    </row>
    <row r="527" spans="1:15" s="30" customFormat="1" ht="25.5">
      <c r="A527" s="11" t="s">
        <v>786</v>
      </c>
      <c r="B527" s="25" t="s">
        <v>69</v>
      </c>
      <c r="C527" s="26" t="s">
        <v>71</v>
      </c>
      <c r="D527" s="26" t="s">
        <v>66</v>
      </c>
      <c r="E527" s="26" t="s">
        <v>787</v>
      </c>
      <c r="F527" s="26" t="s">
        <v>58</v>
      </c>
      <c r="G527" s="27">
        <f t="shared" si="228"/>
        <v>102</v>
      </c>
      <c r="H527" s="27">
        <f t="shared" si="228"/>
        <v>91.8</v>
      </c>
      <c r="I527" s="27">
        <f t="shared" si="228"/>
        <v>91.8</v>
      </c>
      <c r="J527" s="27">
        <f t="shared" si="228"/>
        <v>102</v>
      </c>
      <c r="K527" s="16">
        <f t="shared" si="220"/>
        <v>0</v>
      </c>
      <c r="L527" s="27">
        <f t="shared" si="228"/>
        <v>91.8</v>
      </c>
      <c r="M527" s="16">
        <f t="shared" si="221"/>
        <v>0</v>
      </c>
      <c r="N527" s="27">
        <f t="shared" si="228"/>
        <v>91.8</v>
      </c>
      <c r="O527" s="16">
        <f t="shared" si="222"/>
        <v>0</v>
      </c>
    </row>
    <row r="528" spans="1:15" s="30" customFormat="1">
      <c r="A528" s="13" t="s">
        <v>92</v>
      </c>
      <c r="B528" s="25" t="s">
        <v>69</v>
      </c>
      <c r="C528" s="26" t="s">
        <v>71</v>
      </c>
      <c r="D528" s="26" t="s">
        <v>66</v>
      </c>
      <c r="E528" s="26" t="s">
        <v>787</v>
      </c>
      <c r="F528" s="26" t="s">
        <v>138</v>
      </c>
      <c r="G528" s="27">
        <f>G529</f>
        <v>102</v>
      </c>
      <c r="H528" s="27">
        <f t="shared" si="228"/>
        <v>91.8</v>
      </c>
      <c r="I528" s="27">
        <f t="shared" si="228"/>
        <v>91.8</v>
      </c>
      <c r="J528" s="27">
        <f>102</f>
        <v>102</v>
      </c>
      <c r="K528" s="16">
        <f t="shared" si="220"/>
        <v>0</v>
      </c>
      <c r="L528" s="27">
        <f>91.8</f>
        <v>91.8</v>
      </c>
      <c r="M528" s="16">
        <f t="shared" si="221"/>
        <v>0</v>
      </c>
      <c r="N528" s="27">
        <f>91.8</f>
        <v>91.8</v>
      </c>
      <c r="O528" s="16">
        <f t="shared" si="222"/>
        <v>0</v>
      </c>
    </row>
    <row r="529" spans="1:15" s="83" customFormat="1">
      <c r="A529" s="12" t="s">
        <v>1016</v>
      </c>
      <c r="B529" s="25" t="s">
        <v>69</v>
      </c>
      <c r="C529" s="26" t="s">
        <v>71</v>
      </c>
      <c r="D529" s="26" t="s">
        <v>66</v>
      </c>
      <c r="E529" s="26" t="s">
        <v>787</v>
      </c>
      <c r="F529" s="26" t="s">
        <v>1046</v>
      </c>
      <c r="G529" s="27">
        <f>102</f>
        <v>102</v>
      </c>
      <c r="H529" s="27">
        <f>91.8</f>
        <v>91.8</v>
      </c>
      <c r="I529" s="27">
        <f>91.8</f>
        <v>91.8</v>
      </c>
      <c r="J529" s="80"/>
      <c r="K529" s="16">
        <f t="shared" si="220"/>
        <v>-102</v>
      </c>
      <c r="L529" s="80"/>
      <c r="M529" s="16">
        <f t="shared" si="221"/>
        <v>-91.8</v>
      </c>
      <c r="N529" s="80"/>
      <c r="O529" s="16">
        <f t="shared" si="222"/>
        <v>-91.8</v>
      </c>
    </row>
    <row r="530" spans="1:15" s="30" customFormat="1">
      <c r="A530" s="21" t="s">
        <v>779</v>
      </c>
      <c r="B530" s="22" t="s">
        <v>69</v>
      </c>
      <c r="C530" s="23" t="s">
        <v>71</v>
      </c>
      <c r="D530" s="23" t="s">
        <v>53</v>
      </c>
      <c r="E530" s="23" t="s">
        <v>196</v>
      </c>
      <c r="F530" s="23" t="s">
        <v>58</v>
      </c>
      <c r="G530" s="24">
        <f>G531+G539</f>
        <v>163705.89000000001</v>
      </c>
      <c r="H530" s="24">
        <f>H531+H539</f>
        <v>163923.57</v>
      </c>
      <c r="I530" s="24">
        <f>I531+I539</f>
        <v>163923.57</v>
      </c>
      <c r="J530" s="24">
        <f>J531+J539</f>
        <v>163705.89000000001</v>
      </c>
      <c r="K530" s="16">
        <f t="shared" si="220"/>
        <v>0</v>
      </c>
      <c r="L530" s="24">
        <f>L531+L539</f>
        <v>163923.57</v>
      </c>
      <c r="M530" s="16">
        <f t="shared" si="221"/>
        <v>0</v>
      </c>
      <c r="N530" s="24">
        <f>N531+N539</f>
        <v>163923.57</v>
      </c>
      <c r="O530" s="16">
        <f t="shared" si="222"/>
        <v>0</v>
      </c>
    </row>
    <row r="531" spans="1:15" s="30" customFormat="1" ht="25.5">
      <c r="A531" s="13" t="s">
        <v>723</v>
      </c>
      <c r="B531" s="25" t="s">
        <v>69</v>
      </c>
      <c r="C531" s="26" t="s">
        <v>71</v>
      </c>
      <c r="D531" s="26" t="s">
        <v>53</v>
      </c>
      <c r="E531" s="26" t="s">
        <v>331</v>
      </c>
      <c r="F531" s="26" t="s">
        <v>58</v>
      </c>
      <c r="G531" s="27">
        <f>G532</f>
        <v>163360.39000000001</v>
      </c>
      <c r="H531" s="27">
        <f t="shared" ref="H531:N533" si="229">H532</f>
        <v>163621.07</v>
      </c>
      <c r="I531" s="27">
        <f t="shared" si="229"/>
        <v>163621.07</v>
      </c>
      <c r="J531" s="27">
        <f>J532</f>
        <v>163360.39000000001</v>
      </c>
      <c r="K531" s="16">
        <f t="shared" si="220"/>
        <v>0</v>
      </c>
      <c r="L531" s="27">
        <f t="shared" si="229"/>
        <v>163621.07</v>
      </c>
      <c r="M531" s="16">
        <f t="shared" si="221"/>
        <v>0</v>
      </c>
      <c r="N531" s="27">
        <f t="shared" si="229"/>
        <v>163621.07</v>
      </c>
      <c r="O531" s="16">
        <f t="shared" si="222"/>
        <v>0</v>
      </c>
    </row>
    <row r="532" spans="1:15" s="30" customFormat="1" ht="25.5">
      <c r="A532" s="13" t="s">
        <v>860</v>
      </c>
      <c r="B532" s="25" t="s">
        <v>69</v>
      </c>
      <c r="C532" s="26" t="s">
        <v>71</v>
      </c>
      <c r="D532" s="26" t="s">
        <v>53</v>
      </c>
      <c r="E532" s="26" t="s">
        <v>332</v>
      </c>
      <c r="F532" s="26" t="s">
        <v>58</v>
      </c>
      <c r="G532" s="27">
        <f>G533</f>
        <v>163360.39000000001</v>
      </c>
      <c r="H532" s="27">
        <f t="shared" si="229"/>
        <v>163621.07</v>
      </c>
      <c r="I532" s="27">
        <f t="shared" si="229"/>
        <v>163621.07</v>
      </c>
      <c r="J532" s="27">
        <f>J533</f>
        <v>163360.39000000001</v>
      </c>
      <c r="K532" s="16">
        <f t="shared" si="220"/>
        <v>0</v>
      </c>
      <c r="L532" s="27">
        <f t="shared" si="229"/>
        <v>163621.07</v>
      </c>
      <c r="M532" s="16">
        <f t="shared" si="221"/>
        <v>0</v>
      </c>
      <c r="N532" s="27">
        <f t="shared" si="229"/>
        <v>163621.07</v>
      </c>
      <c r="O532" s="16">
        <f t="shared" si="222"/>
        <v>0</v>
      </c>
    </row>
    <row r="533" spans="1:15" s="30" customFormat="1" ht="38.25">
      <c r="A533" s="34" t="s">
        <v>630</v>
      </c>
      <c r="B533" s="35" t="s">
        <v>69</v>
      </c>
      <c r="C533" s="36" t="s">
        <v>71</v>
      </c>
      <c r="D533" s="36" t="s">
        <v>53</v>
      </c>
      <c r="E533" s="36" t="s">
        <v>351</v>
      </c>
      <c r="F533" s="36" t="s">
        <v>58</v>
      </c>
      <c r="G533" s="37">
        <f>G534</f>
        <v>163360.39000000001</v>
      </c>
      <c r="H533" s="37">
        <f t="shared" si="229"/>
        <v>163621.07</v>
      </c>
      <c r="I533" s="37">
        <f t="shared" si="229"/>
        <v>163621.07</v>
      </c>
      <c r="J533" s="37">
        <f>J534</f>
        <v>163360.39000000001</v>
      </c>
      <c r="K533" s="16">
        <f t="shared" si="220"/>
        <v>0</v>
      </c>
      <c r="L533" s="37">
        <f t="shared" si="229"/>
        <v>163621.07</v>
      </c>
      <c r="M533" s="16">
        <f t="shared" si="221"/>
        <v>0</v>
      </c>
      <c r="N533" s="37">
        <f t="shared" si="229"/>
        <v>163621.07</v>
      </c>
      <c r="O533" s="16">
        <f t="shared" si="222"/>
        <v>0</v>
      </c>
    </row>
    <row r="534" spans="1:15" s="30" customFormat="1" ht="25.5">
      <c r="A534" s="40" t="s">
        <v>247</v>
      </c>
      <c r="B534" s="35" t="s">
        <v>69</v>
      </c>
      <c r="C534" s="36" t="s">
        <v>71</v>
      </c>
      <c r="D534" s="36" t="s">
        <v>53</v>
      </c>
      <c r="E534" s="36" t="s">
        <v>352</v>
      </c>
      <c r="F534" s="36" t="s">
        <v>58</v>
      </c>
      <c r="G534" s="37">
        <f>G535+G537</f>
        <v>163360.39000000001</v>
      </c>
      <c r="H534" s="37">
        <f t="shared" ref="H534:I534" si="230">H535+H537</f>
        <v>163621.07</v>
      </c>
      <c r="I534" s="37">
        <f t="shared" si="230"/>
        <v>163621.07</v>
      </c>
      <c r="J534" s="37">
        <f>SUM(J535:J537)</f>
        <v>163360.39000000001</v>
      </c>
      <c r="K534" s="16">
        <f t="shared" si="220"/>
        <v>0</v>
      </c>
      <c r="L534" s="37">
        <f>SUM(L535:L537)</f>
        <v>163621.07</v>
      </c>
      <c r="M534" s="16">
        <f t="shared" si="221"/>
        <v>0</v>
      </c>
      <c r="N534" s="37">
        <f>SUM(N535:N537)</f>
        <v>163621.07</v>
      </c>
      <c r="O534" s="16">
        <f t="shared" si="222"/>
        <v>0</v>
      </c>
    </row>
    <row r="535" spans="1:15" s="30" customFormat="1">
      <c r="A535" s="40" t="s">
        <v>92</v>
      </c>
      <c r="B535" s="35" t="s">
        <v>69</v>
      </c>
      <c r="C535" s="36" t="s">
        <v>71</v>
      </c>
      <c r="D535" s="36" t="s">
        <v>53</v>
      </c>
      <c r="E535" s="36" t="s">
        <v>352</v>
      </c>
      <c r="F535" s="36" t="s">
        <v>138</v>
      </c>
      <c r="G535" s="27">
        <f>G536</f>
        <v>145597.39000000001</v>
      </c>
      <c r="H535" s="27">
        <f t="shared" ref="H535:I535" si="231">H536</f>
        <v>145858.07</v>
      </c>
      <c r="I535" s="27">
        <f t="shared" si="231"/>
        <v>145858.07</v>
      </c>
      <c r="J535" s="27">
        <f>145597.39</f>
        <v>145597.39000000001</v>
      </c>
      <c r="K535" s="16">
        <f t="shared" si="220"/>
        <v>0</v>
      </c>
      <c r="L535" s="27">
        <f>145858.07</f>
        <v>145858.07</v>
      </c>
      <c r="M535" s="16">
        <f t="shared" si="221"/>
        <v>0</v>
      </c>
      <c r="N535" s="27">
        <f>145858.07</f>
        <v>145858.07</v>
      </c>
      <c r="O535" s="16">
        <f t="shared" si="222"/>
        <v>0</v>
      </c>
    </row>
    <row r="536" spans="1:15" s="83" customFormat="1" ht="38.25">
      <c r="A536" s="12" t="s">
        <v>1015</v>
      </c>
      <c r="B536" s="35" t="s">
        <v>69</v>
      </c>
      <c r="C536" s="36" t="s">
        <v>71</v>
      </c>
      <c r="D536" s="36" t="s">
        <v>53</v>
      </c>
      <c r="E536" s="36" t="s">
        <v>352</v>
      </c>
      <c r="F536" s="36" t="s">
        <v>67</v>
      </c>
      <c r="G536" s="27">
        <f>145597.39</f>
        <v>145597.39000000001</v>
      </c>
      <c r="H536" s="27">
        <f>145858.07</f>
        <v>145858.07</v>
      </c>
      <c r="I536" s="27">
        <f>145858.07</f>
        <v>145858.07</v>
      </c>
      <c r="J536" s="80"/>
      <c r="K536" s="16">
        <f t="shared" si="220"/>
        <v>-145597.39000000001</v>
      </c>
      <c r="L536" s="80"/>
      <c r="M536" s="16">
        <f t="shared" si="221"/>
        <v>-145858.07</v>
      </c>
      <c r="N536" s="80"/>
      <c r="O536" s="16">
        <f t="shared" si="222"/>
        <v>-145858.07</v>
      </c>
    </row>
    <row r="537" spans="1:15" s="30" customFormat="1">
      <c r="A537" s="40" t="s">
        <v>93</v>
      </c>
      <c r="B537" s="35" t="s">
        <v>69</v>
      </c>
      <c r="C537" s="36" t="s">
        <v>71</v>
      </c>
      <c r="D537" s="36" t="s">
        <v>53</v>
      </c>
      <c r="E537" s="36" t="s">
        <v>352</v>
      </c>
      <c r="F537" s="36" t="s">
        <v>20</v>
      </c>
      <c r="G537" s="27">
        <f>G538</f>
        <v>17763</v>
      </c>
      <c r="H537" s="27">
        <f t="shared" ref="H537:I537" si="232">H538</f>
        <v>17763</v>
      </c>
      <c r="I537" s="27">
        <f t="shared" si="232"/>
        <v>17763</v>
      </c>
      <c r="J537" s="27">
        <f>17763</f>
        <v>17763</v>
      </c>
      <c r="K537" s="16">
        <f t="shared" si="220"/>
        <v>0</v>
      </c>
      <c r="L537" s="27">
        <f>17763</f>
        <v>17763</v>
      </c>
      <c r="M537" s="16">
        <f t="shared" si="221"/>
        <v>0</v>
      </c>
      <c r="N537" s="27">
        <f>17763</f>
        <v>17763</v>
      </c>
      <c r="O537" s="16">
        <f t="shared" si="222"/>
        <v>0</v>
      </c>
    </row>
    <row r="538" spans="1:15" s="83" customFormat="1" ht="38.25">
      <c r="A538" s="12" t="s">
        <v>1018</v>
      </c>
      <c r="B538" s="35" t="s">
        <v>69</v>
      </c>
      <c r="C538" s="36" t="s">
        <v>71</v>
      </c>
      <c r="D538" s="36" t="s">
        <v>53</v>
      </c>
      <c r="E538" s="36" t="s">
        <v>352</v>
      </c>
      <c r="F538" s="36" t="s">
        <v>16</v>
      </c>
      <c r="G538" s="27">
        <f>17763</f>
        <v>17763</v>
      </c>
      <c r="H538" s="27">
        <f>17763</f>
        <v>17763</v>
      </c>
      <c r="I538" s="27">
        <f>17763</f>
        <v>17763</v>
      </c>
      <c r="J538" s="80"/>
      <c r="K538" s="16">
        <f t="shared" si="220"/>
        <v>-17763</v>
      </c>
      <c r="L538" s="80"/>
      <c r="M538" s="16">
        <f t="shared" si="221"/>
        <v>-17763</v>
      </c>
      <c r="N538" s="80"/>
      <c r="O538" s="16">
        <f t="shared" si="222"/>
        <v>-17763</v>
      </c>
    </row>
    <row r="539" spans="1:15" s="30" customFormat="1" ht="63.75">
      <c r="A539" s="11" t="s">
        <v>756</v>
      </c>
      <c r="B539" s="25" t="s">
        <v>69</v>
      </c>
      <c r="C539" s="36" t="s">
        <v>71</v>
      </c>
      <c r="D539" s="36" t="s">
        <v>53</v>
      </c>
      <c r="E539" s="26" t="s">
        <v>339</v>
      </c>
      <c r="F539" s="26" t="s">
        <v>58</v>
      </c>
      <c r="G539" s="27">
        <f t="shared" ref="G539:N541" si="233">G540</f>
        <v>345.5</v>
      </c>
      <c r="H539" s="27">
        <f t="shared" si="233"/>
        <v>302.5</v>
      </c>
      <c r="I539" s="27">
        <f t="shared" si="233"/>
        <v>302.5</v>
      </c>
      <c r="J539" s="27">
        <f t="shared" si="233"/>
        <v>345.5</v>
      </c>
      <c r="K539" s="16">
        <f t="shared" si="220"/>
        <v>0</v>
      </c>
      <c r="L539" s="27">
        <f t="shared" si="233"/>
        <v>302.5</v>
      </c>
      <c r="M539" s="16">
        <f t="shared" si="221"/>
        <v>0</v>
      </c>
      <c r="N539" s="27">
        <f t="shared" si="233"/>
        <v>302.5</v>
      </c>
      <c r="O539" s="16">
        <f t="shared" si="222"/>
        <v>0</v>
      </c>
    </row>
    <row r="540" spans="1:15" s="30" customFormat="1" ht="25.5">
      <c r="A540" s="11" t="s">
        <v>136</v>
      </c>
      <c r="B540" s="25" t="s">
        <v>69</v>
      </c>
      <c r="C540" s="36" t="s">
        <v>71</v>
      </c>
      <c r="D540" s="36" t="s">
        <v>53</v>
      </c>
      <c r="E540" s="26" t="s">
        <v>340</v>
      </c>
      <c r="F540" s="26" t="s">
        <v>58</v>
      </c>
      <c r="G540" s="27">
        <f t="shared" si="233"/>
        <v>345.5</v>
      </c>
      <c r="H540" s="27">
        <f t="shared" si="233"/>
        <v>302.5</v>
      </c>
      <c r="I540" s="27">
        <f t="shared" si="233"/>
        <v>302.5</v>
      </c>
      <c r="J540" s="27">
        <f t="shared" si="233"/>
        <v>345.5</v>
      </c>
      <c r="K540" s="16">
        <f t="shared" si="220"/>
        <v>0</v>
      </c>
      <c r="L540" s="27">
        <f t="shared" si="233"/>
        <v>302.5</v>
      </c>
      <c r="M540" s="16">
        <f t="shared" si="221"/>
        <v>0</v>
      </c>
      <c r="N540" s="27">
        <f t="shared" si="233"/>
        <v>302.5</v>
      </c>
      <c r="O540" s="16">
        <f t="shared" si="222"/>
        <v>0</v>
      </c>
    </row>
    <row r="541" spans="1:15" s="30" customFormat="1" ht="25.5">
      <c r="A541" s="11" t="s">
        <v>667</v>
      </c>
      <c r="B541" s="25" t="s">
        <v>69</v>
      </c>
      <c r="C541" s="36" t="s">
        <v>71</v>
      </c>
      <c r="D541" s="36" t="s">
        <v>53</v>
      </c>
      <c r="E541" s="26" t="s">
        <v>609</v>
      </c>
      <c r="F541" s="26" t="s">
        <v>58</v>
      </c>
      <c r="G541" s="27">
        <f t="shared" si="233"/>
        <v>345.5</v>
      </c>
      <c r="H541" s="27">
        <f t="shared" si="233"/>
        <v>302.5</v>
      </c>
      <c r="I541" s="27">
        <f t="shared" si="233"/>
        <v>302.5</v>
      </c>
      <c r="J541" s="27">
        <f t="shared" si="233"/>
        <v>345.5</v>
      </c>
      <c r="K541" s="16">
        <f t="shared" si="220"/>
        <v>0</v>
      </c>
      <c r="L541" s="27">
        <f t="shared" si="233"/>
        <v>302.5</v>
      </c>
      <c r="M541" s="16">
        <f t="shared" si="221"/>
        <v>0</v>
      </c>
      <c r="N541" s="27">
        <f t="shared" si="233"/>
        <v>302.5</v>
      </c>
      <c r="O541" s="16">
        <f t="shared" si="222"/>
        <v>0</v>
      </c>
    </row>
    <row r="542" spans="1:15" s="30" customFormat="1" ht="38.25">
      <c r="A542" s="11" t="s">
        <v>177</v>
      </c>
      <c r="B542" s="25" t="s">
        <v>69</v>
      </c>
      <c r="C542" s="36" t="s">
        <v>71</v>
      </c>
      <c r="D542" s="36" t="s">
        <v>53</v>
      </c>
      <c r="E542" s="26" t="s">
        <v>610</v>
      </c>
      <c r="F542" s="26" t="s">
        <v>58</v>
      </c>
      <c r="G542" s="27">
        <f>G543+G545</f>
        <v>345.5</v>
      </c>
      <c r="H542" s="27">
        <f t="shared" ref="H542:I542" si="234">H543+H545</f>
        <v>302.5</v>
      </c>
      <c r="I542" s="27">
        <f t="shared" si="234"/>
        <v>302.5</v>
      </c>
      <c r="J542" s="27">
        <f>SUM(J543:J545)</f>
        <v>345.5</v>
      </c>
      <c r="K542" s="16">
        <f t="shared" si="220"/>
        <v>0</v>
      </c>
      <c r="L542" s="27">
        <f t="shared" ref="L542:N542" si="235">SUM(L543:L545)</f>
        <v>302.5</v>
      </c>
      <c r="M542" s="16">
        <f t="shared" si="221"/>
        <v>0</v>
      </c>
      <c r="N542" s="27">
        <f t="shared" si="235"/>
        <v>302.5</v>
      </c>
      <c r="O542" s="16">
        <f t="shared" si="222"/>
        <v>0</v>
      </c>
    </row>
    <row r="543" spans="1:15" s="30" customFormat="1">
      <c r="A543" s="40" t="s">
        <v>92</v>
      </c>
      <c r="B543" s="25" t="s">
        <v>69</v>
      </c>
      <c r="C543" s="36" t="s">
        <v>71</v>
      </c>
      <c r="D543" s="36" t="s">
        <v>53</v>
      </c>
      <c r="E543" s="26" t="s">
        <v>610</v>
      </c>
      <c r="F543" s="26" t="s">
        <v>138</v>
      </c>
      <c r="G543" s="27">
        <f>G544</f>
        <v>286.89999999999998</v>
      </c>
      <c r="H543" s="27">
        <f t="shared" ref="H543:I543" si="236">H544</f>
        <v>243.9</v>
      </c>
      <c r="I543" s="27">
        <f t="shared" si="236"/>
        <v>243.9</v>
      </c>
      <c r="J543" s="27">
        <f>286.9</f>
        <v>286.89999999999998</v>
      </c>
      <c r="K543" s="16">
        <f t="shared" si="220"/>
        <v>0</v>
      </c>
      <c r="L543" s="27">
        <f>243.9</f>
        <v>243.9</v>
      </c>
      <c r="M543" s="16">
        <f t="shared" si="221"/>
        <v>0</v>
      </c>
      <c r="N543" s="27">
        <f>243.9</f>
        <v>243.9</v>
      </c>
      <c r="O543" s="16">
        <f t="shared" si="222"/>
        <v>0</v>
      </c>
    </row>
    <row r="544" spans="1:15" s="83" customFormat="1">
      <c r="A544" s="12" t="s">
        <v>1016</v>
      </c>
      <c r="B544" s="25" t="s">
        <v>69</v>
      </c>
      <c r="C544" s="36" t="s">
        <v>71</v>
      </c>
      <c r="D544" s="36" t="s">
        <v>53</v>
      </c>
      <c r="E544" s="26" t="s">
        <v>610</v>
      </c>
      <c r="F544" s="26" t="s">
        <v>1046</v>
      </c>
      <c r="G544" s="27">
        <f>286.9</f>
        <v>286.89999999999998</v>
      </c>
      <c r="H544" s="27">
        <f>243.9</f>
        <v>243.9</v>
      </c>
      <c r="I544" s="27">
        <f>243.9</f>
        <v>243.9</v>
      </c>
      <c r="J544" s="80"/>
      <c r="K544" s="16">
        <f t="shared" si="220"/>
        <v>-286.89999999999998</v>
      </c>
      <c r="L544" s="80"/>
      <c r="M544" s="16">
        <f t="shared" si="221"/>
        <v>-243.9</v>
      </c>
      <c r="N544" s="80"/>
      <c r="O544" s="16">
        <f t="shared" si="222"/>
        <v>-243.9</v>
      </c>
    </row>
    <row r="545" spans="1:15" s="30" customFormat="1">
      <c r="A545" s="13" t="s">
        <v>93</v>
      </c>
      <c r="B545" s="25" t="s">
        <v>69</v>
      </c>
      <c r="C545" s="36" t="s">
        <v>71</v>
      </c>
      <c r="D545" s="36" t="s">
        <v>53</v>
      </c>
      <c r="E545" s="26" t="s">
        <v>610</v>
      </c>
      <c r="F545" s="26" t="s">
        <v>20</v>
      </c>
      <c r="G545" s="27">
        <f>G546</f>
        <v>58.6</v>
      </c>
      <c r="H545" s="27">
        <f t="shared" ref="H545:I545" si="237">H546</f>
        <v>58.6</v>
      </c>
      <c r="I545" s="27">
        <f t="shared" si="237"/>
        <v>58.6</v>
      </c>
      <c r="J545" s="27">
        <f>58.6</f>
        <v>58.6</v>
      </c>
      <c r="K545" s="16">
        <f t="shared" si="220"/>
        <v>0</v>
      </c>
      <c r="L545" s="27">
        <f>58.6</f>
        <v>58.6</v>
      </c>
      <c r="M545" s="16">
        <f t="shared" si="221"/>
        <v>0</v>
      </c>
      <c r="N545" s="27">
        <f>58.6</f>
        <v>58.6</v>
      </c>
      <c r="O545" s="16">
        <f t="shared" si="222"/>
        <v>0</v>
      </c>
    </row>
    <row r="546" spans="1:15" s="83" customFormat="1">
      <c r="A546" s="12" t="s">
        <v>1019</v>
      </c>
      <c r="B546" s="25" t="s">
        <v>69</v>
      </c>
      <c r="C546" s="36" t="s">
        <v>71</v>
      </c>
      <c r="D546" s="36" t="s">
        <v>53</v>
      </c>
      <c r="E546" s="26" t="s">
        <v>610</v>
      </c>
      <c r="F546" s="26" t="s">
        <v>1054</v>
      </c>
      <c r="G546" s="27">
        <f>58.6</f>
        <v>58.6</v>
      </c>
      <c r="H546" s="27">
        <f>58.6</f>
        <v>58.6</v>
      </c>
      <c r="I546" s="27">
        <f>58.6</f>
        <v>58.6</v>
      </c>
      <c r="J546" s="80"/>
      <c r="K546" s="16">
        <f t="shared" si="220"/>
        <v>-58.6</v>
      </c>
      <c r="L546" s="80"/>
      <c r="M546" s="16">
        <f t="shared" si="221"/>
        <v>-58.6</v>
      </c>
      <c r="N546" s="80"/>
      <c r="O546" s="16">
        <f t="shared" si="222"/>
        <v>-58.6</v>
      </c>
    </row>
    <row r="547" spans="1:15" s="30" customFormat="1">
      <c r="A547" s="21" t="s">
        <v>783</v>
      </c>
      <c r="B547" s="22" t="s">
        <v>69</v>
      </c>
      <c r="C547" s="23" t="s">
        <v>71</v>
      </c>
      <c r="D547" s="23" t="s">
        <v>71</v>
      </c>
      <c r="E547" s="23" t="s">
        <v>196</v>
      </c>
      <c r="F547" s="23" t="s">
        <v>58</v>
      </c>
      <c r="G547" s="24">
        <f>G548+G557</f>
        <v>24969.219999999998</v>
      </c>
      <c r="H547" s="24">
        <f>H548+H557</f>
        <v>24921.81</v>
      </c>
      <c r="I547" s="24">
        <f>I548+I557</f>
        <v>24921.81</v>
      </c>
      <c r="J547" s="24">
        <f>J548+J557</f>
        <v>24969.219999999998</v>
      </c>
      <c r="K547" s="16">
        <f t="shared" si="220"/>
        <v>0</v>
      </c>
      <c r="L547" s="24">
        <f>L548+L557</f>
        <v>24921.81</v>
      </c>
      <c r="M547" s="16">
        <f t="shared" si="221"/>
        <v>0</v>
      </c>
      <c r="N547" s="24">
        <f>N548+N557</f>
        <v>24921.81</v>
      </c>
      <c r="O547" s="16">
        <f t="shared" si="222"/>
        <v>0</v>
      </c>
    </row>
    <row r="548" spans="1:15" s="30" customFormat="1" ht="25.5">
      <c r="A548" s="13" t="s">
        <v>723</v>
      </c>
      <c r="B548" s="25" t="s">
        <v>69</v>
      </c>
      <c r="C548" s="26" t="s">
        <v>71</v>
      </c>
      <c r="D548" s="26" t="s">
        <v>71</v>
      </c>
      <c r="E548" s="26" t="s">
        <v>331</v>
      </c>
      <c r="F548" s="26" t="s">
        <v>58</v>
      </c>
      <c r="G548" s="27">
        <f t="shared" ref="G548:N549" si="238">G549</f>
        <v>24854.019999999997</v>
      </c>
      <c r="H548" s="27">
        <f t="shared" si="238"/>
        <v>24876.61</v>
      </c>
      <c r="I548" s="27">
        <f t="shared" si="238"/>
        <v>24876.61</v>
      </c>
      <c r="J548" s="27">
        <f t="shared" si="238"/>
        <v>24854.019999999997</v>
      </c>
      <c r="K548" s="16">
        <f t="shared" si="220"/>
        <v>0</v>
      </c>
      <c r="L548" s="27">
        <f t="shared" si="238"/>
        <v>24876.61</v>
      </c>
      <c r="M548" s="16">
        <f t="shared" si="221"/>
        <v>0</v>
      </c>
      <c r="N548" s="27">
        <f t="shared" si="238"/>
        <v>24876.61</v>
      </c>
      <c r="O548" s="16">
        <f t="shared" si="222"/>
        <v>0</v>
      </c>
    </row>
    <row r="549" spans="1:15" s="30" customFormat="1" ht="25.5">
      <c r="A549" s="13" t="s">
        <v>860</v>
      </c>
      <c r="B549" s="25" t="s">
        <v>69</v>
      </c>
      <c r="C549" s="26" t="s">
        <v>71</v>
      </c>
      <c r="D549" s="26" t="s">
        <v>71</v>
      </c>
      <c r="E549" s="26" t="s">
        <v>332</v>
      </c>
      <c r="F549" s="26" t="s">
        <v>58</v>
      </c>
      <c r="G549" s="27">
        <f t="shared" si="238"/>
        <v>24854.019999999997</v>
      </c>
      <c r="H549" s="27">
        <f t="shared" si="238"/>
        <v>24876.61</v>
      </c>
      <c r="I549" s="27">
        <f t="shared" si="238"/>
        <v>24876.61</v>
      </c>
      <c r="J549" s="27">
        <f t="shared" si="238"/>
        <v>24854.019999999997</v>
      </c>
      <c r="K549" s="16">
        <f t="shared" si="220"/>
        <v>0</v>
      </c>
      <c r="L549" s="27">
        <f t="shared" si="238"/>
        <v>24876.61</v>
      </c>
      <c r="M549" s="16">
        <f t="shared" si="221"/>
        <v>0</v>
      </c>
      <c r="N549" s="27">
        <f t="shared" si="238"/>
        <v>24876.61</v>
      </c>
      <c r="O549" s="16">
        <f t="shared" si="222"/>
        <v>0</v>
      </c>
    </row>
    <row r="550" spans="1:15" s="30" customFormat="1" ht="25.5">
      <c r="A550" s="13" t="s">
        <v>631</v>
      </c>
      <c r="B550" s="25" t="s">
        <v>69</v>
      </c>
      <c r="C550" s="26" t="s">
        <v>71</v>
      </c>
      <c r="D550" s="26" t="s">
        <v>71</v>
      </c>
      <c r="E550" s="26" t="s">
        <v>353</v>
      </c>
      <c r="F550" s="26" t="s">
        <v>58</v>
      </c>
      <c r="G550" s="27">
        <f>G551+G554</f>
        <v>24854.019999999997</v>
      </c>
      <c r="H550" s="27">
        <f>H551+H554</f>
        <v>24876.61</v>
      </c>
      <c r="I550" s="27">
        <f>I551+I554</f>
        <v>24876.61</v>
      </c>
      <c r="J550" s="27">
        <f>J551+J554</f>
        <v>24854.019999999997</v>
      </c>
      <c r="K550" s="16">
        <f t="shared" si="220"/>
        <v>0</v>
      </c>
      <c r="L550" s="27">
        <f>L551+L554</f>
        <v>24876.61</v>
      </c>
      <c r="M550" s="16">
        <f t="shared" si="221"/>
        <v>0</v>
      </c>
      <c r="N550" s="27">
        <f>N551+N554</f>
        <v>24876.61</v>
      </c>
      <c r="O550" s="16">
        <f t="shared" si="222"/>
        <v>0</v>
      </c>
    </row>
    <row r="551" spans="1:15" s="30" customFormat="1" ht="25.5">
      <c r="A551" s="13" t="s">
        <v>247</v>
      </c>
      <c r="B551" s="25" t="s">
        <v>69</v>
      </c>
      <c r="C551" s="26" t="s">
        <v>71</v>
      </c>
      <c r="D551" s="26" t="s">
        <v>71</v>
      </c>
      <c r="E551" s="26" t="s">
        <v>354</v>
      </c>
      <c r="F551" s="26" t="s">
        <v>58</v>
      </c>
      <c r="G551" s="27">
        <f>G552</f>
        <v>6986.65</v>
      </c>
      <c r="H551" s="27">
        <f>H552</f>
        <v>7009.24</v>
      </c>
      <c r="I551" s="27">
        <f>I552</f>
        <v>7009.24</v>
      </c>
      <c r="J551" s="27">
        <f>J552</f>
        <v>6986.65</v>
      </c>
      <c r="K551" s="16">
        <f t="shared" si="220"/>
        <v>0</v>
      </c>
      <c r="L551" s="27">
        <f>L552</f>
        <v>7009.24</v>
      </c>
      <c r="M551" s="16">
        <f t="shared" si="221"/>
        <v>0</v>
      </c>
      <c r="N551" s="27">
        <f>N552</f>
        <v>7009.24</v>
      </c>
      <c r="O551" s="16">
        <f t="shared" si="222"/>
        <v>0</v>
      </c>
    </row>
    <row r="552" spans="1:15" s="30" customFormat="1">
      <c r="A552" s="13" t="s">
        <v>93</v>
      </c>
      <c r="B552" s="25" t="s">
        <v>69</v>
      </c>
      <c r="C552" s="26" t="s">
        <v>71</v>
      </c>
      <c r="D552" s="26" t="s">
        <v>71</v>
      </c>
      <c r="E552" s="26" t="s">
        <v>354</v>
      </c>
      <c r="F552" s="26" t="s">
        <v>20</v>
      </c>
      <c r="G552" s="27">
        <f>G553</f>
        <v>6986.65</v>
      </c>
      <c r="H552" s="27">
        <f t="shared" ref="H552:I552" si="239">H553</f>
        <v>7009.24</v>
      </c>
      <c r="I552" s="27">
        <f t="shared" si="239"/>
        <v>7009.24</v>
      </c>
      <c r="J552" s="27">
        <f>6986.65</f>
        <v>6986.65</v>
      </c>
      <c r="K552" s="16">
        <f t="shared" si="220"/>
        <v>0</v>
      </c>
      <c r="L552" s="27">
        <f>7009.24</f>
        <v>7009.24</v>
      </c>
      <c r="M552" s="16">
        <f t="shared" si="221"/>
        <v>0</v>
      </c>
      <c r="N552" s="27">
        <f>7009.24</f>
        <v>7009.24</v>
      </c>
      <c r="O552" s="16">
        <f t="shared" si="222"/>
        <v>0</v>
      </c>
    </row>
    <row r="553" spans="1:15" s="83" customFormat="1" ht="38.25">
      <c r="A553" s="12" t="s">
        <v>1018</v>
      </c>
      <c r="B553" s="25" t="s">
        <v>69</v>
      </c>
      <c r="C553" s="26" t="s">
        <v>71</v>
      </c>
      <c r="D553" s="26" t="s">
        <v>71</v>
      </c>
      <c r="E553" s="26" t="s">
        <v>354</v>
      </c>
      <c r="F553" s="26" t="s">
        <v>16</v>
      </c>
      <c r="G553" s="27">
        <f>6986.65</f>
        <v>6986.65</v>
      </c>
      <c r="H553" s="27">
        <f>7009.24</f>
        <v>7009.24</v>
      </c>
      <c r="I553" s="27">
        <f>7009.24</f>
        <v>7009.24</v>
      </c>
      <c r="J553" s="80"/>
      <c r="K553" s="16">
        <f t="shared" si="220"/>
        <v>-6986.65</v>
      </c>
      <c r="L553" s="80"/>
      <c r="M553" s="16">
        <f t="shared" si="221"/>
        <v>-7009.24</v>
      </c>
      <c r="N553" s="80"/>
      <c r="O553" s="16">
        <f t="shared" si="222"/>
        <v>-7009.24</v>
      </c>
    </row>
    <row r="554" spans="1:15" s="30" customFormat="1">
      <c r="A554" s="11" t="s">
        <v>355</v>
      </c>
      <c r="B554" s="25" t="s">
        <v>69</v>
      </c>
      <c r="C554" s="26" t="s">
        <v>71</v>
      </c>
      <c r="D554" s="26" t="s">
        <v>71</v>
      </c>
      <c r="E554" s="26" t="s">
        <v>356</v>
      </c>
      <c r="F554" s="26" t="s">
        <v>58</v>
      </c>
      <c r="G554" s="27">
        <f>G555</f>
        <v>17867.37</v>
      </c>
      <c r="H554" s="27">
        <f>H555</f>
        <v>17867.37</v>
      </c>
      <c r="I554" s="27">
        <f>I555</f>
        <v>17867.37</v>
      </c>
      <c r="J554" s="27">
        <f>J555</f>
        <v>17867.37</v>
      </c>
      <c r="K554" s="16">
        <f t="shared" si="220"/>
        <v>0</v>
      </c>
      <c r="L554" s="27">
        <f>L555</f>
        <v>17867.37</v>
      </c>
      <c r="M554" s="16">
        <f t="shared" si="221"/>
        <v>0</v>
      </c>
      <c r="N554" s="27">
        <f>N555</f>
        <v>17867.37</v>
      </c>
      <c r="O554" s="16">
        <f t="shared" si="222"/>
        <v>0</v>
      </c>
    </row>
    <row r="555" spans="1:15" s="30" customFormat="1">
      <c r="A555" s="13" t="s">
        <v>92</v>
      </c>
      <c r="B555" s="25" t="s">
        <v>69</v>
      </c>
      <c r="C555" s="26" t="s">
        <v>71</v>
      </c>
      <c r="D555" s="26" t="s">
        <v>71</v>
      </c>
      <c r="E555" s="26" t="s">
        <v>356</v>
      </c>
      <c r="F555" s="26" t="s">
        <v>138</v>
      </c>
      <c r="G555" s="27">
        <f>G556</f>
        <v>17867.37</v>
      </c>
      <c r="H555" s="27">
        <f t="shared" ref="H555:I555" si="240">H556</f>
        <v>17867.37</v>
      </c>
      <c r="I555" s="27">
        <f t="shared" si="240"/>
        <v>17867.37</v>
      </c>
      <c r="J555" s="27">
        <f>17867.37</f>
        <v>17867.37</v>
      </c>
      <c r="K555" s="16">
        <f t="shared" si="220"/>
        <v>0</v>
      </c>
      <c r="L555" s="27">
        <f t="shared" ref="H555:N556" si="241">17867.37</f>
        <v>17867.37</v>
      </c>
      <c r="M555" s="16">
        <f t="shared" si="221"/>
        <v>0</v>
      </c>
      <c r="N555" s="27">
        <f t="shared" si="241"/>
        <v>17867.37</v>
      </c>
      <c r="O555" s="16">
        <f t="shared" si="222"/>
        <v>0</v>
      </c>
    </row>
    <row r="556" spans="1:15" s="83" customFormat="1">
      <c r="A556" s="12" t="s">
        <v>1016</v>
      </c>
      <c r="B556" s="25" t="s">
        <v>69</v>
      </c>
      <c r="C556" s="26" t="s">
        <v>71</v>
      </c>
      <c r="D556" s="26" t="s">
        <v>71</v>
      </c>
      <c r="E556" s="26" t="s">
        <v>356</v>
      </c>
      <c r="F556" s="26" t="s">
        <v>1046</v>
      </c>
      <c r="G556" s="27">
        <f>17867.37</f>
        <v>17867.37</v>
      </c>
      <c r="H556" s="27">
        <f t="shared" si="241"/>
        <v>17867.37</v>
      </c>
      <c r="I556" s="27">
        <f t="shared" si="241"/>
        <v>17867.37</v>
      </c>
      <c r="J556" s="80"/>
      <c r="K556" s="16">
        <f t="shared" si="220"/>
        <v>-17867.37</v>
      </c>
      <c r="L556" s="80"/>
      <c r="M556" s="16">
        <f t="shared" si="221"/>
        <v>-17867.37</v>
      </c>
      <c r="N556" s="80"/>
      <c r="O556" s="16">
        <f t="shared" si="222"/>
        <v>-17867.37</v>
      </c>
    </row>
    <row r="557" spans="1:15" s="30" customFormat="1" ht="63.75">
      <c r="A557" s="11" t="s">
        <v>756</v>
      </c>
      <c r="B557" s="25" t="s">
        <v>69</v>
      </c>
      <c r="C557" s="26" t="s">
        <v>71</v>
      </c>
      <c r="D557" s="26" t="s">
        <v>71</v>
      </c>
      <c r="E557" s="26" t="s">
        <v>339</v>
      </c>
      <c r="F557" s="26" t="s">
        <v>58</v>
      </c>
      <c r="G557" s="27">
        <f t="shared" ref="G557:N561" si="242">G558</f>
        <v>115.2</v>
      </c>
      <c r="H557" s="27">
        <f t="shared" si="242"/>
        <v>45.2</v>
      </c>
      <c r="I557" s="27">
        <f t="shared" si="242"/>
        <v>45.2</v>
      </c>
      <c r="J557" s="27">
        <f t="shared" si="242"/>
        <v>115.2</v>
      </c>
      <c r="K557" s="16">
        <f t="shared" ref="K557:K613" si="243">J557-G557</f>
        <v>0</v>
      </c>
      <c r="L557" s="27">
        <f t="shared" si="242"/>
        <v>45.2</v>
      </c>
      <c r="M557" s="16">
        <f t="shared" ref="M557:M613" si="244">L557-H557</f>
        <v>0</v>
      </c>
      <c r="N557" s="27">
        <f t="shared" si="242"/>
        <v>45.2</v>
      </c>
      <c r="O557" s="16">
        <f t="shared" ref="O557:O613" si="245">N557-I557</f>
        <v>0</v>
      </c>
    </row>
    <row r="558" spans="1:15" s="30" customFormat="1" ht="25.5">
      <c r="A558" s="11" t="s">
        <v>136</v>
      </c>
      <c r="B558" s="25" t="s">
        <v>69</v>
      </c>
      <c r="C558" s="26" t="s">
        <v>71</v>
      </c>
      <c r="D558" s="26" t="s">
        <v>71</v>
      </c>
      <c r="E558" s="26" t="s">
        <v>340</v>
      </c>
      <c r="F558" s="26" t="s">
        <v>58</v>
      </c>
      <c r="G558" s="27">
        <f t="shared" si="242"/>
        <v>115.2</v>
      </c>
      <c r="H558" s="27">
        <f t="shared" si="242"/>
        <v>45.2</v>
      </c>
      <c r="I558" s="27">
        <f t="shared" si="242"/>
        <v>45.2</v>
      </c>
      <c r="J558" s="27">
        <f t="shared" si="242"/>
        <v>115.2</v>
      </c>
      <c r="K558" s="16">
        <f t="shared" si="243"/>
        <v>0</v>
      </c>
      <c r="L558" s="27">
        <f t="shared" si="242"/>
        <v>45.2</v>
      </c>
      <c r="M558" s="16">
        <f t="shared" si="244"/>
        <v>0</v>
      </c>
      <c r="N558" s="27">
        <f t="shared" si="242"/>
        <v>45.2</v>
      </c>
      <c r="O558" s="16">
        <f t="shared" si="245"/>
        <v>0</v>
      </c>
    </row>
    <row r="559" spans="1:15" s="30" customFormat="1" ht="25.5">
      <c r="A559" s="11" t="s">
        <v>667</v>
      </c>
      <c r="B559" s="25" t="s">
        <v>69</v>
      </c>
      <c r="C559" s="26" t="s">
        <v>71</v>
      </c>
      <c r="D559" s="26" t="s">
        <v>71</v>
      </c>
      <c r="E559" s="26" t="s">
        <v>609</v>
      </c>
      <c r="F559" s="26" t="s">
        <v>58</v>
      </c>
      <c r="G559" s="27">
        <f t="shared" si="242"/>
        <v>115.2</v>
      </c>
      <c r="H559" s="27">
        <f t="shared" si="242"/>
        <v>45.2</v>
      </c>
      <c r="I559" s="27">
        <f t="shared" si="242"/>
        <v>45.2</v>
      </c>
      <c r="J559" s="27">
        <f t="shared" si="242"/>
        <v>115.2</v>
      </c>
      <c r="K559" s="16">
        <f t="shared" si="243"/>
        <v>0</v>
      </c>
      <c r="L559" s="27">
        <f t="shared" si="242"/>
        <v>45.2</v>
      </c>
      <c r="M559" s="16">
        <f t="shared" si="244"/>
        <v>0</v>
      </c>
      <c r="N559" s="27">
        <f t="shared" si="242"/>
        <v>45.2</v>
      </c>
      <c r="O559" s="16">
        <f t="shared" si="245"/>
        <v>0</v>
      </c>
    </row>
    <row r="560" spans="1:15" s="30" customFormat="1" ht="38.25">
      <c r="A560" s="11" t="s">
        <v>177</v>
      </c>
      <c r="B560" s="25" t="s">
        <v>69</v>
      </c>
      <c r="C560" s="26" t="s">
        <v>71</v>
      </c>
      <c r="D560" s="26" t="s">
        <v>71</v>
      </c>
      <c r="E560" s="26" t="s">
        <v>610</v>
      </c>
      <c r="F560" s="26" t="s">
        <v>58</v>
      </c>
      <c r="G560" s="27">
        <f t="shared" si="242"/>
        <v>115.2</v>
      </c>
      <c r="H560" s="27">
        <f t="shared" si="242"/>
        <v>45.2</v>
      </c>
      <c r="I560" s="27">
        <f t="shared" si="242"/>
        <v>45.2</v>
      </c>
      <c r="J560" s="27">
        <f t="shared" si="242"/>
        <v>115.2</v>
      </c>
      <c r="K560" s="16">
        <f t="shared" si="243"/>
        <v>0</v>
      </c>
      <c r="L560" s="27">
        <f t="shared" si="242"/>
        <v>45.2</v>
      </c>
      <c r="M560" s="16">
        <f t="shared" si="244"/>
        <v>0</v>
      </c>
      <c r="N560" s="27">
        <f t="shared" si="242"/>
        <v>45.2</v>
      </c>
      <c r="O560" s="16">
        <f t="shared" si="245"/>
        <v>0</v>
      </c>
    </row>
    <row r="561" spans="1:15" s="30" customFormat="1">
      <c r="A561" s="13" t="s">
        <v>93</v>
      </c>
      <c r="B561" s="25" t="s">
        <v>69</v>
      </c>
      <c r="C561" s="26" t="s">
        <v>71</v>
      </c>
      <c r="D561" s="26" t="s">
        <v>71</v>
      </c>
      <c r="E561" s="26" t="s">
        <v>610</v>
      </c>
      <c r="F561" s="26" t="s">
        <v>20</v>
      </c>
      <c r="G561" s="27">
        <f>G562</f>
        <v>115.2</v>
      </c>
      <c r="H561" s="27">
        <f t="shared" si="242"/>
        <v>45.2</v>
      </c>
      <c r="I561" s="27">
        <f t="shared" si="242"/>
        <v>45.2</v>
      </c>
      <c r="J561" s="27">
        <f>115.2</f>
        <v>115.2</v>
      </c>
      <c r="K561" s="16">
        <f t="shared" si="243"/>
        <v>0</v>
      </c>
      <c r="L561" s="27">
        <f>45.2</f>
        <v>45.2</v>
      </c>
      <c r="M561" s="16">
        <f t="shared" si="244"/>
        <v>0</v>
      </c>
      <c r="N561" s="27">
        <f>45.2</f>
        <v>45.2</v>
      </c>
      <c r="O561" s="16">
        <f t="shared" si="245"/>
        <v>0</v>
      </c>
    </row>
    <row r="562" spans="1:15" s="83" customFormat="1">
      <c r="A562" s="12" t="s">
        <v>1019</v>
      </c>
      <c r="B562" s="25" t="s">
        <v>69</v>
      </c>
      <c r="C562" s="26" t="s">
        <v>71</v>
      </c>
      <c r="D562" s="26" t="s">
        <v>71</v>
      </c>
      <c r="E562" s="26" t="s">
        <v>610</v>
      </c>
      <c r="F562" s="26" t="s">
        <v>1054</v>
      </c>
      <c r="G562" s="27">
        <f>115.2</f>
        <v>115.2</v>
      </c>
      <c r="H562" s="27">
        <f>45.2</f>
        <v>45.2</v>
      </c>
      <c r="I562" s="27">
        <f>45.2</f>
        <v>45.2</v>
      </c>
      <c r="J562" s="80"/>
      <c r="K562" s="16">
        <f t="shared" si="243"/>
        <v>-115.2</v>
      </c>
      <c r="L562" s="80"/>
      <c r="M562" s="16">
        <f t="shared" si="244"/>
        <v>-45.2</v>
      </c>
      <c r="N562" s="80"/>
      <c r="O562" s="16">
        <f t="shared" si="245"/>
        <v>-45.2</v>
      </c>
    </row>
    <row r="563" spans="1:15" s="30" customFormat="1">
      <c r="A563" s="21" t="s">
        <v>24</v>
      </c>
      <c r="B563" s="22" t="s">
        <v>69</v>
      </c>
      <c r="C563" s="23" t="s">
        <v>71</v>
      </c>
      <c r="D563" s="23" t="s">
        <v>25</v>
      </c>
      <c r="E563" s="23" t="s">
        <v>196</v>
      </c>
      <c r="F563" s="23" t="s">
        <v>58</v>
      </c>
      <c r="G563" s="24">
        <f>G564+G582+G588</f>
        <v>44170.17</v>
      </c>
      <c r="H563" s="24">
        <f>H564+H582+H588</f>
        <v>43599.58</v>
      </c>
      <c r="I563" s="24">
        <f>I564+I582+I588</f>
        <v>43599.58</v>
      </c>
      <c r="J563" s="24">
        <f>J564+J582+J588</f>
        <v>44170.17</v>
      </c>
      <c r="K563" s="16">
        <f t="shared" si="243"/>
        <v>0</v>
      </c>
      <c r="L563" s="24">
        <f>L564+L582+L588</f>
        <v>43599.58</v>
      </c>
      <c r="M563" s="16">
        <f t="shared" si="244"/>
        <v>0</v>
      </c>
      <c r="N563" s="24">
        <f>N564+N582+N588</f>
        <v>43599.58</v>
      </c>
      <c r="O563" s="16">
        <f t="shared" si="245"/>
        <v>0</v>
      </c>
    </row>
    <row r="564" spans="1:15" s="30" customFormat="1" ht="25.5">
      <c r="A564" s="13" t="s">
        <v>723</v>
      </c>
      <c r="B564" s="25" t="s">
        <v>69</v>
      </c>
      <c r="C564" s="26" t="s">
        <v>71</v>
      </c>
      <c r="D564" s="26" t="s">
        <v>25</v>
      </c>
      <c r="E564" s="26" t="s">
        <v>331</v>
      </c>
      <c r="F564" s="26" t="s">
        <v>58</v>
      </c>
      <c r="G564" s="27">
        <f>G565</f>
        <v>18420</v>
      </c>
      <c r="H564" s="27">
        <f>H565</f>
        <v>17843.77</v>
      </c>
      <c r="I564" s="27">
        <f>I565</f>
        <v>17843.77</v>
      </c>
      <c r="J564" s="27">
        <f>J565</f>
        <v>18420</v>
      </c>
      <c r="K564" s="16">
        <f t="shared" si="243"/>
        <v>0</v>
      </c>
      <c r="L564" s="27">
        <f>L565</f>
        <v>17843.77</v>
      </c>
      <c r="M564" s="16">
        <f t="shared" si="244"/>
        <v>0</v>
      </c>
      <c r="N564" s="27">
        <f>N565</f>
        <v>17843.77</v>
      </c>
      <c r="O564" s="16">
        <f t="shared" si="245"/>
        <v>0</v>
      </c>
    </row>
    <row r="565" spans="1:15" s="30" customFormat="1" ht="25.5">
      <c r="A565" s="13" t="s">
        <v>860</v>
      </c>
      <c r="B565" s="25" t="s">
        <v>69</v>
      </c>
      <c r="C565" s="26" t="s">
        <v>71</v>
      </c>
      <c r="D565" s="26" t="s">
        <v>25</v>
      </c>
      <c r="E565" s="26" t="s">
        <v>332</v>
      </c>
      <c r="F565" s="26" t="s">
        <v>58</v>
      </c>
      <c r="G565" s="27">
        <f>G566+G570+G578</f>
        <v>18420</v>
      </c>
      <c r="H565" s="27">
        <f>H566+H570+H578</f>
        <v>17843.77</v>
      </c>
      <c r="I565" s="27">
        <f>I566+I570+I578</f>
        <v>17843.77</v>
      </c>
      <c r="J565" s="27">
        <f>J566+J570+J578</f>
        <v>18420</v>
      </c>
      <c r="K565" s="16">
        <f t="shared" si="243"/>
        <v>0</v>
      </c>
      <c r="L565" s="27">
        <f>L566+L570+L578</f>
        <v>17843.77</v>
      </c>
      <c r="M565" s="16">
        <f t="shared" si="244"/>
        <v>0</v>
      </c>
      <c r="N565" s="27">
        <f>N566+N570+N578</f>
        <v>17843.77</v>
      </c>
      <c r="O565" s="16">
        <f t="shared" si="245"/>
        <v>0</v>
      </c>
    </row>
    <row r="566" spans="1:15" s="30" customFormat="1" ht="38.25">
      <c r="A566" s="34" t="s">
        <v>630</v>
      </c>
      <c r="B566" s="35" t="s">
        <v>69</v>
      </c>
      <c r="C566" s="36" t="s">
        <v>71</v>
      </c>
      <c r="D566" s="36" t="s">
        <v>25</v>
      </c>
      <c r="E566" s="36" t="s">
        <v>351</v>
      </c>
      <c r="F566" s="36" t="s">
        <v>58</v>
      </c>
      <c r="G566" s="37">
        <f>G567</f>
        <v>6745.36</v>
      </c>
      <c r="H566" s="37">
        <f t="shared" ref="H566:N566" si="246">H567</f>
        <v>6769.13</v>
      </c>
      <c r="I566" s="37">
        <f t="shared" si="246"/>
        <v>6769.13</v>
      </c>
      <c r="J566" s="37">
        <f>J567</f>
        <v>6745.36</v>
      </c>
      <c r="K566" s="16">
        <f t="shared" si="243"/>
        <v>0</v>
      </c>
      <c r="L566" s="37">
        <f t="shared" si="246"/>
        <v>6769.13</v>
      </c>
      <c r="M566" s="16">
        <f t="shared" si="244"/>
        <v>0</v>
      </c>
      <c r="N566" s="37">
        <f t="shared" si="246"/>
        <v>6769.13</v>
      </c>
      <c r="O566" s="16">
        <f t="shared" si="245"/>
        <v>0</v>
      </c>
    </row>
    <row r="567" spans="1:15" s="30" customFormat="1" ht="25.5">
      <c r="A567" s="40" t="s">
        <v>247</v>
      </c>
      <c r="B567" s="35" t="s">
        <v>69</v>
      </c>
      <c r="C567" s="36" t="s">
        <v>71</v>
      </c>
      <c r="D567" s="36" t="s">
        <v>25</v>
      </c>
      <c r="E567" s="36" t="s">
        <v>352</v>
      </c>
      <c r="F567" s="36" t="s">
        <v>58</v>
      </c>
      <c r="G567" s="37">
        <f>G568</f>
        <v>6745.36</v>
      </c>
      <c r="H567" s="37">
        <f>H568</f>
        <v>6769.13</v>
      </c>
      <c r="I567" s="37">
        <f>I568</f>
        <v>6769.13</v>
      </c>
      <c r="J567" s="37">
        <f>J568</f>
        <v>6745.36</v>
      </c>
      <c r="K567" s="16">
        <f t="shared" si="243"/>
        <v>0</v>
      </c>
      <c r="L567" s="37">
        <f>L568</f>
        <v>6769.13</v>
      </c>
      <c r="M567" s="16">
        <f t="shared" si="244"/>
        <v>0</v>
      </c>
      <c r="N567" s="37">
        <f>N568</f>
        <v>6769.13</v>
      </c>
      <c r="O567" s="16">
        <f t="shared" si="245"/>
        <v>0</v>
      </c>
    </row>
    <row r="568" spans="1:15" s="30" customFormat="1">
      <c r="A568" s="40" t="s">
        <v>92</v>
      </c>
      <c r="B568" s="35" t="s">
        <v>69</v>
      </c>
      <c r="C568" s="36" t="s">
        <v>71</v>
      </c>
      <c r="D568" s="36" t="s">
        <v>25</v>
      </c>
      <c r="E568" s="36" t="s">
        <v>352</v>
      </c>
      <c r="F568" s="36" t="s">
        <v>138</v>
      </c>
      <c r="G568" s="27">
        <f>G569</f>
        <v>6745.36</v>
      </c>
      <c r="H568" s="27">
        <f t="shared" ref="H568:I568" si="247">H569</f>
        <v>6769.13</v>
      </c>
      <c r="I568" s="27">
        <f t="shared" si="247"/>
        <v>6769.13</v>
      </c>
      <c r="J568" s="27">
        <f>6745.36</f>
        <v>6745.36</v>
      </c>
      <c r="K568" s="16">
        <f t="shared" si="243"/>
        <v>0</v>
      </c>
      <c r="L568" s="27">
        <f>6769.13</f>
        <v>6769.13</v>
      </c>
      <c r="M568" s="16">
        <f t="shared" si="244"/>
        <v>0</v>
      </c>
      <c r="N568" s="27">
        <f>6769.13</f>
        <v>6769.13</v>
      </c>
      <c r="O568" s="16">
        <f t="shared" si="245"/>
        <v>0</v>
      </c>
    </row>
    <row r="569" spans="1:15" s="83" customFormat="1" ht="38.25">
      <c r="A569" s="12" t="s">
        <v>1015</v>
      </c>
      <c r="B569" s="35" t="s">
        <v>69</v>
      </c>
      <c r="C569" s="36" t="s">
        <v>71</v>
      </c>
      <c r="D569" s="36" t="s">
        <v>25</v>
      </c>
      <c r="E569" s="36" t="s">
        <v>352</v>
      </c>
      <c r="F569" s="36" t="s">
        <v>67</v>
      </c>
      <c r="G569" s="27">
        <f>6745.36</f>
        <v>6745.36</v>
      </c>
      <c r="H569" s="27">
        <f>6769.13</f>
        <v>6769.13</v>
      </c>
      <c r="I569" s="27">
        <f>6769.13</f>
        <v>6769.13</v>
      </c>
      <c r="J569" s="80"/>
      <c r="K569" s="16">
        <f t="shared" si="243"/>
        <v>-6745.36</v>
      </c>
      <c r="L569" s="80"/>
      <c r="M569" s="16">
        <f t="shared" si="244"/>
        <v>-6769.13</v>
      </c>
      <c r="N569" s="80"/>
      <c r="O569" s="16">
        <f t="shared" si="245"/>
        <v>-6769.13</v>
      </c>
    </row>
    <row r="570" spans="1:15" s="30" customFormat="1" ht="38.25">
      <c r="A570" s="13" t="s">
        <v>633</v>
      </c>
      <c r="B570" s="25" t="s">
        <v>69</v>
      </c>
      <c r="C570" s="26" t="s">
        <v>71</v>
      </c>
      <c r="D570" s="26" t="s">
        <v>25</v>
      </c>
      <c r="E570" s="26" t="s">
        <v>357</v>
      </c>
      <c r="F570" s="26" t="s">
        <v>58</v>
      </c>
      <c r="G570" s="27">
        <f>G571</f>
        <v>4728.79</v>
      </c>
      <c r="H570" s="27">
        <f>H571</f>
        <v>4128.79</v>
      </c>
      <c r="I570" s="27">
        <f>I571</f>
        <v>4128.79</v>
      </c>
      <c r="J570" s="27">
        <f>J571</f>
        <v>4728.79</v>
      </c>
      <c r="K570" s="16">
        <f t="shared" si="243"/>
        <v>0</v>
      </c>
      <c r="L570" s="27">
        <f>L571</f>
        <v>4128.79</v>
      </c>
      <c r="M570" s="16">
        <f t="shared" si="244"/>
        <v>0</v>
      </c>
      <c r="N570" s="27">
        <f>N571</f>
        <v>4128.79</v>
      </c>
      <c r="O570" s="16">
        <f t="shared" si="245"/>
        <v>0</v>
      </c>
    </row>
    <row r="571" spans="1:15" s="30" customFormat="1">
      <c r="A571" s="13" t="s">
        <v>139</v>
      </c>
      <c r="B571" s="25" t="s">
        <v>69</v>
      </c>
      <c r="C571" s="26" t="s">
        <v>71</v>
      </c>
      <c r="D571" s="26" t="s">
        <v>25</v>
      </c>
      <c r="E571" s="26" t="s">
        <v>632</v>
      </c>
      <c r="F571" s="26" t="s">
        <v>58</v>
      </c>
      <c r="G571" s="27">
        <f>G572+G574+G576</f>
        <v>4728.79</v>
      </c>
      <c r="H571" s="27">
        <f>H572+H574+H576</f>
        <v>4128.79</v>
      </c>
      <c r="I571" s="27">
        <f>I572+I574+I576</f>
        <v>4128.79</v>
      </c>
      <c r="J571" s="27">
        <f>J572+J574+J576</f>
        <v>4728.79</v>
      </c>
      <c r="K571" s="16">
        <f t="shared" si="243"/>
        <v>0</v>
      </c>
      <c r="L571" s="27">
        <f>L572+L574+L576</f>
        <v>4128.79</v>
      </c>
      <c r="M571" s="16">
        <f t="shared" si="244"/>
        <v>0</v>
      </c>
      <c r="N571" s="27">
        <f>N572+N574+N576</f>
        <v>4128.79</v>
      </c>
      <c r="O571" s="16">
        <f t="shared" si="245"/>
        <v>0</v>
      </c>
    </row>
    <row r="572" spans="1:15" s="30" customFormat="1" ht="25.5">
      <c r="A572" s="11" t="s">
        <v>108</v>
      </c>
      <c r="B572" s="25" t="s">
        <v>69</v>
      </c>
      <c r="C572" s="26" t="s">
        <v>71</v>
      </c>
      <c r="D572" s="26" t="s">
        <v>25</v>
      </c>
      <c r="E572" s="26" t="s">
        <v>632</v>
      </c>
      <c r="F572" s="26" t="s">
        <v>116</v>
      </c>
      <c r="G572" s="27">
        <f>G573</f>
        <v>200</v>
      </c>
      <c r="H572" s="27">
        <f t="shared" ref="H572:I572" si="248">H573</f>
        <v>200</v>
      </c>
      <c r="I572" s="27">
        <f t="shared" si="248"/>
        <v>200</v>
      </c>
      <c r="J572" s="27">
        <f>200</f>
        <v>200</v>
      </c>
      <c r="K572" s="16">
        <f t="shared" si="243"/>
        <v>0</v>
      </c>
      <c r="L572" s="27">
        <f>200</f>
        <v>200</v>
      </c>
      <c r="M572" s="16">
        <f t="shared" si="244"/>
        <v>0</v>
      </c>
      <c r="N572" s="27">
        <f>200</f>
        <v>200</v>
      </c>
      <c r="O572" s="16">
        <f t="shared" si="245"/>
        <v>0</v>
      </c>
    </row>
    <row r="573" spans="1:15" s="83" customFormat="1" ht="25.5">
      <c r="A573" s="12" t="s">
        <v>973</v>
      </c>
      <c r="B573" s="25" t="s">
        <v>69</v>
      </c>
      <c r="C573" s="26" t="s">
        <v>71</v>
      </c>
      <c r="D573" s="26" t="s">
        <v>25</v>
      </c>
      <c r="E573" s="26" t="s">
        <v>632</v>
      </c>
      <c r="F573" s="26" t="s">
        <v>1043</v>
      </c>
      <c r="G573" s="27">
        <f>200</f>
        <v>200</v>
      </c>
      <c r="H573" s="27">
        <f>200</f>
        <v>200</v>
      </c>
      <c r="I573" s="27">
        <f>200</f>
        <v>200</v>
      </c>
      <c r="J573" s="80"/>
      <c r="K573" s="16">
        <f t="shared" si="243"/>
        <v>-200</v>
      </c>
      <c r="L573" s="80"/>
      <c r="M573" s="16">
        <f t="shared" si="244"/>
        <v>-200</v>
      </c>
      <c r="N573" s="80"/>
      <c r="O573" s="16">
        <f t="shared" si="245"/>
        <v>-200</v>
      </c>
    </row>
    <row r="574" spans="1:15" s="30" customFormat="1">
      <c r="A574" s="13" t="s">
        <v>92</v>
      </c>
      <c r="B574" s="25" t="s">
        <v>69</v>
      </c>
      <c r="C574" s="26" t="s">
        <v>71</v>
      </c>
      <c r="D574" s="26" t="s">
        <v>25</v>
      </c>
      <c r="E574" s="26" t="s">
        <v>632</v>
      </c>
      <c r="F574" s="26" t="s">
        <v>138</v>
      </c>
      <c r="G574" s="27">
        <f>G575</f>
        <v>4183.5</v>
      </c>
      <c r="H574" s="27">
        <f t="shared" ref="H574:I574" si="249">H575</f>
        <v>3583.5</v>
      </c>
      <c r="I574" s="27">
        <f t="shared" si="249"/>
        <v>3583.5</v>
      </c>
      <c r="J574" s="27">
        <f>4183.5</f>
        <v>4183.5</v>
      </c>
      <c r="K574" s="16">
        <f t="shared" si="243"/>
        <v>0</v>
      </c>
      <c r="L574" s="27">
        <f>3583.5</f>
        <v>3583.5</v>
      </c>
      <c r="M574" s="16">
        <f t="shared" si="244"/>
        <v>0</v>
      </c>
      <c r="N574" s="27">
        <f>3583.5</f>
        <v>3583.5</v>
      </c>
      <c r="O574" s="16">
        <f t="shared" si="245"/>
        <v>0</v>
      </c>
    </row>
    <row r="575" spans="1:15" s="83" customFormat="1">
      <c r="A575" s="12" t="s">
        <v>1016</v>
      </c>
      <c r="B575" s="25" t="s">
        <v>69</v>
      </c>
      <c r="C575" s="26" t="s">
        <v>71</v>
      </c>
      <c r="D575" s="26" t="s">
        <v>25</v>
      </c>
      <c r="E575" s="26" t="s">
        <v>632</v>
      </c>
      <c r="F575" s="26" t="s">
        <v>1046</v>
      </c>
      <c r="G575" s="27">
        <f>4183.5</f>
        <v>4183.5</v>
      </c>
      <c r="H575" s="27">
        <f>3583.5</f>
        <v>3583.5</v>
      </c>
      <c r="I575" s="27">
        <f>3583.5</f>
        <v>3583.5</v>
      </c>
      <c r="J575" s="80"/>
      <c r="K575" s="16">
        <f t="shared" si="243"/>
        <v>-4183.5</v>
      </c>
      <c r="L575" s="80"/>
      <c r="M575" s="16">
        <f t="shared" si="244"/>
        <v>-3583.5</v>
      </c>
      <c r="N575" s="80"/>
      <c r="O575" s="16">
        <f t="shared" si="245"/>
        <v>-3583.5</v>
      </c>
    </row>
    <row r="576" spans="1:15" s="30" customFormat="1">
      <c r="A576" s="13" t="s">
        <v>93</v>
      </c>
      <c r="B576" s="25" t="s">
        <v>69</v>
      </c>
      <c r="C576" s="26" t="s">
        <v>71</v>
      </c>
      <c r="D576" s="26" t="s">
        <v>25</v>
      </c>
      <c r="E576" s="26" t="s">
        <v>632</v>
      </c>
      <c r="F576" s="26" t="s">
        <v>20</v>
      </c>
      <c r="G576" s="27">
        <f>G577</f>
        <v>345.29</v>
      </c>
      <c r="H576" s="27">
        <f t="shared" ref="H576:I576" si="250">H577</f>
        <v>345.29</v>
      </c>
      <c r="I576" s="27">
        <f t="shared" si="250"/>
        <v>345.29</v>
      </c>
      <c r="J576" s="27">
        <f>345.29</f>
        <v>345.29</v>
      </c>
      <c r="K576" s="16">
        <f t="shared" si="243"/>
        <v>0</v>
      </c>
      <c r="L576" s="27">
        <f t="shared" ref="H576:N577" si="251">345.29</f>
        <v>345.29</v>
      </c>
      <c r="M576" s="16">
        <f t="shared" si="244"/>
        <v>0</v>
      </c>
      <c r="N576" s="27">
        <f t="shared" si="251"/>
        <v>345.29</v>
      </c>
      <c r="O576" s="16">
        <f t="shared" si="245"/>
        <v>0</v>
      </c>
    </row>
    <row r="577" spans="1:15" s="83" customFormat="1">
      <c r="A577" s="12" t="s">
        <v>1019</v>
      </c>
      <c r="B577" s="25" t="s">
        <v>69</v>
      </c>
      <c r="C577" s="26" t="s">
        <v>71</v>
      </c>
      <c r="D577" s="26" t="s">
        <v>25</v>
      </c>
      <c r="E577" s="26" t="s">
        <v>632</v>
      </c>
      <c r="F577" s="26" t="s">
        <v>1054</v>
      </c>
      <c r="G577" s="27">
        <f>345.29</f>
        <v>345.29</v>
      </c>
      <c r="H577" s="27">
        <f t="shared" si="251"/>
        <v>345.29</v>
      </c>
      <c r="I577" s="27">
        <f t="shared" si="251"/>
        <v>345.29</v>
      </c>
      <c r="J577" s="80"/>
      <c r="K577" s="16">
        <f t="shared" si="243"/>
        <v>-345.29</v>
      </c>
      <c r="L577" s="80"/>
      <c r="M577" s="16">
        <f t="shared" si="244"/>
        <v>-345.29</v>
      </c>
      <c r="N577" s="80"/>
      <c r="O577" s="16">
        <f t="shared" si="245"/>
        <v>-345.29</v>
      </c>
    </row>
    <row r="578" spans="1:15" s="30" customFormat="1" ht="25.5">
      <c r="A578" s="34" t="s">
        <v>674</v>
      </c>
      <c r="B578" s="35" t="s">
        <v>69</v>
      </c>
      <c r="C578" s="36" t="s">
        <v>71</v>
      </c>
      <c r="D578" s="36" t="s">
        <v>25</v>
      </c>
      <c r="E578" s="36" t="s">
        <v>665</v>
      </c>
      <c r="F578" s="36" t="s">
        <v>58</v>
      </c>
      <c r="G578" s="37">
        <f>G579</f>
        <v>6945.85</v>
      </c>
      <c r="H578" s="37">
        <f t="shared" ref="H578:N578" si="252">H579</f>
        <v>6945.85</v>
      </c>
      <c r="I578" s="37">
        <f t="shared" si="252"/>
        <v>6945.85</v>
      </c>
      <c r="J578" s="37">
        <f>J579</f>
        <v>6945.85</v>
      </c>
      <c r="K578" s="16">
        <f t="shared" si="243"/>
        <v>0</v>
      </c>
      <c r="L578" s="37">
        <f t="shared" si="252"/>
        <v>6945.85</v>
      </c>
      <c r="M578" s="16">
        <f t="shared" si="244"/>
        <v>0</v>
      </c>
      <c r="N578" s="37">
        <f t="shared" si="252"/>
        <v>6945.85</v>
      </c>
      <c r="O578" s="16">
        <f t="shared" si="245"/>
        <v>0</v>
      </c>
    </row>
    <row r="579" spans="1:15" s="30" customFormat="1" ht="25.5">
      <c r="A579" s="40" t="s">
        <v>247</v>
      </c>
      <c r="B579" s="35" t="s">
        <v>69</v>
      </c>
      <c r="C579" s="36" t="s">
        <v>71</v>
      </c>
      <c r="D579" s="36" t="s">
        <v>25</v>
      </c>
      <c r="E579" s="36" t="s">
        <v>666</v>
      </c>
      <c r="F579" s="36" t="s">
        <v>58</v>
      </c>
      <c r="G579" s="37">
        <f>SUM(G580:G580)</f>
        <v>6945.85</v>
      </c>
      <c r="H579" s="37">
        <f>SUM(H580:H580)</f>
        <v>6945.85</v>
      </c>
      <c r="I579" s="37">
        <f>SUM(I580:I580)</f>
        <v>6945.85</v>
      </c>
      <c r="J579" s="37">
        <f>SUM(J580:J580)</f>
        <v>6945.85</v>
      </c>
      <c r="K579" s="16">
        <f t="shared" si="243"/>
        <v>0</v>
      </c>
      <c r="L579" s="37">
        <f>SUM(L580:L580)</f>
        <v>6945.85</v>
      </c>
      <c r="M579" s="16">
        <f t="shared" si="244"/>
        <v>0</v>
      </c>
      <c r="N579" s="37">
        <f>SUM(N580:N580)</f>
        <v>6945.85</v>
      </c>
      <c r="O579" s="16">
        <f t="shared" si="245"/>
        <v>0</v>
      </c>
    </row>
    <row r="580" spans="1:15" s="30" customFormat="1">
      <c r="A580" s="40" t="s">
        <v>92</v>
      </c>
      <c r="B580" s="35" t="s">
        <v>69</v>
      </c>
      <c r="C580" s="36" t="s">
        <v>71</v>
      </c>
      <c r="D580" s="36" t="s">
        <v>25</v>
      </c>
      <c r="E580" s="36" t="s">
        <v>666</v>
      </c>
      <c r="F580" s="36" t="s">
        <v>138</v>
      </c>
      <c r="G580" s="27">
        <f>G581</f>
        <v>6945.85</v>
      </c>
      <c r="H580" s="27">
        <f t="shared" ref="H580:I580" si="253">H581</f>
        <v>6945.85</v>
      </c>
      <c r="I580" s="27">
        <f t="shared" si="253"/>
        <v>6945.85</v>
      </c>
      <c r="J580" s="27">
        <f>6945.85</f>
        <v>6945.85</v>
      </c>
      <c r="K580" s="16">
        <f t="shared" si="243"/>
        <v>0</v>
      </c>
      <c r="L580" s="27">
        <f t="shared" ref="H580:N581" si="254">6945.85</f>
        <v>6945.85</v>
      </c>
      <c r="M580" s="16">
        <f t="shared" si="244"/>
        <v>0</v>
      </c>
      <c r="N580" s="27">
        <f t="shared" si="254"/>
        <v>6945.85</v>
      </c>
      <c r="O580" s="16">
        <f t="shared" si="245"/>
        <v>0</v>
      </c>
    </row>
    <row r="581" spans="1:15" s="83" customFormat="1" ht="38.25">
      <c r="A581" s="12" t="s">
        <v>1015</v>
      </c>
      <c r="B581" s="35" t="s">
        <v>69</v>
      </c>
      <c r="C581" s="36" t="s">
        <v>71</v>
      </c>
      <c r="D581" s="36" t="s">
        <v>25</v>
      </c>
      <c r="E581" s="36" t="s">
        <v>666</v>
      </c>
      <c r="F581" s="36" t="s">
        <v>67</v>
      </c>
      <c r="G581" s="27">
        <f>6945.85</f>
        <v>6945.85</v>
      </c>
      <c r="H581" s="27">
        <f t="shared" si="254"/>
        <v>6945.85</v>
      </c>
      <c r="I581" s="27">
        <f t="shared" si="254"/>
        <v>6945.85</v>
      </c>
      <c r="J581" s="80"/>
      <c r="K581" s="16">
        <f t="shared" si="243"/>
        <v>-6945.85</v>
      </c>
      <c r="L581" s="80"/>
      <c r="M581" s="16">
        <f t="shared" si="244"/>
        <v>-6945.85</v>
      </c>
      <c r="N581" s="80"/>
      <c r="O581" s="16">
        <f t="shared" si="245"/>
        <v>-6945.85</v>
      </c>
    </row>
    <row r="582" spans="1:15" s="30" customFormat="1" ht="63.75">
      <c r="A582" s="11" t="s">
        <v>756</v>
      </c>
      <c r="B582" s="25" t="s">
        <v>69</v>
      </c>
      <c r="C582" s="26" t="s">
        <v>71</v>
      </c>
      <c r="D582" s="26" t="s">
        <v>25</v>
      </c>
      <c r="E582" s="26" t="s">
        <v>339</v>
      </c>
      <c r="F582" s="26" t="s">
        <v>58</v>
      </c>
      <c r="G582" s="27">
        <f t="shared" ref="G582:N586" si="255">G583</f>
        <v>73</v>
      </c>
      <c r="H582" s="27">
        <f t="shared" si="255"/>
        <v>63</v>
      </c>
      <c r="I582" s="27">
        <f t="shared" si="255"/>
        <v>63</v>
      </c>
      <c r="J582" s="27">
        <f t="shared" si="255"/>
        <v>73</v>
      </c>
      <c r="K582" s="16">
        <f t="shared" si="243"/>
        <v>0</v>
      </c>
      <c r="L582" s="27">
        <f t="shared" si="255"/>
        <v>63</v>
      </c>
      <c r="M582" s="16">
        <f t="shared" si="244"/>
        <v>0</v>
      </c>
      <c r="N582" s="27">
        <f t="shared" si="255"/>
        <v>63</v>
      </c>
      <c r="O582" s="16">
        <f t="shared" si="245"/>
        <v>0</v>
      </c>
    </row>
    <row r="583" spans="1:15" s="30" customFormat="1" ht="25.5">
      <c r="A583" s="11" t="s">
        <v>136</v>
      </c>
      <c r="B583" s="25" t="s">
        <v>69</v>
      </c>
      <c r="C583" s="26" t="s">
        <v>71</v>
      </c>
      <c r="D583" s="26" t="s">
        <v>25</v>
      </c>
      <c r="E583" s="26" t="s">
        <v>340</v>
      </c>
      <c r="F583" s="26" t="s">
        <v>58</v>
      </c>
      <c r="G583" s="27">
        <f t="shared" si="255"/>
        <v>73</v>
      </c>
      <c r="H583" s="27">
        <f t="shared" si="255"/>
        <v>63</v>
      </c>
      <c r="I583" s="27">
        <f t="shared" si="255"/>
        <v>63</v>
      </c>
      <c r="J583" s="27">
        <f t="shared" si="255"/>
        <v>73</v>
      </c>
      <c r="K583" s="16">
        <f t="shared" si="243"/>
        <v>0</v>
      </c>
      <c r="L583" s="27">
        <f t="shared" si="255"/>
        <v>63</v>
      </c>
      <c r="M583" s="16">
        <f t="shared" si="244"/>
        <v>0</v>
      </c>
      <c r="N583" s="27">
        <f t="shared" si="255"/>
        <v>63</v>
      </c>
      <c r="O583" s="16">
        <f t="shared" si="245"/>
        <v>0</v>
      </c>
    </row>
    <row r="584" spans="1:15" s="30" customFormat="1" ht="25.5">
      <c r="A584" s="11" t="s">
        <v>667</v>
      </c>
      <c r="B584" s="25" t="s">
        <v>69</v>
      </c>
      <c r="C584" s="26" t="s">
        <v>71</v>
      </c>
      <c r="D584" s="26" t="s">
        <v>25</v>
      </c>
      <c r="E584" s="26" t="s">
        <v>609</v>
      </c>
      <c r="F584" s="26" t="s">
        <v>58</v>
      </c>
      <c r="G584" s="27">
        <f t="shared" si="255"/>
        <v>73</v>
      </c>
      <c r="H584" s="27">
        <f t="shared" si="255"/>
        <v>63</v>
      </c>
      <c r="I584" s="27">
        <f t="shared" si="255"/>
        <v>63</v>
      </c>
      <c r="J584" s="27">
        <f t="shared" si="255"/>
        <v>73</v>
      </c>
      <c r="K584" s="16">
        <f t="shared" si="243"/>
        <v>0</v>
      </c>
      <c r="L584" s="27">
        <f t="shared" si="255"/>
        <v>63</v>
      </c>
      <c r="M584" s="16">
        <f t="shared" si="244"/>
        <v>0</v>
      </c>
      <c r="N584" s="27">
        <f t="shared" si="255"/>
        <v>63</v>
      </c>
      <c r="O584" s="16">
        <f t="shared" si="245"/>
        <v>0</v>
      </c>
    </row>
    <row r="585" spans="1:15" s="30" customFormat="1" ht="38.25">
      <c r="A585" s="11" t="s">
        <v>177</v>
      </c>
      <c r="B585" s="25" t="s">
        <v>69</v>
      </c>
      <c r="C585" s="26" t="s">
        <v>71</v>
      </c>
      <c r="D585" s="26" t="s">
        <v>25</v>
      </c>
      <c r="E585" s="26" t="s">
        <v>610</v>
      </c>
      <c r="F585" s="26" t="s">
        <v>58</v>
      </c>
      <c r="G585" s="27">
        <f t="shared" si="255"/>
        <v>73</v>
      </c>
      <c r="H585" s="27">
        <f t="shared" si="255"/>
        <v>63</v>
      </c>
      <c r="I585" s="27">
        <f t="shared" si="255"/>
        <v>63</v>
      </c>
      <c r="J585" s="27">
        <f t="shared" si="255"/>
        <v>73</v>
      </c>
      <c r="K585" s="16">
        <f t="shared" si="243"/>
        <v>0</v>
      </c>
      <c r="L585" s="27">
        <f t="shared" si="255"/>
        <v>63</v>
      </c>
      <c r="M585" s="16">
        <f t="shared" si="244"/>
        <v>0</v>
      </c>
      <c r="N585" s="27">
        <f t="shared" si="255"/>
        <v>63</v>
      </c>
      <c r="O585" s="16">
        <f t="shared" si="245"/>
        <v>0</v>
      </c>
    </row>
    <row r="586" spans="1:15" s="30" customFormat="1">
      <c r="A586" s="13" t="s">
        <v>92</v>
      </c>
      <c r="B586" s="25" t="s">
        <v>69</v>
      </c>
      <c r="C586" s="26" t="s">
        <v>71</v>
      </c>
      <c r="D586" s="26" t="s">
        <v>25</v>
      </c>
      <c r="E586" s="26" t="s">
        <v>610</v>
      </c>
      <c r="F586" s="26" t="s">
        <v>138</v>
      </c>
      <c r="G586" s="27">
        <f>G587</f>
        <v>73</v>
      </c>
      <c r="H586" s="27">
        <f t="shared" si="255"/>
        <v>63</v>
      </c>
      <c r="I586" s="27">
        <f t="shared" si="255"/>
        <v>63</v>
      </c>
      <c r="J586" s="27">
        <f>73</f>
        <v>73</v>
      </c>
      <c r="K586" s="16">
        <f t="shared" si="243"/>
        <v>0</v>
      </c>
      <c r="L586" s="27">
        <f>63</f>
        <v>63</v>
      </c>
      <c r="M586" s="16">
        <f t="shared" si="244"/>
        <v>0</v>
      </c>
      <c r="N586" s="27">
        <f>63</f>
        <v>63</v>
      </c>
      <c r="O586" s="16">
        <f t="shared" si="245"/>
        <v>0</v>
      </c>
    </row>
    <row r="587" spans="1:15" s="83" customFormat="1">
      <c r="A587" s="12" t="s">
        <v>1016</v>
      </c>
      <c r="B587" s="25" t="s">
        <v>69</v>
      </c>
      <c r="C587" s="26" t="s">
        <v>71</v>
      </c>
      <c r="D587" s="26" t="s">
        <v>25</v>
      </c>
      <c r="E587" s="26" t="s">
        <v>610</v>
      </c>
      <c r="F587" s="26" t="s">
        <v>1046</v>
      </c>
      <c r="G587" s="27">
        <f>73</f>
        <v>73</v>
      </c>
      <c r="H587" s="27">
        <f>63</f>
        <v>63</v>
      </c>
      <c r="I587" s="27">
        <f>63</f>
        <v>63</v>
      </c>
      <c r="J587" s="80"/>
      <c r="K587" s="16">
        <f t="shared" si="243"/>
        <v>-73</v>
      </c>
      <c r="L587" s="80"/>
      <c r="M587" s="16">
        <f t="shared" si="244"/>
        <v>-63</v>
      </c>
      <c r="N587" s="80"/>
      <c r="O587" s="16">
        <f t="shared" si="245"/>
        <v>-63</v>
      </c>
    </row>
    <row r="588" spans="1:15" s="30" customFormat="1" ht="25.5">
      <c r="A588" s="11" t="s">
        <v>183</v>
      </c>
      <c r="B588" s="25" t="s">
        <v>69</v>
      </c>
      <c r="C588" s="26" t="s">
        <v>71</v>
      </c>
      <c r="D588" s="26" t="s">
        <v>25</v>
      </c>
      <c r="E588" s="26" t="s">
        <v>358</v>
      </c>
      <c r="F588" s="26" t="s">
        <v>58</v>
      </c>
      <c r="G588" s="27">
        <f>G589</f>
        <v>25677.17</v>
      </c>
      <c r="H588" s="27">
        <f>H589</f>
        <v>25692.810000000005</v>
      </c>
      <c r="I588" s="27">
        <f>I589</f>
        <v>25692.810000000005</v>
      </c>
      <c r="J588" s="27">
        <f>J589</f>
        <v>25677.17</v>
      </c>
      <c r="K588" s="16">
        <f t="shared" si="243"/>
        <v>0</v>
      </c>
      <c r="L588" s="27">
        <f>L589</f>
        <v>25692.810000000005</v>
      </c>
      <c r="M588" s="16">
        <f t="shared" si="244"/>
        <v>0</v>
      </c>
      <c r="N588" s="27">
        <f>N589</f>
        <v>25692.810000000005</v>
      </c>
      <c r="O588" s="16">
        <f t="shared" si="245"/>
        <v>0</v>
      </c>
    </row>
    <row r="589" spans="1:15" s="30" customFormat="1" ht="25.5">
      <c r="A589" s="11" t="s">
        <v>184</v>
      </c>
      <c r="B589" s="25" t="s">
        <v>69</v>
      </c>
      <c r="C589" s="26" t="s">
        <v>71</v>
      </c>
      <c r="D589" s="26" t="s">
        <v>25</v>
      </c>
      <c r="E589" s="26" t="s">
        <v>359</v>
      </c>
      <c r="F589" s="26" t="s">
        <v>58</v>
      </c>
      <c r="G589" s="27">
        <f>G590+G599+G603</f>
        <v>25677.17</v>
      </c>
      <c r="H589" s="27">
        <f>H590+H599+H603</f>
        <v>25692.810000000005</v>
      </c>
      <c r="I589" s="27">
        <f>I590+I599+I603</f>
        <v>25692.810000000005</v>
      </c>
      <c r="J589" s="27">
        <f>J590+J599+J603</f>
        <v>25677.17</v>
      </c>
      <c r="K589" s="16">
        <f t="shared" si="243"/>
        <v>0</v>
      </c>
      <c r="L589" s="27">
        <f>L590+L599+L603</f>
        <v>25692.810000000005</v>
      </c>
      <c r="M589" s="16">
        <f t="shared" si="244"/>
        <v>0</v>
      </c>
      <c r="N589" s="27">
        <f>N590+N599+N603</f>
        <v>25692.810000000005</v>
      </c>
      <c r="O589" s="16">
        <f t="shared" si="245"/>
        <v>0</v>
      </c>
    </row>
    <row r="590" spans="1:15" s="30" customFormat="1" ht="25.5">
      <c r="A590" s="11" t="s">
        <v>114</v>
      </c>
      <c r="B590" s="25" t="s">
        <v>69</v>
      </c>
      <c r="C590" s="26" t="s">
        <v>71</v>
      </c>
      <c r="D590" s="26" t="s">
        <v>25</v>
      </c>
      <c r="E590" s="26" t="s">
        <v>360</v>
      </c>
      <c r="F590" s="26" t="s">
        <v>58</v>
      </c>
      <c r="G590" s="27">
        <f>G591+G594+G596</f>
        <v>2408.1699999999996</v>
      </c>
      <c r="H590" s="27">
        <f t="shared" ref="H590:I590" si="256">H591+H594+H596</f>
        <v>2423.81</v>
      </c>
      <c r="I590" s="27">
        <f t="shared" si="256"/>
        <v>2423.81</v>
      </c>
      <c r="J590" s="27">
        <f>SUM(J591:J596)</f>
        <v>2408.1699999999996</v>
      </c>
      <c r="K590" s="16">
        <f t="shared" si="243"/>
        <v>0</v>
      </c>
      <c r="L590" s="27">
        <f>SUM(L591:L596)</f>
        <v>2423.81</v>
      </c>
      <c r="M590" s="16">
        <f t="shared" si="244"/>
        <v>0</v>
      </c>
      <c r="N590" s="27">
        <f>SUM(N591:N596)</f>
        <v>2423.81</v>
      </c>
      <c r="O590" s="16">
        <f t="shared" si="245"/>
        <v>0</v>
      </c>
    </row>
    <row r="591" spans="1:15" s="30" customFormat="1" ht="25.5">
      <c r="A591" s="11" t="s">
        <v>362</v>
      </c>
      <c r="B591" s="25" t="s">
        <v>69</v>
      </c>
      <c r="C591" s="26" t="s">
        <v>71</v>
      </c>
      <c r="D591" s="26" t="s">
        <v>25</v>
      </c>
      <c r="E591" s="26" t="s">
        <v>360</v>
      </c>
      <c r="F591" s="26" t="s">
        <v>115</v>
      </c>
      <c r="G591" s="27">
        <f>SUM(G592:G593)</f>
        <v>680.16</v>
      </c>
      <c r="H591" s="27">
        <f t="shared" ref="H591:I591" si="257">SUM(H592:H593)</f>
        <v>680.16</v>
      </c>
      <c r="I591" s="27">
        <f t="shared" si="257"/>
        <v>680.16</v>
      </c>
      <c r="J591" s="27">
        <f>680.16</f>
        <v>680.16</v>
      </c>
      <c r="K591" s="16">
        <f t="shared" si="243"/>
        <v>0</v>
      </c>
      <c r="L591" s="27">
        <f t="shared" ref="L591:N591" si="258">680.16</f>
        <v>680.16</v>
      </c>
      <c r="M591" s="16">
        <f t="shared" si="244"/>
        <v>0</v>
      </c>
      <c r="N591" s="27">
        <f t="shared" si="258"/>
        <v>680.16</v>
      </c>
      <c r="O591" s="16">
        <f t="shared" si="245"/>
        <v>0</v>
      </c>
    </row>
    <row r="592" spans="1:15" s="83" customFormat="1" ht="25.5">
      <c r="A592" s="12" t="s">
        <v>937</v>
      </c>
      <c r="B592" s="25" t="s">
        <v>69</v>
      </c>
      <c r="C592" s="26" t="s">
        <v>71</v>
      </c>
      <c r="D592" s="26" t="s">
        <v>25</v>
      </c>
      <c r="E592" s="26" t="s">
        <v>360</v>
      </c>
      <c r="F592" s="26" t="s">
        <v>1059</v>
      </c>
      <c r="G592" s="27">
        <v>522.4</v>
      </c>
      <c r="H592" s="27">
        <f>G592</f>
        <v>522.4</v>
      </c>
      <c r="I592" s="27">
        <f>H592</f>
        <v>522.4</v>
      </c>
      <c r="J592" s="27"/>
      <c r="K592" s="16">
        <f t="shared" si="243"/>
        <v>-522.4</v>
      </c>
      <c r="L592" s="80"/>
      <c r="M592" s="16">
        <f t="shared" si="244"/>
        <v>-522.4</v>
      </c>
      <c r="N592" s="80"/>
      <c r="O592" s="16">
        <f t="shared" si="245"/>
        <v>-522.4</v>
      </c>
    </row>
    <row r="593" spans="1:15" s="83" customFormat="1" ht="38.25">
      <c r="A593" s="12" t="s">
        <v>939</v>
      </c>
      <c r="B593" s="25" t="s">
        <v>69</v>
      </c>
      <c r="C593" s="26" t="s">
        <v>71</v>
      </c>
      <c r="D593" s="26" t="s">
        <v>25</v>
      </c>
      <c r="E593" s="26" t="s">
        <v>360</v>
      </c>
      <c r="F593" s="26" t="s">
        <v>1060</v>
      </c>
      <c r="G593" s="27">
        <v>157.76</v>
      </c>
      <c r="H593" s="27">
        <f>G593</f>
        <v>157.76</v>
      </c>
      <c r="I593" s="27">
        <f>H593</f>
        <v>157.76</v>
      </c>
      <c r="J593" s="27"/>
      <c r="K593" s="16">
        <f t="shared" si="243"/>
        <v>-157.76</v>
      </c>
      <c r="L593" s="80"/>
      <c r="M593" s="16">
        <f t="shared" si="244"/>
        <v>-157.76</v>
      </c>
      <c r="N593" s="80"/>
      <c r="O593" s="16">
        <f t="shared" si="245"/>
        <v>-157.76</v>
      </c>
    </row>
    <row r="594" spans="1:15" s="30" customFormat="1" ht="25.5">
      <c r="A594" s="11" t="s">
        <v>108</v>
      </c>
      <c r="B594" s="25" t="s">
        <v>69</v>
      </c>
      <c r="C594" s="26" t="s">
        <v>71</v>
      </c>
      <c r="D594" s="26" t="s">
        <v>25</v>
      </c>
      <c r="E594" s="26" t="s">
        <v>360</v>
      </c>
      <c r="F594" s="26" t="s">
        <v>116</v>
      </c>
      <c r="G594" s="27">
        <f>G595</f>
        <v>1685.87</v>
      </c>
      <c r="H594" s="27">
        <f t="shared" ref="H594:I594" si="259">H595</f>
        <v>1701.51</v>
      </c>
      <c r="I594" s="27">
        <f t="shared" si="259"/>
        <v>1701.51</v>
      </c>
      <c r="J594" s="27">
        <f>1685.87</f>
        <v>1685.87</v>
      </c>
      <c r="K594" s="16">
        <f t="shared" si="243"/>
        <v>0</v>
      </c>
      <c r="L594" s="27">
        <f>1701.51</f>
        <v>1701.51</v>
      </c>
      <c r="M594" s="16">
        <f t="shared" si="244"/>
        <v>0</v>
      </c>
      <c r="N594" s="27">
        <f>1701.51</f>
        <v>1701.51</v>
      </c>
      <c r="O594" s="16">
        <f t="shared" si="245"/>
        <v>0</v>
      </c>
    </row>
    <row r="595" spans="1:15" s="83" customFormat="1" ht="25.5">
      <c r="A595" s="12" t="s">
        <v>973</v>
      </c>
      <c r="B595" s="25" t="s">
        <v>69</v>
      </c>
      <c r="C595" s="26" t="s">
        <v>71</v>
      </c>
      <c r="D595" s="26" t="s">
        <v>25</v>
      </c>
      <c r="E595" s="26" t="s">
        <v>360</v>
      </c>
      <c r="F595" s="26" t="s">
        <v>1043</v>
      </c>
      <c r="G595" s="27">
        <f>1685.87</f>
        <v>1685.87</v>
      </c>
      <c r="H595" s="27">
        <f>1701.51</f>
        <v>1701.51</v>
      </c>
      <c r="I595" s="27">
        <f>1701.51</f>
        <v>1701.51</v>
      </c>
      <c r="J595" s="80"/>
      <c r="K595" s="16">
        <f t="shared" si="243"/>
        <v>-1685.87</v>
      </c>
      <c r="L595" s="80"/>
      <c r="M595" s="16">
        <f t="shared" si="244"/>
        <v>-1701.51</v>
      </c>
      <c r="N595" s="80"/>
      <c r="O595" s="16">
        <f t="shared" si="245"/>
        <v>-1701.51</v>
      </c>
    </row>
    <row r="596" spans="1:15" s="30" customFormat="1">
      <c r="A596" s="11" t="s">
        <v>97</v>
      </c>
      <c r="B596" s="25" t="s">
        <v>69</v>
      </c>
      <c r="C596" s="26" t="s">
        <v>71</v>
      </c>
      <c r="D596" s="26" t="s">
        <v>25</v>
      </c>
      <c r="E596" s="26" t="s">
        <v>360</v>
      </c>
      <c r="F596" s="26" t="s">
        <v>118</v>
      </c>
      <c r="G596" s="27">
        <f>SUM(G597:G598)</f>
        <v>42.14</v>
      </c>
      <c r="H596" s="27">
        <f t="shared" ref="H596:I596" si="260">SUM(H597:H598)</f>
        <v>42.14</v>
      </c>
      <c r="I596" s="27">
        <f t="shared" si="260"/>
        <v>42.14</v>
      </c>
      <c r="J596" s="27">
        <f>42.14</f>
        <v>42.14</v>
      </c>
      <c r="K596" s="16">
        <f t="shared" si="243"/>
        <v>0</v>
      </c>
      <c r="L596" s="27">
        <f t="shared" ref="L596:N596" si="261">42.14</f>
        <v>42.14</v>
      </c>
      <c r="M596" s="16">
        <f t="shared" si="244"/>
        <v>0</v>
      </c>
      <c r="N596" s="27">
        <f t="shared" si="261"/>
        <v>42.14</v>
      </c>
      <c r="O596" s="16">
        <f t="shared" si="245"/>
        <v>0</v>
      </c>
    </row>
    <row r="597" spans="1:15" s="83" customFormat="1">
      <c r="A597" s="12" t="s">
        <v>1036</v>
      </c>
      <c r="B597" s="25" t="s">
        <v>69</v>
      </c>
      <c r="C597" s="26" t="s">
        <v>71</v>
      </c>
      <c r="D597" s="26" t="s">
        <v>25</v>
      </c>
      <c r="E597" s="26" t="s">
        <v>360</v>
      </c>
      <c r="F597" s="26" t="s">
        <v>1061</v>
      </c>
      <c r="G597" s="27">
        <v>40.24</v>
      </c>
      <c r="H597" s="27">
        <v>40.24</v>
      </c>
      <c r="I597" s="27">
        <v>40.24</v>
      </c>
      <c r="J597" s="80"/>
      <c r="K597" s="16">
        <f t="shared" si="243"/>
        <v>-40.24</v>
      </c>
      <c r="L597" s="80"/>
      <c r="M597" s="16">
        <f t="shared" si="244"/>
        <v>-40.24</v>
      </c>
      <c r="N597" s="80"/>
      <c r="O597" s="16">
        <f t="shared" si="245"/>
        <v>-40.24</v>
      </c>
    </row>
    <row r="598" spans="1:15" s="83" customFormat="1">
      <c r="A598" s="12" t="s">
        <v>1037</v>
      </c>
      <c r="B598" s="25" t="s">
        <v>69</v>
      </c>
      <c r="C598" s="26" t="s">
        <v>71</v>
      </c>
      <c r="D598" s="26" t="s">
        <v>25</v>
      </c>
      <c r="E598" s="26" t="s">
        <v>360</v>
      </c>
      <c r="F598" s="26" t="s">
        <v>1062</v>
      </c>
      <c r="G598" s="27">
        <v>1.9</v>
      </c>
      <c r="H598" s="27">
        <v>1.9</v>
      </c>
      <c r="I598" s="27">
        <v>1.9</v>
      </c>
      <c r="J598" s="80"/>
      <c r="K598" s="16">
        <f t="shared" si="243"/>
        <v>-1.9</v>
      </c>
      <c r="L598" s="80"/>
      <c r="M598" s="16">
        <f t="shared" si="244"/>
        <v>-1.9</v>
      </c>
      <c r="N598" s="80"/>
      <c r="O598" s="16">
        <f t="shared" si="245"/>
        <v>-1.9</v>
      </c>
    </row>
    <row r="599" spans="1:15" s="30" customFormat="1" ht="25.5">
      <c r="A599" s="11" t="s">
        <v>126</v>
      </c>
      <c r="B599" s="25" t="s">
        <v>69</v>
      </c>
      <c r="C599" s="26" t="s">
        <v>71</v>
      </c>
      <c r="D599" s="26" t="s">
        <v>25</v>
      </c>
      <c r="E599" s="26" t="s">
        <v>361</v>
      </c>
      <c r="F599" s="26" t="s">
        <v>58</v>
      </c>
      <c r="G599" s="27">
        <f>G600</f>
        <v>21297.58</v>
      </c>
      <c r="H599" s="27">
        <f>H600</f>
        <v>21297.58</v>
      </c>
      <c r="I599" s="27">
        <f>I600</f>
        <v>21297.58</v>
      </c>
      <c r="J599" s="27">
        <f>J600</f>
        <v>21297.58</v>
      </c>
      <c r="K599" s="16">
        <f t="shared" si="243"/>
        <v>0</v>
      </c>
      <c r="L599" s="27">
        <f>L600</f>
        <v>21297.58</v>
      </c>
      <c r="M599" s="16">
        <f t="shared" si="244"/>
        <v>0</v>
      </c>
      <c r="N599" s="27">
        <f>N600</f>
        <v>21297.58</v>
      </c>
      <c r="O599" s="16">
        <f t="shared" si="245"/>
        <v>0</v>
      </c>
    </row>
    <row r="600" spans="1:15" s="30" customFormat="1" ht="25.5">
      <c r="A600" s="11" t="s">
        <v>362</v>
      </c>
      <c r="B600" s="25" t="s">
        <v>69</v>
      </c>
      <c r="C600" s="26" t="s">
        <v>71</v>
      </c>
      <c r="D600" s="26" t="s">
        <v>25</v>
      </c>
      <c r="E600" s="26" t="s">
        <v>361</v>
      </c>
      <c r="F600" s="26" t="s">
        <v>115</v>
      </c>
      <c r="G600" s="27">
        <f>SUM(G601:G602)</f>
        <v>21297.58</v>
      </c>
      <c r="H600" s="27">
        <f t="shared" ref="H600:I600" si="262">SUM(H601:H602)</f>
        <v>21297.58</v>
      </c>
      <c r="I600" s="27">
        <f t="shared" si="262"/>
        <v>21297.58</v>
      </c>
      <c r="J600" s="27">
        <f>21297.58</f>
        <v>21297.58</v>
      </c>
      <c r="K600" s="16">
        <f t="shared" si="243"/>
        <v>0</v>
      </c>
      <c r="L600" s="27">
        <f>21297.58</f>
        <v>21297.58</v>
      </c>
      <c r="M600" s="16">
        <f t="shared" si="244"/>
        <v>0</v>
      </c>
      <c r="N600" s="27">
        <f>21297.58</f>
        <v>21297.58</v>
      </c>
      <c r="O600" s="16">
        <f t="shared" si="245"/>
        <v>0</v>
      </c>
    </row>
    <row r="601" spans="1:15" s="83" customFormat="1">
      <c r="A601" s="12" t="s">
        <v>936</v>
      </c>
      <c r="B601" s="25" t="s">
        <v>69</v>
      </c>
      <c r="C601" s="26" t="s">
        <v>71</v>
      </c>
      <c r="D601" s="26" t="s">
        <v>25</v>
      </c>
      <c r="E601" s="26" t="s">
        <v>361</v>
      </c>
      <c r="F601" s="26" t="s">
        <v>1063</v>
      </c>
      <c r="G601" s="27">
        <v>16357.59</v>
      </c>
      <c r="H601" s="27">
        <f>G601</f>
        <v>16357.59</v>
      </c>
      <c r="I601" s="27">
        <f>H601</f>
        <v>16357.59</v>
      </c>
      <c r="J601" s="80"/>
      <c r="K601" s="16">
        <f t="shared" si="243"/>
        <v>-16357.59</v>
      </c>
      <c r="L601" s="80"/>
      <c r="M601" s="16">
        <f t="shared" si="244"/>
        <v>-16357.59</v>
      </c>
      <c r="N601" s="80"/>
      <c r="O601" s="16">
        <f t="shared" si="245"/>
        <v>-16357.59</v>
      </c>
    </row>
    <row r="602" spans="1:15" s="83" customFormat="1" ht="38.25">
      <c r="A602" s="12" t="s">
        <v>939</v>
      </c>
      <c r="B602" s="25" t="s">
        <v>69</v>
      </c>
      <c r="C602" s="26" t="s">
        <v>71</v>
      </c>
      <c r="D602" s="26" t="s">
        <v>25</v>
      </c>
      <c r="E602" s="26" t="s">
        <v>361</v>
      </c>
      <c r="F602" s="26" t="s">
        <v>1060</v>
      </c>
      <c r="G602" s="27">
        <v>4939.99</v>
      </c>
      <c r="H602" s="27">
        <v>4939.99</v>
      </c>
      <c r="I602" s="27">
        <v>4939.99</v>
      </c>
      <c r="J602" s="80"/>
      <c r="K602" s="16">
        <f t="shared" si="243"/>
        <v>-4939.99</v>
      </c>
      <c r="L602" s="80"/>
      <c r="M602" s="16">
        <f t="shared" si="244"/>
        <v>-4939.99</v>
      </c>
      <c r="N602" s="80"/>
      <c r="O602" s="16">
        <f t="shared" si="245"/>
        <v>-4939.99</v>
      </c>
    </row>
    <row r="603" spans="1:15" s="30" customFormat="1" ht="51">
      <c r="A603" s="11" t="s">
        <v>598</v>
      </c>
      <c r="B603" s="25" t="s">
        <v>69</v>
      </c>
      <c r="C603" s="26" t="s">
        <v>71</v>
      </c>
      <c r="D603" s="26" t="s">
        <v>25</v>
      </c>
      <c r="E603" s="26" t="s">
        <v>363</v>
      </c>
      <c r="F603" s="26" t="s">
        <v>58</v>
      </c>
      <c r="G603" s="27">
        <f>G604</f>
        <v>1971.42</v>
      </c>
      <c r="H603" s="27">
        <f>H604</f>
        <v>1971.42</v>
      </c>
      <c r="I603" s="27">
        <f>I604</f>
        <v>1971.42</v>
      </c>
      <c r="J603" s="27">
        <f>J604</f>
        <v>1971.42</v>
      </c>
      <c r="K603" s="16">
        <f t="shared" si="243"/>
        <v>0</v>
      </c>
      <c r="L603" s="27">
        <f>L604</f>
        <v>1971.42</v>
      </c>
      <c r="M603" s="16">
        <f t="shared" si="244"/>
        <v>0</v>
      </c>
      <c r="N603" s="27">
        <f>N604</f>
        <v>1971.42</v>
      </c>
      <c r="O603" s="16">
        <f t="shared" si="245"/>
        <v>0</v>
      </c>
    </row>
    <row r="604" spans="1:15" s="30" customFormat="1" ht="25.5">
      <c r="A604" s="11" t="s">
        <v>362</v>
      </c>
      <c r="B604" s="25" t="s">
        <v>69</v>
      </c>
      <c r="C604" s="26" t="s">
        <v>71</v>
      </c>
      <c r="D604" s="26" t="s">
        <v>25</v>
      </c>
      <c r="E604" s="26" t="s">
        <v>363</v>
      </c>
      <c r="F604" s="26" t="s">
        <v>115</v>
      </c>
      <c r="G604" s="27">
        <f>SUM(G605:G607)</f>
        <v>1971.42</v>
      </c>
      <c r="H604" s="27">
        <f t="shared" ref="H604:I604" si="263">SUM(H605:H607)</f>
        <v>1971.42</v>
      </c>
      <c r="I604" s="27">
        <f t="shared" si="263"/>
        <v>1971.42</v>
      </c>
      <c r="J604" s="27">
        <f>1971.42</f>
        <v>1971.42</v>
      </c>
      <c r="K604" s="16">
        <f t="shared" si="243"/>
        <v>0</v>
      </c>
      <c r="L604" s="27">
        <f t="shared" ref="L604:N604" si="264">1971.42</f>
        <v>1971.42</v>
      </c>
      <c r="M604" s="16">
        <f t="shared" si="244"/>
        <v>0</v>
      </c>
      <c r="N604" s="27">
        <f t="shared" si="264"/>
        <v>1971.42</v>
      </c>
      <c r="O604" s="16">
        <f t="shared" si="245"/>
        <v>0</v>
      </c>
    </row>
    <row r="605" spans="1:15" s="83" customFormat="1">
      <c r="A605" s="12" t="s">
        <v>936</v>
      </c>
      <c r="B605" s="25" t="s">
        <v>69</v>
      </c>
      <c r="C605" s="26" t="s">
        <v>71</v>
      </c>
      <c r="D605" s="26" t="s">
        <v>25</v>
      </c>
      <c r="E605" s="26" t="s">
        <v>363</v>
      </c>
      <c r="F605" s="26" t="s">
        <v>1063</v>
      </c>
      <c r="G605" s="27">
        <v>1449.86</v>
      </c>
      <c r="H605" s="27">
        <v>1449.86</v>
      </c>
      <c r="I605" s="27">
        <v>1449.86</v>
      </c>
      <c r="J605" s="80"/>
      <c r="K605" s="16">
        <f t="shared" si="243"/>
        <v>-1449.86</v>
      </c>
      <c r="L605" s="80"/>
      <c r="M605" s="16">
        <f t="shared" si="244"/>
        <v>-1449.86</v>
      </c>
      <c r="N605" s="80"/>
      <c r="O605" s="16">
        <f t="shared" si="245"/>
        <v>-1449.86</v>
      </c>
    </row>
    <row r="606" spans="1:15" s="83" customFormat="1" ht="25.5">
      <c r="A606" s="12" t="s">
        <v>937</v>
      </c>
      <c r="B606" s="25" t="s">
        <v>69</v>
      </c>
      <c r="C606" s="26" t="s">
        <v>71</v>
      </c>
      <c r="D606" s="26" t="s">
        <v>25</v>
      </c>
      <c r="E606" s="26" t="s">
        <v>363</v>
      </c>
      <c r="F606" s="26" t="s">
        <v>1059</v>
      </c>
      <c r="G606" s="27">
        <v>64.430000000000007</v>
      </c>
      <c r="H606" s="27">
        <v>64.430000000000007</v>
      </c>
      <c r="I606" s="27">
        <v>64.430000000000007</v>
      </c>
      <c r="J606" s="80"/>
      <c r="K606" s="16"/>
      <c r="L606" s="80"/>
      <c r="M606" s="16"/>
      <c r="N606" s="80"/>
      <c r="O606" s="16"/>
    </row>
    <row r="607" spans="1:15" s="83" customFormat="1" ht="38.25">
      <c r="A607" s="12" t="s">
        <v>939</v>
      </c>
      <c r="B607" s="25" t="s">
        <v>69</v>
      </c>
      <c r="C607" s="26" t="s">
        <v>71</v>
      </c>
      <c r="D607" s="26" t="s">
        <v>25</v>
      </c>
      <c r="E607" s="26" t="s">
        <v>363</v>
      </c>
      <c r="F607" s="26" t="s">
        <v>1060</v>
      </c>
      <c r="G607" s="27">
        <v>457.13</v>
      </c>
      <c r="H607" s="27">
        <v>457.13</v>
      </c>
      <c r="I607" s="27">
        <v>457.13</v>
      </c>
      <c r="J607" s="80"/>
      <c r="K607" s="16">
        <f t="shared" si="243"/>
        <v>-457.13</v>
      </c>
      <c r="L607" s="80"/>
      <c r="M607" s="16">
        <f t="shared" si="244"/>
        <v>-457.13</v>
      </c>
      <c r="N607" s="80"/>
      <c r="O607" s="16">
        <f t="shared" si="245"/>
        <v>-457.13</v>
      </c>
    </row>
    <row r="608" spans="1:15" s="30" customFormat="1">
      <c r="A608" s="17" t="s">
        <v>49</v>
      </c>
      <c r="B608" s="18" t="s">
        <v>69</v>
      </c>
      <c r="C608" s="19" t="s">
        <v>14</v>
      </c>
      <c r="D608" s="19" t="s">
        <v>51</v>
      </c>
      <c r="E608" s="19" t="s">
        <v>196</v>
      </c>
      <c r="F608" s="19" t="s">
        <v>58</v>
      </c>
      <c r="G608" s="20">
        <f t="shared" ref="G608:N610" si="265">G609</f>
        <v>114471.41</v>
      </c>
      <c r="H608" s="20">
        <f t="shared" si="265"/>
        <v>114471.41</v>
      </c>
      <c r="I608" s="20">
        <f t="shared" si="265"/>
        <v>114471.41</v>
      </c>
      <c r="J608" s="20">
        <f t="shared" si="265"/>
        <v>114471.41</v>
      </c>
      <c r="K608" s="16">
        <f t="shared" si="243"/>
        <v>0</v>
      </c>
      <c r="L608" s="20">
        <f t="shared" si="265"/>
        <v>114471.41</v>
      </c>
      <c r="M608" s="16">
        <f t="shared" si="244"/>
        <v>0</v>
      </c>
      <c r="N608" s="20">
        <f t="shared" si="265"/>
        <v>114471.41</v>
      </c>
      <c r="O608" s="16">
        <f t="shared" si="245"/>
        <v>0</v>
      </c>
    </row>
    <row r="609" spans="1:15" s="30" customFormat="1">
      <c r="A609" s="21" t="s">
        <v>22</v>
      </c>
      <c r="B609" s="22" t="s">
        <v>69</v>
      </c>
      <c r="C609" s="23" t="s">
        <v>14</v>
      </c>
      <c r="D609" s="23" t="s">
        <v>37</v>
      </c>
      <c r="E609" s="23" t="s">
        <v>196</v>
      </c>
      <c r="F609" s="23" t="s">
        <v>58</v>
      </c>
      <c r="G609" s="24">
        <f t="shared" si="265"/>
        <v>114471.41</v>
      </c>
      <c r="H609" s="24">
        <f t="shared" si="265"/>
        <v>114471.41</v>
      </c>
      <c r="I609" s="24">
        <f t="shared" si="265"/>
        <v>114471.41</v>
      </c>
      <c r="J609" s="24">
        <f t="shared" si="265"/>
        <v>114471.41</v>
      </c>
      <c r="K609" s="16">
        <f t="shared" si="243"/>
        <v>0</v>
      </c>
      <c r="L609" s="24">
        <f t="shared" si="265"/>
        <v>114471.41</v>
      </c>
      <c r="M609" s="16">
        <f t="shared" si="244"/>
        <v>0</v>
      </c>
      <c r="N609" s="24">
        <f t="shared" si="265"/>
        <v>114471.41</v>
      </c>
      <c r="O609" s="16">
        <f t="shared" si="245"/>
        <v>0</v>
      </c>
    </row>
    <row r="610" spans="1:15" s="30" customFormat="1" ht="25.5">
      <c r="A610" s="13" t="s">
        <v>723</v>
      </c>
      <c r="B610" s="25" t="s">
        <v>69</v>
      </c>
      <c r="C610" s="26" t="s">
        <v>14</v>
      </c>
      <c r="D610" s="26" t="s">
        <v>37</v>
      </c>
      <c r="E610" s="26" t="s">
        <v>331</v>
      </c>
      <c r="F610" s="26" t="s">
        <v>58</v>
      </c>
      <c r="G610" s="27">
        <f t="shared" si="265"/>
        <v>114471.41</v>
      </c>
      <c r="H610" s="27">
        <f t="shared" si="265"/>
        <v>114471.41</v>
      </c>
      <c r="I610" s="27">
        <f t="shared" si="265"/>
        <v>114471.41</v>
      </c>
      <c r="J610" s="27">
        <f t="shared" si="265"/>
        <v>114471.41</v>
      </c>
      <c r="K610" s="16">
        <f t="shared" si="243"/>
        <v>0</v>
      </c>
      <c r="L610" s="27">
        <f t="shared" si="265"/>
        <v>114471.41</v>
      </c>
      <c r="M610" s="16">
        <f t="shared" si="244"/>
        <v>0</v>
      </c>
      <c r="N610" s="27">
        <f t="shared" si="265"/>
        <v>114471.41</v>
      </c>
      <c r="O610" s="16">
        <f t="shared" si="245"/>
        <v>0</v>
      </c>
    </row>
    <row r="611" spans="1:15" s="30" customFormat="1" ht="25.5">
      <c r="A611" s="13" t="s">
        <v>860</v>
      </c>
      <c r="B611" s="25" t="s">
        <v>69</v>
      </c>
      <c r="C611" s="26" t="s">
        <v>14</v>
      </c>
      <c r="D611" s="26" t="s">
        <v>37</v>
      </c>
      <c r="E611" s="26" t="s">
        <v>332</v>
      </c>
      <c r="F611" s="26" t="s">
        <v>58</v>
      </c>
      <c r="G611" s="27">
        <f>G612+G618</f>
        <v>114471.41</v>
      </c>
      <c r="H611" s="27">
        <f>H612+H618</f>
        <v>114471.41</v>
      </c>
      <c r="I611" s="27">
        <f>I612+I618</f>
        <v>114471.41</v>
      </c>
      <c r="J611" s="27">
        <f>J612+J618</f>
        <v>114471.41</v>
      </c>
      <c r="K611" s="16">
        <f t="shared" si="243"/>
        <v>0</v>
      </c>
      <c r="L611" s="27">
        <f>L612+L618</f>
        <v>114471.41</v>
      </c>
      <c r="M611" s="16">
        <f t="shared" si="244"/>
        <v>0</v>
      </c>
      <c r="N611" s="27">
        <f>N612+N618</f>
        <v>114471.41</v>
      </c>
      <c r="O611" s="16">
        <f t="shared" si="245"/>
        <v>0</v>
      </c>
    </row>
    <row r="612" spans="1:15" s="30" customFormat="1" ht="25.5">
      <c r="A612" s="13" t="s">
        <v>607</v>
      </c>
      <c r="B612" s="25" t="s">
        <v>69</v>
      </c>
      <c r="C612" s="26" t="s">
        <v>14</v>
      </c>
      <c r="D612" s="26" t="s">
        <v>37</v>
      </c>
      <c r="E612" s="26" t="s">
        <v>333</v>
      </c>
      <c r="F612" s="26" t="s">
        <v>58</v>
      </c>
      <c r="G612" s="27">
        <f>G613</f>
        <v>80815.45</v>
      </c>
      <c r="H612" s="27">
        <f>H613</f>
        <v>80815.45</v>
      </c>
      <c r="I612" s="27">
        <f>I613</f>
        <v>80815.45</v>
      </c>
      <c r="J612" s="27">
        <f>J613</f>
        <v>80815.45</v>
      </c>
      <c r="K612" s="16">
        <f t="shared" si="243"/>
        <v>0</v>
      </c>
      <c r="L612" s="27">
        <f>L613</f>
        <v>80815.45</v>
      </c>
      <c r="M612" s="16">
        <f t="shared" si="244"/>
        <v>0</v>
      </c>
      <c r="N612" s="27">
        <f>N613</f>
        <v>80815.45</v>
      </c>
      <c r="O612" s="16">
        <f t="shared" si="245"/>
        <v>0</v>
      </c>
    </row>
    <row r="613" spans="1:15" s="30" customFormat="1" ht="51">
      <c r="A613" s="13" t="s">
        <v>364</v>
      </c>
      <c r="B613" s="25" t="s">
        <v>69</v>
      </c>
      <c r="C613" s="26" t="s">
        <v>14</v>
      </c>
      <c r="D613" s="26" t="s">
        <v>37</v>
      </c>
      <c r="E613" s="26" t="s">
        <v>365</v>
      </c>
      <c r="F613" s="26" t="s">
        <v>58</v>
      </c>
      <c r="G613" s="27">
        <f>G614+G616</f>
        <v>80815.45</v>
      </c>
      <c r="H613" s="27">
        <f t="shared" ref="H613:I613" si="266">H614+H616</f>
        <v>80815.45</v>
      </c>
      <c r="I613" s="27">
        <f t="shared" si="266"/>
        <v>80815.45</v>
      </c>
      <c r="J613" s="27">
        <f>SUM(J614:J616)</f>
        <v>80815.45</v>
      </c>
      <c r="K613" s="16">
        <f t="shared" si="243"/>
        <v>0</v>
      </c>
      <c r="L613" s="27">
        <f>SUM(L614:L616)</f>
        <v>80815.45</v>
      </c>
      <c r="M613" s="16">
        <f t="shared" si="244"/>
        <v>0</v>
      </c>
      <c r="N613" s="27">
        <f>SUM(N614:N616)</f>
        <v>80815.45</v>
      </c>
      <c r="O613" s="16">
        <f t="shared" si="245"/>
        <v>0</v>
      </c>
    </row>
    <row r="614" spans="1:15" s="30" customFormat="1" ht="25.5">
      <c r="A614" s="11" t="s">
        <v>108</v>
      </c>
      <c r="B614" s="25" t="s">
        <v>69</v>
      </c>
      <c r="C614" s="26" t="s">
        <v>14</v>
      </c>
      <c r="D614" s="26" t="s">
        <v>37</v>
      </c>
      <c r="E614" s="26" t="s">
        <v>365</v>
      </c>
      <c r="F614" s="26" t="s">
        <v>116</v>
      </c>
      <c r="G614" s="27">
        <f>G615</f>
        <v>1212.23</v>
      </c>
      <c r="H614" s="27">
        <f t="shared" ref="H614:I614" si="267">H615</f>
        <v>1212.23</v>
      </c>
      <c r="I614" s="27">
        <f t="shared" si="267"/>
        <v>1212.23</v>
      </c>
      <c r="J614" s="27">
        <f>1212.23</f>
        <v>1212.23</v>
      </c>
      <c r="K614" s="16">
        <f t="shared" ref="K614:K669" si="268">J614-G614</f>
        <v>0</v>
      </c>
      <c r="L614" s="27">
        <f t="shared" ref="H614:N615" si="269">1212.23</f>
        <v>1212.23</v>
      </c>
      <c r="M614" s="16">
        <f t="shared" ref="M614:M669" si="270">L614-H614</f>
        <v>0</v>
      </c>
      <c r="N614" s="27">
        <f t="shared" si="269"/>
        <v>1212.23</v>
      </c>
      <c r="O614" s="16">
        <f t="shared" ref="O614:O669" si="271">N614-I614</f>
        <v>0</v>
      </c>
    </row>
    <row r="615" spans="1:15" s="83" customFormat="1" ht="25.5">
      <c r="A615" s="12" t="s">
        <v>973</v>
      </c>
      <c r="B615" s="25" t="s">
        <v>69</v>
      </c>
      <c r="C615" s="26" t="s">
        <v>14</v>
      </c>
      <c r="D615" s="26" t="s">
        <v>37</v>
      </c>
      <c r="E615" s="26" t="s">
        <v>365</v>
      </c>
      <c r="F615" s="26" t="s">
        <v>1043</v>
      </c>
      <c r="G615" s="27">
        <f>1212.23</f>
        <v>1212.23</v>
      </c>
      <c r="H615" s="27">
        <f t="shared" si="269"/>
        <v>1212.23</v>
      </c>
      <c r="I615" s="27">
        <f t="shared" si="269"/>
        <v>1212.23</v>
      </c>
      <c r="J615" s="80"/>
      <c r="K615" s="16">
        <f t="shared" si="268"/>
        <v>-1212.23</v>
      </c>
      <c r="L615" s="80"/>
      <c r="M615" s="16">
        <f t="shared" si="270"/>
        <v>-1212.23</v>
      </c>
      <c r="N615" s="80"/>
      <c r="O615" s="16">
        <f t="shared" si="271"/>
        <v>-1212.23</v>
      </c>
    </row>
    <row r="616" spans="1:15" s="30" customFormat="1">
      <c r="A616" s="13" t="s">
        <v>109</v>
      </c>
      <c r="B616" s="25" t="s">
        <v>69</v>
      </c>
      <c r="C616" s="26" t="s">
        <v>14</v>
      </c>
      <c r="D616" s="26" t="s">
        <v>37</v>
      </c>
      <c r="E616" s="26" t="s">
        <v>365</v>
      </c>
      <c r="F616" s="26" t="s">
        <v>134</v>
      </c>
      <c r="G616" s="27">
        <f>G617</f>
        <v>79603.22</v>
      </c>
      <c r="H616" s="27">
        <f t="shared" ref="H616:I616" si="272">H617</f>
        <v>79603.22</v>
      </c>
      <c r="I616" s="27">
        <f t="shared" si="272"/>
        <v>79603.22</v>
      </c>
      <c r="J616" s="27">
        <f>79603.22</f>
        <v>79603.22</v>
      </c>
      <c r="K616" s="16">
        <f t="shared" si="268"/>
        <v>0</v>
      </c>
      <c r="L616" s="27">
        <f t="shared" ref="H616:N617" si="273">79603.22</f>
        <v>79603.22</v>
      </c>
      <c r="M616" s="16">
        <f t="shared" si="270"/>
        <v>0</v>
      </c>
      <c r="N616" s="27">
        <f t="shared" si="273"/>
        <v>79603.22</v>
      </c>
      <c r="O616" s="16">
        <f t="shared" si="271"/>
        <v>0</v>
      </c>
    </row>
    <row r="617" spans="1:15" s="83" customFormat="1" ht="25.5">
      <c r="A617" s="12" t="s">
        <v>978</v>
      </c>
      <c r="B617" s="25" t="s">
        <v>69</v>
      </c>
      <c r="C617" s="26" t="s">
        <v>14</v>
      </c>
      <c r="D617" s="26" t="s">
        <v>37</v>
      </c>
      <c r="E617" s="26" t="s">
        <v>365</v>
      </c>
      <c r="F617" s="26" t="s">
        <v>1064</v>
      </c>
      <c r="G617" s="27">
        <f>79603.22</f>
        <v>79603.22</v>
      </c>
      <c r="H617" s="27">
        <f t="shared" si="273"/>
        <v>79603.22</v>
      </c>
      <c r="I617" s="27">
        <f t="shared" si="273"/>
        <v>79603.22</v>
      </c>
      <c r="J617" s="80"/>
      <c r="K617" s="16">
        <f t="shared" si="268"/>
        <v>-79603.22</v>
      </c>
      <c r="L617" s="80"/>
      <c r="M617" s="16">
        <f t="shared" si="270"/>
        <v>-79603.22</v>
      </c>
      <c r="N617" s="80"/>
      <c r="O617" s="16">
        <f t="shared" si="271"/>
        <v>-79603.22</v>
      </c>
    </row>
    <row r="618" spans="1:15" s="30" customFormat="1" ht="25.5">
      <c r="A618" s="13" t="s">
        <v>584</v>
      </c>
      <c r="B618" s="25" t="s">
        <v>69</v>
      </c>
      <c r="C618" s="26" t="s">
        <v>14</v>
      </c>
      <c r="D618" s="26" t="s">
        <v>37</v>
      </c>
      <c r="E618" s="26" t="s">
        <v>366</v>
      </c>
      <c r="F618" s="26" t="s">
        <v>58</v>
      </c>
      <c r="G618" s="27">
        <f>G619+G622+G625+G628</f>
        <v>33655.960000000006</v>
      </c>
      <c r="H618" s="27">
        <f>H619+H622+H625+H628</f>
        <v>33655.960000000006</v>
      </c>
      <c r="I618" s="27">
        <f>I619+I622+I625+I628</f>
        <v>33655.960000000006</v>
      </c>
      <c r="J618" s="27">
        <f>J619+J622+J625+J628</f>
        <v>33655.960000000006</v>
      </c>
      <c r="K618" s="16">
        <f t="shared" si="268"/>
        <v>0</v>
      </c>
      <c r="L618" s="27">
        <f>L619+L622+L625+L628</f>
        <v>33655.960000000006</v>
      </c>
      <c r="M618" s="16">
        <f t="shared" si="270"/>
        <v>0</v>
      </c>
      <c r="N618" s="27">
        <f>N619+N622+N625+N628</f>
        <v>33655.960000000006</v>
      </c>
      <c r="O618" s="16">
        <f t="shared" si="271"/>
        <v>0</v>
      </c>
    </row>
    <row r="619" spans="1:15" s="30" customFormat="1" ht="25.5">
      <c r="A619" s="13" t="s">
        <v>367</v>
      </c>
      <c r="B619" s="25" t="s">
        <v>69</v>
      </c>
      <c r="C619" s="26" t="s">
        <v>14</v>
      </c>
      <c r="D619" s="26" t="s">
        <v>37</v>
      </c>
      <c r="E619" s="26" t="s">
        <v>788</v>
      </c>
      <c r="F619" s="26" t="s">
        <v>58</v>
      </c>
      <c r="G619" s="27">
        <f>G620</f>
        <v>19526.72</v>
      </c>
      <c r="H619" s="27">
        <f>H620</f>
        <v>19526.72</v>
      </c>
      <c r="I619" s="27">
        <f>I620</f>
        <v>19526.72</v>
      </c>
      <c r="J619" s="27">
        <f>J620</f>
        <v>19526.72</v>
      </c>
      <c r="K619" s="16">
        <f t="shared" si="268"/>
        <v>0</v>
      </c>
      <c r="L619" s="27">
        <f>L620</f>
        <v>19526.72</v>
      </c>
      <c r="M619" s="16">
        <f t="shared" si="270"/>
        <v>0</v>
      </c>
      <c r="N619" s="27">
        <f>N620</f>
        <v>19526.72</v>
      </c>
      <c r="O619" s="16">
        <f t="shared" si="271"/>
        <v>0</v>
      </c>
    </row>
    <row r="620" spans="1:15" s="30" customFormat="1" ht="25.5">
      <c r="A620" s="13" t="s">
        <v>110</v>
      </c>
      <c r="B620" s="25" t="s">
        <v>69</v>
      </c>
      <c r="C620" s="26" t="s">
        <v>14</v>
      </c>
      <c r="D620" s="26" t="s">
        <v>37</v>
      </c>
      <c r="E620" s="26" t="s">
        <v>788</v>
      </c>
      <c r="F620" s="26" t="s">
        <v>117</v>
      </c>
      <c r="G620" s="27">
        <f>G621</f>
        <v>19526.72</v>
      </c>
      <c r="H620" s="27">
        <f t="shared" ref="H620:I620" si="274">H621</f>
        <v>19526.72</v>
      </c>
      <c r="I620" s="27">
        <f t="shared" si="274"/>
        <v>19526.72</v>
      </c>
      <c r="J620" s="27">
        <f>19526.72</f>
        <v>19526.72</v>
      </c>
      <c r="K620" s="16">
        <f t="shared" si="268"/>
        <v>0</v>
      </c>
      <c r="L620" s="27">
        <f t="shared" ref="H620:N621" si="275">19526.72</f>
        <v>19526.72</v>
      </c>
      <c r="M620" s="16">
        <f t="shared" si="270"/>
        <v>0</v>
      </c>
      <c r="N620" s="27">
        <f t="shared" si="275"/>
        <v>19526.72</v>
      </c>
      <c r="O620" s="16">
        <f t="shared" si="271"/>
        <v>0</v>
      </c>
    </row>
    <row r="621" spans="1:15" s="83" customFormat="1" ht="25.5">
      <c r="A621" s="12" t="s">
        <v>981</v>
      </c>
      <c r="B621" s="25" t="s">
        <v>69</v>
      </c>
      <c r="C621" s="26" t="s">
        <v>14</v>
      </c>
      <c r="D621" s="26" t="s">
        <v>37</v>
      </c>
      <c r="E621" s="26" t="s">
        <v>788</v>
      </c>
      <c r="F621" s="26" t="s">
        <v>1065</v>
      </c>
      <c r="G621" s="27">
        <f>19526.72</f>
        <v>19526.72</v>
      </c>
      <c r="H621" s="27">
        <f t="shared" si="275"/>
        <v>19526.72</v>
      </c>
      <c r="I621" s="27">
        <f t="shared" si="275"/>
        <v>19526.72</v>
      </c>
      <c r="J621" s="80"/>
      <c r="K621" s="16">
        <f t="shared" si="268"/>
        <v>-19526.72</v>
      </c>
      <c r="L621" s="80"/>
      <c r="M621" s="16">
        <f t="shared" si="270"/>
        <v>-19526.72</v>
      </c>
      <c r="N621" s="80"/>
      <c r="O621" s="16">
        <f t="shared" si="271"/>
        <v>-19526.72</v>
      </c>
    </row>
    <row r="622" spans="1:15" s="30" customFormat="1" ht="51">
      <c r="A622" s="11" t="s">
        <v>594</v>
      </c>
      <c r="B622" s="25" t="s">
        <v>69</v>
      </c>
      <c r="C622" s="26" t="s">
        <v>14</v>
      </c>
      <c r="D622" s="26" t="s">
        <v>37</v>
      </c>
      <c r="E622" s="26" t="s">
        <v>789</v>
      </c>
      <c r="F622" s="26" t="s">
        <v>58</v>
      </c>
      <c r="G622" s="27">
        <f>G623</f>
        <v>1543.31</v>
      </c>
      <c r="H622" s="27">
        <f>H623</f>
        <v>1543.31</v>
      </c>
      <c r="I622" s="27">
        <f>I623</f>
        <v>1543.31</v>
      </c>
      <c r="J622" s="27">
        <f>J623</f>
        <v>1543.31</v>
      </c>
      <c r="K622" s="16">
        <f t="shared" si="268"/>
        <v>0</v>
      </c>
      <c r="L622" s="27">
        <f>L623</f>
        <v>1543.31</v>
      </c>
      <c r="M622" s="16">
        <f t="shared" si="270"/>
        <v>0</v>
      </c>
      <c r="N622" s="27">
        <f>N623</f>
        <v>1543.31</v>
      </c>
      <c r="O622" s="16">
        <f t="shared" si="271"/>
        <v>0</v>
      </c>
    </row>
    <row r="623" spans="1:15" s="30" customFormat="1" ht="25.5">
      <c r="A623" s="13" t="s">
        <v>110</v>
      </c>
      <c r="B623" s="25" t="s">
        <v>69</v>
      </c>
      <c r="C623" s="26" t="s">
        <v>14</v>
      </c>
      <c r="D623" s="26" t="s">
        <v>37</v>
      </c>
      <c r="E623" s="26" t="s">
        <v>789</v>
      </c>
      <c r="F623" s="26" t="s">
        <v>117</v>
      </c>
      <c r="G623" s="27">
        <f>G624</f>
        <v>1543.31</v>
      </c>
      <c r="H623" s="27">
        <f t="shared" ref="H623:I623" si="276">H624</f>
        <v>1543.31</v>
      </c>
      <c r="I623" s="27">
        <f t="shared" si="276"/>
        <v>1543.31</v>
      </c>
      <c r="J623" s="27">
        <f>1543.31</f>
        <v>1543.31</v>
      </c>
      <c r="K623" s="16">
        <f t="shared" si="268"/>
        <v>0</v>
      </c>
      <c r="L623" s="27">
        <f t="shared" ref="H623:N624" si="277">1543.31</f>
        <v>1543.31</v>
      </c>
      <c r="M623" s="16">
        <f t="shared" si="270"/>
        <v>0</v>
      </c>
      <c r="N623" s="27">
        <f t="shared" si="277"/>
        <v>1543.31</v>
      </c>
      <c r="O623" s="16">
        <f t="shared" si="271"/>
        <v>0</v>
      </c>
    </row>
    <row r="624" spans="1:15" s="83" customFormat="1" ht="25.5">
      <c r="A624" s="12" t="s">
        <v>981</v>
      </c>
      <c r="B624" s="25" t="s">
        <v>69</v>
      </c>
      <c r="C624" s="26" t="s">
        <v>14</v>
      </c>
      <c r="D624" s="26" t="s">
        <v>37</v>
      </c>
      <c r="E624" s="26" t="s">
        <v>789</v>
      </c>
      <c r="F624" s="26" t="s">
        <v>1065</v>
      </c>
      <c r="G624" s="27">
        <f>1543.31</f>
        <v>1543.31</v>
      </c>
      <c r="H624" s="27">
        <f t="shared" si="277"/>
        <v>1543.31</v>
      </c>
      <c r="I624" s="27">
        <f t="shared" si="277"/>
        <v>1543.31</v>
      </c>
      <c r="J624" s="80"/>
      <c r="K624" s="16">
        <f t="shared" si="268"/>
        <v>-1543.31</v>
      </c>
      <c r="L624" s="80"/>
      <c r="M624" s="16">
        <f t="shared" si="270"/>
        <v>-1543.31</v>
      </c>
      <c r="N624" s="80"/>
      <c r="O624" s="16">
        <f t="shared" si="271"/>
        <v>-1543.31</v>
      </c>
    </row>
    <row r="625" spans="1:15" s="30" customFormat="1" ht="38.25">
      <c r="A625" s="11" t="s">
        <v>368</v>
      </c>
      <c r="B625" s="25" t="s">
        <v>69</v>
      </c>
      <c r="C625" s="26" t="s">
        <v>14</v>
      </c>
      <c r="D625" s="26" t="s">
        <v>37</v>
      </c>
      <c r="E625" s="26" t="s">
        <v>790</v>
      </c>
      <c r="F625" s="26" t="s">
        <v>58</v>
      </c>
      <c r="G625" s="27">
        <f>G626</f>
        <v>8310.93</v>
      </c>
      <c r="H625" s="27">
        <f>H626</f>
        <v>8310.93</v>
      </c>
      <c r="I625" s="27">
        <f>I626</f>
        <v>8310.93</v>
      </c>
      <c r="J625" s="27">
        <f>J626</f>
        <v>8310.93</v>
      </c>
      <c r="K625" s="16">
        <f t="shared" si="268"/>
        <v>0</v>
      </c>
      <c r="L625" s="27">
        <f>L626</f>
        <v>8310.93</v>
      </c>
      <c r="M625" s="16">
        <f t="shared" si="270"/>
        <v>0</v>
      </c>
      <c r="N625" s="27">
        <f>N626</f>
        <v>8310.93</v>
      </c>
      <c r="O625" s="16">
        <f t="shared" si="271"/>
        <v>0</v>
      </c>
    </row>
    <row r="626" spans="1:15" s="30" customFormat="1" ht="25.5">
      <c r="A626" s="13" t="s">
        <v>110</v>
      </c>
      <c r="B626" s="25" t="s">
        <v>69</v>
      </c>
      <c r="C626" s="26" t="s">
        <v>14</v>
      </c>
      <c r="D626" s="26" t="s">
        <v>37</v>
      </c>
      <c r="E626" s="26" t="s">
        <v>790</v>
      </c>
      <c r="F626" s="26" t="s">
        <v>117</v>
      </c>
      <c r="G626" s="27">
        <f>G627</f>
        <v>8310.93</v>
      </c>
      <c r="H626" s="27">
        <f t="shared" ref="H626:I626" si="278">H627</f>
        <v>8310.93</v>
      </c>
      <c r="I626" s="27">
        <f t="shared" si="278"/>
        <v>8310.93</v>
      </c>
      <c r="J626" s="27">
        <f>8310.93</f>
        <v>8310.93</v>
      </c>
      <c r="K626" s="16">
        <f t="shared" si="268"/>
        <v>0</v>
      </c>
      <c r="L626" s="27">
        <f>8310.93</f>
        <v>8310.93</v>
      </c>
      <c r="M626" s="16">
        <f t="shared" si="270"/>
        <v>0</v>
      </c>
      <c r="N626" s="27">
        <f>8310.93</f>
        <v>8310.93</v>
      </c>
      <c r="O626" s="16">
        <f t="shared" si="271"/>
        <v>0</v>
      </c>
    </row>
    <row r="627" spans="1:15" s="83" customFormat="1" ht="25.5">
      <c r="A627" s="12" t="s">
        <v>981</v>
      </c>
      <c r="B627" s="25" t="s">
        <v>69</v>
      </c>
      <c r="C627" s="26" t="s">
        <v>14</v>
      </c>
      <c r="D627" s="26" t="s">
        <v>37</v>
      </c>
      <c r="E627" s="26" t="s">
        <v>790</v>
      </c>
      <c r="F627" s="26" t="s">
        <v>1065</v>
      </c>
      <c r="G627" s="27">
        <f>8310.93</f>
        <v>8310.93</v>
      </c>
      <c r="H627" s="27">
        <f>8310.93</f>
        <v>8310.93</v>
      </c>
      <c r="I627" s="27">
        <f>8310.93</f>
        <v>8310.93</v>
      </c>
      <c r="J627" s="80"/>
      <c r="K627" s="16">
        <f t="shared" si="268"/>
        <v>-8310.93</v>
      </c>
      <c r="L627" s="80"/>
      <c r="M627" s="16">
        <f t="shared" si="270"/>
        <v>-8310.93</v>
      </c>
      <c r="N627" s="80"/>
      <c r="O627" s="16">
        <f t="shared" si="271"/>
        <v>-8310.93</v>
      </c>
    </row>
    <row r="628" spans="1:15" s="30" customFormat="1">
      <c r="A628" s="11" t="s">
        <v>369</v>
      </c>
      <c r="B628" s="25" t="s">
        <v>69</v>
      </c>
      <c r="C628" s="26" t="s">
        <v>14</v>
      </c>
      <c r="D628" s="26" t="s">
        <v>37</v>
      </c>
      <c r="E628" s="26" t="s">
        <v>791</v>
      </c>
      <c r="F628" s="26" t="s">
        <v>58</v>
      </c>
      <c r="G628" s="27">
        <f>G629</f>
        <v>4275</v>
      </c>
      <c r="H628" s="27">
        <f>H629</f>
        <v>4275</v>
      </c>
      <c r="I628" s="27">
        <f>I629</f>
        <v>4275</v>
      </c>
      <c r="J628" s="27">
        <f>J629</f>
        <v>4275</v>
      </c>
      <c r="K628" s="16">
        <f t="shared" si="268"/>
        <v>0</v>
      </c>
      <c r="L628" s="27">
        <f>L629</f>
        <v>4275</v>
      </c>
      <c r="M628" s="16">
        <f t="shared" si="270"/>
        <v>0</v>
      </c>
      <c r="N628" s="27">
        <f>N629</f>
        <v>4275</v>
      </c>
      <c r="O628" s="16">
        <f t="shared" si="271"/>
        <v>0</v>
      </c>
    </row>
    <row r="629" spans="1:15" s="30" customFormat="1" ht="25.5">
      <c r="A629" s="13" t="s">
        <v>110</v>
      </c>
      <c r="B629" s="25" t="s">
        <v>69</v>
      </c>
      <c r="C629" s="26" t="s">
        <v>14</v>
      </c>
      <c r="D629" s="26" t="s">
        <v>37</v>
      </c>
      <c r="E629" s="26" t="s">
        <v>791</v>
      </c>
      <c r="F629" s="26" t="s">
        <v>117</v>
      </c>
      <c r="G629" s="27">
        <f>G630</f>
        <v>4275</v>
      </c>
      <c r="H629" s="27">
        <f t="shared" ref="H629:I629" si="279">H630</f>
        <v>4275</v>
      </c>
      <c r="I629" s="27">
        <f t="shared" si="279"/>
        <v>4275</v>
      </c>
      <c r="J629" s="27">
        <f>4275</f>
        <v>4275</v>
      </c>
      <c r="K629" s="16">
        <f t="shared" si="268"/>
        <v>0</v>
      </c>
      <c r="L629" s="27">
        <f>4275</f>
        <v>4275</v>
      </c>
      <c r="M629" s="16">
        <f t="shared" si="270"/>
        <v>0</v>
      </c>
      <c r="N629" s="27">
        <f>4275</f>
        <v>4275</v>
      </c>
      <c r="O629" s="16">
        <f t="shared" si="271"/>
        <v>0</v>
      </c>
    </row>
    <row r="630" spans="1:15" s="83" customFormat="1" ht="25.5">
      <c r="A630" s="12" t="s">
        <v>981</v>
      </c>
      <c r="B630" s="25" t="s">
        <v>69</v>
      </c>
      <c r="C630" s="26" t="s">
        <v>14</v>
      </c>
      <c r="D630" s="26" t="s">
        <v>37</v>
      </c>
      <c r="E630" s="26" t="s">
        <v>791</v>
      </c>
      <c r="F630" s="26" t="s">
        <v>1065</v>
      </c>
      <c r="G630" s="27">
        <f>4275</f>
        <v>4275</v>
      </c>
      <c r="H630" s="27">
        <f>4275</f>
        <v>4275</v>
      </c>
      <c r="I630" s="27">
        <f>4275</f>
        <v>4275</v>
      </c>
      <c r="J630" s="80"/>
      <c r="K630" s="16">
        <f t="shared" si="268"/>
        <v>-4275</v>
      </c>
      <c r="L630" s="80"/>
      <c r="M630" s="16">
        <f t="shared" si="270"/>
        <v>-4275</v>
      </c>
      <c r="N630" s="80"/>
      <c r="O630" s="16">
        <f t="shared" si="271"/>
        <v>-4275</v>
      </c>
    </row>
    <row r="631" spans="1:15" s="30" customFormat="1">
      <c r="A631" s="13"/>
      <c r="B631" s="25"/>
      <c r="C631" s="26"/>
      <c r="D631" s="26"/>
      <c r="E631" s="26"/>
      <c r="F631" s="26"/>
      <c r="G631" s="27"/>
      <c r="H631" s="27"/>
      <c r="I631" s="27"/>
      <c r="J631" s="27"/>
      <c r="K631" s="16">
        <f t="shared" si="268"/>
        <v>0</v>
      </c>
      <c r="L631" s="27"/>
      <c r="M631" s="16">
        <f t="shared" si="270"/>
        <v>0</v>
      </c>
      <c r="N631" s="27"/>
      <c r="O631" s="16">
        <f t="shared" si="271"/>
        <v>0</v>
      </c>
    </row>
    <row r="632" spans="1:15" s="3" customFormat="1" ht="25.5">
      <c r="A632" s="28" t="s">
        <v>687</v>
      </c>
      <c r="B632" s="14" t="s">
        <v>26</v>
      </c>
      <c r="C632" s="15" t="s">
        <v>51</v>
      </c>
      <c r="D632" s="15" t="s">
        <v>51</v>
      </c>
      <c r="E632" s="15" t="s">
        <v>196</v>
      </c>
      <c r="F632" s="15" t="s">
        <v>58</v>
      </c>
      <c r="G632" s="29">
        <f>G633+G645+G731</f>
        <v>386298.69999999995</v>
      </c>
      <c r="H632" s="29">
        <f>H633+H645+H731</f>
        <v>292915.80999999994</v>
      </c>
      <c r="I632" s="29">
        <f>I633+I645+I731</f>
        <v>292915.81</v>
      </c>
      <c r="J632" s="29">
        <f>J633+J645+J731</f>
        <v>386298.69999999995</v>
      </c>
      <c r="K632" s="16">
        <f t="shared" si="268"/>
        <v>0</v>
      </c>
      <c r="L632" s="29">
        <f>L633+L645+L731</f>
        <v>292915.80999999994</v>
      </c>
      <c r="M632" s="16">
        <f t="shared" si="270"/>
        <v>0</v>
      </c>
      <c r="N632" s="29">
        <f>N633+N645+N731</f>
        <v>292915.81</v>
      </c>
      <c r="O632" s="16">
        <f t="shared" si="271"/>
        <v>0</v>
      </c>
    </row>
    <row r="633" spans="1:15" s="3" customFormat="1">
      <c r="A633" s="17" t="s">
        <v>64</v>
      </c>
      <c r="B633" s="18" t="s">
        <v>26</v>
      </c>
      <c r="C633" s="19" t="s">
        <v>65</v>
      </c>
      <c r="D633" s="19" t="s">
        <v>51</v>
      </c>
      <c r="E633" s="19" t="s">
        <v>196</v>
      </c>
      <c r="F633" s="19" t="s">
        <v>58</v>
      </c>
      <c r="G633" s="20">
        <f t="shared" ref="G633:N634" si="280">G634</f>
        <v>1386.7</v>
      </c>
      <c r="H633" s="20">
        <f t="shared" si="280"/>
        <v>1386.7</v>
      </c>
      <c r="I633" s="20">
        <f t="shared" si="280"/>
        <v>1386.7</v>
      </c>
      <c r="J633" s="20">
        <f t="shared" si="280"/>
        <v>1386.7</v>
      </c>
      <c r="K633" s="16">
        <f t="shared" si="268"/>
        <v>0</v>
      </c>
      <c r="L633" s="20">
        <f t="shared" si="280"/>
        <v>1386.7</v>
      </c>
      <c r="M633" s="16">
        <f t="shared" si="270"/>
        <v>0</v>
      </c>
      <c r="N633" s="20">
        <f t="shared" si="280"/>
        <v>1386.7</v>
      </c>
      <c r="O633" s="16">
        <f t="shared" si="271"/>
        <v>0</v>
      </c>
    </row>
    <row r="634" spans="1:15" s="3" customFormat="1">
      <c r="A634" s="21" t="s">
        <v>38</v>
      </c>
      <c r="B634" s="22" t="s">
        <v>26</v>
      </c>
      <c r="C634" s="23" t="s">
        <v>65</v>
      </c>
      <c r="D634" s="23" t="s">
        <v>84</v>
      </c>
      <c r="E634" s="23" t="s">
        <v>196</v>
      </c>
      <c r="F634" s="23" t="s">
        <v>58</v>
      </c>
      <c r="G634" s="24">
        <f t="shared" si="280"/>
        <v>1386.7</v>
      </c>
      <c r="H634" s="24">
        <f t="shared" si="280"/>
        <v>1386.7</v>
      </c>
      <c r="I634" s="24">
        <f t="shared" si="280"/>
        <v>1386.7</v>
      </c>
      <c r="J634" s="24">
        <f t="shared" si="280"/>
        <v>1386.7</v>
      </c>
      <c r="K634" s="16">
        <f t="shared" si="268"/>
        <v>0</v>
      </c>
      <c r="L634" s="24">
        <f t="shared" si="280"/>
        <v>1386.7</v>
      </c>
      <c r="M634" s="16">
        <f t="shared" si="270"/>
        <v>0</v>
      </c>
      <c r="N634" s="24">
        <f t="shared" si="280"/>
        <v>1386.7</v>
      </c>
      <c r="O634" s="16">
        <f t="shared" si="271"/>
        <v>0</v>
      </c>
    </row>
    <row r="635" spans="1:15" s="3" customFormat="1" ht="38.25">
      <c r="A635" s="11" t="s">
        <v>683</v>
      </c>
      <c r="B635" s="25" t="s">
        <v>26</v>
      </c>
      <c r="C635" s="26" t="s">
        <v>65</v>
      </c>
      <c r="D635" s="26" t="s">
        <v>84</v>
      </c>
      <c r="E635" s="26" t="s">
        <v>680</v>
      </c>
      <c r="F635" s="26" t="s">
        <v>58</v>
      </c>
      <c r="G635" s="27">
        <f t="shared" ref="G635:N636" si="281">G636</f>
        <v>1386.7</v>
      </c>
      <c r="H635" s="27">
        <f t="shared" si="281"/>
        <v>1386.7</v>
      </c>
      <c r="I635" s="27">
        <f t="shared" si="281"/>
        <v>1386.7</v>
      </c>
      <c r="J635" s="27">
        <f t="shared" si="281"/>
        <v>1386.7</v>
      </c>
      <c r="K635" s="16">
        <f t="shared" si="268"/>
        <v>0</v>
      </c>
      <c r="L635" s="27">
        <f t="shared" si="281"/>
        <v>1386.7</v>
      </c>
      <c r="M635" s="16">
        <f t="shared" si="270"/>
        <v>0</v>
      </c>
      <c r="N635" s="27">
        <f t="shared" si="281"/>
        <v>1386.7</v>
      </c>
      <c r="O635" s="16">
        <f t="shared" si="271"/>
        <v>0</v>
      </c>
    </row>
    <row r="636" spans="1:15" s="3" customFormat="1">
      <c r="A636" s="11" t="s">
        <v>684</v>
      </c>
      <c r="B636" s="25" t="s">
        <v>26</v>
      </c>
      <c r="C636" s="26" t="s">
        <v>65</v>
      </c>
      <c r="D636" s="26" t="s">
        <v>84</v>
      </c>
      <c r="E636" s="26" t="s">
        <v>681</v>
      </c>
      <c r="F636" s="26" t="s">
        <v>58</v>
      </c>
      <c r="G636" s="27">
        <f t="shared" si="281"/>
        <v>1386.7</v>
      </c>
      <c r="H636" s="27">
        <f t="shared" si="281"/>
        <v>1386.7</v>
      </c>
      <c r="I636" s="27">
        <f t="shared" si="281"/>
        <v>1386.7</v>
      </c>
      <c r="J636" s="27">
        <f t="shared" si="281"/>
        <v>1386.7</v>
      </c>
      <c r="K636" s="16">
        <f t="shared" si="268"/>
        <v>0</v>
      </c>
      <c r="L636" s="27">
        <f t="shared" si="281"/>
        <v>1386.7</v>
      </c>
      <c r="M636" s="16">
        <f t="shared" si="270"/>
        <v>0</v>
      </c>
      <c r="N636" s="27">
        <f t="shared" si="281"/>
        <v>1386.7</v>
      </c>
      <c r="O636" s="16">
        <f t="shared" si="271"/>
        <v>0</v>
      </c>
    </row>
    <row r="637" spans="1:15" s="3" customFormat="1" ht="25.5">
      <c r="A637" s="11" t="s">
        <v>123</v>
      </c>
      <c r="B637" s="25" t="s">
        <v>26</v>
      </c>
      <c r="C637" s="26" t="s">
        <v>65</v>
      </c>
      <c r="D637" s="26" t="s">
        <v>84</v>
      </c>
      <c r="E637" s="26" t="s">
        <v>688</v>
      </c>
      <c r="F637" s="26" t="s">
        <v>58</v>
      </c>
      <c r="G637" s="27">
        <f>G638+G640+G641+G643</f>
        <v>1386.7</v>
      </c>
      <c r="H637" s="27">
        <f t="shared" ref="H637:I637" si="282">H638+H640+H641+H643</f>
        <v>1386.7</v>
      </c>
      <c r="I637" s="27">
        <f t="shared" si="282"/>
        <v>1386.7</v>
      </c>
      <c r="J637" s="27">
        <f>SUM(J638:J643)</f>
        <v>1386.7</v>
      </c>
      <c r="K637" s="16">
        <f t="shared" si="268"/>
        <v>0</v>
      </c>
      <c r="L637" s="27">
        <f>SUM(L638:L643)</f>
        <v>1386.7</v>
      </c>
      <c r="M637" s="16">
        <f t="shared" si="270"/>
        <v>0</v>
      </c>
      <c r="N637" s="27">
        <f>SUM(N638:N643)</f>
        <v>1386.7</v>
      </c>
      <c r="O637" s="16">
        <f t="shared" si="271"/>
        <v>0</v>
      </c>
    </row>
    <row r="638" spans="1:15" s="3" customFormat="1" ht="25.5">
      <c r="A638" s="11" t="s">
        <v>108</v>
      </c>
      <c r="B638" s="25" t="s">
        <v>26</v>
      </c>
      <c r="C638" s="26" t="s">
        <v>65</v>
      </c>
      <c r="D638" s="26" t="s">
        <v>84</v>
      </c>
      <c r="E638" s="26" t="s">
        <v>688</v>
      </c>
      <c r="F638" s="26" t="s">
        <v>116</v>
      </c>
      <c r="G638" s="27">
        <f>G639</f>
        <v>1058.3</v>
      </c>
      <c r="H638" s="27">
        <f t="shared" ref="H638:I638" si="283">H639</f>
        <v>1058.3</v>
      </c>
      <c r="I638" s="27">
        <f t="shared" si="283"/>
        <v>1058.3</v>
      </c>
      <c r="J638" s="27">
        <f>1058.3</f>
        <v>1058.3</v>
      </c>
      <c r="K638" s="16">
        <f t="shared" si="268"/>
        <v>0</v>
      </c>
      <c r="L638" s="27">
        <f>1058.3</f>
        <v>1058.3</v>
      </c>
      <c r="M638" s="16">
        <f t="shared" si="270"/>
        <v>0</v>
      </c>
      <c r="N638" s="27">
        <f>1058.3</f>
        <v>1058.3</v>
      </c>
      <c r="O638" s="16">
        <f t="shared" si="271"/>
        <v>0</v>
      </c>
    </row>
    <row r="639" spans="1:15" s="4" customFormat="1" ht="25.5">
      <c r="A639" s="12" t="s">
        <v>973</v>
      </c>
      <c r="B639" s="25" t="s">
        <v>26</v>
      </c>
      <c r="C639" s="26" t="s">
        <v>65</v>
      </c>
      <c r="D639" s="26" t="s">
        <v>84</v>
      </c>
      <c r="E639" s="26" t="s">
        <v>688</v>
      </c>
      <c r="F639" s="26" t="s">
        <v>1043</v>
      </c>
      <c r="G639" s="27">
        <f>1058.3</f>
        <v>1058.3</v>
      </c>
      <c r="H639" s="27">
        <f>1058.3</f>
        <v>1058.3</v>
      </c>
      <c r="I639" s="27">
        <f>1058.3</f>
        <v>1058.3</v>
      </c>
      <c r="J639" s="80"/>
      <c r="K639" s="16">
        <f t="shared" si="268"/>
        <v>-1058.3</v>
      </c>
      <c r="L639" s="80"/>
      <c r="M639" s="16">
        <f t="shared" si="270"/>
        <v>-1058.3</v>
      </c>
      <c r="N639" s="80"/>
      <c r="O639" s="16">
        <f t="shared" si="271"/>
        <v>-1058.3</v>
      </c>
    </row>
    <row r="640" spans="1:15" s="3" customFormat="1">
      <c r="A640" s="11" t="s">
        <v>91</v>
      </c>
      <c r="B640" s="25" t="s">
        <v>26</v>
      </c>
      <c r="C640" s="26" t="s">
        <v>65</v>
      </c>
      <c r="D640" s="26" t="s">
        <v>84</v>
      </c>
      <c r="E640" s="26" t="s">
        <v>688</v>
      </c>
      <c r="F640" s="26" t="s">
        <v>100</v>
      </c>
      <c r="G640" s="27">
        <f>26.4</f>
        <v>26.4</v>
      </c>
      <c r="H640" s="27">
        <f>26.4</f>
        <v>26.4</v>
      </c>
      <c r="I640" s="27">
        <f>26.4</f>
        <v>26.4</v>
      </c>
      <c r="J640" s="27">
        <f>26.4</f>
        <v>26.4</v>
      </c>
      <c r="K640" s="16">
        <f t="shared" si="268"/>
        <v>0</v>
      </c>
      <c r="L640" s="27">
        <f>26.4</f>
        <v>26.4</v>
      </c>
      <c r="M640" s="16">
        <f t="shared" si="270"/>
        <v>0</v>
      </c>
      <c r="N640" s="27">
        <f>26.4</f>
        <v>26.4</v>
      </c>
      <c r="O640" s="16">
        <f t="shared" si="271"/>
        <v>0</v>
      </c>
    </row>
    <row r="641" spans="1:15" s="3" customFormat="1" ht="16.149999999999999" customHeight="1">
      <c r="A641" s="11" t="s">
        <v>97</v>
      </c>
      <c r="B641" s="25" t="s">
        <v>26</v>
      </c>
      <c r="C641" s="26" t="s">
        <v>65</v>
      </c>
      <c r="D641" s="26" t="s">
        <v>84</v>
      </c>
      <c r="E641" s="26" t="s">
        <v>688</v>
      </c>
      <c r="F641" s="26" t="s">
        <v>118</v>
      </c>
      <c r="G641" s="27">
        <f>G642</f>
        <v>42</v>
      </c>
      <c r="H641" s="27">
        <f t="shared" ref="H641:I641" si="284">H642</f>
        <v>42</v>
      </c>
      <c r="I641" s="27">
        <f t="shared" si="284"/>
        <v>42</v>
      </c>
      <c r="J641" s="27">
        <f>42</f>
        <v>42</v>
      </c>
      <c r="K641" s="16">
        <f t="shared" si="268"/>
        <v>0</v>
      </c>
      <c r="L641" s="27">
        <f>42</f>
        <v>42</v>
      </c>
      <c r="M641" s="16">
        <f t="shared" si="270"/>
        <v>0</v>
      </c>
      <c r="N641" s="27">
        <f>42</f>
        <v>42</v>
      </c>
      <c r="O641" s="16">
        <f t="shared" si="271"/>
        <v>0</v>
      </c>
    </row>
    <row r="642" spans="1:15" s="4" customFormat="1" ht="16.149999999999999" customHeight="1">
      <c r="A642" s="12" t="s">
        <v>1038</v>
      </c>
      <c r="B642" s="25" t="s">
        <v>26</v>
      </c>
      <c r="C642" s="26" t="s">
        <v>65</v>
      </c>
      <c r="D642" s="26" t="s">
        <v>84</v>
      </c>
      <c r="E642" s="26" t="s">
        <v>688</v>
      </c>
      <c r="F642" s="26" t="s">
        <v>1066</v>
      </c>
      <c r="G642" s="27">
        <f>42</f>
        <v>42</v>
      </c>
      <c r="H642" s="27">
        <f>42</f>
        <v>42</v>
      </c>
      <c r="I642" s="27">
        <f>42</f>
        <v>42</v>
      </c>
      <c r="J642" s="80"/>
      <c r="K642" s="16">
        <f t="shared" si="268"/>
        <v>-42</v>
      </c>
      <c r="L642" s="80"/>
      <c r="M642" s="16">
        <f t="shared" si="270"/>
        <v>-42</v>
      </c>
      <c r="N642" s="80"/>
      <c r="O642" s="16">
        <f t="shared" si="271"/>
        <v>-42</v>
      </c>
    </row>
    <row r="643" spans="1:15" s="3" customFormat="1" ht="25.5">
      <c r="A643" s="11" t="s">
        <v>704</v>
      </c>
      <c r="B643" s="25" t="s">
        <v>26</v>
      </c>
      <c r="C643" s="26" t="s">
        <v>65</v>
      </c>
      <c r="D643" s="26" t="s">
        <v>84</v>
      </c>
      <c r="E643" s="26" t="s">
        <v>688</v>
      </c>
      <c r="F643" s="26" t="s">
        <v>703</v>
      </c>
      <c r="G643" s="27">
        <f>G644</f>
        <v>260</v>
      </c>
      <c r="H643" s="27">
        <f t="shared" ref="H643:I643" si="285">H644</f>
        <v>260</v>
      </c>
      <c r="I643" s="27">
        <f t="shared" si="285"/>
        <v>260</v>
      </c>
      <c r="J643" s="27">
        <f>260</f>
        <v>260</v>
      </c>
      <c r="K643" s="16">
        <f t="shared" si="268"/>
        <v>0</v>
      </c>
      <c r="L643" s="27">
        <f>260</f>
        <v>260</v>
      </c>
      <c r="M643" s="16">
        <f t="shared" si="270"/>
        <v>0</v>
      </c>
      <c r="N643" s="27">
        <f>260</f>
        <v>260</v>
      </c>
      <c r="O643" s="16">
        <f t="shared" si="271"/>
        <v>0</v>
      </c>
    </row>
    <row r="644" spans="1:15" s="4" customFormat="1">
      <c r="A644" s="12" t="s">
        <v>1041</v>
      </c>
      <c r="B644" s="25" t="s">
        <v>26</v>
      </c>
      <c r="C644" s="26" t="s">
        <v>65</v>
      </c>
      <c r="D644" s="26" t="s">
        <v>84</v>
      </c>
      <c r="E644" s="26" t="s">
        <v>688</v>
      </c>
      <c r="F644" s="26" t="s">
        <v>1067</v>
      </c>
      <c r="G644" s="27">
        <f>260</f>
        <v>260</v>
      </c>
      <c r="H644" s="27">
        <f>260</f>
        <v>260</v>
      </c>
      <c r="I644" s="27">
        <f>260</f>
        <v>260</v>
      </c>
      <c r="J644" s="80"/>
      <c r="K644" s="16">
        <f t="shared" si="268"/>
        <v>-260</v>
      </c>
      <c r="L644" s="80"/>
      <c r="M644" s="16">
        <f t="shared" si="270"/>
        <v>-260</v>
      </c>
      <c r="N644" s="80"/>
      <c r="O644" s="16">
        <f t="shared" si="271"/>
        <v>-260</v>
      </c>
    </row>
    <row r="645" spans="1:15" s="3" customFormat="1">
      <c r="A645" s="17" t="s">
        <v>70</v>
      </c>
      <c r="B645" s="18" t="s">
        <v>26</v>
      </c>
      <c r="C645" s="19" t="s">
        <v>71</v>
      </c>
      <c r="D645" s="19" t="s">
        <v>51</v>
      </c>
      <c r="E645" s="19" t="s">
        <v>196</v>
      </c>
      <c r="F645" s="19" t="s">
        <v>58</v>
      </c>
      <c r="G645" s="20">
        <f>G646+G694</f>
        <v>129982.08</v>
      </c>
      <c r="H645" s="20">
        <f>H646+H694</f>
        <v>126813.01</v>
      </c>
      <c r="I645" s="20">
        <f>I646+I694</f>
        <v>129408.97</v>
      </c>
      <c r="J645" s="20">
        <f>J646+J694</f>
        <v>129982.08</v>
      </c>
      <c r="K645" s="16">
        <f t="shared" si="268"/>
        <v>0</v>
      </c>
      <c r="L645" s="20">
        <f>L646+L694</f>
        <v>126813.01</v>
      </c>
      <c r="M645" s="16">
        <f t="shared" si="270"/>
        <v>0</v>
      </c>
      <c r="N645" s="20">
        <f>N646+N694</f>
        <v>129408.97</v>
      </c>
      <c r="O645" s="16">
        <f t="shared" si="271"/>
        <v>0</v>
      </c>
    </row>
    <row r="646" spans="1:15" s="3" customFormat="1">
      <c r="A646" s="21" t="s">
        <v>779</v>
      </c>
      <c r="B646" s="22" t="s">
        <v>26</v>
      </c>
      <c r="C646" s="23" t="s">
        <v>71</v>
      </c>
      <c r="D646" s="23" t="s">
        <v>53</v>
      </c>
      <c r="E646" s="23" t="s">
        <v>196</v>
      </c>
      <c r="F646" s="23" t="s">
        <v>58</v>
      </c>
      <c r="G646" s="24">
        <f>G647+G680+G688</f>
        <v>122975.57</v>
      </c>
      <c r="H646" s="24">
        <f>H647+H680+H688</f>
        <v>120235.31</v>
      </c>
      <c r="I646" s="24">
        <f>I647+I680+I688</f>
        <v>122831.27</v>
      </c>
      <c r="J646" s="24">
        <f>J647+J680+J688</f>
        <v>122975.57</v>
      </c>
      <c r="K646" s="16">
        <f t="shared" si="268"/>
        <v>0</v>
      </c>
      <c r="L646" s="24">
        <f>L647+L680+L688</f>
        <v>120235.31</v>
      </c>
      <c r="M646" s="16">
        <f t="shared" si="270"/>
        <v>0</v>
      </c>
      <c r="N646" s="24">
        <f>N647+N680+N688</f>
        <v>122831.27</v>
      </c>
      <c r="O646" s="16">
        <f t="shared" si="271"/>
        <v>0</v>
      </c>
    </row>
    <row r="647" spans="1:15" s="3" customFormat="1">
      <c r="A647" s="11" t="s">
        <v>739</v>
      </c>
      <c r="B647" s="25" t="s">
        <v>26</v>
      </c>
      <c r="C647" s="26" t="s">
        <v>71</v>
      </c>
      <c r="D647" s="26" t="s">
        <v>53</v>
      </c>
      <c r="E647" s="26" t="s">
        <v>277</v>
      </c>
      <c r="F647" s="26" t="s">
        <v>58</v>
      </c>
      <c r="G647" s="27">
        <f>G648+G655</f>
        <v>121587.13</v>
      </c>
      <c r="H647" s="27">
        <f>H648+H655</f>
        <v>118946.43</v>
      </c>
      <c r="I647" s="27">
        <f>I648+I655</f>
        <v>121542.39</v>
      </c>
      <c r="J647" s="27">
        <f>J648+J655</f>
        <v>121587.13</v>
      </c>
      <c r="K647" s="16">
        <f t="shared" si="268"/>
        <v>0</v>
      </c>
      <c r="L647" s="27">
        <f>L648+L655</f>
        <v>118946.43</v>
      </c>
      <c r="M647" s="16">
        <f t="shared" si="270"/>
        <v>0</v>
      </c>
      <c r="N647" s="27">
        <f>N648+N655</f>
        <v>121542.39</v>
      </c>
      <c r="O647" s="16">
        <f t="shared" si="271"/>
        <v>0</v>
      </c>
    </row>
    <row r="648" spans="1:15" s="3" customFormat="1" ht="51">
      <c r="A648" s="11" t="s">
        <v>191</v>
      </c>
      <c r="B648" s="25" t="s">
        <v>26</v>
      </c>
      <c r="C648" s="26" t="s">
        <v>71</v>
      </c>
      <c r="D648" s="26" t="s">
        <v>53</v>
      </c>
      <c r="E648" s="26" t="s">
        <v>278</v>
      </c>
      <c r="F648" s="26" t="s">
        <v>58</v>
      </c>
      <c r="G648" s="27">
        <f t="shared" ref="G648:N649" si="286">G649</f>
        <v>412</v>
      </c>
      <c r="H648" s="27">
        <f t="shared" si="286"/>
        <v>412</v>
      </c>
      <c r="I648" s="27">
        <f t="shared" si="286"/>
        <v>412</v>
      </c>
      <c r="J648" s="27">
        <f t="shared" si="286"/>
        <v>412</v>
      </c>
      <c r="K648" s="16">
        <f t="shared" si="268"/>
        <v>0</v>
      </c>
      <c r="L648" s="27">
        <f t="shared" si="286"/>
        <v>412</v>
      </c>
      <c r="M648" s="16">
        <f t="shared" si="270"/>
        <v>0</v>
      </c>
      <c r="N648" s="27">
        <f t="shared" si="286"/>
        <v>412</v>
      </c>
      <c r="O648" s="16">
        <f t="shared" si="271"/>
        <v>0</v>
      </c>
    </row>
    <row r="649" spans="1:15" s="3" customFormat="1" ht="63.75">
      <c r="A649" s="11" t="s">
        <v>605</v>
      </c>
      <c r="B649" s="25" t="s">
        <v>26</v>
      </c>
      <c r="C649" s="26" t="s">
        <v>71</v>
      </c>
      <c r="D649" s="26" t="s">
        <v>53</v>
      </c>
      <c r="E649" s="26" t="s">
        <v>279</v>
      </c>
      <c r="F649" s="26" t="s">
        <v>58</v>
      </c>
      <c r="G649" s="27">
        <f t="shared" si="286"/>
        <v>412</v>
      </c>
      <c r="H649" s="27">
        <f t="shared" si="286"/>
        <v>412</v>
      </c>
      <c r="I649" s="27">
        <f t="shared" si="286"/>
        <v>412</v>
      </c>
      <c r="J649" s="27">
        <f t="shared" si="286"/>
        <v>412</v>
      </c>
      <c r="K649" s="16">
        <f t="shared" si="268"/>
        <v>0</v>
      </c>
      <c r="L649" s="27">
        <f t="shared" si="286"/>
        <v>412</v>
      </c>
      <c r="M649" s="16">
        <f t="shared" si="270"/>
        <v>0</v>
      </c>
      <c r="N649" s="27">
        <f t="shared" si="286"/>
        <v>412</v>
      </c>
      <c r="O649" s="16">
        <f t="shared" si="271"/>
        <v>0</v>
      </c>
    </row>
    <row r="650" spans="1:15" s="3" customFormat="1" ht="25.5">
      <c r="A650" s="11" t="s">
        <v>161</v>
      </c>
      <c r="B650" s="25" t="s">
        <v>26</v>
      </c>
      <c r="C650" s="26" t="s">
        <v>71</v>
      </c>
      <c r="D650" s="26" t="s">
        <v>53</v>
      </c>
      <c r="E650" s="26" t="s">
        <v>320</v>
      </c>
      <c r="F650" s="26" t="s">
        <v>58</v>
      </c>
      <c r="G650" s="27">
        <f>G651+G653</f>
        <v>412</v>
      </c>
      <c r="H650" s="27">
        <f>H651+H653</f>
        <v>412</v>
      </c>
      <c r="I650" s="27">
        <f>I651+I653</f>
        <v>412</v>
      </c>
      <c r="J650" s="27">
        <f>J651+J653</f>
        <v>412</v>
      </c>
      <c r="K650" s="16">
        <f t="shared" si="268"/>
        <v>0</v>
      </c>
      <c r="L650" s="27">
        <f>L651+L653</f>
        <v>412</v>
      </c>
      <c r="M650" s="16">
        <f t="shared" si="270"/>
        <v>0</v>
      </c>
      <c r="N650" s="27">
        <f>N651+N653</f>
        <v>412</v>
      </c>
      <c r="O650" s="16">
        <f t="shared" si="271"/>
        <v>0</v>
      </c>
    </row>
    <row r="651" spans="1:15" s="3" customFormat="1">
      <c r="A651" s="13" t="s">
        <v>92</v>
      </c>
      <c r="B651" s="25" t="s">
        <v>26</v>
      </c>
      <c r="C651" s="26" t="s">
        <v>71</v>
      </c>
      <c r="D651" s="26" t="s">
        <v>53</v>
      </c>
      <c r="E651" s="26" t="s">
        <v>320</v>
      </c>
      <c r="F651" s="26" t="s">
        <v>138</v>
      </c>
      <c r="G651" s="27">
        <f>G652</f>
        <v>347</v>
      </c>
      <c r="H651" s="27">
        <f t="shared" ref="H651:I651" si="287">H652</f>
        <v>347</v>
      </c>
      <c r="I651" s="27">
        <f t="shared" si="287"/>
        <v>347</v>
      </c>
      <c r="J651" s="27">
        <f>347</f>
        <v>347</v>
      </c>
      <c r="K651" s="16">
        <f t="shared" si="268"/>
        <v>0</v>
      </c>
      <c r="L651" s="27">
        <f>347</f>
        <v>347</v>
      </c>
      <c r="M651" s="16">
        <f t="shared" si="270"/>
        <v>0</v>
      </c>
      <c r="N651" s="27">
        <f>347</f>
        <v>347</v>
      </c>
      <c r="O651" s="16">
        <f t="shared" si="271"/>
        <v>0</v>
      </c>
    </row>
    <row r="652" spans="1:15" s="4" customFormat="1" ht="38.25">
      <c r="A652" s="12" t="s">
        <v>1015</v>
      </c>
      <c r="B652" s="25" t="s">
        <v>26</v>
      </c>
      <c r="C652" s="26" t="s">
        <v>71</v>
      </c>
      <c r="D652" s="26" t="s">
        <v>53</v>
      </c>
      <c r="E652" s="26" t="s">
        <v>320</v>
      </c>
      <c r="F652" s="26" t="s">
        <v>67</v>
      </c>
      <c r="G652" s="27">
        <f>347</f>
        <v>347</v>
      </c>
      <c r="H652" s="27">
        <f>347</f>
        <v>347</v>
      </c>
      <c r="I652" s="27">
        <f>347</f>
        <v>347</v>
      </c>
      <c r="J652" s="80"/>
      <c r="K652" s="16">
        <f t="shared" si="268"/>
        <v>-347</v>
      </c>
      <c r="L652" s="80"/>
      <c r="M652" s="16">
        <f t="shared" si="270"/>
        <v>-347</v>
      </c>
      <c r="N652" s="80"/>
      <c r="O652" s="16">
        <f t="shared" si="271"/>
        <v>-347</v>
      </c>
    </row>
    <row r="653" spans="1:15" s="3" customFormat="1">
      <c r="A653" s="40" t="s">
        <v>93</v>
      </c>
      <c r="B653" s="25" t="s">
        <v>26</v>
      </c>
      <c r="C653" s="26" t="s">
        <v>71</v>
      </c>
      <c r="D653" s="26" t="s">
        <v>53</v>
      </c>
      <c r="E653" s="26" t="s">
        <v>320</v>
      </c>
      <c r="F653" s="26" t="s">
        <v>20</v>
      </c>
      <c r="G653" s="27">
        <f>G654</f>
        <v>65</v>
      </c>
      <c r="H653" s="27">
        <f t="shared" ref="H653:I653" si="288">H654</f>
        <v>65</v>
      </c>
      <c r="I653" s="27">
        <f t="shared" si="288"/>
        <v>65</v>
      </c>
      <c r="J653" s="27">
        <f>65</f>
        <v>65</v>
      </c>
      <c r="K653" s="16">
        <f t="shared" si="268"/>
        <v>0</v>
      </c>
      <c r="L653" s="27">
        <f>65</f>
        <v>65</v>
      </c>
      <c r="M653" s="16">
        <f t="shared" si="270"/>
        <v>0</v>
      </c>
      <c r="N653" s="27">
        <f>65</f>
        <v>65</v>
      </c>
      <c r="O653" s="16">
        <f t="shared" si="271"/>
        <v>0</v>
      </c>
    </row>
    <row r="654" spans="1:15" s="4" customFormat="1" ht="38.25">
      <c r="A654" s="12" t="s">
        <v>1018</v>
      </c>
      <c r="B654" s="25" t="s">
        <v>26</v>
      </c>
      <c r="C654" s="26" t="s">
        <v>71</v>
      </c>
      <c r="D654" s="26" t="s">
        <v>53</v>
      </c>
      <c r="E654" s="26" t="s">
        <v>320</v>
      </c>
      <c r="F654" s="26" t="s">
        <v>16</v>
      </c>
      <c r="G654" s="27">
        <f>65</f>
        <v>65</v>
      </c>
      <c r="H654" s="27">
        <f>65</f>
        <v>65</v>
      </c>
      <c r="I654" s="27">
        <f>65</f>
        <v>65</v>
      </c>
      <c r="J654" s="80"/>
      <c r="K654" s="16">
        <f t="shared" si="268"/>
        <v>-65</v>
      </c>
      <c r="L654" s="80"/>
      <c r="M654" s="16">
        <f t="shared" si="270"/>
        <v>-65</v>
      </c>
      <c r="N654" s="80"/>
      <c r="O654" s="16">
        <f t="shared" si="271"/>
        <v>-65</v>
      </c>
    </row>
    <row r="655" spans="1:15" s="3" customFormat="1">
      <c r="A655" s="11" t="s">
        <v>140</v>
      </c>
      <c r="B655" s="25" t="s">
        <v>26</v>
      </c>
      <c r="C655" s="26" t="s">
        <v>71</v>
      </c>
      <c r="D655" s="26" t="s">
        <v>53</v>
      </c>
      <c r="E655" s="26" t="s">
        <v>372</v>
      </c>
      <c r="F655" s="26" t="s">
        <v>58</v>
      </c>
      <c r="G655" s="27">
        <f>G656+G662+G666+G670+G676</f>
        <v>121175.13</v>
      </c>
      <c r="H655" s="27">
        <f>H656+H662+H666+H670+H676</f>
        <v>118534.43</v>
      </c>
      <c r="I655" s="27">
        <f>I656+I662+I666+I670+I676</f>
        <v>121130.39</v>
      </c>
      <c r="J655" s="27">
        <f>J656+J662+J666+J670+J676</f>
        <v>121175.13</v>
      </c>
      <c r="K655" s="16">
        <f t="shared" si="268"/>
        <v>0</v>
      </c>
      <c r="L655" s="27">
        <f>L656+L662+L666+L670+L676</f>
        <v>118534.43</v>
      </c>
      <c r="M655" s="16">
        <f t="shared" si="270"/>
        <v>0</v>
      </c>
      <c r="N655" s="27">
        <f>N656+N662+N666+N670+N676</f>
        <v>121130.39</v>
      </c>
      <c r="O655" s="16">
        <f t="shared" si="271"/>
        <v>0</v>
      </c>
    </row>
    <row r="656" spans="1:15" s="3" customFormat="1" ht="38.25">
      <c r="A656" s="11" t="s">
        <v>780</v>
      </c>
      <c r="B656" s="25" t="s">
        <v>26</v>
      </c>
      <c r="C656" s="26" t="s">
        <v>71</v>
      </c>
      <c r="D656" s="26" t="s">
        <v>53</v>
      </c>
      <c r="E656" s="26" t="s">
        <v>373</v>
      </c>
      <c r="F656" s="26" t="s">
        <v>58</v>
      </c>
      <c r="G656" s="27">
        <f>G657</f>
        <v>117785.18000000001</v>
      </c>
      <c r="H656" s="27">
        <f t="shared" ref="H656:N656" si="289">H657</f>
        <v>118166.03</v>
      </c>
      <c r="I656" s="27">
        <f t="shared" si="289"/>
        <v>118166.03</v>
      </c>
      <c r="J656" s="27">
        <f>J657</f>
        <v>117785.18000000001</v>
      </c>
      <c r="K656" s="16">
        <f t="shared" si="268"/>
        <v>0</v>
      </c>
      <c r="L656" s="27">
        <f t="shared" si="289"/>
        <v>118166.03</v>
      </c>
      <c r="M656" s="16">
        <f t="shared" si="270"/>
        <v>0</v>
      </c>
      <c r="N656" s="27">
        <f t="shared" si="289"/>
        <v>118166.03</v>
      </c>
      <c r="O656" s="16">
        <f t="shared" si="271"/>
        <v>0</v>
      </c>
    </row>
    <row r="657" spans="1:15" s="3" customFormat="1" ht="25.5">
      <c r="A657" s="11" t="s">
        <v>247</v>
      </c>
      <c r="B657" s="25" t="s">
        <v>26</v>
      </c>
      <c r="C657" s="26" t="s">
        <v>71</v>
      </c>
      <c r="D657" s="26" t="s">
        <v>53</v>
      </c>
      <c r="E657" s="26" t="s">
        <v>374</v>
      </c>
      <c r="F657" s="26" t="s">
        <v>58</v>
      </c>
      <c r="G657" s="27">
        <f>G658+G660</f>
        <v>117785.18000000001</v>
      </c>
      <c r="H657" s="27">
        <f t="shared" ref="H657:I657" si="290">H658+H660</f>
        <v>118166.03</v>
      </c>
      <c r="I657" s="27">
        <f t="shared" si="290"/>
        <v>118166.03</v>
      </c>
      <c r="J657" s="27">
        <f>SUM(J658:J660)</f>
        <v>117785.18000000001</v>
      </c>
      <c r="K657" s="16">
        <f t="shared" si="268"/>
        <v>0</v>
      </c>
      <c r="L657" s="27">
        <f>SUM(L658:L660)</f>
        <v>118166.03</v>
      </c>
      <c r="M657" s="16">
        <f t="shared" si="270"/>
        <v>0</v>
      </c>
      <c r="N657" s="27">
        <f>SUM(N658:N660)</f>
        <v>118166.03</v>
      </c>
      <c r="O657" s="16">
        <f t="shared" si="271"/>
        <v>0</v>
      </c>
    </row>
    <row r="658" spans="1:15" s="3" customFormat="1">
      <c r="A658" s="13" t="s">
        <v>92</v>
      </c>
      <c r="B658" s="25" t="s">
        <v>26</v>
      </c>
      <c r="C658" s="26" t="s">
        <v>71</v>
      </c>
      <c r="D658" s="26" t="s">
        <v>53</v>
      </c>
      <c r="E658" s="26" t="s">
        <v>374</v>
      </c>
      <c r="F658" s="26" t="s">
        <v>138</v>
      </c>
      <c r="G658" s="27">
        <f>G659</f>
        <v>104835.6</v>
      </c>
      <c r="H658" s="27">
        <f t="shared" ref="H658:I658" si="291">H659</f>
        <v>104835.6</v>
      </c>
      <c r="I658" s="27">
        <f t="shared" si="291"/>
        <v>104835.6</v>
      </c>
      <c r="J658" s="27">
        <f>104835.6</f>
        <v>104835.6</v>
      </c>
      <c r="K658" s="16">
        <f t="shared" si="268"/>
        <v>0</v>
      </c>
      <c r="L658" s="27">
        <f>104835.6</f>
        <v>104835.6</v>
      </c>
      <c r="M658" s="16">
        <f t="shared" si="270"/>
        <v>0</v>
      </c>
      <c r="N658" s="27">
        <f>104835.6</f>
        <v>104835.6</v>
      </c>
      <c r="O658" s="16">
        <f t="shared" si="271"/>
        <v>0</v>
      </c>
    </row>
    <row r="659" spans="1:15" s="4" customFormat="1" ht="38.25">
      <c r="A659" s="12" t="s">
        <v>1015</v>
      </c>
      <c r="B659" s="25" t="s">
        <v>26</v>
      </c>
      <c r="C659" s="26" t="s">
        <v>71</v>
      </c>
      <c r="D659" s="26" t="s">
        <v>53</v>
      </c>
      <c r="E659" s="26" t="s">
        <v>374</v>
      </c>
      <c r="F659" s="26" t="s">
        <v>67</v>
      </c>
      <c r="G659" s="27">
        <f>104835.6</f>
        <v>104835.6</v>
      </c>
      <c r="H659" s="27">
        <f>104835.6</f>
        <v>104835.6</v>
      </c>
      <c r="I659" s="27">
        <f>104835.6</f>
        <v>104835.6</v>
      </c>
      <c r="J659" s="80"/>
      <c r="K659" s="16">
        <f t="shared" si="268"/>
        <v>-104835.6</v>
      </c>
      <c r="L659" s="80"/>
      <c r="M659" s="16">
        <f t="shared" si="270"/>
        <v>-104835.6</v>
      </c>
      <c r="N659" s="80"/>
      <c r="O659" s="16">
        <f t="shared" si="271"/>
        <v>-104835.6</v>
      </c>
    </row>
    <row r="660" spans="1:15" s="30" customFormat="1">
      <c r="A660" s="13" t="s">
        <v>93</v>
      </c>
      <c r="B660" s="25" t="s">
        <v>26</v>
      </c>
      <c r="C660" s="26" t="s">
        <v>71</v>
      </c>
      <c r="D660" s="26" t="s">
        <v>53</v>
      </c>
      <c r="E660" s="26" t="s">
        <v>374</v>
      </c>
      <c r="F660" s="26" t="s">
        <v>20</v>
      </c>
      <c r="G660" s="27">
        <f>G661</f>
        <v>12949.58</v>
      </c>
      <c r="H660" s="27">
        <f t="shared" ref="H660:I660" si="292">H661</f>
        <v>13330.43</v>
      </c>
      <c r="I660" s="27">
        <f t="shared" si="292"/>
        <v>13330.43</v>
      </c>
      <c r="J660" s="27">
        <f>12949.58</f>
        <v>12949.58</v>
      </c>
      <c r="K660" s="16">
        <f t="shared" si="268"/>
        <v>0</v>
      </c>
      <c r="L660" s="27">
        <f>13330.43</f>
        <v>13330.43</v>
      </c>
      <c r="M660" s="16">
        <f t="shared" si="270"/>
        <v>0</v>
      </c>
      <c r="N660" s="27">
        <f>13330.43</f>
        <v>13330.43</v>
      </c>
      <c r="O660" s="16">
        <f t="shared" si="271"/>
        <v>0</v>
      </c>
    </row>
    <row r="661" spans="1:15" s="83" customFormat="1" ht="38.25">
      <c r="A661" s="12" t="s">
        <v>1018</v>
      </c>
      <c r="B661" s="25" t="s">
        <v>26</v>
      </c>
      <c r="C661" s="26" t="s">
        <v>71</v>
      </c>
      <c r="D661" s="26" t="s">
        <v>53</v>
      </c>
      <c r="E661" s="26" t="s">
        <v>374</v>
      </c>
      <c r="F661" s="26" t="s">
        <v>16</v>
      </c>
      <c r="G661" s="27">
        <f>12949.58</f>
        <v>12949.58</v>
      </c>
      <c r="H661" s="27">
        <f>13330.43</f>
        <v>13330.43</v>
      </c>
      <c r="I661" s="27">
        <f>13330.43</f>
        <v>13330.43</v>
      </c>
      <c r="J661" s="80"/>
      <c r="K661" s="16">
        <f t="shared" si="268"/>
        <v>-12949.58</v>
      </c>
      <c r="L661" s="80"/>
      <c r="M661" s="16">
        <f t="shared" si="270"/>
        <v>-13330.43</v>
      </c>
      <c r="N661" s="80"/>
      <c r="O661" s="16">
        <f t="shared" si="271"/>
        <v>-13330.43</v>
      </c>
    </row>
    <row r="662" spans="1:15" s="3" customFormat="1" ht="38.25">
      <c r="A662" s="11" t="s">
        <v>621</v>
      </c>
      <c r="B662" s="25" t="s">
        <v>26</v>
      </c>
      <c r="C662" s="26" t="s">
        <v>71</v>
      </c>
      <c r="D662" s="26" t="s">
        <v>53</v>
      </c>
      <c r="E662" s="26" t="s">
        <v>375</v>
      </c>
      <c r="F662" s="26" t="s">
        <v>58</v>
      </c>
      <c r="G662" s="27">
        <f t="shared" ref="G662:N664" si="293">G663</f>
        <v>0</v>
      </c>
      <c r="H662" s="27">
        <f t="shared" si="293"/>
        <v>0</v>
      </c>
      <c r="I662" s="27">
        <f t="shared" si="293"/>
        <v>2595.96</v>
      </c>
      <c r="J662" s="27">
        <f t="shared" si="293"/>
        <v>0</v>
      </c>
      <c r="K662" s="16">
        <f t="shared" si="268"/>
        <v>0</v>
      </c>
      <c r="L662" s="27">
        <f t="shared" si="293"/>
        <v>0</v>
      </c>
      <c r="M662" s="16">
        <f t="shared" si="270"/>
        <v>0</v>
      </c>
      <c r="N662" s="27">
        <f t="shared" si="293"/>
        <v>2595.96</v>
      </c>
      <c r="O662" s="16">
        <f t="shared" si="271"/>
        <v>0</v>
      </c>
    </row>
    <row r="663" spans="1:15" s="3" customFormat="1" ht="25.5">
      <c r="A663" s="11" t="s">
        <v>162</v>
      </c>
      <c r="B663" s="25" t="s">
        <v>26</v>
      </c>
      <c r="C663" s="26" t="s">
        <v>71</v>
      </c>
      <c r="D663" s="26" t="s">
        <v>53</v>
      </c>
      <c r="E663" s="26" t="s">
        <v>376</v>
      </c>
      <c r="F663" s="26" t="s">
        <v>58</v>
      </c>
      <c r="G663" s="27">
        <f t="shared" si="293"/>
        <v>0</v>
      </c>
      <c r="H663" s="27">
        <f t="shared" si="293"/>
        <v>0</v>
      </c>
      <c r="I663" s="27">
        <f t="shared" si="293"/>
        <v>2595.96</v>
      </c>
      <c r="J663" s="27">
        <f t="shared" si="293"/>
        <v>0</v>
      </c>
      <c r="K663" s="16">
        <f t="shared" si="268"/>
        <v>0</v>
      </c>
      <c r="L663" s="27">
        <f t="shared" si="293"/>
        <v>0</v>
      </c>
      <c r="M663" s="16">
        <f t="shared" si="270"/>
        <v>0</v>
      </c>
      <c r="N663" s="27">
        <f t="shared" si="293"/>
        <v>2595.96</v>
      </c>
      <c r="O663" s="16">
        <f t="shared" si="271"/>
        <v>0</v>
      </c>
    </row>
    <row r="664" spans="1:15" s="3" customFormat="1">
      <c r="A664" s="13" t="s">
        <v>92</v>
      </c>
      <c r="B664" s="25" t="s">
        <v>26</v>
      </c>
      <c r="C664" s="26" t="s">
        <v>71</v>
      </c>
      <c r="D664" s="26" t="s">
        <v>53</v>
      </c>
      <c r="E664" s="26" t="s">
        <v>376</v>
      </c>
      <c r="F664" s="26" t="s">
        <v>138</v>
      </c>
      <c r="G664" s="27">
        <f>G665</f>
        <v>0</v>
      </c>
      <c r="H664" s="27">
        <f t="shared" si="293"/>
        <v>0</v>
      </c>
      <c r="I664" s="27">
        <f t="shared" si="293"/>
        <v>2595.96</v>
      </c>
      <c r="J664" s="27">
        <f>0</f>
        <v>0</v>
      </c>
      <c r="K664" s="16">
        <f t="shared" si="268"/>
        <v>0</v>
      </c>
      <c r="L664" s="27">
        <v>0</v>
      </c>
      <c r="M664" s="16">
        <f t="shared" si="270"/>
        <v>0</v>
      </c>
      <c r="N664" s="27">
        <f>2595.96</f>
        <v>2595.96</v>
      </c>
      <c r="O664" s="16">
        <f t="shared" si="271"/>
        <v>0</v>
      </c>
    </row>
    <row r="665" spans="1:15" s="3" customFormat="1">
      <c r="A665" s="11" t="s">
        <v>1016</v>
      </c>
      <c r="B665" s="25" t="s">
        <v>26</v>
      </c>
      <c r="C665" s="26" t="s">
        <v>71</v>
      </c>
      <c r="D665" s="26" t="s">
        <v>53</v>
      </c>
      <c r="E665" s="26" t="s">
        <v>376</v>
      </c>
      <c r="F665" s="26" t="s">
        <v>1046</v>
      </c>
      <c r="G665" s="27">
        <f>0</f>
        <v>0</v>
      </c>
      <c r="H665" s="27">
        <v>0</v>
      </c>
      <c r="I665" s="27">
        <f>2595.96</f>
        <v>2595.96</v>
      </c>
      <c r="J665" s="27"/>
      <c r="K665" s="16">
        <f t="shared" si="268"/>
        <v>0</v>
      </c>
      <c r="L665" s="27"/>
      <c r="M665" s="16">
        <f t="shared" si="270"/>
        <v>0</v>
      </c>
      <c r="N665" s="27"/>
      <c r="O665" s="16">
        <f t="shared" si="271"/>
        <v>-2595.96</v>
      </c>
    </row>
    <row r="666" spans="1:15" s="3" customFormat="1" ht="89.25">
      <c r="A666" s="13" t="s">
        <v>850</v>
      </c>
      <c r="B666" s="25" t="s">
        <v>26</v>
      </c>
      <c r="C666" s="26" t="s">
        <v>71</v>
      </c>
      <c r="D666" s="26" t="s">
        <v>53</v>
      </c>
      <c r="E666" s="26" t="s">
        <v>622</v>
      </c>
      <c r="F666" s="26" t="s">
        <v>58</v>
      </c>
      <c r="G666" s="27">
        <f t="shared" ref="G666:N668" si="294">G667</f>
        <v>150</v>
      </c>
      <c r="H666" s="27">
        <f t="shared" si="294"/>
        <v>150</v>
      </c>
      <c r="I666" s="27">
        <f t="shared" si="294"/>
        <v>150</v>
      </c>
      <c r="J666" s="27">
        <f t="shared" si="294"/>
        <v>150</v>
      </c>
      <c r="K666" s="16">
        <f t="shared" si="268"/>
        <v>0</v>
      </c>
      <c r="L666" s="27">
        <f t="shared" si="294"/>
        <v>150</v>
      </c>
      <c r="M666" s="16">
        <f t="shared" si="270"/>
        <v>0</v>
      </c>
      <c r="N666" s="27">
        <f t="shared" si="294"/>
        <v>150</v>
      </c>
      <c r="O666" s="16">
        <f t="shared" si="271"/>
        <v>0</v>
      </c>
    </row>
    <row r="667" spans="1:15" s="3" customFormat="1" ht="76.5">
      <c r="A667" s="11" t="s">
        <v>853</v>
      </c>
      <c r="B667" s="25" t="s">
        <v>26</v>
      </c>
      <c r="C667" s="26" t="s">
        <v>71</v>
      </c>
      <c r="D667" s="26" t="s">
        <v>53</v>
      </c>
      <c r="E667" s="26" t="s">
        <v>623</v>
      </c>
      <c r="F667" s="26" t="s">
        <v>58</v>
      </c>
      <c r="G667" s="27">
        <f t="shared" si="294"/>
        <v>150</v>
      </c>
      <c r="H667" s="27">
        <f t="shared" si="294"/>
        <v>150</v>
      </c>
      <c r="I667" s="27">
        <f t="shared" si="294"/>
        <v>150</v>
      </c>
      <c r="J667" s="27">
        <f t="shared" si="294"/>
        <v>150</v>
      </c>
      <c r="K667" s="16">
        <f t="shared" si="268"/>
        <v>0</v>
      </c>
      <c r="L667" s="27">
        <f t="shared" si="294"/>
        <v>150</v>
      </c>
      <c r="M667" s="16">
        <f t="shared" si="270"/>
        <v>0</v>
      </c>
      <c r="N667" s="27">
        <f t="shared" si="294"/>
        <v>150</v>
      </c>
      <c r="O667" s="16">
        <f t="shared" si="271"/>
        <v>0</v>
      </c>
    </row>
    <row r="668" spans="1:15" s="3" customFormat="1">
      <c r="A668" s="13" t="s">
        <v>92</v>
      </c>
      <c r="B668" s="25" t="s">
        <v>26</v>
      </c>
      <c r="C668" s="26" t="s">
        <v>71</v>
      </c>
      <c r="D668" s="26" t="s">
        <v>53</v>
      </c>
      <c r="E668" s="26" t="s">
        <v>623</v>
      </c>
      <c r="F668" s="26" t="s">
        <v>138</v>
      </c>
      <c r="G668" s="27">
        <f>G669</f>
        <v>150</v>
      </c>
      <c r="H668" s="27">
        <f t="shared" si="294"/>
        <v>150</v>
      </c>
      <c r="I668" s="27">
        <f t="shared" si="294"/>
        <v>150</v>
      </c>
      <c r="J668" s="27">
        <f>150</f>
        <v>150</v>
      </c>
      <c r="K668" s="16">
        <f t="shared" si="268"/>
        <v>0</v>
      </c>
      <c r="L668" s="27">
        <f>150</f>
        <v>150</v>
      </c>
      <c r="M668" s="16">
        <f t="shared" si="270"/>
        <v>0</v>
      </c>
      <c r="N668" s="27">
        <f>150</f>
        <v>150</v>
      </c>
      <c r="O668" s="16">
        <f t="shared" si="271"/>
        <v>0</v>
      </c>
    </row>
    <row r="669" spans="1:15" s="4" customFormat="1">
      <c r="A669" s="11" t="s">
        <v>1016</v>
      </c>
      <c r="B669" s="25" t="s">
        <v>26</v>
      </c>
      <c r="C669" s="26" t="s">
        <v>71</v>
      </c>
      <c r="D669" s="26" t="s">
        <v>53</v>
      </c>
      <c r="E669" s="26" t="s">
        <v>623</v>
      </c>
      <c r="F669" s="26" t="s">
        <v>1046</v>
      </c>
      <c r="G669" s="27">
        <f>150</f>
        <v>150</v>
      </c>
      <c r="H669" s="27">
        <f>150</f>
        <v>150</v>
      </c>
      <c r="I669" s="27">
        <f>150</f>
        <v>150</v>
      </c>
      <c r="J669" s="80"/>
      <c r="K669" s="16">
        <f t="shared" si="268"/>
        <v>-150</v>
      </c>
      <c r="L669" s="80"/>
      <c r="M669" s="16">
        <f t="shared" si="270"/>
        <v>-150</v>
      </c>
      <c r="N669" s="80"/>
      <c r="O669" s="16">
        <f t="shared" si="271"/>
        <v>-150</v>
      </c>
    </row>
    <row r="670" spans="1:15" s="3" customFormat="1" ht="38.25">
      <c r="A670" s="13" t="s">
        <v>854</v>
      </c>
      <c r="B670" s="25" t="s">
        <v>26</v>
      </c>
      <c r="C670" s="26" t="s">
        <v>71</v>
      </c>
      <c r="D670" s="26" t="s">
        <v>53</v>
      </c>
      <c r="E670" s="26" t="s">
        <v>624</v>
      </c>
      <c r="F670" s="26" t="s">
        <v>58</v>
      </c>
      <c r="G670" s="27">
        <f>G671</f>
        <v>300</v>
      </c>
      <c r="H670" s="27">
        <f>H671</f>
        <v>218.4</v>
      </c>
      <c r="I670" s="27">
        <f>I671</f>
        <v>218.4</v>
      </c>
      <c r="J670" s="27">
        <f>J671</f>
        <v>300</v>
      </c>
      <c r="K670" s="16">
        <f t="shared" ref="K670:K723" si="295">J670-G670</f>
        <v>0</v>
      </c>
      <c r="L670" s="27">
        <f>L671</f>
        <v>218.4</v>
      </c>
      <c r="M670" s="16">
        <f t="shared" ref="M670:M723" si="296">L670-H670</f>
        <v>0</v>
      </c>
      <c r="N670" s="27">
        <f>N671</f>
        <v>218.4</v>
      </c>
      <c r="O670" s="16">
        <f t="shared" ref="O670:O723" si="297">N670-I670</f>
        <v>0</v>
      </c>
    </row>
    <row r="671" spans="1:15" s="3" customFormat="1" ht="38.25">
      <c r="A671" s="13" t="s">
        <v>855</v>
      </c>
      <c r="B671" s="25" t="s">
        <v>26</v>
      </c>
      <c r="C671" s="26" t="s">
        <v>71</v>
      </c>
      <c r="D671" s="26" t="s">
        <v>53</v>
      </c>
      <c r="E671" s="26" t="s">
        <v>690</v>
      </c>
      <c r="F671" s="26" t="s">
        <v>58</v>
      </c>
      <c r="G671" s="27">
        <f>G672+G674</f>
        <v>300</v>
      </c>
      <c r="H671" s="27">
        <f t="shared" ref="H671:I671" si="298">H672+H674</f>
        <v>218.4</v>
      </c>
      <c r="I671" s="27">
        <f t="shared" si="298"/>
        <v>218.4</v>
      </c>
      <c r="J671" s="27">
        <f>SUM(J672:J674)</f>
        <v>300</v>
      </c>
      <c r="K671" s="16">
        <f t="shared" si="295"/>
        <v>0</v>
      </c>
      <c r="L671" s="27">
        <f>SUM(L672:L674)</f>
        <v>218.4</v>
      </c>
      <c r="M671" s="16">
        <f t="shared" si="296"/>
        <v>0</v>
      </c>
      <c r="N671" s="27">
        <f>SUM(N672:N674)</f>
        <v>218.4</v>
      </c>
      <c r="O671" s="16">
        <f t="shared" si="297"/>
        <v>0</v>
      </c>
    </row>
    <row r="672" spans="1:15" s="3" customFormat="1">
      <c r="A672" s="13" t="s">
        <v>92</v>
      </c>
      <c r="B672" s="25" t="s">
        <v>26</v>
      </c>
      <c r="C672" s="26" t="s">
        <v>71</v>
      </c>
      <c r="D672" s="26" t="s">
        <v>53</v>
      </c>
      <c r="E672" s="26" t="s">
        <v>690</v>
      </c>
      <c r="F672" s="26" t="s">
        <v>138</v>
      </c>
      <c r="G672" s="27">
        <f>G673</f>
        <v>225</v>
      </c>
      <c r="H672" s="27">
        <f t="shared" ref="H672:I672" si="299">H673</f>
        <v>163.80000000000001</v>
      </c>
      <c r="I672" s="27">
        <f t="shared" si="299"/>
        <v>163.80000000000001</v>
      </c>
      <c r="J672" s="27">
        <f>225</f>
        <v>225</v>
      </c>
      <c r="K672" s="16">
        <f t="shared" si="295"/>
        <v>0</v>
      </c>
      <c r="L672" s="27">
        <f>163.8</f>
        <v>163.80000000000001</v>
      </c>
      <c r="M672" s="16">
        <f t="shared" si="296"/>
        <v>0</v>
      </c>
      <c r="N672" s="27">
        <f>163.8</f>
        <v>163.80000000000001</v>
      </c>
      <c r="O672" s="16">
        <f t="shared" si="297"/>
        <v>0</v>
      </c>
    </row>
    <row r="673" spans="1:15" s="4" customFormat="1">
      <c r="A673" s="11" t="s">
        <v>1016</v>
      </c>
      <c r="B673" s="25" t="s">
        <v>26</v>
      </c>
      <c r="C673" s="26" t="s">
        <v>71</v>
      </c>
      <c r="D673" s="26" t="s">
        <v>53</v>
      </c>
      <c r="E673" s="26" t="s">
        <v>690</v>
      </c>
      <c r="F673" s="26" t="s">
        <v>1046</v>
      </c>
      <c r="G673" s="27">
        <f>225</f>
        <v>225</v>
      </c>
      <c r="H673" s="27">
        <f>163.8</f>
        <v>163.80000000000001</v>
      </c>
      <c r="I673" s="27">
        <f>163.8</f>
        <v>163.80000000000001</v>
      </c>
      <c r="J673" s="80"/>
      <c r="K673" s="16">
        <f t="shared" si="295"/>
        <v>-225</v>
      </c>
      <c r="L673" s="80"/>
      <c r="M673" s="16">
        <f t="shared" si="296"/>
        <v>-163.80000000000001</v>
      </c>
      <c r="N673" s="80"/>
      <c r="O673" s="16">
        <f t="shared" si="297"/>
        <v>-163.80000000000001</v>
      </c>
    </row>
    <row r="674" spans="1:15" s="3" customFormat="1">
      <c r="A674" s="13" t="s">
        <v>93</v>
      </c>
      <c r="B674" s="25" t="s">
        <v>26</v>
      </c>
      <c r="C674" s="26" t="s">
        <v>71</v>
      </c>
      <c r="D674" s="26" t="s">
        <v>53</v>
      </c>
      <c r="E674" s="26" t="s">
        <v>690</v>
      </c>
      <c r="F674" s="26" t="s">
        <v>20</v>
      </c>
      <c r="G674" s="27">
        <f>G675</f>
        <v>75</v>
      </c>
      <c r="H674" s="27">
        <f t="shared" ref="H674:I674" si="300">H675</f>
        <v>54.6</v>
      </c>
      <c r="I674" s="27">
        <f t="shared" si="300"/>
        <v>54.6</v>
      </c>
      <c r="J674" s="27">
        <f>75</f>
        <v>75</v>
      </c>
      <c r="K674" s="16">
        <f t="shared" si="295"/>
        <v>0</v>
      </c>
      <c r="L674" s="27">
        <f>54.6</f>
        <v>54.6</v>
      </c>
      <c r="M674" s="16">
        <f t="shared" si="296"/>
        <v>0</v>
      </c>
      <c r="N674" s="27">
        <f>54.6</f>
        <v>54.6</v>
      </c>
      <c r="O674" s="16">
        <f t="shared" si="297"/>
        <v>0</v>
      </c>
    </row>
    <row r="675" spans="1:15" s="4" customFormat="1">
      <c r="A675" s="12" t="s">
        <v>1019</v>
      </c>
      <c r="B675" s="25" t="s">
        <v>26</v>
      </c>
      <c r="C675" s="26" t="s">
        <v>71</v>
      </c>
      <c r="D675" s="26" t="s">
        <v>53</v>
      </c>
      <c r="E675" s="26" t="s">
        <v>690</v>
      </c>
      <c r="F675" s="26" t="s">
        <v>1054</v>
      </c>
      <c r="G675" s="27">
        <f>75</f>
        <v>75</v>
      </c>
      <c r="H675" s="27">
        <f>54.6</f>
        <v>54.6</v>
      </c>
      <c r="I675" s="27">
        <f>54.6</f>
        <v>54.6</v>
      </c>
      <c r="J675" s="80"/>
      <c r="K675" s="16">
        <f t="shared" si="295"/>
        <v>-75</v>
      </c>
      <c r="L675" s="80"/>
      <c r="M675" s="16">
        <f t="shared" si="296"/>
        <v>-54.6</v>
      </c>
      <c r="N675" s="80"/>
      <c r="O675" s="16">
        <f t="shared" si="297"/>
        <v>-54.6</v>
      </c>
    </row>
    <row r="676" spans="1:15" s="3" customFormat="1" ht="51">
      <c r="A676" s="13" t="s">
        <v>856</v>
      </c>
      <c r="B676" s="25" t="s">
        <v>26</v>
      </c>
      <c r="C676" s="26" t="s">
        <v>71</v>
      </c>
      <c r="D676" s="26" t="s">
        <v>53</v>
      </c>
      <c r="E676" s="26" t="s">
        <v>781</v>
      </c>
      <c r="F676" s="26" t="s">
        <v>58</v>
      </c>
      <c r="G676" s="27">
        <f>G677</f>
        <v>2939.95</v>
      </c>
      <c r="H676" s="27">
        <f t="shared" ref="H676:N676" si="301">H677</f>
        <v>0</v>
      </c>
      <c r="I676" s="27">
        <f t="shared" si="301"/>
        <v>0</v>
      </c>
      <c r="J676" s="27">
        <f>J677</f>
        <v>2939.95</v>
      </c>
      <c r="K676" s="16">
        <f t="shared" si="295"/>
        <v>0</v>
      </c>
      <c r="L676" s="27">
        <f t="shared" si="301"/>
        <v>0</v>
      </c>
      <c r="M676" s="16">
        <f t="shared" si="296"/>
        <v>0</v>
      </c>
      <c r="N676" s="27">
        <f t="shared" si="301"/>
        <v>0</v>
      </c>
      <c r="O676" s="16">
        <f t="shared" si="297"/>
        <v>0</v>
      </c>
    </row>
    <row r="677" spans="1:15" s="3" customFormat="1" ht="76.5">
      <c r="A677" s="13" t="s">
        <v>888</v>
      </c>
      <c r="B677" s="25" t="s">
        <v>26</v>
      </c>
      <c r="C677" s="26" t="s">
        <v>71</v>
      </c>
      <c r="D677" s="26" t="s">
        <v>53</v>
      </c>
      <c r="E677" s="26" t="s">
        <v>782</v>
      </c>
      <c r="F677" s="26" t="s">
        <v>58</v>
      </c>
      <c r="G677" s="27">
        <f>G678</f>
        <v>2939.95</v>
      </c>
      <c r="H677" s="27">
        <f t="shared" ref="H677:N678" si="302">H678</f>
        <v>0</v>
      </c>
      <c r="I677" s="27">
        <f t="shared" si="302"/>
        <v>0</v>
      </c>
      <c r="J677" s="27">
        <f>J678</f>
        <v>2939.95</v>
      </c>
      <c r="K677" s="16">
        <f t="shared" si="295"/>
        <v>0</v>
      </c>
      <c r="L677" s="27">
        <f t="shared" si="302"/>
        <v>0</v>
      </c>
      <c r="M677" s="16">
        <f t="shared" si="296"/>
        <v>0</v>
      </c>
      <c r="N677" s="27">
        <f t="shared" si="302"/>
        <v>0</v>
      </c>
      <c r="O677" s="16">
        <f t="shared" si="297"/>
        <v>0</v>
      </c>
    </row>
    <row r="678" spans="1:15" s="3" customFormat="1">
      <c r="A678" s="13" t="s">
        <v>93</v>
      </c>
      <c r="B678" s="25" t="s">
        <v>26</v>
      </c>
      <c r="C678" s="26" t="s">
        <v>71</v>
      </c>
      <c r="D678" s="26" t="s">
        <v>53</v>
      </c>
      <c r="E678" s="26" t="s">
        <v>782</v>
      </c>
      <c r="F678" s="26" t="s">
        <v>20</v>
      </c>
      <c r="G678" s="27">
        <f>G679</f>
        <v>2939.95</v>
      </c>
      <c r="H678" s="27">
        <f t="shared" si="302"/>
        <v>0</v>
      </c>
      <c r="I678" s="27">
        <f t="shared" si="302"/>
        <v>0</v>
      </c>
      <c r="J678" s="27">
        <f>2939.95</f>
        <v>2939.95</v>
      </c>
      <c r="K678" s="16">
        <f t="shared" si="295"/>
        <v>0</v>
      </c>
      <c r="L678" s="27">
        <v>0</v>
      </c>
      <c r="M678" s="16">
        <f t="shared" si="296"/>
        <v>0</v>
      </c>
      <c r="N678" s="27">
        <v>0</v>
      </c>
      <c r="O678" s="16">
        <f t="shared" si="297"/>
        <v>0</v>
      </c>
    </row>
    <row r="679" spans="1:15" s="4" customFormat="1">
      <c r="A679" s="12" t="s">
        <v>1019</v>
      </c>
      <c r="B679" s="25" t="s">
        <v>26</v>
      </c>
      <c r="C679" s="26" t="s">
        <v>71</v>
      </c>
      <c r="D679" s="26" t="s">
        <v>53</v>
      </c>
      <c r="E679" s="26" t="s">
        <v>782</v>
      </c>
      <c r="F679" s="26" t="s">
        <v>1054</v>
      </c>
      <c r="G679" s="27">
        <f>2939.95</f>
        <v>2939.95</v>
      </c>
      <c r="H679" s="27">
        <v>0</v>
      </c>
      <c r="I679" s="27">
        <v>0</v>
      </c>
      <c r="J679" s="80"/>
      <c r="K679" s="16">
        <f t="shared" si="295"/>
        <v>-2939.95</v>
      </c>
      <c r="L679" s="80"/>
      <c r="M679" s="16">
        <f t="shared" si="296"/>
        <v>0</v>
      </c>
      <c r="N679" s="80"/>
      <c r="O679" s="16">
        <f t="shared" si="297"/>
        <v>0</v>
      </c>
    </row>
    <row r="680" spans="1:15" s="3" customFormat="1" ht="63.75">
      <c r="A680" s="11" t="s">
        <v>756</v>
      </c>
      <c r="B680" s="25" t="s">
        <v>26</v>
      </c>
      <c r="C680" s="26" t="s">
        <v>71</v>
      </c>
      <c r="D680" s="26" t="s">
        <v>53</v>
      </c>
      <c r="E680" s="26" t="s">
        <v>339</v>
      </c>
      <c r="F680" s="26" t="s">
        <v>58</v>
      </c>
      <c r="G680" s="27">
        <f t="shared" ref="G680:N682" si="303">G681</f>
        <v>392.8</v>
      </c>
      <c r="H680" s="27">
        <f t="shared" si="303"/>
        <v>392.8</v>
      </c>
      <c r="I680" s="27">
        <f t="shared" si="303"/>
        <v>392.8</v>
      </c>
      <c r="J680" s="27">
        <f t="shared" si="303"/>
        <v>392.8</v>
      </c>
      <c r="K680" s="16">
        <f t="shared" si="295"/>
        <v>0</v>
      </c>
      <c r="L680" s="27">
        <f t="shared" si="303"/>
        <v>392.8</v>
      </c>
      <c r="M680" s="16">
        <f t="shared" si="296"/>
        <v>0</v>
      </c>
      <c r="N680" s="27">
        <f t="shared" si="303"/>
        <v>392.8</v>
      </c>
      <c r="O680" s="16">
        <f t="shared" si="297"/>
        <v>0</v>
      </c>
    </row>
    <row r="681" spans="1:15" s="3" customFormat="1" ht="25.5">
      <c r="A681" s="11" t="s">
        <v>136</v>
      </c>
      <c r="B681" s="25" t="s">
        <v>26</v>
      </c>
      <c r="C681" s="26" t="s">
        <v>71</v>
      </c>
      <c r="D681" s="26" t="s">
        <v>53</v>
      </c>
      <c r="E681" s="26" t="s">
        <v>340</v>
      </c>
      <c r="F681" s="26" t="s">
        <v>58</v>
      </c>
      <c r="G681" s="27">
        <f t="shared" si="303"/>
        <v>392.8</v>
      </c>
      <c r="H681" s="27">
        <f t="shared" si="303"/>
        <v>392.8</v>
      </c>
      <c r="I681" s="27">
        <f t="shared" si="303"/>
        <v>392.8</v>
      </c>
      <c r="J681" s="27">
        <f t="shared" si="303"/>
        <v>392.8</v>
      </c>
      <c r="K681" s="16">
        <f t="shared" si="295"/>
        <v>0</v>
      </c>
      <c r="L681" s="27">
        <f t="shared" si="303"/>
        <v>392.8</v>
      </c>
      <c r="M681" s="16">
        <f t="shared" si="296"/>
        <v>0</v>
      </c>
      <c r="N681" s="27">
        <f t="shared" si="303"/>
        <v>392.8</v>
      </c>
      <c r="O681" s="16">
        <f t="shared" si="297"/>
        <v>0</v>
      </c>
    </row>
    <row r="682" spans="1:15" s="3" customFormat="1" ht="25.5">
      <c r="A682" s="11" t="s">
        <v>667</v>
      </c>
      <c r="B682" s="25" t="s">
        <v>26</v>
      </c>
      <c r="C682" s="26" t="s">
        <v>71</v>
      </c>
      <c r="D682" s="26" t="s">
        <v>53</v>
      </c>
      <c r="E682" s="26" t="s">
        <v>609</v>
      </c>
      <c r="F682" s="26" t="s">
        <v>58</v>
      </c>
      <c r="G682" s="27">
        <f t="shared" si="303"/>
        <v>392.8</v>
      </c>
      <c r="H682" s="27">
        <f t="shared" si="303"/>
        <v>392.8</v>
      </c>
      <c r="I682" s="27">
        <f t="shared" si="303"/>
        <v>392.8</v>
      </c>
      <c r="J682" s="27">
        <f t="shared" si="303"/>
        <v>392.8</v>
      </c>
      <c r="K682" s="16">
        <f t="shared" si="295"/>
        <v>0</v>
      </c>
      <c r="L682" s="27">
        <f t="shared" si="303"/>
        <v>392.8</v>
      </c>
      <c r="M682" s="16">
        <f t="shared" si="296"/>
        <v>0</v>
      </c>
      <c r="N682" s="27">
        <f t="shared" si="303"/>
        <v>392.8</v>
      </c>
      <c r="O682" s="16">
        <f t="shared" si="297"/>
        <v>0</v>
      </c>
    </row>
    <row r="683" spans="1:15" s="3" customFormat="1" ht="38.25">
      <c r="A683" s="11" t="s">
        <v>177</v>
      </c>
      <c r="B683" s="25" t="s">
        <v>26</v>
      </c>
      <c r="C683" s="26" t="s">
        <v>71</v>
      </c>
      <c r="D683" s="26" t="s">
        <v>53</v>
      </c>
      <c r="E683" s="26" t="s">
        <v>610</v>
      </c>
      <c r="F683" s="26" t="s">
        <v>58</v>
      </c>
      <c r="G683" s="27">
        <f>G684+G686</f>
        <v>392.8</v>
      </c>
      <c r="H683" s="27">
        <f t="shared" ref="H683:I683" si="304">H684+H686</f>
        <v>392.8</v>
      </c>
      <c r="I683" s="27">
        <f t="shared" si="304"/>
        <v>392.8</v>
      </c>
      <c r="J683" s="27">
        <f>SUM(J684:J686)</f>
        <v>392.8</v>
      </c>
      <c r="K683" s="16">
        <f t="shared" si="295"/>
        <v>0</v>
      </c>
      <c r="L683" s="27">
        <f>SUM(L684:L686)</f>
        <v>392.8</v>
      </c>
      <c r="M683" s="16">
        <f t="shared" si="296"/>
        <v>0</v>
      </c>
      <c r="N683" s="27">
        <f>SUM(N684:N686)</f>
        <v>392.8</v>
      </c>
      <c r="O683" s="16">
        <f t="shared" si="297"/>
        <v>0</v>
      </c>
    </row>
    <row r="684" spans="1:15" s="3" customFormat="1">
      <c r="A684" s="13" t="s">
        <v>92</v>
      </c>
      <c r="B684" s="25" t="s">
        <v>26</v>
      </c>
      <c r="C684" s="26" t="s">
        <v>71</v>
      </c>
      <c r="D684" s="26" t="s">
        <v>53</v>
      </c>
      <c r="E684" s="26" t="s">
        <v>610</v>
      </c>
      <c r="F684" s="26" t="s">
        <v>138</v>
      </c>
      <c r="G684" s="27">
        <f>G685</f>
        <v>344.8</v>
      </c>
      <c r="H684" s="27">
        <f t="shared" ref="H684:I684" si="305">H685</f>
        <v>344.8</v>
      </c>
      <c r="I684" s="27">
        <f t="shared" si="305"/>
        <v>344.8</v>
      </c>
      <c r="J684" s="27">
        <f>344.8</f>
        <v>344.8</v>
      </c>
      <c r="K684" s="16">
        <f t="shared" si="295"/>
        <v>0</v>
      </c>
      <c r="L684" s="27">
        <f>344.8</f>
        <v>344.8</v>
      </c>
      <c r="M684" s="16">
        <f t="shared" si="296"/>
        <v>0</v>
      </c>
      <c r="N684" s="27">
        <f>344.8</f>
        <v>344.8</v>
      </c>
      <c r="O684" s="16">
        <f t="shared" si="297"/>
        <v>0</v>
      </c>
    </row>
    <row r="685" spans="1:15" s="4" customFormat="1">
      <c r="A685" s="12" t="s">
        <v>1016</v>
      </c>
      <c r="B685" s="25" t="s">
        <v>26</v>
      </c>
      <c r="C685" s="26" t="s">
        <v>71</v>
      </c>
      <c r="D685" s="26" t="s">
        <v>53</v>
      </c>
      <c r="E685" s="26" t="s">
        <v>610</v>
      </c>
      <c r="F685" s="26" t="s">
        <v>1046</v>
      </c>
      <c r="G685" s="27">
        <f>344.8</f>
        <v>344.8</v>
      </c>
      <c r="H685" s="27">
        <f>344.8</f>
        <v>344.8</v>
      </c>
      <c r="I685" s="27">
        <f>344.8</f>
        <v>344.8</v>
      </c>
      <c r="J685" s="80"/>
      <c r="K685" s="16">
        <f t="shared" si="295"/>
        <v>-344.8</v>
      </c>
      <c r="L685" s="80"/>
      <c r="M685" s="16">
        <f t="shared" si="296"/>
        <v>-344.8</v>
      </c>
      <c r="N685" s="80"/>
      <c r="O685" s="16">
        <f t="shared" si="297"/>
        <v>-344.8</v>
      </c>
    </row>
    <row r="686" spans="1:15" s="30" customFormat="1">
      <c r="A686" s="13" t="s">
        <v>93</v>
      </c>
      <c r="B686" s="25" t="s">
        <v>26</v>
      </c>
      <c r="C686" s="26" t="s">
        <v>71</v>
      </c>
      <c r="D686" s="26" t="s">
        <v>53</v>
      </c>
      <c r="E686" s="26" t="s">
        <v>610</v>
      </c>
      <c r="F686" s="26" t="s">
        <v>20</v>
      </c>
      <c r="G686" s="27">
        <f>G687</f>
        <v>48</v>
      </c>
      <c r="H686" s="27">
        <f t="shared" ref="H686:I686" si="306">H687</f>
        <v>48</v>
      </c>
      <c r="I686" s="27">
        <f t="shared" si="306"/>
        <v>48</v>
      </c>
      <c r="J686" s="27">
        <f>48</f>
        <v>48</v>
      </c>
      <c r="K686" s="16">
        <f t="shared" si="295"/>
        <v>0</v>
      </c>
      <c r="L686" s="27">
        <f>48</f>
        <v>48</v>
      </c>
      <c r="M686" s="16">
        <f t="shared" si="296"/>
        <v>0</v>
      </c>
      <c r="N686" s="27">
        <f>48</f>
        <v>48</v>
      </c>
      <c r="O686" s="16">
        <f t="shared" si="297"/>
        <v>0</v>
      </c>
    </row>
    <row r="687" spans="1:15" s="83" customFormat="1">
      <c r="A687" s="12" t="s">
        <v>1019</v>
      </c>
      <c r="B687" s="25" t="s">
        <v>26</v>
      </c>
      <c r="C687" s="26" t="s">
        <v>71</v>
      </c>
      <c r="D687" s="26" t="s">
        <v>53</v>
      </c>
      <c r="E687" s="26" t="s">
        <v>610</v>
      </c>
      <c r="F687" s="26" t="s">
        <v>1054</v>
      </c>
      <c r="G687" s="27">
        <f>48</f>
        <v>48</v>
      </c>
      <c r="H687" s="27">
        <f>48</f>
        <v>48</v>
      </c>
      <c r="I687" s="27">
        <f>48</f>
        <v>48</v>
      </c>
      <c r="J687" s="80"/>
      <c r="K687" s="16">
        <f t="shared" si="295"/>
        <v>-48</v>
      </c>
      <c r="L687" s="80"/>
      <c r="M687" s="16">
        <f t="shared" si="296"/>
        <v>-48</v>
      </c>
      <c r="N687" s="80"/>
      <c r="O687" s="16">
        <f t="shared" si="297"/>
        <v>-48</v>
      </c>
    </row>
    <row r="688" spans="1:15" s="30" customFormat="1" ht="25.5">
      <c r="A688" s="11" t="s">
        <v>757</v>
      </c>
      <c r="B688" s="25" t="s">
        <v>26</v>
      </c>
      <c r="C688" s="26" t="s">
        <v>71</v>
      </c>
      <c r="D688" s="26" t="s">
        <v>53</v>
      </c>
      <c r="E688" s="26" t="s">
        <v>342</v>
      </c>
      <c r="F688" s="26" t="s">
        <v>58</v>
      </c>
      <c r="G688" s="27">
        <f t="shared" ref="G688:N692" si="307">G689</f>
        <v>995.64</v>
      </c>
      <c r="H688" s="27">
        <f t="shared" si="307"/>
        <v>896.08</v>
      </c>
      <c r="I688" s="27">
        <f t="shared" si="307"/>
        <v>896.08</v>
      </c>
      <c r="J688" s="27">
        <f t="shared" si="307"/>
        <v>995.64</v>
      </c>
      <c r="K688" s="16">
        <f t="shared" si="295"/>
        <v>0</v>
      </c>
      <c r="L688" s="27">
        <f t="shared" si="307"/>
        <v>896.08</v>
      </c>
      <c r="M688" s="16">
        <f t="shared" si="296"/>
        <v>0</v>
      </c>
      <c r="N688" s="27">
        <f t="shared" si="307"/>
        <v>896.08</v>
      </c>
      <c r="O688" s="16">
        <f t="shared" si="297"/>
        <v>0</v>
      </c>
    </row>
    <row r="689" spans="1:15" s="30" customFormat="1" ht="38.25">
      <c r="A689" s="34" t="s">
        <v>758</v>
      </c>
      <c r="B689" s="25" t="s">
        <v>26</v>
      </c>
      <c r="C689" s="26" t="s">
        <v>71</v>
      </c>
      <c r="D689" s="26" t="s">
        <v>53</v>
      </c>
      <c r="E689" s="26" t="s">
        <v>343</v>
      </c>
      <c r="F689" s="26" t="s">
        <v>58</v>
      </c>
      <c r="G689" s="27">
        <f t="shared" si="307"/>
        <v>995.64</v>
      </c>
      <c r="H689" s="27">
        <f t="shared" si="307"/>
        <v>896.08</v>
      </c>
      <c r="I689" s="27">
        <f t="shared" si="307"/>
        <v>896.08</v>
      </c>
      <c r="J689" s="27">
        <f t="shared" si="307"/>
        <v>995.64</v>
      </c>
      <c r="K689" s="16">
        <f t="shared" si="295"/>
        <v>0</v>
      </c>
      <c r="L689" s="27">
        <f t="shared" si="307"/>
        <v>896.08</v>
      </c>
      <c r="M689" s="16">
        <f t="shared" si="296"/>
        <v>0</v>
      </c>
      <c r="N689" s="27">
        <f t="shared" si="307"/>
        <v>896.08</v>
      </c>
      <c r="O689" s="16">
        <f t="shared" si="297"/>
        <v>0</v>
      </c>
    </row>
    <row r="690" spans="1:15" s="30" customFormat="1" ht="25.5">
      <c r="A690" s="11" t="s">
        <v>344</v>
      </c>
      <c r="B690" s="25" t="s">
        <v>26</v>
      </c>
      <c r="C690" s="26" t="s">
        <v>71</v>
      </c>
      <c r="D690" s="26" t="s">
        <v>53</v>
      </c>
      <c r="E690" s="26" t="s">
        <v>345</v>
      </c>
      <c r="F690" s="26" t="s">
        <v>58</v>
      </c>
      <c r="G690" s="27">
        <f t="shared" si="307"/>
        <v>995.64</v>
      </c>
      <c r="H690" s="27">
        <f t="shared" si="307"/>
        <v>896.08</v>
      </c>
      <c r="I690" s="27">
        <f t="shared" si="307"/>
        <v>896.08</v>
      </c>
      <c r="J690" s="27">
        <f t="shared" si="307"/>
        <v>995.64</v>
      </c>
      <c r="K690" s="16">
        <f t="shared" si="295"/>
        <v>0</v>
      </c>
      <c r="L690" s="27">
        <f t="shared" si="307"/>
        <v>896.08</v>
      </c>
      <c r="M690" s="16">
        <f t="shared" si="296"/>
        <v>0</v>
      </c>
      <c r="N690" s="27">
        <f t="shared" si="307"/>
        <v>896.08</v>
      </c>
      <c r="O690" s="16">
        <f t="shared" si="297"/>
        <v>0</v>
      </c>
    </row>
    <row r="691" spans="1:15" s="30" customFormat="1" ht="25.5">
      <c r="A691" s="11" t="s">
        <v>174</v>
      </c>
      <c r="B691" s="25" t="s">
        <v>26</v>
      </c>
      <c r="C691" s="26" t="s">
        <v>71</v>
      </c>
      <c r="D691" s="26" t="s">
        <v>53</v>
      </c>
      <c r="E691" s="26" t="s">
        <v>346</v>
      </c>
      <c r="F691" s="26" t="s">
        <v>58</v>
      </c>
      <c r="G691" s="27">
        <f t="shared" si="307"/>
        <v>995.64</v>
      </c>
      <c r="H691" s="27">
        <f t="shared" si="307"/>
        <v>896.08</v>
      </c>
      <c r="I691" s="27">
        <f t="shared" si="307"/>
        <v>896.08</v>
      </c>
      <c r="J691" s="27">
        <f t="shared" si="307"/>
        <v>995.64</v>
      </c>
      <c r="K691" s="16">
        <f t="shared" si="295"/>
        <v>0</v>
      </c>
      <c r="L691" s="27">
        <f t="shared" si="307"/>
        <v>896.08</v>
      </c>
      <c r="M691" s="16">
        <f t="shared" si="296"/>
        <v>0</v>
      </c>
      <c r="N691" s="27">
        <f t="shared" si="307"/>
        <v>896.08</v>
      </c>
      <c r="O691" s="16">
        <f t="shared" si="297"/>
        <v>0</v>
      </c>
    </row>
    <row r="692" spans="1:15" s="30" customFormat="1">
      <c r="A692" s="13" t="s">
        <v>93</v>
      </c>
      <c r="B692" s="25" t="s">
        <v>26</v>
      </c>
      <c r="C692" s="26" t="s">
        <v>71</v>
      </c>
      <c r="D692" s="26" t="s">
        <v>53</v>
      </c>
      <c r="E692" s="26" t="s">
        <v>346</v>
      </c>
      <c r="F692" s="26" t="s">
        <v>20</v>
      </c>
      <c r="G692" s="27">
        <f>G693</f>
        <v>995.64</v>
      </c>
      <c r="H692" s="27">
        <f t="shared" si="307"/>
        <v>896.08</v>
      </c>
      <c r="I692" s="27">
        <f t="shared" si="307"/>
        <v>896.08</v>
      </c>
      <c r="J692" s="27">
        <f>995.64</f>
        <v>995.64</v>
      </c>
      <c r="K692" s="16">
        <f t="shared" si="295"/>
        <v>0</v>
      </c>
      <c r="L692" s="27">
        <f>896.08</f>
        <v>896.08</v>
      </c>
      <c r="M692" s="16">
        <f t="shared" si="296"/>
        <v>0</v>
      </c>
      <c r="N692" s="27">
        <f>896.08</f>
        <v>896.08</v>
      </c>
      <c r="O692" s="16">
        <f t="shared" si="297"/>
        <v>0</v>
      </c>
    </row>
    <row r="693" spans="1:15" s="83" customFormat="1">
      <c r="A693" s="12" t="s">
        <v>1019</v>
      </c>
      <c r="B693" s="25" t="s">
        <v>26</v>
      </c>
      <c r="C693" s="26" t="s">
        <v>71</v>
      </c>
      <c r="D693" s="26" t="s">
        <v>53</v>
      </c>
      <c r="E693" s="26" t="s">
        <v>346</v>
      </c>
      <c r="F693" s="26" t="s">
        <v>1054</v>
      </c>
      <c r="G693" s="27">
        <f>995.64</f>
        <v>995.64</v>
      </c>
      <c r="H693" s="27">
        <f>896.08</f>
        <v>896.08</v>
      </c>
      <c r="I693" s="27">
        <f>896.08</f>
        <v>896.08</v>
      </c>
      <c r="J693" s="80"/>
      <c r="K693" s="16">
        <f t="shared" si="295"/>
        <v>-995.64</v>
      </c>
      <c r="L693" s="80"/>
      <c r="M693" s="16">
        <f t="shared" si="296"/>
        <v>-896.08</v>
      </c>
      <c r="N693" s="80"/>
      <c r="O693" s="16">
        <f t="shared" si="297"/>
        <v>-896.08</v>
      </c>
    </row>
    <row r="694" spans="1:15" s="30" customFormat="1">
      <c r="A694" s="21" t="s">
        <v>783</v>
      </c>
      <c r="B694" s="22" t="s">
        <v>26</v>
      </c>
      <c r="C694" s="23" t="s">
        <v>71</v>
      </c>
      <c r="D694" s="23" t="s">
        <v>71</v>
      </c>
      <c r="E694" s="23" t="s">
        <v>196</v>
      </c>
      <c r="F694" s="23" t="s">
        <v>58</v>
      </c>
      <c r="G694" s="24">
        <f>G701+G695</f>
        <v>7006.51</v>
      </c>
      <c r="H694" s="24">
        <f>H701+H695</f>
        <v>6577.7</v>
      </c>
      <c r="I694" s="24">
        <f>I701+I695</f>
        <v>6577.7</v>
      </c>
      <c r="J694" s="24">
        <f>J701+J695</f>
        <v>7006.51</v>
      </c>
      <c r="K694" s="16">
        <f t="shared" si="295"/>
        <v>0</v>
      </c>
      <c r="L694" s="24">
        <f>L701+L695</f>
        <v>6577.7</v>
      </c>
      <c r="M694" s="16">
        <f t="shared" si="296"/>
        <v>0</v>
      </c>
      <c r="N694" s="24">
        <f>N701+N695</f>
        <v>6577.7</v>
      </c>
      <c r="O694" s="16">
        <f t="shared" si="297"/>
        <v>0</v>
      </c>
    </row>
    <row r="695" spans="1:15" s="30" customFormat="1" ht="38.25">
      <c r="A695" s="12" t="s">
        <v>722</v>
      </c>
      <c r="B695" s="25" t="s">
        <v>26</v>
      </c>
      <c r="C695" s="26" t="s">
        <v>71</v>
      </c>
      <c r="D695" s="26" t="s">
        <v>71</v>
      </c>
      <c r="E695" s="26" t="s">
        <v>300</v>
      </c>
      <c r="F695" s="26" t="s">
        <v>58</v>
      </c>
      <c r="G695" s="27">
        <f t="shared" ref="G695:N699" si="308">G696</f>
        <v>212.5</v>
      </c>
      <c r="H695" s="27">
        <f t="shared" si="308"/>
        <v>187.5</v>
      </c>
      <c r="I695" s="27">
        <f t="shared" si="308"/>
        <v>187.5</v>
      </c>
      <c r="J695" s="27">
        <f t="shared" si="308"/>
        <v>212.5</v>
      </c>
      <c r="K695" s="16">
        <f t="shared" si="295"/>
        <v>0</v>
      </c>
      <c r="L695" s="27">
        <f t="shared" si="308"/>
        <v>187.5</v>
      </c>
      <c r="M695" s="16">
        <f t="shared" si="296"/>
        <v>0</v>
      </c>
      <c r="N695" s="27">
        <f t="shared" si="308"/>
        <v>187.5</v>
      </c>
      <c r="O695" s="16">
        <f t="shared" si="297"/>
        <v>0</v>
      </c>
    </row>
    <row r="696" spans="1:15" s="30" customFormat="1">
      <c r="A696" s="12" t="s">
        <v>142</v>
      </c>
      <c r="B696" s="25" t="s">
        <v>26</v>
      </c>
      <c r="C696" s="26" t="s">
        <v>71</v>
      </c>
      <c r="D696" s="26" t="s">
        <v>71</v>
      </c>
      <c r="E696" s="26" t="s">
        <v>453</v>
      </c>
      <c r="F696" s="26" t="s">
        <v>58</v>
      </c>
      <c r="G696" s="27">
        <f t="shared" si="308"/>
        <v>212.5</v>
      </c>
      <c r="H696" s="27">
        <f t="shared" si="308"/>
        <v>187.5</v>
      </c>
      <c r="I696" s="27">
        <f t="shared" si="308"/>
        <v>187.5</v>
      </c>
      <c r="J696" s="27">
        <f t="shared" si="308"/>
        <v>212.5</v>
      </c>
      <c r="K696" s="16">
        <f t="shared" si="295"/>
        <v>0</v>
      </c>
      <c r="L696" s="27">
        <f t="shared" si="308"/>
        <v>187.5</v>
      </c>
      <c r="M696" s="16">
        <f t="shared" si="296"/>
        <v>0</v>
      </c>
      <c r="N696" s="27">
        <f t="shared" si="308"/>
        <v>187.5</v>
      </c>
      <c r="O696" s="16">
        <f t="shared" si="297"/>
        <v>0</v>
      </c>
    </row>
    <row r="697" spans="1:15" s="30" customFormat="1" ht="25.5">
      <c r="A697" s="12" t="s">
        <v>454</v>
      </c>
      <c r="B697" s="25" t="s">
        <v>26</v>
      </c>
      <c r="C697" s="26" t="s">
        <v>71</v>
      </c>
      <c r="D697" s="26" t="s">
        <v>71</v>
      </c>
      <c r="E697" s="26" t="s">
        <v>645</v>
      </c>
      <c r="F697" s="26" t="s">
        <v>58</v>
      </c>
      <c r="G697" s="27">
        <f t="shared" si="308"/>
        <v>212.5</v>
      </c>
      <c r="H697" s="27">
        <f t="shared" si="308"/>
        <v>187.5</v>
      </c>
      <c r="I697" s="27">
        <f t="shared" si="308"/>
        <v>187.5</v>
      </c>
      <c r="J697" s="27">
        <f t="shared" si="308"/>
        <v>212.5</v>
      </c>
      <c r="K697" s="16">
        <f t="shared" si="295"/>
        <v>0</v>
      </c>
      <c r="L697" s="27">
        <f t="shared" si="308"/>
        <v>187.5</v>
      </c>
      <c r="M697" s="16">
        <f t="shared" si="296"/>
        <v>0</v>
      </c>
      <c r="N697" s="27">
        <f t="shared" si="308"/>
        <v>187.5</v>
      </c>
      <c r="O697" s="16">
        <f t="shared" si="297"/>
        <v>0</v>
      </c>
    </row>
    <row r="698" spans="1:15" s="30" customFormat="1" ht="25.5">
      <c r="A698" s="12" t="s">
        <v>158</v>
      </c>
      <c r="B698" s="25" t="s">
        <v>26</v>
      </c>
      <c r="C698" s="26" t="s">
        <v>71</v>
      </c>
      <c r="D698" s="26" t="s">
        <v>71</v>
      </c>
      <c r="E698" s="26" t="s">
        <v>646</v>
      </c>
      <c r="F698" s="26" t="s">
        <v>58</v>
      </c>
      <c r="G698" s="27">
        <f t="shared" si="308"/>
        <v>212.5</v>
      </c>
      <c r="H698" s="27">
        <f t="shared" si="308"/>
        <v>187.5</v>
      </c>
      <c r="I698" s="27">
        <f t="shared" si="308"/>
        <v>187.5</v>
      </c>
      <c r="J698" s="27">
        <f t="shared" si="308"/>
        <v>212.5</v>
      </c>
      <c r="K698" s="16">
        <f t="shared" si="295"/>
        <v>0</v>
      </c>
      <c r="L698" s="27">
        <f t="shared" si="308"/>
        <v>187.5</v>
      </c>
      <c r="M698" s="16">
        <f t="shared" si="296"/>
        <v>0</v>
      </c>
      <c r="N698" s="27">
        <f t="shared" si="308"/>
        <v>187.5</v>
      </c>
      <c r="O698" s="16">
        <f t="shared" si="297"/>
        <v>0</v>
      </c>
    </row>
    <row r="699" spans="1:15" s="30" customFormat="1" ht="25.5">
      <c r="A699" s="11" t="s">
        <v>108</v>
      </c>
      <c r="B699" s="25" t="s">
        <v>26</v>
      </c>
      <c r="C699" s="26" t="s">
        <v>71</v>
      </c>
      <c r="D699" s="26" t="s">
        <v>71</v>
      </c>
      <c r="E699" s="26" t="s">
        <v>646</v>
      </c>
      <c r="F699" s="26" t="s">
        <v>116</v>
      </c>
      <c r="G699" s="27">
        <f>G700</f>
        <v>212.5</v>
      </c>
      <c r="H699" s="27">
        <f t="shared" si="308"/>
        <v>187.5</v>
      </c>
      <c r="I699" s="27">
        <f t="shared" si="308"/>
        <v>187.5</v>
      </c>
      <c r="J699" s="27">
        <f>212.5</f>
        <v>212.5</v>
      </c>
      <c r="K699" s="16">
        <f t="shared" si="295"/>
        <v>0</v>
      </c>
      <c r="L699" s="27">
        <f>187.5</f>
        <v>187.5</v>
      </c>
      <c r="M699" s="16">
        <f t="shared" si="296"/>
        <v>0</v>
      </c>
      <c r="N699" s="27">
        <f>187.5</f>
        <v>187.5</v>
      </c>
      <c r="O699" s="16">
        <f t="shared" si="297"/>
        <v>0</v>
      </c>
    </row>
    <row r="700" spans="1:15" s="83" customFormat="1" ht="25.5">
      <c r="A700" s="12" t="s">
        <v>973</v>
      </c>
      <c r="B700" s="25" t="s">
        <v>26</v>
      </c>
      <c r="C700" s="26" t="s">
        <v>71</v>
      </c>
      <c r="D700" s="26" t="s">
        <v>71</v>
      </c>
      <c r="E700" s="26" t="s">
        <v>646</v>
      </c>
      <c r="F700" s="26" t="s">
        <v>1043</v>
      </c>
      <c r="G700" s="27">
        <f>212.5</f>
        <v>212.5</v>
      </c>
      <c r="H700" s="27">
        <f>187.5</f>
        <v>187.5</v>
      </c>
      <c r="I700" s="27">
        <f>187.5</f>
        <v>187.5</v>
      </c>
      <c r="J700" s="80"/>
      <c r="K700" s="16">
        <f t="shared" si="295"/>
        <v>-212.5</v>
      </c>
      <c r="L700" s="80"/>
      <c r="M700" s="16">
        <f t="shared" si="296"/>
        <v>-187.5</v>
      </c>
      <c r="N700" s="80"/>
      <c r="O700" s="16">
        <f t="shared" si="297"/>
        <v>-187.5</v>
      </c>
    </row>
    <row r="701" spans="1:15" s="30" customFormat="1">
      <c r="A701" s="74" t="s">
        <v>741</v>
      </c>
      <c r="B701" s="25" t="s">
        <v>26</v>
      </c>
      <c r="C701" s="26" t="s">
        <v>71</v>
      </c>
      <c r="D701" s="26" t="s">
        <v>71</v>
      </c>
      <c r="E701" s="26" t="s">
        <v>456</v>
      </c>
      <c r="F701" s="26" t="s">
        <v>58</v>
      </c>
      <c r="G701" s="27">
        <f>G702</f>
        <v>6794.01</v>
      </c>
      <c r="H701" s="27">
        <f>H702</f>
        <v>6390.2</v>
      </c>
      <c r="I701" s="27">
        <f>I702</f>
        <v>6390.2</v>
      </c>
      <c r="J701" s="27">
        <f>J702</f>
        <v>6794.01</v>
      </c>
      <c r="K701" s="16">
        <f t="shared" si="295"/>
        <v>0</v>
      </c>
      <c r="L701" s="27">
        <f>L702</f>
        <v>6390.2</v>
      </c>
      <c r="M701" s="16">
        <f t="shared" si="296"/>
        <v>0</v>
      </c>
      <c r="N701" s="27">
        <f>N702</f>
        <v>6390.2</v>
      </c>
      <c r="O701" s="16">
        <f t="shared" si="297"/>
        <v>0</v>
      </c>
    </row>
    <row r="702" spans="1:15" s="30" customFormat="1" ht="25.5">
      <c r="A702" s="74" t="s">
        <v>742</v>
      </c>
      <c r="B702" s="25" t="s">
        <v>26</v>
      </c>
      <c r="C702" s="26" t="s">
        <v>71</v>
      </c>
      <c r="D702" s="26" t="s">
        <v>71</v>
      </c>
      <c r="E702" s="26" t="s">
        <v>457</v>
      </c>
      <c r="F702" s="26" t="s">
        <v>58</v>
      </c>
      <c r="G702" s="27">
        <f>G703+G707+G715+G719+G723+G727</f>
        <v>6794.01</v>
      </c>
      <c r="H702" s="27">
        <f>H703+H707+H715+H719+H723+H727</f>
        <v>6390.2</v>
      </c>
      <c r="I702" s="27">
        <f>I703+I707+I715+I719+I723+I727</f>
        <v>6390.2</v>
      </c>
      <c r="J702" s="27">
        <f>J703+J707+J715+J719+J723+J727</f>
        <v>6794.01</v>
      </c>
      <c r="K702" s="16">
        <f t="shared" si="295"/>
        <v>0</v>
      </c>
      <c r="L702" s="27">
        <f>L703+L707+L715+L719+L723+L727</f>
        <v>6390.2</v>
      </c>
      <c r="M702" s="16">
        <f t="shared" si="296"/>
        <v>0</v>
      </c>
      <c r="N702" s="27">
        <f>N703+N707+N715+N719+N723+N727</f>
        <v>6390.2</v>
      </c>
      <c r="O702" s="16">
        <f t="shared" si="297"/>
        <v>0</v>
      </c>
    </row>
    <row r="703" spans="1:15" s="30" customFormat="1" ht="25.5">
      <c r="A703" s="12" t="s">
        <v>458</v>
      </c>
      <c r="B703" s="25" t="s">
        <v>26</v>
      </c>
      <c r="C703" s="26" t="s">
        <v>71</v>
      </c>
      <c r="D703" s="26" t="s">
        <v>71</v>
      </c>
      <c r="E703" s="26" t="s">
        <v>459</v>
      </c>
      <c r="F703" s="26" t="s">
        <v>58</v>
      </c>
      <c r="G703" s="27">
        <f t="shared" ref="G703:N705" si="309">G704</f>
        <v>779</v>
      </c>
      <c r="H703" s="27">
        <f t="shared" si="309"/>
        <v>779</v>
      </c>
      <c r="I703" s="27">
        <f t="shared" si="309"/>
        <v>779</v>
      </c>
      <c r="J703" s="27">
        <f t="shared" si="309"/>
        <v>779</v>
      </c>
      <c r="K703" s="16">
        <f t="shared" si="295"/>
        <v>0</v>
      </c>
      <c r="L703" s="27">
        <f t="shared" si="309"/>
        <v>779</v>
      </c>
      <c r="M703" s="16">
        <f t="shared" si="296"/>
        <v>0</v>
      </c>
      <c r="N703" s="27">
        <f t="shared" si="309"/>
        <v>779</v>
      </c>
      <c r="O703" s="16">
        <f t="shared" si="297"/>
        <v>0</v>
      </c>
    </row>
    <row r="704" spans="1:15" s="30" customFormat="1" ht="38.25">
      <c r="A704" s="11" t="s">
        <v>164</v>
      </c>
      <c r="B704" s="25" t="s">
        <v>26</v>
      </c>
      <c r="C704" s="26" t="s">
        <v>71</v>
      </c>
      <c r="D704" s="26" t="s">
        <v>71</v>
      </c>
      <c r="E704" s="26" t="s">
        <v>460</v>
      </c>
      <c r="F704" s="26" t="s">
        <v>58</v>
      </c>
      <c r="G704" s="27">
        <f t="shared" si="309"/>
        <v>779</v>
      </c>
      <c r="H704" s="27">
        <f t="shared" si="309"/>
        <v>779</v>
      </c>
      <c r="I704" s="27">
        <f t="shared" si="309"/>
        <v>779</v>
      </c>
      <c r="J704" s="27">
        <f t="shared" si="309"/>
        <v>779</v>
      </c>
      <c r="K704" s="16">
        <f t="shared" si="295"/>
        <v>0</v>
      </c>
      <c r="L704" s="27">
        <f t="shared" si="309"/>
        <v>779</v>
      </c>
      <c r="M704" s="16">
        <f t="shared" si="296"/>
        <v>0</v>
      </c>
      <c r="N704" s="27">
        <f t="shared" si="309"/>
        <v>779</v>
      </c>
      <c r="O704" s="16">
        <f t="shared" si="297"/>
        <v>0</v>
      </c>
    </row>
    <row r="705" spans="1:15" s="30" customFormat="1">
      <c r="A705" s="13" t="s">
        <v>92</v>
      </c>
      <c r="B705" s="25" t="s">
        <v>26</v>
      </c>
      <c r="C705" s="26" t="s">
        <v>71</v>
      </c>
      <c r="D705" s="26" t="s">
        <v>71</v>
      </c>
      <c r="E705" s="26" t="s">
        <v>460</v>
      </c>
      <c r="F705" s="26" t="s">
        <v>138</v>
      </c>
      <c r="G705" s="27">
        <f>G706</f>
        <v>779</v>
      </c>
      <c r="H705" s="27">
        <f t="shared" si="309"/>
        <v>779</v>
      </c>
      <c r="I705" s="27">
        <f t="shared" si="309"/>
        <v>779</v>
      </c>
      <c r="J705" s="27">
        <f>779</f>
        <v>779</v>
      </c>
      <c r="K705" s="16">
        <f t="shared" si="295"/>
        <v>0</v>
      </c>
      <c r="L705" s="27">
        <f>779</f>
        <v>779</v>
      </c>
      <c r="M705" s="16">
        <f t="shared" si="296"/>
        <v>0</v>
      </c>
      <c r="N705" s="27">
        <f>779</f>
        <v>779</v>
      </c>
      <c r="O705" s="16">
        <f t="shared" si="297"/>
        <v>0</v>
      </c>
    </row>
    <row r="706" spans="1:15" s="83" customFormat="1" ht="38.25">
      <c r="A706" s="12" t="s">
        <v>1015</v>
      </c>
      <c r="B706" s="25" t="s">
        <v>26</v>
      </c>
      <c r="C706" s="26" t="s">
        <v>71</v>
      </c>
      <c r="D706" s="26" t="s">
        <v>71</v>
      </c>
      <c r="E706" s="26" t="s">
        <v>460</v>
      </c>
      <c r="F706" s="26" t="s">
        <v>67</v>
      </c>
      <c r="G706" s="27">
        <f>779</f>
        <v>779</v>
      </c>
      <c r="H706" s="27">
        <f>779</f>
        <v>779</v>
      </c>
      <c r="I706" s="27">
        <f>779</f>
        <v>779</v>
      </c>
      <c r="J706" s="80"/>
      <c r="K706" s="16">
        <f t="shared" si="295"/>
        <v>-779</v>
      </c>
      <c r="L706" s="80"/>
      <c r="M706" s="16">
        <f t="shared" si="296"/>
        <v>-779</v>
      </c>
      <c r="N706" s="80"/>
      <c r="O706" s="16">
        <f t="shared" si="297"/>
        <v>-779</v>
      </c>
    </row>
    <row r="707" spans="1:15" s="30" customFormat="1" ht="38.25">
      <c r="A707" s="12" t="s">
        <v>461</v>
      </c>
      <c r="B707" s="25" t="s">
        <v>26</v>
      </c>
      <c r="C707" s="26" t="s">
        <v>71</v>
      </c>
      <c r="D707" s="26" t="s">
        <v>71</v>
      </c>
      <c r="E707" s="26" t="s">
        <v>567</v>
      </c>
      <c r="F707" s="26" t="s">
        <v>58</v>
      </c>
      <c r="G707" s="27">
        <f>G708</f>
        <v>2340</v>
      </c>
      <c r="H707" s="27">
        <f t="shared" ref="H707:N707" si="310">H708</f>
        <v>2340</v>
      </c>
      <c r="I707" s="27">
        <f t="shared" si="310"/>
        <v>2340</v>
      </c>
      <c r="J707" s="27">
        <f>J708</f>
        <v>2340</v>
      </c>
      <c r="K707" s="16">
        <f t="shared" si="295"/>
        <v>0</v>
      </c>
      <c r="L707" s="27">
        <f t="shared" si="310"/>
        <v>2340</v>
      </c>
      <c r="M707" s="16">
        <f t="shared" si="296"/>
        <v>0</v>
      </c>
      <c r="N707" s="27">
        <f t="shared" si="310"/>
        <v>2340</v>
      </c>
      <c r="O707" s="16">
        <f t="shared" si="297"/>
        <v>0</v>
      </c>
    </row>
    <row r="708" spans="1:15" s="30" customFormat="1" ht="38.25">
      <c r="A708" s="11" t="s">
        <v>164</v>
      </c>
      <c r="B708" s="25" t="s">
        <v>26</v>
      </c>
      <c r="C708" s="26" t="s">
        <v>71</v>
      </c>
      <c r="D708" s="26" t="s">
        <v>71</v>
      </c>
      <c r="E708" s="26" t="s">
        <v>462</v>
      </c>
      <c r="F708" s="26" t="s">
        <v>58</v>
      </c>
      <c r="G708" s="27">
        <f>G709+G713+G712+G711</f>
        <v>2340</v>
      </c>
      <c r="H708" s="27">
        <f>H709+H713+H712+H711</f>
        <v>2340</v>
      </c>
      <c r="I708" s="27">
        <f>I709+I713+I712+I711</f>
        <v>2340</v>
      </c>
      <c r="J708" s="27">
        <f>J709+J713+J712+J711</f>
        <v>2340</v>
      </c>
      <c r="K708" s="16">
        <f t="shared" si="295"/>
        <v>0</v>
      </c>
      <c r="L708" s="27">
        <f>L709+L713+L712+L711</f>
        <v>2340</v>
      </c>
      <c r="M708" s="16">
        <f t="shared" si="296"/>
        <v>0</v>
      </c>
      <c r="N708" s="27">
        <f>N709+N713+N712+N711</f>
        <v>2340</v>
      </c>
      <c r="O708" s="16">
        <f t="shared" si="297"/>
        <v>0</v>
      </c>
    </row>
    <row r="709" spans="1:15" s="30" customFormat="1" ht="25.5">
      <c r="A709" s="11" t="s">
        <v>108</v>
      </c>
      <c r="B709" s="25" t="s">
        <v>26</v>
      </c>
      <c r="C709" s="26" t="s">
        <v>71</v>
      </c>
      <c r="D709" s="26" t="s">
        <v>71</v>
      </c>
      <c r="E709" s="26" t="s">
        <v>462</v>
      </c>
      <c r="F709" s="26" t="s">
        <v>116</v>
      </c>
      <c r="G709" s="27">
        <f>G710</f>
        <v>549.5</v>
      </c>
      <c r="H709" s="27">
        <f t="shared" ref="H709:I709" si="311">H710</f>
        <v>549.5</v>
      </c>
      <c r="I709" s="27">
        <f t="shared" si="311"/>
        <v>549.5</v>
      </c>
      <c r="J709" s="27">
        <f>549.5</f>
        <v>549.5</v>
      </c>
      <c r="K709" s="16">
        <f t="shared" si="295"/>
        <v>0</v>
      </c>
      <c r="L709" s="27">
        <f>549.5</f>
        <v>549.5</v>
      </c>
      <c r="M709" s="16">
        <f t="shared" si="296"/>
        <v>0</v>
      </c>
      <c r="N709" s="27">
        <f>549.5</f>
        <v>549.5</v>
      </c>
      <c r="O709" s="16">
        <f t="shared" si="297"/>
        <v>0</v>
      </c>
    </row>
    <row r="710" spans="1:15" s="83" customFormat="1" ht="25.5">
      <c r="A710" s="12" t="s">
        <v>973</v>
      </c>
      <c r="B710" s="25" t="s">
        <v>26</v>
      </c>
      <c r="C710" s="26" t="s">
        <v>71</v>
      </c>
      <c r="D710" s="26" t="s">
        <v>71</v>
      </c>
      <c r="E710" s="26" t="s">
        <v>462</v>
      </c>
      <c r="F710" s="26" t="s">
        <v>1043</v>
      </c>
      <c r="G710" s="27">
        <f>549.5</f>
        <v>549.5</v>
      </c>
      <c r="H710" s="27">
        <f>549.5</f>
        <v>549.5</v>
      </c>
      <c r="I710" s="27">
        <f>549.5</f>
        <v>549.5</v>
      </c>
      <c r="J710" s="80"/>
      <c r="K710" s="16">
        <f t="shared" si="295"/>
        <v>-549.5</v>
      </c>
      <c r="L710" s="80"/>
      <c r="M710" s="16">
        <f t="shared" si="296"/>
        <v>-549.5</v>
      </c>
      <c r="N710" s="80"/>
      <c r="O710" s="16">
        <f t="shared" si="297"/>
        <v>-549.5</v>
      </c>
    </row>
    <row r="711" spans="1:15" s="30" customFormat="1">
      <c r="A711" s="11" t="s">
        <v>89</v>
      </c>
      <c r="B711" s="25" t="s">
        <v>26</v>
      </c>
      <c r="C711" s="26" t="s">
        <v>71</v>
      </c>
      <c r="D711" s="26" t="s">
        <v>71</v>
      </c>
      <c r="E711" s="26" t="s">
        <v>462</v>
      </c>
      <c r="F711" s="26" t="s">
        <v>182</v>
      </c>
      <c r="G711" s="27">
        <f>600.5</f>
        <v>600.5</v>
      </c>
      <c r="H711" s="27">
        <f>600.5</f>
        <v>600.5</v>
      </c>
      <c r="I711" s="27">
        <f>600.5</f>
        <v>600.5</v>
      </c>
      <c r="J711" s="27">
        <f>600.5</f>
        <v>600.5</v>
      </c>
      <c r="K711" s="16">
        <f t="shared" si="295"/>
        <v>0</v>
      </c>
      <c r="L711" s="27">
        <f>600.5</f>
        <v>600.5</v>
      </c>
      <c r="M711" s="16">
        <f t="shared" si="296"/>
        <v>0</v>
      </c>
      <c r="N711" s="27">
        <f>600.5</f>
        <v>600.5</v>
      </c>
      <c r="O711" s="16">
        <f t="shared" si="297"/>
        <v>0</v>
      </c>
    </row>
    <row r="712" spans="1:15" s="30" customFormat="1">
      <c r="A712" s="11" t="s">
        <v>90</v>
      </c>
      <c r="B712" s="25" t="s">
        <v>26</v>
      </c>
      <c r="C712" s="26" t="s">
        <v>71</v>
      </c>
      <c r="D712" s="26" t="s">
        <v>71</v>
      </c>
      <c r="E712" s="26" t="s">
        <v>462</v>
      </c>
      <c r="F712" s="26" t="s">
        <v>181</v>
      </c>
      <c r="G712" s="27">
        <f>60</f>
        <v>60</v>
      </c>
      <c r="H712" s="27">
        <f>60</f>
        <v>60</v>
      </c>
      <c r="I712" s="27">
        <f>60</f>
        <v>60</v>
      </c>
      <c r="J712" s="27">
        <f>60</f>
        <v>60</v>
      </c>
      <c r="K712" s="16">
        <f t="shared" si="295"/>
        <v>0</v>
      </c>
      <c r="L712" s="27">
        <f>60</f>
        <v>60</v>
      </c>
      <c r="M712" s="16">
        <f t="shared" si="296"/>
        <v>0</v>
      </c>
      <c r="N712" s="27">
        <f>60</f>
        <v>60</v>
      </c>
      <c r="O712" s="16">
        <f t="shared" si="297"/>
        <v>0</v>
      </c>
    </row>
    <row r="713" spans="1:15" s="30" customFormat="1">
      <c r="A713" s="13" t="s">
        <v>92</v>
      </c>
      <c r="B713" s="25" t="s">
        <v>26</v>
      </c>
      <c r="C713" s="26" t="s">
        <v>71</v>
      </c>
      <c r="D713" s="26" t="s">
        <v>71</v>
      </c>
      <c r="E713" s="26" t="s">
        <v>462</v>
      </c>
      <c r="F713" s="26" t="s">
        <v>138</v>
      </c>
      <c r="G713" s="27">
        <f>G714</f>
        <v>1130</v>
      </c>
      <c r="H713" s="27">
        <f t="shared" ref="H713:I713" si="312">H714</f>
        <v>1130</v>
      </c>
      <c r="I713" s="27">
        <f t="shared" si="312"/>
        <v>1130</v>
      </c>
      <c r="J713" s="27">
        <f>1130</f>
        <v>1130</v>
      </c>
      <c r="K713" s="16">
        <f t="shared" si="295"/>
        <v>0</v>
      </c>
      <c r="L713" s="27">
        <f>1130</f>
        <v>1130</v>
      </c>
      <c r="M713" s="16">
        <f t="shared" si="296"/>
        <v>0</v>
      </c>
      <c r="N713" s="27">
        <f>1130</f>
        <v>1130</v>
      </c>
      <c r="O713" s="16">
        <f t="shared" si="297"/>
        <v>0</v>
      </c>
    </row>
    <row r="714" spans="1:15" s="83" customFormat="1" ht="38.25">
      <c r="A714" s="12" t="s">
        <v>1015</v>
      </c>
      <c r="B714" s="25" t="s">
        <v>26</v>
      </c>
      <c r="C714" s="26" t="s">
        <v>71</v>
      </c>
      <c r="D714" s="26" t="s">
        <v>71</v>
      </c>
      <c r="E714" s="26" t="s">
        <v>462</v>
      </c>
      <c r="F714" s="26" t="s">
        <v>67</v>
      </c>
      <c r="G714" s="27">
        <f>1130</f>
        <v>1130</v>
      </c>
      <c r="H714" s="27">
        <f>1130</f>
        <v>1130</v>
      </c>
      <c r="I714" s="27">
        <f>1130</f>
        <v>1130</v>
      </c>
      <c r="J714" s="80"/>
      <c r="K714" s="16">
        <f t="shared" si="295"/>
        <v>-1130</v>
      </c>
      <c r="L714" s="80"/>
      <c r="M714" s="16">
        <f t="shared" si="296"/>
        <v>-1130</v>
      </c>
      <c r="N714" s="80"/>
      <c r="O714" s="16">
        <f t="shared" si="297"/>
        <v>-1130</v>
      </c>
    </row>
    <row r="715" spans="1:15" s="30" customFormat="1" ht="25.5">
      <c r="A715" s="12" t="s">
        <v>463</v>
      </c>
      <c r="B715" s="25" t="s">
        <v>26</v>
      </c>
      <c r="C715" s="26" t="s">
        <v>71</v>
      </c>
      <c r="D715" s="26" t="s">
        <v>71</v>
      </c>
      <c r="E715" s="26" t="s">
        <v>464</v>
      </c>
      <c r="F715" s="26" t="s">
        <v>58</v>
      </c>
      <c r="G715" s="27">
        <f t="shared" ref="G715:N717" si="313">G716</f>
        <v>180</v>
      </c>
      <c r="H715" s="27">
        <f t="shared" si="313"/>
        <v>180</v>
      </c>
      <c r="I715" s="27">
        <f t="shared" si="313"/>
        <v>180</v>
      </c>
      <c r="J715" s="27">
        <f t="shared" si="313"/>
        <v>180</v>
      </c>
      <c r="K715" s="16">
        <f t="shared" si="295"/>
        <v>0</v>
      </c>
      <c r="L715" s="27">
        <f t="shared" si="313"/>
        <v>180</v>
      </c>
      <c r="M715" s="16">
        <f t="shared" si="296"/>
        <v>0</v>
      </c>
      <c r="N715" s="27">
        <f t="shared" si="313"/>
        <v>180</v>
      </c>
      <c r="O715" s="16">
        <f t="shared" si="297"/>
        <v>0</v>
      </c>
    </row>
    <row r="716" spans="1:15" s="30" customFormat="1" ht="38.25">
      <c r="A716" s="11" t="s">
        <v>164</v>
      </c>
      <c r="B716" s="25" t="s">
        <v>26</v>
      </c>
      <c r="C716" s="26" t="s">
        <v>71</v>
      </c>
      <c r="D716" s="26" t="s">
        <v>71</v>
      </c>
      <c r="E716" s="26" t="s">
        <v>465</v>
      </c>
      <c r="F716" s="26" t="s">
        <v>58</v>
      </c>
      <c r="G716" s="27">
        <f t="shared" si="313"/>
        <v>180</v>
      </c>
      <c r="H716" s="27">
        <f t="shared" si="313"/>
        <v>180</v>
      </c>
      <c r="I716" s="27">
        <f t="shared" si="313"/>
        <v>180</v>
      </c>
      <c r="J716" s="27">
        <f t="shared" si="313"/>
        <v>180</v>
      </c>
      <c r="K716" s="16">
        <f t="shared" si="295"/>
        <v>0</v>
      </c>
      <c r="L716" s="27">
        <f t="shared" si="313"/>
        <v>180</v>
      </c>
      <c r="M716" s="16">
        <f t="shared" si="296"/>
        <v>0</v>
      </c>
      <c r="N716" s="27">
        <f t="shared" si="313"/>
        <v>180</v>
      </c>
      <c r="O716" s="16">
        <f t="shared" si="297"/>
        <v>0</v>
      </c>
    </row>
    <row r="717" spans="1:15" s="30" customFormat="1">
      <c r="A717" s="13" t="s">
        <v>92</v>
      </c>
      <c r="B717" s="25" t="s">
        <v>26</v>
      </c>
      <c r="C717" s="26" t="s">
        <v>71</v>
      </c>
      <c r="D717" s="26" t="s">
        <v>71</v>
      </c>
      <c r="E717" s="26" t="s">
        <v>465</v>
      </c>
      <c r="F717" s="26" t="s">
        <v>138</v>
      </c>
      <c r="G717" s="27">
        <f>G718</f>
        <v>180</v>
      </c>
      <c r="H717" s="27">
        <f t="shared" si="313"/>
        <v>180</v>
      </c>
      <c r="I717" s="27">
        <f t="shared" si="313"/>
        <v>180</v>
      </c>
      <c r="J717" s="27">
        <f>180</f>
        <v>180</v>
      </c>
      <c r="K717" s="16">
        <f t="shared" si="295"/>
        <v>0</v>
      </c>
      <c r="L717" s="27">
        <f>180</f>
        <v>180</v>
      </c>
      <c r="M717" s="16">
        <f t="shared" si="296"/>
        <v>0</v>
      </c>
      <c r="N717" s="27">
        <f>180</f>
        <v>180</v>
      </c>
      <c r="O717" s="16">
        <f t="shared" si="297"/>
        <v>0</v>
      </c>
    </row>
    <row r="718" spans="1:15" s="83" customFormat="1" ht="38.25">
      <c r="A718" s="12" t="s">
        <v>1015</v>
      </c>
      <c r="B718" s="25" t="s">
        <v>26</v>
      </c>
      <c r="C718" s="26" t="s">
        <v>71</v>
      </c>
      <c r="D718" s="26" t="s">
        <v>71</v>
      </c>
      <c r="E718" s="26" t="s">
        <v>465</v>
      </c>
      <c r="F718" s="26" t="s">
        <v>67</v>
      </c>
      <c r="G718" s="27">
        <f>180</f>
        <v>180</v>
      </c>
      <c r="H718" s="27">
        <f>180</f>
        <v>180</v>
      </c>
      <c r="I718" s="27">
        <f>180</f>
        <v>180</v>
      </c>
      <c r="J718" s="80"/>
      <c r="K718" s="16">
        <f t="shared" si="295"/>
        <v>-180</v>
      </c>
      <c r="L718" s="80"/>
      <c r="M718" s="16">
        <f t="shared" si="296"/>
        <v>-180</v>
      </c>
      <c r="N718" s="80"/>
      <c r="O718" s="16">
        <f t="shared" si="297"/>
        <v>-180</v>
      </c>
    </row>
    <row r="719" spans="1:15" s="30" customFormat="1" ht="38.25">
      <c r="A719" s="12" t="s">
        <v>466</v>
      </c>
      <c r="B719" s="25" t="s">
        <v>26</v>
      </c>
      <c r="C719" s="26" t="s">
        <v>71</v>
      </c>
      <c r="D719" s="26" t="s">
        <v>71</v>
      </c>
      <c r="E719" s="26" t="s">
        <v>467</v>
      </c>
      <c r="F719" s="26" t="s">
        <v>58</v>
      </c>
      <c r="G719" s="27">
        <f t="shared" ref="G719:N721" si="314">G720</f>
        <v>310</v>
      </c>
      <c r="H719" s="27">
        <f t="shared" si="314"/>
        <v>310</v>
      </c>
      <c r="I719" s="27">
        <f t="shared" si="314"/>
        <v>310</v>
      </c>
      <c r="J719" s="27">
        <f t="shared" si="314"/>
        <v>310</v>
      </c>
      <c r="K719" s="16">
        <f t="shared" si="295"/>
        <v>0</v>
      </c>
      <c r="L719" s="27">
        <f t="shared" si="314"/>
        <v>310</v>
      </c>
      <c r="M719" s="16">
        <f t="shared" si="296"/>
        <v>0</v>
      </c>
      <c r="N719" s="27">
        <f t="shared" si="314"/>
        <v>310</v>
      </c>
      <c r="O719" s="16">
        <f t="shared" si="297"/>
        <v>0</v>
      </c>
    </row>
    <row r="720" spans="1:15" s="30" customFormat="1" ht="38.25">
      <c r="A720" s="11" t="s">
        <v>164</v>
      </c>
      <c r="B720" s="25" t="s">
        <v>26</v>
      </c>
      <c r="C720" s="26" t="s">
        <v>71</v>
      </c>
      <c r="D720" s="26" t="s">
        <v>71</v>
      </c>
      <c r="E720" s="26" t="s">
        <v>468</v>
      </c>
      <c r="F720" s="26" t="s">
        <v>58</v>
      </c>
      <c r="G720" s="27">
        <f t="shared" si="314"/>
        <v>310</v>
      </c>
      <c r="H720" s="27">
        <f t="shared" si="314"/>
        <v>310</v>
      </c>
      <c r="I720" s="27">
        <f t="shared" si="314"/>
        <v>310</v>
      </c>
      <c r="J720" s="27">
        <f t="shared" si="314"/>
        <v>310</v>
      </c>
      <c r="K720" s="16">
        <f t="shared" si="295"/>
        <v>0</v>
      </c>
      <c r="L720" s="27">
        <f t="shared" si="314"/>
        <v>310</v>
      </c>
      <c r="M720" s="16">
        <f t="shared" si="296"/>
        <v>0</v>
      </c>
      <c r="N720" s="27">
        <f t="shared" si="314"/>
        <v>310</v>
      </c>
      <c r="O720" s="16">
        <f t="shared" si="297"/>
        <v>0</v>
      </c>
    </row>
    <row r="721" spans="1:15" s="30" customFormat="1">
      <c r="A721" s="13" t="s">
        <v>92</v>
      </c>
      <c r="B721" s="25" t="s">
        <v>26</v>
      </c>
      <c r="C721" s="26" t="s">
        <v>71</v>
      </c>
      <c r="D721" s="26" t="s">
        <v>71</v>
      </c>
      <c r="E721" s="26" t="s">
        <v>468</v>
      </c>
      <c r="F721" s="26" t="s">
        <v>138</v>
      </c>
      <c r="G721" s="27">
        <f>G722</f>
        <v>310</v>
      </c>
      <c r="H721" s="27">
        <f t="shared" si="314"/>
        <v>310</v>
      </c>
      <c r="I721" s="27">
        <f t="shared" si="314"/>
        <v>310</v>
      </c>
      <c r="J721" s="27">
        <f>310</f>
        <v>310</v>
      </c>
      <c r="K721" s="16">
        <f t="shared" si="295"/>
        <v>0</v>
      </c>
      <c r="L721" s="27">
        <f>310</f>
        <v>310</v>
      </c>
      <c r="M721" s="16">
        <f t="shared" si="296"/>
        <v>0</v>
      </c>
      <c r="N721" s="27">
        <f>310</f>
        <v>310</v>
      </c>
      <c r="O721" s="16">
        <f t="shared" si="297"/>
        <v>0</v>
      </c>
    </row>
    <row r="722" spans="1:15" s="83" customFormat="1" ht="38.25">
      <c r="A722" s="12" t="s">
        <v>1015</v>
      </c>
      <c r="B722" s="25" t="s">
        <v>26</v>
      </c>
      <c r="C722" s="26" t="s">
        <v>71</v>
      </c>
      <c r="D722" s="26" t="s">
        <v>71</v>
      </c>
      <c r="E722" s="26" t="s">
        <v>468</v>
      </c>
      <c r="F722" s="26" t="s">
        <v>67</v>
      </c>
      <c r="G722" s="27">
        <f>310</f>
        <v>310</v>
      </c>
      <c r="H722" s="27">
        <f>310</f>
        <v>310</v>
      </c>
      <c r="I722" s="27">
        <f>310</f>
        <v>310</v>
      </c>
      <c r="J722" s="80"/>
      <c r="K722" s="16">
        <f t="shared" si="295"/>
        <v>-310</v>
      </c>
      <c r="L722" s="80"/>
      <c r="M722" s="16">
        <f t="shared" si="296"/>
        <v>-310</v>
      </c>
      <c r="N722" s="80"/>
      <c r="O722" s="16">
        <f t="shared" si="297"/>
        <v>-310</v>
      </c>
    </row>
    <row r="723" spans="1:15" s="30" customFormat="1" ht="38.25">
      <c r="A723" s="12" t="s">
        <v>469</v>
      </c>
      <c r="B723" s="25" t="s">
        <v>26</v>
      </c>
      <c r="C723" s="26" t="s">
        <v>71</v>
      </c>
      <c r="D723" s="26" t="s">
        <v>71</v>
      </c>
      <c r="E723" s="26" t="s">
        <v>470</v>
      </c>
      <c r="F723" s="26" t="s">
        <v>58</v>
      </c>
      <c r="G723" s="27">
        <f t="shared" ref="G723:N725" si="315">G724</f>
        <v>429.35</v>
      </c>
      <c r="H723" s="27">
        <f t="shared" si="315"/>
        <v>25.54</v>
      </c>
      <c r="I723" s="27">
        <f t="shared" si="315"/>
        <v>25.54</v>
      </c>
      <c r="J723" s="27">
        <f t="shared" si="315"/>
        <v>429.35</v>
      </c>
      <c r="K723" s="16">
        <f t="shared" si="295"/>
        <v>0</v>
      </c>
      <c r="L723" s="27">
        <f t="shared" si="315"/>
        <v>25.54</v>
      </c>
      <c r="M723" s="16">
        <f t="shared" si="296"/>
        <v>0</v>
      </c>
      <c r="N723" s="27">
        <f t="shared" si="315"/>
        <v>25.54</v>
      </c>
      <c r="O723" s="16">
        <f t="shared" si="297"/>
        <v>0</v>
      </c>
    </row>
    <row r="724" spans="1:15" s="30" customFormat="1" ht="38.25">
      <c r="A724" s="11" t="s">
        <v>164</v>
      </c>
      <c r="B724" s="25" t="s">
        <v>26</v>
      </c>
      <c r="C724" s="26" t="s">
        <v>71</v>
      </c>
      <c r="D724" s="26" t="s">
        <v>71</v>
      </c>
      <c r="E724" s="26" t="s">
        <v>471</v>
      </c>
      <c r="F724" s="26" t="s">
        <v>58</v>
      </c>
      <c r="G724" s="27">
        <f t="shared" si="315"/>
        <v>429.35</v>
      </c>
      <c r="H724" s="27">
        <f t="shared" si="315"/>
        <v>25.54</v>
      </c>
      <c r="I724" s="27">
        <f t="shared" si="315"/>
        <v>25.54</v>
      </c>
      <c r="J724" s="27">
        <f t="shared" si="315"/>
        <v>429.35</v>
      </c>
      <c r="K724" s="16">
        <f t="shared" ref="K724:K774" si="316">J724-G724</f>
        <v>0</v>
      </c>
      <c r="L724" s="27">
        <f t="shared" si="315"/>
        <v>25.54</v>
      </c>
      <c r="M724" s="16">
        <f t="shared" ref="M724:M774" si="317">L724-H724</f>
        <v>0</v>
      </c>
      <c r="N724" s="27">
        <f t="shared" si="315"/>
        <v>25.54</v>
      </c>
      <c r="O724" s="16">
        <f t="shared" ref="O724:O774" si="318">N724-I724</f>
        <v>0</v>
      </c>
    </row>
    <row r="725" spans="1:15" s="30" customFormat="1">
      <c r="A725" s="13" t="s">
        <v>92</v>
      </c>
      <c r="B725" s="25" t="s">
        <v>26</v>
      </c>
      <c r="C725" s="26" t="s">
        <v>71</v>
      </c>
      <c r="D725" s="26" t="s">
        <v>71</v>
      </c>
      <c r="E725" s="26" t="s">
        <v>471</v>
      </c>
      <c r="F725" s="26" t="s">
        <v>138</v>
      </c>
      <c r="G725" s="27">
        <f>G726</f>
        <v>429.35</v>
      </c>
      <c r="H725" s="27">
        <f t="shared" si="315"/>
        <v>25.54</v>
      </c>
      <c r="I725" s="27">
        <f t="shared" si="315"/>
        <v>25.54</v>
      </c>
      <c r="J725" s="27">
        <f>429.35</f>
        <v>429.35</v>
      </c>
      <c r="K725" s="16">
        <f t="shared" si="316"/>
        <v>0</v>
      </c>
      <c r="L725" s="27">
        <f>25.54</f>
        <v>25.54</v>
      </c>
      <c r="M725" s="16">
        <f t="shared" si="317"/>
        <v>0</v>
      </c>
      <c r="N725" s="27">
        <f>25.54</f>
        <v>25.54</v>
      </c>
      <c r="O725" s="16">
        <f t="shared" si="318"/>
        <v>0</v>
      </c>
    </row>
    <row r="726" spans="1:15" s="83" customFormat="1" ht="38.25">
      <c r="A726" s="12" t="s">
        <v>1015</v>
      </c>
      <c r="B726" s="25" t="s">
        <v>26</v>
      </c>
      <c r="C726" s="26" t="s">
        <v>71</v>
      </c>
      <c r="D726" s="26" t="s">
        <v>71</v>
      </c>
      <c r="E726" s="26" t="s">
        <v>471</v>
      </c>
      <c r="F726" s="26" t="s">
        <v>67</v>
      </c>
      <c r="G726" s="27">
        <f>429.35</f>
        <v>429.35</v>
      </c>
      <c r="H726" s="27">
        <f>25.54</f>
        <v>25.54</v>
      </c>
      <c r="I726" s="27">
        <f>25.54</f>
        <v>25.54</v>
      </c>
      <c r="J726" s="80"/>
      <c r="K726" s="16">
        <f t="shared" si="316"/>
        <v>-429.35</v>
      </c>
      <c r="L726" s="80"/>
      <c r="M726" s="16">
        <f t="shared" si="317"/>
        <v>-25.54</v>
      </c>
      <c r="N726" s="80"/>
      <c r="O726" s="16">
        <f t="shared" si="318"/>
        <v>-25.54</v>
      </c>
    </row>
    <row r="727" spans="1:15" s="30" customFormat="1" ht="25.5">
      <c r="A727" s="12" t="s">
        <v>472</v>
      </c>
      <c r="B727" s="25" t="s">
        <v>26</v>
      </c>
      <c r="C727" s="26" t="s">
        <v>71</v>
      </c>
      <c r="D727" s="26" t="s">
        <v>71</v>
      </c>
      <c r="E727" s="26" t="s">
        <v>473</v>
      </c>
      <c r="F727" s="26" t="s">
        <v>58</v>
      </c>
      <c r="G727" s="27">
        <f t="shared" ref="G727:N729" si="319">G728</f>
        <v>2755.66</v>
      </c>
      <c r="H727" s="27">
        <f t="shared" si="319"/>
        <v>2755.66</v>
      </c>
      <c r="I727" s="27">
        <f t="shared" si="319"/>
        <v>2755.66</v>
      </c>
      <c r="J727" s="27">
        <f t="shared" si="319"/>
        <v>2755.66</v>
      </c>
      <c r="K727" s="16">
        <f t="shared" si="316"/>
        <v>0</v>
      </c>
      <c r="L727" s="27">
        <f t="shared" si="319"/>
        <v>2755.66</v>
      </c>
      <c r="M727" s="16">
        <f t="shared" si="317"/>
        <v>0</v>
      </c>
      <c r="N727" s="27">
        <f t="shared" si="319"/>
        <v>2755.66</v>
      </c>
      <c r="O727" s="16">
        <f t="shared" si="318"/>
        <v>0</v>
      </c>
    </row>
    <row r="728" spans="1:15" s="30" customFormat="1" ht="25.5">
      <c r="A728" s="39" t="s">
        <v>247</v>
      </c>
      <c r="B728" s="25" t="s">
        <v>26</v>
      </c>
      <c r="C728" s="26" t="s">
        <v>71</v>
      </c>
      <c r="D728" s="26" t="s">
        <v>71</v>
      </c>
      <c r="E728" s="26" t="s">
        <v>474</v>
      </c>
      <c r="F728" s="26" t="s">
        <v>58</v>
      </c>
      <c r="G728" s="27">
        <f t="shared" si="319"/>
        <v>2755.66</v>
      </c>
      <c r="H728" s="27">
        <f t="shared" si="319"/>
        <v>2755.66</v>
      </c>
      <c r="I728" s="27">
        <f t="shared" si="319"/>
        <v>2755.66</v>
      </c>
      <c r="J728" s="27">
        <f t="shared" si="319"/>
        <v>2755.66</v>
      </c>
      <c r="K728" s="16">
        <f t="shared" si="316"/>
        <v>0</v>
      </c>
      <c r="L728" s="27">
        <f t="shared" si="319"/>
        <v>2755.66</v>
      </c>
      <c r="M728" s="16">
        <f t="shared" si="317"/>
        <v>0</v>
      </c>
      <c r="N728" s="27">
        <f t="shared" si="319"/>
        <v>2755.66</v>
      </c>
      <c r="O728" s="16">
        <f t="shared" si="318"/>
        <v>0</v>
      </c>
    </row>
    <row r="729" spans="1:15" s="30" customFormat="1">
      <c r="A729" s="13" t="s">
        <v>92</v>
      </c>
      <c r="B729" s="25" t="s">
        <v>26</v>
      </c>
      <c r="C729" s="26" t="s">
        <v>71</v>
      </c>
      <c r="D729" s="26" t="s">
        <v>71</v>
      </c>
      <c r="E729" s="26" t="s">
        <v>474</v>
      </c>
      <c r="F729" s="26" t="s">
        <v>138</v>
      </c>
      <c r="G729" s="27">
        <f>G730</f>
        <v>2755.66</v>
      </c>
      <c r="H729" s="27">
        <f t="shared" si="319"/>
        <v>2755.66</v>
      </c>
      <c r="I729" s="27">
        <f t="shared" si="319"/>
        <v>2755.66</v>
      </c>
      <c r="J729" s="27">
        <f>2755.66</f>
        <v>2755.66</v>
      </c>
      <c r="K729" s="16">
        <f t="shared" si="316"/>
        <v>0</v>
      </c>
      <c r="L729" s="27">
        <f>2755.66</f>
        <v>2755.66</v>
      </c>
      <c r="M729" s="16">
        <f t="shared" si="317"/>
        <v>0</v>
      </c>
      <c r="N729" s="27">
        <f>2755.66</f>
        <v>2755.66</v>
      </c>
      <c r="O729" s="16">
        <f t="shared" si="318"/>
        <v>0</v>
      </c>
    </row>
    <row r="730" spans="1:15" s="83" customFormat="1" ht="38.25">
      <c r="A730" s="12" t="s">
        <v>1015</v>
      </c>
      <c r="B730" s="25" t="s">
        <v>26</v>
      </c>
      <c r="C730" s="26" t="s">
        <v>71</v>
      </c>
      <c r="D730" s="26" t="s">
        <v>71</v>
      </c>
      <c r="E730" s="26" t="s">
        <v>474</v>
      </c>
      <c r="F730" s="26" t="s">
        <v>67</v>
      </c>
      <c r="G730" s="27">
        <f>2755.66</f>
        <v>2755.66</v>
      </c>
      <c r="H730" s="27">
        <f>2755.66</f>
        <v>2755.66</v>
      </c>
      <c r="I730" s="27">
        <f>2755.66</f>
        <v>2755.66</v>
      </c>
      <c r="J730" s="80"/>
      <c r="K730" s="16">
        <f t="shared" si="316"/>
        <v>-2755.66</v>
      </c>
      <c r="L730" s="80"/>
      <c r="M730" s="16">
        <f t="shared" si="317"/>
        <v>-2755.66</v>
      </c>
      <c r="N730" s="80"/>
      <c r="O730" s="16">
        <f t="shared" si="318"/>
        <v>-2755.66</v>
      </c>
    </row>
    <row r="731" spans="1:15" s="3" customFormat="1">
      <c r="A731" s="17" t="s">
        <v>83</v>
      </c>
      <c r="B731" s="18" t="s">
        <v>26</v>
      </c>
      <c r="C731" s="19" t="s">
        <v>50</v>
      </c>
      <c r="D731" s="19" t="s">
        <v>51</v>
      </c>
      <c r="E731" s="19" t="s">
        <v>196</v>
      </c>
      <c r="F731" s="19" t="s">
        <v>58</v>
      </c>
      <c r="G731" s="20">
        <f>G732+G793</f>
        <v>254929.91999999998</v>
      </c>
      <c r="H731" s="20">
        <f>H732+H793</f>
        <v>164716.09999999998</v>
      </c>
      <c r="I731" s="20">
        <f>I732+I793</f>
        <v>162120.13999999998</v>
      </c>
      <c r="J731" s="20">
        <f>J732+J793</f>
        <v>254929.91999999998</v>
      </c>
      <c r="K731" s="16">
        <f t="shared" si="316"/>
        <v>0</v>
      </c>
      <c r="L731" s="20">
        <f>L732+L793</f>
        <v>164716.09999999998</v>
      </c>
      <c r="M731" s="16">
        <f t="shared" si="317"/>
        <v>0</v>
      </c>
      <c r="N731" s="20">
        <f>N732+N793</f>
        <v>162120.13999999998</v>
      </c>
      <c r="O731" s="16">
        <f t="shared" si="318"/>
        <v>0</v>
      </c>
    </row>
    <row r="732" spans="1:15" s="3" customFormat="1">
      <c r="A732" s="21" t="s">
        <v>27</v>
      </c>
      <c r="B732" s="22" t="s">
        <v>26</v>
      </c>
      <c r="C732" s="23" t="s">
        <v>50</v>
      </c>
      <c r="D732" s="23" t="s">
        <v>65</v>
      </c>
      <c r="E732" s="23" t="s">
        <v>196</v>
      </c>
      <c r="F732" s="23" t="s">
        <v>58</v>
      </c>
      <c r="G732" s="24">
        <f>G733+G787+G781</f>
        <v>241327.47999999998</v>
      </c>
      <c r="H732" s="24">
        <f>H733+H787+H781</f>
        <v>151105.63999999998</v>
      </c>
      <c r="I732" s="24">
        <f>I733+I787+I781</f>
        <v>148509.68</v>
      </c>
      <c r="J732" s="24">
        <f>J733+J787+J781</f>
        <v>241327.47999999998</v>
      </c>
      <c r="K732" s="16">
        <f t="shared" si="316"/>
        <v>0</v>
      </c>
      <c r="L732" s="24">
        <f>L733+L787+L781</f>
        <v>151105.63999999998</v>
      </c>
      <c r="M732" s="16">
        <f t="shared" si="317"/>
        <v>0</v>
      </c>
      <c r="N732" s="24">
        <f>N733+N787+N781</f>
        <v>148509.68</v>
      </c>
      <c r="O732" s="16">
        <f t="shared" si="318"/>
        <v>0</v>
      </c>
    </row>
    <row r="733" spans="1:15" s="3" customFormat="1">
      <c r="A733" s="11" t="s">
        <v>739</v>
      </c>
      <c r="B733" s="25" t="s">
        <v>26</v>
      </c>
      <c r="C733" s="26" t="s">
        <v>50</v>
      </c>
      <c r="D733" s="26" t="s">
        <v>65</v>
      </c>
      <c r="E733" s="26" t="s">
        <v>277</v>
      </c>
      <c r="F733" s="26" t="s">
        <v>58</v>
      </c>
      <c r="G733" s="27">
        <f>G734+G741</f>
        <v>240590.12</v>
      </c>
      <c r="H733" s="27">
        <f>H734+H741</f>
        <v>150481.28999999998</v>
      </c>
      <c r="I733" s="27">
        <f>I734+I741</f>
        <v>147885.32999999999</v>
      </c>
      <c r="J733" s="27">
        <f>J734+J741</f>
        <v>240590.12</v>
      </c>
      <c r="K733" s="16">
        <f t="shared" si="316"/>
        <v>0</v>
      </c>
      <c r="L733" s="27">
        <f>L734+L741</f>
        <v>150481.28999999998</v>
      </c>
      <c r="M733" s="16">
        <f t="shared" si="317"/>
        <v>0</v>
      </c>
      <c r="N733" s="27">
        <f>N734+N741</f>
        <v>147885.32999999999</v>
      </c>
      <c r="O733" s="16">
        <f t="shared" si="318"/>
        <v>0</v>
      </c>
    </row>
    <row r="734" spans="1:15" s="3" customFormat="1" ht="51">
      <c r="A734" s="11" t="s">
        <v>191</v>
      </c>
      <c r="B734" s="25" t="s">
        <v>26</v>
      </c>
      <c r="C734" s="26" t="s">
        <v>50</v>
      </c>
      <c r="D734" s="26" t="s">
        <v>65</v>
      </c>
      <c r="E734" s="26" t="s">
        <v>278</v>
      </c>
      <c r="F734" s="26" t="s">
        <v>58</v>
      </c>
      <c r="G734" s="27">
        <f t="shared" ref="G734:N735" si="320">G735</f>
        <v>5593.5</v>
      </c>
      <c r="H734" s="27">
        <f t="shared" si="320"/>
        <v>4973</v>
      </c>
      <c r="I734" s="27">
        <f t="shared" si="320"/>
        <v>4973</v>
      </c>
      <c r="J734" s="27">
        <f t="shared" si="320"/>
        <v>5593.5</v>
      </c>
      <c r="K734" s="16">
        <f t="shared" si="316"/>
        <v>0</v>
      </c>
      <c r="L734" s="27">
        <f t="shared" si="320"/>
        <v>4973</v>
      </c>
      <c r="M734" s="16">
        <f t="shared" si="317"/>
        <v>0</v>
      </c>
      <c r="N734" s="27">
        <f t="shared" si="320"/>
        <v>4973</v>
      </c>
      <c r="O734" s="16">
        <f t="shared" si="318"/>
        <v>0</v>
      </c>
    </row>
    <row r="735" spans="1:15" s="3" customFormat="1" ht="63.75">
      <c r="A735" s="11" t="s">
        <v>605</v>
      </c>
      <c r="B735" s="25" t="s">
        <v>26</v>
      </c>
      <c r="C735" s="26" t="s">
        <v>50</v>
      </c>
      <c r="D735" s="26" t="s">
        <v>65</v>
      </c>
      <c r="E735" s="26" t="s">
        <v>279</v>
      </c>
      <c r="F735" s="26" t="s">
        <v>58</v>
      </c>
      <c r="G735" s="27">
        <f t="shared" si="320"/>
        <v>5593.5</v>
      </c>
      <c r="H735" s="27">
        <f t="shared" si="320"/>
        <v>4973</v>
      </c>
      <c r="I735" s="27">
        <f t="shared" si="320"/>
        <v>4973</v>
      </c>
      <c r="J735" s="27">
        <f t="shared" si="320"/>
        <v>5593.5</v>
      </c>
      <c r="K735" s="16">
        <f t="shared" si="316"/>
        <v>0</v>
      </c>
      <c r="L735" s="27">
        <f t="shared" si="320"/>
        <v>4973</v>
      </c>
      <c r="M735" s="16">
        <f t="shared" si="317"/>
        <v>0</v>
      </c>
      <c r="N735" s="27">
        <f t="shared" si="320"/>
        <v>4973</v>
      </c>
      <c r="O735" s="16">
        <f t="shared" si="318"/>
        <v>0</v>
      </c>
    </row>
    <row r="736" spans="1:15" s="3" customFormat="1" ht="25.5">
      <c r="A736" s="11" t="s">
        <v>161</v>
      </c>
      <c r="B736" s="25" t="s">
        <v>26</v>
      </c>
      <c r="C736" s="26" t="s">
        <v>50</v>
      </c>
      <c r="D736" s="26" t="s">
        <v>65</v>
      </c>
      <c r="E736" s="26" t="s">
        <v>320</v>
      </c>
      <c r="F736" s="26" t="s">
        <v>58</v>
      </c>
      <c r="G736" s="27">
        <f>G737+G739</f>
        <v>5593.5</v>
      </c>
      <c r="H736" s="27">
        <f>H737+H739</f>
        <v>4973</v>
      </c>
      <c r="I736" s="27">
        <f>I737+I739</f>
        <v>4973</v>
      </c>
      <c r="J736" s="27">
        <f>J737+J739</f>
        <v>5593.5</v>
      </c>
      <c r="K736" s="16">
        <f t="shared" si="316"/>
        <v>0</v>
      </c>
      <c r="L736" s="27">
        <f>L737+L739</f>
        <v>4973</v>
      </c>
      <c r="M736" s="16">
        <f t="shared" si="317"/>
        <v>0</v>
      </c>
      <c r="N736" s="27">
        <f>N737+N739</f>
        <v>4973</v>
      </c>
      <c r="O736" s="16">
        <f t="shared" si="318"/>
        <v>0</v>
      </c>
    </row>
    <row r="737" spans="1:15" s="3" customFormat="1">
      <c r="A737" s="13" t="s">
        <v>92</v>
      </c>
      <c r="B737" s="25" t="s">
        <v>26</v>
      </c>
      <c r="C737" s="26" t="s">
        <v>50</v>
      </c>
      <c r="D737" s="26" t="s">
        <v>65</v>
      </c>
      <c r="E737" s="26" t="s">
        <v>320</v>
      </c>
      <c r="F737" s="26" t="s">
        <v>138</v>
      </c>
      <c r="G737" s="27">
        <f>G738</f>
        <v>3642.5</v>
      </c>
      <c r="H737" s="27">
        <f t="shared" ref="H737:I737" si="321">H738</f>
        <v>3642.5</v>
      </c>
      <c r="I737" s="27">
        <f t="shared" si="321"/>
        <v>3642.5</v>
      </c>
      <c r="J737" s="27">
        <f>3642.5</f>
        <v>3642.5</v>
      </c>
      <c r="K737" s="16">
        <f t="shared" si="316"/>
        <v>0</v>
      </c>
      <c r="L737" s="27">
        <f>3642.5</f>
        <v>3642.5</v>
      </c>
      <c r="M737" s="16">
        <f t="shared" si="317"/>
        <v>0</v>
      </c>
      <c r="N737" s="27">
        <f>3642.5</f>
        <v>3642.5</v>
      </c>
      <c r="O737" s="16">
        <f t="shared" si="318"/>
        <v>0</v>
      </c>
    </row>
    <row r="738" spans="1:15" s="4" customFormat="1" ht="38.25">
      <c r="A738" s="12" t="s">
        <v>1015</v>
      </c>
      <c r="B738" s="25" t="s">
        <v>26</v>
      </c>
      <c r="C738" s="26" t="s">
        <v>50</v>
      </c>
      <c r="D738" s="26" t="s">
        <v>65</v>
      </c>
      <c r="E738" s="26" t="s">
        <v>320</v>
      </c>
      <c r="F738" s="26" t="s">
        <v>67</v>
      </c>
      <c r="G738" s="27">
        <f>3642.5</f>
        <v>3642.5</v>
      </c>
      <c r="H738" s="27">
        <f>3642.5</f>
        <v>3642.5</v>
      </c>
      <c r="I738" s="27">
        <f>3642.5</f>
        <v>3642.5</v>
      </c>
      <c r="J738" s="80"/>
      <c r="K738" s="16">
        <f t="shared" si="316"/>
        <v>-3642.5</v>
      </c>
      <c r="L738" s="80"/>
      <c r="M738" s="16">
        <f t="shared" si="317"/>
        <v>-3642.5</v>
      </c>
      <c r="N738" s="80"/>
      <c r="O738" s="16">
        <f t="shared" si="318"/>
        <v>-3642.5</v>
      </c>
    </row>
    <row r="739" spans="1:15" s="3" customFormat="1">
      <c r="A739" s="13" t="s">
        <v>93</v>
      </c>
      <c r="B739" s="25" t="s">
        <v>26</v>
      </c>
      <c r="C739" s="26" t="s">
        <v>50</v>
      </c>
      <c r="D739" s="26" t="s">
        <v>65</v>
      </c>
      <c r="E739" s="26" t="s">
        <v>320</v>
      </c>
      <c r="F739" s="26" t="s">
        <v>20</v>
      </c>
      <c r="G739" s="27">
        <f>G740</f>
        <v>1951</v>
      </c>
      <c r="H739" s="27">
        <f t="shared" ref="H739:I739" si="322">H740</f>
        <v>1330.5</v>
      </c>
      <c r="I739" s="27">
        <f t="shared" si="322"/>
        <v>1330.5</v>
      </c>
      <c r="J739" s="27">
        <f>1951</f>
        <v>1951</v>
      </c>
      <c r="K739" s="16">
        <f t="shared" si="316"/>
        <v>0</v>
      </c>
      <c r="L739" s="27">
        <f>1330.5</f>
        <v>1330.5</v>
      </c>
      <c r="M739" s="16">
        <f t="shared" si="317"/>
        <v>0</v>
      </c>
      <c r="N739" s="27">
        <f>1330.5</f>
        <v>1330.5</v>
      </c>
      <c r="O739" s="16">
        <f t="shared" si="318"/>
        <v>0</v>
      </c>
    </row>
    <row r="740" spans="1:15" s="4" customFormat="1" ht="38.25">
      <c r="A740" s="12" t="s">
        <v>1018</v>
      </c>
      <c r="B740" s="25" t="s">
        <v>26</v>
      </c>
      <c r="C740" s="26" t="s">
        <v>50</v>
      </c>
      <c r="D740" s="26" t="s">
        <v>65</v>
      </c>
      <c r="E740" s="26" t="s">
        <v>320</v>
      </c>
      <c r="F740" s="26" t="s">
        <v>16</v>
      </c>
      <c r="G740" s="27">
        <f>1951</f>
        <v>1951</v>
      </c>
      <c r="H740" s="27">
        <f>1330.5</f>
        <v>1330.5</v>
      </c>
      <c r="I740" s="27">
        <f>1330.5</f>
        <v>1330.5</v>
      </c>
      <c r="J740" s="80"/>
      <c r="K740" s="16">
        <f t="shared" si="316"/>
        <v>-1951</v>
      </c>
      <c r="L740" s="80"/>
      <c r="M740" s="16">
        <f t="shared" si="317"/>
        <v>-1330.5</v>
      </c>
      <c r="N740" s="80"/>
      <c r="O740" s="16">
        <f t="shared" si="318"/>
        <v>-1330.5</v>
      </c>
    </row>
    <row r="741" spans="1:15" s="3" customFormat="1">
      <c r="A741" s="11" t="s">
        <v>140</v>
      </c>
      <c r="B741" s="25" t="s">
        <v>26</v>
      </c>
      <c r="C741" s="26" t="s">
        <v>50</v>
      </c>
      <c r="D741" s="26" t="s">
        <v>65</v>
      </c>
      <c r="E741" s="26" t="s">
        <v>372</v>
      </c>
      <c r="F741" s="26" t="s">
        <v>58</v>
      </c>
      <c r="G741" s="27">
        <f>G742+G748+G752+G759+G769+G773+G765+G777</f>
        <v>234996.62</v>
      </c>
      <c r="H741" s="27">
        <f>H742+H748+H752+H759+H769+H773+H765+H777</f>
        <v>145508.28999999998</v>
      </c>
      <c r="I741" s="27">
        <f>I742+I748+I752+I759+I769+I773+I765+I777</f>
        <v>142912.32999999999</v>
      </c>
      <c r="J741" s="27">
        <f>J742+J748+J752+J759+J769+J773+J765+J777</f>
        <v>234996.62</v>
      </c>
      <c r="K741" s="16">
        <f t="shared" si="316"/>
        <v>0</v>
      </c>
      <c r="L741" s="27">
        <f>L742+L748+L752+L759+L769+L773+L765+L777</f>
        <v>145508.28999999998</v>
      </c>
      <c r="M741" s="16">
        <f t="shared" si="317"/>
        <v>0</v>
      </c>
      <c r="N741" s="27">
        <f>N742+N748+N752+N759+N769+N773+N765+N777</f>
        <v>142912.32999999999</v>
      </c>
      <c r="O741" s="16">
        <f t="shared" si="318"/>
        <v>0</v>
      </c>
    </row>
    <row r="742" spans="1:15" s="3" customFormat="1" ht="25.5">
      <c r="A742" s="11" t="s">
        <v>377</v>
      </c>
      <c r="B742" s="25" t="s">
        <v>26</v>
      </c>
      <c r="C742" s="26" t="s">
        <v>50</v>
      </c>
      <c r="D742" s="26" t="s">
        <v>65</v>
      </c>
      <c r="E742" s="26" t="s">
        <v>378</v>
      </c>
      <c r="F742" s="26" t="s">
        <v>58</v>
      </c>
      <c r="G742" s="27">
        <f>G743</f>
        <v>49690.559999999998</v>
      </c>
      <c r="H742" s="27">
        <f>H743</f>
        <v>50566.2</v>
      </c>
      <c r="I742" s="27">
        <f>I743</f>
        <v>50566.2</v>
      </c>
      <c r="J742" s="27">
        <f>J743</f>
        <v>49690.559999999998</v>
      </c>
      <c r="K742" s="16">
        <f t="shared" si="316"/>
        <v>0</v>
      </c>
      <c r="L742" s="27">
        <f>L743</f>
        <v>50566.2</v>
      </c>
      <c r="M742" s="16">
        <f t="shared" si="317"/>
        <v>0</v>
      </c>
      <c r="N742" s="27">
        <f>N743</f>
        <v>50566.2</v>
      </c>
      <c r="O742" s="16">
        <f t="shared" si="318"/>
        <v>0</v>
      </c>
    </row>
    <row r="743" spans="1:15" s="3" customFormat="1" ht="25.5">
      <c r="A743" s="11" t="s">
        <v>247</v>
      </c>
      <c r="B743" s="25" t="s">
        <v>26</v>
      </c>
      <c r="C743" s="26" t="s">
        <v>50</v>
      </c>
      <c r="D743" s="26" t="s">
        <v>65</v>
      </c>
      <c r="E743" s="26" t="s">
        <v>379</v>
      </c>
      <c r="F743" s="26" t="s">
        <v>58</v>
      </c>
      <c r="G743" s="27">
        <f>G744+G746</f>
        <v>49690.559999999998</v>
      </c>
      <c r="H743" s="27">
        <f>H744+H746</f>
        <v>50566.2</v>
      </c>
      <c r="I743" s="27">
        <f>I744+I746</f>
        <v>50566.2</v>
      </c>
      <c r="J743" s="27">
        <f>J744+J746</f>
        <v>49690.559999999998</v>
      </c>
      <c r="K743" s="16">
        <f t="shared" si="316"/>
        <v>0</v>
      </c>
      <c r="L743" s="27">
        <f>L744+L746</f>
        <v>50566.2</v>
      </c>
      <c r="M743" s="16">
        <f t="shared" si="317"/>
        <v>0</v>
      </c>
      <c r="N743" s="27">
        <f>N744+N746</f>
        <v>50566.2</v>
      </c>
      <c r="O743" s="16">
        <f t="shared" si="318"/>
        <v>0</v>
      </c>
    </row>
    <row r="744" spans="1:15" s="3" customFormat="1">
      <c r="A744" s="13" t="s">
        <v>92</v>
      </c>
      <c r="B744" s="25" t="s">
        <v>26</v>
      </c>
      <c r="C744" s="26" t="s">
        <v>50</v>
      </c>
      <c r="D744" s="26" t="s">
        <v>65</v>
      </c>
      <c r="E744" s="26" t="s">
        <v>379</v>
      </c>
      <c r="F744" s="26" t="s">
        <v>138</v>
      </c>
      <c r="G744" s="27">
        <f>G745</f>
        <v>32804</v>
      </c>
      <c r="H744" s="27">
        <f t="shared" ref="H744:I744" si="323">H745</f>
        <v>32804</v>
      </c>
      <c r="I744" s="27">
        <f t="shared" si="323"/>
        <v>32804</v>
      </c>
      <c r="J744" s="27">
        <f>32804</f>
        <v>32804</v>
      </c>
      <c r="K744" s="16">
        <f t="shared" si="316"/>
        <v>0</v>
      </c>
      <c r="L744" s="27">
        <f>32804</f>
        <v>32804</v>
      </c>
      <c r="M744" s="16">
        <f t="shared" si="317"/>
        <v>0</v>
      </c>
      <c r="N744" s="27">
        <f>32804</f>
        <v>32804</v>
      </c>
      <c r="O744" s="16">
        <f t="shared" si="318"/>
        <v>0</v>
      </c>
    </row>
    <row r="745" spans="1:15" s="4" customFormat="1" ht="38.25">
      <c r="A745" s="12" t="s">
        <v>1015</v>
      </c>
      <c r="B745" s="25" t="s">
        <v>26</v>
      </c>
      <c r="C745" s="26" t="s">
        <v>50</v>
      </c>
      <c r="D745" s="26" t="s">
        <v>65</v>
      </c>
      <c r="E745" s="26" t="s">
        <v>379</v>
      </c>
      <c r="F745" s="26" t="s">
        <v>67</v>
      </c>
      <c r="G745" s="27">
        <f>32804</f>
        <v>32804</v>
      </c>
      <c r="H745" s="27">
        <f>32804</f>
        <v>32804</v>
      </c>
      <c r="I745" s="27">
        <f>32804</f>
        <v>32804</v>
      </c>
      <c r="J745" s="80"/>
      <c r="K745" s="16">
        <f t="shared" si="316"/>
        <v>-32804</v>
      </c>
      <c r="L745" s="80"/>
      <c r="M745" s="16">
        <f t="shared" si="317"/>
        <v>-32804</v>
      </c>
      <c r="N745" s="80"/>
      <c r="O745" s="16">
        <f t="shared" si="318"/>
        <v>-32804</v>
      </c>
    </row>
    <row r="746" spans="1:15" s="3" customFormat="1">
      <c r="A746" s="13" t="s">
        <v>93</v>
      </c>
      <c r="B746" s="25" t="s">
        <v>26</v>
      </c>
      <c r="C746" s="26" t="s">
        <v>50</v>
      </c>
      <c r="D746" s="26" t="s">
        <v>65</v>
      </c>
      <c r="E746" s="26" t="s">
        <v>379</v>
      </c>
      <c r="F746" s="26" t="s">
        <v>20</v>
      </c>
      <c r="G746" s="27">
        <f>G747</f>
        <v>16886.560000000001</v>
      </c>
      <c r="H746" s="27">
        <f t="shared" ref="H746:I746" si="324">H747</f>
        <v>17762.2</v>
      </c>
      <c r="I746" s="27">
        <f t="shared" si="324"/>
        <v>17762.2</v>
      </c>
      <c r="J746" s="27">
        <f>16886.56</f>
        <v>16886.560000000001</v>
      </c>
      <c r="K746" s="16">
        <f t="shared" si="316"/>
        <v>0</v>
      </c>
      <c r="L746" s="27">
        <f>17762.2</f>
        <v>17762.2</v>
      </c>
      <c r="M746" s="16">
        <f t="shared" si="317"/>
        <v>0</v>
      </c>
      <c r="N746" s="27">
        <f>17762.2</f>
        <v>17762.2</v>
      </c>
      <c r="O746" s="16">
        <f t="shared" si="318"/>
        <v>0</v>
      </c>
    </row>
    <row r="747" spans="1:15" s="4" customFormat="1" ht="38.25">
      <c r="A747" s="12" t="s">
        <v>1018</v>
      </c>
      <c r="B747" s="25" t="s">
        <v>26</v>
      </c>
      <c r="C747" s="26" t="s">
        <v>50</v>
      </c>
      <c r="D747" s="26" t="s">
        <v>65</v>
      </c>
      <c r="E747" s="26" t="s">
        <v>379</v>
      </c>
      <c r="F747" s="26" t="s">
        <v>16</v>
      </c>
      <c r="G747" s="27">
        <f>16886.56</f>
        <v>16886.560000000001</v>
      </c>
      <c r="H747" s="27">
        <f>17762.2</f>
        <v>17762.2</v>
      </c>
      <c r="I747" s="27">
        <f>17762.2</f>
        <v>17762.2</v>
      </c>
      <c r="J747" s="80"/>
      <c r="K747" s="16">
        <f t="shared" si="316"/>
        <v>-16886.560000000001</v>
      </c>
      <c r="L747" s="80"/>
      <c r="M747" s="16">
        <f t="shared" si="317"/>
        <v>-17762.2</v>
      </c>
      <c r="N747" s="80"/>
      <c r="O747" s="16">
        <f t="shared" si="318"/>
        <v>-17762.2</v>
      </c>
    </row>
    <row r="748" spans="1:15" s="3" customFormat="1" ht="25.5">
      <c r="A748" s="11" t="s">
        <v>380</v>
      </c>
      <c r="B748" s="25" t="s">
        <v>26</v>
      </c>
      <c r="C748" s="26" t="s">
        <v>50</v>
      </c>
      <c r="D748" s="26" t="s">
        <v>65</v>
      </c>
      <c r="E748" s="26" t="s">
        <v>381</v>
      </c>
      <c r="F748" s="26" t="s">
        <v>58</v>
      </c>
      <c r="G748" s="27">
        <f t="shared" ref="G748:N750" si="325">G749</f>
        <v>3081.38</v>
      </c>
      <c r="H748" s="27">
        <f t="shared" si="325"/>
        <v>3102.84</v>
      </c>
      <c r="I748" s="27">
        <f t="shared" si="325"/>
        <v>3102.84</v>
      </c>
      <c r="J748" s="27">
        <f t="shared" si="325"/>
        <v>3081.38</v>
      </c>
      <c r="K748" s="16">
        <f t="shared" si="316"/>
        <v>0</v>
      </c>
      <c r="L748" s="27">
        <f t="shared" si="325"/>
        <v>3102.84</v>
      </c>
      <c r="M748" s="16">
        <f t="shared" si="317"/>
        <v>0</v>
      </c>
      <c r="N748" s="27">
        <f t="shared" si="325"/>
        <v>3102.84</v>
      </c>
      <c r="O748" s="16">
        <f t="shared" si="318"/>
        <v>0</v>
      </c>
    </row>
    <row r="749" spans="1:15" s="3" customFormat="1" ht="25.5">
      <c r="A749" s="11" t="s">
        <v>247</v>
      </c>
      <c r="B749" s="25" t="s">
        <v>26</v>
      </c>
      <c r="C749" s="26" t="s">
        <v>50</v>
      </c>
      <c r="D749" s="26" t="s">
        <v>65</v>
      </c>
      <c r="E749" s="26" t="s">
        <v>382</v>
      </c>
      <c r="F749" s="26" t="s">
        <v>58</v>
      </c>
      <c r="G749" s="27">
        <f t="shared" si="325"/>
        <v>3081.38</v>
      </c>
      <c r="H749" s="27">
        <f t="shared" si="325"/>
        <v>3102.84</v>
      </c>
      <c r="I749" s="27">
        <f t="shared" si="325"/>
        <v>3102.84</v>
      </c>
      <c r="J749" s="27">
        <f t="shared" si="325"/>
        <v>3081.38</v>
      </c>
      <c r="K749" s="16">
        <f t="shared" si="316"/>
        <v>0</v>
      </c>
      <c r="L749" s="27">
        <f t="shared" si="325"/>
        <v>3102.84</v>
      </c>
      <c r="M749" s="16">
        <f t="shared" si="317"/>
        <v>0</v>
      </c>
      <c r="N749" s="27">
        <f t="shared" si="325"/>
        <v>3102.84</v>
      </c>
      <c r="O749" s="16">
        <f t="shared" si="318"/>
        <v>0</v>
      </c>
    </row>
    <row r="750" spans="1:15" s="3" customFormat="1">
      <c r="A750" s="13" t="s">
        <v>92</v>
      </c>
      <c r="B750" s="25" t="s">
        <v>26</v>
      </c>
      <c r="C750" s="26" t="s">
        <v>50</v>
      </c>
      <c r="D750" s="26" t="s">
        <v>65</v>
      </c>
      <c r="E750" s="26" t="s">
        <v>382</v>
      </c>
      <c r="F750" s="26" t="s">
        <v>138</v>
      </c>
      <c r="G750" s="27">
        <f>G751</f>
        <v>3081.38</v>
      </c>
      <c r="H750" s="27">
        <f t="shared" si="325"/>
        <v>3102.84</v>
      </c>
      <c r="I750" s="27">
        <f t="shared" si="325"/>
        <v>3102.84</v>
      </c>
      <c r="J750" s="27">
        <f>3081.38</f>
        <v>3081.38</v>
      </c>
      <c r="K750" s="16">
        <f t="shared" si="316"/>
        <v>0</v>
      </c>
      <c r="L750" s="27">
        <f>3102.84</f>
        <v>3102.84</v>
      </c>
      <c r="M750" s="16">
        <f t="shared" si="317"/>
        <v>0</v>
      </c>
      <c r="N750" s="27">
        <f>3102.84</f>
        <v>3102.84</v>
      </c>
      <c r="O750" s="16">
        <f t="shared" si="318"/>
        <v>0</v>
      </c>
    </row>
    <row r="751" spans="1:15" s="4" customFormat="1" ht="38.25">
      <c r="A751" s="12" t="s">
        <v>1015</v>
      </c>
      <c r="B751" s="25" t="s">
        <v>26</v>
      </c>
      <c r="C751" s="26" t="s">
        <v>50</v>
      </c>
      <c r="D751" s="26" t="s">
        <v>65</v>
      </c>
      <c r="E751" s="26" t="s">
        <v>382</v>
      </c>
      <c r="F751" s="26" t="s">
        <v>67</v>
      </c>
      <c r="G751" s="27">
        <f>3081.38</f>
        <v>3081.38</v>
      </c>
      <c r="H751" s="27">
        <f>3102.84</f>
        <v>3102.84</v>
      </c>
      <c r="I751" s="27">
        <f>3102.84</f>
        <v>3102.84</v>
      </c>
      <c r="J751" s="80"/>
      <c r="K751" s="16">
        <f t="shared" si="316"/>
        <v>-3081.38</v>
      </c>
      <c r="L751" s="80"/>
      <c r="M751" s="16">
        <f t="shared" si="317"/>
        <v>-3102.84</v>
      </c>
      <c r="N751" s="80"/>
      <c r="O751" s="16">
        <f t="shared" si="318"/>
        <v>-3102.84</v>
      </c>
    </row>
    <row r="752" spans="1:15" s="3" customFormat="1" ht="38.25">
      <c r="A752" s="11" t="s">
        <v>383</v>
      </c>
      <c r="B752" s="25" t="s">
        <v>26</v>
      </c>
      <c r="C752" s="26" t="s">
        <v>50</v>
      </c>
      <c r="D752" s="26" t="s">
        <v>65</v>
      </c>
      <c r="E752" s="26" t="s">
        <v>384</v>
      </c>
      <c r="F752" s="26" t="s">
        <v>58</v>
      </c>
      <c r="G752" s="27">
        <f>G753+G756</f>
        <v>39368.699999999997</v>
      </c>
      <c r="H752" s="27">
        <f>H753+H756</f>
        <v>39490.99</v>
      </c>
      <c r="I752" s="27">
        <f>I753+I756</f>
        <v>39490.99</v>
      </c>
      <c r="J752" s="27">
        <f>J753+J756</f>
        <v>39368.699999999997</v>
      </c>
      <c r="K752" s="16">
        <f t="shared" si="316"/>
        <v>0</v>
      </c>
      <c r="L752" s="27">
        <f>L753+L756</f>
        <v>39490.99</v>
      </c>
      <c r="M752" s="16">
        <f t="shared" si="317"/>
        <v>0</v>
      </c>
      <c r="N752" s="27">
        <f>N753+N756</f>
        <v>39490.99</v>
      </c>
      <c r="O752" s="16">
        <f t="shared" si="318"/>
        <v>0</v>
      </c>
    </row>
    <row r="753" spans="1:15" s="3" customFormat="1" ht="25.5">
      <c r="A753" s="11" t="s">
        <v>247</v>
      </c>
      <c r="B753" s="25" t="s">
        <v>26</v>
      </c>
      <c r="C753" s="26" t="s">
        <v>50</v>
      </c>
      <c r="D753" s="26" t="s">
        <v>65</v>
      </c>
      <c r="E753" s="26" t="s">
        <v>385</v>
      </c>
      <c r="F753" s="26" t="s">
        <v>58</v>
      </c>
      <c r="G753" s="27">
        <f>G754</f>
        <v>38768.699999999997</v>
      </c>
      <c r="H753" s="27">
        <f>H754</f>
        <v>38890.99</v>
      </c>
      <c r="I753" s="27">
        <f>I754</f>
        <v>38890.99</v>
      </c>
      <c r="J753" s="27">
        <f>J754</f>
        <v>38768.699999999997</v>
      </c>
      <c r="K753" s="16">
        <f t="shared" si="316"/>
        <v>0</v>
      </c>
      <c r="L753" s="27">
        <f>L754</f>
        <v>38890.99</v>
      </c>
      <c r="M753" s="16">
        <f t="shared" si="317"/>
        <v>0</v>
      </c>
      <c r="N753" s="27">
        <f>N754</f>
        <v>38890.99</v>
      </c>
      <c r="O753" s="16">
        <f t="shared" si="318"/>
        <v>0</v>
      </c>
    </row>
    <row r="754" spans="1:15" s="3" customFormat="1">
      <c r="A754" s="13" t="s">
        <v>92</v>
      </c>
      <c r="B754" s="25" t="s">
        <v>26</v>
      </c>
      <c r="C754" s="26" t="s">
        <v>50</v>
      </c>
      <c r="D754" s="26" t="s">
        <v>65</v>
      </c>
      <c r="E754" s="26" t="s">
        <v>385</v>
      </c>
      <c r="F754" s="26" t="s">
        <v>138</v>
      </c>
      <c r="G754" s="27">
        <f>G755</f>
        <v>38768.699999999997</v>
      </c>
      <c r="H754" s="27">
        <f t="shared" ref="H754:I754" si="326">H755</f>
        <v>38890.99</v>
      </c>
      <c r="I754" s="27">
        <f t="shared" si="326"/>
        <v>38890.99</v>
      </c>
      <c r="J754" s="27">
        <f>39368.7-600</f>
        <v>38768.699999999997</v>
      </c>
      <c r="K754" s="16">
        <f t="shared" si="316"/>
        <v>0</v>
      </c>
      <c r="L754" s="27">
        <f>39490.99-600</f>
        <v>38890.99</v>
      </c>
      <c r="M754" s="16">
        <f t="shared" si="317"/>
        <v>0</v>
      </c>
      <c r="N754" s="27">
        <f>39490.99-600</f>
        <v>38890.99</v>
      </c>
      <c r="O754" s="16">
        <f t="shared" si="318"/>
        <v>0</v>
      </c>
    </row>
    <row r="755" spans="1:15" s="4" customFormat="1" ht="38.25">
      <c r="A755" s="12" t="s">
        <v>1015</v>
      </c>
      <c r="B755" s="25" t="s">
        <v>26</v>
      </c>
      <c r="C755" s="26" t="s">
        <v>50</v>
      </c>
      <c r="D755" s="26" t="s">
        <v>65</v>
      </c>
      <c r="E755" s="26" t="s">
        <v>385</v>
      </c>
      <c r="F755" s="26" t="s">
        <v>67</v>
      </c>
      <c r="G755" s="27">
        <f>39368.7-600</f>
        <v>38768.699999999997</v>
      </c>
      <c r="H755" s="27">
        <f>39490.99-600</f>
        <v>38890.99</v>
      </c>
      <c r="I755" s="27">
        <f>39490.99-600</f>
        <v>38890.99</v>
      </c>
      <c r="J755" s="80"/>
      <c r="K755" s="16">
        <f t="shared" si="316"/>
        <v>-38768.699999999997</v>
      </c>
      <c r="L755" s="80"/>
      <c r="M755" s="16">
        <f t="shared" si="317"/>
        <v>-38890.99</v>
      </c>
      <c r="N755" s="80"/>
      <c r="O755" s="16">
        <f t="shared" si="318"/>
        <v>-38890.99</v>
      </c>
    </row>
    <row r="756" spans="1:15" s="3" customFormat="1" ht="25.5">
      <c r="A756" s="13" t="s">
        <v>919</v>
      </c>
      <c r="B756" s="25" t="s">
        <v>26</v>
      </c>
      <c r="C756" s="26" t="s">
        <v>50</v>
      </c>
      <c r="D756" s="26" t="s">
        <v>65</v>
      </c>
      <c r="E756" s="26" t="s">
        <v>918</v>
      </c>
      <c r="F756" s="26" t="s">
        <v>58</v>
      </c>
      <c r="G756" s="27">
        <f>G757</f>
        <v>600</v>
      </c>
      <c r="H756" s="27">
        <f t="shared" ref="H756:N757" si="327">H757</f>
        <v>600</v>
      </c>
      <c r="I756" s="27">
        <f t="shared" si="327"/>
        <v>600</v>
      </c>
      <c r="J756" s="27">
        <f>J757</f>
        <v>600</v>
      </c>
      <c r="K756" s="16">
        <f t="shared" si="316"/>
        <v>0</v>
      </c>
      <c r="L756" s="27">
        <f t="shared" si="327"/>
        <v>600</v>
      </c>
      <c r="M756" s="16">
        <f t="shared" si="317"/>
        <v>0</v>
      </c>
      <c r="N756" s="27">
        <f t="shared" si="327"/>
        <v>600</v>
      </c>
      <c r="O756" s="16">
        <f t="shared" si="318"/>
        <v>0</v>
      </c>
    </row>
    <row r="757" spans="1:15" s="3" customFormat="1">
      <c r="A757" s="13" t="s">
        <v>92</v>
      </c>
      <c r="B757" s="25" t="s">
        <v>26</v>
      </c>
      <c r="C757" s="26" t="s">
        <v>50</v>
      </c>
      <c r="D757" s="26" t="s">
        <v>65</v>
      </c>
      <c r="E757" s="26" t="s">
        <v>918</v>
      </c>
      <c r="F757" s="26" t="s">
        <v>138</v>
      </c>
      <c r="G757" s="27">
        <f>G758</f>
        <v>600</v>
      </c>
      <c r="H757" s="27">
        <f t="shared" si="327"/>
        <v>600</v>
      </c>
      <c r="I757" s="27">
        <f t="shared" si="327"/>
        <v>600</v>
      </c>
      <c r="J757" s="27">
        <f>600</f>
        <v>600</v>
      </c>
      <c r="K757" s="16">
        <f t="shared" si="316"/>
        <v>0</v>
      </c>
      <c r="L757" s="27">
        <f>600</f>
        <v>600</v>
      </c>
      <c r="M757" s="16">
        <f t="shared" si="317"/>
        <v>0</v>
      </c>
      <c r="N757" s="27">
        <f>600</f>
        <v>600</v>
      </c>
      <c r="O757" s="16">
        <f t="shared" si="318"/>
        <v>0</v>
      </c>
    </row>
    <row r="758" spans="1:15" s="4" customFormat="1" ht="38.25">
      <c r="A758" s="12" t="s">
        <v>1015</v>
      </c>
      <c r="B758" s="25" t="s">
        <v>26</v>
      </c>
      <c r="C758" s="26" t="s">
        <v>50</v>
      </c>
      <c r="D758" s="26" t="s">
        <v>65</v>
      </c>
      <c r="E758" s="26" t="s">
        <v>918</v>
      </c>
      <c r="F758" s="26" t="s">
        <v>67</v>
      </c>
      <c r="G758" s="27">
        <f>600</f>
        <v>600</v>
      </c>
      <c r="H758" s="27">
        <f>600</f>
        <v>600</v>
      </c>
      <c r="I758" s="27">
        <f>600</f>
        <v>600</v>
      </c>
      <c r="J758" s="80"/>
      <c r="K758" s="16">
        <f t="shared" si="316"/>
        <v>-600</v>
      </c>
      <c r="L758" s="80"/>
      <c r="M758" s="16">
        <f t="shared" si="317"/>
        <v>-600</v>
      </c>
      <c r="N758" s="80"/>
      <c r="O758" s="16">
        <f t="shared" si="318"/>
        <v>-600</v>
      </c>
    </row>
    <row r="759" spans="1:15" s="3" customFormat="1" ht="38.25">
      <c r="A759" s="11" t="s">
        <v>386</v>
      </c>
      <c r="B759" s="25" t="s">
        <v>26</v>
      </c>
      <c r="C759" s="26" t="s">
        <v>50</v>
      </c>
      <c r="D759" s="26" t="s">
        <v>65</v>
      </c>
      <c r="E759" s="26" t="s">
        <v>387</v>
      </c>
      <c r="F759" s="26" t="s">
        <v>58</v>
      </c>
      <c r="G759" s="27">
        <f>G760</f>
        <v>48765.979999999996</v>
      </c>
      <c r="H759" s="27">
        <f>H760</f>
        <v>48784.7</v>
      </c>
      <c r="I759" s="27">
        <f>I760</f>
        <v>48784.7</v>
      </c>
      <c r="J759" s="27">
        <f>J760</f>
        <v>48765.979999999996</v>
      </c>
      <c r="K759" s="16">
        <f t="shared" si="316"/>
        <v>0</v>
      </c>
      <c r="L759" s="27">
        <f>L760</f>
        <v>48784.7</v>
      </c>
      <c r="M759" s="16">
        <f t="shared" si="317"/>
        <v>0</v>
      </c>
      <c r="N759" s="27">
        <f>N760</f>
        <v>48784.7</v>
      </c>
      <c r="O759" s="16">
        <f t="shared" si="318"/>
        <v>0</v>
      </c>
    </row>
    <row r="760" spans="1:15" s="3" customFormat="1" ht="25.5">
      <c r="A760" s="11" t="s">
        <v>247</v>
      </c>
      <c r="B760" s="25" t="s">
        <v>26</v>
      </c>
      <c r="C760" s="26" t="s">
        <v>50</v>
      </c>
      <c r="D760" s="26" t="s">
        <v>65</v>
      </c>
      <c r="E760" s="26" t="s">
        <v>388</v>
      </c>
      <c r="F760" s="26" t="s">
        <v>58</v>
      </c>
      <c r="G760" s="27">
        <f>G761+G763</f>
        <v>48765.979999999996</v>
      </c>
      <c r="H760" s="27">
        <f t="shared" ref="H760:I760" si="328">H761+H763</f>
        <v>48784.7</v>
      </c>
      <c r="I760" s="27">
        <f t="shared" si="328"/>
        <v>48784.7</v>
      </c>
      <c r="J760" s="27">
        <f>SUM(J761:J763)</f>
        <v>48765.979999999996</v>
      </c>
      <c r="K760" s="16">
        <f t="shared" si="316"/>
        <v>0</v>
      </c>
      <c r="L760" s="27">
        <f>SUM(L761:L763)</f>
        <v>48784.7</v>
      </c>
      <c r="M760" s="16">
        <f t="shared" si="317"/>
        <v>0</v>
      </c>
      <c r="N760" s="27">
        <f>SUM(N761:N763)</f>
        <v>48784.7</v>
      </c>
      <c r="O760" s="16">
        <f t="shared" si="318"/>
        <v>0</v>
      </c>
    </row>
    <row r="761" spans="1:15" s="3" customFormat="1">
      <c r="A761" s="13" t="s">
        <v>92</v>
      </c>
      <c r="B761" s="25" t="s">
        <v>26</v>
      </c>
      <c r="C761" s="26" t="s">
        <v>50</v>
      </c>
      <c r="D761" s="26" t="s">
        <v>65</v>
      </c>
      <c r="E761" s="26" t="s">
        <v>388</v>
      </c>
      <c r="F761" s="26" t="s">
        <v>138</v>
      </c>
      <c r="G761" s="27">
        <f>G762</f>
        <v>40597.32</v>
      </c>
      <c r="H761" s="27">
        <f t="shared" ref="H761:I761" si="329">H762</f>
        <v>40616.04</v>
      </c>
      <c r="I761" s="27">
        <f t="shared" si="329"/>
        <v>40616.04</v>
      </c>
      <c r="J761" s="27">
        <f>40597.32</f>
        <v>40597.32</v>
      </c>
      <c r="K761" s="16">
        <f t="shared" si="316"/>
        <v>0</v>
      </c>
      <c r="L761" s="27">
        <f>40616.04</f>
        <v>40616.04</v>
      </c>
      <c r="M761" s="16">
        <f t="shared" si="317"/>
        <v>0</v>
      </c>
      <c r="N761" s="27">
        <f>40616.04</f>
        <v>40616.04</v>
      </c>
      <c r="O761" s="16">
        <f t="shared" si="318"/>
        <v>0</v>
      </c>
    </row>
    <row r="762" spans="1:15" s="4" customFormat="1" ht="38.25">
      <c r="A762" s="12" t="s">
        <v>1015</v>
      </c>
      <c r="B762" s="25" t="s">
        <v>26</v>
      </c>
      <c r="C762" s="26" t="s">
        <v>50</v>
      </c>
      <c r="D762" s="26" t="s">
        <v>65</v>
      </c>
      <c r="E762" s="26" t="s">
        <v>388</v>
      </c>
      <c r="F762" s="26" t="s">
        <v>67</v>
      </c>
      <c r="G762" s="27">
        <f>40597.32</f>
        <v>40597.32</v>
      </c>
      <c r="H762" s="27">
        <f>40616.04</f>
        <v>40616.04</v>
      </c>
      <c r="I762" s="27">
        <f>40616.04</f>
        <v>40616.04</v>
      </c>
      <c r="J762" s="80"/>
      <c r="K762" s="16">
        <f t="shared" si="316"/>
        <v>-40597.32</v>
      </c>
      <c r="L762" s="80"/>
      <c r="M762" s="16">
        <f t="shared" si="317"/>
        <v>-40616.04</v>
      </c>
      <c r="N762" s="80"/>
      <c r="O762" s="16">
        <f t="shared" si="318"/>
        <v>-40616.04</v>
      </c>
    </row>
    <row r="763" spans="1:15" s="3" customFormat="1">
      <c r="A763" s="13" t="s">
        <v>93</v>
      </c>
      <c r="B763" s="25" t="s">
        <v>26</v>
      </c>
      <c r="C763" s="26" t="s">
        <v>50</v>
      </c>
      <c r="D763" s="26" t="s">
        <v>65</v>
      </c>
      <c r="E763" s="26" t="s">
        <v>388</v>
      </c>
      <c r="F763" s="26" t="s">
        <v>20</v>
      </c>
      <c r="G763" s="27">
        <f>G764</f>
        <v>8168.66</v>
      </c>
      <c r="H763" s="27">
        <f t="shared" ref="H763:I763" si="330">H764</f>
        <v>8168.66</v>
      </c>
      <c r="I763" s="27">
        <f t="shared" si="330"/>
        <v>8168.66</v>
      </c>
      <c r="J763" s="27">
        <f>8168.66</f>
        <v>8168.66</v>
      </c>
      <c r="K763" s="16">
        <f t="shared" si="316"/>
        <v>0</v>
      </c>
      <c r="L763" s="27">
        <f>8168.66</f>
        <v>8168.66</v>
      </c>
      <c r="M763" s="16">
        <f t="shared" si="317"/>
        <v>0</v>
      </c>
      <c r="N763" s="27">
        <f>8168.66</f>
        <v>8168.66</v>
      </c>
      <c r="O763" s="16">
        <f t="shared" si="318"/>
        <v>0</v>
      </c>
    </row>
    <row r="764" spans="1:15" s="4" customFormat="1" ht="38.25">
      <c r="A764" s="12" t="s">
        <v>1018</v>
      </c>
      <c r="B764" s="25" t="s">
        <v>26</v>
      </c>
      <c r="C764" s="26" t="s">
        <v>50</v>
      </c>
      <c r="D764" s="26" t="s">
        <v>65</v>
      </c>
      <c r="E764" s="26" t="s">
        <v>388</v>
      </c>
      <c r="F764" s="26" t="s">
        <v>16</v>
      </c>
      <c r="G764" s="27">
        <f>8168.66</f>
        <v>8168.66</v>
      </c>
      <c r="H764" s="27">
        <f>8168.66</f>
        <v>8168.66</v>
      </c>
      <c r="I764" s="27">
        <f>8168.66</f>
        <v>8168.66</v>
      </c>
      <c r="J764" s="80"/>
      <c r="K764" s="16">
        <f t="shared" si="316"/>
        <v>-8168.66</v>
      </c>
      <c r="L764" s="80"/>
      <c r="M764" s="16">
        <f t="shared" si="317"/>
        <v>-8168.66</v>
      </c>
      <c r="N764" s="80"/>
      <c r="O764" s="16">
        <f t="shared" si="318"/>
        <v>-8168.66</v>
      </c>
    </row>
    <row r="765" spans="1:15" s="3" customFormat="1" ht="38.25">
      <c r="A765" s="11" t="s">
        <v>621</v>
      </c>
      <c r="B765" s="25" t="s">
        <v>26</v>
      </c>
      <c r="C765" s="26" t="s">
        <v>50</v>
      </c>
      <c r="D765" s="26" t="s">
        <v>65</v>
      </c>
      <c r="E765" s="26" t="s">
        <v>375</v>
      </c>
      <c r="F765" s="26" t="s">
        <v>58</v>
      </c>
      <c r="G765" s="27">
        <f t="shared" ref="G765:N767" si="331">G766</f>
        <v>0</v>
      </c>
      <c r="H765" s="27">
        <f t="shared" si="331"/>
        <v>2595.96</v>
      </c>
      <c r="I765" s="27">
        <f t="shared" si="331"/>
        <v>0</v>
      </c>
      <c r="J765" s="27">
        <f t="shared" si="331"/>
        <v>0</v>
      </c>
      <c r="K765" s="16">
        <f t="shared" si="316"/>
        <v>0</v>
      </c>
      <c r="L765" s="27">
        <f t="shared" si="331"/>
        <v>2595.96</v>
      </c>
      <c r="M765" s="16">
        <f t="shared" si="317"/>
        <v>0</v>
      </c>
      <c r="N765" s="27">
        <f t="shared" si="331"/>
        <v>0</v>
      </c>
      <c r="O765" s="16">
        <f t="shared" si="318"/>
        <v>0</v>
      </c>
    </row>
    <row r="766" spans="1:15" s="3" customFormat="1" ht="25.5">
      <c r="A766" s="11" t="s">
        <v>162</v>
      </c>
      <c r="B766" s="25" t="s">
        <v>26</v>
      </c>
      <c r="C766" s="26" t="s">
        <v>50</v>
      </c>
      <c r="D766" s="26" t="s">
        <v>65</v>
      </c>
      <c r="E766" s="26" t="s">
        <v>376</v>
      </c>
      <c r="F766" s="26" t="s">
        <v>58</v>
      </c>
      <c r="G766" s="27">
        <f t="shared" si="331"/>
        <v>0</v>
      </c>
      <c r="H766" s="27">
        <f t="shared" si="331"/>
        <v>2595.96</v>
      </c>
      <c r="I766" s="27">
        <f t="shared" si="331"/>
        <v>0</v>
      </c>
      <c r="J766" s="27">
        <f t="shared" si="331"/>
        <v>0</v>
      </c>
      <c r="K766" s="16">
        <f t="shared" si="316"/>
        <v>0</v>
      </c>
      <c r="L766" s="27">
        <f t="shared" si="331"/>
        <v>2595.96</v>
      </c>
      <c r="M766" s="16">
        <f t="shared" si="317"/>
        <v>0</v>
      </c>
      <c r="N766" s="27">
        <f t="shared" si="331"/>
        <v>0</v>
      </c>
      <c r="O766" s="16">
        <f t="shared" si="318"/>
        <v>0</v>
      </c>
    </row>
    <row r="767" spans="1:15" s="3" customFormat="1">
      <c r="A767" s="13" t="s">
        <v>92</v>
      </c>
      <c r="B767" s="25" t="s">
        <v>26</v>
      </c>
      <c r="C767" s="26" t="s">
        <v>50</v>
      </c>
      <c r="D767" s="26" t="s">
        <v>65</v>
      </c>
      <c r="E767" s="26" t="s">
        <v>376</v>
      </c>
      <c r="F767" s="26" t="s">
        <v>138</v>
      </c>
      <c r="G767" s="27">
        <f>G768</f>
        <v>0</v>
      </c>
      <c r="H767" s="27">
        <f t="shared" si="331"/>
        <v>2595.96</v>
      </c>
      <c r="I767" s="27">
        <f t="shared" si="331"/>
        <v>0</v>
      </c>
      <c r="J767" s="27">
        <v>0</v>
      </c>
      <c r="K767" s="16">
        <f t="shared" si="316"/>
        <v>0</v>
      </c>
      <c r="L767" s="27">
        <f>2595.96</f>
        <v>2595.96</v>
      </c>
      <c r="M767" s="16">
        <f t="shared" si="317"/>
        <v>0</v>
      </c>
      <c r="N767" s="27">
        <v>0</v>
      </c>
      <c r="O767" s="16">
        <f t="shared" si="318"/>
        <v>0</v>
      </c>
    </row>
    <row r="768" spans="1:15" s="4" customFormat="1">
      <c r="A768" s="12" t="s">
        <v>1016</v>
      </c>
      <c r="B768" s="25" t="s">
        <v>26</v>
      </c>
      <c r="C768" s="26" t="s">
        <v>50</v>
      </c>
      <c r="D768" s="26" t="s">
        <v>65</v>
      </c>
      <c r="E768" s="26" t="s">
        <v>376</v>
      </c>
      <c r="F768" s="26" t="s">
        <v>1046</v>
      </c>
      <c r="G768" s="27">
        <v>0</v>
      </c>
      <c r="H768" s="27">
        <f>2595.96</f>
        <v>2595.96</v>
      </c>
      <c r="I768" s="27">
        <v>0</v>
      </c>
      <c r="J768" s="80"/>
      <c r="K768" s="16">
        <f t="shared" si="316"/>
        <v>0</v>
      </c>
      <c r="L768" s="80"/>
      <c r="M768" s="16">
        <f t="shared" si="317"/>
        <v>-2595.96</v>
      </c>
      <c r="N768" s="80"/>
      <c r="O768" s="16">
        <f t="shared" si="318"/>
        <v>0</v>
      </c>
    </row>
    <row r="769" spans="1:15" s="3" customFormat="1" ht="89.25">
      <c r="A769" s="13" t="s">
        <v>850</v>
      </c>
      <c r="B769" s="25" t="s">
        <v>26</v>
      </c>
      <c r="C769" s="26" t="s">
        <v>50</v>
      </c>
      <c r="D769" s="26" t="s">
        <v>65</v>
      </c>
      <c r="E769" s="26" t="s">
        <v>622</v>
      </c>
      <c r="F769" s="26" t="s">
        <v>58</v>
      </c>
      <c r="G769" s="27">
        <f t="shared" ref="G769:N771" si="332">G770</f>
        <v>150</v>
      </c>
      <c r="H769" s="27">
        <f t="shared" si="332"/>
        <v>150</v>
      </c>
      <c r="I769" s="27">
        <f t="shared" si="332"/>
        <v>150</v>
      </c>
      <c r="J769" s="27">
        <f t="shared" si="332"/>
        <v>150</v>
      </c>
      <c r="K769" s="16">
        <f t="shared" si="316"/>
        <v>0</v>
      </c>
      <c r="L769" s="27">
        <f t="shared" si="332"/>
        <v>150</v>
      </c>
      <c r="M769" s="16">
        <f t="shared" si="317"/>
        <v>0</v>
      </c>
      <c r="N769" s="27">
        <f t="shared" si="332"/>
        <v>150</v>
      </c>
      <c r="O769" s="16">
        <f t="shared" si="318"/>
        <v>0</v>
      </c>
    </row>
    <row r="770" spans="1:15" s="3" customFormat="1" ht="76.5">
      <c r="A770" s="11" t="s">
        <v>853</v>
      </c>
      <c r="B770" s="25" t="s">
        <v>26</v>
      </c>
      <c r="C770" s="26" t="s">
        <v>50</v>
      </c>
      <c r="D770" s="26" t="s">
        <v>65</v>
      </c>
      <c r="E770" s="26" t="s">
        <v>623</v>
      </c>
      <c r="F770" s="26" t="s">
        <v>58</v>
      </c>
      <c r="G770" s="27">
        <f t="shared" si="332"/>
        <v>150</v>
      </c>
      <c r="H770" s="27">
        <f t="shared" si="332"/>
        <v>150</v>
      </c>
      <c r="I770" s="27">
        <f t="shared" si="332"/>
        <v>150</v>
      </c>
      <c r="J770" s="27">
        <f t="shared" si="332"/>
        <v>150</v>
      </c>
      <c r="K770" s="16">
        <f t="shared" si="316"/>
        <v>0</v>
      </c>
      <c r="L770" s="27">
        <f t="shared" si="332"/>
        <v>150</v>
      </c>
      <c r="M770" s="16">
        <f t="shared" si="317"/>
        <v>0</v>
      </c>
      <c r="N770" s="27">
        <f t="shared" si="332"/>
        <v>150</v>
      </c>
      <c r="O770" s="16">
        <f t="shared" si="318"/>
        <v>0</v>
      </c>
    </row>
    <row r="771" spans="1:15" s="3" customFormat="1">
      <c r="A771" s="13" t="s">
        <v>92</v>
      </c>
      <c r="B771" s="25" t="s">
        <v>26</v>
      </c>
      <c r="C771" s="26" t="s">
        <v>50</v>
      </c>
      <c r="D771" s="26" t="s">
        <v>65</v>
      </c>
      <c r="E771" s="26" t="s">
        <v>623</v>
      </c>
      <c r="F771" s="26" t="s">
        <v>138</v>
      </c>
      <c r="G771" s="27">
        <f>G772</f>
        <v>150</v>
      </c>
      <c r="H771" s="27">
        <f t="shared" si="332"/>
        <v>150</v>
      </c>
      <c r="I771" s="27">
        <f t="shared" si="332"/>
        <v>150</v>
      </c>
      <c r="J771" s="27">
        <f>150</f>
        <v>150</v>
      </c>
      <c r="K771" s="16">
        <f t="shared" si="316"/>
        <v>0</v>
      </c>
      <c r="L771" s="27">
        <f>150</f>
        <v>150</v>
      </c>
      <c r="M771" s="16">
        <f t="shared" si="317"/>
        <v>0</v>
      </c>
      <c r="N771" s="27">
        <f>150</f>
        <v>150</v>
      </c>
      <c r="O771" s="16">
        <f t="shared" si="318"/>
        <v>0</v>
      </c>
    </row>
    <row r="772" spans="1:15" s="4" customFormat="1">
      <c r="A772" s="12" t="s">
        <v>1016</v>
      </c>
      <c r="B772" s="25" t="s">
        <v>26</v>
      </c>
      <c r="C772" s="26" t="s">
        <v>50</v>
      </c>
      <c r="D772" s="26" t="s">
        <v>65</v>
      </c>
      <c r="E772" s="26" t="s">
        <v>623</v>
      </c>
      <c r="F772" s="26" t="s">
        <v>1046</v>
      </c>
      <c r="G772" s="27">
        <f>150</f>
        <v>150</v>
      </c>
      <c r="H772" s="27">
        <f>150</f>
        <v>150</v>
      </c>
      <c r="I772" s="27">
        <f>150</f>
        <v>150</v>
      </c>
      <c r="J772" s="80"/>
      <c r="K772" s="16">
        <f t="shared" si="316"/>
        <v>-150</v>
      </c>
      <c r="L772" s="80"/>
      <c r="M772" s="16">
        <f t="shared" si="317"/>
        <v>-150</v>
      </c>
      <c r="N772" s="80"/>
      <c r="O772" s="16">
        <f t="shared" si="318"/>
        <v>-150</v>
      </c>
    </row>
    <row r="773" spans="1:15" s="3" customFormat="1" ht="38.25">
      <c r="A773" s="13" t="s">
        <v>854</v>
      </c>
      <c r="B773" s="25" t="s">
        <v>26</v>
      </c>
      <c r="C773" s="26" t="s">
        <v>50</v>
      </c>
      <c r="D773" s="26" t="s">
        <v>65</v>
      </c>
      <c r="E773" s="26" t="s">
        <v>624</v>
      </c>
      <c r="F773" s="26" t="s">
        <v>58</v>
      </c>
      <c r="G773" s="27">
        <f t="shared" ref="G773:N775" si="333">G774</f>
        <v>940</v>
      </c>
      <c r="H773" s="27">
        <f t="shared" si="333"/>
        <v>817.6</v>
      </c>
      <c r="I773" s="27">
        <f t="shared" si="333"/>
        <v>817.6</v>
      </c>
      <c r="J773" s="27">
        <f t="shared" si="333"/>
        <v>940</v>
      </c>
      <c r="K773" s="16">
        <f t="shared" si="316"/>
        <v>0</v>
      </c>
      <c r="L773" s="27">
        <f t="shared" si="333"/>
        <v>817.6</v>
      </c>
      <c r="M773" s="16">
        <f t="shared" si="317"/>
        <v>0</v>
      </c>
      <c r="N773" s="27">
        <f t="shared" si="333"/>
        <v>817.6</v>
      </c>
      <c r="O773" s="16">
        <f t="shared" si="318"/>
        <v>0</v>
      </c>
    </row>
    <row r="774" spans="1:15" s="3" customFormat="1" ht="38.25">
      <c r="A774" s="13" t="s">
        <v>855</v>
      </c>
      <c r="B774" s="25" t="s">
        <v>26</v>
      </c>
      <c r="C774" s="26" t="s">
        <v>50</v>
      </c>
      <c r="D774" s="26" t="s">
        <v>65</v>
      </c>
      <c r="E774" s="26" t="s">
        <v>690</v>
      </c>
      <c r="F774" s="26" t="s">
        <v>58</v>
      </c>
      <c r="G774" s="27">
        <f t="shared" si="333"/>
        <v>940</v>
      </c>
      <c r="H774" s="27">
        <f t="shared" si="333"/>
        <v>817.6</v>
      </c>
      <c r="I774" s="27">
        <f t="shared" si="333"/>
        <v>817.6</v>
      </c>
      <c r="J774" s="27">
        <f t="shared" si="333"/>
        <v>940</v>
      </c>
      <c r="K774" s="16">
        <f t="shared" si="316"/>
        <v>0</v>
      </c>
      <c r="L774" s="27">
        <f t="shared" si="333"/>
        <v>817.6</v>
      </c>
      <c r="M774" s="16">
        <f t="shared" si="317"/>
        <v>0</v>
      </c>
      <c r="N774" s="27">
        <f t="shared" si="333"/>
        <v>817.6</v>
      </c>
      <c r="O774" s="16">
        <f t="shared" si="318"/>
        <v>0</v>
      </c>
    </row>
    <row r="775" spans="1:15" s="3" customFormat="1">
      <c r="A775" s="13" t="s">
        <v>92</v>
      </c>
      <c r="B775" s="25" t="s">
        <v>26</v>
      </c>
      <c r="C775" s="26" t="s">
        <v>50</v>
      </c>
      <c r="D775" s="26" t="s">
        <v>65</v>
      </c>
      <c r="E775" s="26" t="s">
        <v>690</v>
      </c>
      <c r="F775" s="26" t="s">
        <v>138</v>
      </c>
      <c r="G775" s="27">
        <f>G776</f>
        <v>940</v>
      </c>
      <c r="H775" s="27">
        <f t="shared" si="333"/>
        <v>817.6</v>
      </c>
      <c r="I775" s="27">
        <f t="shared" si="333"/>
        <v>817.6</v>
      </c>
      <c r="J775" s="27">
        <f>940</f>
        <v>940</v>
      </c>
      <c r="K775" s="16">
        <f t="shared" ref="K775:K834" si="334">J775-G775</f>
        <v>0</v>
      </c>
      <c r="L775" s="27">
        <f>817.6</f>
        <v>817.6</v>
      </c>
      <c r="M775" s="16">
        <f t="shared" ref="M775:M834" si="335">L775-H775</f>
        <v>0</v>
      </c>
      <c r="N775" s="27">
        <f>817.6</f>
        <v>817.6</v>
      </c>
      <c r="O775" s="16">
        <f t="shared" ref="O775:O834" si="336">N775-I775</f>
        <v>0</v>
      </c>
    </row>
    <row r="776" spans="1:15" s="4" customFormat="1">
      <c r="A776" s="12" t="s">
        <v>1016</v>
      </c>
      <c r="B776" s="25" t="s">
        <v>26</v>
      </c>
      <c r="C776" s="26" t="s">
        <v>50</v>
      </c>
      <c r="D776" s="26" t="s">
        <v>65</v>
      </c>
      <c r="E776" s="26" t="s">
        <v>690</v>
      </c>
      <c r="F776" s="26" t="s">
        <v>1046</v>
      </c>
      <c r="G776" s="27">
        <f>940</f>
        <v>940</v>
      </c>
      <c r="H776" s="27">
        <f>817.6</f>
        <v>817.6</v>
      </c>
      <c r="I776" s="27">
        <f>817.6</f>
        <v>817.6</v>
      </c>
      <c r="J776" s="80"/>
      <c r="K776" s="16">
        <f t="shared" si="334"/>
        <v>-940</v>
      </c>
      <c r="L776" s="80"/>
      <c r="M776" s="16">
        <f t="shared" si="335"/>
        <v>-817.6</v>
      </c>
      <c r="N776" s="80"/>
      <c r="O776" s="16">
        <f t="shared" si="336"/>
        <v>-817.6</v>
      </c>
    </row>
    <row r="777" spans="1:15" s="3" customFormat="1" ht="51">
      <c r="A777" s="13" t="s">
        <v>715</v>
      </c>
      <c r="B777" s="25" t="s">
        <v>26</v>
      </c>
      <c r="C777" s="26" t="s">
        <v>50</v>
      </c>
      <c r="D777" s="26" t="s">
        <v>65</v>
      </c>
      <c r="E777" s="26" t="s">
        <v>714</v>
      </c>
      <c r="F777" s="26" t="s">
        <v>58</v>
      </c>
      <c r="G777" s="27">
        <f t="shared" ref="G777:N779" si="337">G778</f>
        <v>93000</v>
      </c>
      <c r="H777" s="27">
        <f t="shared" si="337"/>
        <v>0</v>
      </c>
      <c r="I777" s="27">
        <f t="shared" si="337"/>
        <v>0</v>
      </c>
      <c r="J777" s="27">
        <f t="shared" si="337"/>
        <v>93000</v>
      </c>
      <c r="K777" s="16">
        <f t="shared" si="334"/>
        <v>0</v>
      </c>
      <c r="L777" s="27">
        <f t="shared" si="337"/>
        <v>0</v>
      </c>
      <c r="M777" s="16">
        <f t="shared" si="335"/>
        <v>0</v>
      </c>
      <c r="N777" s="27">
        <f t="shared" si="337"/>
        <v>0</v>
      </c>
      <c r="O777" s="16">
        <f t="shared" si="336"/>
        <v>0</v>
      </c>
    </row>
    <row r="778" spans="1:15" s="3" customFormat="1" ht="38.25">
      <c r="A778" s="13" t="s">
        <v>717</v>
      </c>
      <c r="B778" s="25" t="s">
        <v>26</v>
      </c>
      <c r="C778" s="26" t="s">
        <v>50</v>
      </c>
      <c r="D778" s="26" t="s">
        <v>65</v>
      </c>
      <c r="E778" s="26" t="s">
        <v>716</v>
      </c>
      <c r="F778" s="26" t="s">
        <v>58</v>
      </c>
      <c r="G778" s="27">
        <f t="shared" si="337"/>
        <v>93000</v>
      </c>
      <c r="H778" s="27">
        <f t="shared" si="337"/>
        <v>0</v>
      </c>
      <c r="I778" s="27">
        <f t="shared" si="337"/>
        <v>0</v>
      </c>
      <c r="J778" s="27">
        <f t="shared" si="337"/>
        <v>93000</v>
      </c>
      <c r="K778" s="16">
        <f t="shared" si="334"/>
        <v>0</v>
      </c>
      <c r="L778" s="27">
        <f t="shared" si="337"/>
        <v>0</v>
      </c>
      <c r="M778" s="16">
        <f t="shared" si="335"/>
        <v>0</v>
      </c>
      <c r="N778" s="27">
        <f t="shared" si="337"/>
        <v>0</v>
      </c>
      <c r="O778" s="16">
        <f t="shared" si="336"/>
        <v>0</v>
      </c>
    </row>
    <row r="779" spans="1:15" s="3" customFormat="1" ht="25.5">
      <c r="A779" s="13" t="s">
        <v>111</v>
      </c>
      <c r="B779" s="25" t="s">
        <v>26</v>
      </c>
      <c r="C779" s="26" t="s">
        <v>50</v>
      </c>
      <c r="D779" s="26" t="s">
        <v>65</v>
      </c>
      <c r="E779" s="26" t="s">
        <v>716</v>
      </c>
      <c r="F779" s="26" t="s">
        <v>104</v>
      </c>
      <c r="G779" s="27">
        <f>G780</f>
        <v>93000</v>
      </c>
      <c r="H779" s="27">
        <f t="shared" si="337"/>
        <v>0</v>
      </c>
      <c r="I779" s="27">
        <f t="shared" si="337"/>
        <v>0</v>
      </c>
      <c r="J779" s="27">
        <f>93000</f>
        <v>93000</v>
      </c>
      <c r="K779" s="16">
        <f t="shared" si="334"/>
        <v>0</v>
      </c>
      <c r="L779" s="27">
        <v>0</v>
      </c>
      <c r="M779" s="16">
        <f t="shared" si="335"/>
        <v>0</v>
      </c>
      <c r="N779" s="27">
        <v>0</v>
      </c>
      <c r="O779" s="16">
        <f t="shared" si="336"/>
        <v>0</v>
      </c>
    </row>
    <row r="780" spans="1:15" s="4" customFormat="1" ht="76.5">
      <c r="A780" s="12" t="s">
        <v>1048</v>
      </c>
      <c r="B780" s="25" t="s">
        <v>26</v>
      </c>
      <c r="C780" s="26" t="s">
        <v>50</v>
      </c>
      <c r="D780" s="26" t="s">
        <v>65</v>
      </c>
      <c r="E780" s="26" t="s">
        <v>716</v>
      </c>
      <c r="F780" s="26" t="s">
        <v>1055</v>
      </c>
      <c r="G780" s="27">
        <f>93000</f>
        <v>93000</v>
      </c>
      <c r="H780" s="27">
        <v>0</v>
      </c>
      <c r="I780" s="27">
        <v>0</v>
      </c>
      <c r="J780" s="80"/>
      <c r="K780" s="16">
        <f t="shared" si="334"/>
        <v>-93000</v>
      </c>
      <c r="L780" s="80"/>
      <c r="M780" s="16">
        <f t="shared" si="335"/>
        <v>0</v>
      </c>
      <c r="N780" s="80"/>
      <c r="O780" s="16">
        <f t="shared" si="336"/>
        <v>0</v>
      </c>
    </row>
    <row r="781" spans="1:15" s="3" customFormat="1" ht="38.25">
      <c r="A781" s="12" t="s">
        <v>752</v>
      </c>
      <c r="B781" s="25" t="s">
        <v>26</v>
      </c>
      <c r="C781" s="26" t="s">
        <v>50</v>
      </c>
      <c r="D781" s="26" t="s">
        <v>65</v>
      </c>
      <c r="E781" s="35" t="s">
        <v>249</v>
      </c>
      <c r="F781" s="35" t="s">
        <v>58</v>
      </c>
      <c r="G781" s="38">
        <f>G782</f>
        <v>85</v>
      </c>
      <c r="H781" s="38">
        <f t="shared" ref="H781:N782" si="338">H782</f>
        <v>76.5</v>
      </c>
      <c r="I781" s="38">
        <f t="shared" si="338"/>
        <v>76.5</v>
      </c>
      <c r="J781" s="38">
        <f>J782</f>
        <v>85</v>
      </c>
      <c r="K781" s="16">
        <f t="shared" si="334"/>
        <v>0</v>
      </c>
      <c r="L781" s="38">
        <f t="shared" si="338"/>
        <v>76.5</v>
      </c>
      <c r="M781" s="16">
        <f t="shared" si="335"/>
        <v>0</v>
      </c>
      <c r="N781" s="38">
        <f t="shared" si="338"/>
        <v>76.5</v>
      </c>
      <c r="O781" s="16">
        <f t="shared" si="336"/>
        <v>0</v>
      </c>
    </row>
    <row r="782" spans="1:15" s="3" customFormat="1">
      <c r="A782" s="11" t="s">
        <v>753</v>
      </c>
      <c r="B782" s="25" t="s">
        <v>26</v>
      </c>
      <c r="C782" s="26" t="s">
        <v>50</v>
      </c>
      <c r="D782" s="26" t="s">
        <v>65</v>
      </c>
      <c r="E782" s="35" t="s">
        <v>250</v>
      </c>
      <c r="F782" s="35" t="s">
        <v>58</v>
      </c>
      <c r="G782" s="38">
        <f>G783</f>
        <v>85</v>
      </c>
      <c r="H782" s="38">
        <f t="shared" si="338"/>
        <v>76.5</v>
      </c>
      <c r="I782" s="38">
        <f t="shared" si="338"/>
        <v>76.5</v>
      </c>
      <c r="J782" s="38">
        <f>J783</f>
        <v>85</v>
      </c>
      <c r="K782" s="16">
        <f t="shared" si="334"/>
        <v>0</v>
      </c>
      <c r="L782" s="38">
        <f t="shared" si="338"/>
        <v>76.5</v>
      </c>
      <c r="M782" s="16">
        <f t="shared" si="335"/>
        <v>0</v>
      </c>
      <c r="N782" s="38">
        <f t="shared" si="338"/>
        <v>76.5</v>
      </c>
      <c r="O782" s="16">
        <f t="shared" si="336"/>
        <v>0</v>
      </c>
    </row>
    <row r="783" spans="1:15" s="3" customFormat="1" ht="38.25">
      <c r="A783" s="34" t="s">
        <v>880</v>
      </c>
      <c r="B783" s="25" t="s">
        <v>26</v>
      </c>
      <c r="C783" s="26" t="s">
        <v>50</v>
      </c>
      <c r="D783" s="26" t="s">
        <v>65</v>
      </c>
      <c r="E783" s="35" t="s">
        <v>538</v>
      </c>
      <c r="F783" s="35" t="s">
        <v>58</v>
      </c>
      <c r="G783" s="38">
        <f>G784</f>
        <v>85</v>
      </c>
      <c r="H783" s="38">
        <f>H784</f>
        <v>76.5</v>
      </c>
      <c r="I783" s="38">
        <f>I784</f>
        <v>76.5</v>
      </c>
      <c r="J783" s="38">
        <f>J784</f>
        <v>85</v>
      </c>
      <c r="K783" s="16">
        <f t="shared" si="334"/>
        <v>0</v>
      </c>
      <c r="L783" s="38">
        <f>L784</f>
        <v>76.5</v>
      </c>
      <c r="M783" s="16">
        <f t="shared" si="335"/>
        <v>0</v>
      </c>
      <c r="N783" s="38">
        <f>N784</f>
        <v>76.5</v>
      </c>
      <c r="O783" s="16">
        <f t="shared" si="336"/>
        <v>0</v>
      </c>
    </row>
    <row r="784" spans="1:15" s="3" customFormat="1" ht="25.5">
      <c r="A784" s="34" t="s">
        <v>122</v>
      </c>
      <c r="B784" s="25" t="s">
        <v>26</v>
      </c>
      <c r="C784" s="26" t="s">
        <v>50</v>
      </c>
      <c r="D784" s="26" t="s">
        <v>65</v>
      </c>
      <c r="E784" s="35" t="s">
        <v>539</v>
      </c>
      <c r="F784" s="35" t="s">
        <v>58</v>
      </c>
      <c r="G784" s="38">
        <f>SUM(G785:G785)</f>
        <v>85</v>
      </c>
      <c r="H784" s="38">
        <f>SUM(H785:H785)</f>
        <v>76.5</v>
      </c>
      <c r="I784" s="38">
        <f>SUM(I785:I785)</f>
        <v>76.5</v>
      </c>
      <c r="J784" s="38">
        <f>SUM(J785:J785)</f>
        <v>85</v>
      </c>
      <c r="K784" s="16">
        <f t="shared" si="334"/>
        <v>0</v>
      </c>
      <c r="L784" s="38">
        <f>SUM(L785:L785)</f>
        <v>76.5</v>
      </c>
      <c r="M784" s="16">
        <f t="shared" si="335"/>
        <v>0</v>
      </c>
      <c r="N784" s="38">
        <f>SUM(N785:N785)</f>
        <v>76.5</v>
      </c>
      <c r="O784" s="16">
        <f t="shared" si="336"/>
        <v>0</v>
      </c>
    </row>
    <row r="785" spans="1:15" s="3" customFormat="1">
      <c r="A785" s="13" t="s">
        <v>92</v>
      </c>
      <c r="B785" s="25" t="s">
        <v>26</v>
      </c>
      <c r="C785" s="26" t="s">
        <v>50</v>
      </c>
      <c r="D785" s="26" t="s">
        <v>65</v>
      </c>
      <c r="E785" s="35" t="s">
        <v>539</v>
      </c>
      <c r="F785" s="35" t="s">
        <v>138</v>
      </c>
      <c r="G785" s="27">
        <f>G786</f>
        <v>85</v>
      </c>
      <c r="H785" s="27">
        <f t="shared" ref="H785:I785" si="339">H786</f>
        <v>76.5</v>
      </c>
      <c r="I785" s="27">
        <f t="shared" si="339"/>
        <v>76.5</v>
      </c>
      <c r="J785" s="27">
        <f>85</f>
        <v>85</v>
      </c>
      <c r="K785" s="16">
        <f t="shared" si="334"/>
        <v>0</v>
      </c>
      <c r="L785" s="27">
        <f>76.5</f>
        <v>76.5</v>
      </c>
      <c r="M785" s="16">
        <f t="shared" si="335"/>
        <v>0</v>
      </c>
      <c r="N785" s="27">
        <f>76.5</f>
        <v>76.5</v>
      </c>
      <c r="O785" s="16">
        <f t="shared" si="336"/>
        <v>0</v>
      </c>
    </row>
    <row r="786" spans="1:15" s="4" customFormat="1">
      <c r="A786" s="12" t="s">
        <v>1016</v>
      </c>
      <c r="B786" s="25" t="s">
        <v>26</v>
      </c>
      <c r="C786" s="26" t="s">
        <v>50</v>
      </c>
      <c r="D786" s="26" t="s">
        <v>65</v>
      </c>
      <c r="E786" s="35" t="s">
        <v>539</v>
      </c>
      <c r="F786" s="35" t="s">
        <v>1046</v>
      </c>
      <c r="G786" s="27">
        <f>85</f>
        <v>85</v>
      </c>
      <c r="H786" s="27">
        <f>76.5</f>
        <v>76.5</v>
      </c>
      <c r="I786" s="27">
        <f>76.5</f>
        <v>76.5</v>
      </c>
      <c r="J786" s="80"/>
      <c r="K786" s="16">
        <f t="shared" si="334"/>
        <v>-85</v>
      </c>
      <c r="L786" s="80"/>
      <c r="M786" s="16">
        <f t="shared" si="335"/>
        <v>-76.5</v>
      </c>
      <c r="N786" s="80"/>
      <c r="O786" s="16">
        <f t="shared" si="336"/>
        <v>-76.5</v>
      </c>
    </row>
    <row r="787" spans="1:15" s="3" customFormat="1" ht="63.75">
      <c r="A787" s="11" t="s">
        <v>756</v>
      </c>
      <c r="B787" s="25" t="s">
        <v>26</v>
      </c>
      <c r="C787" s="26" t="s">
        <v>50</v>
      </c>
      <c r="D787" s="26" t="s">
        <v>65</v>
      </c>
      <c r="E787" s="26" t="s">
        <v>339</v>
      </c>
      <c r="F787" s="26" t="s">
        <v>58</v>
      </c>
      <c r="G787" s="27">
        <f t="shared" ref="G787:N791" si="340">G788</f>
        <v>652.36</v>
      </c>
      <c r="H787" s="27">
        <f t="shared" si="340"/>
        <v>547.85</v>
      </c>
      <c r="I787" s="27">
        <f t="shared" si="340"/>
        <v>547.85</v>
      </c>
      <c r="J787" s="27">
        <f t="shared" si="340"/>
        <v>652.36</v>
      </c>
      <c r="K787" s="16">
        <f t="shared" si="334"/>
        <v>0</v>
      </c>
      <c r="L787" s="27">
        <f t="shared" si="340"/>
        <v>547.85</v>
      </c>
      <c r="M787" s="16">
        <f t="shared" si="335"/>
        <v>0</v>
      </c>
      <c r="N787" s="27">
        <f t="shared" si="340"/>
        <v>547.85</v>
      </c>
      <c r="O787" s="16">
        <f t="shared" si="336"/>
        <v>0</v>
      </c>
    </row>
    <row r="788" spans="1:15" s="3" customFormat="1" ht="25.5">
      <c r="A788" s="11" t="s">
        <v>136</v>
      </c>
      <c r="B788" s="25" t="s">
        <v>26</v>
      </c>
      <c r="C788" s="26" t="s">
        <v>50</v>
      </c>
      <c r="D788" s="26" t="s">
        <v>65</v>
      </c>
      <c r="E788" s="26" t="s">
        <v>340</v>
      </c>
      <c r="F788" s="26" t="s">
        <v>58</v>
      </c>
      <c r="G788" s="27">
        <f t="shared" si="340"/>
        <v>652.36</v>
      </c>
      <c r="H788" s="27">
        <f t="shared" si="340"/>
        <v>547.85</v>
      </c>
      <c r="I788" s="27">
        <f t="shared" si="340"/>
        <v>547.85</v>
      </c>
      <c r="J788" s="27">
        <f t="shared" si="340"/>
        <v>652.36</v>
      </c>
      <c r="K788" s="16">
        <f t="shared" si="334"/>
        <v>0</v>
      </c>
      <c r="L788" s="27">
        <f t="shared" si="340"/>
        <v>547.85</v>
      </c>
      <c r="M788" s="16">
        <f t="shared" si="335"/>
        <v>0</v>
      </c>
      <c r="N788" s="27">
        <f t="shared" si="340"/>
        <v>547.85</v>
      </c>
      <c r="O788" s="16">
        <f t="shared" si="336"/>
        <v>0</v>
      </c>
    </row>
    <row r="789" spans="1:15" s="3" customFormat="1" ht="25.5">
      <c r="A789" s="11" t="s">
        <v>667</v>
      </c>
      <c r="B789" s="25" t="s">
        <v>26</v>
      </c>
      <c r="C789" s="26" t="s">
        <v>50</v>
      </c>
      <c r="D789" s="26" t="s">
        <v>65</v>
      </c>
      <c r="E789" s="26" t="s">
        <v>609</v>
      </c>
      <c r="F789" s="26" t="s">
        <v>58</v>
      </c>
      <c r="G789" s="27">
        <f t="shared" si="340"/>
        <v>652.36</v>
      </c>
      <c r="H789" s="27">
        <f t="shared" si="340"/>
        <v>547.85</v>
      </c>
      <c r="I789" s="27">
        <f t="shared" si="340"/>
        <v>547.85</v>
      </c>
      <c r="J789" s="27">
        <f t="shared" si="340"/>
        <v>652.36</v>
      </c>
      <c r="K789" s="16">
        <f t="shared" si="334"/>
        <v>0</v>
      </c>
      <c r="L789" s="27">
        <f t="shared" si="340"/>
        <v>547.85</v>
      </c>
      <c r="M789" s="16">
        <f t="shared" si="335"/>
        <v>0</v>
      </c>
      <c r="N789" s="27">
        <f t="shared" si="340"/>
        <v>547.85</v>
      </c>
      <c r="O789" s="16">
        <f t="shared" si="336"/>
        <v>0</v>
      </c>
    </row>
    <row r="790" spans="1:15" s="3" customFormat="1" ht="38.25">
      <c r="A790" s="11" t="s">
        <v>177</v>
      </c>
      <c r="B790" s="25" t="s">
        <v>26</v>
      </c>
      <c r="C790" s="26" t="s">
        <v>50</v>
      </c>
      <c r="D790" s="26" t="s">
        <v>65</v>
      </c>
      <c r="E790" s="26" t="s">
        <v>610</v>
      </c>
      <c r="F790" s="26" t="s">
        <v>58</v>
      </c>
      <c r="G790" s="27">
        <f t="shared" si="340"/>
        <v>652.36</v>
      </c>
      <c r="H790" s="27">
        <f t="shared" si="340"/>
        <v>547.85</v>
      </c>
      <c r="I790" s="27">
        <f t="shared" si="340"/>
        <v>547.85</v>
      </c>
      <c r="J790" s="27">
        <f t="shared" si="340"/>
        <v>652.36</v>
      </c>
      <c r="K790" s="16">
        <f t="shared" si="334"/>
        <v>0</v>
      </c>
      <c r="L790" s="27">
        <f t="shared" si="340"/>
        <v>547.85</v>
      </c>
      <c r="M790" s="16">
        <f t="shared" si="335"/>
        <v>0</v>
      </c>
      <c r="N790" s="27">
        <f t="shared" si="340"/>
        <v>547.85</v>
      </c>
      <c r="O790" s="16">
        <f t="shared" si="336"/>
        <v>0</v>
      </c>
    </row>
    <row r="791" spans="1:15" s="3" customFormat="1">
      <c r="A791" s="13" t="s">
        <v>92</v>
      </c>
      <c r="B791" s="25" t="s">
        <v>26</v>
      </c>
      <c r="C791" s="26" t="s">
        <v>50</v>
      </c>
      <c r="D791" s="26" t="s">
        <v>65</v>
      </c>
      <c r="E791" s="26" t="s">
        <v>610</v>
      </c>
      <c r="F791" s="26" t="s">
        <v>138</v>
      </c>
      <c r="G791" s="27">
        <f>G792</f>
        <v>652.36</v>
      </c>
      <c r="H791" s="27">
        <f t="shared" si="340"/>
        <v>547.85</v>
      </c>
      <c r="I791" s="27">
        <f t="shared" si="340"/>
        <v>547.85</v>
      </c>
      <c r="J791" s="27">
        <f>652.36</f>
        <v>652.36</v>
      </c>
      <c r="K791" s="16">
        <f t="shared" si="334"/>
        <v>0</v>
      </c>
      <c r="L791" s="27">
        <f>547.85</f>
        <v>547.85</v>
      </c>
      <c r="M791" s="16">
        <f t="shared" si="335"/>
        <v>0</v>
      </c>
      <c r="N791" s="27">
        <f>547.85</f>
        <v>547.85</v>
      </c>
      <c r="O791" s="16">
        <f t="shared" si="336"/>
        <v>0</v>
      </c>
    </row>
    <row r="792" spans="1:15" s="4" customFormat="1">
      <c r="A792" s="12" t="s">
        <v>1016</v>
      </c>
      <c r="B792" s="25" t="s">
        <v>26</v>
      </c>
      <c r="C792" s="26" t="s">
        <v>50</v>
      </c>
      <c r="D792" s="26" t="s">
        <v>65</v>
      </c>
      <c r="E792" s="26" t="s">
        <v>610</v>
      </c>
      <c r="F792" s="26" t="s">
        <v>1046</v>
      </c>
      <c r="G792" s="27">
        <f>652.36</f>
        <v>652.36</v>
      </c>
      <c r="H792" s="27">
        <f>547.85</f>
        <v>547.85</v>
      </c>
      <c r="I792" s="27">
        <f>547.85</f>
        <v>547.85</v>
      </c>
      <c r="J792" s="80"/>
      <c r="K792" s="16">
        <f t="shared" si="334"/>
        <v>-652.36</v>
      </c>
      <c r="L792" s="80"/>
      <c r="M792" s="16">
        <f t="shared" si="335"/>
        <v>-547.85</v>
      </c>
      <c r="N792" s="80"/>
      <c r="O792" s="16">
        <f t="shared" si="336"/>
        <v>-547.85</v>
      </c>
    </row>
    <row r="793" spans="1:15" s="3" customFormat="1">
      <c r="A793" s="21" t="s">
        <v>676</v>
      </c>
      <c r="B793" s="22" t="s">
        <v>26</v>
      </c>
      <c r="C793" s="23" t="s">
        <v>50</v>
      </c>
      <c r="D793" s="23" t="s">
        <v>37</v>
      </c>
      <c r="E793" s="23" t="s">
        <v>196</v>
      </c>
      <c r="F793" s="23" t="s">
        <v>58</v>
      </c>
      <c r="G793" s="24">
        <f>G794</f>
        <v>13602.439999999999</v>
      </c>
      <c r="H793" s="24">
        <f>H794</f>
        <v>13610.46</v>
      </c>
      <c r="I793" s="24">
        <f>I794</f>
        <v>13610.46</v>
      </c>
      <c r="J793" s="24">
        <f>J794</f>
        <v>13602.439999999999</v>
      </c>
      <c r="K793" s="16">
        <f t="shared" si="334"/>
        <v>0</v>
      </c>
      <c r="L793" s="24">
        <f>L794</f>
        <v>13610.46</v>
      </c>
      <c r="M793" s="16">
        <f t="shared" si="335"/>
        <v>0</v>
      </c>
      <c r="N793" s="24">
        <f>N794</f>
        <v>13610.46</v>
      </c>
      <c r="O793" s="16">
        <f t="shared" si="336"/>
        <v>0</v>
      </c>
    </row>
    <row r="794" spans="1:15" s="3" customFormat="1" ht="25.5">
      <c r="A794" s="11" t="s">
        <v>695</v>
      </c>
      <c r="B794" s="25" t="s">
        <v>26</v>
      </c>
      <c r="C794" s="26" t="s">
        <v>50</v>
      </c>
      <c r="D794" s="26" t="s">
        <v>37</v>
      </c>
      <c r="E794" s="26" t="s">
        <v>370</v>
      </c>
      <c r="F794" s="26" t="s">
        <v>58</v>
      </c>
      <c r="G794" s="27">
        <f>G795+G809</f>
        <v>13602.439999999999</v>
      </c>
      <c r="H794" s="27">
        <f>H795+H809</f>
        <v>13610.46</v>
      </c>
      <c r="I794" s="27">
        <f>I795+I809</f>
        <v>13610.46</v>
      </c>
      <c r="J794" s="27">
        <f>J795+J809</f>
        <v>13602.439999999999</v>
      </c>
      <c r="K794" s="16">
        <f t="shared" si="334"/>
        <v>0</v>
      </c>
      <c r="L794" s="27">
        <f>L795+L809</f>
        <v>13610.46</v>
      </c>
      <c r="M794" s="16">
        <f t="shared" si="335"/>
        <v>0</v>
      </c>
      <c r="N794" s="27">
        <f>N795+N809</f>
        <v>13610.46</v>
      </c>
      <c r="O794" s="16">
        <f t="shared" si="336"/>
        <v>0</v>
      </c>
    </row>
    <row r="795" spans="1:15" s="3" customFormat="1" ht="38.25">
      <c r="A795" s="11" t="s">
        <v>696</v>
      </c>
      <c r="B795" s="25" t="s">
        <v>26</v>
      </c>
      <c r="C795" s="26" t="s">
        <v>50</v>
      </c>
      <c r="D795" s="26" t="s">
        <v>37</v>
      </c>
      <c r="E795" s="26" t="s">
        <v>389</v>
      </c>
      <c r="F795" s="26" t="s">
        <v>58</v>
      </c>
      <c r="G795" s="27">
        <f>G796+G805</f>
        <v>13442.439999999999</v>
      </c>
      <c r="H795" s="27">
        <f>H796+H805</f>
        <v>13450.46</v>
      </c>
      <c r="I795" s="27">
        <f>I796+I805</f>
        <v>13450.46</v>
      </c>
      <c r="J795" s="27">
        <f>J796+J805</f>
        <v>13442.439999999999</v>
      </c>
      <c r="K795" s="16">
        <f t="shared" si="334"/>
        <v>0</v>
      </c>
      <c r="L795" s="27">
        <f>L796+L805</f>
        <v>13450.46</v>
      </c>
      <c r="M795" s="16">
        <f t="shared" si="335"/>
        <v>0</v>
      </c>
      <c r="N795" s="27">
        <f>N796+N805</f>
        <v>13450.46</v>
      </c>
      <c r="O795" s="16">
        <f t="shared" si="336"/>
        <v>0</v>
      </c>
    </row>
    <row r="796" spans="1:15" s="3" customFormat="1" ht="25.5">
      <c r="A796" s="11" t="s">
        <v>114</v>
      </c>
      <c r="B796" s="25" t="s">
        <v>26</v>
      </c>
      <c r="C796" s="26" t="s">
        <v>50</v>
      </c>
      <c r="D796" s="26" t="s">
        <v>37</v>
      </c>
      <c r="E796" s="26" t="s">
        <v>390</v>
      </c>
      <c r="F796" s="26" t="s">
        <v>58</v>
      </c>
      <c r="G796" s="27">
        <f>G797+G800+G802</f>
        <v>1472.32</v>
      </c>
      <c r="H796" s="27">
        <f t="shared" ref="H796:I796" si="341">H797+H800+H802</f>
        <v>1480.34</v>
      </c>
      <c r="I796" s="27">
        <f t="shared" si="341"/>
        <v>1480.34</v>
      </c>
      <c r="J796" s="27">
        <f>SUM(J797:J802)</f>
        <v>1472.32</v>
      </c>
      <c r="K796" s="16">
        <f t="shared" si="334"/>
        <v>0</v>
      </c>
      <c r="L796" s="27">
        <f>SUM(L797:L802)</f>
        <v>1480.34</v>
      </c>
      <c r="M796" s="16">
        <f t="shared" si="335"/>
        <v>0</v>
      </c>
      <c r="N796" s="27">
        <f>SUM(N797:N802)</f>
        <v>1480.34</v>
      </c>
      <c r="O796" s="16">
        <f t="shared" si="336"/>
        <v>0</v>
      </c>
    </row>
    <row r="797" spans="1:15" s="3" customFormat="1" ht="25.5">
      <c r="A797" s="12" t="s">
        <v>107</v>
      </c>
      <c r="B797" s="25" t="s">
        <v>26</v>
      </c>
      <c r="C797" s="26" t="s">
        <v>50</v>
      </c>
      <c r="D797" s="26" t="s">
        <v>37</v>
      </c>
      <c r="E797" s="26" t="s">
        <v>390</v>
      </c>
      <c r="F797" s="26" t="s">
        <v>115</v>
      </c>
      <c r="G797" s="27">
        <f>SUM(G798:G799)</f>
        <v>357.33</v>
      </c>
      <c r="H797" s="27">
        <f t="shared" ref="H797:I797" si="342">SUM(H798:H799)</f>
        <v>357.33</v>
      </c>
      <c r="I797" s="27">
        <f t="shared" si="342"/>
        <v>357.33</v>
      </c>
      <c r="J797" s="27">
        <f>274.45+82.88</f>
        <v>357.33</v>
      </c>
      <c r="K797" s="16">
        <f t="shared" si="334"/>
        <v>0</v>
      </c>
      <c r="L797" s="27">
        <f>274.45+82.88</f>
        <v>357.33</v>
      </c>
      <c r="M797" s="16">
        <f t="shared" si="335"/>
        <v>0</v>
      </c>
      <c r="N797" s="27">
        <f>274.45+82.88</f>
        <v>357.33</v>
      </c>
      <c r="O797" s="16">
        <f t="shared" si="336"/>
        <v>0</v>
      </c>
    </row>
    <row r="798" spans="1:15" s="4" customFormat="1" ht="25.5">
      <c r="A798" s="12" t="s">
        <v>937</v>
      </c>
      <c r="B798" s="25" t="s">
        <v>26</v>
      </c>
      <c r="C798" s="26" t="s">
        <v>50</v>
      </c>
      <c r="D798" s="26" t="s">
        <v>37</v>
      </c>
      <c r="E798" s="26" t="s">
        <v>390</v>
      </c>
      <c r="F798" s="26" t="s">
        <v>1059</v>
      </c>
      <c r="G798" s="27">
        <v>274.45</v>
      </c>
      <c r="H798" s="27">
        <v>274.45</v>
      </c>
      <c r="I798" s="27">
        <v>274.45</v>
      </c>
      <c r="J798" s="80"/>
      <c r="K798" s="16">
        <f t="shared" si="334"/>
        <v>-274.45</v>
      </c>
      <c r="L798" s="80"/>
      <c r="M798" s="16">
        <f t="shared" si="335"/>
        <v>-274.45</v>
      </c>
      <c r="N798" s="80"/>
      <c r="O798" s="16">
        <f t="shared" si="336"/>
        <v>-274.45</v>
      </c>
    </row>
    <row r="799" spans="1:15" s="4" customFormat="1" ht="38.25">
      <c r="A799" s="12" t="s">
        <v>939</v>
      </c>
      <c r="B799" s="25" t="s">
        <v>26</v>
      </c>
      <c r="C799" s="26" t="s">
        <v>50</v>
      </c>
      <c r="D799" s="26" t="s">
        <v>37</v>
      </c>
      <c r="E799" s="26" t="s">
        <v>390</v>
      </c>
      <c r="F799" s="26" t="s">
        <v>1060</v>
      </c>
      <c r="G799" s="27">
        <v>82.88</v>
      </c>
      <c r="H799" s="27">
        <v>82.88</v>
      </c>
      <c r="I799" s="27">
        <v>82.88</v>
      </c>
      <c r="J799" s="80"/>
      <c r="K799" s="16">
        <f t="shared" si="334"/>
        <v>-82.88</v>
      </c>
      <c r="L799" s="80"/>
      <c r="M799" s="16">
        <f t="shared" si="335"/>
        <v>-82.88</v>
      </c>
      <c r="N799" s="80"/>
      <c r="O799" s="16">
        <f t="shared" si="336"/>
        <v>-82.88</v>
      </c>
    </row>
    <row r="800" spans="1:15" s="3" customFormat="1" ht="25.5">
      <c r="A800" s="11" t="s">
        <v>108</v>
      </c>
      <c r="B800" s="25" t="s">
        <v>26</v>
      </c>
      <c r="C800" s="26" t="s">
        <v>50</v>
      </c>
      <c r="D800" s="26" t="s">
        <v>37</v>
      </c>
      <c r="E800" s="26" t="s">
        <v>390</v>
      </c>
      <c r="F800" s="26" t="s">
        <v>116</v>
      </c>
      <c r="G800" s="27">
        <f>G801</f>
        <v>933.79</v>
      </c>
      <c r="H800" s="27">
        <f t="shared" ref="H800:I800" si="343">H801</f>
        <v>941.81</v>
      </c>
      <c r="I800" s="27">
        <f t="shared" si="343"/>
        <v>941.81</v>
      </c>
      <c r="J800" s="27">
        <f>933.79</f>
        <v>933.79</v>
      </c>
      <c r="K800" s="16">
        <f t="shared" si="334"/>
        <v>0</v>
      </c>
      <c r="L800" s="27">
        <f>941.81</f>
        <v>941.81</v>
      </c>
      <c r="M800" s="16">
        <f t="shared" si="335"/>
        <v>0</v>
      </c>
      <c r="N800" s="27">
        <f>941.81</f>
        <v>941.81</v>
      </c>
      <c r="O800" s="16">
        <f t="shared" si="336"/>
        <v>0</v>
      </c>
    </row>
    <row r="801" spans="1:15" s="4" customFormat="1" ht="25.5">
      <c r="A801" s="12" t="s">
        <v>973</v>
      </c>
      <c r="B801" s="25" t="s">
        <v>26</v>
      </c>
      <c r="C801" s="26" t="s">
        <v>50</v>
      </c>
      <c r="D801" s="26" t="s">
        <v>37</v>
      </c>
      <c r="E801" s="26" t="s">
        <v>390</v>
      </c>
      <c r="F801" s="26" t="s">
        <v>1043</v>
      </c>
      <c r="G801" s="27">
        <f>933.79</f>
        <v>933.79</v>
      </c>
      <c r="H801" s="27">
        <f>941.81</f>
        <v>941.81</v>
      </c>
      <c r="I801" s="27">
        <f>941.81</f>
        <v>941.81</v>
      </c>
      <c r="J801" s="80"/>
      <c r="K801" s="16">
        <f t="shared" si="334"/>
        <v>-933.79</v>
      </c>
      <c r="L801" s="80"/>
      <c r="M801" s="16">
        <f t="shared" si="335"/>
        <v>-941.81</v>
      </c>
      <c r="N801" s="80"/>
      <c r="O801" s="16">
        <f t="shared" si="336"/>
        <v>-941.81</v>
      </c>
    </row>
    <row r="802" spans="1:15" s="3" customFormat="1">
      <c r="A802" s="11" t="s">
        <v>97</v>
      </c>
      <c r="B802" s="25" t="s">
        <v>26</v>
      </c>
      <c r="C802" s="26" t="s">
        <v>50</v>
      </c>
      <c r="D802" s="26" t="s">
        <v>37</v>
      </c>
      <c r="E802" s="26" t="s">
        <v>390</v>
      </c>
      <c r="F802" s="26" t="s">
        <v>118</v>
      </c>
      <c r="G802" s="27">
        <f>SUM(G803:G804)</f>
        <v>181.2</v>
      </c>
      <c r="H802" s="27">
        <f t="shared" ref="H802:I802" si="344">SUM(H803:H804)</f>
        <v>181.2</v>
      </c>
      <c r="I802" s="27">
        <f t="shared" si="344"/>
        <v>181.2</v>
      </c>
      <c r="J802" s="27">
        <f>174.2+7</f>
        <v>181.2</v>
      </c>
      <c r="K802" s="16">
        <f t="shared" si="334"/>
        <v>0</v>
      </c>
      <c r="L802" s="27">
        <f>174.2+7</f>
        <v>181.2</v>
      </c>
      <c r="M802" s="16">
        <f t="shared" si="335"/>
        <v>0</v>
      </c>
      <c r="N802" s="27">
        <f>174.2+7</f>
        <v>181.2</v>
      </c>
      <c r="O802" s="16">
        <f t="shared" si="336"/>
        <v>0</v>
      </c>
    </row>
    <row r="803" spans="1:15" s="4" customFormat="1">
      <c r="A803" s="12" t="s">
        <v>1036</v>
      </c>
      <c r="B803" s="25" t="s">
        <v>26</v>
      </c>
      <c r="C803" s="26" t="s">
        <v>50</v>
      </c>
      <c r="D803" s="26" t="s">
        <v>37</v>
      </c>
      <c r="E803" s="26" t="s">
        <v>390</v>
      </c>
      <c r="F803" s="26" t="s">
        <v>1061</v>
      </c>
      <c r="G803" s="27">
        <v>174.2</v>
      </c>
      <c r="H803" s="27">
        <v>174.2</v>
      </c>
      <c r="I803" s="27">
        <v>174.2</v>
      </c>
      <c r="J803" s="80"/>
      <c r="K803" s="16">
        <f t="shared" si="334"/>
        <v>-174.2</v>
      </c>
      <c r="L803" s="80"/>
      <c r="M803" s="16">
        <f t="shared" si="335"/>
        <v>-174.2</v>
      </c>
      <c r="N803" s="80"/>
      <c r="O803" s="16">
        <f t="shared" si="336"/>
        <v>-174.2</v>
      </c>
    </row>
    <row r="804" spans="1:15" s="4" customFormat="1">
      <c r="A804" s="12" t="s">
        <v>1037</v>
      </c>
      <c r="B804" s="25" t="s">
        <v>26</v>
      </c>
      <c r="C804" s="26" t="s">
        <v>50</v>
      </c>
      <c r="D804" s="26" t="s">
        <v>37</v>
      </c>
      <c r="E804" s="26" t="s">
        <v>390</v>
      </c>
      <c r="F804" s="26" t="s">
        <v>1062</v>
      </c>
      <c r="G804" s="27">
        <v>7</v>
      </c>
      <c r="H804" s="27">
        <v>7</v>
      </c>
      <c r="I804" s="27">
        <v>7</v>
      </c>
      <c r="J804" s="80"/>
      <c r="K804" s="16">
        <f t="shared" si="334"/>
        <v>-7</v>
      </c>
      <c r="L804" s="80"/>
      <c r="M804" s="16">
        <f t="shared" si="335"/>
        <v>-7</v>
      </c>
      <c r="N804" s="80"/>
      <c r="O804" s="16">
        <f t="shared" si="336"/>
        <v>-7</v>
      </c>
    </row>
    <row r="805" spans="1:15" s="3" customFormat="1" ht="25.5">
      <c r="A805" s="11" t="s">
        <v>126</v>
      </c>
      <c r="B805" s="25" t="s">
        <v>26</v>
      </c>
      <c r="C805" s="26" t="s">
        <v>50</v>
      </c>
      <c r="D805" s="26" t="s">
        <v>37</v>
      </c>
      <c r="E805" s="26" t="s">
        <v>391</v>
      </c>
      <c r="F805" s="26" t="s">
        <v>58</v>
      </c>
      <c r="G805" s="27">
        <f>G806</f>
        <v>11970.119999999999</v>
      </c>
      <c r="H805" s="27">
        <f>H806</f>
        <v>11970.119999999999</v>
      </c>
      <c r="I805" s="27">
        <f>I806</f>
        <v>11970.119999999999</v>
      </c>
      <c r="J805" s="27">
        <f>J806</f>
        <v>11970.119999999999</v>
      </c>
      <c r="K805" s="16">
        <f t="shared" si="334"/>
        <v>0</v>
      </c>
      <c r="L805" s="27">
        <f>L806</f>
        <v>11970.119999999999</v>
      </c>
      <c r="M805" s="16">
        <f t="shared" si="335"/>
        <v>0</v>
      </c>
      <c r="N805" s="27">
        <f>N806</f>
        <v>11970.119999999999</v>
      </c>
      <c r="O805" s="16">
        <f t="shared" si="336"/>
        <v>0</v>
      </c>
    </row>
    <row r="806" spans="1:15" s="3" customFormat="1" ht="25.5">
      <c r="A806" s="12" t="s">
        <v>107</v>
      </c>
      <c r="B806" s="25" t="s">
        <v>26</v>
      </c>
      <c r="C806" s="26" t="s">
        <v>50</v>
      </c>
      <c r="D806" s="26" t="s">
        <v>37</v>
      </c>
      <c r="E806" s="26" t="s">
        <v>391</v>
      </c>
      <c r="F806" s="26" t="s">
        <v>115</v>
      </c>
      <c r="G806" s="27">
        <f>SUM(G807:G808)</f>
        <v>11970.119999999999</v>
      </c>
      <c r="H806" s="27">
        <f t="shared" ref="H806:I806" si="345">SUM(H807:H808)</f>
        <v>11970.119999999999</v>
      </c>
      <c r="I806" s="27">
        <f t="shared" si="345"/>
        <v>11970.119999999999</v>
      </c>
      <c r="J806" s="27">
        <f>3361.47+8608.65</f>
        <v>11970.119999999999</v>
      </c>
      <c r="K806" s="16">
        <f t="shared" si="334"/>
        <v>0</v>
      </c>
      <c r="L806" s="27">
        <f>3361.47+8608.65</f>
        <v>11970.119999999999</v>
      </c>
      <c r="M806" s="16">
        <f t="shared" si="335"/>
        <v>0</v>
      </c>
      <c r="N806" s="27">
        <f>3361.47+8608.65</f>
        <v>11970.119999999999</v>
      </c>
      <c r="O806" s="16">
        <f t="shared" si="336"/>
        <v>0</v>
      </c>
    </row>
    <row r="807" spans="1:15" s="4" customFormat="1">
      <c r="A807" s="12" t="s">
        <v>936</v>
      </c>
      <c r="B807" s="25" t="s">
        <v>26</v>
      </c>
      <c r="C807" s="26" t="s">
        <v>50</v>
      </c>
      <c r="D807" s="26" t="s">
        <v>37</v>
      </c>
      <c r="E807" s="26" t="s">
        <v>391</v>
      </c>
      <c r="F807" s="26" t="s">
        <v>1063</v>
      </c>
      <c r="G807" s="27">
        <v>9193.64</v>
      </c>
      <c r="H807" s="27">
        <v>9193.64</v>
      </c>
      <c r="I807" s="27">
        <v>9193.64</v>
      </c>
      <c r="J807" s="80"/>
      <c r="K807" s="16">
        <f t="shared" si="334"/>
        <v>-9193.64</v>
      </c>
      <c r="L807" s="80"/>
      <c r="M807" s="16">
        <f t="shared" si="335"/>
        <v>-9193.64</v>
      </c>
      <c r="N807" s="80"/>
      <c r="O807" s="16">
        <f t="shared" si="336"/>
        <v>-9193.64</v>
      </c>
    </row>
    <row r="808" spans="1:15" s="4" customFormat="1" ht="38.25">
      <c r="A808" s="12" t="s">
        <v>939</v>
      </c>
      <c r="B808" s="25" t="s">
        <v>26</v>
      </c>
      <c r="C808" s="26" t="s">
        <v>50</v>
      </c>
      <c r="D808" s="26" t="s">
        <v>37</v>
      </c>
      <c r="E808" s="26" t="s">
        <v>391</v>
      </c>
      <c r="F808" s="26" t="s">
        <v>1060</v>
      </c>
      <c r="G808" s="27">
        <v>2776.48</v>
      </c>
      <c r="H808" s="27">
        <v>2776.48</v>
      </c>
      <c r="I808" s="27">
        <v>2776.48</v>
      </c>
      <c r="J808" s="80"/>
      <c r="K808" s="16">
        <f t="shared" si="334"/>
        <v>-2776.48</v>
      </c>
      <c r="L808" s="80"/>
      <c r="M808" s="16">
        <f t="shared" si="335"/>
        <v>-2776.48</v>
      </c>
      <c r="N808" s="80"/>
      <c r="O808" s="16">
        <f t="shared" si="336"/>
        <v>-2776.48</v>
      </c>
    </row>
    <row r="809" spans="1:15" s="3" customFormat="1">
      <c r="A809" s="12" t="s">
        <v>175</v>
      </c>
      <c r="B809" s="25" t="s">
        <v>26</v>
      </c>
      <c r="C809" s="26" t="s">
        <v>50</v>
      </c>
      <c r="D809" s="26" t="s">
        <v>37</v>
      </c>
      <c r="E809" s="26" t="s">
        <v>371</v>
      </c>
      <c r="F809" s="26" t="s">
        <v>58</v>
      </c>
      <c r="G809" s="27">
        <f t="shared" ref="G809:N811" si="346">G810</f>
        <v>160</v>
      </c>
      <c r="H809" s="27">
        <f t="shared" si="346"/>
        <v>160</v>
      </c>
      <c r="I809" s="27">
        <f t="shared" si="346"/>
        <v>160</v>
      </c>
      <c r="J809" s="27">
        <f t="shared" si="346"/>
        <v>160</v>
      </c>
      <c r="K809" s="16">
        <f t="shared" si="334"/>
        <v>0</v>
      </c>
      <c r="L809" s="27">
        <f t="shared" si="346"/>
        <v>160</v>
      </c>
      <c r="M809" s="16">
        <f t="shared" si="335"/>
        <v>0</v>
      </c>
      <c r="N809" s="27">
        <f t="shared" si="346"/>
        <v>160</v>
      </c>
      <c r="O809" s="16">
        <f t="shared" si="336"/>
        <v>0</v>
      </c>
    </row>
    <row r="810" spans="1:15" s="3" customFormat="1" ht="38.25">
      <c r="A810" s="11" t="s">
        <v>697</v>
      </c>
      <c r="B810" s="25" t="s">
        <v>26</v>
      </c>
      <c r="C810" s="26" t="s">
        <v>50</v>
      </c>
      <c r="D810" s="26" t="s">
        <v>37</v>
      </c>
      <c r="E810" s="26" t="s">
        <v>689</v>
      </c>
      <c r="F810" s="26" t="s">
        <v>58</v>
      </c>
      <c r="G810" s="27">
        <f t="shared" si="346"/>
        <v>160</v>
      </c>
      <c r="H810" s="27">
        <f t="shared" si="346"/>
        <v>160</v>
      </c>
      <c r="I810" s="27">
        <f t="shared" si="346"/>
        <v>160</v>
      </c>
      <c r="J810" s="27">
        <f t="shared" si="346"/>
        <v>160</v>
      </c>
      <c r="K810" s="16">
        <f t="shared" si="334"/>
        <v>0</v>
      </c>
      <c r="L810" s="27">
        <f t="shared" si="346"/>
        <v>160</v>
      </c>
      <c r="M810" s="16">
        <f t="shared" si="335"/>
        <v>0</v>
      </c>
      <c r="N810" s="27">
        <f t="shared" si="346"/>
        <v>160</v>
      </c>
      <c r="O810" s="16">
        <f t="shared" si="336"/>
        <v>0</v>
      </c>
    </row>
    <row r="811" spans="1:15" s="3" customFormat="1" ht="25.5">
      <c r="A811" s="11" t="s">
        <v>108</v>
      </c>
      <c r="B811" s="25" t="s">
        <v>26</v>
      </c>
      <c r="C811" s="26" t="s">
        <v>50</v>
      </c>
      <c r="D811" s="26" t="s">
        <v>37</v>
      </c>
      <c r="E811" s="26" t="s">
        <v>689</v>
      </c>
      <c r="F811" s="26" t="s">
        <v>116</v>
      </c>
      <c r="G811" s="27">
        <f>G812</f>
        <v>160</v>
      </c>
      <c r="H811" s="27">
        <f t="shared" si="346"/>
        <v>160</v>
      </c>
      <c r="I811" s="27">
        <f t="shared" si="346"/>
        <v>160</v>
      </c>
      <c r="J811" s="27">
        <f>160</f>
        <v>160</v>
      </c>
      <c r="K811" s="16">
        <f t="shared" si="334"/>
        <v>0</v>
      </c>
      <c r="L811" s="27">
        <f>160</f>
        <v>160</v>
      </c>
      <c r="M811" s="16">
        <f t="shared" si="335"/>
        <v>0</v>
      </c>
      <c r="N811" s="27">
        <f>160</f>
        <v>160</v>
      </c>
      <c r="O811" s="16">
        <f t="shared" si="336"/>
        <v>0</v>
      </c>
    </row>
    <row r="812" spans="1:15" s="4" customFormat="1" ht="25.5">
      <c r="A812" s="12" t="s">
        <v>973</v>
      </c>
      <c r="B812" s="25" t="s">
        <v>26</v>
      </c>
      <c r="C812" s="26" t="s">
        <v>50</v>
      </c>
      <c r="D812" s="26" t="s">
        <v>37</v>
      </c>
      <c r="E812" s="26" t="s">
        <v>689</v>
      </c>
      <c r="F812" s="26" t="s">
        <v>1043</v>
      </c>
      <c r="G812" s="27">
        <f>160</f>
        <v>160</v>
      </c>
      <c r="H812" s="27">
        <f>160</f>
        <v>160</v>
      </c>
      <c r="I812" s="27">
        <f>160</f>
        <v>160</v>
      </c>
      <c r="J812" s="80"/>
      <c r="K812" s="16">
        <f t="shared" si="334"/>
        <v>-160</v>
      </c>
      <c r="L812" s="80"/>
      <c r="M812" s="16">
        <f t="shared" si="335"/>
        <v>-160</v>
      </c>
      <c r="N812" s="80"/>
      <c r="O812" s="16">
        <f t="shared" si="336"/>
        <v>-160</v>
      </c>
    </row>
    <row r="813" spans="1:15" s="3" customFormat="1">
      <c r="A813" s="11"/>
      <c r="B813" s="25"/>
      <c r="C813" s="26"/>
      <c r="D813" s="26"/>
      <c r="E813" s="26"/>
      <c r="F813" s="26"/>
      <c r="G813" s="27"/>
      <c r="H813" s="27"/>
      <c r="I813" s="27"/>
      <c r="J813" s="27"/>
      <c r="K813" s="16">
        <f t="shared" si="334"/>
        <v>0</v>
      </c>
      <c r="L813" s="27"/>
      <c r="M813" s="16">
        <f t="shared" si="335"/>
        <v>0</v>
      </c>
      <c r="N813" s="27"/>
      <c r="O813" s="16">
        <f t="shared" si="336"/>
        <v>0</v>
      </c>
    </row>
    <row r="814" spans="1:15" s="68" customFormat="1" ht="25.5">
      <c r="A814" s="28" t="s">
        <v>178</v>
      </c>
      <c r="B814" s="14" t="s">
        <v>62</v>
      </c>
      <c r="C814" s="15" t="s">
        <v>51</v>
      </c>
      <c r="D814" s="15" t="s">
        <v>51</v>
      </c>
      <c r="E814" s="15" t="s">
        <v>196</v>
      </c>
      <c r="F814" s="15" t="s">
        <v>58</v>
      </c>
      <c r="G814" s="117">
        <f>G823+G815</f>
        <v>1789669.0200000005</v>
      </c>
      <c r="H814" s="117">
        <f t="shared" ref="H814:I814" si="347">H823+H815</f>
        <v>1645296.27</v>
      </c>
      <c r="I814" s="117">
        <f t="shared" si="347"/>
        <v>1801648.7000000002</v>
      </c>
      <c r="J814" s="117">
        <f>J823+J815</f>
        <v>1789669.0200000005</v>
      </c>
      <c r="K814" s="16">
        <f t="shared" si="334"/>
        <v>0</v>
      </c>
      <c r="L814" s="117">
        <f t="shared" ref="L814:N814" si="348">L823+L815</f>
        <v>1645296.27</v>
      </c>
      <c r="M814" s="16">
        <f t="shared" si="335"/>
        <v>0</v>
      </c>
      <c r="N814" s="117">
        <f t="shared" si="348"/>
        <v>1801648.7000000002</v>
      </c>
      <c r="O814" s="16">
        <f t="shared" si="336"/>
        <v>0</v>
      </c>
    </row>
    <row r="815" spans="1:15" s="109" customFormat="1" ht="12.75">
      <c r="A815" s="17" t="s">
        <v>64</v>
      </c>
      <c r="B815" s="18" t="s">
        <v>62</v>
      </c>
      <c r="C815" s="19" t="s">
        <v>65</v>
      </c>
      <c r="D815" s="19" t="s">
        <v>51</v>
      </c>
      <c r="E815" s="19" t="s">
        <v>196</v>
      </c>
      <c r="F815" s="19" t="s">
        <v>58</v>
      </c>
      <c r="G815" s="20">
        <f t="shared" ref="G815:G820" si="349">G816</f>
        <v>6.59</v>
      </c>
      <c r="H815" s="20">
        <f t="shared" ref="H815:N820" si="350">H816</f>
        <v>6.59</v>
      </c>
      <c r="I815" s="20">
        <f t="shared" si="350"/>
        <v>6.59</v>
      </c>
      <c r="J815" s="20">
        <f t="shared" si="350"/>
        <v>6.59</v>
      </c>
      <c r="K815" s="16">
        <f t="shared" si="334"/>
        <v>0</v>
      </c>
      <c r="L815" s="20">
        <f t="shared" si="350"/>
        <v>6.59</v>
      </c>
      <c r="M815" s="16">
        <f t="shared" si="335"/>
        <v>0</v>
      </c>
      <c r="N815" s="20">
        <f t="shared" si="350"/>
        <v>6.59</v>
      </c>
      <c r="O815" s="16">
        <f t="shared" si="336"/>
        <v>0</v>
      </c>
    </row>
    <row r="816" spans="1:15" s="109" customFormat="1" ht="12.75">
      <c r="A816" s="21" t="s">
        <v>38</v>
      </c>
      <c r="B816" s="22" t="s">
        <v>62</v>
      </c>
      <c r="C816" s="23" t="s">
        <v>65</v>
      </c>
      <c r="D816" s="23" t="s">
        <v>84</v>
      </c>
      <c r="E816" s="23" t="s">
        <v>196</v>
      </c>
      <c r="F816" s="23" t="s">
        <v>58</v>
      </c>
      <c r="G816" s="24">
        <f t="shared" si="349"/>
        <v>6.59</v>
      </c>
      <c r="H816" s="24">
        <f t="shared" si="350"/>
        <v>6.59</v>
      </c>
      <c r="I816" s="24">
        <f t="shared" si="350"/>
        <v>6.59</v>
      </c>
      <c r="J816" s="24">
        <f t="shared" si="350"/>
        <v>6.59</v>
      </c>
      <c r="K816" s="16">
        <f t="shared" si="334"/>
        <v>0</v>
      </c>
      <c r="L816" s="24">
        <f t="shared" si="350"/>
        <v>6.59</v>
      </c>
      <c r="M816" s="16">
        <f t="shared" si="335"/>
        <v>0</v>
      </c>
      <c r="N816" s="24">
        <f t="shared" si="350"/>
        <v>6.59</v>
      </c>
      <c r="O816" s="16">
        <f t="shared" si="336"/>
        <v>0</v>
      </c>
    </row>
    <row r="817" spans="1:15" s="109" customFormat="1" ht="38.25">
      <c r="A817" s="13" t="s">
        <v>745</v>
      </c>
      <c r="B817" s="25" t="s">
        <v>62</v>
      </c>
      <c r="C817" s="26" t="s">
        <v>65</v>
      </c>
      <c r="D817" s="26" t="s">
        <v>84</v>
      </c>
      <c r="E817" s="26" t="s">
        <v>280</v>
      </c>
      <c r="F817" s="26" t="s">
        <v>58</v>
      </c>
      <c r="G817" s="27">
        <f t="shared" si="349"/>
        <v>6.59</v>
      </c>
      <c r="H817" s="27">
        <f t="shared" si="350"/>
        <v>6.59</v>
      </c>
      <c r="I817" s="27">
        <f t="shared" si="350"/>
        <v>6.59</v>
      </c>
      <c r="J817" s="27">
        <f t="shared" si="350"/>
        <v>6.59</v>
      </c>
      <c r="K817" s="16">
        <f t="shared" si="334"/>
        <v>0</v>
      </c>
      <c r="L817" s="27">
        <f t="shared" si="350"/>
        <v>6.59</v>
      </c>
      <c r="M817" s="16">
        <f t="shared" si="335"/>
        <v>0</v>
      </c>
      <c r="N817" s="27">
        <f t="shared" si="350"/>
        <v>6.59</v>
      </c>
      <c r="O817" s="16">
        <f t="shared" si="336"/>
        <v>0</v>
      </c>
    </row>
    <row r="818" spans="1:15" s="109" customFormat="1" ht="51">
      <c r="A818" s="13" t="s">
        <v>746</v>
      </c>
      <c r="B818" s="25" t="s">
        <v>62</v>
      </c>
      <c r="C818" s="26" t="s">
        <v>65</v>
      </c>
      <c r="D818" s="26" t="s">
        <v>84</v>
      </c>
      <c r="E818" s="26" t="s">
        <v>281</v>
      </c>
      <c r="F818" s="26" t="s">
        <v>58</v>
      </c>
      <c r="G818" s="27">
        <f t="shared" si="349"/>
        <v>6.59</v>
      </c>
      <c r="H818" s="27">
        <f t="shared" ref="H818:N818" si="351">H819</f>
        <v>6.59</v>
      </c>
      <c r="I818" s="27">
        <f t="shared" si="351"/>
        <v>6.59</v>
      </c>
      <c r="J818" s="27">
        <f t="shared" si="350"/>
        <v>6.59</v>
      </c>
      <c r="K818" s="16">
        <f t="shared" si="334"/>
        <v>0</v>
      </c>
      <c r="L818" s="27">
        <f t="shared" si="351"/>
        <v>6.59</v>
      </c>
      <c r="M818" s="16">
        <f t="shared" si="335"/>
        <v>0</v>
      </c>
      <c r="N818" s="27">
        <f t="shared" si="351"/>
        <v>6.59</v>
      </c>
      <c r="O818" s="16">
        <f t="shared" si="336"/>
        <v>0</v>
      </c>
    </row>
    <row r="819" spans="1:15" s="109" customFormat="1" ht="38.25">
      <c r="A819" s="11" t="s">
        <v>282</v>
      </c>
      <c r="B819" s="25" t="s">
        <v>62</v>
      </c>
      <c r="C819" s="26" t="s">
        <v>65</v>
      </c>
      <c r="D819" s="26" t="s">
        <v>84</v>
      </c>
      <c r="E819" s="26" t="s">
        <v>283</v>
      </c>
      <c r="F819" s="26" t="s">
        <v>58</v>
      </c>
      <c r="G819" s="27">
        <f t="shared" si="349"/>
        <v>6.59</v>
      </c>
      <c r="H819" s="27">
        <f t="shared" ref="H819:N819" si="352">H820</f>
        <v>6.59</v>
      </c>
      <c r="I819" s="27">
        <f t="shared" si="352"/>
        <v>6.59</v>
      </c>
      <c r="J819" s="27">
        <f t="shared" si="350"/>
        <v>6.59</v>
      </c>
      <c r="K819" s="16">
        <f t="shared" si="334"/>
        <v>0</v>
      </c>
      <c r="L819" s="27">
        <f t="shared" si="352"/>
        <v>6.59</v>
      </c>
      <c r="M819" s="16">
        <f t="shared" si="335"/>
        <v>0</v>
      </c>
      <c r="N819" s="27">
        <f t="shared" si="352"/>
        <v>6.59</v>
      </c>
      <c r="O819" s="16">
        <f t="shared" si="336"/>
        <v>0</v>
      </c>
    </row>
    <row r="820" spans="1:15" s="68" customFormat="1" ht="25.5">
      <c r="A820" s="11" t="s">
        <v>859</v>
      </c>
      <c r="B820" s="25" t="s">
        <v>62</v>
      </c>
      <c r="C820" s="26" t="s">
        <v>65</v>
      </c>
      <c r="D820" s="26" t="s">
        <v>84</v>
      </c>
      <c r="E820" s="26" t="s">
        <v>858</v>
      </c>
      <c r="F820" s="26" t="s">
        <v>58</v>
      </c>
      <c r="G820" s="27">
        <f t="shared" si="349"/>
        <v>6.59</v>
      </c>
      <c r="H820" s="27">
        <f t="shared" ref="H820:N821" si="353">H821</f>
        <v>6.59</v>
      </c>
      <c r="I820" s="27">
        <f t="shared" si="353"/>
        <v>6.59</v>
      </c>
      <c r="J820" s="27">
        <f t="shared" si="350"/>
        <v>6.59</v>
      </c>
      <c r="K820" s="16">
        <f t="shared" si="334"/>
        <v>0</v>
      </c>
      <c r="L820" s="27">
        <f t="shared" si="353"/>
        <v>6.59</v>
      </c>
      <c r="M820" s="16">
        <f t="shared" si="335"/>
        <v>0</v>
      </c>
      <c r="N820" s="27">
        <f t="shared" si="353"/>
        <v>6.59</v>
      </c>
      <c r="O820" s="16">
        <f t="shared" si="336"/>
        <v>0</v>
      </c>
    </row>
    <row r="821" spans="1:15" s="68" customFormat="1" ht="25.5">
      <c r="A821" s="11" t="s">
        <v>108</v>
      </c>
      <c r="B821" s="25" t="s">
        <v>62</v>
      </c>
      <c r="C821" s="26" t="s">
        <v>65</v>
      </c>
      <c r="D821" s="26" t="s">
        <v>84</v>
      </c>
      <c r="E821" s="26" t="s">
        <v>858</v>
      </c>
      <c r="F821" s="26" t="s">
        <v>116</v>
      </c>
      <c r="G821" s="27">
        <f>G822</f>
        <v>6.59</v>
      </c>
      <c r="H821" s="27">
        <f t="shared" si="353"/>
        <v>6.59</v>
      </c>
      <c r="I821" s="27">
        <f t="shared" si="353"/>
        <v>6.59</v>
      </c>
      <c r="J821" s="27">
        <f>6.59</f>
        <v>6.59</v>
      </c>
      <c r="K821" s="16">
        <f t="shared" si="334"/>
        <v>0</v>
      </c>
      <c r="L821" s="27">
        <f t="shared" ref="H821:N822" si="354">6.59</f>
        <v>6.59</v>
      </c>
      <c r="M821" s="16">
        <f t="shared" si="335"/>
        <v>0</v>
      </c>
      <c r="N821" s="27">
        <f t="shared" si="354"/>
        <v>6.59</v>
      </c>
      <c r="O821" s="16">
        <f t="shared" si="336"/>
        <v>0</v>
      </c>
    </row>
    <row r="822" spans="1:15" s="118" customFormat="1" ht="25.5">
      <c r="A822" s="12" t="s">
        <v>973</v>
      </c>
      <c r="B822" s="25" t="s">
        <v>62</v>
      </c>
      <c r="C822" s="26" t="s">
        <v>65</v>
      </c>
      <c r="D822" s="26" t="s">
        <v>84</v>
      </c>
      <c r="E822" s="26" t="s">
        <v>858</v>
      </c>
      <c r="F822" s="26" t="s">
        <v>1043</v>
      </c>
      <c r="G822" s="27">
        <f>6.59</f>
        <v>6.59</v>
      </c>
      <c r="H822" s="27">
        <f t="shared" si="354"/>
        <v>6.59</v>
      </c>
      <c r="I822" s="27">
        <f t="shared" si="354"/>
        <v>6.59</v>
      </c>
      <c r="J822" s="80"/>
      <c r="K822" s="16">
        <f t="shared" si="334"/>
        <v>-6.59</v>
      </c>
      <c r="L822" s="80"/>
      <c r="M822" s="16">
        <f t="shared" si="335"/>
        <v>-6.59</v>
      </c>
      <c r="N822" s="80"/>
      <c r="O822" s="16">
        <f t="shared" si="336"/>
        <v>-6.59</v>
      </c>
    </row>
    <row r="823" spans="1:15" s="30" customFormat="1">
      <c r="A823" s="17" t="s">
        <v>49</v>
      </c>
      <c r="B823" s="18" t="s">
        <v>62</v>
      </c>
      <c r="C823" s="19" t="s">
        <v>14</v>
      </c>
      <c r="D823" s="19" t="s">
        <v>51</v>
      </c>
      <c r="E823" s="19" t="s">
        <v>196</v>
      </c>
      <c r="F823" s="19" t="s">
        <v>58</v>
      </c>
      <c r="G823" s="20">
        <f>G824+G960+G970</f>
        <v>1789662.4300000004</v>
      </c>
      <c r="H823" s="20">
        <f>H824+H960+H970</f>
        <v>1645289.68</v>
      </c>
      <c r="I823" s="20">
        <f>I824+I960+I970</f>
        <v>1801642.11</v>
      </c>
      <c r="J823" s="20">
        <f>J824+J960+J970</f>
        <v>1789662.4300000004</v>
      </c>
      <c r="K823" s="16">
        <f t="shared" si="334"/>
        <v>0</v>
      </c>
      <c r="L823" s="20">
        <f>L824+L960+L970</f>
        <v>1645289.68</v>
      </c>
      <c r="M823" s="16">
        <f t="shared" si="335"/>
        <v>0</v>
      </c>
      <c r="N823" s="20">
        <f>N824+N960+N970</f>
        <v>1801642.11</v>
      </c>
      <c r="O823" s="16">
        <f t="shared" si="336"/>
        <v>0</v>
      </c>
    </row>
    <row r="824" spans="1:15" s="30" customFormat="1">
      <c r="A824" s="21" t="s">
        <v>63</v>
      </c>
      <c r="B824" s="22" t="s">
        <v>62</v>
      </c>
      <c r="C824" s="23" t="s">
        <v>14</v>
      </c>
      <c r="D824" s="23" t="s">
        <v>53</v>
      </c>
      <c r="E824" s="23" t="s">
        <v>196</v>
      </c>
      <c r="F824" s="23" t="s">
        <v>58</v>
      </c>
      <c r="G824" s="24">
        <f>G825</f>
        <v>1597546.0700000003</v>
      </c>
      <c r="H824" s="24">
        <f>H825</f>
        <v>1453291.78</v>
      </c>
      <c r="I824" s="24">
        <f>I825</f>
        <v>1609572.2100000002</v>
      </c>
      <c r="J824" s="24">
        <f>J825</f>
        <v>1597546.0700000003</v>
      </c>
      <c r="K824" s="16">
        <f t="shared" si="334"/>
        <v>0</v>
      </c>
      <c r="L824" s="24">
        <f>L825</f>
        <v>1453291.78</v>
      </c>
      <c r="M824" s="16">
        <f t="shared" si="335"/>
        <v>0</v>
      </c>
      <c r="N824" s="24">
        <f>N825</f>
        <v>1609572.2100000002</v>
      </c>
      <c r="O824" s="16">
        <f t="shared" si="336"/>
        <v>0</v>
      </c>
    </row>
    <row r="825" spans="1:15" s="30" customFormat="1" ht="25.5">
      <c r="A825" s="31" t="s">
        <v>727</v>
      </c>
      <c r="B825" s="25" t="s">
        <v>62</v>
      </c>
      <c r="C825" s="26" t="s">
        <v>14</v>
      </c>
      <c r="D825" s="26" t="s">
        <v>53</v>
      </c>
      <c r="E825" s="26" t="s">
        <v>327</v>
      </c>
      <c r="F825" s="26" t="s">
        <v>58</v>
      </c>
      <c r="G825" s="161">
        <f>G826+G906+G955</f>
        <v>1597546.0700000003</v>
      </c>
      <c r="H825" s="161">
        <f t="shared" ref="H825:I825" si="355">H826+H906+H955</f>
        <v>1453291.78</v>
      </c>
      <c r="I825" s="161">
        <f t="shared" si="355"/>
        <v>1609572.2100000002</v>
      </c>
      <c r="J825" s="161">
        <f>J826+J906+J955</f>
        <v>1597546.0700000003</v>
      </c>
      <c r="K825" s="16">
        <f t="shared" si="334"/>
        <v>0</v>
      </c>
      <c r="L825" s="161">
        <f t="shared" ref="L825:N825" si="356">L826+L906+L955</f>
        <v>1453291.78</v>
      </c>
      <c r="M825" s="16">
        <f t="shared" si="335"/>
        <v>0</v>
      </c>
      <c r="N825" s="161">
        <f t="shared" si="356"/>
        <v>1609572.2100000002</v>
      </c>
      <c r="O825" s="16">
        <f t="shared" si="336"/>
        <v>0</v>
      </c>
    </row>
    <row r="826" spans="1:15" s="30" customFormat="1" ht="38.25">
      <c r="A826" s="120" t="s">
        <v>728</v>
      </c>
      <c r="B826" s="25" t="s">
        <v>62</v>
      </c>
      <c r="C826" s="26" t="s">
        <v>14</v>
      </c>
      <c r="D826" s="26" t="s">
        <v>53</v>
      </c>
      <c r="E826" s="26" t="s">
        <v>392</v>
      </c>
      <c r="F826" s="26" t="s">
        <v>58</v>
      </c>
      <c r="G826" s="161">
        <f>G827+G884</f>
        <v>1573970.7000000002</v>
      </c>
      <c r="H826" s="161">
        <f>H827+H884</f>
        <v>1431232.37</v>
      </c>
      <c r="I826" s="161">
        <f>I827+I884</f>
        <v>1587512.8000000003</v>
      </c>
      <c r="J826" s="161">
        <f>J827+J884</f>
        <v>1573970.7000000002</v>
      </c>
      <c r="K826" s="16">
        <f t="shared" si="334"/>
        <v>0</v>
      </c>
      <c r="L826" s="161">
        <f>L827+L884</f>
        <v>1431232.37</v>
      </c>
      <c r="M826" s="16">
        <f t="shared" si="335"/>
        <v>0</v>
      </c>
      <c r="N826" s="161">
        <f>N827+N884</f>
        <v>1587512.8000000003</v>
      </c>
      <c r="O826" s="16">
        <f t="shared" si="336"/>
        <v>0</v>
      </c>
    </row>
    <row r="827" spans="1:15" s="30" customFormat="1" ht="25.5">
      <c r="A827" s="152" t="s">
        <v>393</v>
      </c>
      <c r="B827" s="25" t="s">
        <v>62</v>
      </c>
      <c r="C827" s="26" t="s">
        <v>14</v>
      </c>
      <c r="D827" s="26" t="s">
        <v>53</v>
      </c>
      <c r="E827" s="26" t="s">
        <v>394</v>
      </c>
      <c r="F827" s="26" t="s">
        <v>58</v>
      </c>
      <c r="G827" s="119">
        <f>G828+G833+G841+G846+G849+G854+G859+G864+G869+G874+G879</f>
        <v>1255740.06</v>
      </c>
      <c r="H827" s="119">
        <f t="shared" ref="H827:I827" si="357">H828+H833+H841+H846+H849+H854+H859+H864+H869+H874+H879</f>
        <v>1120001.49</v>
      </c>
      <c r="I827" s="119">
        <f t="shared" si="357"/>
        <v>1252406.7100000002</v>
      </c>
      <c r="J827" s="119">
        <f>J828+J833+J841+J846+J849+J854+J859+J864+J869+J874+J879</f>
        <v>1255740.06</v>
      </c>
      <c r="K827" s="16">
        <f t="shared" si="334"/>
        <v>0</v>
      </c>
      <c r="L827" s="119">
        <f t="shared" ref="L827:N827" si="358">L828+L833+L841+L846+L849+L854+L859+L864+L869+L874+L879</f>
        <v>1120001.49</v>
      </c>
      <c r="M827" s="16">
        <f t="shared" si="335"/>
        <v>0</v>
      </c>
      <c r="N827" s="119">
        <f t="shared" si="358"/>
        <v>1252406.7100000002</v>
      </c>
      <c r="O827" s="16">
        <f t="shared" si="336"/>
        <v>0</v>
      </c>
    </row>
    <row r="828" spans="1:15" s="30" customFormat="1" ht="25.5">
      <c r="A828" s="31" t="s">
        <v>593</v>
      </c>
      <c r="B828" s="25" t="s">
        <v>62</v>
      </c>
      <c r="C828" s="26" t="s">
        <v>14</v>
      </c>
      <c r="D828" s="26" t="s">
        <v>53</v>
      </c>
      <c r="E828" s="26" t="s">
        <v>395</v>
      </c>
      <c r="F828" s="26" t="s">
        <v>58</v>
      </c>
      <c r="G828" s="119">
        <f>G829+G831</f>
        <v>15553</v>
      </c>
      <c r="H828" s="119">
        <f>H829+H831</f>
        <v>15553</v>
      </c>
      <c r="I828" s="119">
        <f>I829+I831</f>
        <v>15553</v>
      </c>
      <c r="J828" s="119">
        <f>J829+J831</f>
        <v>15553</v>
      </c>
      <c r="K828" s="16">
        <f t="shared" si="334"/>
        <v>0</v>
      </c>
      <c r="L828" s="119">
        <f>L829+L831</f>
        <v>15553</v>
      </c>
      <c r="M828" s="16">
        <f t="shared" si="335"/>
        <v>0</v>
      </c>
      <c r="N828" s="119">
        <f>N829+N831</f>
        <v>15553</v>
      </c>
      <c r="O828" s="16">
        <f t="shared" si="336"/>
        <v>0</v>
      </c>
    </row>
    <row r="829" spans="1:15" s="30" customFormat="1" ht="25.5">
      <c r="A829" s="11" t="s">
        <v>108</v>
      </c>
      <c r="B829" s="25" t="s">
        <v>62</v>
      </c>
      <c r="C829" s="26" t="s">
        <v>14</v>
      </c>
      <c r="D829" s="26" t="s">
        <v>53</v>
      </c>
      <c r="E829" s="26" t="s">
        <v>395</v>
      </c>
      <c r="F829" s="26" t="s">
        <v>116</v>
      </c>
      <c r="G829" s="119">
        <f>G830</f>
        <v>229.84</v>
      </c>
      <c r="H829" s="119">
        <f t="shared" ref="H829:I829" si="359">H830</f>
        <v>229.84</v>
      </c>
      <c r="I829" s="119">
        <f t="shared" si="359"/>
        <v>229.84</v>
      </c>
      <c r="J829" s="119">
        <f>229.84</f>
        <v>229.84</v>
      </c>
      <c r="K829" s="16">
        <f t="shared" si="334"/>
        <v>0</v>
      </c>
      <c r="L829" s="119">
        <f t="shared" ref="H829:N830" si="360">229.84</f>
        <v>229.84</v>
      </c>
      <c r="M829" s="16">
        <f t="shared" si="335"/>
        <v>0</v>
      </c>
      <c r="N829" s="119">
        <f t="shared" si="360"/>
        <v>229.84</v>
      </c>
      <c r="O829" s="16">
        <f t="shared" si="336"/>
        <v>0</v>
      </c>
    </row>
    <row r="830" spans="1:15" s="83" customFormat="1" ht="25.5">
      <c r="A830" s="12" t="s">
        <v>973</v>
      </c>
      <c r="B830" s="25" t="s">
        <v>62</v>
      </c>
      <c r="C830" s="26" t="s">
        <v>14</v>
      </c>
      <c r="D830" s="26" t="s">
        <v>53</v>
      </c>
      <c r="E830" s="26" t="s">
        <v>395</v>
      </c>
      <c r="F830" s="26" t="s">
        <v>1043</v>
      </c>
      <c r="G830" s="119">
        <f>229.84</f>
        <v>229.84</v>
      </c>
      <c r="H830" s="119">
        <f t="shared" si="360"/>
        <v>229.84</v>
      </c>
      <c r="I830" s="119">
        <f t="shared" si="360"/>
        <v>229.84</v>
      </c>
      <c r="J830" s="124"/>
      <c r="K830" s="16">
        <f t="shared" si="334"/>
        <v>-229.84</v>
      </c>
      <c r="L830" s="124"/>
      <c r="M830" s="16">
        <f t="shared" si="335"/>
        <v>-229.84</v>
      </c>
      <c r="N830" s="124"/>
      <c r="O830" s="16">
        <f t="shared" si="336"/>
        <v>-229.84</v>
      </c>
    </row>
    <row r="831" spans="1:15" s="30" customFormat="1">
      <c r="A831" s="13" t="s">
        <v>109</v>
      </c>
      <c r="B831" s="25" t="s">
        <v>62</v>
      </c>
      <c r="C831" s="26" t="s">
        <v>14</v>
      </c>
      <c r="D831" s="26" t="s">
        <v>53</v>
      </c>
      <c r="E831" s="26" t="s">
        <v>395</v>
      </c>
      <c r="F831" s="26" t="s">
        <v>134</v>
      </c>
      <c r="G831" s="119">
        <f>G832</f>
        <v>15323.16</v>
      </c>
      <c r="H831" s="119">
        <f t="shared" ref="H831:I831" si="361">H832</f>
        <v>15323.16</v>
      </c>
      <c r="I831" s="119">
        <f t="shared" si="361"/>
        <v>15323.16</v>
      </c>
      <c r="J831" s="119">
        <f>15323.16</f>
        <v>15323.16</v>
      </c>
      <c r="K831" s="16">
        <f t="shared" si="334"/>
        <v>0</v>
      </c>
      <c r="L831" s="119">
        <f t="shared" ref="H831:N832" si="362">15323.16</f>
        <v>15323.16</v>
      </c>
      <c r="M831" s="16">
        <f t="shared" si="335"/>
        <v>0</v>
      </c>
      <c r="N831" s="119">
        <f t="shared" si="362"/>
        <v>15323.16</v>
      </c>
      <c r="O831" s="16">
        <f t="shared" si="336"/>
        <v>0</v>
      </c>
    </row>
    <row r="832" spans="1:15" s="83" customFormat="1" ht="25.5">
      <c r="A832" s="12" t="s">
        <v>978</v>
      </c>
      <c r="B832" s="25" t="s">
        <v>62</v>
      </c>
      <c r="C832" s="26" t="s">
        <v>14</v>
      </c>
      <c r="D832" s="26" t="s">
        <v>53</v>
      </c>
      <c r="E832" s="26" t="s">
        <v>395</v>
      </c>
      <c r="F832" s="26" t="s">
        <v>1064</v>
      </c>
      <c r="G832" s="119">
        <f>15323.16</f>
        <v>15323.16</v>
      </c>
      <c r="H832" s="119">
        <f t="shared" si="362"/>
        <v>15323.16</v>
      </c>
      <c r="I832" s="119">
        <f t="shared" si="362"/>
        <v>15323.16</v>
      </c>
      <c r="J832" s="124"/>
      <c r="K832" s="16">
        <f t="shared" si="334"/>
        <v>-15323.16</v>
      </c>
      <c r="L832" s="124"/>
      <c r="M832" s="16">
        <f t="shared" si="335"/>
        <v>-15323.16</v>
      </c>
      <c r="N832" s="124"/>
      <c r="O832" s="16">
        <f t="shared" si="336"/>
        <v>-15323.16</v>
      </c>
    </row>
    <row r="833" spans="1:15" s="30" customFormat="1" ht="25.5">
      <c r="A833" s="31" t="s">
        <v>396</v>
      </c>
      <c r="B833" s="25" t="s">
        <v>62</v>
      </c>
      <c r="C833" s="26" t="s">
        <v>14</v>
      </c>
      <c r="D833" s="26" t="s">
        <v>53</v>
      </c>
      <c r="E833" s="26" t="s">
        <v>397</v>
      </c>
      <c r="F833" s="26" t="s">
        <v>58</v>
      </c>
      <c r="G833" s="119">
        <f>G834+G837+G839</f>
        <v>340047.6</v>
      </c>
      <c r="H833" s="119">
        <f>H834+H837+H839</f>
        <v>340355.02</v>
      </c>
      <c r="I833" s="119">
        <f>I834+I837+I839</f>
        <v>340145.82</v>
      </c>
      <c r="J833" s="119">
        <f>J834+J837+J839</f>
        <v>340047.6</v>
      </c>
      <c r="K833" s="16">
        <f t="shared" si="334"/>
        <v>0</v>
      </c>
      <c r="L833" s="119">
        <f>L834+L837+L839</f>
        <v>340355.02</v>
      </c>
      <c r="M833" s="16">
        <f t="shared" si="335"/>
        <v>0</v>
      </c>
      <c r="N833" s="119">
        <f>N834+N837+N839</f>
        <v>340145.82</v>
      </c>
      <c r="O833" s="16">
        <f t="shared" si="336"/>
        <v>0</v>
      </c>
    </row>
    <row r="834" spans="1:15" s="30" customFormat="1" ht="25.5">
      <c r="A834" s="12" t="s">
        <v>107</v>
      </c>
      <c r="B834" s="25" t="s">
        <v>62</v>
      </c>
      <c r="C834" s="26" t="s">
        <v>14</v>
      </c>
      <c r="D834" s="26" t="s">
        <v>53</v>
      </c>
      <c r="E834" s="26" t="s">
        <v>397</v>
      </c>
      <c r="F834" s="26" t="s">
        <v>115</v>
      </c>
      <c r="G834" s="119">
        <f>SUM(G835:G836)</f>
        <v>1654.9</v>
      </c>
      <c r="H834" s="119">
        <f t="shared" ref="H834:I834" si="363">SUM(H835:H836)</f>
        <v>1654.9</v>
      </c>
      <c r="I834" s="119">
        <f t="shared" si="363"/>
        <v>1654.9</v>
      </c>
      <c r="J834" s="119">
        <f>1300+354.9</f>
        <v>1654.9</v>
      </c>
      <c r="K834" s="16">
        <f t="shared" si="334"/>
        <v>0</v>
      </c>
      <c r="L834" s="119">
        <f t="shared" ref="L834:N834" si="364">1300+354.9</f>
        <v>1654.9</v>
      </c>
      <c r="M834" s="16">
        <f t="shared" si="335"/>
        <v>0</v>
      </c>
      <c r="N834" s="119">
        <f t="shared" si="364"/>
        <v>1654.9</v>
      </c>
      <c r="O834" s="16">
        <f t="shared" si="336"/>
        <v>0</v>
      </c>
    </row>
    <row r="835" spans="1:15" s="83" customFormat="1">
      <c r="A835" s="12" t="s">
        <v>936</v>
      </c>
      <c r="B835" s="25" t="s">
        <v>62</v>
      </c>
      <c r="C835" s="26" t="s">
        <v>14</v>
      </c>
      <c r="D835" s="26" t="s">
        <v>53</v>
      </c>
      <c r="E835" s="26" t="s">
        <v>397</v>
      </c>
      <c r="F835" s="26" t="s">
        <v>1063</v>
      </c>
      <c r="G835" s="119">
        <v>1300</v>
      </c>
      <c r="H835" s="119">
        <v>1300</v>
      </c>
      <c r="I835" s="119">
        <v>1300</v>
      </c>
      <c r="J835" s="124"/>
      <c r="K835" s="16">
        <f t="shared" ref="K835:K898" si="365">J835-G835</f>
        <v>-1300</v>
      </c>
      <c r="L835" s="124"/>
      <c r="M835" s="16">
        <f t="shared" ref="M835:M898" si="366">L835-H835</f>
        <v>-1300</v>
      </c>
      <c r="N835" s="124"/>
      <c r="O835" s="16">
        <f t="shared" ref="O835:O898" si="367">N835-I835</f>
        <v>-1300</v>
      </c>
    </row>
    <row r="836" spans="1:15" s="83" customFormat="1" ht="38.25">
      <c r="A836" s="12" t="s">
        <v>939</v>
      </c>
      <c r="B836" s="25" t="s">
        <v>62</v>
      </c>
      <c r="C836" s="26" t="s">
        <v>14</v>
      </c>
      <c r="D836" s="26" t="s">
        <v>53</v>
      </c>
      <c r="E836" s="26" t="s">
        <v>397</v>
      </c>
      <c r="F836" s="26" t="s">
        <v>1060</v>
      </c>
      <c r="G836" s="119">
        <v>354.9</v>
      </c>
      <c r="H836" s="119">
        <v>354.9</v>
      </c>
      <c r="I836" s="119">
        <v>354.9</v>
      </c>
      <c r="J836" s="124"/>
      <c r="K836" s="16">
        <f t="shared" si="365"/>
        <v>-354.9</v>
      </c>
      <c r="L836" s="124"/>
      <c r="M836" s="16">
        <f t="shared" si="366"/>
        <v>-354.9</v>
      </c>
      <c r="N836" s="124"/>
      <c r="O836" s="16">
        <f t="shared" si="367"/>
        <v>-354.9</v>
      </c>
    </row>
    <row r="837" spans="1:15" s="30" customFormat="1" ht="25.5">
      <c r="A837" s="11" t="s">
        <v>108</v>
      </c>
      <c r="B837" s="25" t="s">
        <v>62</v>
      </c>
      <c r="C837" s="26" t="s">
        <v>14</v>
      </c>
      <c r="D837" s="26" t="s">
        <v>53</v>
      </c>
      <c r="E837" s="26" t="s">
        <v>397</v>
      </c>
      <c r="F837" s="26" t="s">
        <v>116</v>
      </c>
      <c r="G837" s="119">
        <f>G838</f>
        <v>3369.7</v>
      </c>
      <c r="H837" s="119">
        <f t="shared" ref="H837:I837" si="368">H838</f>
        <v>3374.92</v>
      </c>
      <c r="I837" s="119">
        <f t="shared" si="368"/>
        <v>3371.9</v>
      </c>
      <c r="J837" s="119">
        <f>3369.7</f>
        <v>3369.7</v>
      </c>
      <c r="K837" s="16">
        <f t="shared" si="365"/>
        <v>0</v>
      </c>
      <c r="L837" s="119">
        <f>3374.92</f>
        <v>3374.92</v>
      </c>
      <c r="M837" s="16">
        <f t="shared" si="366"/>
        <v>0</v>
      </c>
      <c r="N837" s="119">
        <f>3371.9</f>
        <v>3371.9</v>
      </c>
      <c r="O837" s="16">
        <f t="shared" si="367"/>
        <v>0</v>
      </c>
    </row>
    <row r="838" spans="1:15" s="83" customFormat="1" ht="25.5">
      <c r="A838" s="12" t="s">
        <v>973</v>
      </c>
      <c r="B838" s="25" t="s">
        <v>62</v>
      </c>
      <c r="C838" s="26" t="s">
        <v>14</v>
      </c>
      <c r="D838" s="26" t="s">
        <v>53</v>
      </c>
      <c r="E838" s="26" t="s">
        <v>397</v>
      </c>
      <c r="F838" s="26" t="s">
        <v>1043</v>
      </c>
      <c r="G838" s="119">
        <f>3369.7</f>
        <v>3369.7</v>
      </c>
      <c r="H838" s="119">
        <f>3374.92</f>
        <v>3374.92</v>
      </c>
      <c r="I838" s="119">
        <f>3371.9</f>
        <v>3371.9</v>
      </c>
      <c r="J838" s="124"/>
      <c r="K838" s="16">
        <f t="shared" si="365"/>
        <v>-3369.7</v>
      </c>
      <c r="L838" s="124"/>
      <c r="M838" s="16">
        <f t="shared" si="366"/>
        <v>-3374.92</v>
      </c>
      <c r="N838" s="124"/>
      <c r="O838" s="16">
        <f t="shared" si="367"/>
        <v>-3371.9</v>
      </c>
    </row>
    <row r="839" spans="1:15" s="30" customFormat="1">
      <c r="A839" s="13" t="s">
        <v>109</v>
      </c>
      <c r="B839" s="25" t="s">
        <v>62</v>
      </c>
      <c r="C839" s="26" t="s">
        <v>14</v>
      </c>
      <c r="D839" s="26" t="s">
        <v>53</v>
      </c>
      <c r="E839" s="26" t="s">
        <v>397</v>
      </c>
      <c r="F839" s="26" t="s">
        <v>134</v>
      </c>
      <c r="G839" s="119">
        <f>G840</f>
        <v>335023</v>
      </c>
      <c r="H839" s="119">
        <f t="shared" ref="H839:I839" si="369">H840</f>
        <v>335325.2</v>
      </c>
      <c r="I839" s="119">
        <f t="shared" si="369"/>
        <v>335119.02</v>
      </c>
      <c r="J839" s="119">
        <f>335023</f>
        <v>335023</v>
      </c>
      <c r="K839" s="16">
        <f t="shared" si="365"/>
        <v>0</v>
      </c>
      <c r="L839" s="119">
        <f>335325.2</f>
        <v>335325.2</v>
      </c>
      <c r="M839" s="16">
        <f t="shared" si="366"/>
        <v>0</v>
      </c>
      <c r="N839" s="119">
        <f>335119.02</f>
        <v>335119.02</v>
      </c>
      <c r="O839" s="16">
        <f t="shared" si="367"/>
        <v>0</v>
      </c>
    </row>
    <row r="840" spans="1:15" s="83" customFormat="1" ht="25.5">
      <c r="A840" s="12" t="s">
        <v>978</v>
      </c>
      <c r="B840" s="25" t="s">
        <v>62</v>
      </c>
      <c r="C840" s="26" t="s">
        <v>14</v>
      </c>
      <c r="D840" s="26" t="s">
        <v>53</v>
      </c>
      <c r="E840" s="26" t="s">
        <v>397</v>
      </c>
      <c r="F840" s="26" t="s">
        <v>1064</v>
      </c>
      <c r="G840" s="119">
        <f>335023</f>
        <v>335023</v>
      </c>
      <c r="H840" s="119">
        <f>335325.2</f>
        <v>335325.2</v>
      </c>
      <c r="I840" s="119">
        <f>335119.02</f>
        <v>335119.02</v>
      </c>
      <c r="J840" s="124"/>
      <c r="K840" s="16">
        <f t="shared" si="365"/>
        <v>-335023</v>
      </c>
      <c r="L840" s="124"/>
      <c r="M840" s="16">
        <f t="shared" si="366"/>
        <v>-335325.2</v>
      </c>
      <c r="N840" s="124"/>
      <c r="O840" s="16">
        <f t="shared" si="367"/>
        <v>-335119.02</v>
      </c>
    </row>
    <row r="841" spans="1:15" s="30" customFormat="1" ht="114.75">
      <c r="A841" s="162" t="s">
        <v>887</v>
      </c>
      <c r="B841" s="25" t="s">
        <v>62</v>
      </c>
      <c r="C841" s="26" t="s">
        <v>14</v>
      </c>
      <c r="D841" s="26" t="s">
        <v>53</v>
      </c>
      <c r="E841" s="26" t="s">
        <v>398</v>
      </c>
      <c r="F841" s="26" t="s">
        <v>58</v>
      </c>
      <c r="G841" s="119">
        <f>G842+G844</f>
        <v>120.1</v>
      </c>
      <c r="H841" s="119">
        <f>H842+H844</f>
        <v>120</v>
      </c>
      <c r="I841" s="119">
        <f>I842+I844</f>
        <v>120</v>
      </c>
      <c r="J841" s="119">
        <f>J842+J844</f>
        <v>120.1</v>
      </c>
      <c r="K841" s="16">
        <f t="shared" si="365"/>
        <v>0</v>
      </c>
      <c r="L841" s="119">
        <f>L842+L844</f>
        <v>120</v>
      </c>
      <c r="M841" s="16">
        <f t="shared" si="366"/>
        <v>0</v>
      </c>
      <c r="N841" s="119">
        <f>N842+N844</f>
        <v>120</v>
      </c>
      <c r="O841" s="16">
        <f t="shared" si="367"/>
        <v>0</v>
      </c>
    </row>
    <row r="842" spans="1:15" s="30" customFormat="1" ht="25.5">
      <c r="A842" s="11" t="s">
        <v>108</v>
      </c>
      <c r="B842" s="25" t="s">
        <v>62</v>
      </c>
      <c r="C842" s="26" t="s">
        <v>14</v>
      </c>
      <c r="D842" s="26" t="s">
        <v>53</v>
      </c>
      <c r="E842" s="26" t="s">
        <v>398</v>
      </c>
      <c r="F842" s="26" t="s">
        <v>116</v>
      </c>
      <c r="G842" s="119">
        <f>G843</f>
        <v>1.6</v>
      </c>
      <c r="H842" s="119">
        <f t="shared" ref="H842:I842" si="370">H843</f>
        <v>1.59</v>
      </c>
      <c r="I842" s="119">
        <f t="shared" si="370"/>
        <v>1.59</v>
      </c>
      <c r="J842" s="119">
        <f>1.6</f>
        <v>1.6</v>
      </c>
      <c r="K842" s="16">
        <f t="shared" si="365"/>
        <v>0</v>
      </c>
      <c r="L842" s="119">
        <f>1.59</f>
        <v>1.59</v>
      </c>
      <c r="M842" s="16">
        <f t="shared" si="366"/>
        <v>0</v>
      </c>
      <c r="N842" s="119">
        <f>1.59</f>
        <v>1.59</v>
      </c>
      <c r="O842" s="16">
        <f t="shared" si="367"/>
        <v>0</v>
      </c>
    </row>
    <row r="843" spans="1:15" s="83" customFormat="1" ht="25.5">
      <c r="A843" s="12" t="s">
        <v>973</v>
      </c>
      <c r="B843" s="25" t="s">
        <v>62</v>
      </c>
      <c r="C843" s="26" t="s">
        <v>14</v>
      </c>
      <c r="D843" s="26" t="s">
        <v>53</v>
      </c>
      <c r="E843" s="26" t="s">
        <v>398</v>
      </c>
      <c r="F843" s="26" t="s">
        <v>1043</v>
      </c>
      <c r="G843" s="119">
        <f>1.6</f>
        <v>1.6</v>
      </c>
      <c r="H843" s="119">
        <f>1.59</f>
        <v>1.59</v>
      </c>
      <c r="I843" s="119">
        <f>1.59</f>
        <v>1.59</v>
      </c>
      <c r="J843" s="124"/>
      <c r="K843" s="16">
        <f t="shared" si="365"/>
        <v>-1.6</v>
      </c>
      <c r="L843" s="124"/>
      <c r="M843" s="16">
        <f t="shared" si="366"/>
        <v>-1.59</v>
      </c>
      <c r="N843" s="124"/>
      <c r="O843" s="16">
        <f t="shared" si="367"/>
        <v>-1.59</v>
      </c>
    </row>
    <row r="844" spans="1:15" s="30" customFormat="1">
      <c r="A844" s="13" t="s">
        <v>109</v>
      </c>
      <c r="B844" s="25" t="s">
        <v>62</v>
      </c>
      <c r="C844" s="26" t="s">
        <v>14</v>
      </c>
      <c r="D844" s="26" t="s">
        <v>53</v>
      </c>
      <c r="E844" s="26" t="s">
        <v>398</v>
      </c>
      <c r="F844" s="26" t="s">
        <v>134</v>
      </c>
      <c r="G844" s="119">
        <f>G845</f>
        <v>118.5</v>
      </c>
      <c r="H844" s="119">
        <f t="shared" ref="H844:I844" si="371">H845</f>
        <v>118.41</v>
      </c>
      <c r="I844" s="119">
        <f t="shared" si="371"/>
        <v>118.41</v>
      </c>
      <c r="J844" s="119">
        <f>118.5</f>
        <v>118.5</v>
      </c>
      <c r="K844" s="16">
        <f t="shared" si="365"/>
        <v>0</v>
      </c>
      <c r="L844" s="119">
        <f>118.41</f>
        <v>118.41</v>
      </c>
      <c r="M844" s="16">
        <f t="shared" si="366"/>
        <v>0</v>
      </c>
      <c r="N844" s="119">
        <f>118.41</f>
        <v>118.41</v>
      </c>
      <c r="O844" s="16">
        <f t="shared" si="367"/>
        <v>0</v>
      </c>
    </row>
    <row r="845" spans="1:15" s="83" customFormat="1" ht="25.5">
      <c r="A845" s="12" t="s">
        <v>978</v>
      </c>
      <c r="B845" s="25" t="s">
        <v>62</v>
      </c>
      <c r="C845" s="26" t="s">
        <v>14</v>
      </c>
      <c r="D845" s="26" t="s">
        <v>53</v>
      </c>
      <c r="E845" s="26" t="s">
        <v>398</v>
      </c>
      <c r="F845" s="26" t="s">
        <v>1064</v>
      </c>
      <c r="G845" s="119">
        <f>118.5</f>
        <v>118.5</v>
      </c>
      <c r="H845" s="119">
        <f>118.41</f>
        <v>118.41</v>
      </c>
      <c r="I845" s="119">
        <f>118.41</f>
        <v>118.41</v>
      </c>
      <c r="J845" s="124"/>
      <c r="K845" s="16">
        <f t="shared" si="365"/>
        <v>-118.5</v>
      </c>
      <c r="L845" s="124"/>
      <c r="M845" s="16">
        <f t="shared" si="366"/>
        <v>-118.41</v>
      </c>
      <c r="N845" s="124"/>
      <c r="O845" s="16">
        <f t="shared" si="367"/>
        <v>-118.41</v>
      </c>
    </row>
    <row r="846" spans="1:15" s="30" customFormat="1" ht="25.5">
      <c r="A846" s="32" t="s">
        <v>401</v>
      </c>
      <c r="B846" s="25" t="s">
        <v>62</v>
      </c>
      <c r="C846" s="26" t="s">
        <v>14</v>
      </c>
      <c r="D846" s="26" t="s">
        <v>53</v>
      </c>
      <c r="E846" s="26" t="s">
        <v>402</v>
      </c>
      <c r="F846" s="26" t="s">
        <v>58</v>
      </c>
      <c r="G846" s="119">
        <f>G847</f>
        <v>7891.75</v>
      </c>
      <c r="H846" s="119">
        <f>H847</f>
        <v>7891.75</v>
      </c>
      <c r="I846" s="119">
        <f>I847</f>
        <v>7891.75</v>
      </c>
      <c r="J846" s="119">
        <f>J847</f>
        <v>7891.75</v>
      </c>
      <c r="K846" s="16">
        <f t="shared" si="365"/>
        <v>0</v>
      </c>
      <c r="L846" s="119">
        <f>L847</f>
        <v>7891.75</v>
      </c>
      <c r="M846" s="16">
        <f t="shared" si="366"/>
        <v>0</v>
      </c>
      <c r="N846" s="119">
        <f>N847</f>
        <v>7891.75</v>
      </c>
      <c r="O846" s="16">
        <f t="shared" si="367"/>
        <v>0</v>
      </c>
    </row>
    <row r="847" spans="1:15" s="30" customFormat="1">
      <c r="A847" s="13" t="s">
        <v>109</v>
      </c>
      <c r="B847" s="25" t="s">
        <v>62</v>
      </c>
      <c r="C847" s="26" t="s">
        <v>14</v>
      </c>
      <c r="D847" s="26" t="s">
        <v>53</v>
      </c>
      <c r="E847" s="26" t="s">
        <v>402</v>
      </c>
      <c r="F847" s="26" t="s">
        <v>134</v>
      </c>
      <c r="G847" s="119">
        <f>G848</f>
        <v>7891.75</v>
      </c>
      <c r="H847" s="119">
        <f t="shared" ref="H847:I847" si="372">H848</f>
        <v>7891.75</v>
      </c>
      <c r="I847" s="119">
        <f t="shared" si="372"/>
        <v>7891.75</v>
      </c>
      <c r="J847" s="119">
        <f>7891.75</f>
        <v>7891.75</v>
      </c>
      <c r="K847" s="16">
        <f t="shared" si="365"/>
        <v>0</v>
      </c>
      <c r="L847" s="119">
        <f t="shared" ref="H847:N848" si="373">7891.75</f>
        <v>7891.75</v>
      </c>
      <c r="M847" s="16">
        <f t="shared" si="366"/>
        <v>0</v>
      </c>
      <c r="N847" s="119">
        <f t="shared" si="373"/>
        <v>7891.75</v>
      </c>
      <c r="O847" s="16">
        <f t="shared" si="367"/>
        <v>0</v>
      </c>
    </row>
    <row r="848" spans="1:15" s="83" customFormat="1" ht="25.5">
      <c r="A848" s="12" t="s">
        <v>978</v>
      </c>
      <c r="B848" s="25" t="s">
        <v>62</v>
      </c>
      <c r="C848" s="26" t="s">
        <v>14</v>
      </c>
      <c r="D848" s="26" t="s">
        <v>53</v>
      </c>
      <c r="E848" s="26" t="s">
        <v>402</v>
      </c>
      <c r="F848" s="26" t="s">
        <v>1064</v>
      </c>
      <c r="G848" s="119">
        <f>7891.75</f>
        <v>7891.75</v>
      </c>
      <c r="H848" s="119">
        <f t="shared" si="373"/>
        <v>7891.75</v>
      </c>
      <c r="I848" s="119">
        <f t="shared" si="373"/>
        <v>7891.75</v>
      </c>
      <c r="J848" s="124"/>
      <c r="K848" s="16">
        <f t="shared" si="365"/>
        <v>-7891.75</v>
      </c>
      <c r="L848" s="124"/>
      <c r="M848" s="16">
        <f t="shared" si="366"/>
        <v>-7891.75</v>
      </c>
      <c r="N848" s="124"/>
      <c r="O848" s="16">
        <f t="shared" si="367"/>
        <v>-7891.75</v>
      </c>
    </row>
    <row r="849" spans="1:15" s="30" customFormat="1" ht="76.5">
      <c r="A849" s="32" t="s">
        <v>668</v>
      </c>
      <c r="B849" s="25" t="s">
        <v>62</v>
      </c>
      <c r="C849" s="26" t="s">
        <v>14</v>
      </c>
      <c r="D849" s="26" t="s">
        <v>53</v>
      </c>
      <c r="E849" s="26" t="s">
        <v>792</v>
      </c>
      <c r="F849" s="26" t="s">
        <v>58</v>
      </c>
      <c r="G849" s="119">
        <f>G850+G852</f>
        <v>346850.34</v>
      </c>
      <c r="H849" s="119">
        <f t="shared" ref="H849:I849" si="374">H850+H852</f>
        <v>301865.38</v>
      </c>
      <c r="I849" s="119">
        <f t="shared" si="374"/>
        <v>350298.34</v>
      </c>
      <c r="J849" s="119">
        <f>SUM(J850:J852)</f>
        <v>346850.34</v>
      </c>
      <c r="K849" s="16">
        <f t="shared" si="365"/>
        <v>0</v>
      </c>
      <c r="L849" s="119">
        <f t="shared" ref="L849:N849" si="375">SUM(L850:L852)</f>
        <v>301865.38</v>
      </c>
      <c r="M849" s="16">
        <f t="shared" si="366"/>
        <v>0</v>
      </c>
      <c r="N849" s="119">
        <f t="shared" si="375"/>
        <v>350298.34</v>
      </c>
      <c r="O849" s="16">
        <f t="shared" si="367"/>
        <v>0</v>
      </c>
    </row>
    <row r="850" spans="1:15" s="30" customFormat="1" ht="25.5">
      <c r="A850" s="11" t="s">
        <v>108</v>
      </c>
      <c r="B850" s="25" t="s">
        <v>62</v>
      </c>
      <c r="C850" s="26" t="s">
        <v>14</v>
      </c>
      <c r="D850" s="26" t="s">
        <v>53</v>
      </c>
      <c r="E850" s="26" t="s">
        <v>792</v>
      </c>
      <c r="F850" s="26" t="s">
        <v>116</v>
      </c>
      <c r="G850" s="119">
        <f>G851</f>
        <v>5250</v>
      </c>
      <c r="H850" s="119">
        <f t="shared" ref="H850:I850" si="376">H851</f>
        <v>4594</v>
      </c>
      <c r="I850" s="119">
        <f t="shared" si="376"/>
        <v>5332</v>
      </c>
      <c r="J850" s="119">
        <f>5250</f>
        <v>5250</v>
      </c>
      <c r="K850" s="16">
        <f t="shared" si="365"/>
        <v>0</v>
      </c>
      <c r="L850" s="119">
        <f>4594</f>
        <v>4594</v>
      </c>
      <c r="M850" s="16">
        <f t="shared" si="366"/>
        <v>0</v>
      </c>
      <c r="N850" s="119">
        <f>5332</f>
        <v>5332</v>
      </c>
      <c r="O850" s="16">
        <f t="shared" si="367"/>
        <v>0</v>
      </c>
    </row>
    <row r="851" spans="1:15" s="83" customFormat="1" ht="25.5">
      <c r="A851" s="12" t="s">
        <v>973</v>
      </c>
      <c r="B851" s="25" t="s">
        <v>62</v>
      </c>
      <c r="C851" s="26" t="s">
        <v>14</v>
      </c>
      <c r="D851" s="26" t="s">
        <v>53</v>
      </c>
      <c r="E851" s="26" t="s">
        <v>792</v>
      </c>
      <c r="F851" s="26" t="s">
        <v>1043</v>
      </c>
      <c r="G851" s="119">
        <f>5250</f>
        <v>5250</v>
      </c>
      <c r="H851" s="119">
        <f>4594</f>
        <v>4594</v>
      </c>
      <c r="I851" s="119">
        <f>5332</f>
        <v>5332</v>
      </c>
      <c r="J851" s="124"/>
      <c r="K851" s="16">
        <f t="shared" si="365"/>
        <v>-5250</v>
      </c>
      <c r="L851" s="124"/>
      <c r="M851" s="16">
        <f t="shared" si="366"/>
        <v>-4594</v>
      </c>
      <c r="N851" s="124"/>
      <c r="O851" s="16">
        <f t="shared" si="367"/>
        <v>-5332</v>
      </c>
    </row>
    <row r="852" spans="1:15" s="30" customFormat="1">
      <c r="A852" s="13" t="s">
        <v>109</v>
      </c>
      <c r="B852" s="25" t="s">
        <v>62</v>
      </c>
      <c r="C852" s="26" t="s">
        <v>14</v>
      </c>
      <c r="D852" s="26" t="s">
        <v>53</v>
      </c>
      <c r="E852" s="26" t="s">
        <v>792</v>
      </c>
      <c r="F852" s="26" t="s">
        <v>134</v>
      </c>
      <c r="G852" s="119">
        <f>G853</f>
        <v>341600.34</v>
      </c>
      <c r="H852" s="119">
        <f t="shared" ref="H852:I852" si="377">H853</f>
        <v>297271.38</v>
      </c>
      <c r="I852" s="119">
        <f t="shared" si="377"/>
        <v>344966.34</v>
      </c>
      <c r="J852" s="119">
        <f>341600.34</f>
        <v>341600.34</v>
      </c>
      <c r="K852" s="16">
        <f t="shared" si="365"/>
        <v>0</v>
      </c>
      <c r="L852" s="119">
        <f>297271.38</f>
        <v>297271.38</v>
      </c>
      <c r="M852" s="16">
        <f t="shared" si="366"/>
        <v>0</v>
      </c>
      <c r="N852" s="119">
        <f>344966.34</f>
        <v>344966.34</v>
      </c>
      <c r="O852" s="16">
        <f t="shared" si="367"/>
        <v>0</v>
      </c>
    </row>
    <row r="853" spans="1:15" s="83" customFormat="1" ht="25.5">
      <c r="A853" s="12" t="s">
        <v>978</v>
      </c>
      <c r="B853" s="25" t="s">
        <v>62</v>
      </c>
      <c r="C853" s="26" t="s">
        <v>14</v>
      </c>
      <c r="D853" s="26" t="s">
        <v>53</v>
      </c>
      <c r="E853" s="26" t="s">
        <v>792</v>
      </c>
      <c r="F853" s="26" t="s">
        <v>1064</v>
      </c>
      <c r="G853" s="119">
        <f>341600.34</f>
        <v>341600.34</v>
      </c>
      <c r="H853" s="119">
        <f>297271.38</f>
        <v>297271.38</v>
      </c>
      <c r="I853" s="119">
        <f>344966.34</f>
        <v>344966.34</v>
      </c>
      <c r="J853" s="124"/>
      <c r="K853" s="16">
        <f t="shared" si="365"/>
        <v>-341600.34</v>
      </c>
      <c r="L853" s="124"/>
      <c r="M853" s="16">
        <f t="shared" si="366"/>
        <v>-297271.38</v>
      </c>
      <c r="N853" s="124"/>
      <c r="O853" s="16">
        <f t="shared" si="367"/>
        <v>-344966.34</v>
      </c>
    </row>
    <row r="854" spans="1:15" s="30" customFormat="1" ht="38.25">
      <c r="A854" s="13" t="s">
        <v>399</v>
      </c>
      <c r="B854" s="25" t="s">
        <v>62</v>
      </c>
      <c r="C854" s="26" t="s">
        <v>14</v>
      </c>
      <c r="D854" s="26" t="s">
        <v>53</v>
      </c>
      <c r="E854" s="26" t="s">
        <v>793</v>
      </c>
      <c r="F854" s="26" t="s">
        <v>58</v>
      </c>
      <c r="G854" s="119">
        <f>G855+G857</f>
        <v>253068.12</v>
      </c>
      <c r="H854" s="119">
        <f t="shared" ref="H854:I854" si="378">H855+H857</f>
        <v>209812.87</v>
      </c>
      <c r="I854" s="119">
        <f t="shared" si="378"/>
        <v>246535.94</v>
      </c>
      <c r="J854" s="119">
        <f>SUM(J855:J857)</f>
        <v>253068.12</v>
      </c>
      <c r="K854" s="16">
        <f t="shared" si="365"/>
        <v>0</v>
      </c>
      <c r="L854" s="119">
        <f t="shared" ref="L854:N854" si="379">SUM(L855:L857)</f>
        <v>209812.87</v>
      </c>
      <c r="M854" s="16">
        <f t="shared" si="366"/>
        <v>0</v>
      </c>
      <c r="N854" s="119">
        <f t="shared" si="379"/>
        <v>246535.94</v>
      </c>
      <c r="O854" s="16">
        <f t="shared" si="367"/>
        <v>0</v>
      </c>
    </row>
    <row r="855" spans="1:15" s="30" customFormat="1" ht="25.5">
      <c r="A855" s="13" t="s">
        <v>108</v>
      </c>
      <c r="B855" s="25" t="s">
        <v>62</v>
      </c>
      <c r="C855" s="26" t="s">
        <v>14</v>
      </c>
      <c r="D855" s="26" t="s">
        <v>53</v>
      </c>
      <c r="E855" s="26" t="s">
        <v>793</v>
      </c>
      <c r="F855" s="26" t="s">
        <v>116</v>
      </c>
      <c r="G855" s="119">
        <f>G856</f>
        <v>3480</v>
      </c>
      <c r="H855" s="119">
        <f t="shared" ref="H855:I855" si="380">H856</f>
        <v>2885</v>
      </c>
      <c r="I855" s="119">
        <f t="shared" si="380"/>
        <v>3390</v>
      </c>
      <c r="J855" s="119">
        <f>3480</f>
        <v>3480</v>
      </c>
      <c r="K855" s="16">
        <f t="shared" si="365"/>
        <v>0</v>
      </c>
      <c r="L855" s="119">
        <f>2885</f>
        <v>2885</v>
      </c>
      <c r="M855" s="16">
        <f t="shared" si="366"/>
        <v>0</v>
      </c>
      <c r="N855" s="119">
        <f>3390</f>
        <v>3390</v>
      </c>
      <c r="O855" s="16">
        <f t="shared" si="367"/>
        <v>0</v>
      </c>
    </row>
    <row r="856" spans="1:15" s="83" customFormat="1" ht="25.5">
      <c r="A856" s="12" t="s">
        <v>973</v>
      </c>
      <c r="B856" s="25" t="s">
        <v>62</v>
      </c>
      <c r="C856" s="26" t="s">
        <v>14</v>
      </c>
      <c r="D856" s="26" t="s">
        <v>53</v>
      </c>
      <c r="E856" s="26" t="s">
        <v>793</v>
      </c>
      <c r="F856" s="26" t="s">
        <v>1043</v>
      </c>
      <c r="G856" s="119">
        <f>3480</f>
        <v>3480</v>
      </c>
      <c r="H856" s="119">
        <f>2885</f>
        <v>2885</v>
      </c>
      <c r="I856" s="119">
        <f>3390</f>
        <v>3390</v>
      </c>
      <c r="J856" s="124"/>
      <c r="K856" s="16">
        <f t="shared" si="365"/>
        <v>-3480</v>
      </c>
      <c r="L856" s="124"/>
      <c r="M856" s="16">
        <f t="shared" si="366"/>
        <v>-2885</v>
      </c>
      <c r="N856" s="124"/>
      <c r="O856" s="16">
        <f t="shared" si="367"/>
        <v>-3390</v>
      </c>
    </row>
    <row r="857" spans="1:15" s="30" customFormat="1">
      <c r="A857" s="13" t="s">
        <v>109</v>
      </c>
      <c r="B857" s="25" t="s">
        <v>62</v>
      </c>
      <c r="C857" s="26" t="s">
        <v>14</v>
      </c>
      <c r="D857" s="26" t="s">
        <v>53</v>
      </c>
      <c r="E857" s="26" t="s">
        <v>793</v>
      </c>
      <c r="F857" s="26" t="s">
        <v>134</v>
      </c>
      <c r="G857" s="119">
        <f>G858</f>
        <v>249588.12</v>
      </c>
      <c r="H857" s="119">
        <f t="shared" ref="H857:I857" si="381">H858</f>
        <v>206927.87</v>
      </c>
      <c r="I857" s="119">
        <f t="shared" si="381"/>
        <v>243145.94</v>
      </c>
      <c r="J857" s="119">
        <f>249588.12</f>
        <v>249588.12</v>
      </c>
      <c r="K857" s="16">
        <f t="shared" si="365"/>
        <v>0</v>
      </c>
      <c r="L857" s="119">
        <f>206927.87</f>
        <v>206927.87</v>
      </c>
      <c r="M857" s="16">
        <f t="shared" si="366"/>
        <v>0</v>
      </c>
      <c r="N857" s="119">
        <f>243145.94</f>
        <v>243145.94</v>
      </c>
      <c r="O857" s="16">
        <f t="shared" si="367"/>
        <v>0</v>
      </c>
    </row>
    <row r="858" spans="1:15" s="103" customFormat="1" ht="25.5">
      <c r="A858" s="12" t="s">
        <v>978</v>
      </c>
      <c r="B858" s="25" t="s">
        <v>62</v>
      </c>
      <c r="C858" s="26" t="s">
        <v>14</v>
      </c>
      <c r="D858" s="26" t="s">
        <v>53</v>
      </c>
      <c r="E858" s="26" t="s">
        <v>793</v>
      </c>
      <c r="F858" s="26" t="s">
        <v>1064</v>
      </c>
      <c r="G858" s="119">
        <f>249588.12</f>
        <v>249588.12</v>
      </c>
      <c r="H858" s="119">
        <f>206927.87</f>
        <v>206927.87</v>
      </c>
      <c r="I858" s="119">
        <f>243145.94</f>
        <v>243145.94</v>
      </c>
      <c r="J858" s="102"/>
      <c r="K858" s="91">
        <f t="shared" si="365"/>
        <v>-249588.12</v>
      </c>
      <c r="L858" s="102"/>
      <c r="M858" s="91">
        <f t="shared" si="366"/>
        <v>-206927.87</v>
      </c>
      <c r="N858" s="102"/>
      <c r="O858" s="91">
        <f t="shared" si="367"/>
        <v>-243145.94</v>
      </c>
    </row>
    <row r="859" spans="1:15" s="30" customFormat="1" ht="38.25">
      <c r="A859" s="32" t="s">
        <v>400</v>
      </c>
      <c r="B859" s="25" t="s">
        <v>62</v>
      </c>
      <c r="C859" s="26" t="s">
        <v>14</v>
      </c>
      <c r="D859" s="26" t="s">
        <v>53</v>
      </c>
      <c r="E859" s="26" t="s">
        <v>794</v>
      </c>
      <c r="F859" s="26" t="s">
        <v>58</v>
      </c>
      <c r="G859" s="119">
        <f>G860+G862</f>
        <v>5936.84</v>
      </c>
      <c r="H859" s="119">
        <f t="shared" ref="H859:I859" si="382">H860+H862</f>
        <v>5754.9299999999994</v>
      </c>
      <c r="I859" s="119">
        <f t="shared" si="382"/>
        <v>5589.55</v>
      </c>
      <c r="J859" s="119">
        <f>SUM(J860:J862)</f>
        <v>5936.84</v>
      </c>
      <c r="K859" s="16">
        <f t="shared" si="365"/>
        <v>0</v>
      </c>
      <c r="L859" s="119">
        <f t="shared" ref="L859:N859" si="383">SUM(L860:L862)</f>
        <v>5754.9299999999994</v>
      </c>
      <c r="M859" s="16">
        <f t="shared" si="366"/>
        <v>0</v>
      </c>
      <c r="N859" s="119">
        <f t="shared" si="383"/>
        <v>5589.55</v>
      </c>
      <c r="O859" s="16">
        <f t="shared" si="367"/>
        <v>0</v>
      </c>
    </row>
    <row r="860" spans="1:15" s="30" customFormat="1" ht="25.5">
      <c r="A860" s="11" t="s">
        <v>108</v>
      </c>
      <c r="B860" s="25" t="s">
        <v>62</v>
      </c>
      <c r="C860" s="26" t="s">
        <v>14</v>
      </c>
      <c r="D860" s="26" t="s">
        <v>53</v>
      </c>
      <c r="E860" s="26" t="s">
        <v>794</v>
      </c>
      <c r="F860" s="26" t="s">
        <v>116</v>
      </c>
      <c r="G860" s="119">
        <f>G861</f>
        <v>92</v>
      </c>
      <c r="H860" s="119">
        <f t="shared" ref="H860:I860" si="384">H861</f>
        <v>89.2</v>
      </c>
      <c r="I860" s="119">
        <f t="shared" si="384"/>
        <v>86.64</v>
      </c>
      <c r="J860" s="119">
        <f>92</f>
        <v>92</v>
      </c>
      <c r="K860" s="16">
        <f t="shared" si="365"/>
        <v>0</v>
      </c>
      <c r="L860" s="119">
        <f>89.2</f>
        <v>89.2</v>
      </c>
      <c r="M860" s="16">
        <f t="shared" si="366"/>
        <v>0</v>
      </c>
      <c r="N860" s="119">
        <f>86.64</f>
        <v>86.64</v>
      </c>
      <c r="O860" s="16">
        <f t="shared" si="367"/>
        <v>0</v>
      </c>
    </row>
    <row r="861" spans="1:15" s="83" customFormat="1" ht="25.5">
      <c r="A861" s="12" t="s">
        <v>973</v>
      </c>
      <c r="B861" s="25" t="s">
        <v>62</v>
      </c>
      <c r="C861" s="26" t="s">
        <v>14</v>
      </c>
      <c r="D861" s="26" t="s">
        <v>53</v>
      </c>
      <c r="E861" s="26" t="s">
        <v>794</v>
      </c>
      <c r="F861" s="26" t="s">
        <v>1043</v>
      </c>
      <c r="G861" s="119">
        <f>92</f>
        <v>92</v>
      </c>
      <c r="H861" s="119">
        <f>89.2</f>
        <v>89.2</v>
      </c>
      <c r="I861" s="119">
        <f>86.64</f>
        <v>86.64</v>
      </c>
      <c r="J861" s="124"/>
      <c r="K861" s="16">
        <f t="shared" si="365"/>
        <v>-92</v>
      </c>
      <c r="L861" s="124"/>
      <c r="M861" s="16">
        <f t="shared" si="366"/>
        <v>-89.2</v>
      </c>
      <c r="N861" s="124"/>
      <c r="O861" s="16">
        <f t="shared" si="367"/>
        <v>-86.64</v>
      </c>
    </row>
    <row r="862" spans="1:15" s="30" customFormat="1">
      <c r="A862" s="13" t="s">
        <v>109</v>
      </c>
      <c r="B862" s="25" t="s">
        <v>62</v>
      </c>
      <c r="C862" s="26" t="s">
        <v>14</v>
      </c>
      <c r="D862" s="26" t="s">
        <v>53</v>
      </c>
      <c r="E862" s="26" t="s">
        <v>794</v>
      </c>
      <c r="F862" s="26" t="s">
        <v>134</v>
      </c>
      <c r="G862" s="119">
        <f>G863</f>
        <v>5844.84</v>
      </c>
      <c r="H862" s="119">
        <f t="shared" ref="H862:I862" si="385">H863</f>
        <v>5665.73</v>
      </c>
      <c r="I862" s="119">
        <f t="shared" si="385"/>
        <v>5502.91</v>
      </c>
      <c r="J862" s="119">
        <f>5844.84</f>
        <v>5844.84</v>
      </c>
      <c r="K862" s="16">
        <f t="shared" si="365"/>
        <v>0</v>
      </c>
      <c r="L862" s="119">
        <f>5665.73</f>
        <v>5665.73</v>
      </c>
      <c r="M862" s="16">
        <f t="shared" si="366"/>
        <v>0</v>
      </c>
      <c r="N862" s="119">
        <f>5502.91</f>
        <v>5502.91</v>
      </c>
      <c r="O862" s="16">
        <f t="shared" si="367"/>
        <v>0</v>
      </c>
    </row>
    <row r="863" spans="1:15" s="83" customFormat="1" ht="25.5">
      <c r="A863" s="12" t="s">
        <v>978</v>
      </c>
      <c r="B863" s="25" t="s">
        <v>62</v>
      </c>
      <c r="C863" s="26" t="s">
        <v>14</v>
      </c>
      <c r="D863" s="26" t="s">
        <v>53</v>
      </c>
      <c r="E863" s="26" t="s">
        <v>794</v>
      </c>
      <c r="F863" s="26" t="s">
        <v>1064</v>
      </c>
      <c r="G863" s="119">
        <f>5844.84</f>
        <v>5844.84</v>
      </c>
      <c r="H863" s="119">
        <f>5665.73</f>
        <v>5665.73</v>
      </c>
      <c r="I863" s="119">
        <f>5502.91</f>
        <v>5502.91</v>
      </c>
      <c r="J863" s="124"/>
      <c r="K863" s="16">
        <f t="shared" si="365"/>
        <v>-5844.84</v>
      </c>
      <c r="L863" s="124"/>
      <c r="M863" s="16">
        <f t="shared" si="366"/>
        <v>-5665.73</v>
      </c>
      <c r="N863" s="124"/>
      <c r="O863" s="16">
        <f t="shared" si="367"/>
        <v>-5502.91</v>
      </c>
    </row>
    <row r="864" spans="1:15" s="30" customFormat="1" ht="38.25">
      <c r="A864" s="32" t="s">
        <v>404</v>
      </c>
      <c r="B864" s="25" t="s">
        <v>62</v>
      </c>
      <c r="C864" s="26" t="s">
        <v>14</v>
      </c>
      <c r="D864" s="26" t="s">
        <v>53</v>
      </c>
      <c r="E864" s="26" t="s">
        <v>795</v>
      </c>
      <c r="F864" s="26" t="s">
        <v>58</v>
      </c>
      <c r="G864" s="119">
        <f>G865+G867</f>
        <v>196.88</v>
      </c>
      <c r="H864" s="119">
        <f>H865+H867</f>
        <v>196.88</v>
      </c>
      <c r="I864" s="119">
        <f>I865+I867</f>
        <v>196.88</v>
      </c>
      <c r="J864" s="119">
        <f>J865+J867</f>
        <v>196.88</v>
      </c>
      <c r="K864" s="16">
        <f t="shared" si="365"/>
        <v>0</v>
      </c>
      <c r="L864" s="119">
        <f>L865+L867</f>
        <v>196.88</v>
      </c>
      <c r="M864" s="16">
        <f t="shared" si="366"/>
        <v>0</v>
      </c>
      <c r="N864" s="119">
        <f>N865+N867</f>
        <v>196.88</v>
      </c>
      <c r="O864" s="16">
        <f t="shared" si="367"/>
        <v>0</v>
      </c>
    </row>
    <row r="865" spans="1:15" s="30" customFormat="1" ht="25.5">
      <c r="A865" s="11" t="s">
        <v>108</v>
      </c>
      <c r="B865" s="25" t="s">
        <v>62</v>
      </c>
      <c r="C865" s="26" t="s">
        <v>14</v>
      </c>
      <c r="D865" s="26" t="s">
        <v>53</v>
      </c>
      <c r="E865" s="26" t="s">
        <v>795</v>
      </c>
      <c r="F865" s="26" t="s">
        <v>116</v>
      </c>
      <c r="G865" s="119">
        <f>G866</f>
        <v>1.06</v>
      </c>
      <c r="H865" s="119">
        <f t="shared" ref="H865:I865" si="386">H866</f>
        <v>1.06</v>
      </c>
      <c r="I865" s="119">
        <f t="shared" si="386"/>
        <v>1.06</v>
      </c>
      <c r="J865" s="119">
        <f>1.06</f>
        <v>1.06</v>
      </c>
      <c r="K865" s="16">
        <f t="shared" si="365"/>
        <v>0</v>
      </c>
      <c r="L865" s="119">
        <f t="shared" ref="H865:N866" si="387">1.06</f>
        <v>1.06</v>
      </c>
      <c r="M865" s="16">
        <f t="shared" si="366"/>
        <v>0</v>
      </c>
      <c r="N865" s="119">
        <f t="shared" si="387"/>
        <v>1.06</v>
      </c>
      <c r="O865" s="16">
        <f t="shared" si="367"/>
        <v>0</v>
      </c>
    </row>
    <row r="866" spans="1:15" s="83" customFormat="1" ht="25.5">
      <c r="A866" s="12" t="s">
        <v>973</v>
      </c>
      <c r="B866" s="25" t="s">
        <v>62</v>
      </c>
      <c r="C866" s="26" t="s">
        <v>14</v>
      </c>
      <c r="D866" s="26" t="s">
        <v>53</v>
      </c>
      <c r="E866" s="26" t="s">
        <v>795</v>
      </c>
      <c r="F866" s="26" t="s">
        <v>1043</v>
      </c>
      <c r="G866" s="119">
        <f>1.06</f>
        <v>1.06</v>
      </c>
      <c r="H866" s="119">
        <f t="shared" si="387"/>
        <v>1.06</v>
      </c>
      <c r="I866" s="119">
        <f t="shared" si="387"/>
        <v>1.06</v>
      </c>
      <c r="J866" s="124"/>
      <c r="K866" s="16">
        <f t="shared" si="365"/>
        <v>-1.06</v>
      </c>
      <c r="L866" s="124"/>
      <c r="M866" s="16">
        <f t="shared" si="366"/>
        <v>-1.06</v>
      </c>
      <c r="N866" s="124"/>
      <c r="O866" s="16">
        <f t="shared" si="367"/>
        <v>-1.06</v>
      </c>
    </row>
    <row r="867" spans="1:15" s="30" customFormat="1">
      <c r="A867" s="13" t="s">
        <v>109</v>
      </c>
      <c r="B867" s="25" t="s">
        <v>62</v>
      </c>
      <c r="C867" s="26" t="s">
        <v>14</v>
      </c>
      <c r="D867" s="26" t="s">
        <v>53</v>
      </c>
      <c r="E867" s="26" t="s">
        <v>795</v>
      </c>
      <c r="F867" s="26" t="s">
        <v>134</v>
      </c>
      <c r="G867" s="119">
        <f>G868</f>
        <v>195.82</v>
      </c>
      <c r="H867" s="119">
        <f t="shared" ref="H867:I867" si="388">H868</f>
        <v>195.82</v>
      </c>
      <c r="I867" s="119">
        <f t="shared" si="388"/>
        <v>195.82</v>
      </c>
      <c r="J867" s="119">
        <f>195.82</f>
        <v>195.82</v>
      </c>
      <c r="K867" s="16">
        <f t="shared" si="365"/>
        <v>0</v>
      </c>
      <c r="L867" s="119">
        <f t="shared" ref="H867:N868" si="389">195.82</f>
        <v>195.82</v>
      </c>
      <c r="M867" s="16">
        <f t="shared" si="366"/>
        <v>0</v>
      </c>
      <c r="N867" s="119">
        <f t="shared" si="389"/>
        <v>195.82</v>
      </c>
      <c r="O867" s="16">
        <f t="shared" si="367"/>
        <v>0</v>
      </c>
    </row>
    <row r="868" spans="1:15" s="83" customFormat="1" ht="25.5">
      <c r="A868" s="12" t="s">
        <v>978</v>
      </c>
      <c r="B868" s="25" t="s">
        <v>62</v>
      </c>
      <c r="C868" s="26" t="s">
        <v>14</v>
      </c>
      <c r="D868" s="26" t="s">
        <v>53</v>
      </c>
      <c r="E868" s="26" t="s">
        <v>795</v>
      </c>
      <c r="F868" s="26" t="s">
        <v>1064</v>
      </c>
      <c r="G868" s="119">
        <f>195.82</f>
        <v>195.82</v>
      </c>
      <c r="H868" s="119">
        <f t="shared" si="389"/>
        <v>195.82</v>
      </c>
      <c r="I868" s="119">
        <f t="shared" si="389"/>
        <v>195.82</v>
      </c>
      <c r="J868" s="124"/>
      <c r="K868" s="16">
        <f t="shared" si="365"/>
        <v>-195.82</v>
      </c>
      <c r="L868" s="124"/>
      <c r="M868" s="16">
        <f t="shared" si="366"/>
        <v>-195.82</v>
      </c>
      <c r="N868" s="124"/>
      <c r="O868" s="16">
        <f t="shared" si="367"/>
        <v>-195.82</v>
      </c>
    </row>
    <row r="869" spans="1:15" s="30" customFormat="1" ht="25.5">
      <c r="A869" s="32" t="s">
        <v>405</v>
      </c>
      <c r="B869" s="25" t="s">
        <v>62</v>
      </c>
      <c r="C869" s="26" t="s">
        <v>14</v>
      </c>
      <c r="D869" s="26" t="s">
        <v>53</v>
      </c>
      <c r="E869" s="26" t="s">
        <v>796</v>
      </c>
      <c r="F869" s="26" t="s">
        <v>58</v>
      </c>
      <c r="G869" s="119">
        <f>G870+G872</f>
        <v>556.4</v>
      </c>
      <c r="H869" s="119">
        <f>H870+H872</f>
        <v>556.4</v>
      </c>
      <c r="I869" s="119">
        <f>I870+I872</f>
        <v>556.4</v>
      </c>
      <c r="J869" s="119">
        <f>J870+J872</f>
        <v>556.4</v>
      </c>
      <c r="K869" s="16">
        <f t="shared" si="365"/>
        <v>0</v>
      </c>
      <c r="L869" s="119">
        <f>L870+L872</f>
        <v>556.4</v>
      </c>
      <c r="M869" s="16">
        <f t="shared" si="366"/>
        <v>0</v>
      </c>
      <c r="N869" s="119">
        <f>N870+N872</f>
        <v>556.4</v>
      </c>
      <c r="O869" s="16">
        <f t="shared" si="367"/>
        <v>0</v>
      </c>
    </row>
    <row r="870" spans="1:15" s="30" customFormat="1" ht="25.5">
      <c r="A870" s="11" t="s">
        <v>108</v>
      </c>
      <c r="B870" s="25" t="s">
        <v>62</v>
      </c>
      <c r="C870" s="26" t="s">
        <v>14</v>
      </c>
      <c r="D870" s="26" t="s">
        <v>53</v>
      </c>
      <c r="E870" s="26" t="s">
        <v>796</v>
      </c>
      <c r="F870" s="26" t="s">
        <v>116</v>
      </c>
      <c r="G870" s="119">
        <f>G871</f>
        <v>7.41</v>
      </c>
      <c r="H870" s="119">
        <f t="shared" ref="H870:I870" si="390">H871</f>
        <v>7.41</v>
      </c>
      <c r="I870" s="119">
        <f t="shared" si="390"/>
        <v>7.41</v>
      </c>
      <c r="J870" s="119">
        <f>7.41</f>
        <v>7.41</v>
      </c>
      <c r="K870" s="16">
        <f t="shared" si="365"/>
        <v>0</v>
      </c>
      <c r="L870" s="119">
        <f t="shared" ref="H870:N871" si="391">7.41</f>
        <v>7.41</v>
      </c>
      <c r="M870" s="16">
        <f t="shared" si="366"/>
        <v>0</v>
      </c>
      <c r="N870" s="119">
        <f t="shared" si="391"/>
        <v>7.41</v>
      </c>
      <c r="O870" s="16">
        <f t="shared" si="367"/>
        <v>0</v>
      </c>
    </row>
    <row r="871" spans="1:15" s="83" customFormat="1" ht="25.5">
      <c r="A871" s="12" t="s">
        <v>973</v>
      </c>
      <c r="B871" s="25" t="s">
        <v>62</v>
      </c>
      <c r="C871" s="26" t="s">
        <v>14</v>
      </c>
      <c r="D871" s="26" t="s">
        <v>53</v>
      </c>
      <c r="E871" s="26" t="s">
        <v>796</v>
      </c>
      <c r="F871" s="26" t="s">
        <v>1043</v>
      </c>
      <c r="G871" s="119">
        <f>7.41</f>
        <v>7.41</v>
      </c>
      <c r="H871" s="119">
        <f t="shared" si="391"/>
        <v>7.41</v>
      </c>
      <c r="I871" s="119">
        <f t="shared" si="391"/>
        <v>7.41</v>
      </c>
      <c r="J871" s="124"/>
      <c r="K871" s="16">
        <f t="shared" si="365"/>
        <v>-7.41</v>
      </c>
      <c r="L871" s="124"/>
      <c r="M871" s="16">
        <f t="shared" si="366"/>
        <v>-7.41</v>
      </c>
      <c r="N871" s="124"/>
      <c r="O871" s="16">
        <f t="shared" si="367"/>
        <v>-7.41</v>
      </c>
    </row>
    <row r="872" spans="1:15" s="30" customFormat="1">
      <c r="A872" s="13" t="s">
        <v>109</v>
      </c>
      <c r="B872" s="25" t="s">
        <v>62</v>
      </c>
      <c r="C872" s="26" t="s">
        <v>14</v>
      </c>
      <c r="D872" s="26" t="s">
        <v>53</v>
      </c>
      <c r="E872" s="26" t="s">
        <v>796</v>
      </c>
      <c r="F872" s="26" t="s">
        <v>134</v>
      </c>
      <c r="G872" s="119">
        <f>G873</f>
        <v>548.99</v>
      </c>
      <c r="H872" s="119">
        <f t="shared" ref="H872:I872" si="392">H873</f>
        <v>548.99</v>
      </c>
      <c r="I872" s="119">
        <f t="shared" si="392"/>
        <v>548.99</v>
      </c>
      <c r="J872" s="119">
        <f>548.99</f>
        <v>548.99</v>
      </c>
      <c r="K872" s="16">
        <f t="shared" si="365"/>
        <v>0</v>
      </c>
      <c r="L872" s="119">
        <f t="shared" ref="H872:N873" si="393">548.99</f>
        <v>548.99</v>
      </c>
      <c r="M872" s="16">
        <f t="shared" si="366"/>
        <v>0</v>
      </c>
      <c r="N872" s="119">
        <f t="shared" si="393"/>
        <v>548.99</v>
      </c>
      <c r="O872" s="16">
        <f t="shared" si="367"/>
        <v>0</v>
      </c>
    </row>
    <row r="873" spans="1:15" s="83" customFormat="1" ht="25.5">
      <c r="A873" s="12" t="s">
        <v>978</v>
      </c>
      <c r="B873" s="25" t="s">
        <v>62</v>
      </c>
      <c r="C873" s="26" t="s">
        <v>14</v>
      </c>
      <c r="D873" s="26" t="s">
        <v>53</v>
      </c>
      <c r="E873" s="26" t="s">
        <v>796</v>
      </c>
      <c r="F873" s="26" t="s">
        <v>1064</v>
      </c>
      <c r="G873" s="119">
        <f>548.99</f>
        <v>548.99</v>
      </c>
      <c r="H873" s="119">
        <f t="shared" si="393"/>
        <v>548.99</v>
      </c>
      <c r="I873" s="119">
        <f t="shared" si="393"/>
        <v>548.99</v>
      </c>
      <c r="J873" s="124"/>
      <c r="K873" s="16">
        <f t="shared" si="365"/>
        <v>-548.99</v>
      </c>
      <c r="L873" s="124"/>
      <c r="M873" s="16">
        <f t="shared" si="366"/>
        <v>-548.99</v>
      </c>
      <c r="N873" s="124"/>
      <c r="O873" s="16">
        <f t="shared" si="367"/>
        <v>-548.99</v>
      </c>
    </row>
    <row r="874" spans="1:15" s="30" customFormat="1" ht="25.5">
      <c r="A874" s="32" t="s">
        <v>403</v>
      </c>
      <c r="B874" s="25" t="s">
        <v>62</v>
      </c>
      <c r="C874" s="26" t="s">
        <v>14</v>
      </c>
      <c r="D874" s="26" t="s">
        <v>53</v>
      </c>
      <c r="E874" s="26" t="s">
        <v>797</v>
      </c>
      <c r="F874" s="26" t="s">
        <v>58</v>
      </c>
      <c r="G874" s="119">
        <f>G875+G877</f>
        <v>280139.8</v>
      </c>
      <c r="H874" s="119">
        <f>H875+H877</f>
        <v>232516.03</v>
      </c>
      <c r="I874" s="119">
        <f>I875+I877</f>
        <v>280139.8</v>
      </c>
      <c r="J874" s="119">
        <f>J875+J877</f>
        <v>280139.8</v>
      </c>
      <c r="K874" s="16">
        <f t="shared" si="365"/>
        <v>0</v>
      </c>
      <c r="L874" s="119">
        <f>L875+L877</f>
        <v>232516.03</v>
      </c>
      <c r="M874" s="16">
        <f t="shared" si="366"/>
        <v>0</v>
      </c>
      <c r="N874" s="119">
        <f>N875+N877</f>
        <v>280139.8</v>
      </c>
      <c r="O874" s="16">
        <f t="shared" si="367"/>
        <v>0</v>
      </c>
    </row>
    <row r="875" spans="1:15" s="30" customFormat="1" ht="25.5">
      <c r="A875" s="11" t="s">
        <v>108</v>
      </c>
      <c r="B875" s="25" t="s">
        <v>62</v>
      </c>
      <c r="C875" s="26" t="s">
        <v>14</v>
      </c>
      <c r="D875" s="26" t="s">
        <v>53</v>
      </c>
      <c r="E875" s="26" t="s">
        <v>797</v>
      </c>
      <c r="F875" s="26" t="s">
        <v>116</v>
      </c>
      <c r="G875" s="119">
        <f>G876</f>
        <v>3726</v>
      </c>
      <c r="H875" s="119">
        <f t="shared" ref="H875:I875" si="394">H876</f>
        <v>3092.36</v>
      </c>
      <c r="I875" s="119">
        <f t="shared" si="394"/>
        <v>3726</v>
      </c>
      <c r="J875" s="119">
        <f>3726</f>
        <v>3726</v>
      </c>
      <c r="K875" s="16">
        <f t="shared" si="365"/>
        <v>0</v>
      </c>
      <c r="L875" s="119">
        <f>3092.36</f>
        <v>3092.36</v>
      </c>
      <c r="M875" s="16">
        <f t="shared" si="366"/>
        <v>0</v>
      </c>
      <c r="N875" s="119">
        <f>3726</f>
        <v>3726</v>
      </c>
      <c r="O875" s="16">
        <f t="shared" si="367"/>
        <v>0</v>
      </c>
    </row>
    <row r="876" spans="1:15" s="83" customFormat="1" ht="25.5">
      <c r="A876" s="12" t="s">
        <v>973</v>
      </c>
      <c r="B876" s="25" t="s">
        <v>62</v>
      </c>
      <c r="C876" s="26" t="s">
        <v>14</v>
      </c>
      <c r="D876" s="26" t="s">
        <v>53</v>
      </c>
      <c r="E876" s="26" t="s">
        <v>797</v>
      </c>
      <c r="F876" s="26" t="s">
        <v>1043</v>
      </c>
      <c r="G876" s="119">
        <f>3726</f>
        <v>3726</v>
      </c>
      <c r="H876" s="119">
        <f>3092.36</f>
        <v>3092.36</v>
      </c>
      <c r="I876" s="119">
        <f>3726</f>
        <v>3726</v>
      </c>
      <c r="J876" s="124"/>
      <c r="K876" s="16">
        <f t="shared" si="365"/>
        <v>-3726</v>
      </c>
      <c r="L876" s="124"/>
      <c r="M876" s="16">
        <f t="shared" si="366"/>
        <v>-3092.36</v>
      </c>
      <c r="N876" s="124"/>
      <c r="O876" s="16">
        <f t="shared" si="367"/>
        <v>-3726</v>
      </c>
    </row>
    <row r="877" spans="1:15" s="30" customFormat="1">
      <c r="A877" s="13" t="s">
        <v>109</v>
      </c>
      <c r="B877" s="25" t="s">
        <v>62</v>
      </c>
      <c r="C877" s="26" t="s">
        <v>14</v>
      </c>
      <c r="D877" s="26" t="s">
        <v>53</v>
      </c>
      <c r="E877" s="26" t="s">
        <v>797</v>
      </c>
      <c r="F877" s="26" t="s">
        <v>134</v>
      </c>
      <c r="G877" s="119">
        <f>G878</f>
        <v>276413.8</v>
      </c>
      <c r="H877" s="119">
        <f t="shared" ref="H877:I877" si="395">H878</f>
        <v>229423.67</v>
      </c>
      <c r="I877" s="119">
        <f t="shared" si="395"/>
        <v>276413.8</v>
      </c>
      <c r="J877" s="119">
        <f>276413.8</f>
        <v>276413.8</v>
      </c>
      <c r="K877" s="16">
        <f t="shared" si="365"/>
        <v>0</v>
      </c>
      <c r="L877" s="119">
        <f>229423.67</f>
        <v>229423.67</v>
      </c>
      <c r="M877" s="16">
        <f t="shared" si="366"/>
        <v>0</v>
      </c>
      <c r="N877" s="119">
        <f>276413.8</f>
        <v>276413.8</v>
      </c>
      <c r="O877" s="16">
        <f t="shared" si="367"/>
        <v>0</v>
      </c>
    </row>
    <row r="878" spans="1:15" s="83" customFormat="1" ht="25.5">
      <c r="A878" s="12" t="s">
        <v>978</v>
      </c>
      <c r="B878" s="25" t="s">
        <v>62</v>
      </c>
      <c r="C878" s="26" t="s">
        <v>14</v>
      </c>
      <c r="D878" s="26" t="s">
        <v>53</v>
      </c>
      <c r="E878" s="26" t="s">
        <v>797</v>
      </c>
      <c r="F878" s="26" t="s">
        <v>1064</v>
      </c>
      <c r="G878" s="119">
        <f>276413.8</f>
        <v>276413.8</v>
      </c>
      <c r="H878" s="119">
        <f>229423.67</f>
        <v>229423.67</v>
      </c>
      <c r="I878" s="119">
        <f>276413.8</f>
        <v>276413.8</v>
      </c>
      <c r="J878" s="124"/>
      <c r="K878" s="16">
        <f t="shared" si="365"/>
        <v>-276413.8</v>
      </c>
      <c r="L878" s="124"/>
      <c r="M878" s="16">
        <f t="shared" si="366"/>
        <v>-229423.67</v>
      </c>
      <c r="N878" s="124"/>
      <c r="O878" s="16">
        <f t="shared" si="367"/>
        <v>-276413.8</v>
      </c>
    </row>
    <row r="879" spans="1:15" s="30" customFormat="1" ht="38.25">
      <c r="A879" s="32" t="s">
        <v>693</v>
      </c>
      <c r="B879" s="25" t="s">
        <v>62</v>
      </c>
      <c r="C879" s="26" t="s">
        <v>14</v>
      </c>
      <c r="D879" s="26" t="s">
        <v>53</v>
      </c>
      <c r="E879" s="26" t="s">
        <v>798</v>
      </c>
      <c r="F879" s="26" t="s">
        <v>58</v>
      </c>
      <c r="G879" s="119">
        <f>G882+G880</f>
        <v>5379.23</v>
      </c>
      <c r="H879" s="119">
        <f>H882+H880</f>
        <v>5379.23</v>
      </c>
      <c r="I879" s="119">
        <f>I882+I880</f>
        <v>5379.23</v>
      </c>
      <c r="J879" s="119">
        <f>J882+J880</f>
        <v>5379.23</v>
      </c>
      <c r="K879" s="16">
        <f t="shared" si="365"/>
        <v>0</v>
      </c>
      <c r="L879" s="119">
        <f>L882+L880</f>
        <v>5379.23</v>
      </c>
      <c r="M879" s="16">
        <f t="shared" si="366"/>
        <v>0</v>
      </c>
      <c r="N879" s="119">
        <f>N882+N880</f>
        <v>5379.23</v>
      </c>
      <c r="O879" s="16">
        <f t="shared" si="367"/>
        <v>0</v>
      </c>
    </row>
    <row r="880" spans="1:15" s="30" customFormat="1" ht="25.5">
      <c r="A880" s="11" t="s">
        <v>108</v>
      </c>
      <c r="B880" s="25" t="s">
        <v>62</v>
      </c>
      <c r="C880" s="26" t="s">
        <v>14</v>
      </c>
      <c r="D880" s="26" t="s">
        <v>53</v>
      </c>
      <c r="E880" s="26" t="s">
        <v>798</v>
      </c>
      <c r="F880" s="26" t="s">
        <v>116</v>
      </c>
      <c r="G880" s="119">
        <f>G881</f>
        <v>61</v>
      </c>
      <c r="H880" s="119">
        <f t="shared" ref="H880:I880" si="396">H881</f>
        <v>61</v>
      </c>
      <c r="I880" s="119">
        <f t="shared" si="396"/>
        <v>61</v>
      </c>
      <c r="J880" s="119">
        <f>61</f>
        <v>61</v>
      </c>
      <c r="K880" s="16">
        <f t="shared" si="365"/>
        <v>0</v>
      </c>
      <c r="L880" s="119">
        <f>61</f>
        <v>61</v>
      </c>
      <c r="M880" s="16">
        <f t="shared" si="366"/>
        <v>0</v>
      </c>
      <c r="N880" s="119">
        <f>61</f>
        <v>61</v>
      </c>
      <c r="O880" s="16">
        <f t="shared" si="367"/>
        <v>0</v>
      </c>
    </row>
    <row r="881" spans="1:15" s="83" customFormat="1" ht="25.5">
      <c r="A881" s="12" t="s">
        <v>973</v>
      </c>
      <c r="B881" s="25" t="s">
        <v>62</v>
      </c>
      <c r="C881" s="26" t="s">
        <v>14</v>
      </c>
      <c r="D881" s="26" t="s">
        <v>53</v>
      </c>
      <c r="E881" s="26" t="s">
        <v>798</v>
      </c>
      <c r="F881" s="26" t="s">
        <v>1043</v>
      </c>
      <c r="G881" s="119">
        <f>61</f>
        <v>61</v>
      </c>
      <c r="H881" s="119">
        <f>61</f>
        <v>61</v>
      </c>
      <c r="I881" s="119">
        <f>61</f>
        <v>61</v>
      </c>
      <c r="J881" s="124"/>
      <c r="K881" s="16">
        <f t="shared" si="365"/>
        <v>-61</v>
      </c>
      <c r="L881" s="124"/>
      <c r="M881" s="16">
        <f t="shared" si="366"/>
        <v>-61</v>
      </c>
      <c r="N881" s="124"/>
      <c r="O881" s="16">
        <f t="shared" si="367"/>
        <v>-61</v>
      </c>
    </row>
    <row r="882" spans="1:15" s="30" customFormat="1">
      <c r="A882" s="13" t="s">
        <v>109</v>
      </c>
      <c r="B882" s="25" t="s">
        <v>62</v>
      </c>
      <c r="C882" s="26" t="s">
        <v>14</v>
      </c>
      <c r="D882" s="26" t="s">
        <v>53</v>
      </c>
      <c r="E882" s="26" t="s">
        <v>798</v>
      </c>
      <c r="F882" s="26" t="s">
        <v>134</v>
      </c>
      <c r="G882" s="119">
        <f>G883</f>
        <v>5318.23</v>
      </c>
      <c r="H882" s="119">
        <f t="shared" ref="H882:I882" si="397">H883</f>
        <v>5318.23</v>
      </c>
      <c r="I882" s="119">
        <f t="shared" si="397"/>
        <v>5318.23</v>
      </c>
      <c r="J882" s="119">
        <f>5318.23</f>
        <v>5318.23</v>
      </c>
      <c r="K882" s="16">
        <f t="shared" si="365"/>
        <v>0</v>
      </c>
      <c r="L882" s="119">
        <f t="shared" ref="H882:N883" si="398">5318.23</f>
        <v>5318.23</v>
      </c>
      <c r="M882" s="16">
        <f t="shared" si="366"/>
        <v>0</v>
      </c>
      <c r="N882" s="119">
        <f t="shared" si="398"/>
        <v>5318.23</v>
      </c>
      <c r="O882" s="16">
        <f t="shared" si="367"/>
        <v>0</v>
      </c>
    </row>
    <row r="883" spans="1:15" s="83" customFormat="1" ht="25.5">
      <c r="A883" s="12" t="s">
        <v>978</v>
      </c>
      <c r="B883" s="25" t="s">
        <v>62</v>
      </c>
      <c r="C883" s="26" t="s">
        <v>14</v>
      </c>
      <c r="D883" s="26" t="s">
        <v>53</v>
      </c>
      <c r="E883" s="26" t="s">
        <v>798</v>
      </c>
      <c r="F883" s="26" t="s">
        <v>1064</v>
      </c>
      <c r="G883" s="119">
        <f>5318.23</f>
        <v>5318.23</v>
      </c>
      <c r="H883" s="119">
        <f t="shared" si="398"/>
        <v>5318.23</v>
      </c>
      <c r="I883" s="119">
        <f t="shared" si="398"/>
        <v>5318.23</v>
      </c>
      <c r="J883" s="124"/>
      <c r="K883" s="16">
        <f t="shared" si="365"/>
        <v>-5318.23</v>
      </c>
      <c r="L883" s="124"/>
      <c r="M883" s="16">
        <f t="shared" si="366"/>
        <v>-5318.23</v>
      </c>
      <c r="N883" s="124"/>
      <c r="O883" s="16">
        <f t="shared" si="367"/>
        <v>-5318.23</v>
      </c>
    </row>
    <row r="884" spans="1:15" s="30" customFormat="1" ht="25.5">
      <c r="A884" s="152" t="s">
        <v>406</v>
      </c>
      <c r="B884" s="25" t="s">
        <v>62</v>
      </c>
      <c r="C884" s="26" t="s">
        <v>14</v>
      </c>
      <c r="D884" s="26" t="s">
        <v>53</v>
      </c>
      <c r="E884" s="26" t="s">
        <v>407</v>
      </c>
      <c r="F884" s="26" t="s">
        <v>58</v>
      </c>
      <c r="G884" s="161">
        <f>G885+G893+G901+G888+G896</f>
        <v>318230.64000000007</v>
      </c>
      <c r="H884" s="161">
        <f>H885+H893+H901+H888+H896</f>
        <v>311230.88</v>
      </c>
      <c r="I884" s="161">
        <f>I885+I893+I901+I888+I896</f>
        <v>335106.08999999997</v>
      </c>
      <c r="J884" s="161">
        <f>J885+J893+J901+J888+J896</f>
        <v>318230.64000000007</v>
      </c>
      <c r="K884" s="16">
        <f t="shared" si="365"/>
        <v>0</v>
      </c>
      <c r="L884" s="161">
        <f>L885+L893+L901+L888+L896</f>
        <v>311230.88</v>
      </c>
      <c r="M884" s="16">
        <f t="shared" si="366"/>
        <v>0</v>
      </c>
      <c r="N884" s="161">
        <f>N885+N893+N901+N888+N896</f>
        <v>335106.08999999997</v>
      </c>
      <c r="O884" s="16">
        <f t="shared" si="367"/>
        <v>0</v>
      </c>
    </row>
    <row r="885" spans="1:15" s="30" customFormat="1" ht="63.75">
      <c r="A885" s="32" t="s">
        <v>408</v>
      </c>
      <c r="B885" s="25" t="s">
        <v>62</v>
      </c>
      <c r="C885" s="26" t="s">
        <v>14</v>
      </c>
      <c r="D885" s="26" t="s">
        <v>53</v>
      </c>
      <c r="E885" s="26" t="s">
        <v>409</v>
      </c>
      <c r="F885" s="26" t="s">
        <v>58</v>
      </c>
      <c r="G885" s="119">
        <f>G886</f>
        <v>168353.5</v>
      </c>
      <c r="H885" s="119">
        <f>H886</f>
        <v>168938.6</v>
      </c>
      <c r="I885" s="119">
        <f>I886</f>
        <v>169829.3</v>
      </c>
      <c r="J885" s="119">
        <f>J886</f>
        <v>168353.5</v>
      </c>
      <c r="K885" s="16">
        <f t="shared" si="365"/>
        <v>0</v>
      </c>
      <c r="L885" s="119">
        <f>L886</f>
        <v>168938.6</v>
      </c>
      <c r="M885" s="16">
        <f t="shared" si="366"/>
        <v>0</v>
      </c>
      <c r="N885" s="119">
        <f>N886</f>
        <v>169829.3</v>
      </c>
      <c r="O885" s="16">
        <f t="shared" si="367"/>
        <v>0</v>
      </c>
    </row>
    <row r="886" spans="1:15" s="30" customFormat="1">
      <c r="A886" s="13" t="s">
        <v>109</v>
      </c>
      <c r="B886" s="25" t="s">
        <v>62</v>
      </c>
      <c r="C886" s="26" t="s">
        <v>14</v>
      </c>
      <c r="D886" s="26" t="s">
        <v>53</v>
      </c>
      <c r="E886" s="26" t="s">
        <v>409</v>
      </c>
      <c r="F886" s="26" t="s">
        <v>134</v>
      </c>
      <c r="G886" s="119">
        <f>G887</f>
        <v>168353.5</v>
      </c>
      <c r="H886" s="119">
        <f t="shared" ref="H886:I886" si="399">H887</f>
        <v>168938.6</v>
      </c>
      <c r="I886" s="119">
        <f t="shared" si="399"/>
        <v>169829.3</v>
      </c>
      <c r="J886" s="119">
        <f>168353.5</f>
        <v>168353.5</v>
      </c>
      <c r="K886" s="16">
        <f t="shared" si="365"/>
        <v>0</v>
      </c>
      <c r="L886" s="119">
        <f>168938.6</f>
        <v>168938.6</v>
      </c>
      <c r="M886" s="16">
        <f t="shared" si="366"/>
        <v>0</v>
      </c>
      <c r="N886" s="119">
        <f>169829.3</f>
        <v>169829.3</v>
      </c>
      <c r="O886" s="16">
        <f t="shared" si="367"/>
        <v>0</v>
      </c>
    </row>
    <row r="887" spans="1:15" s="83" customFormat="1" ht="25.5">
      <c r="A887" s="12" t="s">
        <v>978</v>
      </c>
      <c r="B887" s="25" t="s">
        <v>62</v>
      </c>
      <c r="C887" s="26" t="s">
        <v>14</v>
      </c>
      <c r="D887" s="26" t="s">
        <v>53</v>
      </c>
      <c r="E887" s="26" t="s">
        <v>409</v>
      </c>
      <c r="F887" s="26" t="s">
        <v>1064</v>
      </c>
      <c r="G887" s="119">
        <f>168353.5</f>
        <v>168353.5</v>
      </c>
      <c r="H887" s="119">
        <f>168938.6</f>
        <v>168938.6</v>
      </c>
      <c r="I887" s="119">
        <f>169829.3</f>
        <v>169829.3</v>
      </c>
      <c r="J887" s="124"/>
      <c r="K887" s="16">
        <f t="shared" si="365"/>
        <v>-168353.5</v>
      </c>
      <c r="L887" s="124"/>
      <c r="M887" s="16">
        <f t="shared" si="366"/>
        <v>-168938.6</v>
      </c>
      <c r="N887" s="124"/>
      <c r="O887" s="16">
        <f t="shared" si="367"/>
        <v>-169829.3</v>
      </c>
    </row>
    <row r="888" spans="1:15" s="30" customFormat="1">
      <c r="A888" s="32" t="s">
        <v>410</v>
      </c>
      <c r="B888" s="25" t="s">
        <v>62</v>
      </c>
      <c r="C888" s="26" t="s">
        <v>14</v>
      </c>
      <c r="D888" s="26" t="s">
        <v>53</v>
      </c>
      <c r="E888" s="26" t="s">
        <v>411</v>
      </c>
      <c r="F888" s="26" t="s">
        <v>58</v>
      </c>
      <c r="G888" s="119">
        <f>G889+G891</f>
        <v>389.83</v>
      </c>
      <c r="H888" s="119">
        <f>H889+H891</f>
        <v>389.83</v>
      </c>
      <c r="I888" s="119">
        <f>I889+I891</f>
        <v>389.83</v>
      </c>
      <c r="J888" s="119">
        <f>J889+J891</f>
        <v>389.83</v>
      </c>
      <c r="K888" s="16">
        <f t="shared" si="365"/>
        <v>0</v>
      </c>
      <c r="L888" s="119">
        <f>L889+L891</f>
        <v>389.83</v>
      </c>
      <c r="M888" s="16">
        <f t="shared" si="366"/>
        <v>0</v>
      </c>
      <c r="N888" s="119">
        <f>N889+N891</f>
        <v>389.83</v>
      </c>
      <c r="O888" s="16">
        <f t="shared" si="367"/>
        <v>0</v>
      </c>
    </row>
    <row r="889" spans="1:15" s="30" customFormat="1" ht="25.5">
      <c r="A889" s="11" t="s">
        <v>108</v>
      </c>
      <c r="B889" s="25" t="s">
        <v>62</v>
      </c>
      <c r="C889" s="26" t="s">
        <v>14</v>
      </c>
      <c r="D889" s="26" t="s">
        <v>53</v>
      </c>
      <c r="E889" s="26" t="s">
        <v>411</v>
      </c>
      <c r="F889" s="26" t="s">
        <v>116</v>
      </c>
      <c r="G889" s="119">
        <f>G890</f>
        <v>5.76</v>
      </c>
      <c r="H889" s="119">
        <f t="shared" ref="H889:I889" si="400">H890</f>
        <v>5.76</v>
      </c>
      <c r="I889" s="119">
        <f t="shared" si="400"/>
        <v>5.76</v>
      </c>
      <c r="J889" s="119">
        <f>5.76</f>
        <v>5.76</v>
      </c>
      <c r="K889" s="16">
        <f t="shared" si="365"/>
        <v>0</v>
      </c>
      <c r="L889" s="119">
        <f t="shared" ref="H889:N890" si="401">5.76</f>
        <v>5.76</v>
      </c>
      <c r="M889" s="16">
        <f t="shared" si="366"/>
        <v>0</v>
      </c>
      <c r="N889" s="119">
        <f t="shared" si="401"/>
        <v>5.76</v>
      </c>
      <c r="O889" s="16">
        <f t="shared" si="367"/>
        <v>0</v>
      </c>
    </row>
    <row r="890" spans="1:15" s="83" customFormat="1" ht="25.5">
      <c r="A890" s="12" t="s">
        <v>973</v>
      </c>
      <c r="B890" s="25" t="s">
        <v>62</v>
      </c>
      <c r="C890" s="26" t="s">
        <v>14</v>
      </c>
      <c r="D890" s="26" t="s">
        <v>53</v>
      </c>
      <c r="E890" s="26" t="s">
        <v>411</v>
      </c>
      <c r="F890" s="26" t="s">
        <v>1043</v>
      </c>
      <c r="G890" s="119">
        <f>5.76</f>
        <v>5.76</v>
      </c>
      <c r="H890" s="119">
        <f t="shared" si="401"/>
        <v>5.76</v>
      </c>
      <c r="I890" s="119">
        <f t="shared" si="401"/>
        <v>5.76</v>
      </c>
      <c r="J890" s="124"/>
      <c r="K890" s="16">
        <f t="shared" si="365"/>
        <v>-5.76</v>
      </c>
      <c r="L890" s="124"/>
      <c r="M890" s="16">
        <f t="shared" si="366"/>
        <v>-5.76</v>
      </c>
      <c r="N890" s="124"/>
      <c r="O890" s="16">
        <f t="shared" si="367"/>
        <v>-5.76</v>
      </c>
    </row>
    <row r="891" spans="1:15" s="30" customFormat="1">
      <c r="A891" s="13" t="s">
        <v>109</v>
      </c>
      <c r="B891" s="25" t="s">
        <v>62</v>
      </c>
      <c r="C891" s="26" t="s">
        <v>14</v>
      </c>
      <c r="D891" s="26" t="s">
        <v>53</v>
      </c>
      <c r="E891" s="26" t="s">
        <v>411</v>
      </c>
      <c r="F891" s="26" t="s">
        <v>134</v>
      </c>
      <c r="G891" s="119">
        <f>G892</f>
        <v>384.07</v>
      </c>
      <c r="H891" s="119">
        <f t="shared" ref="H891:I891" si="402">H892</f>
        <v>384.07</v>
      </c>
      <c r="I891" s="119">
        <f t="shared" si="402"/>
        <v>384.07</v>
      </c>
      <c r="J891" s="119">
        <f>384.07</f>
        <v>384.07</v>
      </c>
      <c r="K891" s="16">
        <f t="shared" si="365"/>
        <v>0</v>
      </c>
      <c r="L891" s="119">
        <f t="shared" ref="H891:N892" si="403">384.07</f>
        <v>384.07</v>
      </c>
      <c r="M891" s="16">
        <f t="shared" si="366"/>
        <v>0</v>
      </c>
      <c r="N891" s="119">
        <f t="shared" si="403"/>
        <v>384.07</v>
      </c>
      <c r="O891" s="16">
        <f t="shared" si="367"/>
        <v>0</v>
      </c>
    </row>
    <row r="892" spans="1:15" s="83" customFormat="1" ht="25.5">
      <c r="A892" s="12" t="s">
        <v>978</v>
      </c>
      <c r="B892" s="25" t="s">
        <v>62</v>
      </c>
      <c r="C892" s="26" t="s">
        <v>14</v>
      </c>
      <c r="D892" s="26" t="s">
        <v>53</v>
      </c>
      <c r="E892" s="26" t="s">
        <v>411</v>
      </c>
      <c r="F892" s="26" t="s">
        <v>1064</v>
      </c>
      <c r="G892" s="119">
        <f>384.07</f>
        <v>384.07</v>
      </c>
      <c r="H892" s="119">
        <f t="shared" si="403"/>
        <v>384.07</v>
      </c>
      <c r="I892" s="119">
        <f t="shared" si="403"/>
        <v>384.07</v>
      </c>
      <c r="J892" s="124"/>
      <c r="K892" s="16">
        <f t="shared" si="365"/>
        <v>-384.07</v>
      </c>
      <c r="L892" s="124"/>
      <c r="M892" s="16">
        <f t="shared" si="366"/>
        <v>-384.07</v>
      </c>
      <c r="N892" s="124"/>
      <c r="O892" s="16">
        <f t="shared" si="367"/>
        <v>-384.07</v>
      </c>
    </row>
    <row r="893" spans="1:15" s="30" customFormat="1">
      <c r="A893" s="32" t="s">
        <v>412</v>
      </c>
      <c r="B893" s="25" t="s">
        <v>62</v>
      </c>
      <c r="C893" s="26" t="s">
        <v>14</v>
      </c>
      <c r="D893" s="26" t="s">
        <v>53</v>
      </c>
      <c r="E893" s="26" t="s">
        <v>413</v>
      </c>
      <c r="F893" s="26" t="s">
        <v>58</v>
      </c>
      <c r="G893" s="119">
        <f>G894</f>
        <v>107715.28</v>
      </c>
      <c r="H893" s="119">
        <f>H894</f>
        <v>93066</v>
      </c>
      <c r="I893" s="119">
        <f>I894</f>
        <v>107715.28</v>
      </c>
      <c r="J893" s="119">
        <f>J894</f>
        <v>107715.28</v>
      </c>
      <c r="K893" s="16">
        <f t="shared" si="365"/>
        <v>0</v>
      </c>
      <c r="L893" s="119">
        <f>L894</f>
        <v>93066</v>
      </c>
      <c r="M893" s="16">
        <f t="shared" si="366"/>
        <v>0</v>
      </c>
      <c r="N893" s="119">
        <f>N894</f>
        <v>107715.28</v>
      </c>
      <c r="O893" s="16">
        <f t="shared" si="367"/>
        <v>0</v>
      </c>
    </row>
    <row r="894" spans="1:15" s="30" customFormat="1">
      <c r="A894" s="13" t="s">
        <v>109</v>
      </c>
      <c r="B894" s="25" t="s">
        <v>62</v>
      </c>
      <c r="C894" s="26" t="s">
        <v>14</v>
      </c>
      <c r="D894" s="26" t="s">
        <v>53</v>
      </c>
      <c r="E894" s="26" t="s">
        <v>413</v>
      </c>
      <c r="F894" s="26" t="s">
        <v>134</v>
      </c>
      <c r="G894" s="119">
        <f>G895</f>
        <v>107715.28</v>
      </c>
      <c r="H894" s="119">
        <f t="shared" ref="H894:I894" si="404">H895</f>
        <v>93066</v>
      </c>
      <c r="I894" s="119">
        <f t="shared" si="404"/>
        <v>107715.28</v>
      </c>
      <c r="J894" s="119">
        <v>107715.28</v>
      </c>
      <c r="K894" s="16">
        <f t="shared" si="365"/>
        <v>0</v>
      </c>
      <c r="L894" s="119">
        <f>93066</f>
        <v>93066</v>
      </c>
      <c r="M894" s="16">
        <f t="shared" si="366"/>
        <v>0</v>
      </c>
      <c r="N894" s="119">
        <f>107715.28</f>
        <v>107715.28</v>
      </c>
      <c r="O894" s="16">
        <f t="shared" si="367"/>
        <v>0</v>
      </c>
    </row>
    <row r="895" spans="1:15" s="83" customFormat="1" ht="25.5">
      <c r="A895" s="12" t="s">
        <v>978</v>
      </c>
      <c r="B895" s="25" t="s">
        <v>62</v>
      </c>
      <c r="C895" s="26" t="s">
        <v>14</v>
      </c>
      <c r="D895" s="26" t="s">
        <v>53</v>
      </c>
      <c r="E895" s="26" t="s">
        <v>413</v>
      </c>
      <c r="F895" s="26" t="s">
        <v>1064</v>
      </c>
      <c r="G895" s="119">
        <v>107715.28</v>
      </c>
      <c r="H895" s="119">
        <f>93066</f>
        <v>93066</v>
      </c>
      <c r="I895" s="119">
        <f>107715.28</f>
        <v>107715.28</v>
      </c>
      <c r="J895" s="124"/>
      <c r="K895" s="16">
        <f t="shared" si="365"/>
        <v>-107715.28</v>
      </c>
      <c r="L895" s="124"/>
      <c r="M895" s="16">
        <f t="shared" si="366"/>
        <v>-93066</v>
      </c>
      <c r="N895" s="124"/>
      <c r="O895" s="16">
        <f t="shared" si="367"/>
        <v>-107715.28</v>
      </c>
    </row>
    <row r="896" spans="1:15" s="30" customFormat="1" ht="63.75">
      <c r="A896" s="126" t="s">
        <v>673</v>
      </c>
      <c r="B896" s="35" t="s">
        <v>62</v>
      </c>
      <c r="C896" s="36" t="s">
        <v>14</v>
      </c>
      <c r="D896" s="36" t="s">
        <v>53</v>
      </c>
      <c r="E896" s="36" t="s">
        <v>672</v>
      </c>
      <c r="F896" s="36" t="s">
        <v>58</v>
      </c>
      <c r="G896" s="161">
        <f>G899+G897</f>
        <v>2524</v>
      </c>
      <c r="H896" s="161">
        <f>H899+H897</f>
        <v>2524</v>
      </c>
      <c r="I896" s="161">
        <f>I899+I897</f>
        <v>2524</v>
      </c>
      <c r="J896" s="161">
        <f>J899+J897</f>
        <v>2524</v>
      </c>
      <c r="K896" s="16">
        <f t="shared" si="365"/>
        <v>0</v>
      </c>
      <c r="L896" s="161">
        <f>L899+L897</f>
        <v>2524</v>
      </c>
      <c r="M896" s="16">
        <f t="shared" si="366"/>
        <v>0</v>
      </c>
      <c r="N896" s="161">
        <f>N899+N897</f>
        <v>2524</v>
      </c>
      <c r="O896" s="16">
        <f t="shared" si="367"/>
        <v>0</v>
      </c>
    </row>
    <row r="897" spans="1:15" s="30" customFormat="1" ht="25.5">
      <c r="A897" s="11" t="s">
        <v>108</v>
      </c>
      <c r="B897" s="35" t="s">
        <v>62</v>
      </c>
      <c r="C897" s="36" t="s">
        <v>14</v>
      </c>
      <c r="D897" s="36" t="s">
        <v>53</v>
      </c>
      <c r="E897" s="36" t="s">
        <v>672</v>
      </c>
      <c r="F897" s="36" t="s">
        <v>116</v>
      </c>
      <c r="G897" s="119">
        <f>G898</f>
        <v>25</v>
      </c>
      <c r="H897" s="119">
        <f t="shared" ref="H897:I897" si="405">H898</f>
        <v>25</v>
      </c>
      <c r="I897" s="119">
        <f t="shared" si="405"/>
        <v>25</v>
      </c>
      <c r="J897" s="119">
        <f>25</f>
        <v>25</v>
      </c>
      <c r="K897" s="16">
        <f t="shared" si="365"/>
        <v>0</v>
      </c>
      <c r="L897" s="119">
        <f>25</f>
        <v>25</v>
      </c>
      <c r="M897" s="16">
        <f t="shared" si="366"/>
        <v>0</v>
      </c>
      <c r="N897" s="119">
        <f>25</f>
        <v>25</v>
      </c>
      <c r="O897" s="16">
        <f t="shared" si="367"/>
        <v>0</v>
      </c>
    </row>
    <row r="898" spans="1:15" s="83" customFormat="1" ht="25.5">
      <c r="A898" s="12" t="s">
        <v>973</v>
      </c>
      <c r="B898" s="35" t="s">
        <v>62</v>
      </c>
      <c r="C898" s="36" t="s">
        <v>14</v>
      </c>
      <c r="D898" s="36" t="s">
        <v>53</v>
      </c>
      <c r="E898" s="36" t="s">
        <v>672</v>
      </c>
      <c r="F898" s="36" t="s">
        <v>1043</v>
      </c>
      <c r="G898" s="119">
        <f>25</f>
        <v>25</v>
      </c>
      <c r="H898" s="119">
        <f>25</f>
        <v>25</v>
      </c>
      <c r="I898" s="119">
        <f>25</f>
        <v>25</v>
      </c>
      <c r="J898" s="124"/>
      <c r="K898" s="16">
        <f t="shared" si="365"/>
        <v>-25</v>
      </c>
      <c r="L898" s="124"/>
      <c r="M898" s="16">
        <f t="shared" si="366"/>
        <v>-25</v>
      </c>
      <c r="N898" s="124"/>
      <c r="O898" s="16">
        <f t="shared" si="367"/>
        <v>-25</v>
      </c>
    </row>
    <row r="899" spans="1:15" s="30" customFormat="1">
      <c r="A899" s="40" t="s">
        <v>109</v>
      </c>
      <c r="B899" s="35" t="s">
        <v>62</v>
      </c>
      <c r="C899" s="36" t="s">
        <v>14</v>
      </c>
      <c r="D899" s="36" t="s">
        <v>53</v>
      </c>
      <c r="E899" s="36" t="s">
        <v>672</v>
      </c>
      <c r="F899" s="36" t="s">
        <v>134</v>
      </c>
      <c r="G899" s="119">
        <f>G900</f>
        <v>2499</v>
      </c>
      <c r="H899" s="119">
        <f t="shared" ref="H899:I899" si="406">H900</f>
        <v>2499</v>
      </c>
      <c r="I899" s="119">
        <f t="shared" si="406"/>
        <v>2499</v>
      </c>
      <c r="J899" s="119">
        <f>2499</f>
        <v>2499</v>
      </c>
      <c r="K899" s="16">
        <f t="shared" ref="K899:K962" si="407">J899-G899</f>
        <v>0</v>
      </c>
      <c r="L899" s="119">
        <f>2499</f>
        <v>2499</v>
      </c>
      <c r="M899" s="16">
        <f t="shared" ref="M899:M962" si="408">L899-H899</f>
        <v>0</v>
      </c>
      <c r="N899" s="119">
        <f>2499</f>
        <v>2499</v>
      </c>
      <c r="O899" s="16">
        <f t="shared" ref="O899:O962" si="409">N899-I899</f>
        <v>0</v>
      </c>
    </row>
    <row r="900" spans="1:15" s="83" customFormat="1" ht="25.5">
      <c r="A900" s="12" t="s">
        <v>978</v>
      </c>
      <c r="B900" s="35" t="s">
        <v>62</v>
      </c>
      <c r="C900" s="36" t="s">
        <v>14</v>
      </c>
      <c r="D900" s="36" t="s">
        <v>53</v>
      </c>
      <c r="E900" s="36" t="s">
        <v>672</v>
      </c>
      <c r="F900" s="36" t="s">
        <v>1064</v>
      </c>
      <c r="G900" s="119">
        <f>2499</f>
        <v>2499</v>
      </c>
      <c r="H900" s="119">
        <f>2499</f>
        <v>2499</v>
      </c>
      <c r="I900" s="119">
        <f>2499</f>
        <v>2499</v>
      </c>
      <c r="J900" s="124"/>
      <c r="K900" s="16">
        <f t="shared" si="407"/>
        <v>-2499</v>
      </c>
      <c r="L900" s="124"/>
      <c r="M900" s="16">
        <f t="shared" si="408"/>
        <v>-2499</v>
      </c>
      <c r="N900" s="124"/>
      <c r="O900" s="16">
        <f t="shared" si="409"/>
        <v>-2499</v>
      </c>
    </row>
    <row r="901" spans="1:15" s="30" customFormat="1" ht="25.5">
      <c r="A901" s="126" t="s">
        <v>675</v>
      </c>
      <c r="B901" s="25" t="s">
        <v>62</v>
      </c>
      <c r="C901" s="26" t="s">
        <v>14</v>
      </c>
      <c r="D901" s="26" t="s">
        <v>53</v>
      </c>
      <c r="E901" s="26" t="s">
        <v>799</v>
      </c>
      <c r="F901" s="26" t="s">
        <v>58</v>
      </c>
      <c r="G901" s="119">
        <f>G902+G904</f>
        <v>39248.03</v>
      </c>
      <c r="H901" s="119">
        <f>H902+H904</f>
        <v>46312.450000000004</v>
      </c>
      <c r="I901" s="119">
        <f>I902+I904</f>
        <v>54647.68</v>
      </c>
      <c r="J901" s="119">
        <f>J902+J904</f>
        <v>39248.03</v>
      </c>
      <c r="K901" s="16">
        <f t="shared" si="407"/>
        <v>0</v>
      </c>
      <c r="L901" s="119">
        <f>L902+L904</f>
        <v>46312.450000000004</v>
      </c>
      <c r="M901" s="16">
        <f t="shared" si="408"/>
        <v>0</v>
      </c>
      <c r="N901" s="119">
        <f>N902+N904</f>
        <v>54647.68</v>
      </c>
      <c r="O901" s="16">
        <f t="shared" si="409"/>
        <v>0</v>
      </c>
    </row>
    <row r="902" spans="1:15" s="30" customFormat="1" ht="25.5">
      <c r="A902" s="11" t="s">
        <v>108</v>
      </c>
      <c r="B902" s="25" t="s">
        <v>62</v>
      </c>
      <c r="C902" s="26" t="s">
        <v>14</v>
      </c>
      <c r="D902" s="26" t="s">
        <v>53</v>
      </c>
      <c r="E902" s="26" t="s">
        <v>799</v>
      </c>
      <c r="F902" s="26" t="s">
        <v>116</v>
      </c>
      <c r="G902" s="119">
        <f>G903</f>
        <v>484.54</v>
      </c>
      <c r="H902" s="119">
        <f t="shared" ref="H902:I902" si="410">H903</f>
        <v>571.76</v>
      </c>
      <c r="I902" s="119">
        <f t="shared" si="410"/>
        <v>674.66</v>
      </c>
      <c r="J902" s="119">
        <f>484.54</f>
        <v>484.54</v>
      </c>
      <c r="K902" s="16">
        <f t="shared" si="407"/>
        <v>0</v>
      </c>
      <c r="L902" s="119">
        <f>571.76</f>
        <v>571.76</v>
      </c>
      <c r="M902" s="16">
        <f t="shared" si="408"/>
        <v>0</v>
      </c>
      <c r="N902" s="119">
        <f>674.66</f>
        <v>674.66</v>
      </c>
      <c r="O902" s="16">
        <f t="shared" si="409"/>
        <v>0</v>
      </c>
    </row>
    <row r="903" spans="1:15" s="83" customFormat="1" ht="25.5">
      <c r="A903" s="12" t="s">
        <v>973</v>
      </c>
      <c r="B903" s="25" t="s">
        <v>62</v>
      </c>
      <c r="C903" s="26" t="s">
        <v>14</v>
      </c>
      <c r="D903" s="26" t="s">
        <v>53</v>
      </c>
      <c r="E903" s="26" t="s">
        <v>799</v>
      </c>
      <c r="F903" s="26" t="s">
        <v>1043</v>
      </c>
      <c r="G903" s="119">
        <f>484.54</f>
        <v>484.54</v>
      </c>
      <c r="H903" s="119">
        <f>571.76</f>
        <v>571.76</v>
      </c>
      <c r="I903" s="119">
        <f>674.66</f>
        <v>674.66</v>
      </c>
      <c r="J903" s="124"/>
      <c r="K903" s="16">
        <f t="shared" si="407"/>
        <v>-484.54</v>
      </c>
      <c r="L903" s="124"/>
      <c r="M903" s="16">
        <f t="shared" si="408"/>
        <v>-571.76</v>
      </c>
      <c r="N903" s="124"/>
      <c r="O903" s="16">
        <f t="shared" si="409"/>
        <v>-674.66</v>
      </c>
    </row>
    <row r="904" spans="1:15" s="30" customFormat="1">
      <c r="A904" s="13" t="s">
        <v>109</v>
      </c>
      <c r="B904" s="25" t="s">
        <v>62</v>
      </c>
      <c r="C904" s="26" t="s">
        <v>14</v>
      </c>
      <c r="D904" s="26" t="s">
        <v>53</v>
      </c>
      <c r="E904" s="26" t="s">
        <v>799</v>
      </c>
      <c r="F904" s="26" t="s">
        <v>134</v>
      </c>
      <c r="G904" s="119">
        <f>G905</f>
        <v>38763.49</v>
      </c>
      <c r="H904" s="119">
        <f t="shared" ref="H904:I904" si="411">H905</f>
        <v>45740.69</v>
      </c>
      <c r="I904" s="119">
        <f t="shared" si="411"/>
        <v>53973.02</v>
      </c>
      <c r="J904" s="119">
        <f>38763.49</f>
        <v>38763.49</v>
      </c>
      <c r="K904" s="16">
        <f t="shared" si="407"/>
        <v>0</v>
      </c>
      <c r="L904" s="119">
        <f>45740.69</f>
        <v>45740.69</v>
      </c>
      <c r="M904" s="16">
        <f t="shared" si="408"/>
        <v>0</v>
      </c>
      <c r="N904" s="119">
        <f>53973.02</f>
        <v>53973.02</v>
      </c>
      <c r="O904" s="16">
        <f t="shared" si="409"/>
        <v>0</v>
      </c>
    </row>
    <row r="905" spans="1:15" s="83" customFormat="1" ht="25.5">
      <c r="A905" s="12" t="s">
        <v>978</v>
      </c>
      <c r="B905" s="25" t="s">
        <v>62</v>
      </c>
      <c r="C905" s="26" t="s">
        <v>14</v>
      </c>
      <c r="D905" s="26" t="s">
        <v>53</v>
      </c>
      <c r="E905" s="26" t="s">
        <v>799</v>
      </c>
      <c r="F905" s="26" t="s">
        <v>1064</v>
      </c>
      <c r="G905" s="119">
        <f>38763.49</f>
        <v>38763.49</v>
      </c>
      <c r="H905" s="119">
        <f>45740.69</f>
        <v>45740.69</v>
      </c>
      <c r="I905" s="119">
        <f>53973.02</f>
        <v>53973.02</v>
      </c>
      <c r="J905" s="124"/>
      <c r="K905" s="16">
        <f t="shared" si="407"/>
        <v>-38763.49</v>
      </c>
      <c r="L905" s="124"/>
      <c r="M905" s="16">
        <f t="shared" si="408"/>
        <v>-45740.69</v>
      </c>
      <c r="N905" s="124"/>
      <c r="O905" s="16">
        <f t="shared" si="409"/>
        <v>-53973.02</v>
      </c>
    </row>
    <row r="906" spans="1:15" s="30" customFormat="1" ht="38.25">
      <c r="A906" s="13" t="s">
        <v>842</v>
      </c>
      <c r="B906" s="25" t="s">
        <v>62</v>
      </c>
      <c r="C906" s="26" t="s">
        <v>14</v>
      </c>
      <c r="D906" s="26" t="s">
        <v>53</v>
      </c>
      <c r="E906" s="26" t="s">
        <v>414</v>
      </c>
      <c r="F906" s="26" t="s">
        <v>58</v>
      </c>
      <c r="G906" s="119">
        <f>G907+G941+G947+G951</f>
        <v>21836.37</v>
      </c>
      <c r="H906" s="119">
        <f t="shared" ref="H906:I906" si="412">H907+H941+H947+H951</f>
        <v>20320.409999999996</v>
      </c>
      <c r="I906" s="119">
        <f t="shared" si="412"/>
        <v>20320.409999999996</v>
      </c>
      <c r="J906" s="119">
        <f>J907+J941+J947+J951</f>
        <v>21836.37</v>
      </c>
      <c r="K906" s="16">
        <f t="shared" si="407"/>
        <v>0</v>
      </c>
      <c r="L906" s="119">
        <f t="shared" ref="L906:N906" si="413">L907+L941+L947+L951</f>
        <v>20320.409999999996</v>
      </c>
      <c r="M906" s="16">
        <f t="shared" si="408"/>
        <v>0</v>
      </c>
      <c r="N906" s="119">
        <f t="shared" si="413"/>
        <v>20320.409999999996</v>
      </c>
      <c r="O906" s="16">
        <f t="shared" si="409"/>
        <v>0</v>
      </c>
    </row>
    <row r="907" spans="1:15" s="30" customFormat="1" ht="25.5">
      <c r="A907" s="152" t="s">
        <v>636</v>
      </c>
      <c r="B907" s="25" t="s">
        <v>62</v>
      </c>
      <c r="C907" s="26" t="s">
        <v>14</v>
      </c>
      <c r="D907" s="26" t="s">
        <v>53</v>
      </c>
      <c r="E907" s="26" t="s">
        <v>415</v>
      </c>
      <c r="F907" s="26" t="s">
        <v>58</v>
      </c>
      <c r="G907" s="119">
        <f>G908+G911+G914+G917+G920+G923+G926+G929+G932+G935+G938</f>
        <v>19925.739999999998</v>
      </c>
      <c r="H907" s="119">
        <f t="shared" ref="H907:I907" si="414">H908+H911+H914+H917+H920+H923+H926+H929+H932+H935+H938</f>
        <v>18575.739999999998</v>
      </c>
      <c r="I907" s="119">
        <f t="shared" si="414"/>
        <v>18575.739999999998</v>
      </c>
      <c r="J907" s="119">
        <f>J908+J911+J914+J917+J920+J923+J926+J929+J932+J935+J938</f>
        <v>19925.739999999998</v>
      </c>
      <c r="K907" s="16">
        <f t="shared" si="407"/>
        <v>0</v>
      </c>
      <c r="L907" s="119">
        <f t="shared" ref="L907:N907" si="415">L908+L911+L914+L917+L920+L923+L926+L929+L932+L935+L938</f>
        <v>18575.739999999998</v>
      </c>
      <c r="M907" s="16">
        <f t="shared" si="408"/>
        <v>0</v>
      </c>
      <c r="N907" s="119">
        <f t="shared" si="415"/>
        <v>18575.739999999998</v>
      </c>
      <c r="O907" s="16">
        <f t="shared" si="409"/>
        <v>0</v>
      </c>
    </row>
    <row r="908" spans="1:15" s="30" customFormat="1" ht="38.25">
      <c r="A908" s="32" t="s">
        <v>416</v>
      </c>
      <c r="B908" s="25" t="s">
        <v>62</v>
      </c>
      <c r="C908" s="26" t="s">
        <v>14</v>
      </c>
      <c r="D908" s="26" t="s">
        <v>53</v>
      </c>
      <c r="E908" s="26" t="s">
        <v>417</v>
      </c>
      <c r="F908" s="26" t="s">
        <v>58</v>
      </c>
      <c r="G908" s="119">
        <f>G909</f>
        <v>6350</v>
      </c>
      <c r="H908" s="119">
        <f>H909</f>
        <v>6350</v>
      </c>
      <c r="I908" s="119">
        <f>I909</f>
        <v>6350</v>
      </c>
      <c r="J908" s="119">
        <f>J909</f>
        <v>6350</v>
      </c>
      <c r="K908" s="16">
        <f t="shared" si="407"/>
        <v>0</v>
      </c>
      <c r="L908" s="119">
        <f>L909</f>
        <v>6350</v>
      </c>
      <c r="M908" s="16">
        <f t="shared" si="408"/>
        <v>0</v>
      </c>
      <c r="N908" s="119">
        <f>N909</f>
        <v>6350</v>
      </c>
      <c r="O908" s="16">
        <f t="shared" si="409"/>
        <v>0</v>
      </c>
    </row>
    <row r="909" spans="1:15" s="30" customFormat="1">
      <c r="A909" s="13" t="s">
        <v>109</v>
      </c>
      <c r="B909" s="25" t="s">
        <v>62</v>
      </c>
      <c r="C909" s="26" t="s">
        <v>14</v>
      </c>
      <c r="D909" s="26" t="s">
        <v>53</v>
      </c>
      <c r="E909" s="26" t="s">
        <v>417</v>
      </c>
      <c r="F909" s="26" t="s">
        <v>134</v>
      </c>
      <c r="G909" s="119">
        <f>G910</f>
        <v>6350</v>
      </c>
      <c r="H909" s="119">
        <f t="shared" ref="H909:I909" si="416">H910</f>
        <v>6350</v>
      </c>
      <c r="I909" s="119">
        <f t="shared" si="416"/>
        <v>6350</v>
      </c>
      <c r="J909" s="119">
        <f>6350</f>
        <v>6350</v>
      </c>
      <c r="K909" s="16">
        <f t="shared" si="407"/>
        <v>0</v>
      </c>
      <c r="L909" s="119">
        <f>6350</f>
        <v>6350</v>
      </c>
      <c r="M909" s="16">
        <f t="shared" si="408"/>
        <v>0</v>
      </c>
      <c r="N909" s="119">
        <f>6350</f>
        <v>6350</v>
      </c>
      <c r="O909" s="16">
        <f t="shared" si="409"/>
        <v>0</v>
      </c>
    </row>
    <row r="910" spans="1:15" s="83" customFormat="1" ht="25.5">
      <c r="A910" s="12" t="s">
        <v>978</v>
      </c>
      <c r="B910" s="25" t="s">
        <v>62</v>
      </c>
      <c r="C910" s="26" t="s">
        <v>14</v>
      </c>
      <c r="D910" s="26" t="s">
        <v>53</v>
      </c>
      <c r="E910" s="26" t="s">
        <v>417</v>
      </c>
      <c r="F910" s="26" t="s">
        <v>1064</v>
      </c>
      <c r="G910" s="119">
        <f>6350</f>
        <v>6350</v>
      </c>
      <c r="H910" s="119">
        <f>6350</f>
        <v>6350</v>
      </c>
      <c r="I910" s="119">
        <f>6350</f>
        <v>6350</v>
      </c>
      <c r="J910" s="124"/>
      <c r="K910" s="16">
        <f t="shared" si="407"/>
        <v>-6350</v>
      </c>
      <c r="L910" s="124"/>
      <c r="M910" s="16">
        <f t="shared" si="408"/>
        <v>-6350</v>
      </c>
      <c r="N910" s="124"/>
      <c r="O910" s="16">
        <f t="shared" si="409"/>
        <v>-6350</v>
      </c>
    </row>
    <row r="911" spans="1:15" s="30" customFormat="1" ht="38.25">
      <c r="A911" s="32" t="s">
        <v>418</v>
      </c>
      <c r="B911" s="25" t="s">
        <v>62</v>
      </c>
      <c r="C911" s="26" t="s">
        <v>14</v>
      </c>
      <c r="D911" s="26" t="s">
        <v>53</v>
      </c>
      <c r="E911" s="26" t="s">
        <v>419</v>
      </c>
      <c r="F911" s="26" t="s">
        <v>58</v>
      </c>
      <c r="G911" s="119">
        <f>G912</f>
        <v>694.28</v>
      </c>
      <c r="H911" s="119">
        <f>H912</f>
        <v>694.28</v>
      </c>
      <c r="I911" s="119">
        <f>I912</f>
        <v>694.28</v>
      </c>
      <c r="J911" s="119">
        <f>J912</f>
        <v>694.28</v>
      </c>
      <c r="K911" s="16">
        <f t="shared" si="407"/>
        <v>0</v>
      </c>
      <c r="L911" s="119">
        <f>L912</f>
        <v>694.28</v>
      </c>
      <c r="M911" s="16">
        <f t="shared" si="408"/>
        <v>0</v>
      </c>
      <c r="N911" s="119">
        <f>N912</f>
        <v>694.28</v>
      </c>
      <c r="O911" s="16">
        <f t="shared" si="409"/>
        <v>0</v>
      </c>
    </row>
    <row r="912" spans="1:15" s="30" customFormat="1">
      <c r="A912" s="13" t="s">
        <v>109</v>
      </c>
      <c r="B912" s="25" t="s">
        <v>62</v>
      </c>
      <c r="C912" s="26" t="s">
        <v>14</v>
      </c>
      <c r="D912" s="26" t="s">
        <v>53</v>
      </c>
      <c r="E912" s="26" t="s">
        <v>419</v>
      </c>
      <c r="F912" s="26" t="s">
        <v>134</v>
      </c>
      <c r="G912" s="119">
        <f>G913</f>
        <v>694.28</v>
      </c>
      <c r="H912" s="119">
        <f t="shared" ref="H912:I912" si="417">H913</f>
        <v>694.28</v>
      </c>
      <c r="I912" s="119">
        <f t="shared" si="417"/>
        <v>694.28</v>
      </c>
      <c r="J912" s="119">
        <f>694.28</f>
        <v>694.28</v>
      </c>
      <c r="K912" s="16">
        <f t="shared" si="407"/>
        <v>0</v>
      </c>
      <c r="L912" s="119">
        <f t="shared" ref="H912:N913" si="418">694.28</f>
        <v>694.28</v>
      </c>
      <c r="M912" s="16">
        <f t="shared" si="408"/>
        <v>0</v>
      </c>
      <c r="N912" s="119">
        <f t="shared" si="418"/>
        <v>694.28</v>
      </c>
      <c r="O912" s="16">
        <f t="shared" si="409"/>
        <v>0</v>
      </c>
    </row>
    <row r="913" spans="1:15" s="83" customFormat="1" ht="25.5">
      <c r="A913" s="12" t="s">
        <v>978</v>
      </c>
      <c r="B913" s="25" t="s">
        <v>62</v>
      </c>
      <c r="C913" s="26" t="s">
        <v>14</v>
      </c>
      <c r="D913" s="26" t="s">
        <v>53</v>
      </c>
      <c r="E913" s="26" t="s">
        <v>419</v>
      </c>
      <c r="F913" s="26" t="s">
        <v>1064</v>
      </c>
      <c r="G913" s="119">
        <f>694.28</f>
        <v>694.28</v>
      </c>
      <c r="H913" s="119">
        <f t="shared" si="418"/>
        <v>694.28</v>
      </c>
      <c r="I913" s="119">
        <f t="shared" si="418"/>
        <v>694.28</v>
      </c>
      <c r="J913" s="124"/>
      <c r="K913" s="16">
        <f t="shared" si="407"/>
        <v>-694.28</v>
      </c>
      <c r="L913" s="124"/>
      <c r="M913" s="16">
        <f t="shared" si="408"/>
        <v>-694.28</v>
      </c>
      <c r="N913" s="124"/>
      <c r="O913" s="16">
        <f t="shared" si="409"/>
        <v>-694.28</v>
      </c>
    </row>
    <row r="914" spans="1:15" s="30" customFormat="1" ht="25.5">
      <c r="A914" s="32" t="s">
        <v>420</v>
      </c>
      <c r="B914" s="25" t="s">
        <v>62</v>
      </c>
      <c r="C914" s="26" t="s">
        <v>14</v>
      </c>
      <c r="D914" s="26" t="s">
        <v>53</v>
      </c>
      <c r="E914" s="26" t="s">
        <v>421</v>
      </c>
      <c r="F914" s="26" t="s">
        <v>58</v>
      </c>
      <c r="G914" s="119">
        <f>G915</f>
        <v>5718</v>
      </c>
      <c r="H914" s="119">
        <f>H915</f>
        <v>5718</v>
      </c>
      <c r="I914" s="119">
        <f>I915</f>
        <v>5718</v>
      </c>
      <c r="J914" s="119">
        <f>J915</f>
        <v>5718</v>
      </c>
      <c r="K914" s="16">
        <f t="shared" si="407"/>
        <v>0</v>
      </c>
      <c r="L914" s="119">
        <f>L915</f>
        <v>5718</v>
      </c>
      <c r="M914" s="16">
        <f t="shared" si="408"/>
        <v>0</v>
      </c>
      <c r="N914" s="119">
        <f>N915</f>
        <v>5718</v>
      </c>
      <c r="O914" s="16">
        <f t="shared" si="409"/>
        <v>0</v>
      </c>
    </row>
    <row r="915" spans="1:15" s="30" customFormat="1">
      <c r="A915" s="13" t="s">
        <v>109</v>
      </c>
      <c r="B915" s="25" t="s">
        <v>62</v>
      </c>
      <c r="C915" s="26" t="s">
        <v>14</v>
      </c>
      <c r="D915" s="26" t="s">
        <v>53</v>
      </c>
      <c r="E915" s="26" t="s">
        <v>421</v>
      </c>
      <c r="F915" s="26" t="s">
        <v>134</v>
      </c>
      <c r="G915" s="119">
        <f>G916</f>
        <v>5718</v>
      </c>
      <c r="H915" s="119">
        <f t="shared" ref="H915:I915" si="419">H916</f>
        <v>5718</v>
      </c>
      <c r="I915" s="119">
        <f t="shared" si="419"/>
        <v>5718</v>
      </c>
      <c r="J915" s="119">
        <f>5718</f>
        <v>5718</v>
      </c>
      <c r="K915" s="16">
        <f t="shared" si="407"/>
        <v>0</v>
      </c>
      <c r="L915" s="119">
        <f>5718</f>
        <v>5718</v>
      </c>
      <c r="M915" s="16">
        <f t="shared" si="408"/>
        <v>0</v>
      </c>
      <c r="N915" s="119">
        <f>5718</f>
        <v>5718</v>
      </c>
      <c r="O915" s="16">
        <f t="shared" si="409"/>
        <v>0</v>
      </c>
    </row>
    <row r="916" spans="1:15" s="83" customFormat="1" ht="25.5">
      <c r="A916" s="12" t="s">
        <v>978</v>
      </c>
      <c r="B916" s="25" t="s">
        <v>62</v>
      </c>
      <c r="C916" s="26" t="s">
        <v>14</v>
      </c>
      <c r="D916" s="26" t="s">
        <v>53</v>
      </c>
      <c r="E916" s="26" t="s">
        <v>421</v>
      </c>
      <c r="F916" s="26" t="s">
        <v>1064</v>
      </c>
      <c r="G916" s="119">
        <f>5718</f>
        <v>5718</v>
      </c>
      <c r="H916" s="119">
        <f>5718</f>
        <v>5718</v>
      </c>
      <c r="I916" s="119">
        <f>5718</f>
        <v>5718</v>
      </c>
      <c r="J916" s="124"/>
      <c r="K916" s="16">
        <f t="shared" si="407"/>
        <v>-5718</v>
      </c>
      <c r="L916" s="124"/>
      <c r="M916" s="16">
        <f t="shared" si="408"/>
        <v>-5718</v>
      </c>
      <c r="N916" s="124"/>
      <c r="O916" s="16">
        <f t="shared" si="409"/>
        <v>-5718</v>
      </c>
    </row>
    <row r="917" spans="1:15" s="30" customFormat="1" ht="25.5">
      <c r="A917" s="32" t="s">
        <v>422</v>
      </c>
      <c r="B917" s="25" t="s">
        <v>62</v>
      </c>
      <c r="C917" s="26" t="s">
        <v>14</v>
      </c>
      <c r="D917" s="26" t="s">
        <v>53</v>
      </c>
      <c r="E917" s="26" t="s">
        <v>423</v>
      </c>
      <c r="F917" s="26" t="s">
        <v>58</v>
      </c>
      <c r="G917" s="119">
        <f>G918</f>
        <v>1080</v>
      </c>
      <c r="H917" s="119">
        <f>H918</f>
        <v>1080</v>
      </c>
      <c r="I917" s="119">
        <f>I918</f>
        <v>1080</v>
      </c>
      <c r="J917" s="119">
        <f>J918</f>
        <v>1080</v>
      </c>
      <c r="K917" s="16">
        <f t="shared" si="407"/>
        <v>0</v>
      </c>
      <c r="L917" s="119">
        <f>L918</f>
        <v>1080</v>
      </c>
      <c r="M917" s="16">
        <f t="shared" si="408"/>
        <v>0</v>
      </c>
      <c r="N917" s="119">
        <f>N918</f>
        <v>1080</v>
      </c>
      <c r="O917" s="16">
        <f t="shared" si="409"/>
        <v>0</v>
      </c>
    </row>
    <row r="918" spans="1:15" s="30" customFormat="1">
      <c r="A918" s="13" t="s">
        <v>109</v>
      </c>
      <c r="B918" s="25" t="s">
        <v>62</v>
      </c>
      <c r="C918" s="26" t="s">
        <v>14</v>
      </c>
      <c r="D918" s="26" t="s">
        <v>53</v>
      </c>
      <c r="E918" s="26" t="s">
        <v>423</v>
      </c>
      <c r="F918" s="26" t="s">
        <v>134</v>
      </c>
      <c r="G918" s="119">
        <f>G919</f>
        <v>1080</v>
      </c>
      <c r="H918" s="119">
        <f t="shared" ref="H918:I918" si="420">H919</f>
        <v>1080</v>
      </c>
      <c r="I918" s="119">
        <f t="shared" si="420"/>
        <v>1080</v>
      </c>
      <c r="J918" s="119">
        <f>1080</f>
        <v>1080</v>
      </c>
      <c r="K918" s="16">
        <f t="shared" si="407"/>
        <v>0</v>
      </c>
      <c r="L918" s="119">
        <f>1080</f>
        <v>1080</v>
      </c>
      <c r="M918" s="16">
        <f t="shared" si="408"/>
        <v>0</v>
      </c>
      <c r="N918" s="119">
        <f>1080</f>
        <v>1080</v>
      </c>
      <c r="O918" s="16">
        <f t="shared" si="409"/>
        <v>0</v>
      </c>
    </row>
    <row r="919" spans="1:15" s="83" customFormat="1" ht="25.5">
      <c r="A919" s="12" t="s">
        <v>978</v>
      </c>
      <c r="B919" s="25" t="s">
        <v>62</v>
      </c>
      <c r="C919" s="26" t="s">
        <v>14</v>
      </c>
      <c r="D919" s="26" t="s">
        <v>53</v>
      </c>
      <c r="E919" s="26" t="s">
        <v>423</v>
      </c>
      <c r="F919" s="26" t="s">
        <v>1064</v>
      </c>
      <c r="G919" s="119">
        <f>1080</f>
        <v>1080</v>
      </c>
      <c r="H919" s="119">
        <f>1080</f>
        <v>1080</v>
      </c>
      <c r="I919" s="119">
        <f>1080</f>
        <v>1080</v>
      </c>
      <c r="J919" s="124"/>
      <c r="K919" s="16">
        <f t="shared" si="407"/>
        <v>-1080</v>
      </c>
      <c r="L919" s="124"/>
      <c r="M919" s="16">
        <f t="shared" si="408"/>
        <v>-1080</v>
      </c>
      <c r="N919" s="124"/>
      <c r="O919" s="16">
        <f t="shared" si="409"/>
        <v>-1080</v>
      </c>
    </row>
    <row r="920" spans="1:15" s="30" customFormat="1" ht="102">
      <c r="A920" s="32" t="s">
        <v>424</v>
      </c>
      <c r="B920" s="25" t="s">
        <v>62</v>
      </c>
      <c r="C920" s="26" t="s">
        <v>14</v>
      </c>
      <c r="D920" s="26" t="s">
        <v>53</v>
      </c>
      <c r="E920" s="26" t="s">
        <v>425</v>
      </c>
      <c r="F920" s="26" t="s">
        <v>58</v>
      </c>
      <c r="G920" s="119">
        <f>G921</f>
        <v>1025.46</v>
      </c>
      <c r="H920" s="119">
        <f>H921</f>
        <v>1025.46</v>
      </c>
      <c r="I920" s="119">
        <f>I921</f>
        <v>1025.46</v>
      </c>
      <c r="J920" s="119">
        <f>J921</f>
        <v>1025.46</v>
      </c>
      <c r="K920" s="16">
        <f t="shared" si="407"/>
        <v>0</v>
      </c>
      <c r="L920" s="119">
        <f>L921</f>
        <v>1025.46</v>
      </c>
      <c r="M920" s="16">
        <f t="shared" si="408"/>
        <v>0</v>
      </c>
      <c r="N920" s="119">
        <f>N921</f>
        <v>1025.46</v>
      </c>
      <c r="O920" s="16">
        <f t="shared" si="409"/>
        <v>0</v>
      </c>
    </row>
    <row r="921" spans="1:15" s="30" customFormat="1">
      <c r="A921" s="13" t="s">
        <v>109</v>
      </c>
      <c r="B921" s="25" t="s">
        <v>62</v>
      </c>
      <c r="C921" s="26" t="s">
        <v>14</v>
      </c>
      <c r="D921" s="26" t="s">
        <v>53</v>
      </c>
      <c r="E921" s="26" t="s">
        <v>425</v>
      </c>
      <c r="F921" s="26" t="s">
        <v>134</v>
      </c>
      <c r="G921" s="119">
        <f>G922</f>
        <v>1025.46</v>
      </c>
      <c r="H921" s="119">
        <f t="shared" ref="H921:I921" si="421">H922</f>
        <v>1025.46</v>
      </c>
      <c r="I921" s="119">
        <f t="shared" si="421"/>
        <v>1025.46</v>
      </c>
      <c r="J921" s="119">
        <f>1025.46</f>
        <v>1025.46</v>
      </c>
      <c r="K921" s="16">
        <f t="shared" si="407"/>
        <v>0</v>
      </c>
      <c r="L921" s="119">
        <f t="shared" ref="H921:N922" si="422">1025.46</f>
        <v>1025.46</v>
      </c>
      <c r="M921" s="16">
        <f t="shared" si="408"/>
        <v>0</v>
      </c>
      <c r="N921" s="119">
        <f t="shared" si="422"/>
        <v>1025.46</v>
      </c>
      <c r="O921" s="16">
        <f t="shared" si="409"/>
        <v>0</v>
      </c>
    </row>
    <row r="922" spans="1:15" s="103" customFormat="1" ht="25.5">
      <c r="A922" s="12" t="s">
        <v>978</v>
      </c>
      <c r="B922" s="25" t="s">
        <v>62</v>
      </c>
      <c r="C922" s="26" t="s">
        <v>14</v>
      </c>
      <c r="D922" s="26" t="s">
        <v>53</v>
      </c>
      <c r="E922" s="26" t="s">
        <v>425</v>
      </c>
      <c r="F922" s="26" t="s">
        <v>1064</v>
      </c>
      <c r="G922" s="119">
        <f>1025.46</f>
        <v>1025.46</v>
      </c>
      <c r="H922" s="119">
        <f t="shared" si="422"/>
        <v>1025.46</v>
      </c>
      <c r="I922" s="119">
        <f t="shared" si="422"/>
        <v>1025.46</v>
      </c>
      <c r="J922" s="102"/>
      <c r="K922" s="91">
        <f t="shared" si="407"/>
        <v>-1025.46</v>
      </c>
      <c r="L922" s="102"/>
      <c r="M922" s="91">
        <f t="shared" si="408"/>
        <v>-1025.46</v>
      </c>
      <c r="N922" s="102"/>
      <c r="O922" s="91">
        <f t="shared" si="409"/>
        <v>-1025.46</v>
      </c>
    </row>
    <row r="923" spans="1:15" s="30" customFormat="1" ht="25.5">
      <c r="A923" s="32" t="s">
        <v>426</v>
      </c>
      <c r="B923" s="25" t="s">
        <v>62</v>
      </c>
      <c r="C923" s="26" t="s">
        <v>14</v>
      </c>
      <c r="D923" s="26" t="s">
        <v>53</v>
      </c>
      <c r="E923" s="26" t="s">
        <v>427</v>
      </c>
      <c r="F923" s="26" t="s">
        <v>58</v>
      </c>
      <c r="G923" s="119">
        <f>G924</f>
        <v>714</v>
      </c>
      <c r="H923" s="119">
        <f>H924</f>
        <v>714</v>
      </c>
      <c r="I923" s="119">
        <f>I924</f>
        <v>714</v>
      </c>
      <c r="J923" s="119">
        <f>J924</f>
        <v>714</v>
      </c>
      <c r="K923" s="16">
        <f t="shared" si="407"/>
        <v>0</v>
      </c>
      <c r="L923" s="119">
        <f>L924</f>
        <v>714</v>
      </c>
      <c r="M923" s="16">
        <f t="shared" si="408"/>
        <v>0</v>
      </c>
      <c r="N923" s="119">
        <f>N924</f>
        <v>714</v>
      </c>
      <c r="O923" s="16">
        <f t="shared" si="409"/>
        <v>0</v>
      </c>
    </row>
    <row r="924" spans="1:15" s="30" customFormat="1">
      <c r="A924" s="13" t="s">
        <v>109</v>
      </c>
      <c r="B924" s="25" t="s">
        <v>62</v>
      </c>
      <c r="C924" s="26" t="s">
        <v>14</v>
      </c>
      <c r="D924" s="26" t="s">
        <v>53</v>
      </c>
      <c r="E924" s="26" t="s">
        <v>427</v>
      </c>
      <c r="F924" s="26" t="s">
        <v>134</v>
      </c>
      <c r="G924" s="119">
        <f>G925</f>
        <v>714</v>
      </c>
      <c r="H924" s="119">
        <f t="shared" ref="H924:I924" si="423">H925</f>
        <v>714</v>
      </c>
      <c r="I924" s="119">
        <f t="shared" si="423"/>
        <v>714</v>
      </c>
      <c r="J924" s="119">
        <f>714</f>
        <v>714</v>
      </c>
      <c r="K924" s="16">
        <f t="shared" si="407"/>
        <v>0</v>
      </c>
      <c r="L924" s="119">
        <f>714</f>
        <v>714</v>
      </c>
      <c r="M924" s="16">
        <f t="shared" si="408"/>
        <v>0</v>
      </c>
      <c r="N924" s="119">
        <f>714</f>
        <v>714</v>
      </c>
      <c r="O924" s="16">
        <f t="shared" si="409"/>
        <v>0</v>
      </c>
    </row>
    <row r="925" spans="1:15" s="83" customFormat="1" ht="25.5">
      <c r="A925" s="12" t="s">
        <v>978</v>
      </c>
      <c r="B925" s="25" t="s">
        <v>62</v>
      </c>
      <c r="C925" s="26" t="s">
        <v>14</v>
      </c>
      <c r="D925" s="26" t="s">
        <v>53</v>
      </c>
      <c r="E925" s="26" t="s">
        <v>427</v>
      </c>
      <c r="F925" s="26" t="s">
        <v>1064</v>
      </c>
      <c r="G925" s="119">
        <f>714</f>
        <v>714</v>
      </c>
      <c r="H925" s="119">
        <f>714</f>
        <v>714</v>
      </c>
      <c r="I925" s="119">
        <f>714</f>
        <v>714</v>
      </c>
      <c r="J925" s="124"/>
      <c r="K925" s="16">
        <f t="shared" si="407"/>
        <v>-714</v>
      </c>
      <c r="L925" s="124"/>
      <c r="M925" s="16">
        <f t="shared" si="408"/>
        <v>-714</v>
      </c>
      <c r="N925" s="124"/>
      <c r="O925" s="16">
        <f t="shared" si="409"/>
        <v>-714</v>
      </c>
    </row>
    <row r="926" spans="1:15" s="30" customFormat="1" ht="51">
      <c r="A926" s="32" t="s">
        <v>428</v>
      </c>
      <c r="B926" s="25" t="s">
        <v>62</v>
      </c>
      <c r="C926" s="26" t="s">
        <v>14</v>
      </c>
      <c r="D926" s="26" t="s">
        <v>53</v>
      </c>
      <c r="E926" s="26" t="s">
        <v>429</v>
      </c>
      <c r="F926" s="26" t="s">
        <v>58</v>
      </c>
      <c r="G926" s="119">
        <f>G927</f>
        <v>1350</v>
      </c>
      <c r="H926" s="119">
        <f>H927</f>
        <v>0</v>
      </c>
      <c r="I926" s="119">
        <f>I927</f>
        <v>0</v>
      </c>
      <c r="J926" s="119">
        <f>J927</f>
        <v>1350</v>
      </c>
      <c r="K926" s="16">
        <f t="shared" si="407"/>
        <v>0</v>
      </c>
      <c r="L926" s="119">
        <f>L927</f>
        <v>0</v>
      </c>
      <c r="M926" s="16">
        <f t="shared" si="408"/>
        <v>0</v>
      </c>
      <c r="N926" s="119">
        <f>N927</f>
        <v>0</v>
      </c>
      <c r="O926" s="16">
        <f t="shared" si="409"/>
        <v>0</v>
      </c>
    </row>
    <row r="927" spans="1:15" s="30" customFormat="1">
      <c r="A927" s="13" t="s">
        <v>109</v>
      </c>
      <c r="B927" s="25" t="s">
        <v>62</v>
      </c>
      <c r="C927" s="26" t="s">
        <v>14</v>
      </c>
      <c r="D927" s="26" t="s">
        <v>53</v>
      </c>
      <c r="E927" s="26" t="s">
        <v>429</v>
      </c>
      <c r="F927" s="26" t="s">
        <v>134</v>
      </c>
      <c r="G927" s="119">
        <f>G928</f>
        <v>1350</v>
      </c>
      <c r="H927" s="119">
        <f t="shared" ref="H927:I927" si="424">H928</f>
        <v>0</v>
      </c>
      <c r="I927" s="119">
        <f t="shared" si="424"/>
        <v>0</v>
      </c>
      <c r="J927" s="119">
        <f>1350</f>
        <v>1350</v>
      </c>
      <c r="K927" s="16">
        <f t="shared" si="407"/>
        <v>0</v>
      </c>
      <c r="L927" s="119">
        <v>0</v>
      </c>
      <c r="M927" s="16">
        <f t="shared" si="408"/>
        <v>0</v>
      </c>
      <c r="N927" s="119">
        <v>0</v>
      </c>
      <c r="O927" s="16">
        <f t="shared" si="409"/>
        <v>0</v>
      </c>
    </row>
    <row r="928" spans="1:15" s="83" customFormat="1" ht="25.5">
      <c r="A928" s="12" t="s">
        <v>978</v>
      </c>
      <c r="B928" s="25" t="s">
        <v>62</v>
      </c>
      <c r="C928" s="26" t="s">
        <v>14</v>
      </c>
      <c r="D928" s="26" t="s">
        <v>53</v>
      </c>
      <c r="E928" s="26" t="s">
        <v>429</v>
      </c>
      <c r="F928" s="26" t="s">
        <v>1064</v>
      </c>
      <c r="G928" s="119">
        <f>1350</f>
        <v>1350</v>
      </c>
      <c r="H928" s="119">
        <v>0</v>
      </c>
      <c r="I928" s="119">
        <v>0</v>
      </c>
      <c r="J928" s="124"/>
      <c r="K928" s="16">
        <f t="shared" si="407"/>
        <v>-1350</v>
      </c>
      <c r="L928" s="124"/>
      <c r="M928" s="16">
        <f t="shared" si="408"/>
        <v>0</v>
      </c>
      <c r="N928" s="124"/>
      <c r="O928" s="16">
        <f t="shared" si="409"/>
        <v>0</v>
      </c>
    </row>
    <row r="929" spans="1:15" s="30" customFormat="1" ht="25.5">
      <c r="A929" s="32" t="s">
        <v>430</v>
      </c>
      <c r="B929" s="25" t="s">
        <v>62</v>
      </c>
      <c r="C929" s="26" t="s">
        <v>14</v>
      </c>
      <c r="D929" s="26" t="s">
        <v>53</v>
      </c>
      <c r="E929" s="26" t="s">
        <v>431</v>
      </c>
      <c r="F929" s="26" t="s">
        <v>58</v>
      </c>
      <c r="G929" s="119">
        <f>G930</f>
        <v>1000</v>
      </c>
      <c r="H929" s="119">
        <f>H930</f>
        <v>1000</v>
      </c>
      <c r="I929" s="119">
        <f>I930</f>
        <v>1000</v>
      </c>
      <c r="J929" s="119">
        <f>J930</f>
        <v>1000</v>
      </c>
      <c r="K929" s="16">
        <f t="shared" si="407"/>
        <v>0</v>
      </c>
      <c r="L929" s="119">
        <f>L930</f>
        <v>1000</v>
      </c>
      <c r="M929" s="16">
        <f t="shared" si="408"/>
        <v>0</v>
      </c>
      <c r="N929" s="119">
        <f>N930</f>
        <v>1000</v>
      </c>
      <c r="O929" s="16">
        <f t="shared" si="409"/>
        <v>0</v>
      </c>
    </row>
    <row r="930" spans="1:15" s="30" customFormat="1">
      <c r="A930" s="13" t="s">
        <v>109</v>
      </c>
      <c r="B930" s="25" t="s">
        <v>62</v>
      </c>
      <c r="C930" s="26" t="s">
        <v>14</v>
      </c>
      <c r="D930" s="26" t="s">
        <v>53</v>
      </c>
      <c r="E930" s="26" t="s">
        <v>431</v>
      </c>
      <c r="F930" s="26" t="s">
        <v>134</v>
      </c>
      <c r="G930" s="119">
        <f>G931</f>
        <v>1000</v>
      </c>
      <c r="H930" s="119">
        <f t="shared" ref="H930:I930" si="425">H931</f>
        <v>1000</v>
      </c>
      <c r="I930" s="119">
        <f t="shared" si="425"/>
        <v>1000</v>
      </c>
      <c r="J930" s="119">
        <f>1000</f>
        <v>1000</v>
      </c>
      <c r="K930" s="16">
        <f t="shared" si="407"/>
        <v>0</v>
      </c>
      <c r="L930" s="119">
        <f>1000</f>
        <v>1000</v>
      </c>
      <c r="M930" s="16">
        <f t="shared" si="408"/>
        <v>0</v>
      </c>
      <c r="N930" s="119">
        <f>1000</f>
        <v>1000</v>
      </c>
      <c r="O930" s="16">
        <f t="shared" si="409"/>
        <v>0</v>
      </c>
    </row>
    <row r="931" spans="1:15" s="83" customFormat="1" ht="25.5">
      <c r="A931" s="12" t="s">
        <v>978</v>
      </c>
      <c r="B931" s="25" t="s">
        <v>62</v>
      </c>
      <c r="C931" s="26" t="s">
        <v>14</v>
      </c>
      <c r="D931" s="26" t="s">
        <v>53</v>
      </c>
      <c r="E931" s="26" t="s">
        <v>431</v>
      </c>
      <c r="F931" s="26" t="s">
        <v>1064</v>
      </c>
      <c r="G931" s="119">
        <f>1000</f>
        <v>1000</v>
      </c>
      <c r="H931" s="119">
        <f>1000</f>
        <v>1000</v>
      </c>
      <c r="I931" s="119">
        <f>1000</f>
        <v>1000</v>
      </c>
      <c r="J931" s="124"/>
      <c r="K931" s="16">
        <f t="shared" si="407"/>
        <v>-1000</v>
      </c>
      <c r="L931" s="124"/>
      <c r="M931" s="16">
        <f t="shared" si="408"/>
        <v>-1000</v>
      </c>
      <c r="N931" s="124"/>
      <c r="O931" s="16">
        <f t="shared" si="409"/>
        <v>-1000</v>
      </c>
    </row>
    <row r="932" spans="1:15" s="33" customFormat="1" ht="25.5">
      <c r="A932" s="32" t="s">
        <v>432</v>
      </c>
      <c r="B932" s="25" t="s">
        <v>62</v>
      </c>
      <c r="C932" s="26" t="s">
        <v>14</v>
      </c>
      <c r="D932" s="26" t="s">
        <v>53</v>
      </c>
      <c r="E932" s="26" t="s">
        <v>433</v>
      </c>
      <c r="F932" s="26" t="s">
        <v>58</v>
      </c>
      <c r="G932" s="119">
        <f>G933</f>
        <v>1854</v>
      </c>
      <c r="H932" s="119">
        <f>H933</f>
        <v>1854</v>
      </c>
      <c r="I932" s="119">
        <f>I933</f>
        <v>1854</v>
      </c>
      <c r="J932" s="119">
        <f>J933</f>
        <v>1854</v>
      </c>
      <c r="K932" s="16">
        <f t="shared" si="407"/>
        <v>0</v>
      </c>
      <c r="L932" s="119">
        <f>L933</f>
        <v>1854</v>
      </c>
      <c r="M932" s="16">
        <f t="shared" si="408"/>
        <v>0</v>
      </c>
      <c r="N932" s="119">
        <f>N933</f>
        <v>1854</v>
      </c>
      <c r="O932" s="16">
        <f t="shared" si="409"/>
        <v>0</v>
      </c>
    </row>
    <row r="933" spans="1:15" s="33" customFormat="1">
      <c r="A933" s="13" t="s">
        <v>109</v>
      </c>
      <c r="B933" s="25" t="s">
        <v>62</v>
      </c>
      <c r="C933" s="26" t="s">
        <v>14</v>
      </c>
      <c r="D933" s="26" t="s">
        <v>53</v>
      </c>
      <c r="E933" s="26" t="s">
        <v>433</v>
      </c>
      <c r="F933" s="26" t="s">
        <v>134</v>
      </c>
      <c r="G933" s="119">
        <f>G934</f>
        <v>1854</v>
      </c>
      <c r="H933" s="119">
        <f t="shared" ref="H933:I933" si="426">H934</f>
        <v>1854</v>
      </c>
      <c r="I933" s="119">
        <f t="shared" si="426"/>
        <v>1854</v>
      </c>
      <c r="J933" s="119">
        <f>1854</f>
        <v>1854</v>
      </c>
      <c r="K933" s="16">
        <f t="shared" si="407"/>
        <v>0</v>
      </c>
      <c r="L933" s="119">
        <f>1854</f>
        <v>1854</v>
      </c>
      <c r="M933" s="16">
        <f t="shared" si="408"/>
        <v>0</v>
      </c>
      <c r="N933" s="119">
        <f>1854</f>
        <v>1854</v>
      </c>
      <c r="O933" s="16">
        <f t="shared" si="409"/>
        <v>0</v>
      </c>
    </row>
    <row r="934" spans="1:15" s="125" customFormat="1" ht="25.5">
      <c r="A934" s="12" t="s">
        <v>978</v>
      </c>
      <c r="B934" s="25" t="s">
        <v>62</v>
      </c>
      <c r="C934" s="26" t="s">
        <v>14</v>
      </c>
      <c r="D934" s="26" t="s">
        <v>53</v>
      </c>
      <c r="E934" s="26" t="s">
        <v>433</v>
      </c>
      <c r="F934" s="26" t="s">
        <v>1064</v>
      </c>
      <c r="G934" s="119">
        <f>1854</f>
        <v>1854</v>
      </c>
      <c r="H934" s="119">
        <f>1854</f>
        <v>1854</v>
      </c>
      <c r="I934" s="119">
        <f>1854</f>
        <v>1854</v>
      </c>
      <c r="J934" s="124"/>
      <c r="K934" s="16">
        <f t="shared" si="407"/>
        <v>-1854</v>
      </c>
      <c r="L934" s="124"/>
      <c r="M934" s="16">
        <f t="shared" si="408"/>
        <v>-1854</v>
      </c>
      <c r="N934" s="124"/>
      <c r="O934" s="16">
        <f t="shared" si="409"/>
        <v>-1854</v>
      </c>
    </row>
    <row r="935" spans="1:15" s="33" customFormat="1" ht="25.5">
      <c r="A935" s="32" t="s">
        <v>434</v>
      </c>
      <c r="B935" s="25" t="s">
        <v>62</v>
      </c>
      <c r="C935" s="26" t="s">
        <v>14</v>
      </c>
      <c r="D935" s="26" t="s">
        <v>53</v>
      </c>
      <c r="E935" s="26" t="s">
        <v>435</v>
      </c>
      <c r="F935" s="26" t="s">
        <v>58</v>
      </c>
      <c r="G935" s="119">
        <f>G936</f>
        <v>40</v>
      </c>
      <c r="H935" s="119">
        <f>H936</f>
        <v>40</v>
      </c>
      <c r="I935" s="119">
        <f>I936</f>
        <v>40</v>
      </c>
      <c r="J935" s="119">
        <f>J936</f>
        <v>40</v>
      </c>
      <c r="K935" s="16">
        <f t="shared" si="407"/>
        <v>0</v>
      </c>
      <c r="L935" s="119">
        <f>L936</f>
        <v>40</v>
      </c>
      <c r="M935" s="16">
        <f t="shared" si="408"/>
        <v>0</v>
      </c>
      <c r="N935" s="119">
        <f>N936</f>
        <v>40</v>
      </c>
      <c r="O935" s="16">
        <f t="shared" si="409"/>
        <v>0</v>
      </c>
    </row>
    <row r="936" spans="1:15" s="33" customFormat="1">
      <c r="A936" s="13" t="s">
        <v>109</v>
      </c>
      <c r="B936" s="25" t="s">
        <v>62</v>
      </c>
      <c r="C936" s="26" t="s">
        <v>14</v>
      </c>
      <c r="D936" s="26" t="s">
        <v>53</v>
      </c>
      <c r="E936" s="26" t="s">
        <v>435</v>
      </c>
      <c r="F936" s="26" t="s">
        <v>134</v>
      </c>
      <c r="G936" s="119">
        <f>G937</f>
        <v>40</v>
      </c>
      <c r="H936" s="119">
        <f t="shared" ref="H936:I936" si="427">H937</f>
        <v>40</v>
      </c>
      <c r="I936" s="119">
        <f t="shared" si="427"/>
        <v>40</v>
      </c>
      <c r="J936" s="119">
        <f>40</f>
        <v>40</v>
      </c>
      <c r="K936" s="16">
        <f t="shared" si="407"/>
        <v>0</v>
      </c>
      <c r="L936" s="119">
        <f>40</f>
        <v>40</v>
      </c>
      <c r="M936" s="16">
        <f t="shared" si="408"/>
        <v>0</v>
      </c>
      <c r="N936" s="119">
        <f>40</f>
        <v>40</v>
      </c>
      <c r="O936" s="16">
        <f t="shared" si="409"/>
        <v>0</v>
      </c>
    </row>
    <row r="937" spans="1:15" s="125" customFormat="1" ht="25.5">
      <c r="A937" s="12" t="s">
        <v>978</v>
      </c>
      <c r="B937" s="25" t="s">
        <v>62</v>
      </c>
      <c r="C937" s="26" t="s">
        <v>14</v>
      </c>
      <c r="D937" s="26" t="s">
        <v>53</v>
      </c>
      <c r="E937" s="26" t="s">
        <v>435</v>
      </c>
      <c r="F937" s="26" t="s">
        <v>1064</v>
      </c>
      <c r="G937" s="119">
        <f>40</f>
        <v>40</v>
      </c>
      <c r="H937" s="119">
        <f>40</f>
        <v>40</v>
      </c>
      <c r="I937" s="119">
        <f>40</f>
        <v>40</v>
      </c>
      <c r="J937" s="124"/>
      <c r="K937" s="16">
        <f t="shared" si="407"/>
        <v>-40</v>
      </c>
      <c r="L937" s="124"/>
      <c r="M937" s="16">
        <f t="shared" si="408"/>
        <v>-40</v>
      </c>
      <c r="N937" s="124"/>
      <c r="O937" s="16">
        <f t="shared" si="409"/>
        <v>-40</v>
      </c>
    </row>
    <row r="938" spans="1:15" s="33" customFormat="1" ht="38.25">
      <c r="A938" s="32" t="s">
        <v>804</v>
      </c>
      <c r="B938" s="25" t="s">
        <v>62</v>
      </c>
      <c r="C938" s="26" t="s">
        <v>14</v>
      </c>
      <c r="D938" s="26" t="s">
        <v>53</v>
      </c>
      <c r="E938" s="26" t="s">
        <v>436</v>
      </c>
      <c r="F938" s="26" t="s">
        <v>58</v>
      </c>
      <c r="G938" s="121">
        <f>G939</f>
        <v>100</v>
      </c>
      <c r="H938" s="121">
        <f>H939</f>
        <v>100</v>
      </c>
      <c r="I938" s="121">
        <f>I939</f>
        <v>100</v>
      </c>
      <c r="J938" s="121">
        <f>J939</f>
        <v>100</v>
      </c>
      <c r="K938" s="16">
        <f t="shared" si="407"/>
        <v>0</v>
      </c>
      <c r="L938" s="121">
        <f>L939</f>
        <v>100</v>
      </c>
      <c r="M938" s="16">
        <f t="shared" si="408"/>
        <v>0</v>
      </c>
      <c r="N938" s="121">
        <f>N939</f>
        <v>100</v>
      </c>
      <c r="O938" s="16">
        <f t="shared" si="409"/>
        <v>0</v>
      </c>
    </row>
    <row r="939" spans="1:15" s="33" customFormat="1">
      <c r="A939" s="13" t="s">
        <v>109</v>
      </c>
      <c r="B939" s="25" t="s">
        <v>62</v>
      </c>
      <c r="C939" s="26" t="s">
        <v>14</v>
      </c>
      <c r="D939" s="26" t="s">
        <v>53</v>
      </c>
      <c r="E939" s="26" t="s">
        <v>436</v>
      </c>
      <c r="F939" s="26" t="s">
        <v>134</v>
      </c>
      <c r="G939" s="119">
        <f>G940</f>
        <v>100</v>
      </c>
      <c r="H939" s="119">
        <f t="shared" ref="H939:I939" si="428">H940</f>
        <v>100</v>
      </c>
      <c r="I939" s="119">
        <f t="shared" si="428"/>
        <v>100</v>
      </c>
      <c r="J939" s="119">
        <f>100</f>
        <v>100</v>
      </c>
      <c r="K939" s="16">
        <f t="shared" si="407"/>
        <v>0</v>
      </c>
      <c r="L939" s="119">
        <f>100</f>
        <v>100</v>
      </c>
      <c r="M939" s="16">
        <f t="shared" si="408"/>
        <v>0</v>
      </c>
      <c r="N939" s="119">
        <f>100</f>
        <v>100</v>
      </c>
      <c r="O939" s="16">
        <f t="shared" si="409"/>
        <v>0</v>
      </c>
    </row>
    <row r="940" spans="1:15" s="125" customFormat="1" ht="25.5">
      <c r="A940" s="12" t="s">
        <v>978</v>
      </c>
      <c r="B940" s="25" t="s">
        <v>62</v>
      </c>
      <c r="C940" s="26" t="s">
        <v>14</v>
      </c>
      <c r="D940" s="26" t="s">
        <v>53</v>
      </c>
      <c r="E940" s="26" t="s">
        <v>436</v>
      </c>
      <c r="F940" s="26" t="s">
        <v>1064</v>
      </c>
      <c r="G940" s="119">
        <f>100</f>
        <v>100</v>
      </c>
      <c r="H940" s="119">
        <f>100</f>
        <v>100</v>
      </c>
      <c r="I940" s="119">
        <f>100</f>
        <v>100</v>
      </c>
      <c r="J940" s="124"/>
      <c r="K940" s="16">
        <f t="shared" si="407"/>
        <v>-100</v>
      </c>
      <c r="L940" s="124"/>
      <c r="M940" s="16">
        <f t="shared" si="408"/>
        <v>-100</v>
      </c>
      <c r="N940" s="124"/>
      <c r="O940" s="16">
        <f t="shared" si="409"/>
        <v>-100</v>
      </c>
    </row>
    <row r="941" spans="1:15" s="33" customFormat="1" ht="25.5">
      <c r="A941" s="32" t="s">
        <v>800</v>
      </c>
      <c r="B941" s="25" t="s">
        <v>62</v>
      </c>
      <c r="C941" s="26" t="s">
        <v>14</v>
      </c>
      <c r="D941" s="26" t="s">
        <v>53</v>
      </c>
      <c r="E941" s="26" t="s">
        <v>801</v>
      </c>
      <c r="F941" s="26" t="s">
        <v>58</v>
      </c>
      <c r="G941" s="121">
        <f>G942</f>
        <v>1287.75</v>
      </c>
      <c r="H941" s="121">
        <f t="shared" ref="H941:N941" si="429">H942</f>
        <v>1158.98</v>
      </c>
      <c r="I941" s="121">
        <f t="shared" si="429"/>
        <v>1158.98</v>
      </c>
      <c r="J941" s="121">
        <f>J942</f>
        <v>1287.75</v>
      </c>
      <c r="K941" s="16">
        <f t="shared" si="407"/>
        <v>0</v>
      </c>
      <c r="L941" s="121">
        <f t="shared" si="429"/>
        <v>1158.98</v>
      </c>
      <c r="M941" s="16">
        <f t="shared" si="408"/>
        <v>0</v>
      </c>
      <c r="N941" s="121">
        <f t="shared" si="429"/>
        <v>1158.98</v>
      </c>
      <c r="O941" s="16">
        <f t="shared" si="409"/>
        <v>0</v>
      </c>
    </row>
    <row r="942" spans="1:15" s="33" customFormat="1" ht="25.5">
      <c r="A942" s="31" t="s">
        <v>192</v>
      </c>
      <c r="B942" s="25" t="s">
        <v>62</v>
      </c>
      <c r="C942" s="26" t="s">
        <v>14</v>
      </c>
      <c r="D942" s="26" t="s">
        <v>53</v>
      </c>
      <c r="E942" s="26" t="s">
        <v>802</v>
      </c>
      <c r="F942" s="26" t="s">
        <v>58</v>
      </c>
      <c r="G942" s="121">
        <f>G943+G945</f>
        <v>1287.75</v>
      </c>
      <c r="H942" s="121">
        <f t="shared" ref="H942:I942" si="430">H943+H945</f>
        <v>1158.98</v>
      </c>
      <c r="I942" s="121">
        <f t="shared" si="430"/>
        <v>1158.98</v>
      </c>
      <c r="J942" s="121">
        <f>SUM(J943:J945)</f>
        <v>1287.75</v>
      </c>
      <c r="K942" s="16">
        <f t="shared" si="407"/>
        <v>0</v>
      </c>
      <c r="L942" s="121">
        <f t="shared" ref="L942:N942" si="431">SUM(L943:L945)</f>
        <v>1158.98</v>
      </c>
      <c r="M942" s="16">
        <f t="shared" si="408"/>
        <v>0</v>
      </c>
      <c r="N942" s="121">
        <f t="shared" si="431"/>
        <v>1158.98</v>
      </c>
      <c r="O942" s="16">
        <f t="shared" si="409"/>
        <v>0</v>
      </c>
    </row>
    <row r="943" spans="1:15" s="33" customFormat="1" ht="25.5">
      <c r="A943" s="11" t="s">
        <v>108</v>
      </c>
      <c r="B943" s="25" t="s">
        <v>62</v>
      </c>
      <c r="C943" s="26" t="s">
        <v>14</v>
      </c>
      <c r="D943" s="26" t="s">
        <v>53</v>
      </c>
      <c r="E943" s="26" t="s">
        <v>802</v>
      </c>
      <c r="F943" s="26" t="s">
        <v>116</v>
      </c>
      <c r="G943" s="119">
        <f>G944</f>
        <v>1209</v>
      </c>
      <c r="H943" s="119">
        <f t="shared" ref="H943:I943" si="432">H944</f>
        <v>1077.98</v>
      </c>
      <c r="I943" s="119">
        <f t="shared" si="432"/>
        <v>1077.98</v>
      </c>
      <c r="J943" s="119">
        <f>1209</f>
        <v>1209</v>
      </c>
      <c r="K943" s="16">
        <f t="shared" si="407"/>
        <v>0</v>
      </c>
      <c r="L943" s="119">
        <f>1077.98</f>
        <v>1077.98</v>
      </c>
      <c r="M943" s="16">
        <f t="shared" si="408"/>
        <v>0</v>
      </c>
      <c r="N943" s="119">
        <f>1077.98</f>
        <v>1077.98</v>
      </c>
      <c r="O943" s="16">
        <f t="shared" si="409"/>
        <v>0</v>
      </c>
    </row>
    <row r="944" spans="1:15" s="125" customFormat="1" ht="25.5">
      <c r="A944" s="12" t="s">
        <v>973</v>
      </c>
      <c r="B944" s="25" t="s">
        <v>62</v>
      </c>
      <c r="C944" s="26" t="s">
        <v>14</v>
      </c>
      <c r="D944" s="26" t="s">
        <v>53</v>
      </c>
      <c r="E944" s="26" t="s">
        <v>802</v>
      </c>
      <c r="F944" s="26" t="s">
        <v>1043</v>
      </c>
      <c r="G944" s="119">
        <f>1209</f>
        <v>1209</v>
      </c>
      <c r="H944" s="119">
        <f>1077.98</f>
        <v>1077.98</v>
      </c>
      <c r="I944" s="119">
        <f>1077.98</f>
        <v>1077.98</v>
      </c>
      <c r="J944" s="124"/>
      <c r="K944" s="16">
        <f t="shared" si="407"/>
        <v>-1209</v>
      </c>
      <c r="L944" s="124"/>
      <c r="M944" s="16">
        <f t="shared" si="408"/>
        <v>-1077.98</v>
      </c>
      <c r="N944" s="124"/>
      <c r="O944" s="16">
        <f t="shared" si="409"/>
        <v>-1077.98</v>
      </c>
    </row>
    <row r="945" spans="1:15" s="33" customFormat="1" ht="25.5">
      <c r="A945" s="13" t="s">
        <v>110</v>
      </c>
      <c r="B945" s="25" t="s">
        <v>62</v>
      </c>
      <c r="C945" s="26" t="s">
        <v>14</v>
      </c>
      <c r="D945" s="26" t="s">
        <v>53</v>
      </c>
      <c r="E945" s="26" t="s">
        <v>802</v>
      </c>
      <c r="F945" s="26" t="s">
        <v>117</v>
      </c>
      <c r="G945" s="119">
        <f>G946</f>
        <v>78.75</v>
      </c>
      <c r="H945" s="119">
        <f t="shared" ref="H945:I945" si="433">H946</f>
        <v>81</v>
      </c>
      <c r="I945" s="119">
        <f t="shared" si="433"/>
        <v>81</v>
      </c>
      <c r="J945" s="119">
        <f>78.75</f>
        <v>78.75</v>
      </c>
      <c r="K945" s="16">
        <f t="shared" si="407"/>
        <v>0</v>
      </c>
      <c r="L945" s="119">
        <f>81</f>
        <v>81</v>
      </c>
      <c r="M945" s="16">
        <f t="shared" si="408"/>
        <v>0</v>
      </c>
      <c r="N945" s="119">
        <f>81</f>
        <v>81</v>
      </c>
      <c r="O945" s="16">
        <f t="shared" si="409"/>
        <v>0</v>
      </c>
    </row>
    <row r="946" spans="1:15" s="125" customFormat="1" ht="25.5">
      <c r="A946" s="12" t="s">
        <v>981</v>
      </c>
      <c r="B946" s="25" t="s">
        <v>62</v>
      </c>
      <c r="C946" s="26" t="s">
        <v>14</v>
      </c>
      <c r="D946" s="26" t="s">
        <v>53</v>
      </c>
      <c r="E946" s="26" t="s">
        <v>802</v>
      </c>
      <c r="F946" s="26" t="s">
        <v>1065</v>
      </c>
      <c r="G946" s="119">
        <f>78.75</f>
        <v>78.75</v>
      </c>
      <c r="H946" s="119">
        <f>81</f>
        <v>81</v>
      </c>
      <c r="I946" s="119">
        <f>81</f>
        <v>81</v>
      </c>
      <c r="J946" s="124"/>
      <c r="K946" s="16">
        <f t="shared" si="407"/>
        <v>-78.75</v>
      </c>
      <c r="L946" s="124"/>
      <c r="M946" s="16">
        <f t="shared" si="408"/>
        <v>-81</v>
      </c>
      <c r="N946" s="124"/>
      <c r="O946" s="16">
        <f t="shared" si="409"/>
        <v>-81</v>
      </c>
    </row>
    <row r="947" spans="1:15" s="33" customFormat="1" ht="25.5">
      <c r="A947" s="32" t="s">
        <v>803</v>
      </c>
      <c r="B947" s="25" t="s">
        <v>62</v>
      </c>
      <c r="C947" s="26" t="s">
        <v>14</v>
      </c>
      <c r="D947" s="26" t="s">
        <v>53</v>
      </c>
      <c r="E947" s="26" t="s">
        <v>805</v>
      </c>
      <c r="F947" s="26" t="s">
        <v>58</v>
      </c>
      <c r="G947" s="121">
        <f>G948</f>
        <v>251</v>
      </c>
      <c r="H947" s="121">
        <f t="shared" ref="H947:N947" si="434">H948</f>
        <v>251</v>
      </c>
      <c r="I947" s="121">
        <f t="shared" si="434"/>
        <v>251</v>
      </c>
      <c r="J947" s="121">
        <f>J948</f>
        <v>251</v>
      </c>
      <c r="K947" s="16">
        <f t="shared" si="407"/>
        <v>0</v>
      </c>
      <c r="L947" s="121">
        <f t="shared" si="434"/>
        <v>251</v>
      </c>
      <c r="M947" s="16">
        <f t="shared" si="408"/>
        <v>0</v>
      </c>
      <c r="N947" s="121">
        <f t="shared" si="434"/>
        <v>251</v>
      </c>
      <c r="O947" s="16">
        <f t="shared" si="409"/>
        <v>0</v>
      </c>
    </row>
    <row r="948" spans="1:15" s="33" customFormat="1" ht="38.25">
      <c r="A948" s="31" t="s">
        <v>881</v>
      </c>
      <c r="B948" s="25" t="s">
        <v>62</v>
      </c>
      <c r="C948" s="26" t="s">
        <v>14</v>
      </c>
      <c r="D948" s="26" t="s">
        <v>53</v>
      </c>
      <c r="E948" s="26" t="s">
        <v>806</v>
      </c>
      <c r="F948" s="26" t="s">
        <v>58</v>
      </c>
      <c r="G948" s="121">
        <f>G949</f>
        <v>251</v>
      </c>
      <c r="H948" s="121">
        <f>H949</f>
        <v>251</v>
      </c>
      <c r="I948" s="121">
        <f>I949</f>
        <v>251</v>
      </c>
      <c r="J948" s="121">
        <f>J949</f>
        <v>251</v>
      </c>
      <c r="K948" s="16">
        <f t="shared" si="407"/>
        <v>0</v>
      </c>
      <c r="L948" s="121">
        <f>L949</f>
        <v>251</v>
      </c>
      <c r="M948" s="16">
        <f t="shared" si="408"/>
        <v>0</v>
      </c>
      <c r="N948" s="121">
        <f>N949</f>
        <v>251</v>
      </c>
      <c r="O948" s="16">
        <f t="shared" si="409"/>
        <v>0</v>
      </c>
    </row>
    <row r="949" spans="1:15" s="33" customFormat="1" ht="25.5">
      <c r="A949" s="11" t="s">
        <v>108</v>
      </c>
      <c r="B949" s="25" t="s">
        <v>62</v>
      </c>
      <c r="C949" s="26" t="s">
        <v>14</v>
      </c>
      <c r="D949" s="26" t="s">
        <v>53</v>
      </c>
      <c r="E949" s="26" t="s">
        <v>806</v>
      </c>
      <c r="F949" s="26" t="s">
        <v>116</v>
      </c>
      <c r="G949" s="119">
        <f>G950</f>
        <v>251</v>
      </c>
      <c r="H949" s="119">
        <f t="shared" ref="H949:I949" si="435">H950</f>
        <v>251</v>
      </c>
      <c r="I949" s="119">
        <f t="shared" si="435"/>
        <v>251</v>
      </c>
      <c r="J949" s="119">
        <f>251</f>
        <v>251</v>
      </c>
      <c r="K949" s="16">
        <f t="shared" si="407"/>
        <v>0</v>
      </c>
      <c r="L949" s="119">
        <f>251</f>
        <v>251</v>
      </c>
      <c r="M949" s="16">
        <f t="shared" si="408"/>
        <v>0</v>
      </c>
      <c r="N949" s="119">
        <f>251</f>
        <v>251</v>
      </c>
      <c r="O949" s="16">
        <f t="shared" si="409"/>
        <v>0</v>
      </c>
    </row>
    <row r="950" spans="1:15" s="125" customFormat="1" ht="25.5">
      <c r="A950" s="12" t="s">
        <v>973</v>
      </c>
      <c r="B950" s="25" t="s">
        <v>62</v>
      </c>
      <c r="C950" s="26" t="s">
        <v>14</v>
      </c>
      <c r="D950" s="26" t="s">
        <v>53</v>
      </c>
      <c r="E950" s="26" t="s">
        <v>806</v>
      </c>
      <c r="F950" s="26" t="s">
        <v>1043</v>
      </c>
      <c r="G950" s="119">
        <f>251</f>
        <v>251</v>
      </c>
      <c r="H950" s="119">
        <f>251</f>
        <v>251</v>
      </c>
      <c r="I950" s="119">
        <f>251</f>
        <v>251</v>
      </c>
      <c r="J950" s="124"/>
      <c r="K950" s="16">
        <f t="shared" si="407"/>
        <v>-251</v>
      </c>
      <c r="L950" s="124"/>
      <c r="M950" s="16">
        <f t="shared" si="408"/>
        <v>-251</v>
      </c>
      <c r="N950" s="124"/>
      <c r="O950" s="16">
        <f t="shared" si="409"/>
        <v>-251</v>
      </c>
    </row>
    <row r="951" spans="1:15" s="33" customFormat="1" ht="25.5">
      <c r="A951" s="11" t="s">
        <v>843</v>
      </c>
      <c r="B951" s="25" t="s">
        <v>62</v>
      </c>
      <c r="C951" s="26" t="s">
        <v>14</v>
      </c>
      <c r="D951" s="26" t="s">
        <v>53</v>
      </c>
      <c r="E951" s="26" t="s">
        <v>807</v>
      </c>
      <c r="F951" s="26" t="s">
        <v>58</v>
      </c>
      <c r="G951" s="119">
        <f>G952</f>
        <v>371.88</v>
      </c>
      <c r="H951" s="119">
        <f t="shared" ref="H951:N951" si="436">H952</f>
        <v>334.69</v>
      </c>
      <c r="I951" s="119">
        <f t="shared" si="436"/>
        <v>334.69</v>
      </c>
      <c r="J951" s="119">
        <f>J952</f>
        <v>371.88</v>
      </c>
      <c r="K951" s="16">
        <f t="shared" si="407"/>
        <v>0</v>
      </c>
      <c r="L951" s="119">
        <f t="shared" si="436"/>
        <v>334.69</v>
      </c>
      <c r="M951" s="16">
        <f t="shared" si="408"/>
        <v>0</v>
      </c>
      <c r="N951" s="119">
        <f t="shared" si="436"/>
        <v>334.69</v>
      </c>
      <c r="O951" s="16">
        <f t="shared" si="409"/>
        <v>0</v>
      </c>
    </row>
    <row r="952" spans="1:15" s="33" customFormat="1" ht="25.5">
      <c r="A952" s="31" t="s">
        <v>882</v>
      </c>
      <c r="B952" s="25" t="s">
        <v>62</v>
      </c>
      <c r="C952" s="26" t="s">
        <v>14</v>
      </c>
      <c r="D952" s="26" t="s">
        <v>53</v>
      </c>
      <c r="E952" s="26" t="s">
        <v>808</v>
      </c>
      <c r="F952" s="26" t="s">
        <v>58</v>
      </c>
      <c r="G952" s="121">
        <f t="shared" ref="G952:N953" si="437">G953</f>
        <v>371.88</v>
      </c>
      <c r="H952" s="121">
        <f t="shared" si="437"/>
        <v>334.69</v>
      </c>
      <c r="I952" s="121">
        <f t="shared" si="437"/>
        <v>334.69</v>
      </c>
      <c r="J952" s="121">
        <f t="shared" si="437"/>
        <v>371.88</v>
      </c>
      <c r="K952" s="16">
        <f t="shared" si="407"/>
        <v>0</v>
      </c>
      <c r="L952" s="121">
        <f t="shared" si="437"/>
        <v>334.69</v>
      </c>
      <c r="M952" s="16">
        <f t="shared" si="408"/>
        <v>0</v>
      </c>
      <c r="N952" s="121">
        <f t="shared" si="437"/>
        <v>334.69</v>
      </c>
      <c r="O952" s="16">
        <f t="shared" si="409"/>
        <v>0</v>
      </c>
    </row>
    <row r="953" spans="1:15" s="33" customFormat="1" ht="25.5">
      <c r="A953" s="11" t="s">
        <v>108</v>
      </c>
      <c r="B953" s="25" t="s">
        <v>62</v>
      </c>
      <c r="C953" s="26" t="s">
        <v>14</v>
      </c>
      <c r="D953" s="26" t="s">
        <v>53</v>
      </c>
      <c r="E953" s="26" t="s">
        <v>808</v>
      </c>
      <c r="F953" s="26" t="s">
        <v>116</v>
      </c>
      <c r="G953" s="119">
        <f>G954</f>
        <v>371.88</v>
      </c>
      <c r="H953" s="119">
        <f t="shared" si="437"/>
        <v>334.69</v>
      </c>
      <c r="I953" s="119">
        <f t="shared" si="437"/>
        <v>334.69</v>
      </c>
      <c r="J953" s="119">
        <f>371.88</f>
        <v>371.88</v>
      </c>
      <c r="K953" s="16">
        <f t="shared" si="407"/>
        <v>0</v>
      </c>
      <c r="L953" s="119">
        <f>334.69</f>
        <v>334.69</v>
      </c>
      <c r="M953" s="16">
        <f t="shared" si="408"/>
        <v>0</v>
      </c>
      <c r="N953" s="119">
        <f>334.69</f>
        <v>334.69</v>
      </c>
      <c r="O953" s="16">
        <f t="shared" si="409"/>
        <v>0</v>
      </c>
    </row>
    <row r="954" spans="1:15" s="125" customFormat="1" ht="25.5">
      <c r="A954" s="12" t="s">
        <v>973</v>
      </c>
      <c r="B954" s="25" t="s">
        <v>62</v>
      </c>
      <c r="C954" s="26" t="s">
        <v>14</v>
      </c>
      <c r="D954" s="26" t="s">
        <v>53</v>
      </c>
      <c r="E954" s="26" t="s">
        <v>808</v>
      </c>
      <c r="F954" s="26" t="s">
        <v>1043</v>
      </c>
      <c r="G954" s="119">
        <f>371.88</f>
        <v>371.88</v>
      </c>
      <c r="H954" s="119">
        <f>334.69</f>
        <v>334.69</v>
      </c>
      <c r="I954" s="119">
        <f>334.69</f>
        <v>334.69</v>
      </c>
      <c r="J954" s="124"/>
      <c r="K954" s="16">
        <f t="shared" si="407"/>
        <v>-371.88</v>
      </c>
      <c r="L954" s="124"/>
      <c r="M954" s="16">
        <f t="shared" si="408"/>
        <v>-334.69</v>
      </c>
      <c r="N954" s="124"/>
      <c r="O954" s="16">
        <f t="shared" si="409"/>
        <v>-334.69</v>
      </c>
    </row>
    <row r="955" spans="1:15" s="33" customFormat="1">
      <c r="A955" s="31" t="s">
        <v>145</v>
      </c>
      <c r="B955" s="25" t="s">
        <v>62</v>
      </c>
      <c r="C955" s="26" t="s">
        <v>14</v>
      </c>
      <c r="D955" s="26" t="s">
        <v>53</v>
      </c>
      <c r="E955" s="26" t="s">
        <v>437</v>
      </c>
      <c r="F955" s="26" t="s">
        <v>58</v>
      </c>
      <c r="G955" s="121">
        <f t="shared" ref="G955:N958" si="438">G956</f>
        <v>1739</v>
      </c>
      <c r="H955" s="121">
        <f t="shared" si="438"/>
        <v>1739</v>
      </c>
      <c r="I955" s="121">
        <f t="shared" si="438"/>
        <v>1739</v>
      </c>
      <c r="J955" s="121">
        <f t="shared" si="438"/>
        <v>1739</v>
      </c>
      <c r="K955" s="16">
        <f t="shared" si="407"/>
        <v>0</v>
      </c>
      <c r="L955" s="121">
        <f t="shared" si="438"/>
        <v>1739</v>
      </c>
      <c r="M955" s="16">
        <f t="shared" si="408"/>
        <v>0</v>
      </c>
      <c r="N955" s="121">
        <f t="shared" si="438"/>
        <v>1739</v>
      </c>
      <c r="O955" s="16">
        <f t="shared" si="409"/>
        <v>0</v>
      </c>
    </row>
    <row r="956" spans="1:15" s="33" customFormat="1" ht="38.25">
      <c r="A956" s="120" t="s">
        <v>439</v>
      </c>
      <c r="B956" s="25" t="s">
        <v>62</v>
      </c>
      <c r="C956" s="26" t="s">
        <v>14</v>
      </c>
      <c r="D956" s="26" t="s">
        <v>53</v>
      </c>
      <c r="E956" s="26" t="s">
        <v>438</v>
      </c>
      <c r="F956" s="26" t="s">
        <v>58</v>
      </c>
      <c r="G956" s="121">
        <f t="shared" si="438"/>
        <v>1739</v>
      </c>
      <c r="H956" s="121">
        <f t="shared" si="438"/>
        <v>1739</v>
      </c>
      <c r="I956" s="121">
        <f t="shared" si="438"/>
        <v>1739</v>
      </c>
      <c r="J956" s="121">
        <f t="shared" si="438"/>
        <v>1739</v>
      </c>
      <c r="K956" s="16">
        <f t="shared" si="407"/>
        <v>0</v>
      </c>
      <c r="L956" s="121">
        <f t="shared" si="438"/>
        <v>1739</v>
      </c>
      <c r="M956" s="16">
        <f t="shared" si="408"/>
        <v>0</v>
      </c>
      <c r="N956" s="121">
        <f t="shared" si="438"/>
        <v>1739</v>
      </c>
      <c r="O956" s="16">
        <f t="shared" si="409"/>
        <v>0</v>
      </c>
    </row>
    <row r="957" spans="1:15" s="33" customFormat="1" ht="38.25">
      <c r="A957" s="31" t="s">
        <v>157</v>
      </c>
      <c r="B957" s="25" t="s">
        <v>62</v>
      </c>
      <c r="C957" s="26" t="s">
        <v>14</v>
      </c>
      <c r="D957" s="26" t="s">
        <v>53</v>
      </c>
      <c r="E957" s="26" t="s">
        <v>767</v>
      </c>
      <c r="F957" s="26" t="s">
        <v>58</v>
      </c>
      <c r="G957" s="121">
        <f t="shared" si="438"/>
        <v>1739</v>
      </c>
      <c r="H957" s="121">
        <f t="shared" si="438"/>
        <v>1739</v>
      </c>
      <c r="I957" s="121">
        <f t="shared" si="438"/>
        <v>1739</v>
      </c>
      <c r="J957" s="121">
        <f t="shared" si="438"/>
        <v>1739</v>
      </c>
      <c r="K957" s="16">
        <f t="shared" si="407"/>
        <v>0</v>
      </c>
      <c r="L957" s="121">
        <f t="shared" si="438"/>
        <v>1739</v>
      </c>
      <c r="M957" s="16">
        <f t="shared" si="408"/>
        <v>0</v>
      </c>
      <c r="N957" s="121">
        <f t="shared" si="438"/>
        <v>1739</v>
      </c>
      <c r="O957" s="16">
        <f t="shared" si="409"/>
        <v>0</v>
      </c>
    </row>
    <row r="958" spans="1:15" s="33" customFormat="1" ht="25.5">
      <c r="A958" s="13" t="s">
        <v>110</v>
      </c>
      <c r="B958" s="25" t="s">
        <v>62</v>
      </c>
      <c r="C958" s="26" t="s">
        <v>14</v>
      </c>
      <c r="D958" s="26" t="s">
        <v>53</v>
      </c>
      <c r="E958" s="26" t="s">
        <v>767</v>
      </c>
      <c r="F958" s="26" t="s">
        <v>117</v>
      </c>
      <c r="G958" s="119">
        <f>G959</f>
        <v>1739</v>
      </c>
      <c r="H958" s="119">
        <f t="shared" si="438"/>
        <v>1739</v>
      </c>
      <c r="I958" s="119">
        <f t="shared" si="438"/>
        <v>1739</v>
      </c>
      <c r="J958" s="119">
        <f>1739</f>
        <v>1739</v>
      </c>
      <c r="K958" s="16">
        <f t="shared" si="407"/>
        <v>0</v>
      </c>
      <c r="L958" s="119">
        <f>1739</f>
        <v>1739</v>
      </c>
      <c r="M958" s="16">
        <f t="shared" si="408"/>
        <v>0</v>
      </c>
      <c r="N958" s="119">
        <f>1739</f>
        <v>1739</v>
      </c>
      <c r="O958" s="16">
        <f t="shared" si="409"/>
        <v>0</v>
      </c>
    </row>
    <row r="959" spans="1:15" s="125" customFormat="1" ht="25.5">
      <c r="A959" s="12" t="s">
        <v>981</v>
      </c>
      <c r="B959" s="25" t="s">
        <v>62</v>
      </c>
      <c r="C959" s="26" t="s">
        <v>14</v>
      </c>
      <c r="D959" s="26" t="s">
        <v>53</v>
      </c>
      <c r="E959" s="26" t="s">
        <v>767</v>
      </c>
      <c r="F959" s="26" t="s">
        <v>1065</v>
      </c>
      <c r="G959" s="119">
        <f>1739</f>
        <v>1739</v>
      </c>
      <c r="H959" s="119">
        <f>1739</f>
        <v>1739</v>
      </c>
      <c r="I959" s="119">
        <f>1739</f>
        <v>1739</v>
      </c>
      <c r="J959" s="124"/>
      <c r="K959" s="16">
        <f t="shared" si="407"/>
        <v>-1739</v>
      </c>
      <c r="L959" s="124"/>
      <c r="M959" s="16">
        <f t="shared" si="408"/>
        <v>-1739</v>
      </c>
      <c r="N959" s="124"/>
      <c r="O959" s="16">
        <f t="shared" si="409"/>
        <v>-1739</v>
      </c>
    </row>
    <row r="960" spans="1:15" s="163" customFormat="1">
      <c r="A960" s="21" t="s">
        <v>22</v>
      </c>
      <c r="B960" s="22" t="s">
        <v>62</v>
      </c>
      <c r="C960" s="23" t="s">
        <v>14</v>
      </c>
      <c r="D960" s="23" t="s">
        <v>37</v>
      </c>
      <c r="E960" s="23" t="s">
        <v>196</v>
      </c>
      <c r="F960" s="23" t="s">
        <v>58</v>
      </c>
      <c r="G960" s="24">
        <f t="shared" ref="G960:N962" si="439">G961</f>
        <v>127928.84000000001</v>
      </c>
      <c r="H960" s="24">
        <f t="shared" si="439"/>
        <v>128007.24</v>
      </c>
      <c r="I960" s="24">
        <f t="shared" si="439"/>
        <v>128079.24</v>
      </c>
      <c r="J960" s="24">
        <f t="shared" si="439"/>
        <v>127928.84000000001</v>
      </c>
      <c r="K960" s="16">
        <f t="shared" si="407"/>
        <v>0</v>
      </c>
      <c r="L960" s="24">
        <f t="shared" si="439"/>
        <v>128007.24</v>
      </c>
      <c r="M960" s="16">
        <f t="shared" si="408"/>
        <v>0</v>
      </c>
      <c r="N960" s="24">
        <f t="shared" si="439"/>
        <v>128079.24</v>
      </c>
      <c r="O960" s="16">
        <f t="shared" si="409"/>
        <v>0</v>
      </c>
    </row>
    <row r="961" spans="1:15" s="163" customFormat="1" ht="25.5">
      <c r="A961" s="31" t="s">
        <v>727</v>
      </c>
      <c r="B961" s="25" t="s">
        <v>62</v>
      </c>
      <c r="C961" s="26" t="s">
        <v>14</v>
      </c>
      <c r="D961" s="26" t="s">
        <v>37</v>
      </c>
      <c r="E961" s="26" t="s">
        <v>327</v>
      </c>
      <c r="F961" s="26" t="s">
        <v>58</v>
      </c>
      <c r="G961" s="121">
        <f t="shared" si="439"/>
        <v>127928.84000000001</v>
      </c>
      <c r="H961" s="121">
        <f t="shared" si="439"/>
        <v>128007.24</v>
      </c>
      <c r="I961" s="121">
        <f t="shared" si="439"/>
        <v>128079.24</v>
      </c>
      <c r="J961" s="121">
        <f t="shared" si="439"/>
        <v>127928.84000000001</v>
      </c>
      <c r="K961" s="16">
        <f t="shared" si="407"/>
        <v>0</v>
      </c>
      <c r="L961" s="121">
        <f t="shared" si="439"/>
        <v>128007.24</v>
      </c>
      <c r="M961" s="16">
        <f t="shared" si="408"/>
        <v>0</v>
      </c>
      <c r="N961" s="121">
        <f t="shared" si="439"/>
        <v>128079.24</v>
      </c>
      <c r="O961" s="16">
        <f t="shared" si="409"/>
        <v>0</v>
      </c>
    </row>
    <row r="962" spans="1:15" s="163" customFormat="1" ht="38.25">
      <c r="A962" s="120" t="s">
        <v>728</v>
      </c>
      <c r="B962" s="25" t="s">
        <v>62</v>
      </c>
      <c r="C962" s="26" t="s">
        <v>14</v>
      </c>
      <c r="D962" s="26" t="s">
        <v>37</v>
      </c>
      <c r="E962" s="26" t="s">
        <v>392</v>
      </c>
      <c r="F962" s="26" t="s">
        <v>58</v>
      </c>
      <c r="G962" s="121">
        <f t="shared" si="439"/>
        <v>127928.84000000001</v>
      </c>
      <c r="H962" s="121">
        <f t="shared" si="439"/>
        <v>128007.24</v>
      </c>
      <c r="I962" s="121">
        <f t="shared" si="439"/>
        <v>128079.24</v>
      </c>
      <c r="J962" s="121">
        <f t="shared" si="439"/>
        <v>127928.84000000001</v>
      </c>
      <c r="K962" s="16">
        <f t="shared" si="407"/>
        <v>0</v>
      </c>
      <c r="L962" s="121">
        <f t="shared" si="439"/>
        <v>128007.24</v>
      </c>
      <c r="M962" s="16">
        <f t="shared" si="408"/>
        <v>0</v>
      </c>
      <c r="N962" s="121">
        <f t="shared" si="439"/>
        <v>128079.24</v>
      </c>
      <c r="O962" s="16">
        <f t="shared" si="409"/>
        <v>0</v>
      </c>
    </row>
    <row r="963" spans="1:15" s="30" customFormat="1" ht="25.5">
      <c r="A963" s="152" t="s">
        <v>406</v>
      </c>
      <c r="B963" s="25" t="s">
        <v>62</v>
      </c>
      <c r="C963" s="26" t="s">
        <v>14</v>
      </c>
      <c r="D963" s="26" t="s">
        <v>37</v>
      </c>
      <c r="E963" s="26" t="s">
        <v>407</v>
      </c>
      <c r="F963" s="26" t="s">
        <v>58</v>
      </c>
      <c r="G963" s="119">
        <f>G964+G967</f>
        <v>127928.84000000001</v>
      </c>
      <c r="H963" s="119">
        <f t="shared" ref="H963:I963" si="440">H964+H967</f>
        <v>128007.24</v>
      </c>
      <c r="I963" s="119">
        <f t="shared" si="440"/>
        <v>128079.24</v>
      </c>
      <c r="J963" s="119">
        <f>J964+J967</f>
        <v>127928.84000000001</v>
      </c>
      <c r="K963" s="16">
        <f t="shared" ref="K963:K1024" si="441">J963-G963</f>
        <v>0</v>
      </c>
      <c r="L963" s="119">
        <f t="shared" ref="L963" si="442">L964+L967</f>
        <v>128007.24</v>
      </c>
      <c r="M963" s="16">
        <f t="shared" ref="M963:M1024" si="443">L963-H963</f>
        <v>0</v>
      </c>
      <c r="N963" s="119">
        <f t="shared" ref="N963" si="444">N964+N967</f>
        <v>128079.24</v>
      </c>
      <c r="O963" s="16">
        <f t="shared" ref="O963:O1024" si="445">N963-I963</f>
        <v>0</v>
      </c>
    </row>
    <row r="964" spans="1:15" s="30" customFormat="1" ht="51">
      <c r="A964" s="32" t="s">
        <v>920</v>
      </c>
      <c r="B964" s="25" t="s">
        <v>62</v>
      </c>
      <c r="C964" s="26" t="s">
        <v>14</v>
      </c>
      <c r="D964" s="26" t="s">
        <v>37</v>
      </c>
      <c r="E964" s="26" t="s">
        <v>440</v>
      </c>
      <c r="F964" s="26" t="s">
        <v>58</v>
      </c>
      <c r="G964" s="119">
        <f>G965</f>
        <v>126215.74</v>
      </c>
      <c r="H964" s="119">
        <f>H965</f>
        <v>126215.74</v>
      </c>
      <c r="I964" s="119">
        <f>I965</f>
        <v>126215.74</v>
      </c>
      <c r="J964" s="119">
        <f>J965</f>
        <v>126215.74</v>
      </c>
      <c r="K964" s="16">
        <f t="shared" si="441"/>
        <v>0</v>
      </c>
      <c r="L964" s="119">
        <f>L965</f>
        <v>126215.74</v>
      </c>
      <c r="M964" s="16">
        <f t="shared" si="443"/>
        <v>0</v>
      </c>
      <c r="N964" s="119">
        <f>N965</f>
        <v>126215.74</v>
      </c>
      <c r="O964" s="16">
        <f t="shared" si="445"/>
        <v>0</v>
      </c>
    </row>
    <row r="965" spans="1:15" s="30" customFormat="1">
      <c r="A965" s="13" t="s">
        <v>109</v>
      </c>
      <c r="B965" s="25" t="s">
        <v>62</v>
      </c>
      <c r="C965" s="26" t="s">
        <v>14</v>
      </c>
      <c r="D965" s="26" t="s">
        <v>37</v>
      </c>
      <c r="E965" s="26" t="s">
        <v>440</v>
      </c>
      <c r="F965" s="26" t="s">
        <v>134</v>
      </c>
      <c r="G965" s="119">
        <f>G966</f>
        <v>126215.74</v>
      </c>
      <c r="H965" s="119">
        <f t="shared" ref="H965:I965" si="446">H966</f>
        <v>126215.74</v>
      </c>
      <c r="I965" s="119">
        <f t="shared" si="446"/>
        <v>126215.74</v>
      </c>
      <c r="J965" s="119">
        <f>60713.55+65502.19</f>
        <v>126215.74</v>
      </c>
      <c r="K965" s="16">
        <f t="shared" si="441"/>
        <v>0</v>
      </c>
      <c r="L965" s="119">
        <f>60713.55+65502.19</f>
        <v>126215.74</v>
      </c>
      <c r="M965" s="16">
        <f t="shared" si="443"/>
        <v>0</v>
      </c>
      <c r="N965" s="119">
        <f>60713.55+65502.19</f>
        <v>126215.74</v>
      </c>
      <c r="O965" s="16">
        <f t="shared" si="445"/>
        <v>0</v>
      </c>
    </row>
    <row r="966" spans="1:15" s="83" customFormat="1" ht="25.5">
      <c r="A966" s="12" t="s">
        <v>978</v>
      </c>
      <c r="B966" s="25" t="s">
        <v>62</v>
      </c>
      <c r="C966" s="26" t="s">
        <v>14</v>
      </c>
      <c r="D966" s="26" t="s">
        <v>37</v>
      </c>
      <c r="E966" s="26" t="s">
        <v>440</v>
      </c>
      <c r="F966" s="26" t="s">
        <v>1064</v>
      </c>
      <c r="G966" s="119">
        <f>60713.55+65502.19</f>
        <v>126215.74</v>
      </c>
      <c r="H966" s="119">
        <f>60713.55+65502.19</f>
        <v>126215.74</v>
      </c>
      <c r="I966" s="119">
        <f>60713.55+65502.19</f>
        <v>126215.74</v>
      </c>
      <c r="J966" s="124"/>
      <c r="K966" s="16">
        <f t="shared" si="441"/>
        <v>-126215.74</v>
      </c>
      <c r="L966" s="124"/>
      <c r="M966" s="16">
        <f t="shared" si="443"/>
        <v>-126215.74</v>
      </c>
      <c r="N966" s="124"/>
      <c r="O966" s="16">
        <f t="shared" si="445"/>
        <v>-126215.74</v>
      </c>
    </row>
    <row r="967" spans="1:15" s="30" customFormat="1" ht="51">
      <c r="A967" s="32" t="s">
        <v>441</v>
      </c>
      <c r="B967" s="25" t="s">
        <v>62</v>
      </c>
      <c r="C967" s="26" t="s">
        <v>14</v>
      </c>
      <c r="D967" s="26" t="s">
        <v>37</v>
      </c>
      <c r="E967" s="26" t="s">
        <v>442</v>
      </c>
      <c r="F967" s="26" t="s">
        <v>58</v>
      </c>
      <c r="G967" s="119">
        <f>G968</f>
        <v>1713.1</v>
      </c>
      <c r="H967" s="119">
        <f>H968</f>
        <v>1791.5</v>
      </c>
      <c r="I967" s="119">
        <f>I968</f>
        <v>1863.5</v>
      </c>
      <c r="J967" s="119">
        <f>J968</f>
        <v>1713.1</v>
      </c>
      <c r="K967" s="16">
        <f t="shared" si="441"/>
        <v>0</v>
      </c>
      <c r="L967" s="119">
        <f>L968</f>
        <v>1791.5</v>
      </c>
      <c r="M967" s="16">
        <f t="shared" si="443"/>
        <v>0</v>
      </c>
      <c r="N967" s="119">
        <f>N968</f>
        <v>1863.5</v>
      </c>
      <c r="O967" s="16">
        <f t="shared" si="445"/>
        <v>0</v>
      </c>
    </row>
    <row r="968" spans="1:15" s="30" customFormat="1">
      <c r="A968" s="13" t="s">
        <v>109</v>
      </c>
      <c r="B968" s="25" t="s">
        <v>62</v>
      </c>
      <c r="C968" s="26" t="s">
        <v>14</v>
      </c>
      <c r="D968" s="26" t="s">
        <v>37</v>
      </c>
      <c r="E968" s="26" t="s">
        <v>442</v>
      </c>
      <c r="F968" s="26" t="s">
        <v>134</v>
      </c>
      <c r="G968" s="119">
        <f>G969</f>
        <v>1713.1</v>
      </c>
      <c r="H968" s="119">
        <f t="shared" ref="H968:I968" si="447">H969</f>
        <v>1791.5</v>
      </c>
      <c r="I968" s="119">
        <f t="shared" si="447"/>
        <v>1863.5</v>
      </c>
      <c r="J968" s="119">
        <f>1713.1</f>
        <v>1713.1</v>
      </c>
      <c r="K968" s="16">
        <f t="shared" si="441"/>
        <v>0</v>
      </c>
      <c r="L968" s="119">
        <f>1791.5</f>
        <v>1791.5</v>
      </c>
      <c r="M968" s="16">
        <f t="shared" si="443"/>
        <v>0</v>
      </c>
      <c r="N968" s="119">
        <f>1863.5</f>
        <v>1863.5</v>
      </c>
      <c r="O968" s="16">
        <f t="shared" si="445"/>
        <v>0</v>
      </c>
    </row>
    <row r="969" spans="1:15" s="83" customFormat="1" ht="25.5">
      <c r="A969" s="12" t="s">
        <v>978</v>
      </c>
      <c r="B969" s="25" t="s">
        <v>62</v>
      </c>
      <c r="C969" s="26" t="s">
        <v>14</v>
      </c>
      <c r="D969" s="26" t="s">
        <v>37</v>
      </c>
      <c r="E969" s="26" t="s">
        <v>442</v>
      </c>
      <c r="F969" s="26" t="s">
        <v>1064</v>
      </c>
      <c r="G969" s="119">
        <f>1713.1</f>
        <v>1713.1</v>
      </c>
      <c r="H969" s="119">
        <f>1791.5</f>
        <v>1791.5</v>
      </c>
      <c r="I969" s="119">
        <f>1863.5</f>
        <v>1863.5</v>
      </c>
      <c r="J969" s="124"/>
      <c r="K969" s="16">
        <f t="shared" si="441"/>
        <v>-1713.1</v>
      </c>
      <c r="L969" s="124"/>
      <c r="M969" s="16">
        <f t="shared" si="443"/>
        <v>-1791.5</v>
      </c>
      <c r="N969" s="124"/>
      <c r="O969" s="16">
        <f t="shared" si="445"/>
        <v>-1863.5</v>
      </c>
    </row>
    <row r="970" spans="1:15" s="164" customFormat="1" ht="12.75">
      <c r="A970" s="21" t="s">
        <v>36</v>
      </c>
      <c r="B970" s="22" t="s">
        <v>62</v>
      </c>
      <c r="C970" s="23" t="s">
        <v>14</v>
      </c>
      <c r="D970" s="23" t="s">
        <v>2</v>
      </c>
      <c r="E970" s="23" t="s">
        <v>196</v>
      </c>
      <c r="F970" s="23" t="s">
        <v>58</v>
      </c>
      <c r="G970" s="24">
        <f>G971+G988</f>
        <v>64187.520000000004</v>
      </c>
      <c r="H970" s="24">
        <f>H971+H988</f>
        <v>63990.660000000011</v>
      </c>
      <c r="I970" s="24">
        <f>I971+I988</f>
        <v>63990.660000000011</v>
      </c>
      <c r="J970" s="24">
        <f>J971+J988</f>
        <v>64187.520000000004</v>
      </c>
      <c r="K970" s="16">
        <f t="shared" si="441"/>
        <v>0</v>
      </c>
      <c r="L970" s="24">
        <f>L971+L988</f>
        <v>63990.660000000011</v>
      </c>
      <c r="M970" s="16">
        <f t="shared" si="443"/>
        <v>0</v>
      </c>
      <c r="N970" s="24">
        <f>N971+N988</f>
        <v>63990.660000000011</v>
      </c>
      <c r="O970" s="16">
        <f t="shared" si="445"/>
        <v>0</v>
      </c>
    </row>
    <row r="971" spans="1:15" s="30" customFormat="1" ht="25.5">
      <c r="A971" s="31" t="s">
        <v>727</v>
      </c>
      <c r="B971" s="25" t="s">
        <v>62</v>
      </c>
      <c r="C971" s="26" t="s">
        <v>14</v>
      </c>
      <c r="D971" s="26" t="s">
        <v>2</v>
      </c>
      <c r="E971" s="26" t="s">
        <v>327</v>
      </c>
      <c r="F971" s="26" t="s">
        <v>58</v>
      </c>
      <c r="G971" s="119">
        <f>G972+G977</f>
        <v>2361.66</v>
      </c>
      <c r="H971" s="119">
        <f t="shared" ref="H971:I971" si="448">H972+H977</f>
        <v>2135.4</v>
      </c>
      <c r="I971" s="119">
        <f t="shared" si="448"/>
        <v>2135.4</v>
      </c>
      <c r="J971" s="119">
        <f>J972+J977</f>
        <v>2361.66</v>
      </c>
      <c r="K971" s="16">
        <f t="shared" si="441"/>
        <v>0</v>
      </c>
      <c r="L971" s="119">
        <f t="shared" ref="L971:N971" si="449">L972+L977</f>
        <v>2135.4</v>
      </c>
      <c r="M971" s="16">
        <f t="shared" si="443"/>
        <v>0</v>
      </c>
      <c r="N971" s="119">
        <f t="shared" si="449"/>
        <v>2135.4</v>
      </c>
      <c r="O971" s="16">
        <f t="shared" si="445"/>
        <v>0</v>
      </c>
    </row>
    <row r="972" spans="1:15" s="33" customFormat="1" ht="38.25">
      <c r="A972" s="31" t="s">
        <v>842</v>
      </c>
      <c r="B972" s="25" t="s">
        <v>62</v>
      </c>
      <c r="C972" s="26" t="s">
        <v>14</v>
      </c>
      <c r="D972" s="26" t="s">
        <v>2</v>
      </c>
      <c r="E972" s="26" t="s">
        <v>328</v>
      </c>
      <c r="F972" s="26" t="s">
        <v>58</v>
      </c>
      <c r="G972" s="121">
        <f t="shared" ref="G972:N975" si="450">G973</f>
        <v>1289.45</v>
      </c>
      <c r="H972" s="121">
        <f t="shared" si="450"/>
        <v>1160.51</v>
      </c>
      <c r="I972" s="121">
        <f t="shared" si="450"/>
        <v>1160.51</v>
      </c>
      <c r="J972" s="121">
        <f t="shared" si="450"/>
        <v>1289.45</v>
      </c>
      <c r="K972" s="16">
        <f t="shared" si="441"/>
        <v>0</v>
      </c>
      <c r="L972" s="121">
        <f t="shared" si="450"/>
        <v>1160.51</v>
      </c>
      <c r="M972" s="16">
        <f t="shared" si="443"/>
        <v>0</v>
      </c>
      <c r="N972" s="121">
        <f t="shared" si="450"/>
        <v>1160.51</v>
      </c>
      <c r="O972" s="16">
        <f t="shared" si="445"/>
        <v>0</v>
      </c>
    </row>
    <row r="973" spans="1:15" s="33" customFormat="1" ht="25.5">
      <c r="A973" s="31" t="s">
        <v>811</v>
      </c>
      <c r="B973" s="25" t="s">
        <v>62</v>
      </c>
      <c r="C973" s="26" t="s">
        <v>14</v>
      </c>
      <c r="D973" s="26" t="s">
        <v>2</v>
      </c>
      <c r="E973" s="26" t="s">
        <v>809</v>
      </c>
      <c r="F973" s="26" t="s">
        <v>58</v>
      </c>
      <c r="G973" s="121">
        <f t="shared" si="450"/>
        <v>1289.45</v>
      </c>
      <c r="H973" s="121">
        <f t="shared" si="450"/>
        <v>1160.51</v>
      </c>
      <c r="I973" s="121">
        <f t="shared" si="450"/>
        <v>1160.51</v>
      </c>
      <c r="J973" s="121">
        <f t="shared" si="450"/>
        <v>1289.45</v>
      </c>
      <c r="K973" s="16">
        <f t="shared" si="441"/>
        <v>0</v>
      </c>
      <c r="L973" s="121">
        <f t="shared" si="450"/>
        <v>1160.51</v>
      </c>
      <c r="M973" s="16">
        <f t="shared" si="443"/>
        <v>0</v>
      </c>
      <c r="N973" s="121">
        <f t="shared" si="450"/>
        <v>1160.51</v>
      </c>
      <c r="O973" s="16">
        <f t="shared" si="445"/>
        <v>0</v>
      </c>
    </row>
    <row r="974" spans="1:15" s="33" customFormat="1" ht="25.5">
      <c r="A974" s="31" t="s">
        <v>595</v>
      </c>
      <c r="B974" s="25" t="s">
        <v>62</v>
      </c>
      <c r="C974" s="26" t="s">
        <v>14</v>
      </c>
      <c r="D974" s="26" t="s">
        <v>2</v>
      </c>
      <c r="E974" s="26" t="s">
        <v>810</v>
      </c>
      <c r="F974" s="26" t="s">
        <v>58</v>
      </c>
      <c r="G974" s="121">
        <f t="shared" si="450"/>
        <v>1289.45</v>
      </c>
      <c r="H974" s="121">
        <f t="shared" si="450"/>
        <v>1160.51</v>
      </c>
      <c r="I974" s="121">
        <f t="shared" si="450"/>
        <v>1160.51</v>
      </c>
      <c r="J974" s="121">
        <f t="shared" si="450"/>
        <v>1289.45</v>
      </c>
      <c r="K974" s="16">
        <f t="shared" si="441"/>
        <v>0</v>
      </c>
      <c r="L974" s="121">
        <f t="shared" si="450"/>
        <v>1160.51</v>
      </c>
      <c r="M974" s="16">
        <f t="shared" si="443"/>
        <v>0</v>
      </c>
      <c r="N974" s="121">
        <f t="shared" si="450"/>
        <v>1160.51</v>
      </c>
      <c r="O974" s="16">
        <f t="shared" si="445"/>
        <v>0</v>
      </c>
    </row>
    <row r="975" spans="1:15" s="33" customFormat="1" ht="25.5">
      <c r="A975" s="31" t="s">
        <v>111</v>
      </c>
      <c r="B975" s="25" t="s">
        <v>62</v>
      </c>
      <c r="C975" s="26" t="s">
        <v>14</v>
      </c>
      <c r="D975" s="26" t="s">
        <v>2</v>
      </c>
      <c r="E975" s="26" t="s">
        <v>810</v>
      </c>
      <c r="F975" s="26" t="s">
        <v>104</v>
      </c>
      <c r="G975" s="119">
        <f>G976</f>
        <v>1289.45</v>
      </c>
      <c r="H975" s="119">
        <f t="shared" si="450"/>
        <v>1160.51</v>
      </c>
      <c r="I975" s="119">
        <f t="shared" si="450"/>
        <v>1160.51</v>
      </c>
      <c r="J975" s="119">
        <f>1289.45</f>
        <v>1289.45</v>
      </c>
      <c r="K975" s="16">
        <f t="shared" si="441"/>
        <v>0</v>
      </c>
      <c r="L975" s="119">
        <f>1160.51</f>
        <v>1160.51</v>
      </c>
      <c r="M975" s="16">
        <f t="shared" si="443"/>
        <v>0</v>
      </c>
      <c r="N975" s="119">
        <f>1160.51</f>
        <v>1160.51</v>
      </c>
      <c r="O975" s="16">
        <f t="shared" si="445"/>
        <v>0</v>
      </c>
    </row>
    <row r="976" spans="1:15" s="125" customFormat="1" ht="76.5">
      <c r="A976" s="12" t="s">
        <v>1048</v>
      </c>
      <c r="B976" s="25" t="s">
        <v>62</v>
      </c>
      <c r="C976" s="26" t="s">
        <v>14</v>
      </c>
      <c r="D976" s="26" t="s">
        <v>2</v>
      </c>
      <c r="E976" s="26" t="s">
        <v>810</v>
      </c>
      <c r="F976" s="26" t="s">
        <v>1055</v>
      </c>
      <c r="G976" s="119">
        <f>1289.45</f>
        <v>1289.45</v>
      </c>
      <c r="H976" s="119">
        <f>1160.51</f>
        <v>1160.51</v>
      </c>
      <c r="I976" s="119">
        <f>1160.51</f>
        <v>1160.51</v>
      </c>
      <c r="J976" s="124"/>
      <c r="K976" s="16">
        <f t="shared" si="441"/>
        <v>-1289.45</v>
      </c>
      <c r="L976" s="124"/>
      <c r="M976" s="16">
        <f t="shared" si="443"/>
        <v>-1160.51</v>
      </c>
      <c r="N976" s="124"/>
      <c r="O976" s="16">
        <f t="shared" si="445"/>
        <v>-1160.51</v>
      </c>
    </row>
    <row r="977" spans="1:15" s="33" customFormat="1">
      <c r="A977" s="31" t="s">
        <v>145</v>
      </c>
      <c r="B977" s="25" t="s">
        <v>62</v>
      </c>
      <c r="C977" s="26" t="s">
        <v>14</v>
      </c>
      <c r="D977" s="26" t="s">
        <v>2</v>
      </c>
      <c r="E977" s="26" t="s">
        <v>437</v>
      </c>
      <c r="F977" s="26" t="s">
        <v>58</v>
      </c>
      <c r="G977" s="119">
        <f>G978</f>
        <v>1072.21</v>
      </c>
      <c r="H977" s="119">
        <f t="shared" ref="H977:N977" si="451">H978</f>
        <v>974.89</v>
      </c>
      <c r="I977" s="119">
        <f t="shared" si="451"/>
        <v>974.89</v>
      </c>
      <c r="J977" s="119">
        <f>J978</f>
        <v>1072.21</v>
      </c>
      <c r="K977" s="16">
        <f t="shared" si="441"/>
        <v>0</v>
      </c>
      <c r="L977" s="119">
        <f t="shared" si="451"/>
        <v>974.89</v>
      </c>
      <c r="M977" s="16">
        <f t="shared" si="443"/>
        <v>0</v>
      </c>
      <c r="N977" s="119">
        <f t="shared" si="451"/>
        <v>974.89</v>
      </c>
      <c r="O977" s="16">
        <f t="shared" si="445"/>
        <v>0</v>
      </c>
    </row>
    <row r="978" spans="1:15" s="33" customFormat="1" ht="38.25">
      <c r="A978" s="31" t="s">
        <v>439</v>
      </c>
      <c r="B978" s="25" t="s">
        <v>62</v>
      </c>
      <c r="C978" s="26" t="s">
        <v>14</v>
      </c>
      <c r="D978" s="26" t="s">
        <v>2</v>
      </c>
      <c r="E978" s="26" t="s">
        <v>438</v>
      </c>
      <c r="F978" s="26" t="s">
        <v>58</v>
      </c>
      <c r="G978" s="119">
        <f>G979+G985</f>
        <v>1072.21</v>
      </c>
      <c r="H978" s="119">
        <f>H979+H985</f>
        <v>974.89</v>
      </c>
      <c r="I978" s="119">
        <f>I979+I985</f>
        <v>974.89</v>
      </c>
      <c r="J978" s="119">
        <f>J979+J985</f>
        <v>1072.21</v>
      </c>
      <c r="K978" s="16">
        <f t="shared" si="441"/>
        <v>0</v>
      </c>
      <c r="L978" s="119">
        <f>L979+L985</f>
        <v>974.89</v>
      </c>
      <c r="M978" s="16">
        <f t="shared" si="443"/>
        <v>0</v>
      </c>
      <c r="N978" s="119">
        <f>N979+N985</f>
        <v>974.89</v>
      </c>
      <c r="O978" s="16">
        <f t="shared" si="445"/>
        <v>0</v>
      </c>
    </row>
    <row r="979" spans="1:15" s="33" customFormat="1" ht="38.25">
      <c r="A979" s="31" t="s">
        <v>157</v>
      </c>
      <c r="B979" s="25" t="s">
        <v>62</v>
      </c>
      <c r="C979" s="26" t="s">
        <v>14</v>
      </c>
      <c r="D979" s="26" t="s">
        <v>2</v>
      </c>
      <c r="E979" s="26" t="s">
        <v>767</v>
      </c>
      <c r="F979" s="26" t="s">
        <v>58</v>
      </c>
      <c r="G979" s="119">
        <f>G980+G982</f>
        <v>98.960000000000008</v>
      </c>
      <c r="H979" s="119">
        <f t="shared" ref="H979:I979" si="452">H980+H982</f>
        <v>98.960000000000008</v>
      </c>
      <c r="I979" s="119">
        <f t="shared" si="452"/>
        <v>98.960000000000008</v>
      </c>
      <c r="J979" s="119">
        <f>SUM(J980:J982)</f>
        <v>98.960000000000008</v>
      </c>
      <c r="K979" s="16">
        <f t="shared" si="441"/>
        <v>0</v>
      </c>
      <c r="L979" s="119">
        <f t="shared" ref="L979:N979" si="453">SUM(L980:L982)</f>
        <v>98.960000000000008</v>
      </c>
      <c r="M979" s="16">
        <f t="shared" si="443"/>
        <v>0</v>
      </c>
      <c r="N979" s="119">
        <f t="shared" si="453"/>
        <v>98.960000000000008</v>
      </c>
      <c r="O979" s="16">
        <f t="shared" si="445"/>
        <v>0</v>
      </c>
    </row>
    <row r="980" spans="1:15" s="33" customFormat="1" ht="25.5">
      <c r="A980" s="11" t="s">
        <v>108</v>
      </c>
      <c r="B980" s="25" t="s">
        <v>62</v>
      </c>
      <c r="C980" s="26" t="s">
        <v>14</v>
      </c>
      <c r="D980" s="26" t="s">
        <v>2</v>
      </c>
      <c r="E980" s="26" t="s">
        <v>767</v>
      </c>
      <c r="F980" s="26" t="s">
        <v>116</v>
      </c>
      <c r="G980" s="119">
        <f>G981</f>
        <v>71.69</v>
      </c>
      <c r="H980" s="119">
        <f t="shared" ref="H980:I980" si="454">H981</f>
        <v>71.69</v>
      </c>
      <c r="I980" s="119">
        <f t="shared" si="454"/>
        <v>71.69</v>
      </c>
      <c r="J980" s="119">
        <f>71.69</f>
        <v>71.69</v>
      </c>
      <c r="K980" s="16">
        <f t="shared" si="441"/>
        <v>0</v>
      </c>
      <c r="L980" s="119">
        <f t="shared" ref="H980:N981" si="455">71.69</f>
        <v>71.69</v>
      </c>
      <c r="M980" s="16">
        <f t="shared" si="443"/>
        <v>0</v>
      </c>
      <c r="N980" s="119">
        <f t="shared" si="455"/>
        <v>71.69</v>
      </c>
      <c r="O980" s="16">
        <f t="shared" si="445"/>
        <v>0</v>
      </c>
    </row>
    <row r="981" spans="1:15" s="125" customFormat="1" ht="25.5">
      <c r="A981" s="12" t="s">
        <v>973</v>
      </c>
      <c r="B981" s="25" t="s">
        <v>62</v>
      </c>
      <c r="C981" s="26" t="s">
        <v>14</v>
      </c>
      <c r="D981" s="26" t="s">
        <v>2</v>
      </c>
      <c r="E981" s="26" t="s">
        <v>767</v>
      </c>
      <c r="F981" s="26" t="s">
        <v>1043</v>
      </c>
      <c r="G981" s="119">
        <f>71.69</f>
        <v>71.69</v>
      </c>
      <c r="H981" s="119">
        <f t="shared" si="455"/>
        <v>71.69</v>
      </c>
      <c r="I981" s="119">
        <f t="shared" si="455"/>
        <v>71.69</v>
      </c>
      <c r="J981" s="124"/>
      <c r="K981" s="16">
        <f t="shared" si="441"/>
        <v>-71.69</v>
      </c>
      <c r="L981" s="124"/>
      <c r="M981" s="16">
        <f t="shared" si="443"/>
        <v>-71.69</v>
      </c>
      <c r="N981" s="124"/>
      <c r="O981" s="16">
        <f t="shared" si="445"/>
        <v>-71.69</v>
      </c>
    </row>
    <row r="982" spans="1:15" s="33" customFormat="1">
      <c r="A982" s="11" t="s">
        <v>97</v>
      </c>
      <c r="B982" s="25" t="s">
        <v>62</v>
      </c>
      <c r="C982" s="26" t="s">
        <v>14</v>
      </c>
      <c r="D982" s="26" t="s">
        <v>2</v>
      </c>
      <c r="E982" s="26" t="s">
        <v>767</v>
      </c>
      <c r="F982" s="26" t="s">
        <v>118</v>
      </c>
      <c r="G982" s="119">
        <f>SUM(G983:G984)</f>
        <v>27.270000000000003</v>
      </c>
      <c r="H982" s="119">
        <f t="shared" ref="H982:I982" si="456">SUM(H983:H984)</f>
        <v>27.270000000000003</v>
      </c>
      <c r="I982" s="119">
        <f t="shared" si="456"/>
        <v>27.270000000000003</v>
      </c>
      <c r="J982" s="119">
        <f>25.1+2.17</f>
        <v>27.270000000000003</v>
      </c>
      <c r="K982" s="16">
        <f t="shared" si="441"/>
        <v>0</v>
      </c>
      <c r="L982" s="119">
        <f t="shared" ref="L982:N982" si="457">25.1+2.17</f>
        <v>27.270000000000003</v>
      </c>
      <c r="M982" s="16">
        <f t="shared" si="443"/>
        <v>0</v>
      </c>
      <c r="N982" s="119">
        <f t="shared" si="457"/>
        <v>27.270000000000003</v>
      </c>
      <c r="O982" s="16">
        <f t="shared" si="445"/>
        <v>0</v>
      </c>
    </row>
    <row r="983" spans="1:15" s="125" customFormat="1">
      <c r="A983" s="12" t="s">
        <v>1036</v>
      </c>
      <c r="B983" s="25" t="s">
        <v>62</v>
      </c>
      <c r="C983" s="26" t="s">
        <v>14</v>
      </c>
      <c r="D983" s="26" t="s">
        <v>2</v>
      </c>
      <c r="E983" s="26" t="s">
        <v>767</v>
      </c>
      <c r="F983" s="26" t="s">
        <v>1061</v>
      </c>
      <c r="G983" s="119">
        <v>25.1</v>
      </c>
      <c r="H983" s="119">
        <v>25.1</v>
      </c>
      <c r="I983" s="119">
        <v>25.1</v>
      </c>
      <c r="J983" s="124"/>
      <c r="K983" s="16">
        <f t="shared" si="441"/>
        <v>-25.1</v>
      </c>
      <c r="L983" s="124"/>
      <c r="M983" s="16">
        <f t="shared" si="443"/>
        <v>-25.1</v>
      </c>
      <c r="N983" s="124"/>
      <c r="O983" s="16">
        <f t="shared" si="445"/>
        <v>-25.1</v>
      </c>
    </row>
    <row r="984" spans="1:15" s="125" customFormat="1">
      <c r="A984" s="12" t="s">
        <v>1037</v>
      </c>
      <c r="B984" s="25" t="s">
        <v>62</v>
      </c>
      <c r="C984" s="26" t="s">
        <v>14</v>
      </c>
      <c r="D984" s="26" t="s">
        <v>2</v>
      </c>
      <c r="E984" s="26" t="s">
        <v>767</v>
      </c>
      <c r="F984" s="26" t="s">
        <v>1062</v>
      </c>
      <c r="G984" s="119">
        <v>2.17</v>
      </c>
      <c r="H984" s="119">
        <v>2.17</v>
      </c>
      <c r="I984" s="119">
        <v>2.17</v>
      </c>
      <c r="J984" s="124"/>
      <c r="K984" s="16">
        <f t="shared" si="441"/>
        <v>-2.17</v>
      </c>
      <c r="L984" s="124"/>
      <c r="M984" s="16">
        <f t="shared" si="443"/>
        <v>-2.17</v>
      </c>
      <c r="N984" s="124"/>
      <c r="O984" s="16">
        <f t="shared" si="445"/>
        <v>-2.17</v>
      </c>
    </row>
    <row r="985" spans="1:15" s="33" customFormat="1" ht="38.25">
      <c r="A985" s="31" t="s">
        <v>706</v>
      </c>
      <c r="B985" s="25" t="s">
        <v>62</v>
      </c>
      <c r="C985" s="26" t="s">
        <v>14</v>
      </c>
      <c r="D985" s="26" t="s">
        <v>2</v>
      </c>
      <c r="E985" s="26" t="s">
        <v>766</v>
      </c>
      <c r="F985" s="26" t="s">
        <v>58</v>
      </c>
      <c r="G985" s="119">
        <f>G986</f>
        <v>973.25</v>
      </c>
      <c r="H985" s="119">
        <f t="shared" ref="H985:N986" si="458">H986</f>
        <v>875.93</v>
      </c>
      <c r="I985" s="119">
        <f t="shared" si="458"/>
        <v>875.93</v>
      </c>
      <c r="J985" s="119">
        <f>J986</f>
        <v>973.25</v>
      </c>
      <c r="K985" s="16">
        <f t="shared" si="441"/>
        <v>0</v>
      </c>
      <c r="L985" s="119">
        <f t="shared" si="458"/>
        <v>875.93</v>
      </c>
      <c r="M985" s="16">
        <f t="shared" si="443"/>
        <v>0</v>
      </c>
      <c r="N985" s="119">
        <f t="shared" si="458"/>
        <v>875.93</v>
      </c>
      <c r="O985" s="16">
        <f t="shared" si="445"/>
        <v>0</v>
      </c>
    </row>
    <row r="986" spans="1:15" s="33" customFormat="1" ht="25.5">
      <c r="A986" s="31" t="s">
        <v>108</v>
      </c>
      <c r="B986" s="25" t="s">
        <v>62</v>
      </c>
      <c r="C986" s="26" t="s">
        <v>14</v>
      </c>
      <c r="D986" s="26" t="s">
        <v>2</v>
      </c>
      <c r="E986" s="26" t="s">
        <v>766</v>
      </c>
      <c r="F986" s="26" t="s">
        <v>116</v>
      </c>
      <c r="G986" s="119">
        <f>G987</f>
        <v>973.25</v>
      </c>
      <c r="H986" s="119">
        <f t="shared" si="458"/>
        <v>875.93</v>
      </c>
      <c r="I986" s="119">
        <f t="shared" si="458"/>
        <v>875.93</v>
      </c>
      <c r="J986" s="119">
        <f>973.25</f>
        <v>973.25</v>
      </c>
      <c r="K986" s="16">
        <f t="shared" si="441"/>
        <v>0</v>
      </c>
      <c r="L986" s="119">
        <f>875.93</f>
        <v>875.93</v>
      </c>
      <c r="M986" s="16">
        <f t="shared" si="443"/>
        <v>0</v>
      </c>
      <c r="N986" s="119">
        <f>875.93</f>
        <v>875.93</v>
      </c>
      <c r="O986" s="16">
        <f t="shared" si="445"/>
        <v>0</v>
      </c>
    </row>
    <row r="987" spans="1:15" s="125" customFormat="1" ht="25.5">
      <c r="A987" s="12" t="s">
        <v>973</v>
      </c>
      <c r="B987" s="25" t="s">
        <v>62</v>
      </c>
      <c r="C987" s="26" t="s">
        <v>14</v>
      </c>
      <c r="D987" s="26" t="s">
        <v>2</v>
      </c>
      <c r="E987" s="26" t="s">
        <v>766</v>
      </c>
      <c r="F987" s="26" t="s">
        <v>1043</v>
      </c>
      <c r="G987" s="119">
        <f>973.25</f>
        <v>973.25</v>
      </c>
      <c r="H987" s="119">
        <f>875.93</f>
        <v>875.93</v>
      </c>
      <c r="I987" s="119">
        <f>875.93</f>
        <v>875.93</v>
      </c>
      <c r="J987" s="124"/>
      <c r="K987" s="16">
        <f t="shared" si="441"/>
        <v>-973.25</v>
      </c>
      <c r="L987" s="124"/>
      <c r="M987" s="16">
        <f t="shared" si="443"/>
        <v>-875.93</v>
      </c>
      <c r="N987" s="124"/>
      <c r="O987" s="16">
        <f t="shared" si="445"/>
        <v>-875.93</v>
      </c>
    </row>
    <row r="988" spans="1:15" s="33" customFormat="1" ht="25.5">
      <c r="A988" s="120" t="s">
        <v>186</v>
      </c>
      <c r="B988" s="25" t="s">
        <v>62</v>
      </c>
      <c r="C988" s="26" t="s">
        <v>14</v>
      </c>
      <c r="D988" s="26" t="s">
        <v>2</v>
      </c>
      <c r="E988" s="25" t="s">
        <v>443</v>
      </c>
      <c r="F988" s="26" t="s">
        <v>58</v>
      </c>
      <c r="G988" s="121">
        <f>G989</f>
        <v>61825.86</v>
      </c>
      <c r="H988" s="121">
        <f t="shared" ref="H988:N988" si="459">H989</f>
        <v>61855.260000000009</v>
      </c>
      <c r="I988" s="121">
        <f t="shared" si="459"/>
        <v>61855.260000000009</v>
      </c>
      <c r="J988" s="121">
        <f>J989</f>
        <v>61825.86</v>
      </c>
      <c r="K988" s="16">
        <f t="shared" si="441"/>
        <v>0</v>
      </c>
      <c r="L988" s="121">
        <f t="shared" si="459"/>
        <v>61855.260000000009</v>
      </c>
      <c r="M988" s="16">
        <f t="shared" si="443"/>
        <v>0</v>
      </c>
      <c r="N988" s="121">
        <f t="shared" si="459"/>
        <v>61855.260000000009</v>
      </c>
      <c r="O988" s="16">
        <f t="shared" si="445"/>
        <v>0</v>
      </c>
    </row>
    <row r="989" spans="1:15" s="33" customFormat="1" ht="38.25">
      <c r="A989" s="120" t="s">
        <v>189</v>
      </c>
      <c r="B989" s="25" t="s">
        <v>62</v>
      </c>
      <c r="C989" s="26" t="s">
        <v>14</v>
      </c>
      <c r="D989" s="26" t="s">
        <v>2</v>
      </c>
      <c r="E989" s="25" t="s">
        <v>444</v>
      </c>
      <c r="F989" s="26" t="s">
        <v>58</v>
      </c>
      <c r="G989" s="121">
        <f>G990+G998+G1002+G1007</f>
        <v>61825.86</v>
      </c>
      <c r="H989" s="121">
        <f>H990+H998+H1002+H1007</f>
        <v>61855.260000000009</v>
      </c>
      <c r="I989" s="121">
        <f>I990+I998+I1002+I1007</f>
        <v>61855.260000000009</v>
      </c>
      <c r="J989" s="121">
        <f>J990+J998+J1002+J1007</f>
        <v>61825.86</v>
      </c>
      <c r="K989" s="16">
        <f t="shared" si="441"/>
        <v>0</v>
      </c>
      <c r="L989" s="121">
        <f>L990+L998+L1002+L1007</f>
        <v>61855.260000000009</v>
      </c>
      <c r="M989" s="16">
        <f t="shared" si="443"/>
        <v>0</v>
      </c>
      <c r="N989" s="121">
        <f>N990+N998+N1002+N1007</f>
        <v>61855.260000000009</v>
      </c>
      <c r="O989" s="16">
        <f t="shared" si="445"/>
        <v>0</v>
      </c>
    </row>
    <row r="990" spans="1:15" s="33" customFormat="1" ht="25.5">
      <c r="A990" s="122" t="s">
        <v>114</v>
      </c>
      <c r="B990" s="25" t="s">
        <v>62</v>
      </c>
      <c r="C990" s="26" t="s">
        <v>14</v>
      </c>
      <c r="D990" s="26" t="s">
        <v>2</v>
      </c>
      <c r="E990" s="123" t="s">
        <v>445</v>
      </c>
      <c r="F990" s="26" t="s">
        <v>58</v>
      </c>
      <c r="G990" s="121">
        <f>G991+G994+G996</f>
        <v>846.89</v>
      </c>
      <c r="H990" s="121">
        <f t="shared" ref="H990:I990" si="460">H991+H994+H996</f>
        <v>856.03000000000009</v>
      </c>
      <c r="I990" s="121">
        <f t="shared" si="460"/>
        <v>856.03000000000009</v>
      </c>
      <c r="J990" s="121">
        <f>SUM(J991:J996)</f>
        <v>846.89</v>
      </c>
      <c r="K990" s="16">
        <f t="shared" si="441"/>
        <v>0</v>
      </c>
      <c r="L990" s="121">
        <f>SUM(L991:L996)</f>
        <v>856.03000000000009</v>
      </c>
      <c r="M990" s="16">
        <f t="shared" si="443"/>
        <v>0</v>
      </c>
      <c r="N990" s="121">
        <f>SUM(N991:N996)</f>
        <v>856.03000000000009</v>
      </c>
      <c r="O990" s="16">
        <f t="shared" si="445"/>
        <v>0</v>
      </c>
    </row>
    <row r="991" spans="1:15" s="33" customFormat="1" ht="25.5">
      <c r="A991" s="11" t="s">
        <v>107</v>
      </c>
      <c r="B991" s="25" t="s">
        <v>62</v>
      </c>
      <c r="C991" s="26" t="s">
        <v>14</v>
      </c>
      <c r="D991" s="26" t="s">
        <v>2</v>
      </c>
      <c r="E991" s="123" t="s">
        <v>445</v>
      </c>
      <c r="F991" s="26" t="s">
        <v>115</v>
      </c>
      <c r="G991" s="119">
        <f>SUM(G992:G993)</f>
        <v>132.96</v>
      </c>
      <c r="H991" s="119">
        <f t="shared" ref="H991:I991" si="461">SUM(H992:H993)</f>
        <v>132.96</v>
      </c>
      <c r="I991" s="119">
        <f t="shared" si="461"/>
        <v>132.96</v>
      </c>
      <c r="J991" s="119">
        <f>102.12+30.84</f>
        <v>132.96</v>
      </c>
      <c r="K991" s="16">
        <f t="shared" si="441"/>
        <v>0</v>
      </c>
      <c r="L991" s="119">
        <f t="shared" ref="L991:N991" si="462">102.12+30.84</f>
        <v>132.96</v>
      </c>
      <c r="M991" s="16">
        <f t="shared" si="443"/>
        <v>0</v>
      </c>
      <c r="N991" s="119">
        <f t="shared" si="462"/>
        <v>132.96</v>
      </c>
      <c r="O991" s="16">
        <f t="shared" si="445"/>
        <v>0</v>
      </c>
    </row>
    <row r="992" spans="1:15" s="33" customFormat="1" ht="25.5">
      <c r="A992" s="11" t="s">
        <v>937</v>
      </c>
      <c r="B992" s="25" t="s">
        <v>62</v>
      </c>
      <c r="C992" s="26" t="s">
        <v>14</v>
      </c>
      <c r="D992" s="26" t="s">
        <v>2</v>
      </c>
      <c r="E992" s="123" t="s">
        <v>445</v>
      </c>
      <c r="F992" s="26" t="s">
        <v>1059</v>
      </c>
      <c r="G992" s="119">
        <v>102.12</v>
      </c>
      <c r="H992" s="119">
        <v>102.12</v>
      </c>
      <c r="I992" s="119">
        <v>102.12</v>
      </c>
      <c r="J992" s="119"/>
      <c r="K992" s="16">
        <f t="shared" si="441"/>
        <v>-102.12</v>
      </c>
      <c r="L992" s="119"/>
      <c r="M992" s="16">
        <f t="shared" si="443"/>
        <v>-102.12</v>
      </c>
      <c r="N992" s="119"/>
      <c r="O992" s="16">
        <f t="shared" si="445"/>
        <v>-102.12</v>
      </c>
    </row>
    <row r="993" spans="1:15" s="33" customFormat="1" ht="38.25">
      <c r="A993" s="11" t="s">
        <v>939</v>
      </c>
      <c r="B993" s="25" t="s">
        <v>62</v>
      </c>
      <c r="C993" s="26" t="s">
        <v>14</v>
      </c>
      <c r="D993" s="26" t="s">
        <v>2</v>
      </c>
      <c r="E993" s="123" t="s">
        <v>445</v>
      </c>
      <c r="F993" s="26" t="s">
        <v>1060</v>
      </c>
      <c r="G993" s="119">
        <v>30.84</v>
      </c>
      <c r="H993" s="119">
        <v>30.84</v>
      </c>
      <c r="I993" s="119">
        <v>30.84</v>
      </c>
      <c r="J993" s="119"/>
      <c r="K993" s="16">
        <f t="shared" si="441"/>
        <v>-30.84</v>
      </c>
      <c r="L993" s="119"/>
      <c r="M993" s="16">
        <f t="shared" si="443"/>
        <v>-30.84</v>
      </c>
      <c r="N993" s="119"/>
      <c r="O993" s="16">
        <f t="shared" si="445"/>
        <v>-30.84</v>
      </c>
    </row>
    <row r="994" spans="1:15" s="33" customFormat="1" ht="25.5">
      <c r="A994" s="11" t="s">
        <v>108</v>
      </c>
      <c r="B994" s="25" t="s">
        <v>62</v>
      </c>
      <c r="C994" s="26" t="s">
        <v>14</v>
      </c>
      <c r="D994" s="26" t="s">
        <v>2</v>
      </c>
      <c r="E994" s="123" t="s">
        <v>445</v>
      </c>
      <c r="F994" s="26" t="s">
        <v>116</v>
      </c>
      <c r="G994" s="119">
        <f>G995</f>
        <v>703.93</v>
      </c>
      <c r="H994" s="119">
        <f t="shared" ref="H994:I994" si="463">H995</f>
        <v>713.07</v>
      </c>
      <c r="I994" s="119">
        <f t="shared" si="463"/>
        <v>713.07</v>
      </c>
      <c r="J994" s="119">
        <f>703.93</f>
        <v>703.93</v>
      </c>
      <c r="K994" s="16">
        <f t="shared" si="441"/>
        <v>0</v>
      </c>
      <c r="L994" s="119">
        <f>713.07</f>
        <v>713.07</v>
      </c>
      <c r="M994" s="16">
        <f t="shared" si="443"/>
        <v>0</v>
      </c>
      <c r="N994" s="119">
        <f>713.07</f>
        <v>713.07</v>
      </c>
      <c r="O994" s="16">
        <f t="shared" si="445"/>
        <v>0</v>
      </c>
    </row>
    <row r="995" spans="1:15" s="105" customFormat="1" ht="25.5">
      <c r="A995" s="12" t="s">
        <v>973</v>
      </c>
      <c r="B995" s="25" t="s">
        <v>62</v>
      </c>
      <c r="C995" s="26" t="s">
        <v>14</v>
      </c>
      <c r="D995" s="26" t="s">
        <v>2</v>
      </c>
      <c r="E995" s="123" t="s">
        <v>445</v>
      </c>
      <c r="F995" s="26" t="s">
        <v>1043</v>
      </c>
      <c r="G995" s="119">
        <f>703.93</f>
        <v>703.93</v>
      </c>
      <c r="H995" s="119">
        <f>713.07</f>
        <v>713.07</v>
      </c>
      <c r="I995" s="119">
        <f>713.07</f>
        <v>713.07</v>
      </c>
      <c r="J995" s="102"/>
      <c r="K995" s="91">
        <f t="shared" si="441"/>
        <v>-703.93</v>
      </c>
      <c r="L995" s="102"/>
      <c r="M995" s="91">
        <f t="shared" si="443"/>
        <v>-713.07</v>
      </c>
      <c r="N995" s="102"/>
      <c r="O995" s="91">
        <f t="shared" si="445"/>
        <v>-713.07</v>
      </c>
    </row>
    <row r="996" spans="1:15" s="33" customFormat="1">
      <c r="A996" s="11" t="s">
        <v>97</v>
      </c>
      <c r="B996" s="25" t="s">
        <v>62</v>
      </c>
      <c r="C996" s="26" t="s">
        <v>14</v>
      </c>
      <c r="D996" s="26" t="s">
        <v>2</v>
      </c>
      <c r="E996" s="123" t="s">
        <v>445</v>
      </c>
      <c r="F996" s="26" t="s">
        <v>118</v>
      </c>
      <c r="G996" s="119">
        <f>G997</f>
        <v>10</v>
      </c>
      <c r="H996" s="119">
        <f t="shared" ref="H996:I996" si="464">H997</f>
        <v>10</v>
      </c>
      <c r="I996" s="119">
        <f t="shared" si="464"/>
        <v>10</v>
      </c>
      <c r="J996" s="119">
        <f>10</f>
        <v>10</v>
      </c>
      <c r="K996" s="16">
        <f t="shared" si="441"/>
        <v>0</v>
      </c>
      <c r="L996" s="119">
        <f>10</f>
        <v>10</v>
      </c>
      <c r="M996" s="16">
        <f t="shared" si="443"/>
        <v>0</v>
      </c>
      <c r="N996" s="119">
        <f>10</f>
        <v>10</v>
      </c>
      <c r="O996" s="16">
        <f t="shared" si="445"/>
        <v>0</v>
      </c>
    </row>
    <row r="997" spans="1:15" s="33" customFormat="1">
      <c r="A997" s="11" t="s">
        <v>1037</v>
      </c>
      <c r="B997" s="25" t="s">
        <v>62</v>
      </c>
      <c r="C997" s="26" t="s">
        <v>14</v>
      </c>
      <c r="D997" s="26" t="s">
        <v>2</v>
      </c>
      <c r="E997" s="123" t="s">
        <v>445</v>
      </c>
      <c r="F997" s="26" t="s">
        <v>1062</v>
      </c>
      <c r="G997" s="119">
        <f>10</f>
        <v>10</v>
      </c>
      <c r="H997" s="119">
        <f>10</f>
        <v>10</v>
      </c>
      <c r="I997" s="119">
        <f>10</f>
        <v>10</v>
      </c>
      <c r="J997" s="119"/>
      <c r="K997" s="16">
        <f t="shared" si="441"/>
        <v>-10</v>
      </c>
      <c r="L997" s="119"/>
      <c r="M997" s="16">
        <f t="shared" si="443"/>
        <v>-10</v>
      </c>
      <c r="N997" s="119"/>
      <c r="O997" s="16">
        <f t="shared" si="445"/>
        <v>-10</v>
      </c>
    </row>
    <row r="998" spans="1:15" s="33" customFormat="1" ht="25.5">
      <c r="A998" s="122" t="s">
        <v>126</v>
      </c>
      <c r="B998" s="25" t="s">
        <v>62</v>
      </c>
      <c r="C998" s="26" t="s">
        <v>14</v>
      </c>
      <c r="D998" s="26" t="s">
        <v>2</v>
      </c>
      <c r="E998" s="123" t="s">
        <v>446</v>
      </c>
      <c r="F998" s="26" t="s">
        <v>58</v>
      </c>
      <c r="G998" s="121">
        <f>G999</f>
        <v>6126.9500000000007</v>
      </c>
      <c r="H998" s="121">
        <f>H999</f>
        <v>6126.9500000000007</v>
      </c>
      <c r="I998" s="121">
        <f>I999</f>
        <v>6126.9500000000007</v>
      </c>
      <c r="J998" s="121">
        <f>J999</f>
        <v>6126.9500000000007</v>
      </c>
      <c r="K998" s="16">
        <f t="shared" si="441"/>
        <v>0</v>
      </c>
      <c r="L998" s="121">
        <f>L999</f>
        <v>6126.9500000000007</v>
      </c>
      <c r="M998" s="16">
        <f t="shared" si="443"/>
        <v>0</v>
      </c>
      <c r="N998" s="121">
        <f>N999</f>
        <v>6126.9500000000007</v>
      </c>
      <c r="O998" s="16">
        <f t="shared" si="445"/>
        <v>0</v>
      </c>
    </row>
    <row r="999" spans="1:15" s="33" customFormat="1" ht="25.5">
      <c r="A999" s="11" t="s">
        <v>107</v>
      </c>
      <c r="B999" s="25" t="s">
        <v>62</v>
      </c>
      <c r="C999" s="26" t="s">
        <v>14</v>
      </c>
      <c r="D999" s="26" t="s">
        <v>2</v>
      </c>
      <c r="E999" s="123" t="s">
        <v>446</v>
      </c>
      <c r="F999" s="26" t="s">
        <v>115</v>
      </c>
      <c r="G999" s="119">
        <f>SUM(G1000:G1001)</f>
        <v>6126.9500000000007</v>
      </c>
      <c r="H999" s="119">
        <f t="shared" ref="H999:I999" si="465">SUM(H1000:H1001)</f>
        <v>6126.9500000000007</v>
      </c>
      <c r="I999" s="119">
        <f t="shared" si="465"/>
        <v>6126.9500000000007</v>
      </c>
      <c r="J999" s="119">
        <f>4705.8+1421.15</f>
        <v>6126.9500000000007</v>
      </c>
      <c r="K999" s="16">
        <f t="shared" si="441"/>
        <v>0</v>
      </c>
      <c r="L999" s="119">
        <f t="shared" ref="L999:N999" si="466">4705.8+1421.15</f>
        <v>6126.9500000000007</v>
      </c>
      <c r="M999" s="16">
        <f t="shared" si="443"/>
        <v>0</v>
      </c>
      <c r="N999" s="119">
        <f t="shared" si="466"/>
        <v>6126.9500000000007</v>
      </c>
      <c r="O999" s="16">
        <f t="shared" si="445"/>
        <v>0</v>
      </c>
    </row>
    <row r="1000" spans="1:15" s="33" customFormat="1">
      <c r="A1000" s="11" t="s">
        <v>936</v>
      </c>
      <c r="B1000" s="25" t="s">
        <v>62</v>
      </c>
      <c r="C1000" s="26" t="s">
        <v>14</v>
      </c>
      <c r="D1000" s="26" t="s">
        <v>2</v>
      </c>
      <c r="E1000" s="123" t="s">
        <v>446</v>
      </c>
      <c r="F1000" s="26" t="s">
        <v>1063</v>
      </c>
      <c r="G1000" s="119">
        <v>4705.8</v>
      </c>
      <c r="H1000" s="119">
        <v>4705.8</v>
      </c>
      <c r="I1000" s="119">
        <v>4705.8</v>
      </c>
      <c r="J1000" s="119"/>
      <c r="K1000" s="16">
        <f t="shared" si="441"/>
        <v>-4705.8</v>
      </c>
      <c r="L1000" s="119"/>
      <c r="M1000" s="16">
        <f t="shared" si="443"/>
        <v>-4705.8</v>
      </c>
      <c r="N1000" s="119"/>
      <c r="O1000" s="16">
        <f t="shared" si="445"/>
        <v>-4705.8</v>
      </c>
    </row>
    <row r="1001" spans="1:15" s="33" customFormat="1" ht="38.25">
      <c r="A1001" s="11" t="s">
        <v>939</v>
      </c>
      <c r="B1001" s="25" t="s">
        <v>62</v>
      </c>
      <c r="C1001" s="26" t="s">
        <v>14</v>
      </c>
      <c r="D1001" s="26" t="s">
        <v>2</v>
      </c>
      <c r="E1001" s="123" t="s">
        <v>446</v>
      </c>
      <c r="F1001" s="26" t="s">
        <v>1060</v>
      </c>
      <c r="G1001" s="119">
        <v>1421.15</v>
      </c>
      <c r="H1001" s="119">
        <v>1421.15</v>
      </c>
      <c r="I1001" s="119">
        <v>1421.15</v>
      </c>
      <c r="J1001" s="119"/>
      <c r="K1001" s="16">
        <f t="shared" si="441"/>
        <v>-1421.15</v>
      </c>
      <c r="L1001" s="119"/>
      <c r="M1001" s="16">
        <f t="shared" si="443"/>
        <v>-1421.15</v>
      </c>
      <c r="N1001" s="119"/>
      <c r="O1001" s="16">
        <f t="shared" si="445"/>
        <v>-1421.15</v>
      </c>
    </row>
    <row r="1002" spans="1:15" s="33" customFormat="1" ht="51">
      <c r="A1002" s="122" t="s">
        <v>599</v>
      </c>
      <c r="B1002" s="25" t="s">
        <v>62</v>
      </c>
      <c r="C1002" s="26" t="s">
        <v>14</v>
      </c>
      <c r="D1002" s="26" t="s">
        <v>2</v>
      </c>
      <c r="E1002" s="123" t="s">
        <v>447</v>
      </c>
      <c r="F1002" s="26" t="s">
        <v>58</v>
      </c>
      <c r="G1002" s="121">
        <f>G1003</f>
        <v>1452.29</v>
      </c>
      <c r="H1002" s="121">
        <f>H1003</f>
        <v>1452.29</v>
      </c>
      <c r="I1002" s="121">
        <f>I1003</f>
        <v>1452.29</v>
      </c>
      <c r="J1002" s="121">
        <f>J1003</f>
        <v>1452.29</v>
      </c>
      <c r="K1002" s="16">
        <f t="shared" si="441"/>
        <v>0</v>
      </c>
      <c r="L1002" s="121">
        <f>L1003</f>
        <v>1452.29</v>
      </c>
      <c r="M1002" s="16">
        <f t="shared" si="443"/>
        <v>0</v>
      </c>
      <c r="N1002" s="121">
        <f>N1003</f>
        <v>1452.29</v>
      </c>
      <c r="O1002" s="16">
        <f t="shared" si="445"/>
        <v>0</v>
      </c>
    </row>
    <row r="1003" spans="1:15" s="33" customFormat="1" ht="25.5">
      <c r="A1003" s="11" t="s">
        <v>107</v>
      </c>
      <c r="B1003" s="25" t="s">
        <v>62</v>
      </c>
      <c r="C1003" s="26" t="s">
        <v>14</v>
      </c>
      <c r="D1003" s="26" t="s">
        <v>2</v>
      </c>
      <c r="E1003" s="123" t="s">
        <v>447</v>
      </c>
      <c r="F1003" s="26" t="s">
        <v>115</v>
      </c>
      <c r="G1003" s="119">
        <f>SUM(G1004:G1006)</f>
        <v>1452.29</v>
      </c>
      <c r="H1003" s="119">
        <f t="shared" ref="H1003:I1003" si="467">SUM(H1004:H1006)</f>
        <v>1452.29</v>
      </c>
      <c r="I1003" s="119">
        <f t="shared" si="467"/>
        <v>1452.29</v>
      </c>
      <c r="J1003" s="119">
        <f>1077.13+38.3+336.86</f>
        <v>1452.29</v>
      </c>
      <c r="K1003" s="16">
        <f t="shared" si="441"/>
        <v>0</v>
      </c>
      <c r="L1003" s="119">
        <f t="shared" ref="L1003:N1003" si="468">1077.13+38.3+336.86</f>
        <v>1452.29</v>
      </c>
      <c r="M1003" s="16">
        <f t="shared" si="443"/>
        <v>0</v>
      </c>
      <c r="N1003" s="119">
        <f t="shared" si="468"/>
        <v>1452.29</v>
      </c>
      <c r="O1003" s="16">
        <f t="shared" si="445"/>
        <v>0</v>
      </c>
    </row>
    <row r="1004" spans="1:15" s="33" customFormat="1">
      <c r="A1004" s="11" t="s">
        <v>936</v>
      </c>
      <c r="B1004" s="25" t="s">
        <v>62</v>
      </c>
      <c r="C1004" s="26" t="s">
        <v>14</v>
      </c>
      <c r="D1004" s="26" t="s">
        <v>2</v>
      </c>
      <c r="E1004" s="123" t="s">
        <v>447</v>
      </c>
      <c r="F1004" s="26" t="s">
        <v>1063</v>
      </c>
      <c r="G1004" s="119">
        <v>1077.1300000000001</v>
      </c>
      <c r="H1004" s="119">
        <v>1077.1300000000001</v>
      </c>
      <c r="I1004" s="119">
        <v>1077.1300000000001</v>
      </c>
      <c r="J1004" s="119"/>
      <c r="K1004" s="16">
        <f t="shared" si="441"/>
        <v>-1077.1300000000001</v>
      </c>
      <c r="L1004" s="119"/>
      <c r="M1004" s="16">
        <f t="shared" si="443"/>
        <v>-1077.1300000000001</v>
      </c>
      <c r="N1004" s="119"/>
      <c r="O1004" s="16">
        <f t="shared" si="445"/>
        <v>-1077.1300000000001</v>
      </c>
    </row>
    <row r="1005" spans="1:15" s="33" customFormat="1" ht="25.5">
      <c r="A1005" s="11" t="s">
        <v>937</v>
      </c>
      <c r="B1005" s="25" t="s">
        <v>62</v>
      </c>
      <c r="C1005" s="26" t="s">
        <v>14</v>
      </c>
      <c r="D1005" s="26" t="s">
        <v>2</v>
      </c>
      <c r="E1005" s="123" t="s">
        <v>447</v>
      </c>
      <c r="F1005" s="26" t="s">
        <v>1059</v>
      </c>
      <c r="G1005" s="119">
        <v>38.299999999999997</v>
      </c>
      <c r="H1005" s="119">
        <v>38.299999999999997</v>
      </c>
      <c r="I1005" s="119">
        <v>38.299999999999997</v>
      </c>
      <c r="J1005" s="119"/>
      <c r="K1005" s="16"/>
      <c r="L1005" s="119"/>
      <c r="M1005" s="16"/>
      <c r="N1005" s="119"/>
      <c r="O1005" s="16"/>
    </row>
    <row r="1006" spans="1:15" s="33" customFormat="1" ht="38.25">
      <c r="A1006" s="11" t="s">
        <v>939</v>
      </c>
      <c r="B1006" s="25" t="s">
        <v>62</v>
      </c>
      <c r="C1006" s="26" t="s">
        <v>14</v>
      </c>
      <c r="D1006" s="26" t="s">
        <v>2</v>
      </c>
      <c r="E1006" s="123" t="s">
        <v>447</v>
      </c>
      <c r="F1006" s="26" t="s">
        <v>1060</v>
      </c>
      <c r="G1006" s="119">
        <v>336.86</v>
      </c>
      <c r="H1006" s="119">
        <v>336.86</v>
      </c>
      <c r="I1006" s="119">
        <v>336.86</v>
      </c>
      <c r="J1006" s="119"/>
      <c r="K1006" s="16">
        <f t="shared" si="441"/>
        <v>-336.86</v>
      </c>
      <c r="L1006" s="119"/>
      <c r="M1006" s="16">
        <f t="shared" si="443"/>
        <v>-336.86</v>
      </c>
      <c r="N1006" s="119"/>
      <c r="O1006" s="16">
        <f t="shared" si="445"/>
        <v>-336.86</v>
      </c>
    </row>
    <row r="1007" spans="1:15" s="33" customFormat="1" ht="38.25">
      <c r="A1007" s="122" t="s">
        <v>600</v>
      </c>
      <c r="B1007" s="25" t="s">
        <v>62</v>
      </c>
      <c r="C1007" s="26" t="s">
        <v>14</v>
      </c>
      <c r="D1007" s="26" t="s">
        <v>2</v>
      </c>
      <c r="E1007" s="123" t="s">
        <v>448</v>
      </c>
      <c r="F1007" s="26" t="s">
        <v>58</v>
      </c>
      <c r="G1007" s="121">
        <f>G1008+G1012+G1014</f>
        <v>53399.73</v>
      </c>
      <c r="H1007" s="121">
        <f>H1008+H1012+H1014</f>
        <v>53419.990000000005</v>
      </c>
      <c r="I1007" s="121">
        <f>I1008+I1012+I1014</f>
        <v>53419.990000000005</v>
      </c>
      <c r="J1007" s="121">
        <f>J1008+J1012+J1014</f>
        <v>53399.73</v>
      </c>
      <c r="K1007" s="16">
        <f t="shared" si="441"/>
        <v>0</v>
      </c>
      <c r="L1007" s="121">
        <f>L1008+L1012+L1014</f>
        <v>53419.990000000005</v>
      </c>
      <c r="M1007" s="16">
        <f t="shared" si="443"/>
        <v>0</v>
      </c>
      <c r="N1007" s="121">
        <f>N1008+N1012+N1014</f>
        <v>53419.990000000005</v>
      </c>
      <c r="O1007" s="16">
        <f t="shared" si="445"/>
        <v>0</v>
      </c>
    </row>
    <row r="1008" spans="1:15" s="33" customFormat="1" ht="25.5">
      <c r="A1008" s="11" t="s">
        <v>107</v>
      </c>
      <c r="B1008" s="25" t="s">
        <v>62</v>
      </c>
      <c r="C1008" s="26" t="s">
        <v>14</v>
      </c>
      <c r="D1008" s="26" t="s">
        <v>2</v>
      </c>
      <c r="E1008" s="123" t="s">
        <v>448</v>
      </c>
      <c r="F1008" s="26" t="s">
        <v>115</v>
      </c>
      <c r="G1008" s="119">
        <f>SUM(G1009:G1011)</f>
        <v>51830.19</v>
      </c>
      <c r="H1008" s="119">
        <f>SUM(H1009:H1011)</f>
        <v>51830.19</v>
      </c>
      <c r="I1008" s="119">
        <f>SUM(I1009:I1011)</f>
        <v>51830.19</v>
      </c>
      <c r="J1008" s="119">
        <f>38700+1404.15+11726.04</f>
        <v>51830.19</v>
      </c>
      <c r="K1008" s="16">
        <f t="shared" si="441"/>
        <v>0</v>
      </c>
      <c r="L1008" s="119">
        <f t="shared" ref="L1008:N1008" si="469">38700+1404.15+11726.04</f>
        <v>51830.19</v>
      </c>
      <c r="M1008" s="16">
        <f t="shared" si="443"/>
        <v>0</v>
      </c>
      <c r="N1008" s="119">
        <f t="shared" si="469"/>
        <v>51830.19</v>
      </c>
      <c r="O1008" s="16">
        <f t="shared" si="445"/>
        <v>0</v>
      </c>
    </row>
    <row r="1009" spans="1:15" s="33" customFormat="1">
      <c r="A1009" s="11" t="s">
        <v>936</v>
      </c>
      <c r="B1009" s="25" t="s">
        <v>62</v>
      </c>
      <c r="C1009" s="26" t="s">
        <v>14</v>
      </c>
      <c r="D1009" s="26" t="s">
        <v>2</v>
      </c>
      <c r="E1009" s="123" t="s">
        <v>448</v>
      </c>
      <c r="F1009" s="26" t="s">
        <v>1063</v>
      </c>
      <c r="G1009" s="119">
        <v>38700</v>
      </c>
      <c r="H1009" s="119">
        <v>38700</v>
      </c>
      <c r="I1009" s="119">
        <v>38700</v>
      </c>
      <c r="J1009" s="119"/>
      <c r="K1009" s="16">
        <f t="shared" si="441"/>
        <v>-38700</v>
      </c>
      <c r="L1009" s="119"/>
      <c r="M1009" s="16">
        <f t="shared" si="443"/>
        <v>-38700</v>
      </c>
      <c r="N1009" s="119"/>
      <c r="O1009" s="16">
        <f t="shared" si="445"/>
        <v>-38700</v>
      </c>
    </row>
    <row r="1010" spans="1:15" s="33" customFormat="1" ht="25.5">
      <c r="A1010" s="11" t="s">
        <v>937</v>
      </c>
      <c r="B1010" s="25" t="s">
        <v>62</v>
      </c>
      <c r="C1010" s="26" t="s">
        <v>14</v>
      </c>
      <c r="D1010" s="26" t="s">
        <v>2</v>
      </c>
      <c r="E1010" s="123" t="s">
        <v>448</v>
      </c>
      <c r="F1010" s="26" t="s">
        <v>1059</v>
      </c>
      <c r="G1010" s="119">
        <v>1404.15</v>
      </c>
      <c r="H1010" s="119">
        <v>1404.15</v>
      </c>
      <c r="I1010" s="119">
        <v>1404.15</v>
      </c>
      <c r="J1010" s="119"/>
      <c r="K1010" s="16">
        <f t="shared" si="441"/>
        <v>-1404.15</v>
      </c>
      <c r="L1010" s="119"/>
      <c r="M1010" s="16">
        <f t="shared" si="443"/>
        <v>-1404.15</v>
      </c>
      <c r="N1010" s="119"/>
      <c r="O1010" s="16">
        <f t="shared" si="445"/>
        <v>-1404.15</v>
      </c>
    </row>
    <row r="1011" spans="1:15" s="33" customFormat="1" ht="38.25">
      <c r="A1011" s="11" t="s">
        <v>939</v>
      </c>
      <c r="B1011" s="25" t="s">
        <v>62</v>
      </c>
      <c r="C1011" s="26" t="s">
        <v>14</v>
      </c>
      <c r="D1011" s="26" t="s">
        <v>2</v>
      </c>
      <c r="E1011" s="123" t="s">
        <v>448</v>
      </c>
      <c r="F1011" s="26" t="s">
        <v>1060</v>
      </c>
      <c r="G1011" s="119">
        <v>11726.04</v>
      </c>
      <c r="H1011" s="119">
        <v>11726.04</v>
      </c>
      <c r="I1011" s="119">
        <v>11726.04</v>
      </c>
      <c r="J1011" s="119"/>
      <c r="K1011" s="16"/>
      <c r="L1011" s="119"/>
      <c r="M1011" s="16"/>
      <c r="N1011" s="119"/>
      <c r="O1011" s="16"/>
    </row>
    <row r="1012" spans="1:15" s="33" customFormat="1" ht="25.5">
      <c r="A1012" s="11" t="s">
        <v>108</v>
      </c>
      <c r="B1012" s="25" t="s">
        <v>62</v>
      </c>
      <c r="C1012" s="26" t="s">
        <v>14</v>
      </c>
      <c r="D1012" s="26" t="s">
        <v>2</v>
      </c>
      <c r="E1012" s="123" t="s">
        <v>448</v>
      </c>
      <c r="F1012" s="26" t="s">
        <v>116</v>
      </c>
      <c r="G1012" s="119">
        <f>G1013</f>
        <v>1459.54</v>
      </c>
      <c r="H1012" s="119">
        <f t="shared" ref="H1012:I1012" si="470">H1013</f>
        <v>1479.8</v>
      </c>
      <c r="I1012" s="119">
        <f t="shared" si="470"/>
        <v>1479.8</v>
      </c>
      <c r="J1012" s="119">
        <v>1459.54</v>
      </c>
      <c r="K1012" s="16">
        <f t="shared" si="441"/>
        <v>0</v>
      </c>
      <c r="L1012" s="119">
        <f>1479.8</f>
        <v>1479.8</v>
      </c>
      <c r="M1012" s="16">
        <f t="shared" si="443"/>
        <v>0</v>
      </c>
      <c r="N1012" s="119">
        <f>1479.8</f>
        <v>1479.8</v>
      </c>
      <c r="O1012" s="16">
        <f t="shared" si="445"/>
        <v>0</v>
      </c>
    </row>
    <row r="1013" spans="1:15" s="105" customFormat="1" ht="25.5">
      <c r="A1013" s="12" t="s">
        <v>973</v>
      </c>
      <c r="B1013" s="25" t="s">
        <v>62</v>
      </c>
      <c r="C1013" s="26" t="s">
        <v>14</v>
      </c>
      <c r="D1013" s="26" t="s">
        <v>2</v>
      </c>
      <c r="E1013" s="123" t="s">
        <v>448</v>
      </c>
      <c r="F1013" s="26" t="s">
        <v>1043</v>
      </c>
      <c r="G1013" s="119">
        <v>1459.54</v>
      </c>
      <c r="H1013" s="119">
        <f>1479.8</f>
        <v>1479.8</v>
      </c>
      <c r="I1013" s="119">
        <f>1479.8</f>
        <v>1479.8</v>
      </c>
      <c r="J1013" s="102"/>
      <c r="K1013" s="91">
        <f t="shared" si="441"/>
        <v>-1459.54</v>
      </c>
      <c r="L1013" s="102"/>
      <c r="M1013" s="91">
        <f t="shared" si="443"/>
        <v>-1479.8</v>
      </c>
      <c r="N1013" s="102"/>
      <c r="O1013" s="91">
        <f t="shared" si="445"/>
        <v>-1479.8</v>
      </c>
    </row>
    <row r="1014" spans="1:15" s="33" customFormat="1">
      <c r="A1014" s="11" t="s">
        <v>97</v>
      </c>
      <c r="B1014" s="25" t="s">
        <v>62</v>
      </c>
      <c r="C1014" s="26" t="s">
        <v>14</v>
      </c>
      <c r="D1014" s="26" t="s">
        <v>2</v>
      </c>
      <c r="E1014" s="123" t="s">
        <v>448</v>
      </c>
      <c r="F1014" s="26" t="s">
        <v>118</v>
      </c>
      <c r="G1014" s="119">
        <f>SUM(G1015:G1016)</f>
        <v>110</v>
      </c>
      <c r="H1014" s="119">
        <f t="shared" ref="H1014:I1014" si="471">SUM(H1015:H1016)</f>
        <v>110</v>
      </c>
      <c r="I1014" s="119">
        <f t="shared" si="471"/>
        <v>110</v>
      </c>
      <c r="J1014" s="119">
        <f>100+10</f>
        <v>110</v>
      </c>
      <c r="K1014" s="16">
        <f t="shared" si="441"/>
        <v>0</v>
      </c>
      <c r="L1014" s="119">
        <f t="shared" ref="L1014:N1014" si="472">100+10</f>
        <v>110</v>
      </c>
      <c r="M1014" s="16">
        <f t="shared" si="443"/>
        <v>0</v>
      </c>
      <c r="N1014" s="119">
        <f t="shared" si="472"/>
        <v>110</v>
      </c>
      <c r="O1014" s="16">
        <f t="shared" si="445"/>
        <v>0</v>
      </c>
    </row>
    <row r="1015" spans="1:15" s="33" customFormat="1">
      <c r="A1015" s="11" t="s">
        <v>1036</v>
      </c>
      <c r="B1015" s="25" t="s">
        <v>62</v>
      </c>
      <c r="C1015" s="26" t="s">
        <v>14</v>
      </c>
      <c r="D1015" s="26" t="s">
        <v>2</v>
      </c>
      <c r="E1015" s="123" t="s">
        <v>448</v>
      </c>
      <c r="F1015" s="26" t="s">
        <v>1061</v>
      </c>
      <c r="G1015" s="119">
        <v>100</v>
      </c>
      <c r="H1015" s="119">
        <v>100</v>
      </c>
      <c r="I1015" s="119">
        <v>100</v>
      </c>
      <c r="J1015" s="119"/>
      <c r="K1015" s="16">
        <f t="shared" si="441"/>
        <v>-100</v>
      </c>
      <c r="L1015" s="119"/>
      <c r="M1015" s="16">
        <f t="shared" si="443"/>
        <v>-100</v>
      </c>
      <c r="N1015" s="119"/>
      <c r="O1015" s="16">
        <f t="shared" si="445"/>
        <v>-100</v>
      </c>
    </row>
    <row r="1016" spans="1:15" s="33" customFormat="1">
      <c r="A1016" s="11" t="s">
        <v>1037</v>
      </c>
      <c r="B1016" s="25" t="s">
        <v>62</v>
      </c>
      <c r="C1016" s="26" t="s">
        <v>14</v>
      </c>
      <c r="D1016" s="26" t="s">
        <v>2</v>
      </c>
      <c r="E1016" s="123" t="s">
        <v>448</v>
      </c>
      <c r="F1016" s="26" t="s">
        <v>1062</v>
      </c>
      <c r="G1016" s="119">
        <v>10</v>
      </c>
      <c r="H1016" s="119">
        <v>10</v>
      </c>
      <c r="I1016" s="119">
        <v>10</v>
      </c>
      <c r="J1016" s="119"/>
      <c r="K1016" s="16">
        <f t="shared" si="441"/>
        <v>-10</v>
      </c>
      <c r="L1016" s="119"/>
      <c r="M1016" s="16">
        <f t="shared" si="443"/>
        <v>-10</v>
      </c>
      <c r="N1016" s="119"/>
      <c r="O1016" s="16">
        <f t="shared" si="445"/>
        <v>-10</v>
      </c>
    </row>
    <row r="1017" spans="1:15" s="104" customFormat="1">
      <c r="A1017" s="79"/>
      <c r="B1017" s="92"/>
      <c r="C1017" s="70"/>
      <c r="D1017" s="70"/>
      <c r="E1017" s="106"/>
      <c r="F1017" s="70"/>
      <c r="G1017" s="101"/>
      <c r="H1017" s="101"/>
      <c r="I1017" s="101"/>
      <c r="J1017" s="101"/>
      <c r="K1017" s="91">
        <f t="shared" si="441"/>
        <v>0</v>
      </c>
      <c r="L1017" s="101"/>
      <c r="M1017" s="91">
        <f t="shared" si="443"/>
        <v>0</v>
      </c>
      <c r="N1017" s="101"/>
      <c r="O1017" s="91">
        <f t="shared" si="445"/>
        <v>0</v>
      </c>
    </row>
    <row r="1018" spans="1:15" s="3" customFormat="1" ht="25.5">
      <c r="A1018" s="28" t="s">
        <v>694</v>
      </c>
      <c r="B1018" s="14" t="s">
        <v>67</v>
      </c>
      <c r="C1018" s="15" t="s">
        <v>51</v>
      </c>
      <c r="D1018" s="15" t="s">
        <v>51</v>
      </c>
      <c r="E1018" s="15" t="s">
        <v>196</v>
      </c>
      <c r="F1018" s="15" t="s">
        <v>58</v>
      </c>
      <c r="G1018" s="29">
        <f>G1019+G1039</f>
        <v>195692.90999999997</v>
      </c>
      <c r="H1018" s="29">
        <f>H1019+H1039</f>
        <v>172467.65999999997</v>
      </c>
      <c r="I1018" s="29">
        <f>I1019+I1039</f>
        <v>172467.65999999997</v>
      </c>
      <c r="J1018" s="29">
        <f>J1019+J1039</f>
        <v>195692.90999999997</v>
      </c>
      <c r="K1018" s="16">
        <f t="shared" si="441"/>
        <v>0</v>
      </c>
      <c r="L1018" s="29">
        <f>L1019+L1039</f>
        <v>172467.65999999997</v>
      </c>
      <c r="M1018" s="16">
        <f t="shared" si="443"/>
        <v>0</v>
      </c>
      <c r="N1018" s="29">
        <f>N1019+N1039</f>
        <v>172467.65999999997</v>
      </c>
      <c r="O1018" s="16">
        <f t="shared" si="445"/>
        <v>0</v>
      </c>
    </row>
    <row r="1019" spans="1:15" s="3" customFormat="1">
      <c r="A1019" s="17" t="s">
        <v>70</v>
      </c>
      <c r="B1019" s="18" t="s">
        <v>67</v>
      </c>
      <c r="C1019" s="19" t="s">
        <v>71</v>
      </c>
      <c r="D1019" s="19" t="s">
        <v>51</v>
      </c>
      <c r="E1019" s="19" t="s">
        <v>196</v>
      </c>
      <c r="F1019" s="19" t="s">
        <v>58</v>
      </c>
      <c r="G1019" s="20">
        <f>G1020</f>
        <v>148272.76999999999</v>
      </c>
      <c r="H1019" s="20">
        <f>H1020</f>
        <v>147969.65999999997</v>
      </c>
      <c r="I1019" s="20">
        <f>I1020</f>
        <v>147969.65999999997</v>
      </c>
      <c r="J1019" s="20">
        <f>J1020</f>
        <v>148272.76999999999</v>
      </c>
      <c r="K1019" s="16">
        <f t="shared" si="441"/>
        <v>0</v>
      </c>
      <c r="L1019" s="20">
        <f>L1020</f>
        <v>147969.65999999997</v>
      </c>
      <c r="M1019" s="16">
        <f t="shared" si="443"/>
        <v>0</v>
      </c>
      <c r="N1019" s="20">
        <f>N1020</f>
        <v>147969.65999999997</v>
      </c>
      <c r="O1019" s="16">
        <f t="shared" si="445"/>
        <v>0</v>
      </c>
    </row>
    <row r="1020" spans="1:15" s="3" customFormat="1">
      <c r="A1020" s="21" t="s">
        <v>779</v>
      </c>
      <c r="B1020" s="22" t="s">
        <v>67</v>
      </c>
      <c r="C1020" s="23" t="s">
        <v>71</v>
      </c>
      <c r="D1020" s="23" t="s">
        <v>53</v>
      </c>
      <c r="E1020" s="23" t="s">
        <v>196</v>
      </c>
      <c r="F1020" s="23" t="s">
        <v>58</v>
      </c>
      <c r="G1020" s="24">
        <f>G1021+G1027+G1033</f>
        <v>148272.76999999999</v>
      </c>
      <c r="H1020" s="24">
        <f>H1021+H1027+H1033</f>
        <v>147969.65999999997</v>
      </c>
      <c r="I1020" s="24">
        <f>I1021+I1027+I1033</f>
        <v>147969.65999999997</v>
      </c>
      <c r="J1020" s="24">
        <f>J1021+J1027+J1033</f>
        <v>148272.76999999999</v>
      </c>
      <c r="K1020" s="16">
        <f t="shared" si="441"/>
        <v>0</v>
      </c>
      <c r="L1020" s="24">
        <f>L1021+L1027+L1033</f>
        <v>147969.65999999997</v>
      </c>
      <c r="M1020" s="16">
        <f t="shared" si="443"/>
        <v>0</v>
      </c>
      <c r="N1020" s="24">
        <f>N1021+N1027+N1033</f>
        <v>147969.65999999997</v>
      </c>
      <c r="O1020" s="16">
        <f t="shared" si="445"/>
        <v>0</v>
      </c>
    </row>
    <row r="1021" spans="1:15" s="3" customFormat="1" ht="25.5">
      <c r="A1021" s="11" t="s">
        <v>740</v>
      </c>
      <c r="B1021" s="25" t="s">
        <v>67</v>
      </c>
      <c r="C1021" s="26" t="s">
        <v>71</v>
      </c>
      <c r="D1021" s="26" t="s">
        <v>53</v>
      </c>
      <c r="E1021" s="26" t="s">
        <v>449</v>
      </c>
      <c r="F1021" s="26" t="s">
        <v>58</v>
      </c>
      <c r="G1021" s="27">
        <f t="shared" ref="G1021:N1025" si="473">G1022</f>
        <v>147588.28</v>
      </c>
      <c r="H1021" s="27">
        <f t="shared" si="473"/>
        <v>147736.10999999999</v>
      </c>
      <c r="I1021" s="27">
        <f t="shared" si="473"/>
        <v>147736.10999999999</v>
      </c>
      <c r="J1021" s="27">
        <f t="shared" si="473"/>
        <v>147588.28</v>
      </c>
      <c r="K1021" s="16">
        <f t="shared" si="441"/>
        <v>0</v>
      </c>
      <c r="L1021" s="27">
        <f t="shared" si="473"/>
        <v>147736.10999999999</v>
      </c>
      <c r="M1021" s="16">
        <f t="shared" si="443"/>
        <v>0</v>
      </c>
      <c r="N1021" s="27">
        <f t="shared" si="473"/>
        <v>147736.10999999999</v>
      </c>
      <c r="O1021" s="16">
        <f t="shared" si="445"/>
        <v>0</v>
      </c>
    </row>
    <row r="1022" spans="1:15" s="3" customFormat="1" ht="38.25">
      <c r="A1022" s="11" t="s">
        <v>141</v>
      </c>
      <c r="B1022" s="25" t="s">
        <v>67</v>
      </c>
      <c r="C1022" s="26" t="s">
        <v>71</v>
      </c>
      <c r="D1022" s="26" t="s">
        <v>53</v>
      </c>
      <c r="E1022" s="26" t="s">
        <v>450</v>
      </c>
      <c r="F1022" s="26" t="s">
        <v>58</v>
      </c>
      <c r="G1022" s="27">
        <f t="shared" si="473"/>
        <v>147588.28</v>
      </c>
      <c r="H1022" s="27">
        <f t="shared" si="473"/>
        <v>147736.10999999999</v>
      </c>
      <c r="I1022" s="27">
        <f t="shared" si="473"/>
        <v>147736.10999999999</v>
      </c>
      <c r="J1022" s="27">
        <f t="shared" si="473"/>
        <v>147588.28</v>
      </c>
      <c r="K1022" s="16">
        <f t="shared" si="441"/>
        <v>0</v>
      </c>
      <c r="L1022" s="27">
        <f t="shared" si="473"/>
        <v>147736.10999999999</v>
      </c>
      <c r="M1022" s="16">
        <f t="shared" si="443"/>
        <v>0</v>
      </c>
      <c r="N1022" s="27">
        <f t="shared" si="473"/>
        <v>147736.10999999999</v>
      </c>
      <c r="O1022" s="16">
        <f t="shared" si="445"/>
        <v>0</v>
      </c>
    </row>
    <row r="1023" spans="1:15" s="3" customFormat="1" ht="38.25">
      <c r="A1023" s="11" t="s">
        <v>587</v>
      </c>
      <c r="B1023" s="25" t="s">
        <v>67</v>
      </c>
      <c r="C1023" s="26" t="s">
        <v>71</v>
      </c>
      <c r="D1023" s="26" t="s">
        <v>53</v>
      </c>
      <c r="E1023" s="26" t="s">
        <v>451</v>
      </c>
      <c r="F1023" s="26" t="s">
        <v>58</v>
      </c>
      <c r="G1023" s="27">
        <f>G1024</f>
        <v>147588.28</v>
      </c>
      <c r="H1023" s="27">
        <f t="shared" si="473"/>
        <v>147736.10999999999</v>
      </c>
      <c r="I1023" s="27">
        <f t="shared" si="473"/>
        <v>147736.10999999999</v>
      </c>
      <c r="J1023" s="27">
        <f>J1024</f>
        <v>147588.28</v>
      </c>
      <c r="K1023" s="16">
        <f t="shared" si="441"/>
        <v>0</v>
      </c>
      <c r="L1023" s="27">
        <f t="shared" si="473"/>
        <v>147736.10999999999</v>
      </c>
      <c r="M1023" s="16">
        <f t="shared" si="443"/>
        <v>0</v>
      </c>
      <c r="N1023" s="27">
        <f t="shared" si="473"/>
        <v>147736.10999999999</v>
      </c>
      <c r="O1023" s="16">
        <f t="shared" si="445"/>
        <v>0</v>
      </c>
    </row>
    <row r="1024" spans="1:15" s="3" customFormat="1" ht="25.5">
      <c r="A1024" s="39" t="s">
        <v>247</v>
      </c>
      <c r="B1024" s="25" t="s">
        <v>67</v>
      </c>
      <c r="C1024" s="26" t="s">
        <v>71</v>
      </c>
      <c r="D1024" s="26" t="s">
        <v>53</v>
      </c>
      <c r="E1024" s="26" t="s">
        <v>452</v>
      </c>
      <c r="F1024" s="26" t="s">
        <v>58</v>
      </c>
      <c r="G1024" s="27">
        <f>G1025</f>
        <v>147588.28</v>
      </c>
      <c r="H1024" s="27">
        <f t="shared" si="473"/>
        <v>147736.10999999999</v>
      </c>
      <c r="I1024" s="27">
        <f t="shared" si="473"/>
        <v>147736.10999999999</v>
      </c>
      <c r="J1024" s="27">
        <f t="shared" si="473"/>
        <v>147588.28</v>
      </c>
      <c r="K1024" s="16">
        <f t="shared" si="441"/>
        <v>0</v>
      </c>
      <c r="L1024" s="27">
        <f t="shared" si="473"/>
        <v>147736.10999999999</v>
      </c>
      <c r="M1024" s="16">
        <f t="shared" si="443"/>
        <v>0</v>
      </c>
      <c r="N1024" s="27">
        <f t="shared" si="473"/>
        <v>147736.10999999999</v>
      </c>
      <c r="O1024" s="16">
        <f t="shared" si="445"/>
        <v>0</v>
      </c>
    </row>
    <row r="1025" spans="1:15" s="3" customFormat="1">
      <c r="A1025" s="13" t="s">
        <v>92</v>
      </c>
      <c r="B1025" s="25" t="s">
        <v>67</v>
      </c>
      <c r="C1025" s="26" t="s">
        <v>71</v>
      </c>
      <c r="D1025" s="26" t="s">
        <v>53</v>
      </c>
      <c r="E1025" s="26" t="s">
        <v>452</v>
      </c>
      <c r="F1025" s="26" t="s">
        <v>138</v>
      </c>
      <c r="G1025" s="27">
        <f>G1026</f>
        <v>147588.28</v>
      </c>
      <c r="H1025" s="27">
        <f t="shared" si="473"/>
        <v>147736.10999999999</v>
      </c>
      <c r="I1025" s="27">
        <f t="shared" si="473"/>
        <v>147736.10999999999</v>
      </c>
      <c r="J1025" s="27">
        <f>147588.28</f>
        <v>147588.28</v>
      </c>
      <c r="K1025" s="16">
        <f t="shared" ref="K1025:K1082" si="474">J1025-G1025</f>
        <v>0</v>
      </c>
      <c r="L1025" s="27">
        <f>147736.11</f>
        <v>147736.10999999999</v>
      </c>
      <c r="M1025" s="16">
        <f t="shared" ref="M1025:M1082" si="475">L1025-H1025</f>
        <v>0</v>
      </c>
      <c r="N1025" s="27">
        <f>147736.11</f>
        <v>147736.10999999999</v>
      </c>
      <c r="O1025" s="16">
        <f t="shared" ref="O1025:O1082" si="476">N1025-I1025</f>
        <v>0</v>
      </c>
    </row>
    <row r="1026" spans="1:15" s="4" customFormat="1" ht="38.25">
      <c r="A1026" s="12" t="s">
        <v>1015</v>
      </c>
      <c r="B1026" s="25" t="s">
        <v>67</v>
      </c>
      <c r="C1026" s="26" t="s">
        <v>71</v>
      </c>
      <c r="D1026" s="26" t="s">
        <v>53</v>
      </c>
      <c r="E1026" s="26" t="s">
        <v>452</v>
      </c>
      <c r="F1026" s="26" t="s">
        <v>67</v>
      </c>
      <c r="G1026" s="27">
        <f>147588.28</f>
        <v>147588.28</v>
      </c>
      <c r="H1026" s="27">
        <f>147736.11</f>
        <v>147736.10999999999</v>
      </c>
      <c r="I1026" s="27">
        <f>147736.11</f>
        <v>147736.10999999999</v>
      </c>
      <c r="J1026" s="80"/>
      <c r="K1026" s="16">
        <f t="shared" si="474"/>
        <v>-147588.28</v>
      </c>
      <c r="L1026" s="80"/>
      <c r="M1026" s="16">
        <f t="shared" si="475"/>
        <v>-147736.10999999999</v>
      </c>
      <c r="N1026" s="80"/>
      <c r="O1026" s="16">
        <f t="shared" si="476"/>
        <v>-147736.10999999999</v>
      </c>
    </row>
    <row r="1027" spans="1:15" s="3" customFormat="1" ht="63.75">
      <c r="A1027" s="11" t="s">
        <v>756</v>
      </c>
      <c r="B1027" s="25" t="s">
        <v>67</v>
      </c>
      <c r="C1027" s="26" t="s">
        <v>71</v>
      </c>
      <c r="D1027" s="26" t="s">
        <v>53</v>
      </c>
      <c r="E1027" s="26" t="s">
        <v>339</v>
      </c>
      <c r="F1027" s="26" t="s">
        <v>58</v>
      </c>
      <c r="G1027" s="27">
        <f t="shared" ref="G1027:N1031" si="477">G1028</f>
        <v>259.49</v>
      </c>
      <c r="H1027" s="27">
        <f t="shared" si="477"/>
        <v>233.55</v>
      </c>
      <c r="I1027" s="27">
        <f t="shared" si="477"/>
        <v>233.55</v>
      </c>
      <c r="J1027" s="27">
        <f t="shared" si="477"/>
        <v>259.49</v>
      </c>
      <c r="K1027" s="16">
        <f t="shared" si="474"/>
        <v>0</v>
      </c>
      <c r="L1027" s="27">
        <f t="shared" si="477"/>
        <v>233.55</v>
      </c>
      <c r="M1027" s="16">
        <f t="shared" si="475"/>
        <v>0</v>
      </c>
      <c r="N1027" s="27">
        <f t="shared" si="477"/>
        <v>233.55</v>
      </c>
      <c r="O1027" s="16">
        <f t="shared" si="476"/>
        <v>0</v>
      </c>
    </row>
    <row r="1028" spans="1:15" s="3" customFormat="1" ht="25.5">
      <c r="A1028" s="11" t="s">
        <v>136</v>
      </c>
      <c r="B1028" s="25" t="s">
        <v>67</v>
      </c>
      <c r="C1028" s="26" t="s">
        <v>71</v>
      </c>
      <c r="D1028" s="26" t="s">
        <v>53</v>
      </c>
      <c r="E1028" s="26" t="s">
        <v>340</v>
      </c>
      <c r="F1028" s="26" t="s">
        <v>58</v>
      </c>
      <c r="G1028" s="27">
        <f t="shared" si="477"/>
        <v>259.49</v>
      </c>
      <c r="H1028" s="27">
        <f t="shared" si="477"/>
        <v>233.55</v>
      </c>
      <c r="I1028" s="27">
        <f t="shared" si="477"/>
        <v>233.55</v>
      </c>
      <c r="J1028" s="27">
        <f t="shared" si="477"/>
        <v>259.49</v>
      </c>
      <c r="K1028" s="16">
        <f t="shared" si="474"/>
        <v>0</v>
      </c>
      <c r="L1028" s="27">
        <f t="shared" si="477"/>
        <v>233.55</v>
      </c>
      <c r="M1028" s="16">
        <f t="shared" si="475"/>
        <v>0</v>
      </c>
      <c r="N1028" s="27">
        <f t="shared" si="477"/>
        <v>233.55</v>
      </c>
      <c r="O1028" s="16">
        <f t="shared" si="476"/>
        <v>0</v>
      </c>
    </row>
    <row r="1029" spans="1:15" s="3" customFormat="1" ht="25.5">
      <c r="A1029" s="11" t="s">
        <v>667</v>
      </c>
      <c r="B1029" s="25" t="s">
        <v>67</v>
      </c>
      <c r="C1029" s="26" t="s">
        <v>71</v>
      </c>
      <c r="D1029" s="26" t="s">
        <v>53</v>
      </c>
      <c r="E1029" s="26" t="s">
        <v>609</v>
      </c>
      <c r="F1029" s="26" t="s">
        <v>58</v>
      </c>
      <c r="G1029" s="27">
        <f t="shared" si="477"/>
        <v>259.49</v>
      </c>
      <c r="H1029" s="27">
        <f t="shared" si="477"/>
        <v>233.55</v>
      </c>
      <c r="I1029" s="27">
        <f t="shared" si="477"/>
        <v>233.55</v>
      </c>
      <c r="J1029" s="27">
        <f t="shared" si="477"/>
        <v>259.49</v>
      </c>
      <c r="K1029" s="16">
        <f t="shared" si="474"/>
        <v>0</v>
      </c>
      <c r="L1029" s="27">
        <f t="shared" si="477"/>
        <v>233.55</v>
      </c>
      <c r="M1029" s="16">
        <f t="shared" si="475"/>
        <v>0</v>
      </c>
      <c r="N1029" s="27">
        <f t="shared" si="477"/>
        <v>233.55</v>
      </c>
      <c r="O1029" s="16">
        <f t="shared" si="476"/>
        <v>0</v>
      </c>
    </row>
    <row r="1030" spans="1:15" s="3" customFormat="1" ht="38.25">
      <c r="A1030" s="11" t="s">
        <v>177</v>
      </c>
      <c r="B1030" s="25" t="s">
        <v>67</v>
      </c>
      <c r="C1030" s="26" t="s">
        <v>71</v>
      </c>
      <c r="D1030" s="26" t="s">
        <v>53</v>
      </c>
      <c r="E1030" s="26" t="s">
        <v>610</v>
      </c>
      <c r="F1030" s="26" t="s">
        <v>58</v>
      </c>
      <c r="G1030" s="27">
        <f t="shared" si="477"/>
        <v>259.49</v>
      </c>
      <c r="H1030" s="27">
        <f t="shared" si="477"/>
        <v>233.55</v>
      </c>
      <c r="I1030" s="27">
        <f t="shared" si="477"/>
        <v>233.55</v>
      </c>
      <c r="J1030" s="27">
        <f t="shared" si="477"/>
        <v>259.49</v>
      </c>
      <c r="K1030" s="16">
        <f t="shared" si="474"/>
        <v>0</v>
      </c>
      <c r="L1030" s="27">
        <f t="shared" si="477"/>
        <v>233.55</v>
      </c>
      <c r="M1030" s="16">
        <f t="shared" si="475"/>
        <v>0</v>
      </c>
      <c r="N1030" s="27">
        <f t="shared" si="477"/>
        <v>233.55</v>
      </c>
      <c r="O1030" s="16">
        <f t="shared" si="476"/>
        <v>0</v>
      </c>
    </row>
    <row r="1031" spans="1:15" s="3" customFormat="1">
      <c r="A1031" s="13" t="s">
        <v>92</v>
      </c>
      <c r="B1031" s="25" t="s">
        <v>67</v>
      </c>
      <c r="C1031" s="26" t="s">
        <v>71</v>
      </c>
      <c r="D1031" s="26" t="s">
        <v>53</v>
      </c>
      <c r="E1031" s="26" t="s">
        <v>610</v>
      </c>
      <c r="F1031" s="26" t="s">
        <v>138</v>
      </c>
      <c r="G1031" s="27">
        <f>G1032</f>
        <v>259.49</v>
      </c>
      <c r="H1031" s="27">
        <f t="shared" si="477"/>
        <v>233.55</v>
      </c>
      <c r="I1031" s="27">
        <f t="shared" si="477"/>
        <v>233.55</v>
      </c>
      <c r="J1031" s="27">
        <f>259.49</f>
        <v>259.49</v>
      </c>
      <c r="K1031" s="16">
        <f t="shared" si="474"/>
        <v>0</v>
      </c>
      <c r="L1031" s="27">
        <f>233.55</f>
        <v>233.55</v>
      </c>
      <c r="M1031" s="16">
        <f t="shared" si="475"/>
        <v>0</v>
      </c>
      <c r="N1031" s="27">
        <f>233.55</f>
        <v>233.55</v>
      </c>
      <c r="O1031" s="16">
        <f t="shared" si="476"/>
        <v>0</v>
      </c>
    </row>
    <row r="1032" spans="1:15" s="4" customFormat="1">
      <c r="A1032" s="12" t="s">
        <v>1016</v>
      </c>
      <c r="B1032" s="25" t="s">
        <v>67</v>
      </c>
      <c r="C1032" s="26" t="s">
        <v>71</v>
      </c>
      <c r="D1032" s="26" t="s">
        <v>53</v>
      </c>
      <c r="E1032" s="26" t="s">
        <v>610</v>
      </c>
      <c r="F1032" s="26" t="s">
        <v>1046</v>
      </c>
      <c r="G1032" s="27">
        <f>259.49</f>
        <v>259.49</v>
      </c>
      <c r="H1032" s="27">
        <f>233.55</f>
        <v>233.55</v>
      </c>
      <c r="I1032" s="27">
        <f>233.55</f>
        <v>233.55</v>
      </c>
      <c r="J1032" s="80"/>
      <c r="K1032" s="16">
        <f t="shared" si="474"/>
        <v>-259.49</v>
      </c>
      <c r="L1032" s="80"/>
      <c r="M1032" s="16">
        <f t="shared" si="475"/>
        <v>-233.55</v>
      </c>
      <c r="N1032" s="80"/>
      <c r="O1032" s="16">
        <f t="shared" si="476"/>
        <v>-233.55</v>
      </c>
    </row>
    <row r="1033" spans="1:15" s="3" customFormat="1" ht="25.5">
      <c r="A1033" s="11" t="s">
        <v>757</v>
      </c>
      <c r="B1033" s="25" t="s">
        <v>67</v>
      </c>
      <c r="C1033" s="26" t="s">
        <v>71</v>
      </c>
      <c r="D1033" s="26" t="s">
        <v>53</v>
      </c>
      <c r="E1033" s="26" t="s">
        <v>342</v>
      </c>
      <c r="F1033" s="26" t="s">
        <v>58</v>
      </c>
      <c r="G1033" s="27">
        <f t="shared" ref="G1033:N1034" si="478">G1034</f>
        <v>425</v>
      </c>
      <c r="H1033" s="27">
        <f t="shared" si="478"/>
        <v>0</v>
      </c>
      <c r="I1033" s="27">
        <f t="shared" si="478"/>
        <v>0</v>
      </c>
      <c r="J1033" s="27">
        <f t="shared" si="478"/>
        <v>425</v>
      </c>
      <c r="K1033" s="16">
        <f t="shared" si="474"/>
        <v>0</v>
      </c>
      <c r="L1033" s="27">
        <f t="shared" si="478"/>
        <v>0</v>
      </c>
      <c r="M1033" s="16">
        <f t="shared" si="475"/>
        <v>0</v>
      </c>
      <c r="N1033" s="27">
        <f t="shared" si="478"/>
        <v>0</v>
      </c>
      <c r="O1033" s="16">
        <f t="shared" si="476"/>
        <v>0</v>
      </c>
    </row>
    <row r="1034" spans="1:15" s="3" customFormat="1" ht="38.25">
      <c r="A1034" s="34" t="s">
        <v>758</v>
      </c>
      <c r="B1034" s="25" t="s">
        <v>67</v>
      </c>
      <c r="C1034" s="26" t="s">
        <v>71</v>
      </c>
      <c r="D1034" s="26" t="s">
        <v>53</v>
      </c>
      <c r="E1034" s="26" t="s">
        <v>343</v>
      </c>
      <c r="F1034" s="26" t="s">
        <v>58</v>
      </c>
      <c r="G1034" s="27">
        <f t="shared" si="478"/>
        <v>425</v>
      </c>
      <c r="H1034" s="27">
        <f t="shared" si="478"/>
        <v>0</v>
      </c>
      <c r="I1034" s="27">
        <f t="shared" si="478"/>
        <v>0</v>
      </c>
      <c r="J1034" s="27">
        <f t="shared" si="478"/>
        <v>425</v>
      </c>
      <c r="K1034" s="16">
        <f t="shared" si="474"/>
        <v>0</v>
      </c>
      <c r="L1034" s="27">
        <f t="shared" si="478"/>
        <v>0</v>
      </c>
      <c r="M1034" s="16">
        <f t="shared" si="475"/>
        <v>0</v>
      </c>
      <c r="N1034" s="27">
        <f t="shared" si="478"/>
        <v>0</v>
      </c>
      <c r="O1034" s="16">
        <f t="shared" si="476"/>
        <v>0</v>
      </c>
    </row>
    <row r="1035" spans="1:15" s="3" customFormat="1" ht="25.5">
      <c r="A1035" s="11" t="s">
        <v>344</v>
      </c>
      <c r="B1035" s="25" t="s">
        <v>67</v>
      </c>
      <c r="C1035" s="26" t="s">
        <v>71</v>
      </c>
      <c r="D1035" s="26" t="s">
        <v>53</v>
      </c>
      <c r="E1035" s="26" t="s">
        <v>345</v>
      </c>
      <c r="F1035" s="26" t="s">
        <v>58</v>
      </c>
      <c r="G1035" s="27">
        <f>G1037</f>
        <v>425</v>
      </c>
      <c r="H1035" s="27">
        <f>H1037</f>
        <v>0</v>
      </c>
      <c r="I1035" s="27">
        <f>I1037</f>
        <v>0</v>
      </c>
      <c r="J1035" s="27">
        <f>J1037</f>
        <v>425</v>
      </c>
      <c r="K1035" s="16">
        <f t="shared" si="474"/>
        <v>0</v>
      </c>
      <c r="L1035" s="27">
        <f>L1037</f>
        <v>0</v>
      </c>
      <c r="M1035" s="16">
        <f t="shared" si="475"/>
        <v>0</v>
      </c>
      <c r="N1035" s="27">
        <f>N1037</f>
        <v>0</v>
      </c>
      <c r="O1035" s="16">
        <f t="shared" si="476"/>
        <v>0</v>
      </c>
    </row>
    <row r="1036" spans="1:15" s="3" customFormat="1" ht="25.5">
      <c r="A1036" s="13" t="s">
        <v>174</v>
      </c>
      <c r="B1036" s="25" t="s">
        <v>67</v>
      </c>
      <c r="C1036" s="26" t="s">
        <v>71</v>
      </c>
      <c r="D1036" s="26" t="s">
        <v>53</v>
      </c>
      <c r="E1036" s="26" t="s">
        <v>346</v>
      </c>
      <c r="F1036" s="26" t="s">
        <v>58</v>
      </c>
      <c r="G1036" s="27">
        <f>G1037</f>
        <v>425</v>
      </c>
      <c r="H1036" s="27">
        <f>H1037</f>
        <v>0</v>
      </c>
      <c r="I1036" s="27">
        <f>I1037</f>
        <v>0</v>
      </c>
      <c r="J1036" s="27">
        <f>J1037</f>
        <v>425</v>
      </c>
      <c r="K1036" s="16">
        <f t="shared" si="474"/>
        <v>0</v>
      </c>
      <c r="L1036" s="27">
        <f>L1037</f>
        <v>0</v>
      </c>
      <c r="M1036" s="16">
        <f t="shared" si="475"/>
        <v>0</v>
      </c>
      <c r="N1036" s="27">
        <f>N1037</f>
        <v>0</v>
      </c>
      <c r="O1036" s="16">
        <f t="shared" si="476"/>
        <v>0</v>
      </c>
    </row>
    <row r="1037" spans="1:15" s="3" customFormat="1" ht="16.149999999999999" customHeight="1">
      <c r="A1037" s="13" t="s">
        <v>92</v>
      </c>
      <c r="B1037" s="25" t="s">
        <v>67</v>
      </c>
      <c r="C1037" s="26" t="s">
        <v>71</v>
      </c>
      <c r="D1037" s="26" t="s">
        <v>53</v>
      </c>
      <c r="E1037" s="26" t="s">
        <v>346</v>
      </c>
      <c r="F1037" s="26" t="s">
        <v>138</v>
      </c>
      <c r="G1037" s="27">
        <f>G1038</f>
        <v>425</v>
      </c>
      <c r="H1037" s="27">
        <f t="shared" ref="H1037:I1037" si="479">H1038</f>
        <v>0</v>
      </c>
      <c r="I1037" s="27">
        <f t="shared" si="479"/>
        <v>0</v>
      </c>
      <c r="J1037" s="27">
        <f>425</f>
        <v>425</v>
      </c>
      <c r="K1037" s="16">
        <f t="shared" si="474"/>
        <v>0</v>
      </c>
      <c r="L1037" s="27">
        <v>0</v>
      </c>
      <c r="M1037" s="16">
        <f t="shared" si="475"/>
        <v>0</v>
      </c>
      <c r="N1037" s="27">
        <v>0</v>
      </c>
      <c r="O1037" s="16">
        <f t="shared" si="476"/>
        <v>0</v>
      </c>
    </row>
    <row r="1038" spans="1:15" s="4" customFormat="1" ht="16.149999999999999" customHeight="1">
      <c r="A1038" s="12" t="s">
        <v>1016</v>
      </c>
      <c r="B1038" s="25" t="s">
        <v>67</v>
      </c>
      <c r="C1038" s="26" t="s">
        <v>71</v>
      </c>
      <c r="D1038" s="26" t="s">
        <v>53</v>
      </c>
      <c r="E1038" s="26" t="s">
        <v>346</v>
      </c>
      <c r="F1038" s="26" t="s">
        <v>1046</v>
      </c>
      <c r="G1038" s="27">
        <f>425</f>
        <v>425</v>
      </c>
      <c r="H1038" s="27">
        <v>0</v>
      </c>
      <c r="I1038" s="27">
        <v>0</v>
      </c>
      <c r="J1038" s="80"/>
      <c r="K1038" s="16">
        <f t="shared" si="474"/>
        <v>-425</v>
      </c>
      <c r="L1038" s="80"/>
      <c r="M1038" s="16">
        <f t="shared" si="475"/>
        <v>0</v>
      </c>
      <c r="N1038" s="80"/>
      <c r="O1038" s="16">
        <f t="shared" si="476"/>
        <v>0</v>
      </c>
    </row>
    <row r="1039" spans="1:15" s="3" customFormat="1">
      <c r="A1039" s="17" t="s">
        <v>39</v>
      </c>
      <c r="B1039" s="18" t="s">
        <v>67</v>
      </c>
      <c r="C1039" s="19" t="s">
        <v>78</v>
      </c>
      <c r="D1039" s="19" t="s">
        <v>51</v>
      </c>
      <c r="E1039" s="19" t="s">
        <v>196</v>
      </c>
      <c r="F1039" s="19" t="s">
        <v>58</v>
      </c>
      <c r="G1039" s="20">
        <f>G1040+G1047+G1069+G1079</f>
        <v>47420.14</v>
      </c>
      <c r="H1039" s="20">
        <f>H1040+H1047+H1069+H1079</f>
        <v>24498</v>
      </c>
      <c r="I1039" s="20">
        <f>I1040+I1047+I1069+I1079</f>
        <v>24498</v>
      </c>
      <c r="J1039" s="20">
        <f>J1040+J1047+J1069+J1079</f>
        <v>47420.14</v>
      </c>
      <c r="K1039" s="16">
        <f t="shared" si="474"/>
        <v>0</v>
      </c>
      <c r="L1039" s="20">
        <f>L1040+L1047+L1069+L1079</f>
        <v>24498</v>
      </c>
      <c r="M1039" s="16">
        <f t="shared" si="475"/>
        <v>0</v>
      </c>
      <c r="N1039" s="20">
        <f>N1040+N1047+N1069+N1079</f>
        <v>24498</v>
      </c>
      <c r="O1039" s="16">
        <f t="shared" si="476"/>
        <v>0</v>
      </c>
    </row>
    <row r="1040" spans="1:15" s="3" customFormat="1">
      <c r="A1040" s="21" t="s">
        <v>79</v>
      </c>
      <c r="B1040" s="22" t="s">
        <v>67</v>
      </c>
      <c r="C1040" s="23" t="s">
        <v>78</v>
      </c>
      <c r="D1040" s="23" t="s">
        <v>65</v>
      </c>
      <c r="E1040" s="23" t="s">
        <v>196</v>
      </c>
      <c r="F1040" s="23" t="s">
        <v>58</v>
      </c>
      <c r="G1040" s="24">
        <f t="shared" ref="G1040:N1045" si="480">G1041</f>
        <v>2976.14</v>
      </c>
      <c r="H1040" s="24">
        <f t="shared" si="480"/>
        <v>2977.18</v>
      </c>
      <c r="I1040" s="24">
        <f t="shared" si="480"/>
        <v>2977.18</v>
      </c>
      <c r="J1040" s="24">
        <f t="shared" si="480"/>
        <v>2976.14</v>
      </c>
      <c r="K1040" s="16">
        <f t="shared" si="474"/>
        <v>0</v>
      </c>
      <c r="L1040" s="24">
        <f t="shared" si="480"/>
        <v>2977.18</v>
      </c>
      <c r="M1040" s="16">
        <f t="shared" si="475"/>
        <v>0</v>
      </c>
      <c r="N1040" s="24">
        <f t="shared" si="480"/>
        <v>2977.18</v>
      </c>
      <c r="O1040" s="16">
        <f t="shared" si="476"/>
        <v>0</v>
      </c>
    </row>
    <row r="1041" spans="1:15" s="3" customFormat="1" ht="25.5">
      <c r="A1041" s="11" t="s">
        <v>740</v>
      </c>
      <c r="B1041" s="25" t="s">
        <v>67</v>
      </c>
      <c r="C1041" s="26" t="s">
        <v>78</v>
      </c>
      <c r="D1041" s="26" t="s">
        <v>65</v>
      </c>
      <c r="E1041" s="26" t="s">
        <v>449</v>
      </c>
      <c r="F1041" s="26" t="s">
        <v>58</v>
      </c>
      <c r="G1041" s="27">
        <f t="shared" si="480"/>
        <v>2976.14</v>
      </c>
      <c r="H1041" s="27">
        <f t="shared" si="480"/>
        <v>2977.18</v>
      </c>
      <c r="I1041" s="27">
        <f t="shared" si="480"/>
        <v>2977.18</v>
      </c>
      <c r="J1041" s="27">
        <f t="shared" si="480"/>
        <v>2976.14</v>
      </c>
      <c r="K1041" s="16">
        <f t="shared" si="474"/>
        <v>0</v>
      </c>
      <c r="L1041" s="27">
        <f t="shared" si="480"/>
        <v>2977.18</v>
      </c>
      <c r="M1041" s="16">
        <f t="shared" si="475"/>
        <v>0</v>
      </c>
      <c r="N1041" s="27">
        <f t="shared" si="480"/>
        <v>2977.18</v>
      </c>
      <c r="O1041" s="16">
        <f t="shared" si="476"/>
        <v>0</v>
      </c>
    </row>
    <row r="1042" spans="1:15" s="3" customFormat="1" ht="38.25">
      <c r="A1042" s="11" t="s">
        <v>141</v>
      </c>
      <c r="B1042" s="25" t="s">
        <v>67</v>
      </c>
      <c r="C1042" s="26" t="s">
        <v>78</v>
      </c>
      <c r="D1042" s="26" t="s">
        <v>65</v>
      </c>
      <c r="E1042" s="26" t="s">
        <v>450</v>
      </c>
      <c r="F1042" s="26" t="s">
        <v>58</v>
      </c>
      <c r="G1042" s="27">
        <f>G1043</f>
        <v>2976.14</v>
      </c>
      <c r="H1042" s="27">
        <f>H1043</f>
        <v>2977.18</v>
      </c>
      <c r="I1042" s="27">
        <f>I1043</f>
        <v>2977.18</v>
      </c>
      <c r="J1042" s="27">
        <f>J1043</f>
        <v>2976.14</v>
      </c>
      <c r="K1042" s="16">
        <f t="shared" si="474"/>
        <v>0</v>
      </c>
      <c r="L1042" s="27">
        <f>L1043</f>
        <v>2977.18</v>
      </c>
      <c r="M1042" s="16">
        <f t="shared" si="475"/>
        <v>0</v>
      </c>
      <c r="N1042" s="27">
        <f>N1043</f>
        <v>2977.18</v>
      </c>
      <c r="O1042" s="16">
        <f t="shared" si="476"/>
        <v>0</v>
      </c>
    </row>
    <row r="1043" spans="1:15" s="3" customFormat="1" ht="25.5">
      <c r="A1043" s="34" t="s">
        <v>475</v>
      </c>
      <c r="B1043" s="35" t="s">
        <v>67</v>
      </c>
      <c r="C1043" s="36" t="s">
        <v>78</v>
      </c>
      <c r="D1043" s="36" t="s">
        <v>65</v>
      </c>
      <c r="E1043" s="36" t="s">
        <v>476</v>
      </c>
      <c r="F1043" s="36" t="s">
        <v>58</v>
      </c>
      <c r="G1043" s="37">
        <f>G1044</f>
        <v>2976.14</v>
      </c>
      <c r="H1043" s="37">
        <f t="shared" ref="H1043:N1043" si="481">H1044</f>
        <v>2977.18</v>
      </c>
      <c r="I1043" s="37">
        <f t="shared" si="481"/>
        <v>2977.18</v>
      </c>
      <c r="J1043" s="37">
        <f>J1044</f>
        <v>2976.14</v>
      </c>
      <c r="K1043" s="16">
        <f t="shared" si="474"/>
        <v>0</v>
      </c>
      <c r="L1043" s="37">
        <f t="shared" si="481"/>
        <v>2977.18</v>
      </c>
      <c r="M1043" s="16">
        <f t="shared" si="475"/>
        <v>0</v>
      </c>
      <c r="N1043" s="37">
        <f t="shared" si="481"/>
        <v>2977.18</v>
      </c>
      <c r="O1043" s="16">
        <f t="shared" si="476"/>
        <v>0</v>
      </c>
    </row>
    <row r="1044" spans="1:15" s="3" customFormat="1" ht="25.5">
      <c r="A1044" s="39" t="s">
        <v>247</v>
      </c>
      <c r="B1044" s="35" t="s">
        <v>67</v>
      </c>
      <c r="C1044" s="36" t="s">
        <v>78</v>
      </c>
      <c r="D1044" s="36" t="s">
        <v>65</v>
      </c>
      <c r="E1044" s="36" t="s">
        <v>477</v>
      </c>
      <c r="F1044" s="36" t="s">
        <v>58</v>
      </c>
      <c r="G1044" s="37">
        <f t="shared" si="480"/>
        <v>2976.14</v>
      </c>
      <c r="H1044" s="37">
        <f t="shared" si="480"/>
        <v>2977.18</v>
      </c>
      <c r="I1044" s="37">
        <f t="shared" si="480"/>
        <v>2977.18</v>
      </c>
      <c r="J1044" s="37">
        <f t="shared" si="480"/>
        <v>2976.14</v>
      </c>
      <c r="K1044" s="16">
        <f t="shared" si="474"/>
        <v>0</v>
      </c>
      <c r="L1044" s="37">
        <f t="shared" si="480"/>
        <v>2977.18</v>
      </c>
      <c r="M1044" s="16">
        <f t="shared" si="475"/>
        <v>0</v>
      </c>
      <c r="N1044" s="37">
        <f t="shared" si="480"/>
        <v>2977.18</v>
      </c>
      <c r="O1044" s="16">
        <f t="shared" si="476"/>
        <v>0</v>
      </c>
    </row>
    <row r="1045" spans="1:15" s="3" customFormat="1">
      <c r="A1045" s="13" t="s">
        <v>92</v>
      </c>
      <c r="B1045" s="35" t="s">
        <v>67</v>
      </c>
      <c r="C1045" s="36" t="s">
        <v>78</v>
      </c>
      <c r="D1045" s="36" t="s">
        <v>65</v>
      </c>
      <c r="E1045" s="36" t="s">
        <v>477</v>
      </c>
      <c r="F1045" s="36" t="s">
        <v>138</v>
      </c>
      <c r="G1045" s="27">
        <f>G1046</f>
        <v>2976.14</v>
      </c>
      <c r="H1045" s="27">
        <f t="shared" si="480"/>
        <v>2977.18</v>
      </c>
      <c r="I1045" s="27">
        <f t="shared" si="480"/>
        <v>2977.18</v>
      </c>
      <c r="J1045" s="27">
        <f>2976.14</f>
        <v>2976.14</v>
      </c>
      <c r="K1045" s="16">
        <f t="shared" si="474"/>
        <v>0</v>
      </c>
      <c r="L1045" s="27">
        <f>2977.18</f>
        <v>2977.18</v>
      </c>
      <c r="M1045" s="16">
        <f t="shared" si="475"/>
        <v>0</v>
      </c>
      <c r="N1045" s="27">
        <f>2977.18</f>
        <v>2977.18</v>
      </c>
      <c r="O1045" s="16">
        <f t="shared" si="476"/>
        <v>0</v>
      </c>
    </row>
    <row r="1046" spans="1:15" s="4" customFormat="1" ht="38.25">
      <c r="A1046" s="12" t="s">
        <v>1015</v>
      </c>
      <c r="B1046" s="35" t="s">
        <v>67</v>
      </c>
      <c r="C1046" s="36" t="s">
        <v>78</v>
      </c>
      <c r="D1046" s="36" t="s">
        <v>65</v>
      </c>
      <c r="E1046" s="36" t="s">
        <v>477</v>
      </c>
      <c r="F1046" s="36" t="s">
        <v>67</v>
      </c>
      <c r="G1046" s="27">
        <f>2976.14</f>
        <v>2976.14</v>
      </c>
      <c r="H1046" s="27">
        <f>2977.18</f>
        <v>2977.18</v>
      </c>
      <c r="I1046" s="27">
        <f>2977.18</f>
        <v>2977.18</v>
      </c>
      <c r="J1046" s="80"/>
      <c r="K1046" s="16">
        <f t="shared" si="474"/>
        <v>-2976.14</v>
      </c>
      <c r="L1046" s="80"/>
      <c r="M1046" s="16">
        <f t="shared" si="475"/>
        <v>-2977.18</v>
      </c>
      <c r="N1046" s="80"/>
      <c r="O1046" s="16">
        <f t="shared" si="476"/>
        <v>-2977.18</v>
      </c>
    </row>
    <row r="1047" spans="1:15" s="3" customFormat="1">
      <c r="A1047" s="21" t="s">
        <v>80</v>
      </c>
      <c r="B1047" s="22" t="s">
        <v>67</v>
      </c>
      <c r="C1047" s="23" t="s">
        <v>78</v>
      </c>
      <c r="D1047" s="23" t="s">
        <v>66</v>
      </c>
      <c r="E1047" s="23" t="s">
        <v>196</v>
      </c>
      <c r="F1047" s="23" t="s">
        <v>58</v>
      </c>
      <c r="G1047" s="24">
        <f>G1048+G1054</f>
        <v>13046.77</v>
      </c>
      <c r="H1047" s="24">
        <f>H1048+H1054</f>
        <v>11728.59</v>
      </c>
      <c r="I1047" s="24">
        <f>I1048+I1054</f>
        <v>11728.59</v>
      </c>
      <c r="J1047" s="24">
        <f>J1048+J1054</f>
        <v>13046.77</v>
      </c>
      <c r="K1047" s="16">
        <f t="shared" si="474"/>
        <v>0</v>
      </c>
      <c r="L1047" s="24">
        <f>L1048+L1054</f>
        <v>11728.59</v>
      </c>
      <c r="M1047" s="16">
        <f t="shared" si="475"/>
        <v>0</v>
      </c>
      <c r="N1047" s="24">
        <f>N1048+N1054</f>
        <v>11728.59</v>
      </c>
      <c r="O1047" s="16">
        <f t="shared" si="476"/>
        <v>0</v>
      </c>
    </row>
    <row r="1048" spans="1:15" s="3" customFormat="1" ht="25.5">
      <c r="A1048" s="11" t="s">
        <v>740</v>
      </c>
      <c r="B1048" s="25" t="s">
        <v>67</v>
      </c>
      <c r="C1048" s="26" t="s">
        <v>78</v>
      </c>
      <c r="D1048" s="26" t="s">
        <v>66</v>
      </c>
      <c r="E1048" s="26" t="s">
        <v>449</v>
      </c>
      <c r="F1048" s="26" t="s">
        <v>58</v>
      </c>
      <c r="G1048" s="27">
        <f t="shared" ref="G1048:N1050" si="482">G1049</f>
        <v>8206.77</v>
      </c>
      <c r="H1048" s="27">
        <f t="shared" si="482"/>
        <v>7386.09</v>
      </c>
      <c r="I1048" s="27">
        <f t="shared" si="482"/>
        <v>7386.09</v>
      </c>
      <c r="J1048" s="27">
        <f t="shared" si="482"/>
        <v>8206.77</v>
      </c>
      <c r="K1048" s="16">
        <f t="shared" si="474"/>
        <v>0</v>
      </c>
      <c r="L1048" s="27">
        <f t="shared" si="482"/>
        <v>7386.09</v>
      </c>
      <c r="M1048" s="16">
        <f t="shared" si="475"/>
        <v>0</v>
      </c>
      <c r="N1048" s="27">
        <f t="shared" si="482"/>
        <v>7386.09</v>
      </c>
      <c r="O1048" s="16">
        <f t="shared" si="476"/>
        <v>0</v>
      </c>
    </row>
    <row r="1049" spans="1:15" s="3" customFormat="1" ht="38.25">
      <c r="A1049" s="11" t="s">
        <v>141</v>
      </c>
      <c r="B1049" s="25" t="s">
        <v>67</v>
      </c>
      <c r="C1049" s="26" t="s">
        <v>78</v>
      </c>
      <c r="D1049" s="26" t="s">
        <v>66</v>
      </c>
      <c r="E1049" s="26" t="s">
        <v>450</v>
      </c>
      <c r="F1049" s="26" t="s">
        <v>58</v>
      </c>
      <c r="G1049" s="27">
        <f t="shared" si="482"/>
        <v>8206.77</v>
      </c>
      <c r="H1049" s="27">
        <f t="shared" si="482"/>
        <v>7386.09</v>
      </c>
      <c r="I1049" s="27">
        <f t="shared" si="482"/>
        <v>7386.09</v>
      </c>
      <c r="J1049" s="27">
        <f t="shared" si="482"/>
        <v>8206.77</v>
      </c>
      <c r="K1049" s="16">
        <f t="shared" si="474"/>
        <v>0</v>
      </c>
      <c r="L1049" s="27">
        <f t="shared" si="482"/>
        <v>7386.09</v>
      </c>
      <c r="M1049" s="16">
        <f t="shared" si="475"/>
        <v>0</v>
      </c>
      <c r="N1049" s="27">
        <f t="shared" si="482"/>
        <v>7386.09</v>
      </c>
      <c r="O1049" s="16">
        <f t="shared" si="476"/>
        <v>0</v>
      </c>
    </row>
    <row r="1050" spans="1:15" s="3" customFormat="1" ht="63.75">
      <c r="A1050" s="11" t="s">
        <v>884</v>
      </c>
      <c r="B1050" s="25" t="s">
        <v>67</v>
      </c>
      <c r="C1050" s="26" t="s">
        <v>78</v>
      </c>
      <c r="D1050" s="26" t="s">
        <v>66</v>
      </c>
      <c r="E1050" s="26" t="s">
        <v>812</v>
      </c>
      <c r="F1050" s="26" t="s">
        <v>58</v>
      </c>
      <c r="G1050" s="27">
        <f>G1051</f>
        <v>8206.77</v>
      </c>
      <c r="H1050" s="27">
        <f t="shared" si="482"/>
        <v>7386.09</v>
      </c>
      <c r="I1050" s="27">
        <f t="shared" si="482"/>
        <v>7386.09</v>
      </c>
      <c r="J1050" s="27">
        <f>J1051</f>
        <v>8206.77</v>
      </c>
      <c r="K1050" s="16">
        <f t="shared" si="474"/>
        <v>0</v>
      </c>
      <c r="L1050" s="27">
        <f t="shared" si="482"/>
        <v>7386.09</v>
      </c>
      <c r="M1050" s="16">
        <f t="shared" si="475"/>
        <v>0</v>
      </c>
      <c r="N1050" s="27">
        <f t="shared" si="482"/>
        <v>7386.09</v>
      </c>
      <c r="O1050" s="16">
        <f t="shared" si="476"/>
        <v>0</v>
      </c>
    </row>
    <row r="1051" spans="1:15" s="3" customFormat="1" ht="25.5">
      <c r="A1051" s="39" t="s">
        <v>247</v>
      </c>
      <c r="B1051" s="35" t="s">
        <v>67</v>
      </c>
      <c r="C1051" s="26" t="s">
        <v>78</v>
      </c>
      <c r="D1051" s="26" t="s">
        <v>66</v>
      </c>
      <c r="E1051" s="36" t="s">
        <v>813</v>
      </c>
      <c r="F1051" s="36" t="s">
        <v>58</v>
      </c>
      <c r="G1051" s="37">
        <f t="shared" ref="G1051:N1052" si="483">G1052</f>
        <v>8206.77</v>
      </c>
      <c r="H1051" s="37">
        <f t="shared" si="483"/>
        <v>7386.09</v>
      </c>
      <c r="I1051" s="37">
        <f t="shared" si="483"/>
        <v>7386.09</v>
      </c>
      <c r="J1051" s="37">
        <f t="shared" si="483"/>
        <v>8206.77</v>
      </c>
      <c r="K1051" s="16">
        <f t="shared" si="474"/>
        <v>0</v>
      </c>
      <c r="L1051" s="37">
        <f t="shared" si="483"/>
        <v>7386.09</v>
      </c>
      <c r="M1051" s="16">
        <f t="shared" si="475"/>
        <v>0</v>
      </c>
      <c r="N1051" s="37">
        <f t="shared" si="483"/>
        <v>7386.09</v>
      </c>
      <c r="O1051" s="16">
        <f t="shared" si="476"/>
        <v>0</v>
      </c>
    </row>
    <row r="1052" spans="1:15" s="3" customFormat="1">
      <c r="A1052" s="13" t="s">
        <v>92</v>
      </c>
      <c r="B1052" s="35" t="s">
        <v>67</v>
      </c>
      <c r="C1052" s="26" t="s">
        <v>78</v>
      </c>
      <c r="D1052" s="26" t="s">
        <v>66</v>
      </c>
      <c r="E1052" s="36" t="s">
        <v>813</v>
      </c>
      <c r="F1052" s="36" t="s">
        <v>138</v>
      </c>
      <c r="G1052" s="27">
        <f>G1053</f>
        <v>8206.77</v>
      </c>
      <c r="H1052" s="27">
        <f t="shared" si="483"/>
        <v>7386.09</v>
      </c>
      <c r="I1052" s="27">
        <f t="shared" si="483"/>
        <v>7386.09</v>
      </c>
      <c r="J1052" s="27">
        <f>8206.77</f>
        <v>8206.77</v>
      </c>
      <c r="K1052" s="16">
        <f t="shared" si="474"/>
        <v>0</v>
      </c>
      <c r="L1052" s="27">
        <f>7386.09</f>
        <v>7386.09</v>
      </c>
      <c r="M1052" s="16">
        <f t="shared" si="475"/>
        <v>0</v>
      </c>
      <c r="N1052" s="27">
        <f>7386.09</f>
        <v>7386.09</v>
      </c>
      <c r="O1052" s="16">
        <f t="shared" si="476"/>
        <v>0</v>
      </c>
    </row>
    <row r="1053" spans="1:15" s="4" customFormat="1" ht="38.25">
      <c r="A1053" s="12" t="s">
        <v>1015</v>
      </c>
      <c r="B1053" s="35" t="s">
        <v>67</v>
      </c>
      <c r="C1053" s="26" t="s">
        <v>78</v>
      </c>
      <c r="D1053" s="26" t="s">
        <v>66</v>
      </c>
      <c r="E1053" s="36" t="s">
        <v>813</v>
      </c>
      <c r="F1053" s="36" t="s">
        <v>67</v>
      </c>
      <c r="G1053" s="27">
        <f>8206.77</f>
        <v>8206.77</v>
      </c>
      <c r="H1053" s="27">
        <f>7386.09</f>
        <v>7386.09</v>
      </c>
      <c r="I1053" s="27">
        <f>7386.09</f>
        <v>7386.09</v>
      </c>
      <c r="J1053" s="80"/>
      <c r="K1053" s="16">
        <f t="shared" si="474"/>
        <v>-8206.77</v>
      </c>
      <c r="L1053" s="80"/>
      <c r="M1053" s="16">
        <f t="shared" si="475"/>
        <v>-7386.09</v>
      </c>
      <c r="N1053" s="80"/>
      <c r="O1053" s="16">
        <f t="shared" si="476"/>
        <v>-7386.09</v>
      </c>
    </row>
    <row r="1054" spans="1:15" s="3" customFormat="1" ht="25.5">
      <c r="A1054" s="11" t="s">
        <v>883</v>
      </c>
      <c r="B1054" s="25" t="s">
        <v>67</v>
      </c>
      <c r="C1054" s="26" t="s">
        <v>78</v>
      </c>
      <c r="D1054" s="26" t="s">
        <v>66</v>
      </c>
      <c r="E1054" s="26" t="s">
        <v>478</v>
      </c>
      <c r="F1054" s="26" t="s">
        <v>58</v>
      </c>
      <c r="G1054" s="27">
        <f>G1055+G1061+G1065</f>
        <v>4840</v>
      </c>
      <c r="H1054" s="27">
        <f>H1055+H1061+H1065</f>
        <v>4342.5</v>
      </c>
      <c r="I1054" s="27">
        <f>I1055+I1061+I1065</f>
        <v>4342.5</v>
      </c>
      <c r="J1054" s="27">
        <f>J1055+J1061+J1065</f>
        <v>4840</v>
      </c>
      <c r="K1054" s="16">
        <f t="shared" si="474"/>
        <v>0</v>
      </c>
      <c r="L1054" s="27">
        <f>L1055+L1061+L1065</f>
        <v>4342.5</v>
      </c>
      <c r="M1054" s="16">
        <f t="shared" si="475"/>
        <v>0</v>
      </c>
      <c r="N1054" s="27">
        <f>N1055+N1061+N1065</f>
        <v>4342.5</v>
      </c>
      <c r="O1054" s="16">
        <f t="shared" si="476"/>
        <v>0</v>
      </c>
    </row>
    <row r="1055" spans="1:15" s="3" customFormat="1" ht="25.5">
      <c r="A1055" s="11" t="s">
        <v>619</v>
      </c>
      <c r="B1055" s="25" t="s">
        <v>67</v>
      </c>
      <c r="C1055" s="26" t="s">
        <v>78</v>
      </c>
      <c r="D1055" s="26" t="s">
        <v>66</v>
      </c>
      <c r="E1055" s="26" t="s">
        <v>479</v>
      </c>
      <c r="F1055" s="26" t="s">
        <v>58</v>
      </c>
      <c r="G1055" s="27">
        <f>G1056</f>
        <v>4750</v>
      </c>
      <c r="H1055" s="27">
        <f t="shared" ref="H1055:N1055" si="484">H1056</f>
        <v>4275</v>
      </c>
      <c r="I1055" s="27">
        <f t="shared" si="484"/>
        <v>4275</v>
      </c>
      <c r="J1055" s="27">
        <f>J1056</f>
        <v>4750</v>
      </c>
      <c r="K1055" s="16">
        <f t="shared" si="474"/>
        <v>0</v>
      </c>
      <c r="L1055" s="27">
        <f t="shared" si="484"/>
        <v>4275</v>
      </c>
      <c r="M1055" s="16">
        <f t="shared" si="475"/>
        <v>0</v>
      </c>
      <c r="N1055" s="27">
        <f t="shared" si="484"/>
        <v>4275</v>
      </c>
      <c r="O1055" s="16">
        <f t="shared" si="476"/>
        <v>0</v>
      </c>
    </row>
    <row r="1056" spans="1:15" s="3" customFormat="1" ht="25.5">
      <c r="A1056" s="11" t="s">
        <v>163</v>
      </c>
      <c r="B1056" s="25" t="s">
        <v>67</v>
      </c>
      <c r="C1056" s="26" t="s">
        <v>78</v>
      </c>
      <c r="D1056" s="26" t="s">
        <v>66</v>
      </c>
      <c r="E1056" s="26" t="s">
        <v>480</v>
      </c>
      <c r="F1056" s="26" t="s">
        <v>58</v>
      </c>
      <c r="G1056" s="27">
        <f>G1059+G1057</f>
        <v>4750</v>
      </c>
      <c r="H1056" s="27">
        <f>H1059+H1057</f>
        <v>4275</v>
      </c>
      <c r="I1056" s="27">
        <f>I1059+I1057</f>
        <v>4275</v>
      </c>
      <c r="J1056" s="27">
        <f>J1059+J1057</f>
        <v>4750</v>
      </c>
      <c r="K1056" s="16">
        <f t="shared" si="474"/>
        <v>0</v>
      </c>
      <c r="L1056" s="27">
        <f>L1059+L1057</f>
        <v>4275</v>
      </c>
      <c r="M1056" s="16">
        <f t="shared" si="475"/>
        <v>0</v>
      </c>
      <c r="N1056" s="27">
        <f>N1059+N1057</f>
        <v>4275</v>
      </c>
      <c r="O1056" s="16">
        <f t="shared" si="476"/>
        <v>0</v>
      </c>
    </row>
    <row r="1057" spans="1:15" s="3" customFormat="1">
      <c r="A1057" s="11" t="s">
        <v>106</v>
      </c>
      <c r="B1057" s="25" t="s">
        <v>67</v>
      </c>
      <c r="C1057" s="26" t="s">
        <v>78</v>
      </c>
      <c r="D1057" s="26" t="s">
        <v>66</v>
      </c>
      <c r="E1057" s="26" t="s">
        <v>480</v>
      </c>
      <c r="F1057" s="26" t="s">
        <v>121</v>
      </c>
      <c r="G1057" s="27">
        <f>G1058</f>
        <v>3052</v>
      </c>
      <c r="H1057" s="27">
        <f t="shared" ref="H1057:I1057" si="485">H1058</f>
        <v>2577</v>
      </c>
      <c r="I1057" s="27">
        <f t="shared" si="485"/>
        <v>2577</v>
      </c>
      <c r="J1057" s="27">
        <f>3052</f>
        <v>3052</v>
      </c>
      <c r="K1057" s="16">
        <f t="shared" si="474"/>
        <v>0</v>
      </c>
      <c r="L1057" s="27">
        <f>2577</f>
        <v>2577</v>
      </c>
      <c r="M1057" s="16">
        <f t="shared" si="475"/>
        <v>0</v>
      </c>
      <c r="N1057" s="27">
        <f>2577</f>
        <v>2577</v>
      </c>
      <c r="O1057" s="16">
        <f t="shared" si="476"/>
        <v>0</v>
      </c>
    </row>
    <row r="1058" spans="1:15" s="4" customFormat="1" ht="38.25">
      <c r="A1058" s="12" t="s">
        <v>934</v>
      </c>
      <c r="B1058" s="25" t="s">
        <v>67</v>
      </c>
      <c r="C1058" s="26" t="s">
        <v>78</v>
      </c>
      <c r="D1058" s="26" t="s">
        <v>66</v>
      </c>
      <c r="E1058" s="26" t="s">
        <v>480</v>
      </c>
      <c r="F1058" s="26" t="s">
        <v>1071</v>
      </c>
      <c r="G1058" s="27">
        <f>3052</f>
        <v>3052</v>
      </c>
      <c r="H1058" s="27">
        <f>2577</f>
        <v>2577</v>
      </c>
      <c r="I1058" s="27">
        <f>2577</f>
        <v>2577</v>
      </c>
      <c r="J1058" s="80"/>
      <c r="K1058" s="16">
        <f t="shared" si="474"/>
        <v>-3052</v>
      </c>
      <c r="L1058" s="80"/>
      <c r="M1058" s="16">
        <f t="shared" si="475"/>
        <v>-2577</v>
      </c>
      <c r="N1058" s="80"/>
      <c r="O1058" s="16">
        <f t="shared" si="476"/>
        <v>-2577</v>
      </c>
    </row>
    <row r="1059" spans="1:15" s="3" customFormat="1" ht="25.5">
      <c r="A1059" s="11" t="s">
        <v>108</v>
      </c>
      <c r="B1059" s="25" t="s">
        <v>67</v>
      </c>
      <c r="C1059" s="26" t="s">
        <v>78</v>
      </c>
      <c r="D1059" s="26" t="s">
        <v>66</v>
      </c>
      <c r="E1059" s="26" t="s">
        <v>480</v>
      </c>
      <c r="F1059" s="26" t="s">
        <v>116</v>
      </c>
      <c r="G1059" s="27">
        <f>G1060</f>
        <v>1698</v>
      </c>
      <c r="H1059" s="27">
        <f t="shared" ref="H1059:I1059" si="486">H1060</f>
        <v>1698</v>
      </c>
      <c r="I1059" s="27">
        <f t="shared" si="486"/>
        <v>1698</v>
      </c>
      <c r="J1059" s="27">
        <f>1698</f>
        <v>1698</v>
      </c>
      <c r="K1059" s="16">
        <f t="shared" si="474"/>
        <v>0</v>
      </c>
      <c r="L1059" s="27">
        <f>1698</f>
        <v>1698</v>
      </c>
      <c r="M1059" s="16">
        <f t="shared" si="475"/>
        <v>0</v>
      </c>
      <c r="N1059" s="27">
        <f>1698</f>
        <v>1698</v>
      </c>
      <c r="O1059" s="16">
        <f t="shared" si="476"/>
        <v>0</v>
      </c>
    </row>
    <row r="1060" spans="1:15" s="4" customFormat="1" ht="25.5">
      <c r="A1060" s="12" t="s">
        <v>973</v>
      </c>
      <c r="B1060" s="25" t="s">
        <v>67</v>
      </c>
      <c r="C1060" s="26" t="s">
        <v>78</v>
      </c>
      <c r="D1060" s="26" t="s">
        <v>66</v>
      </c>
      <c r="E1060" s="26" t="s">
        <v>480</v>
      </c>
      <c r="F1060" s="26" t="s">
        <v>1043</v>
      </c>
      <c r="G1060" s="27">
        <f>1698</f>
        <v>1698</v>
      </c>
      <c r="H1060" s="27">
        <f>1698</f>
        <v>1698</v>
      </c>
      <c r="I1060" s="27">
        <f>1698</f>
        <v>1698</v>
      </c>
      <c r="J1060" s="80"/>
      <c r="K1060" s="16">
        <f t="shared" si="474"/>
        <v>-1698</v>
      </c>
      <c r="L1060" s="80"/>
      <c r="M1060" s="16">
        <f t="shared" si="475"/>
        <v>-1698</v>
      </c>
      <c r="N1060" s="80"/>
      <c r="O1060" s="16">
        <f t="shared" si="476"/>
        <v>-1698</v>
      </c>
    </row>
    <row r="1061" spans="1:15" s="3" customFormat="1" ht="38.25">
      <c r="A1061" s="40" t="s">
        <v>814</v>
      </c>
      <c r="B1061" s="25" t="s">
        <v>67</v>
      </c>
      <c r="C1061" s="26" t="s">
        <v>78</v>
      </c>
      <c r="D1061" s="26" t="s">
        <v>66</v>
      </c>
      <c r="E1061" s="26" t="s">
        <v>815</v>
      </c>
      <c r="F1061" s="26" t="s">
        <v>58</v>
      </c>
      <c r="G1061" s="27">
        <f>G1062</f>
        <v>15</v>
      </c>
      <c r="H1061" s="27">
        <f t="shared" ref="H1061:N1063" si="487">H1062</f>
        <v>11.25</v>
      </c>
      <c r="I1061" s="27">
        <f t="shared" si="487"/>
        <v>11.25</v>
      </c>
      <c r="J1061" s="27">
        <f>J1062</f>
        <v>15</v>
      </c>
      <c r="K1061" s="16">
        <f t="shared" si="474"/>
        <v>0</v>
      </c>
      <c r="L1061" s="27">
        <f t="shared" si="487"/>
        <v>11.25</v>
      </c>
      <c r="M1061" s="16">
        <f t="shared" si="475"/>
        <v>0</v>
      </c>
      <c r="N1061" s="27">
        <f t="shared" si="487"/>
        <v>11.25</v>
      </c>
      <c r="O1061" s="16">
        <f t="shared" si="476"/>
        <v>0</v>
      </c>
    </row>
    <row r="1062" spans="1:15" s="3" customFormat="1">
      <c r="A1062" s="12" t="s">
        <v>885</v>
      </c>
      <c r="B1062" s="25" t="s">
        <v>67</v>
      </c>
      <c r="C1062" s="26" t="s">
        <v>78</v>
      </c>
      <c r="D1062" s="26" t="s">
        <v>66</v>
      </c>
      <c r="E1062" s="26" t="s">
        <v>816</v>
      </c>
      <c r="F1062" s="26" t="s">
        <v>58</v>
      </c>
      <c r="G1062" s="27">
        <f>G1063</f>
        <v>15</v>
      </c>
      <c r="H1062" s="27">
        <f t="shared" si="487"/>
        <v>11.25</v>
      </c>
      <c r="I1062" s="27">
        <f t="shared" si="487"/>
        <v>11.25</v>
      </c>
      <c r="J1062" s="27">
        <f>J1063</f>
        <v>15</v>
      </c>
      <c r="K1062" s="16">
        <f t="shared" si="474"/>
        <v>0</v>
      </c>
      <c r="L1062" s="27">
        <f t="shared" si="487"/>
        <v>11.25</v>
      </c>
      <c r="M1062" s="16">
        <f t="shared" si="475"/>
        <v>0</v>
      </c>
      <c r="N1062" s="27">
        <f t="shared" si="487"/>
        <v>11.25</v>
      </c>
      <c r="O1062" s="16">
        <f t="shared" si="476"/>
        <v>0</v>
      </c>
    </row>
    <row r="1063" spans="1:15" s="3" customFormat="1" ht="25.5">
      <c r="A1063" s="11" t="s">
        <v>108</v>
      </c>
      <c r="B1063" s="25" t="s">
        <v>67</v>
      </c>
      <c r="C1063" s="26" t="s">
        <v>78</v>
      </c>
      <c r="D1063" s="26" t="s">
        <v>66</v>
      </c>
      <c r="E1063" s="26" t="s">
        <v>816</v>
      </c>
      <c r="F1063" s="26" t="s">
        <v>116</v>
      </c>
      <c r="G1063" s="27">
        <f>G1064</f>
        <v>15</v>
      </c>
      <c r="H1063" s="27">
        <f t="shared" si="487"/>
        <v>11.25</v>
      </c>
      <c r="I1063" s="27">
        <f t="shared" si="487"/>
        <v>11.25</v>
      </c>
      <c r="J1063" s="27">
        <v>15</v>
      </c>
      <c r="K1063" s="16">
        <f t="shared" si="474"/>
        <v>0</v>
      </c>
      <c r="L1063" s="27">
        <f>11.25</f>
        <v>11.25</v>
      </c>
      <c r="M1063" s="16">
        <f t="shared" si="475"/>
        <v>0</v>
      </c>
      <c r="N1063" s="27">
        <f>11.25</f>
        <v>11.25</v>
      </c>
      <c r="O1063" s="16">
        <f t="shared" si="476"/>
        <v>0</v>
      </c>
    </row>
    <row r="1064" spans="1:15" s="4" customFormat="1" ht="25.5">
      <c r="A1064" s="12" t="s">
        <v>973</v>
      </c>
      <c r="B1064" s="25" t="s">
        <v>67</v>
      </c>
      <c r="C1064" s="26" t="s">
        <v>78</v>
      </c>
      <c r="D1064" s="26" t="s">
        <v>66</v>
      </c>
      <c r="E1064" s="26" t="s">
        <v>816</v>
      </c>
      <c r="F1064" s="26" t="s">
        <v>1043</v>
      </c>
      <c r="G1064" s="27">
        <v>15</v>
      </c>
      <c r="H1064" s="27">
        <f>11.25</f>
        <v>11.25</v>
      </c>
      <c r="I1064" s="27">
        <f>11.25</f>
        <v>11.25</v>
      </c>
      <c r="J1064" s="80"/>
      <c r="K1064" s="16">
        <f t="shared" si="474"/>
        <v>-15</v>
      </c>
      <c r="L1064" s="80"/>
      <c r="M1064" s="16">
        <f t="shared" si="475"/>
        <v>-11.25</v>
      </c>
      <c r="N1064" s="80"/>
      <c r="O1064" s="16">
        <f t="shared" si="476"/>
        <v>-11.25</v>
      </c>
    </row>
    <row r="1065" spans="1:15" s="3" customFormat="1" ht="38.25">
      <c r="A1065" s="40" t="s">
        <v>817</v>
      </c>
      <c r="B1065" s="25" t="s">
        <v>67</v>
      </c>
      <c r="C1065" s="26" t="s">
        <v>78</v>
      </c>
      <c r="D1065" s="26" t="s">
        <v>66</v>
      </c>
      <c r="E1065" s="26" t="s">
        <v>818</v>
      </c>
      <c r="F1065" s="26" t="s">
        <v>58</v>
      </c>
      <c r="G1065" s="27">
        <f t="shared" ref="G1065:N1067" si="488">G1066</f>
        <v>75</v>
      </c>
      <c r="H1065" s="27">
        <f t="shared" si="488"/>
        <v>56.25</v>
      </c>
      <c r="I1065" s="27">
        <f t="shared" si="488"/>
        <v>56.25</v>
      </c>
      <c r="J1065" s="27">
        <f t="shared" si="488"/>
        <v>75</v>
      </c>
      <c r="K1065" s="16">
        <f t="shared" si="474"/>
        <v>0</v>
      </c>
      <c r="L1065" s="27">
        <f t="shared" si="488"/>
        <v>56.25</v>
      </c>
      <c r="M1065" s="16">
        <f t="shared" si="475"/>
        <v>0</v>
      </c>
      <c r="N1065" s="27">
        <f t="shared" si="488"/>
        <v>56.25</v>
      </c>
      <c r="O1065" s="16">
        <f t="shared" si="476"/>
        <v>0</v>
      </c>
    </row>
    <row r="1066" spans="1:15" s="3" customFormat="1" ht="25.5">
      <c r="A1066" s="12" t="s">
        <v>886</v>
      </c>
      <c r="B1066" s="25" t="s">
        <v>67</v>
      </c>
      <c r="C1066" s="26" t="s">
        <v>78</v>
      </c>
      <c r="D1066" s="26" t="s">
        <v>66</v>
      </c>
      <c r="E1066" s="26" t="s">
        <v>908</v>
      </c>
      <c r="F1066" s="26" t="s">
        <v>58</v>
      </c>
      <c r="G1066" s="27">
        <f>G1067</f>
        <v>75</v>
      </c>
      <c r="H1066" s="27">
        <f t="shared" si="488"/>
        <v>56.25</v>
      </c>
      <c r="I1066" s="27">
        <f t="shared" si="488"/>
        <v>56.25</v>
      </c>
      <c r="J1066" s="27">
        <f>J1067</f>
        <v>75</v>
      </c>
      <c r="K1066" s="16">
        <f t="shared" si="474"/>
        <v>0</v>
      </c>
      <c r="L1066" s="27">
        <f t="shared" si="488"/>
        <v>56.25</v>
      </c>
      <c r="M1066" s="16">
        <f t="shared" si="475"/>
        <v>0</v>
      </c>
      <c r="N1066" s="27">
        <f t="shared" si="488"/>
        <v>56.25</v>
      </c>
      <c r="O1066" s="16">
        <f t="shared" si="476"/>
        <v>0</v>
      </c>
    </row>
    <row r="1067" spans="1:15" s="3" customFormat="1" ht="25.5">
      <c r="A1067" s="11" t="s">
        <v>108</v>
      </c>
      <c r="B1067" s="25" t="s">
        <v>67</v>
      </c>
      <c r="C1067" s="26" t="s">
        <v>78</v>
      </c>
      <c r="D1067" s="26" t="s">
        <v>66</v>
      </c>
      <c r="E1067" s="26" t="s">
        <v>908</v>
      </c>
      <c r="F1067" s="26" t="s">
        <v>116</v>
      </c>
      <c r="G1067" s="27">
        <f>G1068</f>
        <v>75</v>
      </c>
      <c r="H1067" s="27">
        <f t="shared" si="488"/>
        <v>56.25</v>
      </c>
      <c r="I1067" s="27">
        <f t="shared" si="488"/>
        <v>56.25</v>
      </c>
      <c r="J1067" s="27">
        <v>75</v>
      </c>
      <c r="K1067" s="16">
        <f t="shared" si="474"/>
        <v>0</v>
      </c>
      <c r="L1067" s="27">
        <f>56.25</f>
        <v>56.25</v>
      </c>
      <c r="M1067" s="16">
        <f t="shared" si="475"/>
        <v>0</v>
      </c>
      <c r="N1067" s="27">
        <f>56.25</f>
        <v>56.25</v>
      </c>
      <c r="O1067" s="16">
        <f t="shared" si="476"/>
        <v>0</v>
      </c>
    </row>
    <row r="1068" spans="1:15" s="4" customFormat="1" ht="25.5">
      <c r="A1068" s="12" t="s">
        <v>973</v>
      </c>
      <c r="B1068" s="25" t="s">
        <v>67</v>
      </c>
      <c r="C1068" s="26" t="s">
        <v>78</v>
      </c>
      <c r="D1068" s="26" t="s">
        <v>66</v>
      </c>
      <c r="E1068" s="26" t="s">
        <v>908</v>
      </c>
      <c r="F1068" s="26" t="s">
        <v>1043</v>
      </c>
      <c r="G1068" s="27">
        <v>75</v>
      </c>
      <c r="H1068" s="27">
        <f>56.25</f>
        <v>56.25</v>
      </c>
      <c r="I1068" s="27">
        <f>56.25</f>
        <v>56.25</v>
      </c>
      <c r="J1068" s="80"/>
      <c r="K1068" s="16">
        <f t="shared" si="474"/>
        <v>-75</v>
      </c>
      <c r="L1068" s="80"/>
      <c r="M1068" s="16">
        <f t="shared" si="475"/>
        <v>-56.25</v>
      </c>
      <c r="N1068" s="80"/>
      <c r="O1068" s="16">
        <f t="shared" si="476"/>
        <v>-56.25</v>
      </c>
    </row>
    <row r="1069" spans="1:15" s="3" customFormat="1">
      <c r="A1069" s="21" t="s">
        <v>81</v>
      </c>
      <c r="B1069" s="22" t="s">
        <v>67</v>
      </c>
      <c r="C1069" s="23" t="s">
        <v>78</v>
      </c>
      <c r="D1069" s="23" t="s">
        <v>53</v>
      </c>
      <c r="E1069" s="23" t="s">
        <v>196</v>
      </c>
      <c r="F1069" s="23" t="s">
        <v>58</v>
      </c>
      <c r="G1069" s="24">
        <f>G1070</f>
        <v>21605</v>
      </c>
      <c r="H1069" s="24">
        <f>H1070</f>
        <v>0</v>
      </c>
      <c r="I1069" s="24">
        <f>I1070</f>
        <v>0</v>
      </c>
      <c r="J1069" s="24">
        <f>J1070</f>
        <v>21605</v>
      </c>
      <c r="K1069" s="16">
        <f t="shared" si="474"/>
        <v>0</v>
      </c>
      <c r="L1069" s="24">
        <f>L1070</f>
        <v>0</v>
      </c>
      <c r="M1069" s="16">
        <f t="shared" si="475"/>
        <v>0</v>
      </c>
      <c r="N1069" s="24">
        <f>N1070</f>
        <v>0</v>
      </c>
      <c r="O1069" s="16">
        <f t="shared" si="476"/>
        <v>0</v>
      </c>
    </row>
    <row r="1070" spans="1:15" s="3" customFormat="1" ht="25.5">
      <c r="A1070" s="11" t="s">
        <v>740</v>
      </c>
      <c r="B1070" s="25" t="s">
        <v>67</v>
      </c>
      <c r="C1070" s="26" t="s">
        <v>78</v>
      </c>
      <c r="D1070" s="26" t="s">
        <v>53</v>
      </c>
      <c r="E1070" s="26" t="s">
        <v>449</v>
      </c>
      <c r="F1070" s="26" t="s">
        <v>58</v>
      </c>
      <c r="G1070" s="27">
        <f t="shared" ref="G1070:N1077" si="489">G1071</f>
        <v>21605</v>
      </c>
      <c r="H1070" s="27">
        <f t="shared" si="489"/>
        <v>0</v>
      </c>
      <c r="I1070" s="27">
        <f t="shared" si="489"/>
        <v>0</v>
      </c>
      <c r="J1070" s="27">
        <f t="shared" si="489"/>
        <v>21605</v>
      </c>
      <c r="K1070" s="16">
        <f t="shared" si="474"/>
        <v>0</v>
      </c>
      <c r="L1070" s="27">
        <f t="shared" si="489"/>
        <v>0</v>
      </c>
      <c r="M1070" s="16">
        <f t="shared" si="475"/>
        <v>0</v>
      </c>
      <c r="N1070" s="27">
        <f t="shared" si="489"/>
        <v>0</v>
      </c>
      <c r="O1070" s="16">
        <f t="shared" si="476"/>
        <v>0</v>
      </c>
    </row>
    <row r="1071" spans="1:15" s="3" customFormat="1" ht="25.5">
      <c r="A1071" s="11" t="s">
        <v>883</v>
      </c>
      <c r="B1071" s="25" t="s">
        <v>67</v>
      </c>
      <c r="C1071" s="26" t="s">
        <v>78</v>
      </c>
      <c r="D1071" s="26" t="s">
        <v>53</v>
      </c>
      <c r="E1071" s="26" t="s">
        <v>478</v>
      </c>
      <c r="F1071" s="26" t="s">
        <v>58</v>
      </c>
      <c r="G1071" s="27">
        <f>G1072</f>
        <v>21605</v>
      </c>
      <c r="H1071" s="27">
        <f t="shared" si="489"/>
        <v>0</v>
      </c>
      <c r="I1071" s="27">
        <f t="shared" si="489"/>
        <v>0</v>
      </c>
      <c r="J1071" s="27">
        <f>J1072</f>
        <v>21605</v>
      </c>
      <c r="K1071" s="16">
        <f t="shared" si="474"/>
        <v>0</v>
      </c>
      <c r="L1071" s="27">
        <f t="shared" si="489"/>
        <v>0</v>
      </c>
      <c r="M1071" s="16">
        <f t="shared" si="475"/>
        <v>0</v>
      </c>
      <c r="N1071" s="27">
        <f t="shared" si="489"/>
        <v>0</v>
      </c>
      <c r="O1071" s="16">
        <f t="shared" si="476"/>
        <v>0</v>
      </c>
    </row>
    <row r="1072" spans="1:15" s="3" customFormat="1" ht="51">
      <c r="A1072" s="11" t="s">
        <v>925</v>
      </c>
      <c r="B1072" s="25" t="s">
        <v>67</v>
      </c>
      <c r="C1072" s="26" t="s">
        <v>78</v>
      </c>
      <c r="D1072" s="26" t="s">
        <v>53</v>
      </c>
      <c r="E1072" s="26" t="s">
        <v>613</v>
      </c>
      <c r="F1072" s="26" t="s">
        <v>58</v>
      </c>
      <c r="G1072" s="27">
        <f>G1073+G1076</f>
        <v>21605</v>
      </c>
      <c r="H1072" s="27">
        <f t="shared" ref="H1072:I1072" si="490">H1073+H1076</f>
        <v>0</v>
      </c>
      <c r="I1072" s="27">
        <f t="shared" si="490"/>
        <v>0</v>
      </c>
      <c r="J1072" s="27">
        <f>J1073+J1076</f>
        <v>21605</v>
      </c>
      <c r="K1072" s="16">
        <f t="shared" si="474"/>
        <v>0</v>
      </c>
      <c r="L1072" s="27">
        <f t="shared" ref="L1072:N1072" si="491">L1073+L1076</f>
        <v>0</v>
      </c>
      <c r="M1072" s="16">
        <f t="shared" si="475"/>
        <v>0</v>
      </c>
      <c r="N1072" s="27">
        <f t="shared" si="491"/>
        <v>0</v>
      </c>
      <c r="O1072" s="16">
        <f t="shared" si="476"/>
        <v>0</v>
      </c>
    </row>
    <row r="1073" spans="1:15" s="3" customFormat="1" ht="63.75">
      <c r="A1073" s="11" t="s">
        <v>904</v>
      </c>
      <c r="B1073" s="25" t="s">
        <v>67</v>
      </c>
      <c r="C1073" s="26" t="s">
        <v>78</v>
      </c>
      <c r="D1073" s="26" t="s">
        <v>53</v>
      </c>
      <c r="E1073" s="26" t="s">
        <v>614</v>
      </c>
      <c r="F1073" s="26" t="s">
        <v>58</v>
      </c>
      <c r="G1073" s="27">
        <f t="shared" si="489"/>
        <v>1105</v>
      </c>
      <c r="H1073" s="27">
        <f t="shared" si="489"/>
        <v>0</v>
      </c>
      <c r="I1073" s="27">
        <f t="shared" si="489"/>
        <v>0</v>
      </c>
      <c r="J1073" s="27">
        <f t="shared" si="489"/>
        <v>1105</v>
      </c>
      <c r="K1073" s="16">
        <f t="shared" si="474"/>
        <v>0</v>
      </c>
      <c r="L1073" s="27">
        <f t="shared" si="489"/>
        <v>0</v>
      </c>
      <c r="M1073" s="16">
        <f t="shared" si="475"/>
        <v>0</v>
      </c>
      <c r="N1073" s="27">
        <f t="shared" si="489"/>
        <v>0</v>
      </c>
      <c r="O1073" s="16">
        <f t="shared" si="476"/>
        <v>0</v>
      </c>
    </row>
    <row r="1074" spans="1:15" s="3" customFormat="1" ht="25.5">
      <c r="A1074" s="11" t="s">
        <v>111</v>
      </c>
      <c r="B1074" s="25" t="s">
        <v>67</v>
      </c>
      <c r="C1074" s="26" t="s">
        <v>78</v>
      </c>
      <c r="D1074" s="26" t="s">
        <v>53</v>
      </c>
      <c r="E1074" s="26" t="s">
        <v>614</v>
      </c>
      <c r="F1074" s="26" t="s">
        <v>104</v>
      </c>
      <c r="G1074" s="27">
        <f>G1075</f>
        <v>1105</v>
      </c>
      <c r="H1074" s="27">
        <f t="shared" si="489"/>
        <v>0</v>
      </c>
      <c r="I1074" s="27">
        <f t="shared" si="489"/>
        <v>0</v>
      </c>
      <c r="J1074" s="27">
        <f>1105</f>
        <v>1105</v>
      </c>
      <c r="K1074" s="16">
        <f t="shared" si="474"/>
        <v>0</v>
      </c>
      <c r="L1074" s="27">
        <v>0</v>
      </c>
      <c r="M1074" s="16">
        <f t="shared" si="475"/>
        <v>0</v>
      </c>
      <c r="N1074" s="27">
        <v>0</v>
      </c>
      <c r="O1074" s="16">
        <f t="shared" si="476"/>
        <v>0</v>
      </c>
    </row>
    <row r="1075" spans="1:15" s="94" customFormat="1" ht="76.5">
      <c r="A1075" s="12" t="s">
        <v>1048</v>
      </c>
      <c r="B1075" s="25" t="s">
        <v>67</v>
      </c>
      <c r="C1075" s="26" t="s">
        <v>78</v>
      </c>
      <c r="D1075" s="26" t="s">
        <v>53</v>
      </c>
      <c r="E1075" s="26" t="s">
        <v>614</v>
      </c>
      <c r="F1075" s="26" t="s">
        <v>1055</v>
      </c>
      <c r="G1075" s="27">
        <f>1105</f>
        <v>1105</v>
      </c>
      <c r="H1075" s="27">
        <v>0</v>
      </c>
      <c r="I1075" s="27">
        <v>0</v>
      </c>
      <c r="J1075" s="81"/>
      <c r="K1075" s="91">
        <f t="shared" si="474"/>
        <v>-1105</v>
      </c>
      <c r="L1075" s="81"/>
      <c r="M1075" s="91">
        <f t="shared" si="475"/>
        <v>0</v>
      </c>
      <c r="N1075" s="81"/>
      <c r="O1075" s="91">
        <f t="shared" si="476"/>
        <v>0</v>
      </c>
    </row>
    <row r="1076" spans="1:15" s="3" customFormat="1" ht="51">
      <c r="A1076" s="11" t="s">
        <v>927</v>
      </c>
      <c r="B1076" s="25" t="s">
        <v>67</v>
      </c>
      <c r="C1076" s="26" t="s">
        <v>78</v>
      </c>
      <c r="D1076" s="26" t="s">
        <v>53</v>
      </c>
      <c r="E1076" s="26" t="s">
        <v>926</v>
      </c>
      <c r="F1076" s="26" t="s">
        <v>58</v>
      </c>
      <c r="G1076" s="27">
        <f t="shared" si="489"/>
        <v>20500</v>
      </c>
      <c r="H1076" s="27">
        <f t="shared" si="489"/>
        <v>0</v>
      </c>
      <c r="I1076" s="27">
        <f t="shared" si="489"/>
        <v>0</v>
      </c>
      <c r="J1076" s="27">
        <f t="shared" si="489"/>
        <v>20500</v>
      </c>
      <c r="K1076" s="16">
        <f t="shared" si="474"/>
        <v>0</v>
      </c>
      <c r="L1076" s="27">
        <f t="shared" si="489"/>
        <v>0</v>
      </c>
      <c r="M1076" s="16">
        <f t="shared" si="475"/>
        <v>0</v>
      </c>
      <c r="N1076" s="27">
        <f t="shared" si="489"/>
        <v>0</v>
      </c>
      <c r="O1076" s="16">
        <f t="shared" si="476"/>
        <v>0</v>
      </c>
    </row>
    <row r="1077" spans="1:15" s="3" customFormat="1" ht="25.5">
      <c r="A1077" s="11" t="s">
        <v>111</v>
      </c>
      <c r="B1077" s="25" t="s">
        <v>67</v>
      </c>
      <c r="C1077" s="26" t="s">
        <v>78</v>
      </c>
      <c r="D1077" s="26" t="s">
        <v>53</v>
      </c>
      <c r="E1077" s="26" t="s">
        <v>926</v>
      </c>
      <c r="F1077" s="26" t="s">
        <v>104</v>
      </c>
      <c r="G1077" s="27">
        <f>G1078</f>
        <v>20500</v>
      </c>
      <c r="H1077" s="27">
        <f t="shared" si="489"/>
        <v>0</v>
      </c>
      <c r="I1077" s="27">
        <f t="shared" si="489"/>
        <v>0</v>
      </c>
      <c r="J1077" s="27">
        <f>20500</f>
        <v>20500</v>
      </c>
      <c r="K1077" s="16">
        <f t="shared" si="474"/>
        <v>0</v>
      </c>
      <c r="L1077" s="27">
        <v>0</v>
      </c>
      <c r="M1077" s="16">
        <f t="shared" si="475"/>
        <v>0</v>
      </c>
      <c r="N1077" s="27">
        <v>0</v>
      </c>
      <c r="O1077" s="16">
        <f t="shared" si="476"/>
        <v>0</v>
      </c>
    </row>
    <row r="1078" spans="1:15" s="4" customFormat="1" ht="76.5">
      <c r="A1078" s="12" t="s">
        <v>1048</v>
      </c>
      <c r="B1078" s="25" t="s">
        <v>67</v>
      </c>
      <c r="C1078" s="26" t="s">
        <v>78</v>
      </c>
      <c r="D1078" s="26" t="s">
        <v>53</v>
      </c>
      <c r="E1078" s="26" t="s">
        <v>926</v>
      </c>
      <c r="F1078" s="26" t="s">
        <v>1055</v>
      </c>
      <c r="G1078" s="27">
        <f>20500</f>
        <v>20500</v>
      </c>
      <c r="H1078" s="27">
        <v>0</v>
      </c>
      <c r="I1078" s="27">
        <v>0</v>
      </c>
      <c r="J1078" s="80"/>
      <c r="K1078" s="16">
        <f t="shared" si="474"/>
        <v>-20500</v>
      </c>
      <c r="L1078" s="80"/>
      <c r="M1078" s="16">
        <f t="shared" si="475"/>
        <v>0</v>
      </c>
      <c r="N1078" s="80"/>
      <c r="O1078" s="16">
        <f t="shared" si="476"/>
        <v>0</v>
      </c>
    </row>
    <row r="1079" spans="1:15" s="3" customFormat="1">
      <c r="A1079" s="21" t="s">
        <v>82</v>
      </c>
      <c r="B1079" s="22" t="s">
        <v>67</v>
      </c>
      <c r="C1079" s="23" t="s">
        <v>78</v>
      </c>
      <c r="D1079" s="23" t="s">
        <v>8</v>
      </c>
      <c r="E1079" s="23" t="s">
        <v>196</v>
      </c>
      <c r="F1079" s="23" t="s">
        <v>58</v>
      </c>
      <c r="G1079" s="24">
        <f t="shared" ref="G1079:N1080" si="492">G1080</f>
        <v>9792.23</v>
      </c>
      <c r="H1079" s="24">
        <f t="shared" si="492"/>
        <v>9792.23</v>
      </c>
      <c r="I1079" s="24">
        <f t="shared" si="492"/>
        <v>9792.23</v>
      </c>
      <c r="J1079" s="24">
        <f t="shared" si="492"/>
        <v>9792.23</v>
      </c>
      <c r="K1079" s="16">
        <f t="shared" si="474"/>
        <v>0</v>
      </c>
      <c r="L1079" s="24">
        <f t="shared" si="492"/>
        <v>9792.23</v>
      </c>
      <c r="M1079" s="16">
        <f t="shared" si="475"/>
        <v>0</v>
      </c>
      <c r="N1079" s="24">
        <f t="shared" si="492"/>
        <v>9792.23</v>
      </c>
      <c r="O1079" s="16">
        <f t="shared" si="476"/>
        <v>0</v>
      </c>
    </row>
    <row r="1080" spans="1:15" s="3" customFormat="1" ht="25.5">
      <c r="A1080" s="11" t="s">
        <v>698</v>
      </c>
      <c r="B1080" s="25" t="s">
        <v>67</v>
      </c>
      <c r="C1080" s="26" t="s">
        <v>78</v>
      </c>
      <c r="D1080" s="26" t="s">
        <v>8</v>
      </c>
      <c r="E1080" s="26" t="s">
        <v>481</v>
      </c>
      <c r="F1080" s="26" t="s">
        <v>58</v>
      </c>
      <c r="G1080" s="27">
        <f t="shared" si="492"/>
        <v>9792.23</v>
      </c>
      <c r="H1080" s="27">
        <f t="shared" si="492"/>
        <v>9792.23</v>
      </c>
      <c r="I1080" s="27">
        <f t="shared" si="492"/>
        <v>9792.23</v>
      </c>
      <c r="J1080" s="27">
        <f t="shared" si="492"/>
        <v>9792.23</v>
      </c>
      <c r="K1080" s="16">
        <f t="shared" si="474"/>
        <v>0</v>
      </c>
      <c r="L1080" s="27">
        <f t="shared" si="492"/>
        <v>9792.23</v>
      </c>
      <c r="M1080" s="16">
        <f t="shared" si="475"/>
        <v>0</v>
      </c>
      <c r="N1080" s="27">
        <f t="shared" si="492"/>
        <v>9792.23</v>
      </c>
      <c r="O1080" s="16">
        <f t="shared" si="476"/>
        <v>0</v>
      </c>
    </row>
    <row r="1081" spans="1:15" s="3" customFormat="1" ht="38.25">
      <c r="A1081" s="11" t="s">
        <v>699</v>
      </c>
      <c r="B1081" s="25" t="s">
        <v>67</v>
      </c>
      <c r="C1081" s="26" t="s">
        <v>78</v>
      </c>
      <c r="D1081" s="26" t="s">
        <v>8</v>
      </c>
      <c r="E1081" s="26" t="s">
        <v>482</v>
      </c>
      <c r="F1081" s="26" t="s">
        <v>58</v>
      </c>
      <c r="G1081" s="27">
        <f>G1082+G1091</f>
        <v>9792.23</v>
      </c>
      <c r="H1081" s="27">
        <f>H1082+H1091</f>
        <v>9792.23</v>
      </c>
      <c r="I1081" s="27">
        <f>I1082+I1091</f>
        <v>9792.23</v>
      </c>
      <c r="J1081" s="27">
        <f>J1082+J1091</f>
        <v>9792.23</v>
      </c>
      <c r="K1081" s="16">
        <f t="shared" si="474"/>
        <v>0</v>
      </c>
      <c r="L1081" s="27">
        <f>L1082+L1091</f>
        <v>9792.23</v>
      </c>
      <c r="M1081" s="16">
        <f t="shared" si="475"/>
        <v>0</v>
      </c>
      <c r="N1081" s="27">
        <f>N1082+N1091</f>
        <v>9792.23</v>
      </c>
      <c r="O1081" s="16">
        <f t="shared" si="476"/>
        <v>0</v>
      </c>
    </row>
    <row r="1082" spans="1:15" s="3" customFormat="1" ht="25.5">
      <c r="A1082" s="11" t="s">
        <v>114</v>
      </c>
      <c r="B1082" s="25" t="s">
        <v>67</v>
      </c>
      <c r="C1082" s="26" t="s">
        <v>78</v>
      </c>
      <c r="D1082" s="26" t="s">
        <v>8</v>
      </c>
      <c r="E1082" s="26" t="s">
        <v>483</v>
      </c>
      <c r="F1082" s="26" t="s">
        <v>58</v>
      </c>
      <c r="G1082" s="27">
        <f>G1083+G1086+G1088</f>
        <v>1028.75</v>
      </c>
      <c r="H1082" s="27">
        <f t="shared" ref="H1082:I1082" si="493">H1083+H1086+H1088</f>
        <v>1028.75</v>
      </c>
      <c r="I1082" s="27">
        <f t="shared" si="493"/>
        <v>1028.75</v>
      </c>
      <c r="J1082" s="27">
        <f>SUM(J1083:J1088)</f>
        <v>1028.75</v>
      </c>
      <c r="K1082" s="16">
        <f t="shared" si="474"/>
        <v>0</v>
      </c>
      <c r="L1082" s="27">
        <f>SUM(L1083:L1088)</f>
        <v>1028.75</v>
      </c>
      <c r="M1082" s="16">
        <f t="shared" si="475"/>
        <v>0</v>
      </c>
      <c r="N1082" s="27">
        <f>SUM(N1083:N1088)</f>
        <v>1028.75</v>
      </c>
      <c r="O1082" s="16">
        <f t="shared" si="476"/>
        <v>0</v>
      </c>
    </row>
    <row r="1083" spans="1:15" s="3" customFormat="1" ht="25.5">
      <c r="A1083" s="12" t="s">
        <v>107</v>
      </c>
      <c r="B1083" s="25" t="s">
        <v>67</v>
      </c>
      <c r="C1083" s="26" t="s">
        <v>78</v>
      </c>
      <c r="D1083" s="26" t="s">
        <v>8</v>
      </c>
      <c r="E1083" s="26" t="s">
        <v>483</v>
      </c>
      <c r="F1083" s="26" t="s">
        <v>115</v>
      </c>
      <c r="G1083" s="27">
        <f>SUM(G1084:G1085)</f>
        <v>235.45</v>
      </c>
      <c r="H1083" s="27">
        <f t="shared" ref="H1083:I1083" si="494">SUM(H1084:H1085)</f>
        <v>235.45</v>
      </c>
      <c r="I1083" s="27">
        <f t="shared" si="494"/>
        <v>235.45</v>
      </c>
      <c r="J1083" s="27">
        <f>180.84+54.61</f>
        <v>235.45</v>
      </c>
      <c r="K1083" s="16">
        <f t="shared" ref="K1083:K1145" si="495">J1083-G1083</f>
        <v>0</v>
      </c>
      <c r="L1083" s="27">
        <f t="shared" ref="L1083:N1083" si="496">180.84+54.61</f>
        <v>235.45</v>
      </c>
      <c r="M1083" s="16">
        <f t="shared" ref="M1083:M1145" si="497">L1083-H1083</f>
        <v>0</v>
      </c>
      <c r="N1083" s="27">
        <f t="shared" si="496"/>
        <v>235.45</v>
      </c>
      <c r="O1083" s="16">
        <f t="shared" ref="O1083:O1145" si="498">N1083-I1083</f>
        <v>0</v>
      </c>
    </row>
    <row r="1084" spans="1:15" s="3" customFormat="1" ht="25.5">
      <c r="A1084" s="11" t="s">
        <v>937</v>
      </c>
      <c r="B1084" s="25" t="s">
        <v>67</v>
      </c>
      <c r="C1084" s="26" t="s">
        <v>78</v>
      </c>
      <c r="D1084" s="26" t="s">
        <v>8</v>
      </c>
      <c r="E1084" s="26" t="s">
        <v>483</v>
      </c>
      <c r="F1084" s="26" t="s">
        <v>1059</v>
      </c>
      <c r="G1084" s="27">
        <v>180.84</v>
      </c>
      <c r="H1084" s="27">
        <v>180.84</v>
      </c>
      <c r="I1084" s="27">
        <v>180.84</v>
      </c>
      <c r="J1084" s="27"/>
      <c r="K1084" s="16">
        <f t="shared" si="495"/>
        <v>-180.84</v>
      </c>
      <c r="L1084" s="27"/>
      <c r="M1084" s="16">
        <f t="shared" si="497"/>
        <v>-180.84</v>
      </c>
      <c r="N1084" s="27"/>
      <c r="O1084" s="16">
        <f t="shared" si="498"/>
        <v>-180.84</v>
      </c>
    </row>
    <row r="1085" spans="1:15" s="3" customFormat="1" ht="38.25">
      <c r="A1085" s="11" t="s">
        <v>939</v>
      </c>
      <c r="B1085" s="25" t="s">
        <v>67</v>
      </c>
      <c r="C1085" s="26" t="s">
        <v>78</v>
      </c>
      <c r="D1085" s="26" t="s">
        <v>8</v>
      </c>
      <c r="E1085" s="26" t="s">
        <v>483</v>
      </c>
      <c r="F1085" s="26" t="s">
        <v>1060</v>
      </c>
      <c r="G1085" s="27">
        <v>54.61</v>
      </c>
      <c r="H1085" s="27">
        <v>54.61</v>
      </c>
      <c r="I1085" s="27">
        <v>54.61</v>
      </c>
      <c r="J1085" s="27"/>
      <c r="K1085" s="16">
        <f t="shared" si="495"/>
        <v>-54.61</v>
      </c>
      <c r="L1085" s="27"/>
      <c r="M1085" s="16">
        <f t="shared" si="497"/>
        <v>-54.61</v>
      </c>
      <c r="N1085" s="27"/>
      <c r="O1085" s="16">
        <f t="shared" si="498"/>
        <v>-54.61</v>
      </c>
    </row>
    <row r="1086" spans="1:15" s="3" customFormat="1" ht="25.5">
      <c r="A1086" s="11" t="s">
        <v>108</v>
      </c>
      <c r="B1086" s="25" t="s">
        <v>67</v>
      </c>
      <c r="C1086" s="26" t="s">
        <v>78</v>
      </c>
      <c r="D1086" s="26" t="s">
        <v>8</v>
      </c>
      <c r="E1086" s="26" t="s">
        <v>483</v>
      </c>
      <c r="F1086" s="26" t="s">
        <v>116</v>
      </c>
      <c r="G1086" s="27">
        <f>G1087</f>
        <v>786.3</v>
      </c>
      <c r="H1086" s="27">
        <f t="shared" ref="H1086:I1086" si="499">H1087</f>
        <v>786.3</v>
      </c>
      <c r="I1086" s="27">
        <f t="shared" si="499"/>
        <v>786.3</v>
      </c>
      <c r="J1086" s="27">
        <f>786.3</f>
        <v>786.3</v>
      </c>
      <c r="K1086" s="16">
        <f t="shared" si="495"/>
        <v>0</v>
      </c>
      <c r="L1086" s="27">
        <f t="shared" ref="H1086:N1087" si="500">786.3</f>
        <v>786.3</v>
      </c>
      <c r="M1086" s="16">
        <f t="shared" si="497"/>
        <v>0</v>
      </c>
      <c r="N1086" s="27">
        <f t="shared" si="500"/>
        <v>786.3</v>
      </c>
      <c r="O1086" s="16">
        <f t="shared" si="498"/>
        <v>0</v>
      </c>
    </row>
    <row r="1087" spans="1:15" s="94" customFormat="1" ht="25.5">
      <c r="A1087" s="12" t="s">
        <v>973</v>
      </c>
      <c r="B1087" s="25" t="s">
        <v>67</v>
      </c>
      <c r="C1087" s="26" t="s">
        <v>78</v>
      </c>
      <c r="D1087" s="26" t="s">
        <v>8</v>
      </c>
      <c r="E1087" s="26" t="s">
        <v>483</v>
      </c>
      <c r="F1087" s="26" t="s">
        <v>1043</v>
      </c>
      <c r="G1087" s="27">
        <f>786.3</f>
        <v>786.3</v>
      </c>
      <c r="H1087" s="27">
        <f t="shared" si="500"/>
        <v>786.3</v>
      </c>
      <c r="I1087" s="27">
        <f t="shared" si="500"/>
        <v>786.3</v>
      </c>
      <c r="J1087" s="81"/>
      <c r="K1087" s="91">
        <f t="shared" si="495"/>
        <v>-786.3</v>
      </c>
      <c r="L1087" s="81"/>
      <c r="M1087" s="91">
        <f t="shared" si="497"/>
        <v>-786.3</v>
      </c>
      <c r="N1087" s="81"/>
      <c r="O1087" s="91">
        <f t="shared" si="498"/>
        <v>-786.3</v>
      </c>
    </row>
    <row r="1088" spans="1:15" s="3" customFormat="1">
      <c r="A1088" s="11" t="s">
        <v>97</v>
      </c>
      <c r="B1088" s="25" t="s">
        <v>67</v>
      </c>
      <c r="C1088" s="26" t="s">
        <v>78</v>
      </c>
      <c r="D1088" s="26" t="s">
        <v>8</v>
      </c>
      <c r="E1088" s="26" t="s">
        <v>483</v>
      </c>
      <c r="F1088" s="26" t="s">
        <v>118</v>
      </c>
      <c r="G1088" s="27">
        <f>SUM(G1089:G1090)</f>
        <v>7</v>
      </c>
      <c r="H1088" s="27">
        <f>SUM(H1089:H1090)</f>
        <v>7</v>
      </c>
      <c r="I1088" s="27">
        <f>SUM(I1089:I1090)</f>
        <v>7</v>
      </c>
      <c r="J1088" s="27">
        <f>2+5</f>
        <v>7</v>
      </c>
      <c r="K1088" s="16">
        <f t="shared" si="495"/>
        <v>0</v>
      </c>
      <c r="L1088" s="27">
        <f t="shared" ref="L1088:N1088" si="501">2+5</f>
        <v>7</v>
      </c>
      <c r="M1088" s="16">
        <f t="shared" si="497"/>
        <v>0</v>
      </c>
      <c r="N1088" s="27">
        <f t="shared" si="501"/>
        <v>7</v>
      </c>
      <c r="O1088" s="16">
        <f t="shared" si="498"/>
        <v>0</v>
      </c>
    </row>
    <row r="1089" spans="1:15" s="3" customFormat="1">
      <c r="A1089" s="11" t="s">
        <v>1036</v>
      </c>
      <c r="B1089" s="25" t="s">
        <v>67</v>
      </c>
      <c r="C1089" s="26" t="s">
        <v>78</v>
      </c>
      <c r="D1089" s="26" t="s">
        <v>8</v>
      </c>
      <c r="E1089" s="26" t="s">
        <v>483</v>
      </c>
      <c r="F1089" s="26" t="s">
        <v>1061</v>
      </c>
      <c r="G1089" s="27">
        <v>2</v>
      </c>
      <c r="H1089" s="27">
        <v>2</v>
      </c>
      <c r="I1089" s="27">
        <v>2</v>
      </c>
      <c r="J1089" s="27"/>
      <c r="K1089" s="16">
        <f t="shared" si="495"/>
        <v>-2</v>
      </c>
      <c r="L1089" s="27"/>
      <c r="M1089" s="16">
        <f t="shared" si="497"/>
        <v>-2</v>
      </c>
      <c r="N1089" s="27"/>
      <c r="O1089" s="16">
        <f t="shared" si="498"/>
        <v>-2</v>
      </c>
    </row>
    <row r="1090" spans="1:15" s="3" customFormat="1">
      <c r="A1090" s="11" t="s">
        <v>1037</v>
      </c>
      <c r="B1090" s="25" t="s">
        <v>67</v>
      </c>
      <c r="C1090" s="26" t="s">
        <v>78</v>
      </c>
      <c r="D1090" s="26" t="s">
        <v>8</v>
      </c>
      <c r="E1090" s="26" t="s">
        <v>483</v>
      </c>
      <c r="F1090" s="26" t="s">
        <v>1062</v>
      </c>
      <c r="G1090" s="27">
        <v>5</v>
      </c>
      <c r="H1090" s="27">
        <v>5</v>
      </c>
      <c r="I1090" s="27">
        <v>5</v>
      </c>
      <c r="J1090" s="27"/>
      <c r="K1090" s="16">
        <f t="shared" si="495"/>
        <v>-5</v>
      </c>
      <c r="L1090" s="27"/>
      <c r="M1090" s="16">
        <f t="shared" si="497"/>
        <v>-5</v>
      </c>
      <c r="N1090" s="27"/>
      <c r="O1090" s="16">
        <f t="shared" si="498"/>
        <v>-5</v>
      </c>
    </row>
    <row r="1091" spans="1:15" s="3" customFormat="1" ht="25.5">
      <c r="A1091" s="11" t="s">
        <v>126</v>
      </c>
      <c r="B1091" s="25" t="s">
        <v>67</v>
      </c>
      <c r="C1091" s="26" t="s">
        <v>78</v>
      </c>
      <c r="D1091" s="26" t="s">
        <v>8</v>
      </c>
      <c r="E1091" s="26" t="s">
        <v>484</v>
      </c>
      <c r="F1091" s="26" t="s">
        <v>58</v>
      </c>
      <c r="G1091" s="27">
        <f>G1092</f>
        <v>8763.48</v>
      </c>
      <c r="H1091" s="27">
        <f t="shared" ref="H1091:N1091" si="502">H1092</f>
        <v>8763.48</v>
      </c>
      <c r="I1091" s="27">
        <f t="shared" si="502"/>
        <v>8763.48</v>
      </c>
      <c r="J1091" s="27">
        <f>J1092</f>
        <v>8763.48</v>
      </c>
      <c r="K1091" s="16">
        <f t="shared" si="495"/>
        <v>0</v>
      </c>
      <c r="L1091" s="27">
        <f t="shared" si="502"/>
        <v>8763.48</v>
      </c>
      <c r="M1091" s="16">
        <f t="shared" si="497"/>
        <v>0</v>
      </c>
      <c r="N1091" s="27">
        <f t="shared" si="502"/>
        <v>8763.48</v>
      </c>
      <c r="O1091" s="16">
        <f t="shared" si="498"/>
        <v>0</v>
      </c>
    </row>
    <row r="1092" spans="1:15" s="3" customFormat="1" ht="25.5">
      <c r="A1092" s="11" t="s">
        <v>107</v>
      </c>
      <c r="B1092" s="25" t="s">
        <v>67</v>
      </c>
      <c r="C1092" s="26" t="s">
        <v>78</v>
      </c>
      <c r="D1092" s="26" t="s">
        <v>8</v>
      </c>
      <c r="E1092" s="26" t="s">
        <v>484</v>
      </c>
      <c r="F1092" s="26" t="s">
        <v>115</v>
      </c>
      <c r="G1092" s="27">
        <f>SUM(G1093:G1094)</f>
        <v>8763.48</v>
      </c>
      <c r="H1092" s="27">
        <f t="shared" ref="H1092:I1092" si="503">SUM(H1093:H1094)</f>
        <v>8763.48</v>
      </c>
      <c r="I1092" s="27">
        <f t="shared" si="503"/>
        <v>8763.48</v>
      </c>
      <c r="J1092" s="27">
        <f>6730.78+2032.7</f>
        <v>8763.48</v>
      </c>
      <c r="K1092" s="16">
        <f t="shared" si="495"/>
        <v>0</v>
      </c>
      <c r="L1092" s="27">
        <f t="shared" ref="L1092:N1092" si="504">6730.78+2032.7</f>
        <v>8763.48</v>
      </c>
      <c r="M1092" s="16">
        <f t="shared" si="497"/>
        <v>0</v>
      </c>
      <c r="N1092" s="27">
        <f t="shared" si="504"/>
        <v>8763.48</v>
      </c>
      <c r="O1092" s="16">
        <f t="shared" si="498"/>
        <v>0</v>
      </c>
    </row>
    <row r="1093" spans="1:15" s="3" customFormat="1">
      <c r="A1093" s="11" t="s">
        <v>936</v>
      </c>
      <c r="B1093" s="25" t="s">
        <v>67</v>
      </c>
      <c r="C1093" s="26" t="s">
        <v>78</v>
      </c>
      <c r="D1093" s="26" t="s">
        <v>8</v>
      </c>
      <c r="E1093" s="26" t="s">
        <v>484</v>
      </c>
      <c r="F1093" s="26" t="s">
        <v>1063</v>
      </c>
      <c r="G1093" s="27">
        <v>6730.78</v>
      </c>
      <c r="H1093" s="27">
        <v>6730.78</v>
      </c>
      <c r="I1093" s="27">
        <v>6730.78</v>
      </c>
      <c r="J1093" s="27"/>
      <c r="K1093" s="16">
        <f t="shared" si="495"/>
        <v>-6730.78</v>
      </c>
      <c r="L1093" s="27"/>
      <c r="M1093" s="16">
        <f t="shared" si="497"/>
        <v>-6730.78</v>
      </c>
      <c r="N1093" s="27"/>
      <c r="O1093" s="16">
        <f t="shared" si="498"/>
        <v>-6730.78</v>
      </c>
    </row>
    <row r="1094" spans="1:15" s="3" customFormat="1" ht="38.25">
      <c r="A1094" s="11" t="s">
        <v>939</v>
      </c>
      <c r="B1094" s="25" t="s">
        <v>67</v>
      </c>
      <c r="C1094" s="26" t="s">
        <v>78</v>
      </c>
      <c r="D1094" s="26" t="s">
        <v>8</v>
      </c>
      <c r="E1094" s="26" t="s">
        <v>484</v>
      </c>
      <c r="F1094" s="26" t="s">
        <v>1060</v>
      </c>
      <c r="G1094" s="27">
        <v>2032.7</v>
      </c>
      <c r="H1094" s="27">
        <v>2032.7</v>
      </c>
      <c r="I1094" s="27">
        <v>2032.7</v>
      </c>
      <c r="J1094" s="27"/>
      <c r="K1094" s="16">
        <f t="shared" si="495"/>
        <v>-2032.7</v>
      </c>
      <c r="L1094" s="27"/>
      <c r="M1094" s="16">
        <f t="shared" si="497"/>
        <v>-2032.7</v>
      </c>
      <c r="N1094" s="27"/>
      <c r="O1094" s="16">
        <f t="shared" si="498"/>
        <v>-2032.7</v>
      </c>
    </row>
    <row r="1095" spans="1:15" s="71" customFormat="1">
      <c r="A1095" s="93"/>
      <c r="B1095" s="92"/>
      <c r="C1095" s="70"/>
      <c r="D1095" s="70"/>
      <c r="E1095" s="70"/>
      <c r="F1095" s="70"/>
      <c r="G1095" s="72"/>
      <c r="H1095" s="72"/>
      <c r="I1095" s="72"/>
      <c r="J1095" s="72"/>
      <c r="K1095" s="91">
        <f t="shared" si="495"/>
        <v>0</v>
      </c>
      <c r="L1095" s="72"/>
      <c r="M1095" s="91">
        <f t="shared" si="497"/>
        <v>0</v>
      </c>
      <c r="N1095" s="72"/>
      <c r="O1095" s="91">
        <f t="shared" si="498"/>
        <v>0</v>
      </c>
    </row>
    <row r="1096" spans="1:15" s="3" customFormat="1">
      <c r="A1096" s="28" t="s">
        <v>4</v>
      </c>
      <c r="B1096" s="14" t="s">
        <v>5</v>
      </c>
      <c r="C1096" s="15" t="s">
        <v>51</v>
      </c>
      <c r="D1096" s="15" t="s">
        <v>51</v>
      </c>
      <c r="E1096" s="15" t="s">
        <v>196</v>
      </c>
      <c r="F1096" s="15" t="s">
        <v>58</v>
      </c>
      <c r="G1096" s="29">
        <f>G1097+G1134+G1148+G1170</f>
        <v>122620.65000000002</v>
      </c>
      <c r="H1096" s="29">
        <f>H1097+H1134+H1148+H1170</f>
        <v>116143.74</v>
      </c>
      <c r="I1096" s="29">
        <f>I1097+I1134+I1148+I1170</f>
        <v>116143.74</v>
      </c>
      <c r="J1096" s="29">
        <f>J1097+J1134+J1148+J1170</f>
        <v>122620.65000000002</v>
      </c>
      <c r="K1096" s="16">
        <f t="shared" si="495"/>
        <v>0</v>
      </c>
      <c r="L1096" s="29">
        <f>L1097+L1134+L1148+L1170</f>
        <v>116143.74</v>
      </c>
      <c r="M1096" s="16">
        <f t="shared" si="497"/>
        <v>0</v>
      </c>
      <c r="N1096" s="29">
        <f>N1097+N1134+N1148+N1170</f>
        <v>116143.74</v>
      </c>
      <c r="O1096" s="16">
        <f t="shared" si="498"/>
        <v>0</v>
      </c>
    </row>
    <row r="1097" spans="1:15" s="3" customFormat="1">
      <c r="A1097" s="17" t="s">
        <v>64</v>
      </c>
      <c r="B1097" s="18" t="s">
        <v>5</v>
      </c>
      <c r="C1097" s="19" t="s">
        <v>65</v>
      </c>
      <c r="D1097" s="19" t="s">
        <v>51</v>
      </c>
      <c r="E1097" s="19" t="s">
        <v>196</v>
      </c>
      <c r="F1097" s="19" t="s">
        <v>58</v>
      </c>
      <c r="G1097" s="20">
        <f>G1098+G1124</f>
        <v>32698.800000000003</v>
      </c>
      <c r="H1097" s="20">
        <f>H1098+H1124</f>
        <v>32713.68</v>
      </c>
      <c r="I1097" s="20">
        <f>I1098+I1124</f>
        <v>32713.68</v>
      </c>
      <c r="J1097" s="20">
        <f>J1098+J1124</f>
        <v>32698.800000000003</v>
      </c>
      <c r="K1097" s="16">
        <f t="shared" si="495"/>
        <v>0</v>
      </c>
      <c r="L1097" s="20">
        <f>L1098+L1124</f>
        <v>32713.68</v>
      </c>
      <c r="M1097" s="16">
        <f t="shared" si="497"/>
        <v>0</v>
      </c>
      <c r="N1097" s="20">
        <f>N1098+N1124</f>
        <v>32713.68</v>
      </c>
      <c r="O1097" s="16">
        <f t="shared" si="498"/>
        <v>0</v>
      </c>
    </row>
    <row r="1098" spans="1:15" s="3" customFormat="1" ht="38.25">
      <c r="A1098" s="21" t="s">
        <v>31</v>
      </c>
      <c r="B1098" s="22" t="s">
        <v>5</v>
      </c>
      <c r="C1098" s="23" t="s">
        <v>65</v>
      </c>
      <c r="D1098" s="23" t="s">
        <v>37</v>
      </c>
      <c r="E1098" s="23" t="s">
        <v>196</v>
      </c>
      <c r="F1098" s="23" t="s">
        <v>58</v>
      </c>
      <c r="G1098" s="24">
        <f t="shared" ref="G1098:N1099" si="505">G1099</f>
        <v>32308.600000000002</v>
      </c>
      <c r="H1098" s="24">
        <f t="shared" si="505"/>
        <v>32323.48</v>
      </c>
      <c r="I1098" s="24">
        <f t="shared" si="505"/>
        <v>32323.48</v>
      </c>
      <c r="J1098" s="24">
        <f t="shared" si="505"/>
        <v>32308.600000000002</v>
      </c>
      <c r="K1098" s="16">
        <f t="shared" si="495"/>
        <v>0</v>
      </c>
      <c r="L1098" s="24">
        <f t="shared" si="505"/>
        <v>32323.48</v>
      </c>
      <c r="M1098" s="16">
        <f t="shared" si="497"/>
        <v>0</v>
      </c>
      <c r="N1098" s="24">
        <f t="shared" si="505"/>
        <v>32323.48</v>
      </c>
      <c r="O1098" s="16">
        <f t="shared" si="498"/>
        <v>0</v>
      </c>
    </row>
    <row r="1099" spans="1:15" s="3" customFormat="1" ht="25.5">
      <c r="A1099" s="40" t="s">
        <v>146</v>
      </c>
      <c r="B1099" s="35" t="s">
        <v>5</v>
      </c>
      <c r="C1099" s="36" t="s">
        <v>65</v>
      </c>
      <c r="D1099" s="36" t="s">
        <v>37</v>
      </c>
      <c r="E1099" s="36" t="s">
        <v>485</v>
      </c>
      <c r="F1099" s="36" t="s">
        <v>58</v>
      </c>
      <c r="G1099" s="37">
        <f t="shared" si="505"/>
        <v>32308.600000000002</v>
      </c>
      <c r="H1099" s="37">
        <f t="shared" si="505"/>
        <v>32323.48</v>
      </c>
      <c r="I1099" s="37">
        <f t="shared" si="505"/>
        <v>32323.48</v>
      </c>
      <c r="J1099" s="37">
        <f t="shared" si="505"/>
        <v>32308.600000000002</v>
      </c>
      <c r="K1099" s="16">
        <f t="shared" si="495"/>
        <v>0</v>
      </c>
      <c r="L1099" s="37">
        <f t="shared" si="505"/>
        <v>32323.48</v>
      </c>
      <c r="M1099" s="16">
        <f t="shared" si="497"/>
        <v>0</v>
      </c>
      <c r="N1099" s="37">
        <f t="shared" si="505"/>
        <v>32323.48</v>
      </c>
      <c r="O1099" s="16">
        <f t="shared" si="498"/>
        <v>0</v>
      </c>
    </row>
    <row r="1100" spans="1:15" s="3" customFormat="1" ht="25.5">
      <c r="A1100" s="40" t="s">
        <v>147</v>
      </c>
      <c r="B1100" s="35" t="s">
        <v>5</v>
      </c>
      <c r="C1100" s="36" t="s">
        <v>65</v>
      </c>
      <c r="D1100" s="36" t="s">
        <v>37</v>
      </c>
      <c r="E1100" s="36" t="s">
        <v>486</v>
      </c>
      <c r="F1100" s="36" t="s">
        <v>58</v>
      </c>
      <c r="G1100" s="37">
        <f>G1101+G1110+G1114+G1121</f>
        <v>32308.600000000002</v>
      </c>
      <c r="H1100" s="37">
        <f>H1101+H1110+H1114+H1121</f>
        <v>32323.48</v>
      </c>
      <c r="I1100" s="37">
        <f>I1101+I1110+I1114+I1121</f>
        <v>32323.48</v>
      </c>
      <c r="J1100" s="37">
        <f>J1101+J1110+J1114+J1121</f>
        <v>32308.600000000002</v>
      </c>
      <c r="K1100" s="16">
        <f t="shared" si="495"/>
        <v>0</v>
      </c>
      <c r="L1100" s="37">
        <f>L1101+L1110+L1114+L1121</f>
        <v>32323.48</v>
      </c>
      <c r="M1100" s="16">
        <f t="shared" si="497"/>
        <v>0</v>
      </c>
      <c r="N1100" s="37">
        <f>N1101+N1110+N1114+N1121</f>
        <v>32323.48</v>
      </c>
      <c r="O1100" s="16">
        <f t="shared" si="498"/>
        <v>0</v>
      </c>
    </row>
    <row r="1101" spans="1:15" s="3" customFormat="1" ht="25.5">
      <c r="A1101" s="11" t="s">
        <v>114</v>
      </c>
      <c r="B1101" s="35" t="s">
        <v>5</v>
      </c>
      <c r="C1101" s="36" t="s">
        <v>65</v>
      </c>
      <c r="D1101" s="36" t="s">
        <v>37</v>
      </c>
      <c r="E1101" s="36" t="s">
        <v>487</v>
      </c>
      <c r="F1101" s="36" t="s">
        <v>58</v>
      </c>
      <c r="G1101" s="37">
        <f>G1102+G1105+G1107</f>
        <v>3523.33</v>
      </c>
      <c r="H1101" s="37">
        <f t="shared" ref="H1101:I1101" si="506">H1102+H1105+H1107</f>
        <v>3538.21</v>
      </c>
      <c r="I1101" s="37">
        <f t="shared" si="506"/>
        <v>3538.21</v>
      </c>
      <c r="J1101" s="37">
        <f>SUM(J1102:J1107)</f>
        <v>3523.33</v>
      </c>
      <c r="K1101" s="16">
        <f t="shared" si="495"/>
        <v>0</v>
      </c>
      <c r="L1101" s="37">
        <f>SUM(L1102:L1107)</f>
        <v>3538.21</v>
      </c>
      <c r="M1101" s="16">
        <f t="shared" si="497"/>
        <v>0</v>
      </c>
      <c r="N1101" s="37">
        <f>SUM(N1102:N1107)</f>
        <v>3538.21</v>
      </c>
      <c r="O1101" s="16">
        <f t="shared" si="498"/>
        <v>0</v>
      </c>
    </row>
    <row r="1102" spans="1:15" s="3" customFormat="1" ht="25.5">
      <c r="A1102" s="12" t="s">
        <v>107</v>
      </c>
      <c r="B1102" s="35" t="s">
        <v>5</v>
      </c>
      <c r="C1102" s="36" t="s">
        <v>65</v>
      </c>
      <c r="D1102" s="36" t="s">
        <v>37</v>
      </c>
      <c r="E1102" s="36" t="s">
        <v>487</v>
      </c>
      <c r="F1102" s="36" t="s">
        <v>115</v>
      </c>
      <c r="G1102" s="37">
        <f>SUM(G1103:G1104)</f>
        <v>620.46</v>
      </c>
      <c r="H1102" s="37">
        <f t="shared" ref="H1102:I1102" si="507">SUM(H1103:H1104)</f>
        <v>620.46</v>
      </c>
      <c r="I1102" s="37">
        <f t="shared" si="507"/>
        <v>620.46</v>
      </c>
      <c r="J1102" s="37">
        <f>620.46</f>
        <v>620.46</v>
      </c>
      <c r="K1102" s="16">
        <f t="shared" si="495"/>
        <v>0</v>
      </c>
      <c r="L1102" s="37">
        <f>620.46</f>
        <v>620.46</v>
      </c>
      <c r="M1102" s="16">
        <f t="shared" si="497"/>
        <v>0</v>
      </c>
      <c r="N1102" s="37">
        <f>620.46</f>
        <v>620.46</v>
      </c>
      <c r="O1102" s="16">
        <f t="shared" si="498"/>
        <v>0</v>
      </c>
    </row>
    <row r="1103" spans="1:15" s="71" customFormat="1" ht="25.5">
      <c r="A1103" s="11" t="s">
        <v>937</v>
      </c>
      <c r="B1103" s="25" t="s">
        <v>5</v>
      </c>
      <c r="C1103" s="26" t="s">
        <v>65</v>
      </c>
      <c r="D1103" s="26" t="s">
        <v>37</v>
      </c>
      <c r="E1103" s="26" t="s">
        <v>487</v>
      </c>
      <c r="F1103" s="26" t="s">
        <v>1059</v>
      </c>
      <c r="G1103" s="27">
        <v>476.56</v>
      </c>
      <c r="H1103" s="27">
        <v>476.56</v>
      </c>
      <c r="I1103" s="27">
        <v>476.56</v>
      </c>
      <c r="J1103" s="72"/>
      <c r="K1103" s="91">
        <f t="shared" si="495"/>
        <v>-476.56</v>
      </c>
      <c r="L1103" s="72"/>
      <c r="M1103" s="91">
        <f t="shared" si="497"/>
        <v>-476.56</v>
      </c>
      <c r="N1103" s="72"/>
      <c r="O1103" s="91">
        <f t="shared" si="498"/>
        <v>-476.56</v>
      </c>
    </row>
    <row r="1104" spans="1:15" s="71" customFormat="1" ht="38.25">
      <c r="A1104" s="11" t="s">
        <v>939</v>
      </c>
      <c r="B1104" s="25" t="s">
        <v>5</v>
      </c>
      <c r="C1104" s="26" t="s">
        <v>65</v>
      </c>
      <c r="D1104" s="26" t="s">
        <v>37</v>
      </c>
      <c r="E1104" s="26" t="s">
        <v>487</v>
      </c>
      <c r="F1104" s="26" t="s">
        <v>1060</v>
      </c>
      <c r="G1104" s="27">
        <v>143.9</v>
      </c>
      <c r="H1104" s="27">
        <v>143.9</v>
      </c>
      <c r="I1104" s="27">
        <v>143.9</v>
      </c>
      <c r="J1104" s="72"/>
      <c r="K1104" s="91">
        <f t="shared" si="495"/>
        <v>-143.9</v>
      </c>
      <c r="L1104" s="72"/>
      <c r="M1104" s="91">
        <f t="shared" si="497"/>
        <v>-143.9</v>
      </c>
      <c r="N1104" s="72"/>
      <c r="O1104" s="91">
        <f t="shared" si="498"/>
        <v>-143.9</v>
      </c>
    </row>
    <row r="1105" spans="1:15" s="3" customFormat="1" ht="25.5">
      <c r="A1105" s="11" t="s">
        <v>108</v>
      </c>
      <c r="B1105" s="35" t="s">
        <v>5</v>
      </c>
      <c r="C1105" s="36" t="s">
        <v>65</v>
      </c>
      <c r="D1105" s="36" t="s">
        <v>37</v>
      </c>
      <c r="E1105" s="36" t="s">
        <v>487</v>
      </c>
      <c r="F1105" s="36" t="s">
        <v>116</v>
      </c>
      <c r="G1105" s="37">
        <f>G1106</f>
        <v>2805.87</v>
      </c>
      <c r="H1105" s="37">
        <f t="shared" ref="H1105:I1105" si="508">H1106</f>
        <v>2820.75</v>
      </c>
      <c r="I1105" s="37">
        <f t="shared" si="508"/>
        <v>2820.75</v>
      </c>
      <c r="J1105" s="37">
        <f>2805.87</f>
        <v>2805.87</v>
      </c>
      <c r="K1105" s="16">
        <f t="shared" si="495"/>
        <v>0</v>
      </c>
      <c r="L1105" s="37">
        <f>2820.75</f>
        <v>2820.75</v>
      </c>
      <c r="M1105" s="16">
        <f t="shared" si="497"/>
        <v>0</v>
      </c>
      <c r="N1105" s="37">
        <f>2820.75</f>
        <v>2820.75</v>
      </c>
      <c r="O1105" s="16">
        <f t="shared" si="498"/>
        <v>0</v>
      </c>
    </row>
    <row r="1106" spans="1:15" s="4" customFormat="1" ht="25.5">
      <c r="A1106" s="12" t="s">
        <v>973</v>
      </c>
      <c r="B1106" s="35" t="s">
        <v>5</v>
      </c>
      <c r="C1106" s="36" t="s">
        <v>65</v>
      </c>
      <c r="D1106" s="36" t="s">
        <v>37</v>
      </c>
      <c r="E1106" s="36" t="s">
        <v>487</v>
      </c>
      <c r="F1106" s="36" t="s">
        <v>1043</v>
      </c>
      <c r="G1106" s="37">
        <f>2805.87</f>
        <v>2805.87</v>
      </c>
      <c r="H1106" s="37">
        <f>2820.75</f>
        <v>2820.75</v>
      </c>
      <c r="I1106" s="37">
        <f>2820.75</f>
        <v>2820.75</v>
      </c>
      <c r="J1106" s="80"/>
      <c r="K1106" s="16">
        <f t="shared" si="495"/>
        <v>-2805.87</v>
      </c>
      <c r="L1106" s="80"/>
      <c r="M1106" s="16">
        <f t="shared" si="497"/>
        <v>-2820.75</v>
      </c>
      <c r="N1106" s="80"/>
      <c r="O1106" s="16">
        <f t="shared" si="498"/>
        <v>-2820.75</v>
      </c>
    </row>
    <row r="1107" spans="1:15" s="3" customFormat="1">
      <c r="A1107" s="11" t="s">
        <v>97</v>
      </c>
      <c r="B1107" s="25" t="s">
        <v>5</v>
      </c>
      <c r="C1107" s="26" t="s">
        <v>65</v>
      </c>
      <c r="D1107" s="26" t="s">
        <v>37</v>
      </c>
      <c r="E1107" s="26" t="s">
        <v>487</v>
      </c>
      <c r="F1107" s="26" t="s">
        <v>118</v>
      </c>
      <c r="G1107" s="27">
        <f>SUM(G1108:G1109)</f>
        <v>97</v>
      </c>
      <c r="H1107" s="27">
        <f t="shared" ref="H1107:I1107" si="509">SUM(H1108:H1109)</f>
        <v>97</v>
      </c>
      <c r="I1107" s="27">
        <f t="shared" si="509"/>
        <v>97</v>
      </c>
      <c r="J1107" s="27">
        <f>77+20</f>
        <v>97</v>
      </c>
      <c r="K1107" s="16">
        <f t="shared" si="495"/>
        <v>0</v>
      </c>
      <c r="L1107" s="27">
        <f>77+20</f>
        <v>97</v>
      </c>
      <c r="M1107" s="16">
        <f t="shared" si="497"/>
        <v>0</v>
      </c>
      <c r="N1107" s="27">
        <f>77+20</f>
        <v>97</v>
      </c>
      <c r="O1107" s="16">
        <f t="shared" si="498"/>
        <v>0</v>
      </c>
    </row>
    <row r="1108" spans="1:15" s="3" customFormat="1">
      <c r="A1108" s="11" t="s">
        <v>1036</v>
      </c>
      <c r="B1108" s="25" t="s">
        <v>5</v>
      </c>
      <c r="C1108" s="26" t="s">
        <v>65</v>
      </c>
      <c r="D1108" s="26" t="s">
        <v>37</v>
      </c>
      <c r="E1108" s="26" t="s">
        <v>487</v>
      </c>
      <c r="F1108" s="26" t="s">
        <v>1061</v>
      </c>
      <c r="G1108" s="27">
        <v>77</v>
      </c>
      <c r="H1108" s="27">
        <v>77</v>
      </c>
      <c r="I1108" s="27">
        <v>77</v>
      </c>
      <c r="J1108" s="27"/>
      <c r="K1108" s="16">
        <f t="shared" si="495"/>
        <v>-77</v>
      </c>
      <c r="L1108" s="27"/>
      <c r="M1108" s="16">
        <f t="shared" si="497"/>
        <v>-77</v>
      </c>
      <c r="N1108" s="27"/>
      <c r="O1108" s="16">
        <f t="shared" si="498"/>
        <v>-77</v>
      </c>
    </row>
    <row r="1109" spans="1:15" s="3" customFormat="1">
      <c r="A1109" s="11" t="s">
        <v>1037</v>
      </c>
      <c r="B1109" s="25" t="s">
        <v>5</v>
      </c>
      <c r="C1109" s="26" t="s">
        <v>65</v>
      </c>
      <c r="D1109" s="26" t="s">
        <v>37</v>
      </c>
      <c r="E1109" s="26" t="s">
        <v>487</v>
      </c>
      <c r="F1109" s="26" t="s">
        <v>1062</v>
      </c>
      <c r="G1109" s="27">
        <v>20</v>
      </c>
      <c r="H1109" s="27">
        <v>20</v>
      </c>
      <c r="I1109" s="27">
        <v>20</v>
      </c>
      <c r="J1109" s="27"/>
      <c r="K1109" s="16">
        <f t="shared" si="495"/>
        <v>-20</v>
      </c>
      <c r="L1109" s="27"/>
      <c r="M1109" s="16">
        <f t="shared" si="497"/>
        <v>-20</v>
      </c>
      <c r="N1109" s="27"/>
      <c r="O1109" s="16">
        <f t="shared" si="498"/>
        <v>-20</v>
      </c>
    </row>
    <row r="1110" spans="1:15" s="3" customFormat="1" ht="25.5">
      <c r="A1110" s="11" t="s">
        <v>126</v>
      </c>
      <c r="B1110" s="25" t="s">
        <v>5</v>
      </c>
      <c r="C1110" s="26" t="s">
        <v>65</v>
      </c>
      <c r="D1110" s="26" t="s">
        <v>37</v>
      </c>
      <c r="E1110" s="26" t="s">
        <v>488</v>
      </c>
      <c r="F1110" s="26" t="s">
        <v>58</v>
      </c>
      <c r="G1110" s="27">
        <f>G1111</f>
        <v>27685.78</v>
      </c>
      <c r="H1110" s="27">
        <f>H1111</f>
        <v>27685.78</v>
      </c>
      <c r="I1110" s="27">
        <f>I1111</f>
        <v>27685.78</v>
      </c>
      <c r="J1110" s="27">
        <f>J1111</f>
        <v>27685.78</v>
      </c>
      <c r="K1110" s="16">
        <f t="shared" si="495"/>
        <v>0</v>
      </c>
      <c r="L1110" s="27">
        <f>L1111</f>
        <v>27685.78</v>
      </c>
      <c r="M1110" s="16">
        <f t="shared" si="497"/>
        <v>0</v>
      </c>
      <c r="N1110" s="27">
        <f>N1111</f>
        <v>27685.78</v>
      </c>
      <c r="O1110" s="16">
        <f t="shared" si="498"/>
        <v>0</v>
      </c>
    </row>
    <row r="1111" spans="1:15" s="3" customFormat="1" ht="25.5">
      <c r="A1111" s="11" t="s">
        <v>107</v>
      </c>
      <c r="B1111" s="25" t="s">
        <v>5</v>
      </c>
      <c r="C1111" s="26" t="s">
        <v>65</v>
      </c>
      <c r="D1111" s="26" t="s">
        <v>37</v>
      </c>
      <c r="E1111" s="26" t="s">
        <v>488</v>
      </c>
      <c r="F1111" s="26" t="s">
        <v>115</v>
      </c>
      <c r="G1111" s="27">
        <f>SUM(G1112:G1113)</f>
        <v>27685.78</v>
      </c>
      <c r="H1111" s="27">
        <f t="shared" ref="H1111:I1111" si="510">SUM(H1112:H1113)</f>
        <v>27685.78</v>
      </c>
      <c r="I1111" s="27">
        <f t="shared" si="510"/>
        <v>27685.78</v>
      </c>
      <c r="J1111" s="27">
        <f>27685.78</f>
        <v>27685.78</v>
      </c>
      <c r="K1111" s="16">
        <f t="shared" si="495"/>
        <v>0</v>
      </c>
      <c r="L1111" s="27">
        <f>27685.78</f>
        <v>27685.78</v>
      </c>
      <c r="M1111" s="16">
        <f t="shared" si="497"/>
        <v>0</v>
      </c>
      <c r="N1111" s="27">
        <f>27685.78</f>
        <v>27685.78</v>
      </c>
      <c r="O1111" s="16">
        <f t="shared" si="498"/>
        <v>0</v>
      </c>
    </row>
    <row r="1112" spans="1:15" s="3" customFormat="1">
      <c r="A1112" s="11" t="s">
        <v>936</v>
      </c>
      <c r="B1112" s="25" t="s">
        <v>5</v>
      </c>
      <c r="C1112" s="26" t="s">
        <v>65</v>
      </c>
      <c r="D1112" s="26" t="s">
        <v>37</v>
      </c>
      <c r="E1112" s="26" t="s">
        <v>488</v>
      </c>
      <c r="F1112" s="26" t="s">
        <v>1063</v>
      </c>
      <c r="G1112" s="27">
        <v>21264.04</v>
      </c>
      <c r="H1112" s="27">
        <v>21264.04</v>
      </c>
      <c r="I1112" s="27">
        <v>21264.04</v>
      </c>
      <c r="J1112" s="27"/>
      <c r="K1112" s="16">
        <f t="shared" si="495"/>
        <v>-21264.04</v>
      </c>
      <c r="L1112" s="27"/>
      <c r="M1112" s="16">
        <f t="shared" si="497"/>
        <v>-21264.04</v>
      </c>
      <c r="N1112" s="27"/>
      <c r="O1112" s="16">
        <f t="shared" si="498"/>
        <v>-21264.04</v>
      </c>
    </row>
    <row r="1113" spans="1:15" s="3" customFormat="1" ht="38.25">
      <c r="A1113" s="11" t="s">
        <v>939</v>
      </c>
      <c r="B1113" s="25" t="s">
        <v>5</v>
      </c>
      <c r="C1113" s="26" t="s">
        <v>65</v>
      </c>
      <c r="D1113" s="26" t="s">
        <v>37</v>
      </c>
      <c r="E1113" s="26" t="s">
        <v>488</v>
      </c>
      <c r="F1113" s="26" t="s">
        <v>1060</v>
      </c>
      <c r="G1113" s="27">
        <v>6421.74</v>
      </c>
      <c r="H1113" s="27">
        <v>6421.74</v>
      </c>
      <c r="I1113" s="27">
        <v>6421.74</v>
      </c>
      <c r="J1113" s="27"/>
      <c r="K1113" s="16">
        <f t="shared" si="495"/>
        <v>-6421.74</v>
      </c>
      <c r="L1113" s="27"/>
      <c r="M1113" s="16">
        <f t="shared" si="497"/>
        <v>-6421.74</v>
      </c>
      <c r="N1113" s="27"/>
      <c r="O1113" s="16">
        <f t="shared" si="498"/>
        <v>-6421.74</v>
      </c>
    </row>
    <row r="1114" spans="1:15" s="3" customFormat="1" ht="51">
      <c r="A1114" s="32" t="s">
        <v>598</v>
      </c>
      <c r="B1114" s="25" t="s">
        <v>5</v>
      </c>
      <c r="C1114" s="26" t="s">
        <v>65</v>
      </c>
      <c r="D1114" s="26" t="s">
        <v>37</v>
      </c>
      <c r="E1114" s="26" t="s">
        <v>489</v>
      </c>
      <c r="F1114" s="26" t="s">
        <v>58</v>
      </c>
      <c r="G1114" s="27">
        <f>G1115+G1119</f>
        <v>1047.75</v>
      </c>
      <c r="H1114" s="27">
        <f>H1115+H1119</f>
        <v>1047.75</v>
      </c>
      <c r="I1114" s="27">
        <f>I1115+I1119</f>
        <v>1047.75</v>
      </c>
      <c r="J1114" s="27">
        <f>J1115+J1119</f>
        <v>1047.75</v>
      </c>
      <c r="K1114" s="16">
        <f t="shared" si="495"/>
        <v>0</v>
      </c>
      <c r="L1114" s="27">
        <f>L1115+L1119</f>
        <v>1047.75</v>
      </c>
      <c r="M1114" s="16">
        <f t="shared" si="497"/>
        <v>0</v>
      </c>
      <c r="N1114" s="27">
        <f>N1115+N1119</f>
        <v>1047.75</v>
      </c>
      <c r="O1114" s="16">
        <f t="shared" si="498"/>
        <v>0</v>
      </c>
    </row>
    <row r="1115" spans="1:15" s="3" customFormat="1" ht="25.5">
      <c r="A1115" s="11" t="s">
        <v>107</v>
      </c>
      <c r="B1115" s="25" t="s">
        <v>5</v>
      </c>
      <c r="C1115" s="26" t="s">
        <v>65</v>
      </c>
      <c r="D1115" s="26" t="s">
        <v>37</v>
      </c>
      <c r="E1115" s="26" t="s">
        <v>489</v>
      </c>
      <c r="F1115" s="26" t="s">
        <v>115</v>
      </c>
      <c r="G1115" s="27">
        <f>SUM(G1116:G1118)</f>
        <v>989.32999999999993</v>
      </c>
      <c r="H1115" s="27">
        <f t="shared" ref="H1115:I1115" si="511">SUM(H1116:H1118)</f>
        <v>989.32999999999993</v>
      </c>
      <c r="I1115" s="27">
        <f t="shared" si="511"/>
        <v>989.32999999999993</v>
      </c>
      <c r="J1115" s="27">
        <f>989.33</f>
        <v>989.33</v>
      </c>
      <c r="K1115" s="16">
        <f t="shared" si="495"/>
        <v>0</v>
      </c>
      <c r="L1115" s="27">
        <f>989.33</f>
        <v>989.33</v>
      </c>
      <c r="M1115" s="16">
        <f t="shared" si="497"/>
        <v>0</v>
      </c>
      <c r="N1115" s="27">
        <f>989.33</f>
        <v>989.33</v>
      </c>
      <c r="O1115" s="16">
        <f t="shared" si="498"/>
        <v>0</v>
      </c>
    </row>
    <row r="1116" spans="1:15" s="3" customFormat="1">
      <c r="A1116" s="11" t="s">
        <v>936</v>
      </c>
      <c r="B1116" s="25" t="s">
        <v>5</v>
      </c>
      <c r="C1116" s="26" t="s">
        <v>65</v>
      </c>
      <c r="D1116" s="26" t="s">
        <v>37</v>
      </c>
      <c r="E1116" s="26" t="s">
        <v>489</v>
      </c>
      <c r="F1116" s="26" t="s">
        <v>1063</v>
      </c>
      <c r="G1116" s="27">
        <v>721.56</v>
      </c>
      <c r="H1116" s="27">
        <v>721.56</v>
      </c>
      <c r="I1116" s="27">
        <v>721.56</v>
      </c>
      <c r="J1116" s="27"/>
      <c r="K1116" s="16">
        <f t="shared" si="495"/>
        <v>-721.56</v>
      </c>
      <c r="L1116" s="27"/>
      <c r="M1116" s="16">
        <f t="shared" si="497"/>
        <v>-721.56</v>
      </c>
      <c r="N1116" s="27"/>
      <c r="O1116" s="16">
        <f t="shared" si="498"/>
        <v>-721.56</v>
      </c>
    </row>
    <row r="1117" spans="1:15" s="3" customFormat="1" ht="25.5">
      <c r="A1117" s="12" t="s">
        <v>937</v>
      </c>
      <c r="B1117" s="25" t="s">
        <v>5</v>
      </c>
      <c r="C1117" s="26" t="s">
        <v>65</v>
      </c>
      <c r="D1117" s="26" t="s">
        <v>37</v>
      </c>
      <c r="E1117" s="26" t="s">
        <v>489</v>
      </c>
      <c r="F1117" s="26" t="s">
        <v>1059</v>
      </c>
      <c r="G1117" s="27">
        <v>38.299999999999997</v>
      </c>
      <c r="H1117" s="27">
        <v>38.299999999999997</v>
      </c>
      <c r="I1117" s="27">
        <v>38.299999999999997</v>
      </c>
      <c r="J1117" s="27"/>
      <c r="K1117" s="16">
        <f t="shared" si="495"/>
        <v>-38.299999999999997</v>
      </c>
      <c r="L1117" s="27"/>
      <c r="M1117" s="16"/>
      <c r="N1117" s="27"/>
      <c r="O1117" s="16"/>
    </row>
    <row r="1118" spans="1:15" s="3" customFormat="1" ht="38.25">
      <c r="A1118" s="11" t="s">
        <v>939</v>
      </c>
      <c r="B1118" s="25" t="s">
        <v>5</v>
      </c>
      <c r="C1118" s="26" t="s">
        <v>65</v>
      </c>
      <c r="D1118" s="26" t="s">
        <v>37</v>
      </c>
      <c r="E1118" s="26" t="s">
        <v>489</v>
      </c>
      <c r="F1118" s="26" t="s">
        <v>1060</v>
      </c>
      <c r="G1118" s="27">
        <v>229.47</v>
      </c>
      <c r="H1118" s="27">
        <v>229.47</v>
      </c>
      <c r="I1118" s="27">
        <v>229.47</v>
      </c>
      <c r="J1118" s="27"/>
      <c r="K1118" s="16">
        <f t="shared" si="495"/>
        <v>-229.47</v>
      </c>
      <c r="L1118" s="27"/>
      <c r="M1118" s="16">
        <f t="shared" si="497"/>
        <v>-229.47</v>
      </c>
      <c r="N1118" s="27"/>
      <c r="O1118" s="16">
        <f t="shared" si="498"/>
        <v>-229.47</v>
      </c>
    </row>
    <row r="1119" spans="1:15" s="3" customFormat="1" ht="25.5">
      <c r="A1119" s="11" t="s">
        <v>108</v>
      </c>
      <c r="B1119" s="25" t="s">
        <v>5</v>
      </c>
      <c r="C1119" s="26" t="s">
        <v>65</v>
      </c>
      <c r="D1119" s="26" t="s">
        <v>37</v>
      </c>
      <c r="E1119" s="26" t="s">
        <v>489</v>
      </c>
      <c r="F1119" s="26" t="s">
        <v>116</v>
      </c>
      <c r="G1119" s="27">
        <f>G1120</f>
        <v>58.42</v>
      </c>
      <c r="H1119" s="27">
        <f t="shared" ref="H1119:I1119" si="512">H1120</f>
        <v>58.42</v>
      </c>
      <c r="I1119" s="27">
        <f t="shared" si="512"/>
        <v>58.42</v>
      </c>
      <c r="J1119" s="27">
        <f>58.42</f>
        <v>58.42</v>
      </c>
      <c r="K1119" s="16">
        <f t="shared" si="495"/>
        <v>0</v>
      </c>
      <c r="L1119" s="27">
        <f>58.42</f>
        <v>58.42</v>
      </c>
      <c r="M1119" s="16">
        <f t="shared" si="497"/>
        <v>0</v>
      </c>
      <c r="N1119" s="27">
        <f>58.42</f>
        <v>58.42</v>
      </c>
      <c r="O1119" s="16">
        <f t="shared" si="498"/>
        <v>0</v>
      </c>
    </row>
    <row r="1120" spans="1:15" s="94" customFormat="1" ht="25.5">
      <c r="A1120" s="12" t="s">
        <v>973</v>
      </c>
      <c r="B1120" s="25" t="s">
        <v>5</v>
      </c>
      <c r="C1120" s="26" t="s">
        <v>65</v>
      </c>
      <c r="D1120" s="26" t="s">
        <v>37</v>
      </c>
      <c r="E1120" s="26" t="s">
        <v>489</v>
      </c>
      <c r="F1120" s="26" t="s">
        <v>1043</v>
      </c>
      <c r="G1120" s="27">
        <f>58.42</f>
        <v>58.42</v>
      </c>
      <c r="H1120" s="27">
        <f>58.42</f>
        <v>58.42</v>
      </c>
      <c r="I1120" s="27">
        <f>58.42</f>
        <v>58.42</v>
      </c>
      <c r="J1120" s="81"/>
      <c r="K1120" s="91">
        <f t="shared" si="495"/>
        <v>-58.42</v>
      </c>
      <c r="L1120" s="81"/>
      <c r="M1120" s="91">
        <f t="shared" si="497"/>
        <v>-58.42</v>
      </c>
      <c r="N1120" s="81"/>
      <c r="O1120" s="91">
        <f t="shared" si="498"/>
        <v>-58.42</v>
      </c>
    </row>
    <row r="1121" spans="1:15" s="3" customFormat="1" ht="51">
      <c r="A1121" s="34" t="s">
        <v>870</v>
      </c>
      <c r="B1121" s="35" t="s">
        <v>5</v>
      </c>
      <c r="C1121" s="36" t="s">
        <v>65</v>
      </c>
      <c r="D1121" s="36" t="s">
        <v>37</v>
      </c>
      <c r="E1121" s="36" t="s">
        <v>490</v>
      </c>
      <c r="F1121" s="36" t="s">
        <v>58</v>
      </c>
      <c r="G1121" s="37">
        <f>G1122</f>
        <v>51.74</v>
      </c>
      <c r="H1121" s="37">
        <f>H1122</f>
        <v>51.74</v>
      </c>
      <c r="I1121" s="37">
        <f>I1122</f>
        <v>51.74</v>
      </c>
      <c r="J1121" s="37">
        <f>J1122</f>
        <v>51.74</v>
      </c>
      <c r="K1121" s="16">
        <f t="shared" si="495"/>
        <v>0</v>
      </c>
      <c r="L1121" s="37">
        <f>L1122</f>
        <v>51.74</v>
      </c>
      <c r="M1121" s="16">
        <f t="shared" si="497"/>
        <v>0</v>
      </c>
      <c r="N1121" s="37">
        <f>N1122</f>
        <v>51.74</v>
      </c>
      <c r="O1121" s="16">
        <f t="shared" si="498"/>
        <v>0</v>
      </c>
    </row>
    <row r="1122" spans="1:15" s="3" customFormat="1" ht="25.5">
      <c r="A1122" s="11" t="s">
        <v>108</v>
      </c>
      <c r="B1122" s="35" t="s">
        <v>5</v>
      </c>
      <c r="C1122" s="36" t="s">
        <v>65</v>
      </c>
      <c r="D1122" s="36" t="s">
        <v>37</v>
      </c>
      <c r="E1122" s="36" t="s">
        <v>490</v>
      </c>
      <c r="F1122" s="36" t="s">
        <v>116</v>
      </c>
      <c r="G1122" s="37">
        <f>G1123</f>
        <v>51.74</v>
      </c>
      <c r="H1122" s="37">
        <f t="shared" ref="H1122:I1122" si="513">H1123</f>
        <v>51.74</v>
      </c>
      <c r="I1122" s="37">
        <f t="shared" si="513"/>
        <v>51.74</v>
      </c>
      <c r="J1122" s="37">
        <f>51.74</f>
        <v>51.74</v>
      </c>
      <c r="K1122" s="16">
        <f t="shared" si="495"/>
        <v>0</v>
      </c>
      <c r="L1122" s="37">
        <f>51.74</f>
        <v>51.74</v>
      </c>
      <c r="M1122" s="16">
        <f t="shared" si="497"/>
        <v>0</v>
      </c>
      <c r="N1122" s="37">
        <f>51.74</f>
        <v>51.74</v>
      </c>
      <c r="O1122" s="16">
        <f t="shared" si="498"/>
        <v>0</v>
      </c>
    </row>
    <row r="1123" spans="1:15" s="4" customFormat="1" ht="25.5">
      <c r="A1123" s="12" t="s">
        <v>973</v>
      </c>
      <c r="B1123" s="35" t="s">
        <v>5</v>
      </c>
      <c r="C1123" s="36" t="s">
        <v>65</v>
      </c>
      <c r="D1123" s="36" t="s">
        <v>37</v>
      </c>
      <c r="E1123" s="36" t="s">
        <v>490</v>
      </c>
      <c r="F1123" s="36" t="s">
        <v>1043</v>
      </c>
      <c r="G1123" s="37">
        <f>51.74</f>
        <v>51.74</v>
      </c>
      <c r="H1123" s="37">
        <f>51.74</f>
        <v>51.74</v>
      </c>
      <c r="I1123" s="37">
        <f>51.74</f>
        <v>51.74</v>
      </c>
      <c r="J1123" s="80"/>
      <c r="K1123" s="16">
        <f t="shared" si="495"/>
        <v>-51.74</v>
      </c>
      <c r="L1123" s="80"/>
      <c r="M1123" s="16">
        <f t="shared" si="497"/>
        <v>-51.74</v>
      </c>
      <c r="N1123" s="80"/>
      <c r="O1123" s="16">
        <f t="shared" si="498"/>
        <v>-51.74</v>
      </c>
    </row>
    <row r="1124" spans="1:15" s="3" customFormat="1">
      <c r="A1124" s="21" t="s">
        <v>38</v>
      </c>
      <c r="B1124" s="22" t="s">
        <v>5</v>
      </c>
      <c r="C1124" s="23" t="s">
        <v>65</v>
      </c>
      <c r="D1124" s="23" t="s">
        <v>84</v>
      </c>
      <c r="E1124" s="23" t="s">
        <v>196</v>
      </c>
      <c r="F1124" s="23" t="s">
        <v>58</v>
      </c>
      <c r="G1124" s="24">
        <f>G1125</f>
        <v>390.2</v>
      </c>
      <c r="H1124" s="24">
        <f t="shared" ref="H1124:N1124" si="514">H1125</f>
        <v>390.2</v>
      </c>
      <c r="I1124" s="24">
        <f t="shared" si="514"/>
        <v>390.2</v>
      </c>
      <c r="J1124" s="24">
        <f>J1125</f>
        <v>390.2</v>
      </c>
      <c r="K1124" s="16">
        <f t="shared" si="495"/>
        <v>0</v>
      </c>
      <c r="L1124" s="24">
        <f t="shared" si="514"/>
        <v>390.2</v>
      </c>
      <c r="M1124" s="16">
        <f t="shared" si="497"/>
        <v>0</v>
      </c>
      <c r="N1124" s="24">
        <f t="shared" si="514"/>
        <v>390.2</v>
      </c>
      <c r="O1124" s="16">
        <f t="shared" si="498"/>
        <v>0</v>
      </c>
    </row>
    <row r="1125" spans="1:15" s="3" customFormat="1" ht="38.25">
      <c r="A1125" s="13" t="s">
        <v>745</v>
      </c>
      <c r="B1125" s="35" t="s">
        <v>5</v>
      </c>
      <c r="C1125" s="36" t="s">
        <v>65</v>
      </c>
      <c r="D1125" s="36" t="s">
        <v>84</v>
      </c>
      <c r="E1125" s="36" t="s">
        <v>280</v>
      </c>
      <c r="F1125" s="36" t="s">
        <v>58</v>
      </c>
      <c r="G1125" s="37">
        <f t="shared" ref="G1125:N1129" si="515">G1126</f>
        <v>390.2</v>
      </c>
      <c r="H1125" s="37">
        <f t="shared" si="515"/>
        <v>390.2</v>
      </c>
      <c r="I1125" s="37">
        <f t="shared" si="515"/>
        <v>390.2</v>
      </c>
      <c r="J1125" s="37">
        <f t="shared" si="515"/>
        <v>390.2</v>
      </c>
      <c r="K1125" s="16">
        <f t="shared" si="495"/>
        <v>0</v>
      </c>
      <c r="L1125" s="37">
        <f t="shared" si="515"/>
        <v>390.2</v>
      </c>
      <c r="M1125" s="16">
        <f t="shared" si="497"/>
        <v>0</v>
      </c>
      <c r="N1125" s="37">
        <f t="shared" si="515"/>
        <v>390.2</v>
      </c>
      <c r="O1125" s="16">
        <f t="shared" si="498"/>
        <v>0</v>
      </c>
    </row>
    <row r="1126" spans="1:15" s="3" customFormat="1" ht="51">
      <c r="A1126" s="13" t="s">
        <v>746</v>
      </c>
      <c r="B1126" s="25" t="s">
        <v>5</v>
      </c>
      <c r="C1126" s="36" t="s">
        <v>65</v>
      </c>
      <c r="D1126" s="36" t="s">
        <v>84</v>
      </c>
      <c r="E1126" s="36" t="s">
        <v>281</v>
      </c>
      <c r="F1126" s="36" t="s">
        <v>58</v>
      </c>
      <c r="G1126" s="37">
        <f t="shared" si="515"/>
        <v>390.2</v>
      </c>
      <c r="H1126" s="37">
        <f t="shared" si="515"/>
        <v>390.2</v>
      </c>
      <c r="I1126" s="37">
        <f t="shared" si="515"/>
        <v>390.2</v>
      </c>
      <c r="J1126" s="37">
        <f t="shared" si="515"/>
        <v>390.2</v>
      </c>
      <c r="K1126" s="16">
        <f t="shared" si="495"/>
        <v>0</v>
      </c>
      <c r="L1126" s="37">
        <f t="shared" si="515"/>
        <v>390.2</v>
      </c>
      <c r="M1126" s="16">
        <f t="shared" si="497"/>
        <v>0</v>
      </c>
      <c r="N1126" s="37">
        <f t="shared" si="515"/>
        <v>390.2</v>
      </c>
      <c r="O1126" s="16">
        <f t="shared" si="498"/>
        <v>0</v>
      </c>
    </row>
    <row r="1127" spans="1:15" s="3" customFormat="1" ht="38.25">
      <c r="A1127" s="11" t="s">
        <v>282</v>
      </c>
      <c r="B1127" s="25" t="s">
        <v>5</v>
      </c>
      <c r="C1127" s="36" t="s">
        <v>65</v>
      </c>
      <c r="D1127" s="36" t="s">
        <v>84</v>
      </c>
      <c r="E1127" s="36" t="s">
        <v>283</v>
      </c>
      <c r="F1127" s="36" t="s">
        <v>58</v>
      </c>
      <c r="G1127" s="37">
        <f>G1128+G1131</f>
        <v>390.2</v>
      </c>
      <c r="H1127" s="37">
        <f>H1128+H1131</f>
        <v>390.2</v>
      </c>
      <c r="I1127" s="37">
        <f>I1128+I1131</f>
        <v>390.2</v>
      </c>
      <c r="J1127" s="37">
        <f>J1128+J1131</f>
        <v>390.2</v>
      </c>
      <c r="K1127" s="16">
        <f t="shared" si="495"/>
        <v>0</v>
      </c>
      <c r="L1127" s="37">
        <f>L1128+L1131</f>
        <v>390.2</v>
      </c>
      <c r="M1127" s="16">
        <f t="shared" si="497"/>
        <v>0</v>
      </c>
      <c r="N1127" s="37">
        <f>N1128+N1131</f>
        <v>390.2</v>
      </c>
      <c r="O1127" s="16">
        <f t="shared" si="498"/>
        <v>0</v>
      </c>
    </row>
    <row r="1128" spans="1:15" s="3" customFormat="1" ht="25.5">
      <c r="A1128" s="11" t="s">
        <v>167</v>
      </c>
      <c r="B1128" s="25" t="s">
        <v>5</v>
      </c>
      <c r="C1128" s="36" t="s">
        <v>65</v>
      </c>
      <c r="D1128" s="36" t="s">
        <v>84</v>
      </c>
      <c r="E1128" s="36" t="s">
        <v>491</v>
      </c>
      <c r="F1128" s="36" t="s">
        <v>58</v>
      </c>
      <c r="G1128" s="37">
        <f t="shared" si="515"/>
        <v>350</v>
      </c>
      <c r="H1128" s="37">
        <f t="shared" si="515"/>
        <v>350</v>
      </c>
      <c r="I1128" s="37">
        <f t="shared" si="515"/>
        <v>350</v>
      </c>
      <c r="J1128" s="37">
        <f t="shared" si="515"/>
        <v>350</v>
      </c>
      <c r="K1128" s="16">
        <f t="shared" si="495"/>
        <v>0</v>
      </c>
      <c r="L1128" s="37">
        <f t="shared" si="515"/>
        <v>350</v>
      </c>
      <c r="M1128" s="16">
        <f t="shared" si="497"/>
        <v>0</v>
      </c>
      <c r="N1128" s="37">
        <f t="shared" si="515"/>
        <v>350</v>
      </c>
      <c r="O1128" s="16">
        <f t="shared" si="498"/>
        <v>0</v>
      </c>
    </row>
    <row r="1129" spans="1:15" s="3" customFormat="1" ht="25.5">
      <c r="A1129" s="11" t="s">
        <v>108</v>
      </c>
      <c r="B1129" s="25" t="s">
        <v>5</v>
      </c>
      <c r="C1129" s="36" t="s">
        <v>65</v>
      </c>
      <c r="D1129" s="36" t="s">
        <v>84</v>
      </c>
      <c r="E1129" s="36" t="s">
        <v>491</v>
      </c>
      <c r="F1129" s="36" t="s">
        <v>116</v>
      </c>
      <c r="G1129" s="37">
        <f>G1130</f>
        <v>350</v>
      </c>
      <c r="H1129" s="37">
        <f t="shared" si="515"/>
        <v>350</v>
      </c>
      <c r="I1129" s="37">
        <f t="shared" si="515"/>
        <v>350</v>
      </c>
      <c r="J1129" s="37">
        <f>390.2-40.2</f>
        <v>350</v>
      </c>
      <c r="K1129" s="16">
        <f t="shared" si="495"/>
        <v>0</v>
      </c>
      <c r="L1129" s="37">
        <f>390.2-40.2</f>
        <v>350</v>
      </c>
      <c r="M1129" s="16">
        <f t="shared" si="497"/>
        <v>0</v>
      </c>
      <c r="N1129" s="37">
        <f>390.2-40.2</f>
        <v>350</v>
      </c>
      <c r="O1129" s="16">
        <f t="shared" si="498"/>
        <v>0</v>
      </c>
    </row>
    <row r="1130" spans="1:15" s="4" customFormat="1" ht="25.5">
      <c r="A1130" s="12" t="s">
        <v>973</v>
      </c>
      <c r="B1130" s="25" t="s">
        <v>5</v>
      </c>
      <c r="C1130" s="36" t="s">
        <v>65</v>
      </c>
      <c r="D1130" s="36" t="s">
        <v>84</v>
      </c>
      <c r="E1130" s="36" t="s">
        <v>491</v>
      </c>
      <c r="F1130" s="36" t="s">
        <v>1043</v>
      </c>
      <c r="G1130" s="37">
        <f>390.2-40.2</f>
        <v>350</v>
      </c>
      <c r="H1130" s="37">
        <f>390.2-40.2</f>
        <v>350</v>
      </c>
      <c r="I1130" s="37">
        <f>390.2-40.2</f>
        <v>350</v>
      </c>
      <c r="J1130" s="80"/>
      <c r="K1130" s="16">
        <f t="shared" si="495"/>
        <v>-350</v>
      </c>
      <c r="L1130" s="80"/>
      <c r="M1130" s="16">
        <f t="shared" si="497"/>
        <v>-350</v>
      </c>
      <c r="N1130" s="80"/>
      <c r="O1130" s="16">
        <f t="shared" si="498"/>
        <v>-350</v>
      </c>
    </row>
    <row r="1131" spans="1:15" s="3" customFormat="1" ht="25.5">
      <c r="A1131" s="11" t="s">
        <v>859</v>
      </c>
      <c r="B1131" s="25" t="s">
        <v>5</v>
      </c>
      <c r="C1131" s="36" t="s">
        <v>65</v>
      </c>
      <c r="D1131" s="36" t="s">
        <v>84</v>
      </c>
      <c r="E1131" s="43" t="s">
        <v>858</v>
      </c>
      <c r="F1131" s="26" t="s">
        <v>58</v>
      </c>
      <c r="G1131" s="27">
        <f>G1132</f>
        <v>40.200000000000003</v>
      </c>
      <c r="H1131" s="27">
        <f t="shared" ref="H1131:N1132" si="516">H1132</f>
        <v>40.200000000000003</v>
      </c>
      <c r="I1131" s="27">
        <f t="shared" si="516"/>
        <v>40.200000000000003</v>
      </c>
      <c r="J1131" s="27">
        <f>J1132</f>
        <v>40.200000000000003</v>
      </c>
      <c r="K1131" s="16">
        <f t="shared" si="495"/>
        <v>0</v>
      </c>
      <c r="L1131" s="27">
        <f t="shared" si="516"/>
        <v>40.200000000000003</v>
      </c>
      <c r="M1131" s="16">
        <f t="shared" si="497"/>
        <v>0</v>
      </c>
      <c r="N1131" s="27">
        <f t="shared" si="516"/>
        <v>40.200000000000003</v>
      </c>
      <c r="O1131" s="16">
        <f t="shared" si="498"/>
        <v>0</v>
      </c>
    </row>
    <row r="1132" spans="1:15" s="3" customFormat="1" ht="25.5">
      <c r="A1132" s="11" t="s">
        <v>108</v>
      </c>
      <c r="B1132" s="25" t="s">
        <v>5</v>
      </c>
      <c r="C1132" s="36" t="s">
        <v>65</v>
      </c>
      <c r="D1132" s="36" t="s">
        <v>84</v>
      </c>
      <c r="E1132" s="43" t="s">
        <v>858</v>
      </c>
      <c r="F1132" s="26" t="s">
        <v>116</v>
      </c>
      <c r="G1132" s="27">
        <f>G1133</f>
        <v>40.200000000000003</v>
      </c>
      <c r="H1132" s="27">
        <f t="shared" si="516"/>
        <v>40.200000000000003</v>
      </c>
      <c r="I1132" s="27">
        <f t="shared" si="516"/>
        <v>40.200000000000003</v>
      </c>
      <c r="J1132" s="27">
        <f>40.2</f>
        <v>40.200000000000003</v>
      </c>
      <c r="K1132" s="16">
        <f t="shared" si="495"/>
        <v>0</v>
      </c>
      <c r="L1132" s="27">
        <f t="shared" ref="H1132:N1133" si="517">40.2</f>
        <v>40.200000000000003</v>
      </c>
      <c r="M1132" s="16">
        <f t="shared" si="497"/>
        <v>0</v>
      </c>
      <c r="N1132" s="27">
        <f t="shared" si="517"/>
        <v>40.200000000000003</v>
      </c>
      <c r="O1132" s="16">
        <f t="shared" si="498"/>
        <v>0</v>
      </c>
    </row>
    <row r="1133" spans="1:15" s="4" customFormat="1" ht="25.5">
      <c r="A1133" s="12" t="s">
        <v>973</v>
      </c>
      <c r="B1133" s="25" t="s">
        <v>5</v>
      </c>
      <c r="C1133" s="36" t="s">
        <v>65</v>
      </c>
      <c r="D1133" s="36" t="s">
        <v>84</v>
      </c>
      <c r="E1133" s="43" t="s">
        <v>858</v>
      </c>
      <c r="F1133" s="26" t="s">
        <v>1043</v>
      </c>
      <c r="G1133" s="27">
        <f>40.2</f>
        <v>40.200000000000003</v>
      </c>
      <c r="H1133" s="27">
        <f t="shared" si="517"/>
        <v>40.200000000000003</v>
      </c>
      <c r="I1133" s="27">
        <f t="shared" si="517"/>
        <v>40.200000000000003</v>
      </c>
      <c r="J1133" s="80"/>
      <c r="K1133" s="16">
        <f t="shared" si="495"/>
        <v>-40.200000000000003</v>
      </c>
      <c r="L1133" s="80"/>
      <c r="M1133" s="16">
        <f t="shared" si="497"/>
        <v>-40.200000000000003</v>
      </c>
      <c r="N1133" s="80"/>
      <c r="O1133" s="16">
        <f t="shared" si="498"/>
        <v>-40.200000000000003</v>
      </c>
    </row>
    <row r="1134" spans="1:15" s="3" customFormat="1">
      <c r="A1134" s="17" t="s">
        <v>35</v>
      </c>
      <c r="B1134" s="18" t="s">
        <v>5</v>
      </c>
      <c r="C1134" s="19" t="s">
        <v>37</v>
      </c>
      <c r="D1134" s="19" t="s">
        <v>51</v>
      </c>
      <c r="E1134" s="19" t="s">
        <v>196</v>
      </c>
      <c r="F1134" s="19" t="s">
        <v>58</v>
      </c>
      <c r="G1134" s="20">
        <f t="shared" ref="G1134:N1137" si="518">G1135</f>
        <v>67497.950000000012</v>
      </c>
      <c r="H1134" s="20">
        <f t="shared" si="518"/>
        <v>61526.090000000004</v>
      </c>
      <c r="I1134" s="20">
        <f t="shared" si="518"/>
        <v>61526.090000000004</v>
      </c>
      <c r="J1134" s="20">
        <f t="shared" si="518"/>
        <v>67497.950000000012</v>
      </c>
      <c r="K1134" s="16">
        <f t="shared" si="495"/>
        <v>0</v>
      </c>
      <c r="L1134" s="20">
        <f t="shared" si="518"/>
        <v>61526.090000000004</v>
      </c>
      <c r="M1134" s="16">
        <f t="shared" si="497"/>
        <v>0</v>
      </c>
      <c r="N1134" s="20">
        <f t="shared" si="518"/>
        <v>61526.090000000004</v>
      </c>
      <c r="O1134" s="16">
        <f t="shared" si="498"/>
        <v>0</v>
      </c>
    </row>
    <row r="1135" spans="1:15" s="3" customFormat="1">
      <c r="A1135" s="21" t="s">
        <v>88</v>
      </c>
      <c r="B1135" s="22" t="s">
        <v>5</v>
      </c>
      <c r="C1135" s="23" t="s">
        <v>37</v>
      </c>
      <c r="D1135" s="23" t="s">
        <v>25</v>
      </c>
      <c r="E1135" s="23" t="s">
        <v>196</v>
      </c>
      <c r="F1135" s="23" t="s">
        <v>58</v>
      </c>
      <c r="G1135" s="24">
        <f t="shared" si="518"/>
        <v>67497.950000000012</v>
      </c>
      <c r="H1135" s="24">
        <f t="shared" si="518"/>
        <v>61526.090000000004</v>
      </c>
      <c r="I1135" s="24">
        <f t="shared" si="518"/>
        <v>61526.090000000004</v>
      </c>
      <c r="J1135" s="24">
        <f t="shared" si="518"/>
        <v>67497.950000000012</v>
      </c>
      <c r="K1135" s="16">
        <f t="shared" si="495"/>
        <v>0</v>
      </c>
      <c r="L1135" s="24">
        <f t="shared" si="518"/>
        <v>61526.090000000004</v>
      </c>
      <c r="M1135" s="16">
        <f t="shared" si="497"/>
        <v>0</v>
      </c>
      <c r="N1135" s="24">
        <f t="shared" si="518"/>
        <v>61526.090000000004</v>
      </c>
      <c r="O1135" s="16">
        <f t="shared" si="498"/>
        <v>0</v>
      </c>
    </row>
    <row r="1136" spans="1:15" s="3" customFormat="1" ht="38.25">
      <c r="A1136" s="12" t="s">
        <v>722</v>
      </c>
      <c r="B1136" s="35" t="s">
        <v>5</v>
      </c>
      <c r="C1136" s="36" t="s">
        <v>37</v>
      </c>
      <c r="D1136" s="36" t="s">
        <v>25</v>
      </c>
      <c r="E1136" s="36" t="s">
        <v>300</v>
      </c>
      <c r="F1136" s="36" t="s">
        <v>58</v>
      </c>
      <c r="G1136" s="37">
        <f t="shared" si="518"/>
        <v>67497.950000000012</v>
      </c>
      <c r="H1136" s="37">
        <f t="shared" si="518"/>
        <v>61526.090000000004</v>
      </c>
      <c r="I1136" s="37">
        <f t="shared" si="518"/>
        <v>61526.090000000004</v>
      </c>
      <c r="J1136" s="37">
        <f t="shared" si="518"/>
        <v>67497.950000000012</v>
      </c>
      <c r="K1136" s="16">
        <f t="shared" si="495"/>
        <v>0</v>
      </c>
      <c r="L1136" s="37">
        <f t="shared" si="518"/>
        <v>61526.090000000004</v>
      </c>
      <c r="M1136" s="16">
        <f t="shared" si="497"/>
        <v>0</v>
      </c>
      <c r="N1136" s="37">
        <f t="shared" si="518"/>
        <v>61526.090000000004</v>
      </c>
      <c r="O1136" s="16">
        <f t="shared" si="498"/>
        <v>0</v>
      </c>
    </row>
    <row r="1137" spans="1:15" s="3" customFormat="1" ht="38.25">
      <c r="A1137" s="40" t="s">
        <v>729</v>
      </c>
      <c r="B1137" s="35" t="s">
        <v>5</v>
      </c>
      <c r="C1137" s="36" t="s">
        <v>37</v>
      </c>
      <c r="D1137" s="36" t="s">
        <v>25</v>
      </c>
      <c r="E1137" s="36" t="s">
        <v>301</v>
      </c>
      <c r="F1137" s="36" t="s">
        <v>58</v>
      </c>
      <c r="G1137" s="37">
        <f t="shared" si="518"/>
        <v>67497.950000000012</v>
      </c>
      <c r="H1137" s="37">
        <f t="shared" si="518"/>
        <v>61526.090000000004</v>
      </c>
      <c r="I1137" s="37">
        <f t="shared" si="518"/>
        <v>61526.090000000004</v>
      </c>
      <c r="J1137" s="37">
        <f t="shared" si="518"/>
        <v>67497.950000000012</v>
      </c>
      <c r="K1137" s="16">
        <f t="shared" si="495"/>
        <v>0</v>
      </c>
      <c r="L1137" s="37">
        <f t="shared" si="518"/>
        <v>61526.090000000004</v>
      </c>
      <c r="M1137" s="16">
        <f t="shared" si="497"/>
        <v>0</v>
      </c>
      <c r="N1137" s="37">
        <f t="shared" si="518"/>
        <v>61526.090000000004</v>
      </c>
      <c r="O1137" s="16">
        <f t="shared" si="498"/>
        <v>0</v>
      </c>
    </row>
    <row r="1138" spans="1:15" s="3" customFormat="1" ht="38.25">
      <c r="A1138" s="40" t="s">
        <v>644</v>
      </c>
      <c r="B1138" s="35" t="s">
        <v>5</v>
      </c>
      <c r="C1138" s="36" t="s">
        <v>37</v>
      </c>
      <c r="D1138" s="36" t="s">
        <v>25</v>
      </c>
      <c r="E1138" s="36" t="s">
        <v>302</v>
      </c>
      <c r="F1138" s="36" t="s">
        <v>58</v>
      </c>
      <c r="G1138" s="37">
        <f>G1145+G1139+G1142</f>
        <v>67497.950000000012</v>
      </c>
      <c r="H1138" s="37">
        <f>H1145+H1139+H1142</f>
        <v>61526.090000000004</v>
      </c>
      <c r="I1138" s="37">
        <f>I1145+I1139+I1142</f>
        <v>61526.090000000004</v>
      </c>
      <c r="J1138" s="37">
        <f>J1145+J1139+J1142</f>
        <v>67497.950000000012</v>
      </c>
      <c r="K1138" s="16">
        <f t="shared" si="495"/>
        <v>0</v>
      </c>
      <c r="L1138" s="37">
        <f>L1145+L1139+L1142</f>
        <v>61526.090000000004</v>
      </c>
      <c r="M1138" s="16">
        <f t="shared" si="497"/>
        <v>0</v>
      </c>
      <c r="N1138" s="37">
        <f>N1145+N1139+N1142</f>
        <v>61526.090000000004</v>
      </c>
      <c r="O1138" s="16">
        <f t="shared" si="498"/>
        <v>0</v>
      </c>
    </row>
    <row r="1139" spans="1:15" s="127" customFormat="1" ht="25.5">
      <c r="A1139" s="11" t="s">
        <v>493</v>
      </c>
      <c r="B1139" s="25" t="s">
        <v>5</v>
      </c>
      <c r="C1139" s="26" t="s">
        <v>37</v>
      </c>
      <c r="D1139" s="26" t="s">
        <v>25</v>
      </c>
      <c r="E1139" s="26" t="s">
        <v>494</v>
      </c>
      <c r="F1139" s="26" t="s">
        <v>58</v>
      </c>
      <c r="G1139" s="27">
        <f>G1140</f>
        <v>10668.7</v>
      </c>
      <c r="H1139" s="27">
        <f>H1140</f>
        <v>10379.76</v>
      </c>
      <c r="I1139" s="27">
        <f>I1140</f>
        <v>10379.76</v>
      </c>
      <c r="J1139" s="27">
        <f>J1140</f>
        <v>10668.7</v>
      </c>
      <c r="K1139" s="16">
        <f t="shared" si="495"/>
        <v>0</v>
      </c>
      <c r="L1139" s="27">
        <f>L1140</f>
        <v>10379.76</v>
      </c>
      <c r="M1139" s="16">
        <f t="shared" si="497"/>
        <v>0</v>
      </c>
      <c r="N1139" s="27">
        <f>N1140</f>
        <v>10379.76</v>
      </c>
      <c r="O1139" s="16">
        <f t="shared" si="498"/>
        <v>0</v>
      </c>
    </row>
    <row r="1140" spans="1:15" s="127" customFormat="1" ht="25.5">
      <c r="A1140" s="11" t="s">
        <v>108</v>
      </c>
      <c r="B1140" s="25" t="s">
        <v>5</v>
      </c>
      <c r="C1140" s="26" t="s">
        <v>37</v>
      </c>
      <c r="D1140" s="26" t="s">
        <v>25</v>
      </c>
      <c r="E1140" s="26" t="s">
        <v>494</v>
      </c>
      <c r="F1140" s="26" t="s">
        <v>116</v>
      </c>
      <c r="G1140" s="27">
        <f>G1141</f>
        <v>10668.7</v>
      </c>
      <c r="H1140" s="27">
        <f>H1141</f>
        <v>10379.76</v>
      </c>
      <c r="I1140" s="27">
        <f>I1141</f>
        <v>10379.76</v>
      </c>
      <c r="J1140" s="27">
        <f>10668.7</f>
        <v>10668.7</v>
      </c>
      <c r="K1140" s="16">
        <f t="shared" si="495"/>
        <v>0</v>
      </c>
      <c r="L1140" s="27">
        <f>10379.76</f>
        <v>10379.76</v>
      </c>
      <c r="M1140" s="16">
        <f t="shared" si="497"/>
        <v>0</v>
      </c>
      <c r="N1140" s="27">
        <f>10379.76</f>
        <v>10379.76</v>
      </c>
      <c r="O1140" s="16">
        <f t="shared" si="498"/>
        <v>0</v>
      </c>
    </row>
    <row r="1141" spans="1:15" s="4" customFormat="1" ht="25.5">
      <c r="A1141" s="12" t="s">
        <v>973</v>
      </c>
      <c r="B1141" s="25" t="s">
        <v>5</v>
      </c>
      <c r="C1141" s="26" t="s">
        <v>37</v>
      </c>
      <c r="D1141" s="26" t="s">
        <v>25</v>
      </c>
      <c r="E1141" s="26" t="s">
        <v>494</v>
      </c>
      <c r="F1141" s="26" t="s">
        <v>1043</v>
      </c>
      <c r="G1141" s="27">
        <f>10668.7</f>
        <v>10668.7</v>
      </c>
      <c r="H1141" s="27">
        <f>10379.76</f>
        <v>10379.76</v>
      </c>
      <c r="I1141" s="27">
        <f>10379.76</f>
        <v>10379.76</v>
      </c>
      <c r="J1141" s="80"/>
      <c r="K1141" s="16">
        <f t="shared" si="495"/>
        <v>-10668.7</v>
      </c>
      <c r="L1141" s="80"/>
      <c r="M1141" s="16">
        <f t="shared" si="497"/>
        <v>-10379.76</v>
      </c>
      <c r="N1141" s="80"/>
      <c r="O1141" s="16">
        <f t="shared" si="498"/>
        <v>-10379.76</v>
      </c>
    </row>
    <row r="1142" spans="1:15" s="127" customFormat="1" ht="63.75">
      <c r="A1142" s="11" t="s">
        <v>889</v>
      </c>
      <c r="B1142" s="25" t="s">
        <v>5</v>
      </c>
      <c r="C1142" s="26" t="s">
        <v>37</v>
      </c>
      <c r="D1142" s="26" t="s">
        <v>25</v>
      </c>
      <c r="E1142" s="26" t="s">
        <v>834</v>
      </c>
      <c r="F1142" s="26" t="s">
        <v>58</v>
      </c>
      <c r="G1142" s="27">
        <f>G1143</f>
        <v>14389.29</v>
      </c>
      <c r="H1142" s="27">
        <f t="shared" ref="H1142:H1143" si="519">H1143</f>
        <v>0</v>
      </c>
      <c r="I1142" s="27">
        <f t="shared" ref="I1142:I1143" si="520">I1143</f>
        <v>0</v>
      </c>
      <c r="J1142" s="27">
        <f>J1143</f>
        <v>14389.29</v>
      </c>
      <c r="K1142" s="16">
        <f t="shared" si="495"/>
        <v>0</v>
      </c>
      <c r="L1142" s="27">
        <f t="shared" ref="L1142:N1142" si="521">L1143</f>
        <v>0</v>
      </c>
      <c r="M1142" s="16">
        <f t="shared" si="497"/>
        <v>0</v>
      </c>
      <c r="N1142" s="27">
        <f t="shared" si="521"/>
        <v>0</v>
      </c>
      <c r="O1142" s="16">
        <f t="shared" si="498"/>
        <v>0</v>
      </c>
    </row>
    <row r="1143" spans="1:15" s="127" customFormat="1" ht="25.5">
      <c r="A1143" s="11" t="s">
        <v>108</v>
      </c>
      <c r="B1143" s="25" t="s">
        <v>5</v>
      </c>
      <c r="C1143" s="26" t="s">
        <v>37</v>
      </c>
      <c r="D1143" s="26" t="s">
        <v>25</v>
      </c>
      <c r="E1143" s="26" t="s">
        <v>834</v>
      </c>
      <c r="F1143" s="26" t="s">
        <v>116</v>
      </c>
      <c r="G1143" s="27">
        <f>G1144</f>
        <v>14389.29</v>
      </c>
      <c r="H1143" s="27">
        <f t="shared" si="519"/>
        <v>0</v>
      </c>
      <c r="I1143" s="27">
        <f t="shared" si="520"/>
        <v>0</v>
      </c>
      <c r="J1143" s="27">
        <f>14389.29</f>
        <v>14389.29</v>
      </c>
      <c r="K1143" s="16">
        <f t="shared" si="495"/>
        <v>0</v>
      </c>
      <c r="L1143" s="27">
        <v>0</v>
      </c>
      <c r="M1143" s="16">
        <f t="shared" si="497"/>
        <v>0</v>
      </c>
      <c r="N1143" s="27">
        <v>0</v>
      </c>
      <c r="O1143" s="16">
        <f t="shared" si="498"/>
        <v>0</v>
      </c>
    </row>
    <row r="1144" spans="1:15" s="4" customFormat="1" ht="25.5">
      <c r="A1144" s="12" t="s">
        <v>973</v>
      </c>
      <c r="B1144" s="25" t="s">
        <v>5</v>
      </c>
      <c r="C1144" s="26" t="s">
        <v>37</v>
      </c>
      <c r="D1144" s="26" t="s">
        <v>25</v>
      </c>
      <c r="E1144" s="26" t="s">
        <v>834</v>
      </c>
      <c r="F1144" s="26" t="s">
        <v>1043</v>
      </c>
      <c r="G1144" s="27">
        <f>14389.29</f>
        <v>14389.29</v>
      </c>
      <c r="H1144" s="27">
        <v>0</v>
      </c>
      <c r="I1144" s="27">
        <v>0</v>
      </c>
      <c r="J1144" s="80"/>
      <c r="K1144" s="16">
        <f t="shared" si="495"/>
        <v>-14389.29</v>
      </c>
      <c r="L1144" s="80"/>
      <c r="M1144" s="16">
        <f t="shared" si="497"/>
        <v>0</v>
      </c>
      <c r="N1144" s="80"/>
      <c r="O1144" s="16">
        <f t="shared" si="498"/>
        <v>0</v>
      </c>
    </row>
    <row r="1145" spans="1:15" s="3" customFormat="1" ht="25.5">
      <c r="A1145" s="11" t="s">
        <v>902</v>
      </c>
      <c r="B1145" s="25" t="s">
        <v>5</v>
      </c>
      <c r="C1145" s="26" t="s">
        <v>37</v>
      </c>
      <c r="D1145" s="26" t="s">
        <v>25</v>
      </c>
      <c r="E1145" s="26" t="s">
        <v>909</v>
      </c>
      <c r="F1145" s="26" t="s">
        <v>58</v>
      </c>
      <c r="G1145" s="27">
        <f>G1146</f>
        <v>42439.96</v>
      </c>
      <c r="H1145" s="27">
        <f>H1146</f>
        <v>51146.33</v>
      </c>
      <c r="I1145" s="27">
        <f>I1146</f>
        <v>51146.33</v>
      </c>
      <c r="J1145" s="27">
        <f>J1146</f>
        <v>42439.96</v>
      </c>
      <c r="K1145" s="16">
        <f t="shared" si="495"/>
        <v>0</v>
      </c>
      <c r="L1145" s="27">
        <f>L1146</f>
        <v>51146.33</v>
      </c>
      <c r="M1145" s="16">
        <f t="shared" si="497"/>
        <v>0</v>
      </c>
      <c r="N1145" s="27">
        <f>N1146</f>
        <v>51146.33</v>
      </c>
      <c r="O1145" s="16">
        <f t="shared" si="498"/>
        <v>0</v>
      </c>
    </row>
    <row r="1146" spans="1:15" s="3" customFormat="1" ht="25.5">
      <c r="A1146" s="11" t="s">
        <v>108</v>
      </c>
      <c r="B1146" s="25" t="s">
        <v>5</v>
      </c>
      <c r="C1146" s="26" t="s">
        <v>37</v>
      </c>
      <c r="D1146" s="26" t="s">
        <v>25</v>
      </c>
      <c r="E1146" s="26" t="s">
        <v>909</v>
      </c>
      <c r="F1146" s="26" t="s">
        <v>116</v>
      </c>
      <c r="G1146" s="27">
        <f>G1147</f>
        <v>42439.96</v>
      </c>
      <c r="H1146" s="27">
        <f t="shared" ref="H1146:I1146" si="522">H1147</f>
        <v>51146.33</v>
      </c>
      <c r="I1146" s="27">
        <f t="shared" si="522"/>
        <v>51146.33</v>
      </c>
      <c r="J1146" s="27">
        <f>56829.25-14389.29</f>
        <v>42439.96</v>
      </c>
      <c r="K1146" s="16">
        <f t="shared" ref="K1146:K1210" si="523">J1146-G1146</f>
        <v>0</v>
      </c>
      <c r="L1146" s="27">
        <f>51146.33</f>
        <v>51146.33</v>
      </c>
      <c r="M1146" s="16">
        <f t="shared" ref="M1146:M1210" si="524">L1146-H1146</f>
        <v>0</v>
      </c>
      <c r="N1146" s="27">
        <f>51146.33</f>
        <v>51146.33</v>
      </c>
      <c r="O1146" s="16">
        <f t="shared" ref="O1146:O1210" si="525">N1146-I1146</f>
        <v>0</v>
      </c>
    </row>
    <row r="1147" spans="1:15" s="4" customFormat="1" ht="25.5">
      <c r="A1147" s="12" t="s">
        <v>973</v>
      </c>
      <c r="B1147" s="25" t="s">
        <v>5</v>
      </c>
      <c r="C1147" s="26" t="s">
        <v>37</v>
      </c>
      <c r="D1147" s="26" t="s">
        <v>25</v>
      </c>
      <c r="E1147" s="26" t="s">
        <v>909</v>
      </c>
      <c r="F1147" s="26" t="s">
        <v>1043</v>
      </c>
      <c r="G1147" s="27">
        <f>56829.25-14389.29</f>
        <v>42439.96</v>
      </c>
      <c r="H1147" s="27">
        <f>51146.33</f>
        <v>51146.33</v>
      </c>
      <c r="I1147" s="27">
        <f>51146.33</f>
        <v>51146.33</v>
      </c>
      <c r="J1147" s="80"/>
      <c r="K1147" s="16">
        <f t="shared" si="523"/>
        <v>-42439.96</v>
      </c>
      <c r="L1147" s="80"/>
      <c r="M1147" s="16">
        <f t="shared" si="524"/>
        <v>-51146.33</v>
      </c>
      <c r="N1147" s="80"/>
      <c r="O1147" s="16">
        <f t="shared" si="525"/>
        <v>-51146.33</v>
      </c>
    </row>
    <row r="1148" spans="1:15" s="130" customFormat="1">
      <c r="A1148" s="17" t="s">
        <v>7</v>
      </c>
      <c r="B1148" s="18" t="s">
        <v>5</v>
      </c>
      <c r="C1148" s="19" t="s">
        <v>8</v>
      </c>
      <c r="D1148" s="19" t="s">
        <v>51</v>
      </c>
      <c r="E1148" s="19" t="s">
        <v>196</v>
      </c>
      <c r="F1148" s="19" t="s">
        <v>58</v>
      </c>
      <c r="G1148" s="20">
        <f>G1149+G1157</f>
        <v>20783.350000000002</v>
      </c>
      <c r="H1148" s="20">
        <f>H1149+H1157</f>
        <v>20312.969999999998</v>
      </c>
      <c r="I1148" s="20">
        <f>I1149+I1157</f>
        <v>20312.969999999998</v>
      </c>
      <c r="J1148" s="20">
        <f>J1149+J1157</f>
        <v>20783.350000000002</v>
      </c>
      <c r="K1148" s="129">
        <f t="shared" si="523"/>
        <v>0</v>
      </c>
      <c r="L1148" s="20">
        <f>L1149+L1157</f>
        <v>20312.969999999998</v>
      </c>
      <c r="M1148" s="129">
        <f t="shared" si="524"/>
        <v>0</v>
      </c>
      <c r="N1148" s="20">
        <f>N1149+N1157</f>
        <v>20312.969999999998</v>
      </c>
      <c r="O1148" s="129">
        <f t="shared" si="525"/>
        <v>0</v>
      </c>
    </row>
    <row r="1149" spans="1:15" s="3" customFormat="1">
      <c r="A1149" s="21" t="s">
        <v>9</v>
      </c>
      <c r="B1149" s="22" t="s">
        <v>5</v>
      </c>
      <c r="C1149" s="23" t="s">
        <v>8</v>
      </c>
      <c r="D1149" s="23" t="s">
        <v>65</v>
      </c>
      <c r="E1149" s="23" t="s">
        <v>196</v>
      </c>
      <c r="F1149" s="23" t="s">
        <v>58</v>
      </c>
      <c r="G1149" s="24">
        <f t="shared" ref="G1149:N1153" si="526">G1150</f>
        <v>1601.73</v>
      </c>
      <c r="H1149" s="24">
        <f t="shared" si="526"/>
        <v>1635.85</v>
      </c>
      <c r="I1149" s="24">
        <f t="shared" si="526"/>
        <v>1635.85</v>
      </c>
      <c r="J1149" s="24">
        <f t="shared" si="526"/>
        <v>1601.73</v>
      </c>
      <c r="K1149" s="16">
        <f t="shared" si="523"/>
        <v>0</v>
      </c>
      <c r="L1149" s="24">
        <f t="shared" si="526"/>
        <v>1635.85</v>
      </c>
      <c r="M1149" s="16">
        <f t="shared" si="524"/>
        <v>0</v>
      </c>
      <c r="N1149" s="24">
        <f t="shared" si="526"/>
        <v>1635.85</v>
      </c>
      <c r="O1149" s="16">
        <f t="shared" si="525"/>
        <v>0</v>
      </c>
    </row>
    <row r="1150" spans="1:15" s="3" customFormat="1" ht="38.25">
      <c r="A1150" s="11" t="s">
        <v>722</v>
      </c>
      <c r="B1150" s="25" t="s">
        <v>5</v>
      </c>
      <c r="C1150" s="26" t="s">
        <v>8</v>
      </c>
      <c r="D1150" s="26" t="s">
        <v>65</v>
      </c>
      <c r="E1150" s="26" t="s">
        <v>300</v>
      </c>
      <c r="F1150" s="26" t="s">
        <v>58</v>
      </c>
      <c r="G1150" s="27">
        <f t="shared" si="526"/>
        <v>1601.73</v>
      </c>
      <c r="H1150" s="27">
        <f t="shared" si="526"/>
        <v>1635.85</v>
      </c>
      <c r="I1150" s="27">
        <f t="shared" si="526"/>
        <v>1635.85</v>
      </c>
      <c r="J1150" s="27">
        <f t="shared" si="526"/>
        <v>1601.73</v>
      </c>
      <c r="K1150" s="16">
        <f t="shared" si="523"/>
        <v>0</v>
      </c>
      <c r="L1150" s="27">
        <f t="shared" si="526"/>
        <v>1635.85</v>
      </c>
      <c r="M1150" s="16">
        <f t="shared" si="524"/>
        <v>0</v>
      </c>
      <c r="N1150" s="27">
        <f t="shared" si="526"/>
        <v>1635.85</v>
      </c>
      <c r="O1150" s="16">
        <f t="shared" si="525"/>
        <v>0</v>
      </c>
    </row>
    <row r="1151" spans="1:15" s="3" customFormat="1" ht="25.5">
      <c r="A1151" s="13" t="s">
        <v>155</v>
      </c>
      <c r="B1151" s="25" t="s">
        <v>5</v>
      </c>
      <c r="C1151" s="26" t="s">
        <v>8</v>
      </c>
      <c r="D1151" s="26" t="s">
        <v>65</v>
      </c>
      <c r="E1151" s="26" t="s">
        <v>495</v>
      </c>
      <c r="F1151" s="26" t="s">
        <v>58</v>
      </c>
      <c r="G1151" s="27">
        <f t="shared" si="526"/>
        <v>1601.73</v>
      </c>
      <c r="H1151" s="27">
        <f t="shared" si="526"/>
        <v>1635.85</v>
      </c>
      <c r="I1151" s="27">
        <f t="shared" si="526"/>
        <v>1635.85</v>
      </c>
      <c r="J1151" s="27">
        <f t="shared" si="526"/>
        <v>1601.73</v>
      </c>
      <c r="K1151" s="16">
        <f t="shared" si="523"/>
        <v>0</v>
      </c>
      <c r="L1151" s="27">
        <f t="shared" si="526"/>
        <v>1635.85</v>
      </c>
      <c r="M1151" s="16">
        <f t="shared" si="524"/>
        <v>0</v>
      </c>
      <c r="N1151" s="27">
        <f t="shared" si="526"/>
        <v>1635.85</v>
      </c>
      <c r="O1151" s="16">
        <f t="shared" si="525"/>
        <v>0</v>
      </c>
    </row>
    <row r="1152" spans="1:15" s="3" customFormat="1" ht="38.25">
      <c r="A1152" s="13" t="s">
        <v>496</v>
      </c>
      <c r="B1152" s="25" t="s">
        <v>5</v>
      </c>
      <c r="C1152" s="26" t="s">
        <v>8</v>
      </c>
      <c r="D1152" s="26" t="s">
        <v>65</v>
      </c>
      <c r="E1152" s="26" t="s">
        <v>497</v>
      </c>
      <c r="F1152" s="26" t="s">
        <v>58</v>
      </c>
      <c r="G1152" s="27">
        <f>G1153</f>
        <v>1601.73</v>
      </c>
      <c r="H1152" s="27">
        <f t="shared" si="526"/>
        <v>1635.85</v>
      </c>
      <c r="I1152" s="27">
        <f t="shared" si="526"/>
        <v>1635.85</v>
      </c>
      <c r="J1152" s="27">
        <f>J1153</f>
        <v>1601.73</v>
      </c>
      <c r="K1152" s="16">
        <f t="shared" si="523"/>
        <v>0</v>
      </c>
      <c r="L1152" s="27">
        <f t="shared" si="526"/>
        <v>1635.85</v>
      </c>
      <c r="M1152" s="16">
        <f t="shared" si="524"/>
        <v>0</v>
      </c>
      <c r="N1152" s="27">
        <f t="shared" si="526"/>
        <v>1635.85</v>
      </c>
      <c r="O1152" s="16">
        <f t="shared" si="525"/>
        <v>0</v>
      </c>
    </row>
    <row r="1153" spans="1:15" s="3" customFormat="1" ht="25.5">
      <c r="A1153" s="11" t="s">
        <v>148</v>
      </c>
      <c r="B1153" s="25" t="s">
        <v>5</v>
      </c>
      <c r="C1153" s="26" t="s">
        <v>8</v>
      </c>
      <c r="D1153" s="26" t="s">
        <v>65</v>
      </c>
      <c r="E1153" s="26" t="s">
        <v>498</v>
      </c>
      <c r="F1153" s="26" t="s">
        <v>58</v>
      </c>
      <c r="G1153" s="27">
        <f t="shared" si="526"/>
        <v>1601.73</v>
      </c>
      <c r="H1153" s="27">
        <f t="shared" si="526"/>
        <v>1635.85</v>
      </c>
      <c r="I1153" s="27">
        <f t="shared" si="526"/>
        <v>1635.85</v>
      </c>
      <c r="J1153" s="27">
        <f t="shared" si="526"/>
        <v>1601.73</v>
      </c>
      <c r="K1153" s="16">
        <f t="shared" si="523"/>
        <v>0</v>
      </c>
      <c r="L1153" s="27">
        <f t="shared" si="526"/>
        <v>1635.85</v>
      </c>
      <c r="M1153" s="16">
        <f t="shared" si="524"/>
        <v>0</v>
      </c>
      <c r="N1153" s="27">
        <f t="shared" si="526"/>
        <v>1635.85</v>
      </c>
      <c r="O1153" s="16">
        <f t="shared" si="525"/>
        <v>0</v>
      </c>
    </row>
    <row r="1154" spans="1:15" s="3" customFormat="1" ht="25.5">
      <c r="A1154" s="11" t="s">
        <v>108</v>
      </c>
      <c r="B1154" s="25" t="s">
        <v>5</v>
      </c>
      <c r="C1154" s="26" t="s">
        <v>8</v>
      </c>
      <c r="D1154" s="26" t="s">
        <v>65</v>
      </c>
      <c r="E1154" s="26" t="s">
        <v>498</v>
      </c>
      <c r="F1154" s="26" t="s">
        <v>116</v>
      </c>
      <c r="G1154" s="27">
        <f>SUM(G1155:G1156)</f>
        <v>1601.73</v>
      </c>
      <c r="H1154" s="27">
        <f t="shared" ref="H1154:I1154" si="527">SUM(H1155:H1156)</f>
        <v>1635.85</v>
      </c>
      <c r="I1154" s="27">
        <f t="shared" si="527"/>
        <v>1635.85</v>
      </c>
      <c r="J1154" s="27">
        <f>1601.73</f>
        <v>1601.73</v>
      </c>
      <c r="K1154" s="16">
        <f t="shared" si="523"/>
        <v>0</v>
      </c>
      <c r="L1154" s="27">
        <f>1635.85</f>
        <v>1635.85</v>
      </c>
      <c r="M1154" s="16">
        <f t="shared" si="524"/>
        <v>0</v>
      </c>
      <c r="N1154" s="27">
        <f>1635.85</f>
        <v>1635.85</v>
      </c>
      <c r="O1154" s="16">
        <f t="shared" si="525"/>
        <v>0</v>
      </c>
    </row>
    <row r="1155" spans="1:15" s="3" customFormat="1">
      <c r="A1155" s="11"/>
      <c r="B1155" s="25" t="s">
        <v>5</v>
      </c>
      <c r="C1155" s="26" t="s">
        <v>8</v>
      </c>
      <c r="D1155" s="26" t="s">
        <v>65</v>
      </c>
      <c r="E1155" s="26" t="s">
        <v>498</v>
      </c>
      <c r="F1155" s="26" t="s">
        <v>1070</v>
      </c>
      <c r="G1155" s="27">
        <v>501.73</v>
      </c>
      <c r="H1155" s="27">
        <v>535.85</v>
      </c>
      <c r="I1155" s="27">
        <v>535.85</v>
      </c>
      <c r="J1155" s="27"/>
      <c r="K1155" s="16"/>
      <c r="L1155" s="27"/>
      <c r="M1155" s="16"/>
      <c r="N1155" s="27"/>
      <c r="O1155" s="16"/>
    </row>
    <row r="1156" spans="1:15" s="3" customFormat="1" ht="25.5">
      <c r="A1156" s="12" t="s">
        <v>973</v>
      </c>
      <c r="B1156" s="25" t="s">
        <v>5</v>
      </c>
      <c r="C1156" s="26" t="s">
        <v>8</v>
      </c>
      <c r="D1156" s="26" t="s">
        <v>65</v>
      </c>
      <c r="E1156" s="26" t="s">
        <v>498</v>
      </c>
      <c r="F1156" s="26" t="s">
        <v>1043</v>
      </c>
      <c r="G1156" s="27">
        <v>1100</v>
      </c>
      <c r="H1156" s="27">
        <v>1100</v>
      </c>
      <c r="I1156" s="27">
        <v>1100</v>
      </c>
      <c r="J1156" s="27"/>
      <c r="K1156" s="16">
        <f t="shared" si="523"/>
        <v>-1100</v>
      </c>
      <c r="L1156" s="27"/>
      <c r="M1156" s="16">
        <f t="shared" si="524"/>
        <v>-1100</v>
      </c>
      <c r="N1156" s="27"/>
      <c r="O1156" s="16">
        <f t="shared" si="525"/>
        <v>-1100</v>
      </c>
    </row>
    <row r="1157" spans="1:15" s="3" customFormat="1">
      <c r="A1157" s="21" t="s">
        <v>1</v>
      </c>
      <c r="B1157" s="22" t="s">
        <v>5</v>
      </c>
      <c r="C1157" s="23" t="s">
        <v>8</v>
      </c>
      <c r="D1157" s="23" t="s">
        <v>53</v>
      </c>
      <c r="E1157" s="23" t="s">
        <v>196</v>
      </c>
      <c r="F1157" s="23" t="s">
        <v>58</v>
      </c>
      <c r="G1157" s="24">
        <f t="shared" ref="G1157:N1159" si="528">G1158</f>
        <v>19181.620000000003</v>
      </c>
      <c r="H1157" s="24">
        <f t="shared" si="528"/>
        <v>18677.12</v>
      </c>
      <c r="I1157" s="24">
        <f t="shared" si="528"/>
        <v>18677.12</v>
      </c>
      <c r="J1157" s="24">
        <f t="shared" si="528"/>
        <v>19181.620000000003</v>
      </c>
      <c r="K1157" s="16">
        <f t="shared" si="523"/>
        <v>0</v>
      </c>
      <c r="L1157" s="24">
        <f t="shared" si="528"/>
        <v>18677.12</v>
      </c>
      <c r="M1157" s="16">
        <f t="shared" si="524"/>
        <v>0</v>
      </c>
      <c r="N1157" s="24">
        <f t="shared" si="528"/>
        <v>18677.12</v>
      </c>
      <c r="O1157" s="16">
        <f t="shared" si="525"/>
        <v>0</v>
      </c>
    </row>
    <row r="1158" spans="1:15" s="3" customFormat="1" ht="38.25">
      <c r="A1158" s="12" t="s">
        <v>722</v>
      </c>
      <c r="B1158" s="35" t="s">
        <v>5</v>
      </c>
      <c r="C1158" s="36" t="s">
        <v>8</v>
      </c>
      <c r="D1158" s="36" t="s">
        <v>53</v>
      </c>
      <c r="E1158" s="36" t="s">
        <v>300</v>
      </c>
      <c r="F1158" s="36" t="s">
        <v>58</v>
      </c>
      <c r="G1158" s="37">
        <f t="shared" si="528"/>
        <v>19181.620000000003</v>
      </c>
      <c r="H1158" s="37">
        <f t="shared" si="528"/>
        <v>18677.12</v>
      </c>
      <c r="I1158" s="37">
        <f t="shared" si="528"/>
        <v>18677.12</v>
      </c>
      <c r="J1158" s="37">
        <f t="shared" si="528"/>
        <v>19181.620000000003</v>
      </c>
      <c r="K1158" s="16">
        <f t="shared" si="523"/>
        <v>0</v>
      </c>
      <c r="L1158" s="37">
        <f t="shared" si="528"/>
        <v>18677.12</v>
      </c>
      <c r="M1158" s="16">
        <f t="shared" si="524"/>
        <v>0</v>
      </c>
      <c r="N1158" s="37">
        <f t="shared" si="528"/>
        <v>18677.12</v>
      </c>
      <c r="O1158" s="16">
        <f t="shared" si="525"/>
        <v>0</v>
      </c>
    </row>
    <row r="1159" spans="1:15" s="3" customFormat="1">
      <c r="A1159" s="40" t="s">
        <v>142</v>
      </c>
      <c r="B1159" s="35" t="s">
        <v>5</v>
      </c>
      <c r="C1159" s="36" t="s">
        <v>8</v>
      </c>
      <c r="D1159" s="36" t="s">
        <v>53</v>
      </c>
      <c r="E1159" s="36" t="s">
        <v>453</v>
      </c>
      <c r="F1159" s="36" t="s">
        <v>58</v>
      </c>
      <c r="G1159" s="37">
        <f t="shared" si="528"/>
        <v>19181.620000000003</v>
      </c>
      <c r="H1159" s="37">
        <f t="shared" si="528"/>
        <v>18677.12</v>
      </c>
      <c r="I1159" s="37">
        <f t="shared" si="528"/>
        <v>18677.12</v>
      </c>
      <c r="J1159" s="37">
        <f t="shared" si="528"/>
        <v>19181.620000000003</v>
      </c>
      <c r="K1159" s="16">
        <f t="shared" si="523"/>
        <v>0</v>
      </c>
      <c r="L1159" s="37">
        <f t="shared" si="528"/>
        <v>18677.12</v>
      </c>
      <c r="M1159" s="16">
        <f t="shared" si="524"/>
        <v>0</v>
      </c>
      <c r="N1159" s="37">
        <f t="shared" si="528"/>
        <v>18677.12</v>
      </c>
      <c r="O1159" s="16">
        <f t="shared" si="525"/>
        <v>0</v>
      </c>
    </row>
    <row r="1160" spans="1:15" s="3" customFormat="1" ht="25.5">
      <c r="A1160" s="40" t="s">
        <v>454</v>
      </c>
      <c r="B1160" s="35" t="s">
        <v>5</v>
      </c>
      <c r="C1160" s="36" t="s">
        <v>8</v>
      </c>
      <c r="D1160" s="36" t="s">
        <v>53</v>
      </c>
      <c r="E1160" s="26" t="s">
        <v>645</v>
      </c>
      <c r="F1160" s="36" t="s">
        <v>58</v>
      </c>
      <c r="G1160" s="37">
        <f>G1161+G1164+G1167</f>
        <v>19181.620000000003</v>
      </c>
      <c r="H1160" s="37">
        <f>H1161+H1164+H1167</f>
        <v>18677.12</v>
      </c>
      <c r="I1160" s="37">
        <f>I1161+I1164+I1167</f>
        <v>18677.12</v>
      </c>
      <c r="J1160" s="37">
        <f>J1161+J1164+J1167</f>
        <v>19181.620000000003</v>
      </c>
      <c r="K1160" s="16">
        <f t="shared" si="523"/>
        <v>0</v>
      </c>
      <c r="L1160" s="37">
        <f>L1161+L1164+L1167</f>
        <v>18677.12</v>
      </c>
      <c r="M1160" s="16">
        <f t="shared" si="524"/>
        <v>0</v>
      </c>
      <c r="N1160" s="37">
        <f>N1161+N1164+N1167</f>
        <v>18677.12</v>
      </c>
      <c r="O1160" s="16">
        <f t="shared" si="525"/>
        <v>0</v>
      </c>
    </row>
    <row r="1161" spans="1:15" s="3" customFormat="1" ht="25.5">
      <c r="A1161" s="11" t="s">
        <v>158</v>
      </c>
      <c r="B1161" s="35" t="s">
        <v>5</v>
      </c>
      <c r="C1161" s="36" t="s">
        <v>8</v>
      </c>
      <c r="D1161" s="36" t="s">
        <v>53</v>
      </c>
      <c r="E1161" s="36" t="s">
        <v>646</v>
      </c>
      <c r="F1161" s="36" t="s">
        <v>58</v>
      </c>
      <c r="G1161" s="37">
        <f>G1162</f>
        <v>8659.19</v>
      </c>
      <c r="H1161" s="37">
        <f>H1162</f>
        <v>8259.32</v>
      </c>
      <c r="I1161" s="37">
        <f>I1162</f>
        <v>8259.32</v>
      </c>
      <c r="J1161" s="37">
        <f>J1162</f>
        <v>8659.19</v>
      </c>
      <c r="K1161" s="16">
        <f t="shared" si="523"/>
        <v>0</v>
      </c>
      <c r="L1161" s="37">
        <f>L1162</f>
        <v>8259.32</v>
      </c>
      <c r="M1161" s="16">
        <f t="shared" si="524"/>
        <v>0</v>
      </c>
      <c r="N1161" s="37">
        <f>N1162</f>
        <v>8259.32</v>
      </c>
      <c r="O1161" s="16">
        <f t="shared" si="525"/>
        <v>0</v>
      </c>
    </row>
    <row r="1162" spans="1:15" s="3" customFormat="1" ht="25.5">
      <c r="A1162" s="11" t="s">
        <v>108</v>
      </c>
      <c r="B1162" s="35" t="s">
        <v>5</v>
      </c>
      <c r="C1162" s="36" t="s">
        <v>8</v>
      </c>
      <c r="D1162" s="36" t="s">
        <v>53</v>
      </c>
      <c r="E1162" s="36" t="s">
        <v>646</v>
      </c>
      <c r="F1162" s="36" t="s">
        <v>116</v>
      </c>
      <c r="G1162" s="37">
        <f>G1163</f>
        <v>8659.19</v>
      </c>
      <c r="H1162" s="37">
        <f t="shared" ref="H1162:I1162" si="529">H1163</f>
        <v>8259.32</v>
      </c>
      <c r="I1162" s="37">
        <f t="shared" si="529"/>
        <v>8259.32</v>
      </c>
      <c r="J1162" s="37">
        <f>8659.19</f>
        <v>8659.19</v>
      </c>
      <c r="K1162" s="16">
        <f t="shared" si="523"/>
        <v>0</v>
      </c>
      <c r="L1162" s="37">
        <f>8259.32</f>
        <v>8259.32</v>
      </c>
      <c r="M1162" s="16">
        <f t="shared" si="524"/>
        <v>0</v>
      </c>
      <c r="N1162" s="37">
        <f>8259.32</f>
        <v>8259.32</v>
      </c>
      <c r="O1162" s="16">
        <f t="shared" si="525"/>
        <v>0</v>
      </c>
    </row>
    <row r="1163" spans="1:15" s="4" customFormat="1" ht="25.5">
      <c r="A1163" s="12" t="s">
        <v>973</v>
      </c>
      <c r="B1163" s="35" t="s">
        <v>5</v>
      </c>
      <c r="C1163" s="36" t="s">
        <v>8</v>
      </c>
      <c r="D1163" s="36" t="s">
        <v>53</v>
      </c>
      <c r="E1163" s="36" t="s">
        <v>646</v>
      </c>
      <c r="F1163" s="36" t="s">
        <v>1043</v>
      </c>
      <c r="G1163" s="37">
        <f>8659.19</f>
        <v>8659.19</v>
      </c>
      <c r="H1163" s="37">
        <f>8259.32</f>
        <v>8259.32</v>
      </c>
      <c r="I1163" s="37">
        <f>8259.32</f>
        <v>8259.32</v>
      </c>
      <c r="J1163" s="80"/>
      <c r="K1163" s="16">
        <f t="shared" si="523"/>
        <v>-8659.19</v>
      </c>
      <c r="L1163" s="80"/>
      <c r="M1163" s="16">
        <f t="shared" si="524"/>
        <v>-8259.32</v>
      </c>
      <c r="N1163" s="80"/>
      <c r="O1163" s="16">
        <f t="shared" si="525"/>
        <v>-8259.32</v>
      </c>
    </row>
    <row r="1164" spans="1:15" s="3" customFormat="1">
      <c r="A1164" s="12" t="s">
        <v>890</v>
      </c>
      <c r="B1164" s="35" t="s">
        <v>5</v>
      </c>
      <c r="C1164" s="36" t="s">
        <v>8</v>
      </c>
      <c r="D1164" s="36" t="s">
        <v>53</v>
      </c>
      <c r="E1164" s="36" t="s">
        <v>910</v>
      </c>
      <c r="F1164" s="36" t="s">
        <v>58</v>
      </c>
      <c r="G1164" s="37">
        <f>G1165</f>
        <v>1046.3499999999999</v>
      </c>
      <c r="H1164" s="37">
        <f>H1165</f>
        <v>941.72</v>
      </c>
      <c r="I1164" s="37">
        <f>I1165</f>
        <v>941.72</v>
      </c>
      <c r="J1164" s="37">
        <f>J1165</f>
        <v>1046.3499999999999</v>
      </c>
      <c r="K1164" s="16">
        <f t="shared" si="523"/>
        <v>0</v>
      </c>
      <c r="L1164" s="37">
        <f>L1165</f>
        <v>941.72</v>
      </c>
      <c r="M1164" s="16">
        <f t="shared" si="524"/>
        <v>0</v>
      </c>
      <c r="N1164" s="37">
        <f>N1165</f>
        <v>941.72</v>
      </c>
      <c r="O1164" s="16">
        <f t="shared" si="525"/>
        <v>0</v>
      </c>
    </row>
    <row r="1165" spans="1:15" s="3" customFormat="1" ht="25.5">
      <c r="A1165" s="11" t="s">
        <v>108</v>
      </c>
      <c r="B1165" s="35" t="s">
        <v>5</v>
      </c>
      <c r="C1165" s="36" t="s">
        <v>8</v>
      </c>
      <c r="D1165" s="36" t="s">
        <v>53</v>
      </c>
      <c r="E1165" s="36" t="s">
        <v>910</v>
      </c>
      <c r="F1165" s="36" t="s">
        <v>116</v>
      </c>
      <c r="G1165" s="37">
        <f>G1166</f>
        <v>1046.3499999999999</v>
      </c>
      <c r="H1165" s="37">
        <f t="shared" ref="H1165:I1165" si="530">H1166</f>
        <v>941.72</v>
      </c>
      <c r="I1165" s="37">
        <f t="shared" si="530"/>
        <v>941.72</v>
      </c>
      <c r="J1165" s="37">
        <f>1046.35</f>
        <v>1046.3499999999999</v>
      </c>
      <c r="K1165" s="16">
        <f t="shared" si="523"/>
        <v>0</v>
      </c>
      <c r="L1165" s="37">
        <f>941.72</f>
        <v>941.72</v>
      </c>
      <c r="M1165" s="16">
        <f t="shared" si="524"/>
        <v>0</v>
      </c>
      <c r="N1165" s="37">
        <f>941.72</f>
        <v>941.72</v>
      </c>
      <c r="O1165" s="16">
        <f t="shared" si="525"/>
        <v>0</v>
      </c>
    </row>
    <row r="1166" spans="1:15" s="4" customFormat="1" ht="25.5">
      <c r="A1166" s="12" t="s">
        <v>973</v>
      </c>
      <c r="B1166" s="35" t="s">
        <v>5</v>
      </c>
      <c r="C1166" s="36" t="s">
        <v>8</v>
      </c>
      <c r="D1166" s="36" t="s">
        <v>53</v>
      </c>
      <c r="E1166" s="36" t="s">
        <v>910</v>
      </c>
      <c r="F1166" s="36" t="s">
        <v>1043</v>
      </c>
      <c r="G1166" s="37">
        <f>1046.35</f>
        <v>1046.3499999999999</v>
      </c>
      <c r="H1166" s="37">
        <f>941.72</f>
        <v>941.72</v>
      </c>
      <c r="I1166" s="37">
        <f>941.72</f>
        <v>941.72</v>
      </c>
      <c r="J1166" s="80"/>
      <c r="K1166" s="16">
        <f t="shared" si="523"/>
        <v>-1046.3499999999999</v>
      </c>
      <c r="L1166" s="80"/>
      <c r="M1166" s="16">
        <f t="shared" si="524"/>
        <v>-941.72</v>
      </c>
      <c r="N1166" s="80"/>
      <c r="O1166" s="16">
        <f t="shared" si="525"/>
        <v>-941.72</v>
      </c>
    </row>
    <row r="1167" spans="1:15" s="3" customFormat="1" ht="51">
      <c r="A1167" s="12" t="s">
        <v>891</v>
      </c>
      <c r="B1167" s="35" t="s">
        <v>5</v>
      </c>
      <c r="C1167" s="36" t="s">
        <v>8</v>
      </c>
      <c r="D1167" s="36" t="s">
        <v>53</v>
      </c>
      <c r="E1167" s="36" t="s">
        <v>911</v>
      </c>
      <c r="F1167" s="36" t="s">
        <v>58</v>
      </c>
      <c r="G1167" s="37">
        <f>G1168</f>
        <v>9476.08</v>
      </c>
      <c r="H1167" s="37">
        <f>H1168</f>
        <v>9476.08</v>
      </c>
      <c r="I1167" s="37">
        <f>I1168</f>
        <v>9476.08</v>
      </c>
      <c r="J1167" s="37">
        <f>J1168</f>
        <v>9476.08</v>
      </c>
      <c r="K1167" s="16">
        <f t="shared" si="523"/>
        <v>0</v>
      </c>
      <c r="L1167" s="37">
        <f>L1168</f>
        <v>9476.08</v>
      </c>
      <c r="M1167" s="16">
        <f t="shared" si="524"/>
        <v>0</v>
      </c>
      <c r="N1167" s="37">
        <f>N1168</f>
        <v>9476.08</v>
      </c>
      <c r="O1167" s="16">
        <f t="shared" si="525"/>
        <v>0</v>
      </c>
    </row>
    <row r="1168" spans="1:15" s="3" customFormat="1" ht="25.5">
      <c r="A1168" s="11" t="s">
        <v>108</v>
      </c>
      <c r="B1168" s="35" t="s">
        <v>5</v>
      </c>
      <c r="C1168" s="36" t="s">
        <v>8</v>
      </c>
      <c r="D1168" s="36" t="s">
        <v>53</v>
      </c>
      <c r="E1168" s="36" t="s">
        <v>911</v>
      </c>
      <c r="F1168" s="36" t="s">
        <v>116</v>
      </c>
      <c r="G1168" s="37">
        <f>G1169</f>
        <v>9476.08</v>
      </c>
      <c r="H1168" s="37">
        <f t="shared" ref="H1168:I1168" si="531">H1169</f>
        <v>9476.08</v>
      </c>
      <c r="I1168" s="37">
        <f t="shared" si="531"/>
        <v>9476.08</v>
      </c>
      <c r="J1168" s="37">
        <f>9476.08</f>
        <v>9476.08</v>
      </c>
      <c r="K1168" s="16">
        <f t="shared" si="523"/>
        <v>0</v>
      </c>
      <c r="L1168" s="37">
        <f>9476.08</f>
        <v>9476.08</v>
      </c>
      <c r="M1168" s="16">
        <f t="shared" si="524"/>
        <v>0</v>
      </c>
      <c r="N1168" s="37">
        <f>9476.08</f>
        <v>9476.08</v>
      </c>
      <c r="O1168" s="16">
        <f t="shared" si="525"/>
        <v>0</v>
      </c>
    </row>
    <row r="1169" spans="1:15" s="4" customFormat="1" ht="25.5">
      <c r="A1169" s="12" t="s">
        <v>973</v>
      </c>
      <c r="B1169" s="35" t="s">
        <v>5</v>
      </c>
      <c r="C1169" s="36" t="s">
        <v>8</v>
      </c>
      <c r="D1169" s="36" t="s">
        <v>53</v>
      </c>
      <c r="E1169" s="36" t="s">
        <v>911</v>
      </c>
      <c r="F1169" s="36" t="s">
        <v>1043</v>
      </c>
      <c r="G1169" s="37">
        <f>9476.08</f>
        <v>9476.08</v>
      </c>
      <c r="H1169" s="37">
        <f>9476.08</f>
        <v>9476.08</v>
      </c>
      <c r="I1169" s="37">
        <f>9476.08</f>
        <v>9476.08</v>
      </c>
      <c r="J1169" s="80"/>
      <c r="K1169" s="16">
        <f t="shared" si="523"/>
        <v>-9476.08</v>
      </c>
      <c r="L1169" s="80"/>
      <c r="M1169" s="16">
        <f t="shared" si="524"/>
        <v>-9476.08</v>
      </c>
      <c r="N1169" s="80"/>
      <c r="O1169" s="16">
        <f t="shared" si="525"/>
        <v>-9476.08</v>
      </c>
    </row>
    <row r="1170" spans="1:15" s="3" customFormat="1">
      <c r="A1170" s="17" t="s">
        <v>499</v>
      </c>
      <c r="B1170" s="18" t="s">
        <v>5</v>
      </c>
      <c r="C1170" s="19" t="s">
        <v>50</v>
      </c>
      <c r="D1170" s="19" t="s">
        <v>51</v>
      </c>
      <c r="E1170" s="19" t="s">
        <v>196</v>
      </c>
      <c r="F1170" s="19" t="s">
        <v>58</v>
      </c>
      <c r="G1170" s="20">
        <f t="shared" ref="G1170:N1173" si="532">G1171</f>
        <v>1640.55</v>
      </c>
      <c r="H1170" s="20">
        <f t="shared" si="532"/>
        <v>1591</v>
      </c>
      <c r="I1170" s="20">
        <f t="shared" si="532"/>
        <v>1591</v>
      </c>
      <c r="J1170" s="20">
        <f t="shared" si="532"/>
        <v>1640.55</v>
      </c>
      <c r="K1170" s="16">
        <f t="shared" si="523"/>
        <v>0</v>
      </c>
      <c r="L1170" s="20">
        <f t="shared" si="532"/>
        <v>1591</v>
      </c>
      <c r="M1170" s="16">
        <f t="shared" si="524"/>
        <v>0</v>
      </c>
      <c r="N1170" s="20">
        <f t="shared" si="532"/>
        <v>1591</v>
      </c>
      <c r="O1170" s="16">
        <f t="shared" si="525"/>
        <v>0</v>
      </c>
    </row>
    <row r="1171" spans="1:15" s="3" customFormat="1">
      <c r="A1171" s="21" t="s">
        <v>27</v>
      </c>
      <c r="B1171" s="22" t="s">
        <v>5</v>
      </c>
      <c r="C1171" s="23" t="s">
        <v>50</v>
      </c>
      <c r="D1171" s="23" t="s">
        <v>65</v>
      </c>
      <c r="E1171" s="23" t="s">
        <v>196</v>
      </c>
      <c r="F1171" s="23" t="s">
        <v>58</v>
      </c>
      <c r="G1171" s="24">
        <f t="shared" si="532"/>
        <v>1640.55</v>
      </c>
      <c r="H1171" s="24">
        <f t="shared" si="532"/>
        <v>1591</v>
      </c>
      <c r="I1171" s="24">
        <f t="shared" si="532"/>
        <v>1591</v>
      </c>
      <c r="J1171" s="24">
        <f t="shared" si="532"/>
        <v>1640.55</v>
      </c>
      <c r="K1171" s="16">
        <f t="shared" si="523"/>
        <v>0</v>
      </c>
      <c r="L1171" s="24">
        <f t="shared" si="532"/>
        <v>1591</v>
      </c>
      <c r="M1171" s="16">
        <f t="shared" si="524"/>
        <v>0</v>
      </c>
      <c r="N1171" s="24">
        <f t="shared" si="532"/>
        <v>1591</v>
      </c>
      <c r="O1171" s="16">
        <f t="shared" si="525"/>
        <v>0</v>
      </c>
    </row>
    <row r="1172" spans="1:15" s="3" customFormat="1">
      <c r="A1172" s="11" t="s">
        <v>739</v>
      </c>
      <c r="B1172" s="35" t="s">
        <v>5</v>
      </c>
      <c r="C1172" s="36" t="s">
        <v>50</v>
      </c>
      <c r="D1172" s="36" t="s">
        <v>65</v>
      </c>
      <c r="E1172" s="36" t="s">
        <v>277</v>
      </c>
      <c r="F1172" s="36" t="s">
        <v>58</v>
      </c>
      <c r="G1172" s="37">
        <f t="shared" si="532"/>
        <v>1640.55</v>
      </c>
      <c r="H1172" s="37">
        <f t="shared" si="532"/>
        <v>1591</v>
      </c>
      <c r="I1172" s="37">
        <f t="shared" si="532"/>
        <v>1591</v>
      </c>
      <c r="J1172" s="37">
        <f t="shared" si="532"/>
        <v>1640.55</v>
      </c>
      <c r="K1172" s="16">
        <f t="shared" si="523"/>
        <v>0</v>
      </c>
      <c r="L1172" s="37">
        <f t="shared" si="532"/>
        <v>1591</v>
      </c>
      <c r="M1172" s="16">
        <f t="shared" si="524"/>
        <v>0</v>
      </c>
      <c r="N1172" s="37">
        <f t="shared" si="532"/>
        <v>1591</v>
      </c>
      <c r="O1172" s="16">
        <f t="shared" si="525"/>
        <v>0</v>
      </c>
    </row>
    <row r="1173" spans="1:15" s="3" customFormat="1" ht="51">
      <c r="A1173" s="40" t="s">
        <v>191</v>
      </c>
      <c r="B1173" s="35" t="s">
        <v>5</v>
      </c>
      <c r="C1173" s="36" t="s">
        <v>50</v>
      </c>
      <c r="D1173" s="36" t="s">
        <v>65</v>
      </c>
      <c r="E1173" s="36" t="s">
        <v>278</v>
      </c>
      <c r="F1173" s="36" t="s">
        <v>58</v>
      </c>
      <c r="G1173" s="37">
        <f t="shared" si="532"/>
        <v>1640.55</v>
      </c>
      <c r="H1173" s="37">
        <f t="shared" si="532"/>
        <v>1591</v>
      </c>
      <c r="I1173" s="37">
        <f t="shared" si="532"/>
        <v>1591</v>
      </c>
      <c r="J1173" s="37">
        <f t="shared" si="532"/>
        <v>1640.55</v>
      </c>
      <c r="K1173" s="16">
        <f t="shared" si="523"/>
        <v>0</v>
      </c>
      <c r="L1173" s="37">
        <f t="shared" si="532"/>
        <v>1591</v>
      </c>
      <c r="M1173" s="16">
        <f t="shared" si="524"/>
        <v>0</v>
      </c>
      <c r="N1173" s="37">
        <f t="shared" si="532"/>
        <v>1591</v>
      </c>
      <c r="O1173" s="16">
        <f t="shared" si="525"/>
        <v>0</v>
      </c>
    </row>
    <row r="1174" spans="1:15" s="3" customFormat="1" ht="63.75">
      <c r="A1174" s="40" t="s">
        <v>605</v>
      </c>
      <c r="B1174" s="35" t="s">
        <v>5</v>
      </c>
      <c r="C1174" s="36" t="s">
        <v>50</v>
      </c>
      <c r="D1174" s="36" t="s">
        <v>65</v>
      </c>
      <c r="E1174" s="36" t="s">
        <v>279</v>
      </c>
      <c r="F1174" s="36" t="s">
        <v>58</v>
      </c>
      <c r="G1174" s="37">
        <f>G1175+G1178</f>
        <v>1640.55</v>
      </c>
      <c r="H1174" s="37">
        <f>H1175+H1178</f>
        <v>1591</v>
      </c>
      <c r="I1174" s="37">
        <f>I1175+I1178</f>
        <v>1591</v>
      </c>
      <c r="J1174" s="37">
        <f>J1175+J1178</f>
        <v>1640.55</v>
      </c>
      <c r="K1174" s="16">
        <f t="shared" si="523"/>
        <v>0</v>
      </c>
      <c r="L1174" s="37">
        <f>L1175+L1178</f>
        <v>1591</v>
      </c>
      <c r="M1174" s="16">
        <f t="shared" si="524"/>
        <v>0</v>
      </c>
      <c r="N1174" s="37">
        <f>N1175+N1178</f>
        <v>1591</v>
      </c>
      <c r="O1174" s="16">
        <f t="shared" si="525"/>
        <v>0</v>
      </c>
    </row>
    <row r="1175" spans="1:15" s="3" customFormat="1" ht="25.5">
      <c r="A1175" s="11" t="s">
        <v>161</v>
      </c>
      <c r="B1175" s="35" t="s">
        <v>5</v>
      </c>
      <c r="C1175" s="36" t="s">
        <v>50</v>
      </c>
      <c r="D1175" s="36" t="s">
        <v>65</v>
      </c>
      <c r="E1175" s="36" t="s">
        <v>320</v>
      </c>
      <c r="F1175" s="36" t="s">
        <v>58</v>
      </c>
      <c r="G1175" s="37">
        <f>G1176</f>
        <v>1145</v>
      </c>
      <c r="H1175" s="37">
        <f>H1176</f>
        <v>1095.45</v>
      </c>
      <c r="I1175" s="37">
        <f>I1176</f>
        <v>1095.45</v>
      </c>
      <c r="J1175" s="37">
        <f>J1176</f>
        <v>1145</v>
      </c>
      <c r="K1175" s="16">
        <f t="shared" si="523"/>
        <v>0</v>
      </c>
      <c r="L1175" s="37">
        <f>L1176</f>
        <v>1095.45</v>
      </c>
      <c r="M1175" s="16">
        <f t="shared" si="524"/>
        <v>0</v>
      </c>
      <c r="N1175" s="37">
        <f>N1176</f>
        <v>1095.45</v>
      </c>
      <c r="O1175" s="16">
        <f t="shared" si="525"/>
        <v>0</v>
      </c>
    </row>
    <row r="1176" spans="1:15" s="3" customFormat="1" ht="25.5">
      <c r="A1176" s="11" t="s">
        <v>108</v>
      </c>
      <c r="B1176" s="35" t="s">
        <v>5</v>
      </c>
      <c r="C1176" s="36" t="s">
        <v>50</v>
      </c>
      <c r="D1176" s="36" t="s">
        <v>65</v>
      </c>
      <c r="E1176" s="36" t="s">
        <v>320</v>
      </c>
      <c r="F1176" s="36" t="s">
        <v>116</v>
      </c>
      <c r="G1176" s="37">
        <f>G1177</f>
        <v>1145</v>
      </c>
      <c r="H1176" s="37">
        <f t="shared" ref="H1176:I1176" si="533">H1177</f>
        <v>1095.45</v>
      </c>
      <c r="I1176" s="37">
        <f t="shared" si="533"/>
        <v>1095.45</v>
      </c>
      <c r="J1176" s="37">
        <f>1145</f>
        <v>1145</v>
      </c>
      <c r="K1176" s="16">
        <f t="shared" si="523"/>
        <v>0</v>
      </c>
      <c r="L1176" s="37">
        <v>1095.45</v>
      </c>
      <c r="M1176" s="16">
        <f t="shared" si="524"/>
        <v>0</v>
      </c>
      <c r="N1176" s="37">
        <v>1095.45</v>
      </c>
      <c r="O1176" s="16">
        <f t="shared" si="525"/>
        <v>0</v>
      </c>
    </row>
    <row r="1177" spans="1:15" s="4" customFormat="1" ht="25.5">
      <c r="A1177" s="12" t="s">
        <v>973</v>
      </c>
      <c r="B1177" s="35" t="s">
        <v>5</v>
      </c>
      <c r="C1177" s="36" t="s">
        <v>50</v>
      </c>
      <c r="D1177" s="36" t="s">
        <v>65</v>
      </c>
      <c r="E1177" s="36" t="s">
        <v>320</v>
      </c>
      <c r="F1177" s="36" t="s">
        <v>1043</v>
      </c>
      <c r="G1177" s="37">
        <f>1145</f>
        <v>1145</v>
      </c>
      <c r="H1177" s="37">
        <v>1095.45</v>
      </c>
      <c r="I1177" s="37">
        <v>1095.45</v>
      </c>
      <c r="J1177" s="80"/>
      <c r="K1177" s="16">
        <f t="shared" si="523"/>
        <v>-1145</v>
      </c>
      <c r="L1177" s="80"/>
      <c r="M1177" s="16">
        <f t="shared" si="524"/>
        <v>-1095.45</v>
      </c>
      <c r="N1177" s="80"/>
      <c r="O1177" s="16">
        <f t="shared" si="525"/>
        <v>-1095.45</v>
      </c>
    </row>
    <row r="1178" spans="1:15" s="3" customFormat="1" ht="25.5">
      <c r="A1178" s="12" t="s">
        <v>892</v>
      </c>
      <c r="B1178" s="35" t="s">
        <v>5</v>
      </c>
      <c r="C1178" s="36" t="s">
        <v>50</v>
      </c>
      <c r="D1178" s="36" t="s">
        <v>65</v>
      </c>
      <c r="E1178" s="36" t="s">
        <v>500</v>
      </c>
      <c r="F1178" s="36" t="s">
        <v>58</v>
      </c>
      <c r="G1178" s="37">
        <f>G1179</f>
        <v>495.55</v>
      </c>
      <c r="H1178" s="37">
        <f>H1179</f>
        <v>495.55</v>
      </c>
      <c r="I1178" s="37">
        <f>I1179</f>
        <v>495.55</v>
      </c>
      <c r="J1178" s="37">
        <f>J1179</f>
        <v>495.55</v>
      </c>
      <c r="K1178" s="16">
        <f t="shared" si="523"/>
        <v>0</v>
      </c>
      <c r="L1178" s="37">
        <f>L1179</f>
        <v>495.55</v>
      </c>
      <c r="M1178" s="16">
        <f t="shared" si="524"/>
        <v>0</v>
      </c>
      <c r="N1178" s="37">
        <f>N1179</f>
        <v>495.55</v>
      </c>
      <c r="O1178" s="16">
        <f t="shared" si="525"/>
        <v>0</v>
      </c>
    </row>
    <row r="1179" spans="1:15" ht="25.5">
      <c r="A1179" s="11" t="s">
        <v>108</v>
      </c>
      <c r="B1179" s="35" t="s">
        <v>5</v>
      </c>
      <c r="C1179" s="36" t="s">
        <v>50</v>
      </c>
      <c r="D1179" s="36" t="s">
        <v>65</v>
      </c>
      <c r="E1179" s="36" t="s">
        <v>500</v>
      </c>
      <c r="F1179" s="36" t="s">
        <v>116</v>
      </c>
      <c r="G1179" s="37">
        <f>G1180</f>
        <v>495.55</v>
      </c>
      <c r="H1179" s="37">
        <f t="shared" ref="H1179:I1179" si="534">H1180</f>
        <v>495.55</v>
      </c>
      <c r="I1179" s="37">
        <f t="shared" si="534"/>
        <v>495.55</v>
      </c>
      <c r="J1179" s="37">
        <f>495.55</f>
        <v>495.55</v>
      </c>
      <c r="K1179" s="16">
        <f t="shared" si="523"/>
        <v>0</v>
      </c>
      <c r="L1179" s="37">
        <v>495.55</v>
      </c>
      <c r="M1179" s="16">
        <f t="shared" si="524"/>
        <v>0</v>
      </c>
      <c r="N1179" s="37">
        <v>495.55</v>
      </c>
      <c r="O1179" s="16">
        <f t="shared" si="525"/>
        <v>0</v>
      </c>
    </row>
    <row r="1180" spans="1:15" s="98" customFormat="1" ht="25.5">
      <c r="A1180" s="12" t="s">
        <v>973</v>
      </c>
      <c r="B1180" s="35" t="s">
        <v>5</v>
      </c>
      <c r="C1180" s="36" t="s">
        <v>50</v>
      </c>
      <c r="D1180" s="36" t="s">
        <v>65</v>
      </c>
      <c r="E1180" s="36" t="s">
        <v>500</v>
      </c>
      <c r="F1180" s="36" t="s">
        <v>1043</v>
      </c>
      <c r="G1180" s="37">
        <f>495.55</f>
        <v>495.55</v>
      </c>
      <c r="H1180" s="37">
        <v>495.55</v>
      </c>
      <c r="I1180" s="37">
        <v>495.55</v>
      </c>
      <c r="J1180" s="81"/>
      <c r="K1180" s="91">
        <f t="shared" si="523"/>
        <v>-495.55</v>
      </c>
      <c r="L1180" s="81"/>
      <c r="M1180" s="91">
        <f t="shared" si="524"/>
        <v>-495.55</v>
      </c>
      <c r="N1180" s="81"/>
      <c r="O1180" s="91">
        <f t="shared" si="525"/>
        <v>-495.55</v>
      </c>
    </row>
    <row r="1181" spans="1:15" s="98" customFormat="1">
      <c r="A1181" s="79"/>
      <c r="B1181" s="96"/>
      <c r="C1181" s="97"/>
      <c r="D1181" s="97"/>
      <c r="E1181" s="97"/>
      <c r="F1181" s="97"/>
      <c r="G1181" s="77"/>
      <c r="H1181" s="77"/>
      <c r="I1181" s="77"/>
      <c r="J1181" s="77"/>
      <c r="K1181" s="91">
        <f t="shared" si="523"/>
        <v>0</v>
      </c>
      <c r="L1181" s="77"/>
      <c r="M1181" s="91">
        <f t="shared" si="524"/>
        <v>0</v>
      </c>
      <c r="N1181" s="77"/>
      <c r="O1181" s="91">
        <f t="shared" si="525"/>
        <v>0</v>
      </c>
    </row>
    <row r="1182" spans="1:15" s="3" customFormat="1">
      <c r="A1182" s="28" t="s">
        <v>11</v>
      </c>
      <c r="B1182" s="14" t="s">
        <v>12</v>
      </c>
      <c r="C1182" s="15" t="s">
        <v>51</v>
      </c>
      <c r="D1182" s="15" t="s">
        <v>51</v>
      </c>
      <c r="E1182" s="15" t="s">
        <v>196</v>
      </c>
      <c r="F1182" s="15" t="s">
        <v>58</v>
      </c>
      <c r="G1182" s="29">
        <f>G1183+G1217+G1231+G1253</f>
        <v>108451.54</v>
      </c>
      <c r="H1182" s="29">
        <f>H1183+H1217+H1231+H1253</f>
        <v>102174.11</v>
      </c>
      <c r="I1182" s="29">
        <f>I1183+I1217+I1231+I1253</f>
        <v>102174.11</v>
      </c>
      <c r="J1182" s="29">
        <f>J1183+J1217+J1231+J1253</f>
        <v>108451.54</v>
      </c>
      <c r="K1182" s="16">
        <f t="shared" si="523"/>
        <v>0</v>
      </c>
      <c r="L1182" s="29">
        <f>L1183+L1217+L1231+L1253</f>
        <v>102174.11</v>
      </c>
      <c r="M1182" s="16">
        <f t="shared" si="524"/>
        <v>0</v>
      </c>
      <c r="N1182" s="29">
        <f>N1183+N1217+N1231+N1253</f>
        <v>102174.11</v>
      </c>
      <c r="O1182" s="16">
        <f t="shared" si="525"/>
        <v>0</v>
      </c>
    </row>
    <row r="1183" spans="1:15" s="3" customFormat="1">
      <c r="A1183" s="17" t="s">
        <v>64</v>
      </c>
      <c r="B1183" s="18" t="s">
        <v>12</v>
      </c>
      <c r="C1183" s="19" t="s">
        <v>65</v>
      </c>
      <c r="D1183" s="19" t="s">
        <v>51</v>
      </c>
      <c r="E1183" s="19" t="s">
        <v>196</v>
      </c>
      <c r="F1183" s="19" t="s">
        <v>58</v>
      </c>
      <c r="G1183" s="20">
        <f>G1184+G1210</f>
        <v>30927.47</v>
      </c>
      <c r="H1183" s="20">
        <f>H1184+H1210</f>
        <v>30960.300000000003</v>
      </c>
      <c r="I1183" s="20">
        <f>I1184+I1210</f>
        <v>30960.300000000003</v>
      </c>
      <c r="J1183" s="20">
        <f>J1184+J1210</f>
        <v>30927.47</v>
      </c>
      <c r="K1183" s="16">
        <f t="shared" si="523"/>
        <v>0</v>
      </c>
      <c r="L1183" s="20">
        <f>L1184+L1210</f>
        <v>30960.300000000003</v>
      </c>
      <c r="M1183" s="16">
        <f t="shared" si="524"/>
        <v>0</v>
      </c>
      <c r="N1183" s="20">
        <f>N1184+N1210</f>
        <v>30960.300000000003</v>
      </c>
      <c r="O1183" s="16">
        <f t="shared" si="525"/>
        <v>0</v>
      </c>
    </row>
    <row r="1184" spans="1:15" s="3" customFormat="1" ht="38.25">
      <c r="A1184" s="21" t="s">
        <v>31</v>
      </c>
      <c r="B1184" s="22" t="s">
        <v>12</v>
      </c>
      <c r="C1184" s="23" t="s">
        <v>65</v>
      </c>
      <c r="D1184" s="23" t="s">
        <v>37</v>
      </c>
      <c r="E1184" s="23" t="s">
        <v>196</v>
      </c>
      <c r="F1184" s="23" t="s">
        <v>58</v>
      </c>
      <c r="G1184" s="24">
        <f t="shared" ref="G1184:N1185" si="535">G1185</f>
        <v>30573.170000000002</v>
      </c>
      <c r="H1184" s="24">
        <f t="shared" si="535"/>
        <v>30602.450000000004</v>
      </c>
      <c r="I1184" s="24">
        <f t="shared" si="535"/>
        <v>30602.450000000004</v>
      </c>
      <c r="J1184" s="24">
        <f t="shared" si="535"/>
        <v>30573.170000000002</v>
      </c>
      <c r="K1184" s="16">
        <f t="shared" si="523"/>
        <v>0</v>
      </c>
      <c r="L1184" s="24">
        <f t="shared" si="535"/>
        <v>30602.450000000004</v>
      </c>
      <c r="M1184" s="16">
        <f t="shared" si="524"/>
        <v>0</v>
      </c>
      <c r="N1184" s="24">
        <f t="shared" si="535"/>
        <v>30602.450000000004</v>
      </c>
      <c r="O1184" s="16">
        <f t="shared" si="525"/>
        <v>0</v>
      </c>
    </row>
    <row r="1185" spans="1:15" s="3" customFormat="1" ht="25.5">
      <c r="A1185" s="11" t="s">
        <v>149</v>
      </c>
      <c r="B1185" s="25" t="s">
        <v>12</v>
      </c>
      <c r="C1185" s="26" t="s">
        <v>65</v>
      </c>
      <c r="D1185" s="26" t="s">
        <v>37</v>
      </c>
      <c r="E1185" s="26" t="s">
        <v>501</v>
      </c>
      <c r="F1185" s="26" t="s">
        <v>58</v>
      </c>
      <c r="G1185" s="27">
        <f t="shared" si="535"/>
        <v>30573.170000000002</v>
      </c>
      <c r="H1185" s="27">
        <f t="shared" si="535"/>
        <v>30602.450000000004</v>
      </c>
      <c r="I1185" s="27">
        <f t="shared" si="535"/>
        <v>30602.450000000004</v>
      </c>
      <c r="J1185" s="27">
        <f t="shared" si="535"/>
        <v>30573.170000000002</v>
      </c>
      <c r="K1185" s="16">
        <f t="shared" si="523"/>
        <v>0</v>
      </c>
      <c r="L1185" s="27">
        <f t="shared" si="535"/>
        <v>30602.450000000004</v>
      </c>
      <c r="M1185" s="16">
        <f t="shared" si="524"/>
        <v>0</v>
      </c>
      <c r="N1185" s="27">
        <f t="shared" si="535"/>
        <v>30602.450000000004</v>
      </c>
      <c r="O1185" s="16">
        <f t="shared" si="525"/>
        <v>0</v>
      </c>
    </row>
    <row r="1186" spans="1:15" s="3" customFormat="1" ht="25.5">
      <c r="A1186" s="11" t="s">
        <v>150</v>
      </c>
      <c r="B1186" s="25" t="s">
        <v>12</v>
      </c>
      <c r="C1186" s="26" t="s">
        <v>65</v>
      </c>
      <c r="D1186" s="26" t="s">
        <v>37</v>
      </c>
      <c r="E1186" s="26" t="s">
        <v>502</v>
      </c>
      <c r="F1186" s="26" t="s">
        <v>58</v>
      </c>
      <c r="G1186" s="27">
        <f>G1187+G1196+G1200+G1207</f>
        <v>30573.170000000002</v>
      </c>
      <c r="H1186" s="27">
        <f>H1187+H1196+H1200+H1207</f>
        <v>30602.450000000004</v>
      </c>
      <c r="I1186" s="27">
        <f>I1187+I1196+I1200+I1207</f>
        <v>30602.450000000004</v>
      </c>
      <c r="J1186" s="27">
        <f>J1187+J1196+J1200+J1207</f>
        <v>30573.170000000002</v>
      </c>
      <c r="K1186" s="16">
        <f t="shared" si="523"/>
        <v>0</v>
      </c>
      <c r="L1186" s="27">
        <f>L1187+L1196+L1200+L1207</f>
        <v>30602.450000000004</v>
      </c>
      <c r="M1186" s="16">
        <f t="shared" si="524"/>
        <v>0</v>
      </c>
      <c r="N1186" s="27">
        <f>N1187+N1196+N1200+N1207</f>
        <v>30602.450000000004</v>
      </c>
      <c r="O1186" s="16">
        <f t="shared" si="525"/>
        <v>0</v>
      </c>
    </row>
    <row r="1187" spans="1:15" s="3" customFormat="1" ht="25.5">
      <c r="A1187" s="11" t="s">
        <v>114</v>
      </c>
      <c r="B1187" s="25" t="s">
        <v>12</v>
      </c>
      <c r="C1187" s="26" t="s">
        <v>65</v>
      </c>
      <c r="D1187" s="26" t="s">
        <v>37</v>
      </c>
      <c r="E1187" s="26" t="s">
        <v>503</v>
      </c>
      <c r="F1187" s="26" t="s">
        <v>58</v>
      </c>
      <c r="G1187" s="27">
        <f>G1188+G1191+G1193</f>
        <v>3759.8</v>
      </c>
      <c r="H1187" s="27">
        <f t="shared" ref="H1187:I1187" si="536">H1188+H1191+H1193</f>
        <v>3789.0800000000004</v>
      </c>
      <c r="I1187" s="27">
        <f t="shared" si="536"/>
        <v>3789.0800000000004</v>
      </c>
      <c r="J1187" s="27">
        <f>SUM(J1188:J1193)</f>
        <v>3759.8</v>
      </c>
      <c r="K1187" s="16">
        <f t="shared" si="523"/>
        <v>0</v>
      </c>
      <c r="L1187" s="27">
        <f>SUM(L1188:L1193)</f>
        <v>3789.0800000000004</v>
      </c>
      <c r="M1187" s="16">
        <f t="shared" si="524"/>
        <v>0</v>
      </c>
      <c r="N1187" s="27">
        <f>SUM(N1188:N1193)</f>
        <v>3789.0800000000004</v>
      </c>
      <c r="O1187" s="16">
        <f t="shared" si="525"/>
        <v>0</v>
      </c>
    </row>
    <row r="1188" spans="1:15" s="3" customFormat="1" ht="25.5">
      <c r="A1188" s="34" t="s">
        <v>107</v>
      </c>
      <c r="B1188" s="25" t="s">
        <v>12</v>
      </c>
      <c r="C1188" s="26" t="s">
        <v>65</v>
      </c>
      <c r="D1188" s="26" t="s">
        <v>37</v>
      </c>
      <c r="E1188" s="26" t="s">
        <v>503</v>
      </c>
      <c r="F1188" s="26" t="s">
        <v>115</v>
      </c>
      <c r="G1188" s="27">
        <f>SUM(G1189:G1190)</f>
        <v>637.11</v>
      </c>
      <c r="H1188" s="27">
        <f t="shared" ref="H1188:I1188" si="537">SUM(H1189:H1190)</f>
        <v>637.11</v>
      </c>
      <c r="I1188" s="27">
        <f t="shared" si="537"/>
        <v>637.11</v>
      </c>
      <c r="J1188" s="27">
        <f>489.33+147.78</f>
        <v>637.11</v>
      </c>
      <c r="K1188" s="16">
        <f t="shared" si="523"/>
        <v>0</v>
      </c>
      <c r="L1188" s="27">
        <f>489.33+147.78</f>
        <v>637.11</v>
      </c>
      <c r="M1188" s="16">
        <f t="shared" si="524"/>
        <v>0</v>
      </c>
      <c r="N1188" s="27">
        <f>489.33+147.78</f>
        <v>637.11</v>
      </c>
      <c r="O1188" s="16">
        <f t="shared" si="525"/>
        <v>0</v>
      </c>
    </row>
    <row r="1189" spans="1:15" s="71" customFormat="1" ht="25.5">
      <c r="A1189" s="12" t="s">
        <v>937</v>
      </c>
      <c r="B1189" s="25" t="s">
        <v>12</v>
      </c>
      <c r="C1189" s="26" t="s">
        <v>65</v>
      </c>
      <c r="D1189" s="26" t="s">
        <v>37</v>
      </c>
      <c r="E1189" s="26" t="s">
        <v>503</v>
      </c>
      <c r="F1189" s="26" t="s">
        <v>1059</v>
      </c>
      <c r="G1189" s="27">
        <v>489.33</v>
      </c>
      <c r="H1189" s="27">
        <v>489.33</v>
      </c>
      <c r="I1189" s="27">
        <v>489.33</v>
      </c>
      <c r="J1189" s="72"/>
      <c r="K1189" s="91">
        <f t="shared" si="523"/>
        <v>-489.33</v>
      </c>
      <c r="L1189" s="72"/>
      <c r="M1189" s="91">
        <f t="shared" si="524"/>
        <v>-489.33</v>
      </c>
      <c r="N1189" s="72"/>
      <c r="O1189" s="91">
        <f t="shared" si="525"/>
        <v>-489.33</v>
      </c>
    </row>
    <row r="1190" spans="1:15" s="71" customFormat="1" ht="38.25">
      <c r="A1190" s="12" t="s">
        <v>939</v>
      </c>
      <c r="B1190" s="25" t="s">
        <v>12</v>
      </c>
      <c r="C1190" s="26" t="s">
        <v>65</v>
      </c>
      <c r="D1190" s="26" t="s">
        <v>37</v>
      </c>
      <c r="E1190" s="26" t="s">
        <v>503</v>
      </c>
      <c r="F1190" s="26" t="s">
        <v>1060</v>
      </c>
      <c r="G1190" s="27">
        <v>147.78</v>
      </c>
      <c r="H1190" s="27">
        <v>147.78</v>
      </c>
      <c r="I1190" s="27">
        <v>147.78</v>
      </c>
      <c r="J1190" s="72"/>
      <c r="K1190" s="91">
        <f t="shared" si="523"/>
        <v>-147.78</v>
      </c>
      <c r="L1190" s="72"/>
      <c r="M1190" s="91">
        <f t="shared" si="524"/>
        <v>-147.78</v>
      </c>
      <c r="N1190" s="72"/>
      <c r="O1190" s="91">
        <f t="shared" si="525"/>
        <v>-147.78</v>
      </c>
    </row>
    <row r="1191" spans="1:15" s="3" customFormat="1" ht="25.5">
      <c r="A1191" s="11" t="s">
        <v>108</v>
      </c>
      <c r="B1191" s="25" t="s">
        <v>12</v>
      </c>
      <c r="C1191" s="26" t="s">
        <v>65</v>
      </c>
      <c r="D1191" s="26" t="s">
        <v>37</v>
      </c>
      <c r="E1191" s="26" t="s">
        <v>503</v>
      </c>
      <c r="F1191" s="26" t="s">
        <v>116</v>
      </c>
      <c r="G1191" s="27">
        <f>G1192</f>
        <v>3080.79</v>
      </c>
      <c r="H1191" s="27">
        <f t="shared" ref="H1191:I1191" si="538">H1192</f>
        <v>3110.07</v>
      </c>
      <c r="I1191" s="27">
        <f t="shared" si="538"/>
        <v>3110.07</v>
      </c>
      <c r="J1191" s="27">
        <f>3080.79</f>
        <v>3080.79</v>
      </c>
      <c r="K1191" s="16">
        <f t="shared" si="523"/>
        <v>0</v>
      </c>
      <c r="L1191" s="27">
        <f>3110.07</f>
        <v>3110.07</v>
      </c>
      <c r="M1191" s="16">
        <f t="shared" si="524"/>
        <v>0</v>
      </c>
      <c r="N1191" s="27">
        <f>3110.07</f>
        <v>3110.07</v>
      </c>
      <c r="O1191" s="16">
        <f t="shared" si="525"/>
        <v>0</v>
      </c>
    </row>
    <row r="1192" spans="1:15" s="4" customFormat="1" ht="25.5">
      <c r="A1192" s="12" t="s">
        <v>973</v>
      </c>
      <c r="B1192" s="25" t="s">
        <v>12</v>
      </c>
      <c r="C1192" s="26" t="s">
        <v>65</v>
      </c>
      <c r="D1192" s="26" t="s">
        <v>37</v>
      </c>
      <c r="E1192" s="26" t="s">
        <v>503</v>
      </c>
      <c r="F1192" s="26" t="s">
        <v>1043</v>
      </c>
      <c r="G1192" s="27">
        <f>3080.79</f>
        <v>3080.79</v>
      </c>
      <c r="H1192" s="27">
        <f>3110.07</f>
        <v>3110.07</v>
      </c>
      <c r="I1192" s="27">
        <f>3110.07</f>
        <v>3110.07</v>
      </c>
      <c r="J1192" s="80"/>
      <c r="K1192" s="16">
        <f t="shared" si="523"/>
        <v>-3080.79</v>
      </c>
      <c r="L1192" s="80"/>
      <c r="M1192" s="16">
        <f t="shared" si="524"/>
        <v>-3110.07</v>
      </c>
      <c r="N1192" s="80"/>
      <c r="O1192" s="16">
        <f t="shared" si="525"/>
        <v>-3110.07</v>
      </c>
    </row>
    <row r="1193" spans="1:15" s="3" customFormat="1">
      <c r="A1193" s="11" t="s">
        <v>97</v>
      </c>
      <c r="B1193" s="25" t="s">
        <v>12</v>
      </c>
      <c r="C1193" s="26" t="s">
        <v>65</v>
      </c>
      <c r="D1193" s="26" t="s">
        <v>37</v>
      </c>
      <c r="E1193" s="26" t="s">
        <v>503</v>
      </c>
      <c r="F1193" s="26" t="s">
        <v>118</v>
      </c>
      <c r="G1193" s="27">
        <f>SUM(G1194:G1195)</f>
        <v>41.900000000000006</v>
      </c>
      <c r="H1193" s="27">
        <f t="shared" ref="H1193:I1193" si="539">SUM(H1194:H1195)</f>
        <v>41.900000000000006</v>
      </c>
      <c r="I1193" s="27">
        <f t="shared" si="539"/>
        <v>41.900000000000006</v>
      </c>
      <c r="J1193" s="27">
        <f>22.8+19.1</f>
        <v>41.900000000000006</v>
      </c>
      <c r="K1193" s="16">
        <f t="shared" si="523"/>
        <v>0</v>
      </c>
      <c r="L1193" s="27">
        <f>22.8+19.1</f>
        <v>41.900000000000006</v>
      </c>
      <c r="M1193" s="16">
        <f t="shared" si="524"/>
        <v>0</v>
      </c>
      <c r="N1193" s="27">
        <f>22.8+19.1</f>
        <v>41.900000000000006</v>
      </c>
      <c r="O1193" s="16">
        <f t="shared" si="525"/>
        <v>0</v>
      </c>
    </row>
    <row r="1194" spans="1:15" s="3" customFormat="1">
      <c r="A1194" s="11" t="s">
        <v>1036</v>
      </c>
      <c r="B1194" s="25" t="s">
        <v>12</v>
      </c>
      <c r="C1194" s="26" t="s">
        <v>65</v>
      </c>
      <c r="D1194" s="26" t="s">
        <v>37</v>
      </c>
      <c r="E1194" s="26" t="s">
        <v>503</v>
      </c>
      <c r="F1194" s="26" t="s">
        <v>1061</v>
      </c>
      <c r="G1194" s="27">
        <v>22.8</v>
      </c>
      <c r="H1194" s="27">
        <v>22.8</v>
      </c>
      <c r="I1194" s="27">
        <v>22.8</v>
      </c>
      <c r="J1194" s="27"/>
      <c r="K1194" s="16">
        <f t="shared" si="523"/>
        <v>-22.8</v>
      </c>
      <c r="L1194" s="27"/>
      <c r="M1194" s="16">
        <f t="shared" si="524"/>
        <v>-22.8</v>
      </c>
      <c r="N1194" s="27"/>
      <c r="O1194" s="16">
        <f t="shared" si="525"/>
        <v>-22.8</v>
      </c>
    </row>
    <row r="1195" spans="1:15" s="3" customFormat="1">
      <c r="A1195" s="11" t="s">
        <v>1037</v>
      </c>
      <c r="B1195" s="25" t="s">
        <v>12</v>
      </c>
      <c r="C1195" s="26" t="s">
        <v>65</v>
      </c>
      <c r="D1195" s="26" t="s">
        <v>37</v>
      </c>
      <c r="E1195" s="26" t="s">
        <v>503</v>
      </c>
      <c r="F1195" s="26" t="s">
        <v>1062</v>
      </c>
      <c r="G1195" s="27">
        <v>19.100000000000001</v>
      </c>
      <c r="H1195" s="27">
        <v>19.100000000000001</v>
      </c>
      <c r="I1195" s="27">
        <v>19.100000000000001</v>
      </c>
      <c r="J1195" s="27"/>
      <c r="K1195" s="16">
        <f t="shared" si="523"/>
        <v>-19.100000000000001</v>
      </c>
      <c r="L1195" s="27"/>
      <c r="M1195" s="16">
        <f t="shared" si="524"/>
        <v>-19.100000000000001</v>
      </c>
      <c r="N1195" s="27"/>
      <c r="O1195" s="16">
        <f t="shared" si="525"/>
        <v>-19.100000000000001</v>
      </c>
    </row>
    <row r="1196" spans="1:15" s="3" customFormat="1" ht="25.5">
      <c r="A1196" s="34" t="s">
        <v>504</v>
      </c>
      <c r="B1196" s="25" t="s">
        <v>12</v>
      </c>
      <c r="C1196" s="26" t="s">
        <v>65</v>
      </c>
      <c r="D1196" s="26" t="s">
        <v>37</v>
      </c>
      <c r="E1196" s="26" t="s">
        <v>505</v>
      </c>
      <c r="F1196" s="26" t="s">
        <v>58</v>
      </c>
      <c r="G1196" s="27">
        <f>G1197</f>
        <v>25543</v>
      </c>
      <c r="H1196" s="27">
        <f>H1197</f>
        <v>25543</v>
      </c>
      <c r="I1196" s="27">
        <f>I1197</f>
        <v>25543</v>
      </c>
      <c r="J1196" s="27">
        <f>J1197</f>
        <v>25543</v>
      </c>
      <c r="K1196" s="16">
        <f t="shared" si="523"/>
        <v>0</v>
      </c>
      <c r="L1196" s="27">
        <f>L1197</f>
        <v>25543</v>
      </c>
      <c r="M1196" s="16">
        <f t="shared" si="524"/>
        <v>0</v>
      </c>
      <c r="N1196" s="27">
        <f>N1197</f>
        <v>25543</v>
      </c>
      <c r="O1196" s="16">
        <f t="shared" si="525"/>
        <v>0</v>
      </c>
    </row>
    <row r="1197" spans="1:15" s="3" customFormat="1" ht="25.5">
      <c r="A1197" s="34" t="s">
        <v>107</v>
      </c>
      <c r="B1197" s="25" t="s">
        <v>12</v>
      </c>
      <c r="C1197" s="26" t="s">
        <v>65</v>
      </c>
      <c r="D1197" s="26" t="s">
        <v>37</v>
      </c>
      <c r="E1197" s="26" t="s">
        <v>505</v>
      </c>
      <c r="F1197" s="26" t="s">
        <v>115</v>
      </c>
      <c r="G1197" s="27">
        <f>SUM(G1198:G1199)</f>
        <v>25543</v>
      </c>
      <c r="H1197" s="27">
        <f t="shared" ref="H1197:I1197" si="540">SUM(H1198:H1199)</f>
        <v>25543</v>
      </c>
      <c r="I1197" s="27">
        <f t="shared" si="540"/>
        <v>25543</v>
      </c>
      <c r="J1197" s="27">
        <f>19618.28+5924.72</f>
        <v>25543</v>
      </c>
      <c r="K1197" s="16">
        <f t="shared" si="523"/>
        <v>0</v>
      </c>
      <c r="L1197" s="27">
        <f>19618.28+5924.72</f>
        <v>25543</v>
      </c>
      <c r="M1197" s="16">
        <f t="shared" si="524"/>
        <v>0</v>
      </c>
      <c r="N1197" s="27">
        <f>19618.28+5924.72</f>
        <v>25543</v>
      </c>
      <c r="O1197" s="16">
        <f t="shared" si="525"/>
        <v>0</v>
      </c>
    </row>
    <row r="1198" spans="1:15" s="94" customFormat="1">
      <c r="A1198" s="12" t="s">
        <v>936</v>
      </c>
      <c r="B1198" s="25" t="s">
        <v>12</v>
      </c>
      <c r="C1198" s="26" t="s">
        <v>65</v>
      </c>
      <c r="D1198" s="26" t="s">
        <v>37</v>
      </c>
      <c r="E1198" s="26" t="s">
        <v>505</v>
      </c>
      <c r="F1198" s="26" t="s">
        <v>1063</v>
      </c>
      <c r="G1198" s="27">
        <v>19618.28</v>
      </c>
      <c r="H1198" s="27">
        <v>19618.28</v>
      </c>
      <c r="I1198" s="27">
        <v>19618.28</v>
      </c>
      <c r="J1198" s="81"/>
      <c r="K1198" s="91">
        <f t="shared" si="523"/>
        <v>-19618.28</v>
      </c>
      <c r="L1198" s="81"/>
      <c r="M1198" s="91">
        <f t="shared" si="524"/>
        <v>-19618.28</v>
      </c>
      <c r="N1198" s="81"/>
      <c r="O1198" s="91">
        <f t="shared" si="525"/>
        <v>-19618.28</v>
      </c>
    </row>
    <row r="1199" spans="1:15" s="94" customFormat="1" ht="38.25">
      <c r="A1199" s="12" t="s">
        <v>939</v>
      </c>
      <c r="B1199" s="25" t="s">
        <v>12</v>
      </c>
      <c r="C1199" s="26" t="s">
        <v>65</v>
      </c>
      <c r="D1199" s="26" t="s">
        <v>37</v>
      </c>
      <c r="E1199" s="26" t="s">
        <v>505</v>
      </c>
      <c r="F1199" s="26" t="s">
        <v>1060</v>
      </c>
      <c r="G1199" s="27">
        <v>5924.72</v>
      </c>
      <c r="H1199" s="27">
        <v>5924.72</v>
      </c>
      <c r="I1199" s="27">
        <v>5924.72</v>
      </c>
      <c r="J1199" s="81"/>
      <c r="K1199" s="91">
        <f t="shared" si="523"/>
        <v>-5924.72</v>
      </c>
      <c r="L1199" s="81"/>
      <c r="M1199" s="91">
        <f t="shared" si="524"/>
        <v>-5924.72</v>
      </c>
      <c r="N1199" s="81"/>
      <c r="O1199" s="91">
        <f t="shared" si="525"/>
        <v>-5924.72</v>
      </c>
    </row>
    <row r="1200" spans="1:15" s="3" customFormat="1" ht="51">
      <c r="A1200" s="126" t="s">
        <v>598</v>
      </c>
      <c r="B1200" s="25" t="s">
        <v>12</v>
      </c>
      <c r="C1200" s="26" t="s">
        <v>65</v>
      </c>
      <c r="D1200" s="26" t="s">
        <v>37</v>
      </c>
      <c r="E1200" s="26" t="s">
        <v>506</v>
      </c>
      <c r="F1200" s="26" t="s">
        <v>58</v>
      </c>
      <c r="G1200" s="27">
        <f>G1201+G1205</f>
        <v>1218.6300000000001</v>
      </c>
      <c r="H1200" s="27">
        <f>H1201+H1205</f>
        <v>1218.6300000000001</v>
      </c>
      <c r="I1200" s="27">
        <f>I1201+I1205</f>
        <v>1218.6300000000001</v>
      </c>
      <c r="J1200" s="27">
        <f>J1201+J1205</f>
        <v>1218.6300000000001</v>
      </c>
      <c r="K1200" s="16">
        <f t="shared" si="523"/>
        <v>0</v>
      </c>
      <c r="L1200" s="27">
        <f>L1201+L1205</f>
        <v>1218.6300000000001</v>
      </c>
      <c r="M1200" s="16">
        <f t="shared" si="524"/>
        <v>0</v>
      </c>
      <c r="N1200" s="27">
        <f>N1201+N1205</f>
        <v>1218.6300000000001</v>
      </c>
      <c r="O1200" s="16">
        <f t="shared" si="525"/>
        <v>0</v>
      </c>
    </row>
    <row r="1201" spans="1:15" s="3" customFormat="1" ht="25.5">
      <c r="A1201" s="34" t="s">
        <v>107</v>
      </c>
      <c r="B1201" s="25" t="s">
        <v>12</v>
      </c>
      <c r="C1201" s="26" t="s">
        <v>65</v>
      </c>
      <c r="D1201" s="26" t="s">
        <v>37</v>
      </c>
      <c r="E1201" s="26" t="s">
        <v>506</v>
      </c>
      <c r="F1201" s="26" t="s">
        <v>115</v>
      </c>
      <c r="G1201" s="27">
        <f>SUM(G1202:G1204)</f>
        <v>1059.71</v>
      </c>
      <c r="H1201" s="27">
        <f t="shared" ref="H1201:I1201" si="541">SUM(H1202:H1204)</f>
        <v>1059.71</v>
      </c>
      <c r="I1201" s="27">
        <f t="shared" si="541"/>
        <v>1059.71</v>
      </c>
      <c r="J1201" s="27">
        <f>775.6+38.3+245.81</f>
        <v>1059.71</v>
      </c>
      <c r="K1201" s="16">
        <f t="shared" si="523"/>
        <v>0</v>
      </c>
      <c r="L1201" s="27">
        <f>775.6+38.3+245.81</f>
        <v>1059.71</v>
      </c>
      <c r="M1201" s="16">
        <f t="shared" si="524"/>
        <v>0</v>
      </c>
      <c r="N1201" s="27">
        <f>775.6+38.3+245.81</f>
        <v>1059.71</v>
      </c>
      <c r="O1201" s="16">
        <f t="shared" si="525"/>
        <v>0</v>
      </c>
    </row>
    <row r="1202" spans="1:15" s="4" customFormat="1">
      <c r="A1202" s="11" t="s">
        <v>936</v>
      </c>
      <c r="B1202" s="25" t="s">
        <v>12</v>
      </c>
      <c r="C1202" s="26" t="s">
        <v>65</v>
      </c>
      <c r="D1202" s="26" t="s">
        <v>37</v>
      </c>
      <c r="E1202" s="26" t="s">
        <v>506</v>
      </c>
      <c r="F1202" s="26" t="s">
        <v>1063</v>
      </c>
      <c r="G1202" s="27">
        <v>775.6</v>
      </c>
      <c r="H1202" s="27">
        <v>775.6</v>
      </c>
      <c r="I1202" s="27">
        <v>775.6</v>
      </c>
      <c r="J1202" s="80"/>
      <c r="K1202" s="16">
        <f t="shared" si="523"/>
        <v>-775.6</v>
      </c>
      <c r="L1202" s="80"/>
      <c r="M1202" s="16">
        <f t="shared" si="524"/>
        <v>-775.6</v>
      </c>
      <c r="N1202" s="80"/>
      <c r="O1202" s="16">
        <f t="shared" si="525"/>
        <v>-775.6</v>
      </c>
    </row>
    <row r="1203" spans="1:15" s="4" customFormat="1" ht="25.5">
      <c r="A1203" s="12" t="s">
        <v>937</v>
      </c>
      <c r="B1203" s="25" t="s">
        <v>12</v>
      </c>
      <c r="C1203" s="26" t="s">
        <v>65</v>
      </c>
      <c r="D1203" s="26" t="s">
        <v>37</v>
      </c>
      <c r="E1203" s="26" t="s">
        <v>506</v>
      </c>
      <c r="F1203" s="26" t="s">
        <v>1059</v>
      </c>
      <c r="G1203" s="27">
        <v>38.299999999999997</v>
      </c>
      <c r="H1203" s="27">
        <v>38.299999999999997</v>
      </c>
      <c r="I1203" s="27">
        <v>38.299999999999997</v>
      </c>
      <c r="J1203" s="80"/>
      <c r="K1203" s="16"/>
      <c r="L1203" s="80"/>
      <c r="M1203" s="16"/>
      <c r="N1203" s="80"/>
      <c r="O1203" s="16"/>
    </row>
    <row r="1204" spans="1:15" s="4" customFormat="1" ht="38.25">
      <c r="A1204" s="11" t="s">
        <v>939</v>
      </c>
      <c r="B1204" s="25" t="s">
        <v>12</v>
      </c>
      <c r="C1204" s="26" t="s">
        <v>65</v>
      </c>
      <c r="D1204" s="26" t="s">
        <v>37</v>
      </c>
      <c r="E1204" s="26" t="s">
        <v>506</v>
      </c>
      <c r="F1204" s="26" t="s">
        <v>1060</v>
      </c>
      <c r="G1204" s="27">
        <v>245.81</v>
      </c>
      <c r="H1204" s="27">
        <v>245.81</v>
      </c>
      <c r="I1204" s="27">
        <v>245.81</v>
      </c>
      <c r="J1204" s="80"/>
      <c r="K1204" s="16">
        <f t="shared" si="523"/>
        <v>-245.81</v>
      </c>
      <c r="L1204" s="80"/>
      <c r="M1204" s="16">
        <f t="shared" si="524"/>
        <v>-245.81</v>
      </c>
      <c r="N1204" s="80"/>
      <c r="O1204" s="16">
        <f t="shared" si="525"/>
        <v>-245.81</v>
      </c>
    </row>
    <row r="1205" spans="1:15" s="3" customFormat="1" ht="25.5">
      <c r="A1205" s="11" t="s">
        <v>108</v>
      </c>
      <c r="B1205" s="25" t="s">
        <v>12</v>
      </c>
      <c r="C1205" s="26" t="s">
        <v>65</v>
      </c>
      <c r="D1205" s="26" t="s">
        <v>37</v>
      </c>
      <c r="E1205" s="26" t="s">
        <v>506</v>
      </c>
      <c r="F1205" s="26" t="s">
        <v>116</v>
      </c>
      <c r="G1205" s="27">
        <f>G1206</f>
        <v>158.91999999999999</v>
      </c>
      <c r="H1205" s="27">
        <f t="shared" ref="H1205:I1205" si="542">H1206</f>
        <v>158.91999999999999</v>
      </c>
      <c r="I1205" s="27">
        <f t="shared" si="542"/>
        <v>158.91999999999999</v>
      </c>
      <c r="J1205" s="27">
        <f>158.92</f>
        <v>158.91999999999999</v>
      </c>
      <c r="K1205" s="16">
        <f t="shared" si="523"/>
        <v>0</v>
      </c>
      <c r="L1205" s="27">
        <f>158.92</f>
        <v>158.91999999999999</v>
      </c>
      <c r="M1205" s="16">
        <f t="shared" si="524"/>
        <v>0</v>
      </c>
      <c r="N1205" s="27">
        <f>158.92</f>
        <v>158.91999999999999</v>
      </c>
      <c r="O1205" s="16">
        <f t="shared" si="525"/>
        <v>0</v>
      </c>
    </row>
    <row r="1206" spans="1:15" s="4" customFormat="1" ht="25.5">
      <c r="A1206" s="12" t="s">
        <v>973</v>
      </c>
      <c r="B1206" s="25" t="s">
        <v>12</v>
      </c>
      <c r="C1206" s="26" t="s">
        <v>65</v>
      </c>
      <c r="D1206" s="26" t="s">
        <v>37</v>
      </c>
      <c r="E1206" s="26" t="s">
        <v>506</v>
      </c>
      <c r="F1206" s="26" t="s">
        <v>1043</v>
      </c>
      <c r="G1206" s="27">
        <f>158.92</f>
        <v>158.91999999999999</v>
      </c>
      <c r="H1206" s="27">
        <f>158.92</f>
        <v>158.91999999999999</v>
      </c>
      <c r="I1206" s="27">
        <f>158.92</f>
        <v>158.91999999999999</v>
      </c>
      <c r="J1206" s="80"/>
      <c r="K1206" s="16">
        <f t="shared" si="523"/>
        <v>-158.91999999999999</v>
      </c>
      <c r="L1206" s="80"/>
      <c r="M1206" s="16">
        <f t="shared" si="524"/>
        <v>-158.91999999999999</v>
      </c>
      <c r="N1206" s="80"/>
      <c r="O1206" s="16">
        <f t="shared" si="525"/>
        <v>-158.91999999999999</v>
      </c>
    </row>
    <row r="1207" spans="1:15" s="3" customFormat="1" ht="51">
      <c r="A1207" s="34" t="s">
        <v>870</v>
      </c>
      <c r="B1207" s="25" t="str">
        <f t="shared" ref="B1207:D1209" si="543">B1196</f>
        <v>618</v>
      </c>
      <c r="C1207" s="26" t="str">
        <f t="shared" si="543"/>
        <v>01</v>
      </c>
      <c r="D1207" s="26" t="str">
        <f t="shared" si="543"/>
        <v>04</v>
      </c>
      <c r="E1207" s="26" t="s">
        <v>507</v>
      </c>
      <c r="F1207" s="26" t="s">
        <v>58</v>
      </c>
      <c r="G1207" s="27">
        <f>G1208</f>
        <v>51.74</v>
      </c>
      <c r="H1207" s="27">
        <f>H1208</f>
        <v>51.74</v>
      </c>
      <c r="I1207" s="27">
        <f>I1208</f>
        <v>51.74</v>
      </c>
      <c r="J1207" s="27">
        <f>J1208</f>
        <v>51.74</v>
      </c>
      <c r="K1207" s="16">
        <f t="shared" si="523"/>
        <v>0</v>
      </c>
      <c r="L1207" s="27">
        <f>L1208</f>
        <v>51.74</v>
      </c>
      <c r="M1207" s="16">
        <f t="shared" si="524"/>
        <v>0</v>
      </c>
      <c r="N1207" s="27">
        <f>N1208</f>
        <v>51.74</v>
      </c>
      <c r="O1207" s="16">
        <f t="shared" si="525"/>
        <v>0</v>
      </c>
    </row>
    <row r="1208" spans="1:15" s="3" customFormat="1" ht="25.5">
      <c r="A1208" s="11" t="s">
        <v>108</v>
      </c>
      <c r="B1208" s="25" t="str">
        <f t="shared" si="543"/>
        <v>618</v>
      </c>
      <c r="C1208" s="26" t="str">
        <f t="shared" si="543"/>
        <v>01</v>
      </c>
      <c r="D1208" s="26" t="str">
        <f t="shared" si="543"/>
        <v>04</v>
      </c>
      <c r="E1208" s="26" t="s">
        <v>507</v>
      </c>
      <c r="F1208" s="26" t="s">
        <v>116</v>
      </c>
      <c r="G1208" s="27">
        <f>G1209</f>
        <v>51.74</v>
      </c>
      <c r="H1208" s="27">
        <f t="shared" ref="H1208:I1208" si="544">H1209</f>
        <v>51.74</v>
      </c>
      <c r="I1208" s="27">
        <f t="shared" si="544"/>
        <v>51.74</v>
      </c>
      <c r="J1208" s="27">
        <f>51.74</f>
        <v>51.74</v>
      </c>
      <c r="K1208" s="16">
        <f t="shared" si="523"/>
        <v>0</v>
      </c>
      <c r="L1208" s="27">
        <f>51.74</f>
        <v>51.74</v>
      </c>
      <c r="M1208" s="16">
        <f t="shared" si="524"/>
        <v>0</v>
      </c>
      <c r="N1208" s="27">
        <f>51.74</f>
        <v>51.74</v>
      </c>
      <c r="O1208" s="16">
        <f t="shared" si="525"/>
        <v>0</v>
      </c>
    </row>
    <row r="1209" spans="1:15" s="4" customFormat="1" ht="25.5">
      <c r="A1209" s="12" t="s">
        <v>973</v>
      </c>
      <c r="B1209" s="25" t="str">
        <f t="shared" si="543"/>
        <v>618</v>
      </c>
      <c r="C1209" s="26" t="str">
        <f t="shared" si="543"/>
        <v>01</v>
      </c>
      <c r="D1209" s="26" t="str">
        <f t="shared" si="543"/>
        <v>04</v>
      </c>
      <c r="E1209" s="26" t="s">
        <v>507</v>
      </c>
      <c r="F1209" s="26" t="s">
        <v>1043</v>
      </c>
      <c r="G1209" s="27">
        <f>51.74</f>
        <v>51.74</v>
      </c>
      <c r="H1209" s="27">
        <f>51.74</f>
        <v>51.74</v>
      </c>
      <c r="I1209" s="27">
        <f>51.74</f>
        <v>51.74</v>
      </c>
      <c r="J1209" s="80"/>
      <c r="K1209" s="16">
        <f t="shared" si="523"/>
        <v>-51.74</v>
      </c>
      <c r="L1209" s="80"/>
      <c r="M1209" s="16">
        <f t="shared" si="524"/>
        <v>-51.74</v>
      </c>
      <c r="N1209" s="80"/>
      <c r="O1209" s="16">
        <f t="shared" si="525"/>
        <v>-51.74</v>
      </c>
    </row>
    <row r="1210" spans="1:15" s="3" customFormat="1">
      <c r="A1210" s="21" t="s">
        <v>38</v>
      </c>
      <c r="B1210" s="22" t="s">
        <v>12</v>
      </c>
      <c r="C1210" s="23" t="s">
        <v>65</v>
      </c>
      <c r="D1210" s="23" t="s">
        <v>84</v>
      </c>
      <c r="E1210" s="23" t="s">
        <v>196</v>
      </c>
      <c r="F1210" s="23" t="s">
        <v>58</v>
      </c>
      <c r="G1210" s="24">
        <f>G1211</f>
        <v>354.3</v>
      </c>
      <c r="H1210" s="24">
        <f t="shared" ref="H1210:N1210" si="545">H1211</f>
        <v>357.85</v>
      </c>
      <c r="I1210" s="24">
        <f t="shared" si="545"/>
        <v>357.85</v>
      </c>
      <c r="J1210" s="24">
        <f>J1211</f>
        <v>354.3</v>
      </c>
      <c r="K1210" s="16">
        <f t="shared" si="523"/>
        <v>0</v>
      </c>
      <c r="L1210" s="24">
        <f t="shared" si="545"/>
        <v>357.85</v>
      </c>
      <c r="M1210" s="16">
        <f t="shared" si="524"/>
        <v>0</v>
      </c>
      <c r="N1210" s="24">
        <f t="shared" si="545"/>
        <v>357.85</v>
      </c>
      <c r="O1210" s="16">
        <f t="shared" si="525"/>
        <v>0</v>
      </c>
    </row>
    <row r="1211" spans="1:15" s="3" customFormat="1" ht="38.25">
      <c r="A1211" s="13" t="s">
        <v>745</v>
      </c>
      <c r="B1211" s="25" t="s">
        <v>12</v>
      </c>
      <c r="C1211" s="26" t="s">
        <v>65</v>
      </c>
      <c r="D1211" s="26" t="s">
        <v>84</v>
      </c>
      <c r="E1211" s="26" t="s">
        <v>280</v>
      </c>
      <c r="F1211" s="26" t="s">
        <v>58</v>
      </c>
      <c r="G1211" s="27">
        <f t="shared" ref="G1211:N1215" si="546">G1212</f>
        <v>354.3</v>
      </c>
      <c r="H1211" s="27">
        <f t="shared" si="546"/>
        <v>357.85</v>
      </c>
      <c r="I1211" s="27">
        <f t="shared" si="546"/>
        <v>357.85</v>
      </c>
      <c r="J1211" s="27">
        <f t="shared" si="546"/>
        <v>354.3</v>
      </c>
      <c r="K1211" s="16">
        <f t="shared" ref="K1211:K1275" si="547">J1211-G1211</f>
        <v>0</v>
      </c>
      <c r="L1211" s="27">
        <f t="shared" si="546"/>
        <v>357.85</v>
      </c>
      <c r="M1211" s="16">
        <f t="shared" ref="M1211:M1275" si="548">L1211-H1211</f>
        <v>0</v>
      </c>
      <c r="N1211" s="27">
        <f t="shared" si="546"/>
        <v>357.85</v>
      </c>
      <c r="O1211" s="16">
        <f t="shared" ref="O1211:O1275" si="549">N1211-I1211</f>
        <v>0</v>
      </c>
    </row>
    <row r="1212" spans="1:15" s="3" customFormat="1" ht="51">
      <c r="A1212" s="13" t="s">
        <v>746</v>
      </c>
      <c r="B1212" s="25" t="s">
        <v>12</v>
      </c>
      <c r="C1212" s="26" t="s">
        <v>65</v>
      </c>
      <c r="D1212" s="26" t="s">
        <v>84</v>
      </c>
      <c r="E1212" s="26" t="s">
        <v>281</v>
      </c>
      <c r="F1212" s="26" t="s">
        <v>58</v>
      </c>
      <c r="G1212" s="27">
        <f t="shared" si="546"/>
        <v>354.3</v>
      </c>
      <c r="H1212" s="27">
        <f t="shared" si="546"/>
        <v>357.85</v>
      </c>
      <c r="I1212" s="27">
        <f t="shared" si="546"/>
        <v>357.85</v>
      </c>
      <c r="J1212" s="27">
        <f t="shared" si="546"/>
        <v>354.3</v>
      </c>
      <c r="K1212" s="16">
        <f t="shared" si="547"/>
        <v>0</v>
      </c>
      <c r="L1212" s="27">
        <f t="shared" si="546"/>
        <v>357.85</v>
      </c>
      <c r="M1212" s="16">
        <f t="shared" si="548"/>
        <v>0</v>
      </c>
      <c r="N1212" s="27">
        <f t="shared" si="546"/>
        <v>357.85</v>
      </c>
      <c r="O1212" s="16">
        <f t="shared" si="549"/>
        <v>0</v>
      </c>
    </row>
    <row r="1213" spans="1:15" s="3" customFormat="1" ht="38.25">
      <c r="A1213" s="140" t="s">
        <v>282</v>
      </c>
      <c r="B1213" s="141" t="s">
        <v>12</v>
      </c>
      <c r="C1213" s="26" t="s">
        <v>65</v>
      </c>
      <c r="D1213" s="26" t="s">
        <v>84</v>
      </c>
      <c r="E1213" s="26" t="s">
        <v>283</v>
      </c>
      <c r="F1213" s="26" t="s">
        <v>58</v>
      </c>
      <c r="G1213" s="27">
        <f t="shared" si="546"/>
        <v>354.3</v>
      </c>
      <c r="H1213" s="27">
        <f t="shared" si="546"/>
        <v>357.85</v>
      </c>
      <c r="I1213" s="27">
        <f t="shared" si="546"/>
        <v>357.85</v>
      </c>
      <c r="J1213" s="27">
        <f t="shared" si="546"/>
        <v>354.3</v>
      </c>
      <c r="K1213" s="16">
        <f t="shared" si="547"/>
        <v>0</v>
      </c>
      <c r="L1213" s="27">
        <f t="shared" si="546"/>
        <v>357.85</v>
      </c>
      <c r="M1213" s="16">
        <f t="shared" si="548"/>
        <v>0</v>
      </c>
      <c r="N1213" s="27">
        <f t="shared" si="546"/>
        <v>357.85</v>
      </c>
      <c r="O1213" s="16">
        <f t="shared" si="549"/>
        <v>0</v>
      </c>
    </row>
    <row r="1214" spans="1:15" s="3" customFormat="1" ht="25.5">
      <c r="A1214" s="11" t="s">
        <v>167</v>
      </c>
      <c r="B1214" s="25" t="s">
        <v>12</v>
      </c>
      <c r="C1214" s="26" t="s">
        <v>65</v>
      </c>
      <c r="D1214" s="26" t="s">
        <v>84</v>
      </c>
      <c r="E1214" s="26" t="s">
        <v>491</v>
      </c>
      <c r="F1214" s="26" t="s">
        <v>58</v>
      </c>
      <c r="G1214" s="27">
        <f t="shared" si="546"/>
        <v>354.3</v>
      </c>
      <c r="H1214" s="27">
        <f t="shared" si="546"/>
        <v>357.85</v>
      </c>
      <c r="I1214" s="27">
        <f t="shared" si="546"/>
        <v>357.85</v>
      </c>
      <c r="J1214" s="27">
        <f t="shared" si="546"/>
        <v>354.3</v>
      </c>
      <c r="K1214" s="16">
        <f t="shared" si="547"/>
        <v>0</v>
      </c>
      <c r="L1214" s="27">
        <f t="shared" si="546"/>
        <v>357.85</v>
      </c>
      <c r="M1214" s="16">
        <f t="shared" si="548"/>
        <v>0</v>
      </c>
      <c r="N1214" s="27">
        <f t="shared" si="546"/>
        <v>357.85</v>
      </c>
      <c r="O1214" s="16">
        <f t="shared" si="549"/>
        <v>0</v>
      </c>
    </row>
    <row r="1215" spans="1:15" s="3" customFormat="1" ht="25.5">
      <c r="A1215" s="11" t="s">
        <v>108</v>
      </c>
      <c r="B1215" s="25" t="s">
        <v>12</v>
      </c>
      <c r="C1215" s="26" t="s">
        <v>65</v>
      </c>
      <c r="D1215" s="26" t="s">
        <v>84</v>
      </c>
      <c r="E1215" s="26" t="s">
        <v>491</v>
      </c>
      <c r="F1215" s="26" t="s">
        <v>116</v>
      </c>
      <c r="G1215" s="27">
        <f>G1216</f>
        <v>354.3</v>
      </c>
      <c r="H1215" s="27">
        <f t="shared" si="546"/>
        <v>357.85</v>
      </c>
      <c r="I1215" s="27">
        <f t="shared" si="546"/>
        <v>357.85</v>
      </c>
      <c r="J1215" s="27">
        <f>354.3</f>
        <v>354.3</v>
      </c>
      <c r="K1215" s="16">
        <f t="shared" si="547"/>
        <v>0</v>
      </c>
      <c r="L1215" s="27">
        <f>357.85</f>
        <v>357.85</v>
      </c>
      <c r="M1215" s="16">
        <f t="shared" si="548"/>
        <v>0</v>
      </c>
      <c r="N1215" s="27">
        <f>357.85</f>
        <v>357.85</v>
      </c>
      <c r="O1215" s="16">
        <f t="shared" si="549"/>
        <v>0</v>
      </c>
    </row>
    <row r="1216" spans="1:15" s="4" customFormat="1" ht="25.5">
      <c r="A1216" s="12" t="s">
        <v>973</v>
      </c>
      <c r="B1216" s="25" t="s">
        <v>12</v>
      </c>
      <c r="C1216" s="26" t="s">
        <v>65</v>
      </c>
      <c r="D1216" s="26" t="s">
        <v>84</v>
      </c>
      <c r="E1216" s="26" t="s">
        <v>491</v>
      </c>
      <c r="F1216" s="26" t="s">
        <v>1043</v>
      </c>
      <c r="G1216" s="27">
        <f>354.3</f>
        <v>354.3</v>
      </c>
      <c r="H1216" s="27">
        <f>357.85</f>
        <v>357.85</v>
      </c>
      <c r="I1216" s="27">
        <f>357.85</f>
        <v>357.85</v>
      </c>
      <c r="J1216" s="80"/>
      <c r="K1216" s="16">
        <f t="shared" si="547"/>
        <v>-354.3</v>
      </c>
      <c r="L1216" s="80"/>
      <c r="M1216" s="16">
        <f t="shared" si="548"/>
        <v>-357.85</v>
      </c>
      <c r="N1216" s="80"/>
      <c r="O1216" s="16">
        <f t="shared" si="549"/>
        <v>-357.85</v>
      </c>
    </row>
    <row r="1217" spans="1:15" s="3" customFormat="1">
      <c r="A1217" s="17" t="s">
        <v>35</v>
      </c>
      <c r="B1217" s="18" t="s">
        <v>12</v>
      </c>
      <c r="C1217" s="19" t="s">
        <v>37</v>
      </c>
      <c r="D1217" s="19" t="s">
        <v>51</v>
      </c>
      <c r="E1217" s="19" t="s">
        <v>196</v>
      </c>
      <c r="F1217" s="19" t="s">
        <v>58</v>
      </c>
      <c r="G1217" s="20">
        <f t="shared" ref="G1217:N1220" si="550">G1218</f>
        <v>55609.45</v>
      </c>
      <c r="H1217" s="20">
        <f t="shared" si="550"/>
        <v>49975.94</v>
      </c>
      <c r="I1217" s="20">
        <f t="shared" si="550"/>
        <v>49975.94</v>
      </c>
      <c r="J1217" s="20">
        <f t="shared" si="550"/>
        <v>55609.45</v>
      </c>
      <c r="K1217" s="16">
        <f t="shared" si="547"/>
        <v>0</v>
      </c>
      <c r="L1217" s="20">
        <f t="shared" si="550"/>
        <v>49975.94</v>
      </c>
      <c r="M1217" s="16">
        <f t="shared" si="548"/>
        <v>0</v>
      </c>
      <c r="N1217" s="20">
        <f t="shared" si="550"/>
        <v>49975.94</v>
      </c>
      <c r="O1217" s="16">
        <f t="shared" si="549"/>
        <v>0</v>
      </c>
    </row>
    <row r="1218" spans="1:15" s="3" customFormat="1">
      <c r="A1218" s="21" t="s">
        <v>88</v>
      </c>
      <c r="B1218" s="22" t="s">
        <v>12</v>
      </c>
      <c r="C1218" s="23" t="s">
        <v>37</v>
      </c>
      <c r="D1218" s="23" t="s">
        <v>25</v>
      </c>
      <c r="E1218" s="23" t="s">
        <v>196</v>
      </c>
      <c r="F1218" s="23" t="s">
        <v>58</v>
      </c>
      <c r="G1218" s="24">
        <f t="shared" si="550"/>
        <v>55609.45</v>
      </c>
      <c r="H1218" s="24">
        <f t="shared" si="550"/>
        <v>49975.94</v>
      </c>
      <c r="I1218" s="24">
        <f t="shared" si="550"/>
        <v>49975.94</v>
      </c>
      <c r="J1218" s="24">
        <f t="shared" si="550"/>
        <v>55609.45</v>
      </c>
      <c r="K1218" s="16">
        <f t="shared" si="547"/>
        <v>0</v>
      </c>
      <c r="L1218" s="24">
        <f t="shared" si="550"/>
        <v>49975.94</v>
      </c>
      <c r="M1218" s="16">
        <f t="shared" si="548"/>
        <v>0</v>
      </c>
      <c r="N1218" s="24">
        <f t="shared" si="550"/>
        <v>49975.94</v>
      </c>
      <c r="O1218" s="16">
        <f t="shared" si="549"/>
        <v>0</v>
      </c>
    </row>
    <row r="1219" spans="1:15" s="3" customFormat="1" ht="38.25">
      <c r="A1219" s="12" t="s">
        <v>722</v>
      </c>
      <c r="B1219" s="25" t="s">
        <v>12</v>
      </c>
      <c r="C1219" s="26" t="s">
        <v>37</v>
      </c>
      <c r="D1219" s="26" t="s">
        <v>25</v>
      </c>
      <c r="E1219" s="26" t="s">
        <v>300</v>
      </c>
      <c r="F1219" s="26" t="s">
        <v>58</v>
      </c>
      <c r="G1219" s="27">
        <f t="shared" si="550"/>
        <v>55609.45</v>
      </c>
      <c r="H1219" s="27">
        <f t="shared" si="550"/>
        <v>49975.94</v>
      </c>
      <c r="I1219" s="27">
        <f t="shared" si="550"/>
        <v>49975.94</v>
      </c>
      <c r="J1219" s="27">
        <f t="shared" si="550"/>
        <v>55609.45</v>
      </c>
      <c r="K1219" s="16">
        <f t="shared" si="547"/>
        <v>0</v>
      </c>
      <c r="L1219" s="27">
        <f t="shared" si="550"/>
        <v>49975.94</v>
      </c>
      <c r="M1219" s="16">
        <f t="shared" si="548"/>
        <v>0</v>
      </c>
      <c r="N1219" s="27">
        <f t="shared" si="550"/>
        <v>49975.94</v>
      </c>
      <c r="O1219" s="16">
        <f t="shared" si="549"/>
        <v>0</v>
      </c>
    </row>
    <row r="1220" spans="1:15" s="3" customFormat="1" ht="38.25">
      <c r="A1220" s="40" t="s">
        <v>729</v>
      </c>
      <c r="B1220" s="142" t="s">
        <v>12</v>
      </c>
      <c r="C1220" s="26" t="s">
        <v>37</v>
      </c>
      <c r="D1220" s="26" t="s">
        <v>25</v>
      </c>
      <c r="E1220" s="26" t="s">
        <v>301</v>
      </c>
      <c r="F1220" s="26" t="s">
        <v>58</v>
      </c>
      <c r="G1220" s="27">
        <f t="shared" si="550"/>
        <v>55609.45</v>
      </c>
      <c r="H1220" s="27">
        <f t="shared" si="550"/>
        <v>49975.94</v>
      </c>
      <c r="I1220" s="27">
        <f t="shared" si="550"/>
        <v>49975.94</v>
      </c>
      <c r="J1220" s="27">
        <f t="shared" si="550"/>
        <v>55609.45</v>
      </c>
      <c r="K1220" s="16">
        <f t="shared" si="547"/>
        <v>0</v>
      </c>
      <c r="L1220" s="27">
        <f t="shared" si="550"/>
        <v>49975.94</v>
      </c>
      <c r="M1220" s="16">
        <f t="shared" si="548"/>
        <v>0</v>
      </c>
      <c r="N1220" s="27">
        <f t="shared" si="550"/>
        <v>49975.94</v>
      </c>
      <c r="O1220" s="16">
        <f t="shared" si="549"/>
        <v>0</v>
      </c>
    </row>
    <row r="1221" spans="1:15" s="3" customFormat="1" ht="38.25">
      <c r="A1221" s="40" t="s">
        <v>644</v>
      </c>
      <c r="B1221" s="25" t="s">
        <v>12</v>
      </c>
      <c r="C1221" s="26" t="s">
        <v>37</v>
      </c>
      <c r="D1221" s="26" t="s">
        <v>25</v>
      </c>
      <c r="E1221" s="26" t="s">
        <v>302</v>
      </c>
      <c r="F1221" s="26" t="s">
        <v>58</v>
      </c>
      <c r="G1221" s="27">
        <f>G1228+G1222+G1225</f>
        <v>55609.45</v>
      </c>
      <c r="H1221" s="27">
        <f>H1228+H1222+H1225</f>
        <v>49975.94</v>
      </c>
      <c r="I1221" s="27">
        <f>I1228+I1222+I1225</f>
        <v>49975.94</v>
      </c>
      <c r="J1221" s="27">
        <f>J1228+J1222+J1225</f>
        <v>55609.45</v>
      </c>
      <c r="K1221" s="16">
        <f t="shared" si="547"/>
        <v>0</v>
      </c>
      <c r="L1221" s="27">
        <f>L1228+L1222+L1225</f>
        <v>49975.94</v>
      </c>
      <c r="M1221" s="16">
        <f t="shared" si="548"/>
        <v>0</v>
      </c>
      <c r="N1221" s="27">
        <f>N1228+N1222+N1225</f>
        <v>49975.94</v>
      </c>
      <c r="O1221" s="16">
        <f t="shared" si="549"/>
        <v>0</v>
      </c>
    </row>
    <row r="1222" spans="1:15" s="3" customFormat="1" ht="25.5">
      <c r="A1222" s="12" t="s">
        <v>493</v>
      </c>
      <c r="B1222" s="25" t="s">
        <v>12</v>
      </c>
      <c r="C1222" s="26" t="s">
        <v>37</v>
      </c>
      <c r="D1222" s="26" t="s">
        <v>25</v>
      </c>
      <c r="E1222" s="26" t="s">
        <v>494</v>
      </c>
      <c r="F1222" s="26" t="s">
        <v>58</v>
      </c>
      <c r="G1222" s="27">
        <f>G1223</f>
        <v>11400</v>
      </c>
      <c r="H1222" s="27">
        <f>H1223</f>
        <v>10087.43</v>
      </c>
      <c r="I1222" s="27">
        <f>I1223</f>
        <v>10087.43</v>
      </c>
      <c r="J1222" s="27">
        <f>J1223</f>
        <v>11400</v>
      </c>
      <c r="K1222" s="16">
        <f t="shared" si="547"/>
        <v>0</v>
      </c>
      <c r="L1222" s="27">
        <f>L1223</f>
        <v>10087.43</v>
      </c>
      <c r="M1222" s="16">
        <f t="shared" si="548"/>
        <v>0</v>
      </c>
      <c r="N1222" s="27">
        <f>N1223</f>
        <v>10087.43</v>
      </c>
      <c r="O1222" s="16">
        <f t="shared" si="549"/>
        <v>0</v>
      </c>
    </row>
    <row r="1223" spans="1:15" s="3" customFormat="1" ht="25.5">
      <c r="A1223" s="11" t="s">
        <v>108</v>
      </c>
      <c r="B1223" s="25" t="s">
        <v>12</v>
      </c>
      <c r="C1223" s="26" t="s">
        <v>37</v>
      </c>
      <c r="D1223" s="26" t="s">
        <v>25</v>
      </c>
      <c r="E1223" s="26" t="s">
        <v>494</v>
      </c>
      <c r="F1223" s="26" t="s">
        <v>116</v>
      </c>
      <c r="G1223" s="27">
        <f>G1224</f>
        <v>11400</v>
      </c>
      <c r="H1223" s="27">
        <f t="shared" ref="H1223:I1223" si="551">H1224</f>
        <v>10087.43</v>
      </c>
      <c r="I1223" s="27">
        <f t="shared" si="551"/>
        <v>10087.43</v>
      </c>
      <c r="J1223" s="27">
        <f>11400</f>
        <v>11400</v>
      </c>
      <c r="K1223" s="16">
        <f t="shared" si="547"/>
        <v>0</v>
      </c>
      <c r="L1223" s="27">
        <f>10087.43</f>
        <v>10087.43</v>
      </c>
      <c r="M1223" s="16">
        <f t="shared" si="548"/>
        <v>0</v>
      </c>
      <c r="N1223" s="27">
        <f>10087.43</f>
        <v>10087.43</v>
      </c>
      <c r="O1223" s="16">
        <f t="shared" si="549"/>
        <v>0</v>
      </c>
    </row>
    <row r="1224" spans="1:15" s="4" customFormat="1" ht="25.5">
      <c r="A1224" s="12" t="s">
        <v>973</v>
      </c>
      <c r="B1224" s="25" t="s">
        <v>12</v>
      </c>
      <c r="C1224" s="26" t="s">
        <v>37</v>
      </c>
      <c r="D1224" s="26" t="s">
        <v>25</v>
      </c>
      <c r="E1224" s="26" t="s">
        <v>494</v>
      </c>
      <c r="F1224" s="26" t="s">
        <v>1043</v>
      </c>
      <c r="G1224" s="27">
        <f>11400</f>
        <v>11400</v>
      </c>
      <c r="H1224" s="27">
        <f>10087.43</f>
        <v>10087.43</v>
      </c>
      <c r="I1224" s="27">
        <f>10087.43</f>
        <v>10087.43</v>
      </c>
      <c r="J1224" s="80"/>
      <c r="K1224" s="16">
        <f t="shared" si="547"/>
        <v>-11400</v>
      </c>
      <c r="L1224" s="80"/>
      <c r="M1224" s="16">
        <f t="shared" si="548"/>
        <v>-10087.43</v>
      </c>
      <c r="N1224" s="80"/>
      <c r="O1224" s="16">
        <f t="shared" si="549"/>
        <v>-10087.43</v>
      </c>
    </row>
    <row r="1225" spans="1:15" s="3" customFormat="1" ht="63.75">
      <c r="A1225" s="11" t="s">
        <v>889</v>
      </c>
      <c r="B1225" s="25" t="s">
        <v>12</v>
      </c>
      <c r="C1225" s="26" t="s">
        <v>37</v>
      </c>
      <c r="D1225" s="26" t="s">
        <v>25</v>
      </c>
      <c r="E1225" s="26" t="s">
        <v>834</v>
      </c>
      <c r="F1225" s="26" t="s">
        <v>58</v>
      </c>
      <c r="G1225" s="27">
        <f>G1226</f>
        <v>11412</v>
      </c>
      <c r="H1225" s="27">
        <f t="shared" ref="H1225:N1226" si="552">H1226</f>
        <v>0</v>
      </c>
      <c r="I1225" s="27">
        <f t="shared" si="552"/>
        <v>0</v>
      </c>
      <c r="J1225" s="27">
        <f>J1226</f>
        <v>11412</v>
      </c>
      <c r="K1225" s="16">
        <f t="shared" si="547"/>
        <v>0</v>
      </c>
      <c r="L1225" s="27">
        <f t="shared" si="552"/>
        <v>0</v>
      </c>
      <c r="M1225" s="16">
        <f t="shared" si="548"/>
        <v>0</v>
      </c>
      <c r="N1225" s="27">
        <f t="shared" si="552"/>
        <v>0</v>
      </c>
      <c r="O1225" s="16">
        <f t="shared" si="549"/>
        <v>0</v>
      </c>
    </row>
    <row r="1226" spans="1:15" s="3" customFormat="1" ht="25.5">
      <c r="A1226" s="11" t="s">
        <v>108</v>
      </c>
      <c r="B1226" s="25" t="s">
        <v>12</v>
      </c>
      <c r="C1226" s="26" t="s">
        <v>37</v>
      </c>
      <c r="D1226" s="26" t="s">
        <v>25</v>
      </c>
      <c r="E1226" s="26" t="s">
        <v>834</v>
      </c>
      <c r="F1226" s="26" t="s">
        <v>116</v>
      </c>
      <c r="G1226" s="27">
        <f>G1227</f>
        <v>11412</v>
      </c>
      <c r="H1226" s="27">
        <f t="shared" si="552"/>
        <v>0</v>
      </c>
      <c r="I1226" s="27">
        <f t="shared" si="552"/>
        <v>0</v>
      </c>
      <c r="J1226" s="27">
        <f>11412</f>
        <v>11412</v>
      </c>
      <c r="K1226" s="16">
        <f t="shared" si="547"/>
        <v>0</v>
      </c>
      <c r="L1226" s="27">
        <v>0</v>
      </c>
      <c r="M1226" s="16">
        <f t="shared" si="548"/>
        <v>0</v>
      </c>
      <c r="N1226" s="27">
        <v>0</v>
      </c>
      <c r="O1226" s="16">
        <f t="shared" si="549"/>
        <v>0</v>
      </c>
    </row>
    <row r="1227" spans="1:15" s="4" customFormat="1" ht="25.5">
      <c r="A1227" s="12" t="s">
        <v>973</v>
      </c>
      <c r="B1227" s="25" t="s">
        <v>12</v>
      </c>
      <c r="C1227" s="26" t="s">
        <v>37</v>
      </c>
      <c r="D1227" s="26" t="s">
        <v>25</v>
      </c>
      <c r="E1227" s="26" t="s">
        <v>834</v>
      </c>
      <c r="F1227" s="26" t="s">
        <v>1043</v>
      </c>
      <c r="G1227" s="27">
        <f>11412</f>
        <v>11412</v>
      </c>
      <c r="H1227" s="27">
        <v>0</v>
      </c>
      <c r="I1227" s="27">
        <v>0</v>
      </c>
      <c r="J1227" s="80"/>
      <c r="K1227" s="16">
        <f t="shared" si="547"/>
        <v>-11412</v>
      </c>
      <c r="L1227" s="80"/>
      <c r="M1227" s="16">
        <f t="shared" si="548"/>
        <v>0</v>
      </c>
      <c r="N1227" s="80"/>
      <c r="O1227" s="16">
        <f t="shared" si="549"/>
        <v>0</v>
      </c>
    </row>
    <row r="1228" spans="1:15" s="3" customFormat="1" ht="25.5">
      <c r="A1228" s="11" t="s">
        <v>902</v>
      </c>
      <c r="B1228" s="25" t="s">
        <v>12</v>
      </c>
      <c r="C1228" s="26" t="s">
        <v>37</v>
      </c>
      <c r="D1228" s="26" t="s">
        <v>25</v>
      </c>
      <c r="E1228" s="26" t="s">
        <v>909</v>
      </c>
      <c r="F1228" s="26" t="s">
        <v>58</v>
      </c>
      <c r="G1228" s="27">
        <f>G1229</f>
        <v>32797.449999999997</v>
      </c>
      <c r="H1228" s="27">
        <f>H1229</f>
        <v>39888.51</v>
      </c>
      <c r="I1228" s="27">
        <f>I1229</f>
        <v>39888.51</v>
      </c>
      <c r="J1228" s="27">
        <f>J1229</f>
        <v>32797.449999999997</v>
      </c>
      <c r="K1228" s="16">
        <f t="shared" si="547"/>
        <v>0</v>
      </c>
      <c r="L1228" s="27">
        <f>L1229</f>
        <v>39888.51</v>
      </c>
      <c r="M1228" s="16">
        <f t="shared" si="548"/>
        <v>0</v>
      </c>
      <c r="N1228" s="27">
        <f>N1229</f>
        <v>39888.51</v>
      </c>
      <c r="O1228" s="16">
        <f t="shared" si="549"/>
        <v>0</v>
      </c>
    </row>
    <row r="1229" spans="1:15" s="3" customFormat="1" ht="25.5">
      <c r="A1229" s="11" t="s">
        <v>108</v>
      </c>
      <c r="B1229" s="25" t="s">
        <v>12</v>
      </c>
      <c r="C1229" s="26" t="s">
        <v>37</v>
      </c>
      <c r="D1229" s="26" t="s">
        <v>25</v>
      </c>
      <c r="E1229" s="26" t="s">
        <v>909</v>
      </c>
      <c r="F1229" s="26" t="s">
        <v>116</v>
      </c>
      <c r="G1229" s="27">
        <f>G1230</f>
        <v>32797.449999999997</v>
      </c>
      <c r="H1229" s="27">
        <f t="shared" ref="H1229:I1229" si="553">H1230</f>
        <v>39888.51</v>
      </c>
      <c r="I1229" s="27">
        <f t="shared" si="553"/>
        <v>39888.51</v>
      </c>
      <c r="J1229" s="27">
        <f>32797.45</f>
        <v>32797.449999999997</v>
      </c>
      <c r="K1229" s="16">
        <f t="shared" si="547"/>
        <v>0</v>
      </c>
      <c r="L1229" s="27">
        <f>39888.51</f>
        <v>39888.51</v>
      </c>
      <c r="M1229" s="16">
        <f t="shared" si="548"/>
        <v>0</v>
      </c>
      <c r="N1229" s="27">
        <f>39888.51</f>
        <v>39888.51</v>
      </c>
      <c r="O1229" s="16">
        <f t="shared" si="549"/>
        <v>0</v>
      </c>
    </row>
    <row r="1230" spans="1:15" s="4" customFormat="1" ht="25.5">
      <c r="A1230" s="12" t="s">
        <v>973</v>
      </c>
      <c r="B1230" s="25" t="s">
        <v>12</v>
      </c>
      <c r="C1230" s="26" t="s">
        <v>37</v>
      </c>
      <c r="D1230" s="26" t="s">
        <v>25</v>
      </c>
      <c r="E1230" s="26" t="s">
        <v>909</v>
      </c>
      <c r="F1230" s="26" t="s">
        <v>1043</v>
      </c>
      <c r="G1230" s="27">
        <f>32797.45</f>
        <v>32797.449999999997</v>
      </c>
      <c r="H1230" s="27">
        <f>39888.51</f>
        <v>39888.51</v>
      </c>
      <c r="I1230" s="27">
        <f>39888.51</f>
        <v>39888.51</v>
      </c>
      <c r="J1230" s="80"/>
      <c r="K1230" s="16">
        <f t="shared" si="547"/>
        <v>-32797.449999999997</v>
      </c>
      <c r="L1230" s="80"/>
      <c r="M1230" s="16">
        <f t="shared" si="548"/>
        <v>-39888.51</v>
      </c>
      <c r="N1230" s="80"/>
      <c r="O1230" s="16">
        <f t="shared" si="549"/>
        <v>-39888.51</v>
      </c>
    </row>
    <row r="1231" spans="1:15" s="3" customFormat="1">
      <c r="A1231" s="17" t="s">
        <v>7</v>
      </c>
      <c r="B1231" s="18" t="s">
        <v>12</v>
      </c>
      <c r="C1231" s="19" t="s">
        <v>8</v>
      </c>
      <c r="D1231" s="19" t="s">
        <v>51</v>
      </c>
      <c r="E1231" s="19" t="s">
        <v>196</v>
      </c>
      <c r="F1231" s="19" t="s">
        <v>58</v>
      </c>
      <c r="G1231" s="20">
        <f>G1232+G1240</f>
        <v>20378.62</v>
      </c>
      <c r="H1231" s="20">
        <f>H1232+H1240</f>
        <v>19757.87</v>
      </c>
      <c r="I1231" s="20">
        <f>I1232+I1240</f>
        <v>19757.87</v>
      </c>
      <c r="J1231" s="20">
        <f>J1232+J1240</f>
        <v>20378.62</v>
      </c>
      <c r="K1231" s="16">
        <f t="shared" si="547"/>
        <v>0</v>
      </c>
      <c r="L1231" s="20">
        <f>L1232+L1240</f>
        <v>19757.87</v>
      </c>
      <c r="M1231" s="16">
        <f t="shared" si="548"/>
        <v>0</v>
      </c>
      <c r="N1231" s="20">
        <f>N1232+N1240</f>
        <v>19757.87</v>
      </c>
      <c r="O1231" s="16">
        <f t="shared" si="549"/>
        <v>0</v>
      </c>
    </row>
    <row r="1232" spans="1:15" s="3" customFormat="1">
      <c r="A1232" s="21" t="s">
        <v>9</v>
      </c>
      <c r="B1232" s="22" t="s">
        <v>12</v>
      </c>
      <c r="C1232" s="23" t="s">
        <v>8</v>
      </c>
      <c r="D1232" s="23" t="s">
        <v>65</v>
      </c>
      <c r="E1232" s="23" t="s">
        <v>196</v>
      </c>
      <c r="F1232" s="23" t="s">
        <v>58</v>
      </c>
      <c r="G1232" s="24">
        <f t="shared" ref="G1232:N1233" si="554">G1233</f>
        <v>1256.6599999999999</v>
      </c>
      <c r="H1232" s="24">
        <f t="shared" si="554"/>
        <v>1220.06</v>
      </c>
      <c r="I1232" s="24">
        <f t="shared" si="554"/>
        <v>1220.06</v>
      </c>
      <c r="J1232" s="24">
        <f t="shared" si="554"/>
        <v>1256.6599999999999</v>
      </c>
      <c r="K1232" s="16">
        <f t="shared" si="547"/>
        <v>0</v>
      </c>
      <c r="L1232" s="24">
        <f t="shared" si="554"/>
        <v>1220.06</v>
      </c>
      <c r="M1232" s="16">
        <f t="shared" si="548"/>
        <v>0</v>
      </c>
      <c r="N1232" s="24">
        <f t="shared" si="554"/>
        <v>1220.06</v>
      </c>
      <c r="O1232" s="16">
        <f t="shared" si="549"/>
        <v>0</v>
      </c>
    </row>
    <row r="1233" spans="1:15" s="3" customFormat="1" ht="38.25">
      <c r="A1233" s="12" t="s">
        <v>722</v>
      </c>
      <c r="B1233" s="25" t="s">
        <v>12</v>
      </c>
      <c r="C1233" s="26" t="s">
        <v>8</v>
      </c>
      <c r="D1233" s="26" t="s">
        <v>65</v>
      </c>
      <c r="E1233" s="26" t="s">
        <v>300</v>
      </c>
      <c r="F1233" s="26" t="s">
        <v>58</v>
      </c>
      <c r="G1233" s="27">
        <f t="shared" si="554"/>
        <v>1256.6599999999999</v>
      </c>
      <c r="H1233" s="27">
        <f t="shared" si="554"/>
        <v>1220.06</v>
      </c>
      <c r="I1233" s="27">
        <f t="shared" si="554"/>
        <v>1220.06</v>
      </c>
      <c r="J1233" s="27">
        <f t="shared" si="554"/>
        <v>1256.6599999999999</v>
      </c>
      <c r="K1233" s="16">
        <f t="shared" si="547"/>
        <v>0</v>
      </c>
      <c r="L1233" s="27">
        <f t="shared" si="554"/>
        <v>1220.06</v>
      </c>
      <c r="M1233" s="16">
        <f t="shared" si="548"/>
        <v>0</v>
      </c>
      <c r="N1233" s="27">
        <f t="shared" si="554"/>
        <v>1220.06</v>
      </c>
      <c r="O1233" s="16">
        <f t="shared" si="549"/>
        <v>0</v>
      </c>
    </row>
    <row r="1234" spans="1:15" s="3" customFormat="1" ht="25.5">
      <c r="A1234" s="11" t="s">
        <v>155</v>
      </c>
      <c r="B1234" s="25" t="s">
        <v>12</v>
      </c>
      <c r="C1234" s="26" t="s">
        <v>8</v>
      </c>
      <c r="D1234" s="26" t="s">
        <v>65</v>
      </c>
      <c r="E1234" s="26" t="s">
        <v>495</v>
      </c>
      <c r="F1234" s="26" t="s">
        <v>58</v>
      </c>
      <c r="G1234" s="27">
        <f>G1237</f>
        <v>1256.6599999999999</v>
      </c>
      <c r="H1234" s="27">
        <f>H1237</f>
        <v>1220.06</v>
      </c>
      <c r="I1234" s="27">
        <f>I1237</f>
        <v>1220.06</v>
      </c>
      <c r="J1234" s="27">
        <f>J1237</f>
        <v>1256.6599999999999</v>
      </c>
      <c r="K1234" s="16">
        <f t="shared" si="547"/>
        <v>0</v>
      </c>
      <c r="L1234" s="27">
        <f>L1237</f>
        <v>1220.06</v>
      </c>
      <c r="M1234" s="16">
        <f t="shared" si="548"/>
        <v>0</v>
      </c>
      <c r="N1234" s="27">
        <f>N1237</f>
        <v>1220.06</v>
      </c>
      <c r="O1234" s="16">
        <f t="shared" si="549"/>
        <v>0</v>
      </c>
    </row>
    <row r="1235" spans="1:15" s="3" customFormat="1" ht="38.25">
      <c r="A1235" s="40" t="s">
        <v>522</v>
      </c>
      <c r="B1235" s="35" t="s">
        <v>12</v>
      </c>
      <c r="C1235" s="36" t="s">
        <v>8</v>
      </c>
      <c r="D1235" s="36" t="s">
        <v>65</v>
      </c>
      <c r="E1235" s="36" t="s">
        <v>497</v>
      </c>
      <c r="F1235" s="36" t="s">
        <v>58</v>
      </c>
      <c r="G1235" s="37">
        <f t="shared" ref="G1235:N1236" si="555">G1236</f>
        <v>1256.6599999999999</v>
      </c>
      <c r="H1235" s="37">
        <f t="shared" si="555"/>
        <v>1220.06</v>
      </c>
      <c r="I1235" s="37">
        <f t="shared" si="555"/>
        <v>1220.06</v>
      </c>
      <c r="J1235" s="37">
        <f t="shared" si="555"/>
        <v>1256.6599999999999</v>
      </c>
      <c r="K1235" s="16">
        <f t="shared" si="547"/>
        <v>0</v>
      </c>
      <c r="L1235" s="37">
        <f t="shared" si="555"/>
        <v>1220.06</v>
      </c>
      <c r="M1235" s="16">
        <f t="shared" si="548"/>
        <v>0</v>
      </c>
      <c r="N1235" s="37">
        <f t="shared" si="555"/>
        <v>1220.06</v>
      </c>
      <c r="O1235" s="16">
        <f t="shared" si="549"/>
        <v>0</v>
      </c>
    </row>
    <row r="1236" spans="1:15" s="3" customFormat="1" ht="25.5">
      <c r="A1236" s="12" t="s">
        <v>148</v>
      </c>
      <c r="B1236" s="25" t="s">
        <v>12</v>
      </c>
      <c r="C1236" s="26" t="s">
        <v>8</v>
      </c>
      <c r="D1236" s="26" t="s">
        <v>65</v>
      </c>
      <c r="E1236" s="26" t="s">
        <v>498</v>
      </c>
      <c r="F1236" s="26" t="s">
        <v>58</v>
      </c>
      <c r="G1236" s="27">
        <f t="shared" si="555"/>
        <v>1256.6599999999999</v>
      </c>
      <c r="H1236" s="27">
        <f t="shared" si="555"/>
        <v>1220.06</v>
      </c>
      <c r="I1236" s="27">
        <f t="shared" si="555"/>
        <v>1220.06</v>
      </c>
      <c r="J1236" s="27">
        <f t="shared" si="555"/>
        <v>1256.6599999999999</v>
      </c>
      <c r="K1236" s="16">
        <f t="shared" si="547"/>
        <v>0</v>
      </c>
      <c r="L1236" s="27">
        <f t="shared" si="555"/>
        <v>1220.06</v>
      </c>
      <c r="M1236" s="16">
        <f t="shared" si="548"/>
        <v>0</v>
      </c>
      <c r="N1236" s="27">
        <f t="shared" si="555"/>
        <v>1220.06</v>
      </c>
      <c r="O1236" s="16">
        <f t="shared" si="549"/>
        <v>0</v>
      </c>
    </row>
    <row r="1237" spans="1:15" s="3" customFormat="1" ht="25.5">
      <c r="A1237" s="11" t="s">
        <v>108</v>
      </c>
      <c r="B1237" s="25" t="s">
        <v>12</v>
      </c>
      <c r="C1237" s="26" t="s">
        <v>8</v>
      </c>
      <c r="D1237" s="26" t="s">
        <v>65</v>
      </c>
      <c r="E1237" s="26" t="s">
        <v>498</v>
      </c>
      <c r="F1237" s="26" t="s">
        <v>116</v>
      </c>
      <c r="G1237" s="27">
        <f>SUM(G1238:G1239)</f>
        <v>1256.6599999999999</v>
      </c>
      <c r="H1237" s="27">
        <f t="shared" ref="H1237:I1237" si="556">SUM(H1238:H1239)</f>
        <v>1220.06</v>
      </c>
      <c r="I1237" s="27">
        <f t="shared" si="556"/>
        <v>1220.06</v>
      </c>
      <c r="J1237" s="27">
        <f>259.12+997.54</f>
        <v>1256.6599999999999</v>
      </c>
      <c r="K1237" s="16">
        <f t="shared" si="547"/>
        <v>0</v>
      </c>
      <c r="L1237" s="27">
        <f>337.5+882.56</f>
        <v>1220.06</v>
      </c>
      <c r="M1237" s="16">
        <f t="shared" si="548"/>
        <v>0</v>
      </c>
      <c r="N1237" s="27">
        <f>337.5+882.56</f>
        <v>1220.06</v>
      </c>
      <c r="O1237" s="16">
        <f t="shared" si="549"/>
        <v>0</v>
      </c>
    </row>
    <row r="1238" spans="1:15" s="3" customFormat="1">
      <c r="A1238" s="11"/>
      <c r="B1238" s="25" t="s">
        <v>12</v>
      </c>
      <c r="C1238" s="26" t="s">
        <v>8</v>
      </c>
      <c r="D1238" s="26" t="s">
        <v>65</v>
      </c>
      <c r="E1238" s="26" t="s">
        <v>498</v>
      </c>
      <c r="F1238" s="26" t="s">
        <v>1070</v>
      </c>
      <c r="G1238" s="27">
        <v>259.12</v>
      </c>
      <c r="H1238" s="27">
        <v>222.52</v>
      </c>
      <c r="I1238" s="27">
        <v>222.52</v>
      </c>
      <c r="J1238" s="27"/>
      <c r="K1238" s="16"/>
      <c r="L1238" s="27"/>
      <c r="M1238" s="16"/>
      <c r="N1238" s="27"/>
      <c r="O1238" s="16"/>
    </row>
    <row r="1239" spans="1:15" s="3" customFormat="1" ht="25.5">
      <c r="A1239" s="12" t="s">
        <v>973</v>
      </c>
      <c r="B1239" s="25" t="s">
        <v>12</v>
      </c>
      <c r="C1239" s="26" t="s">
        <v>8</v>
      </c>
      <c r="D1239" s="26" t="s">
        <v>65</v>
      </c>
      <c r="E1239" s="26" t="s">
        <v>498</v>
      </c>
      <c r="F1239" s="26" t="s">
        <v>1043</v>
      </c>
      <c r="G1239" s="27">
        <v>997.54</v>
      </c>
      <c r="H1239" s="27">
        <v>997.54</v>
      </c>
      <c r="I1239" s="27">
        <v>997.54</v>
      </c>
      <c r="J1239" s="27"/>
      <c r="K1239" s="16">
        <f t="shared" si="547"/>
        <v>-997.54</v>
      </c>
      <c r="L1239" s="27"/>
      <c r="M1239" s="16">
        <f t="shared" si="548"/>
        <v>-997.54</v>
      </c>
      <c r="N1239" s="27"/>
      <c r="O1239" s="16">
        <f t="shared" si="549"/>
        <v>-997.54</v>
      </c>
    </row>
    <row r="1240" spans="1:15" s="3" customFormat="1">
      <c r="A1240" s="21" t="s">
        <v>1</v>
      </c>
      <c r="B1240" s="22" t="s">
        <v>12</v>
      </c>
      <c r="C1240" s="23" t="s">
        <v>8</v>
      </c>
      <c r="D1240" s="23" t="s">
        <v>53</v>
      </c>
      <c r="E1240" s="23" t="s">
        <v>196</v>
      </c>
      <c r="F1240" s="23" t="s">
        <v>58</v>
      </c>
      <c r="G1240" s="24">
        <f t="shared" ref="G1240:N1242" si="557">G1241</f>
        <v>19121.96</v>
      </c>
      <c r="H1240" s="24">
        <f t="shared" si="557"/>
        <v>18537.809999999998</v>
      </c>
      <c r="I1240" s="24">
        <f t="shared" si="557"/>
        <v>18537.809999999998</v>
      </c>
      <c r="J1240" s="24">
        <f t="shared" si="557"/>
        <v>19121.96</v>
      </c>
      <c r="K1240" s="16">
        <f t="shared" si="547"/>
        <v>0</v>
      </c>
      <c r="L1240" s="24">
        <f t="shared" si="557"/>
        <v>18537.809999999998</v>
      </c>
      <c r="M1240" s="16">
        <f t="shared" si="548"/>
        <v>0</v>
      </c>
      <c r="N1240" s="24">
        <f t="shared" si="557"/>
        <v>18537.809999999998</v>
      </c>
      <c r="O1240" s="16">
        <f t="shared" si="549"/>
        <v>0</v>
      </c>
    </row>
    <row r="1241" spans="1:15" s="3" customFormat="1" ht="38.25">
      <c r="A1241" s="12" t="s">
        <v>722</v>
      </c>
      <c r="B1241" s="25" t="s">
        <v>12</v>
      </c>
      <c r="C1241" s="26" t="s">
        <v>8</v>
      </c>
      <c r="D1241" s="26" t="s">
        <v>53</v>
      </c>
      <c r="E1241" s="26" t="s">
        <v>300</v>
      </c>
      <c r="F1241" s="26" t="s">
        <v>58</v>
      </c>
      <c r="G1241" s="27">
        <f t="shared" si="557"/>
        <v>19121.96</v>
      </c>
      <c r="H1241" s="27">
        <f t="shared" si="557"/>
        <v>18537.809999999998</v>
      </c>
      <c r="I1241" s="27">
        <f t="shared" si="557"/>
        <v>18537.809999999998</v>
      </c>
      <c r="J1241" s="27">
        <f t="shared" si="557"/>
        <v>19121.96</v>
      </c>
      <c r="K1241" s="16">
        <f t="shared" si="547"/>
        <v>0</v>
      </c>
      <c r="L1241" s="27">
        <f t="shared" si="557"/>
        <v>18537.809999999998</v>
      </c>
      <c r="M1241" s="16">
        <f t="shared" si="548"/>
        <v>0</v>
      </c>
      <c r="N1241" s="27">
        <f t="shared" si="557"/>
        <v>18537.809999999998</v>
      </c>
      <c r="O1241" s="16">
        <f t="shared" si="549"/>
        <v>0</v>
      </c>
    </row>
    <row r="1242" spans="1:15" s="3" customFormat="1">
      <c r="A1242" s="11" t="s">
        <v>142</v>
      </c>
      <c r="B1242" s="25" t="s">
        <v>12</v>
      </c>
      <c r="C1242" s="26" t="s">
        <v>8</v>
      </c>
      <c r="D1242" s="26" t="s">
        <v>53</v>
      </c>
      <c r="E1242" s="26" t="s">
        <v>453</v>
      </c>
      <c r="F1242" s="26" t="s">
        <v>58</v>
      </c>
      <c r="G1242" s="27">
        <f t="shared" si="557"/>
        <v>19121.96</v>
      </c>
      <c r="H1242" s="27">
        <f t="shared" si="557"/>
        <v>18537.809999999998</v>
      </c>
      <c r="I1242" s="27">
        <f t="shared" si="557"/>
        <v>18537.809999999998</v>
      </c>
      <c r="J1242" s="27">
        <f t="shared" si="557"/>
        <v>19121.96</v>
      </c>
      <c r="K1242" s="16">
        <f t="shared" si="547"/>
        <v>0</v>
      </c>
      <c r="L1242" s="27">
        <f t="shared" si="557"/>
        <v>18537.809999999998</v>
      </c>
      <c r="M1242" s="16">
        <f t="shared" si="548"/>
        <v>0</v>
      </c>
      <c r="N1242" s="27">
        <f t="shared" si="557"/>
        <v>18537.809999999998</v>
      </c>
      <c r="O1242" s="16">
        <f t="shared" si="549"/>
        <v>0</v>
      </c>
    </row>
    <row r="1243" spans="1:15" s="3" customFormat="1" ht="25.5">
      <c r="A1243" s="40" t="s">
        <v>454</v>
      </c>
      <c r="B1243" s="35" t="s">
        <v>12</v>
      </c>
      <c r="C1243" s="36" t="s">
        <v>8</v>
      </c>
      <c r="D1243" s="36" t="s">
        <v>53</v>
      </c>
      <c r="E1243" s="26" t="s">
        <v>645</v>
      </c>
      <c r="F1243" s="36" t="s">
        <v>58</v>
      </c>
      <c r="G1243" s="37">
        <f>G1244+G1247+G1250</f>
        <v>19121.96</v>
      </c>
      <c r="H1243" s="37">
        <f>H1244+H1247+H1250</f>
        <v>18537.809999999998</v>
      </c>
      <c r="I1243" s="37">
        <f>I1244+I1247+I1250</f>
        <v>18537.809999999998</v>
      </c>
      <c r="J1243" s="37">
        <f>J1244+J1247+J1250</f>
        <v>19121.96</v>
      </c>
      <c r="K1243" s="16">
        <f t="shared" si="547"/>
        <v>0</v>
      </c>
      <c r="L1243" s="37">
        <f>L1244+L1247+L1250</f>
        <v>18537.809999999998</v>
      </c>
      <c r="M1243" s="16">
        <f t="shared" si="548"/>
        <v>0</v>
      </c>
      <c r="N1243" s="37">
        <f>N1244+N1247+N1250</f>
        <v>18537.809999999998</v>
      </c>
      <c r="O1243" s="16">
        <f t="shared" si="549"/>
        <v>0</v>
      </c>
    </row>
    <row r="1244" spans="1:15" s="3" customFormat="1" ht="25.5">
      <c r="A1244" s="11" t="s">
        <v>158</v>
      </c>
      <c r="B1244" s="25" t="s">
        <v>12</v>
      </c>
      <c r="C1244" s="26" t="s">
        <v>8</v>
      </c>
      <c r="D1244" s="26" t="s">
        <v>53</v>
      </c>
      <c r="E1244" s="26" t="s">
        <v>646</v>
      </c>
      <c r="F1244" s="26" t="s">
        <v>58</v>
      </c>
      <c r="G1244" s="27">
        <f>G1245</f>
        <v>11078.74</v>
      </c>
      <c r="H1244" s="27">
        <f>H1245</f>
        <v>10599.22</v>
      </c>
      <c r="I1244" s="27">
        <f>I1245</f>
        <v>10599.22</v>
      </c>
      <c r="J1244" s="27">
        <f>J1245</f>
        <v>11078.74</v>
      </c>
      <c r="K1244" s="16">
        <f t="shared" si="547"/>
        <v>0</v>
      </c>
      <c r="L1244" s="27">
        <f>L1245</f>
        <v>10599.22</v>
      </c>
      <c r="M1244" s="16">
        <f t="shared" si="548"/>
        <v>0</v>
      </c>
      <c r="N1244" s="27">
        <f>N1245</f>
        <v>10599.22</v>
      </c>
      <c r="O1244" s="16">
        <f t="shared" si="549"/>
        <v>0</v>
      </c>
    </row>
    <row r="1245" spans="1:15" s="3" customFormat="1" ht="25.5">
      <c r="A1245" s="11" t="s">
        <v>108</v>
      </c>
      <c r="B1245" s="25" t="s">
        <v>12</v>
      </c>
      <c r="C1245" s="26" t="s">
        <v>8</v>
      </c>
      <c r="D1245" s="26" t="s">
        <v>53</v>
      </c>
      <c r="E1245" s="26" t="s">
        <v>646</v>
      </c>
      <c r="F1245" s="26" t="s">
        <v>116</v>
      </c>
      <c r="G1245" s="27">
        <f>G1246</f>
        <v>11078.74</v>
      </c>
      <c r="H1245" s="27">
        <f t="shared" ref="H1245:I1245" si="558">H1246</f>
        <v>10599.22</v>
      </c>
      <c r="I1245" s="27">
        <f t="shared" si="558"/>
        <v>10599.22</v>
      </c>
      <c r="J1245" s="27">
        <f>11078.74</f>
        <v>11078.74</v>
      </c>
      <c r="K1245" s="16">
        <f t="shared" si="547"/>
        <v>0</v>
      </c>
      <c r="L1245" s="27">
        <f>10599.22</f>
        <v>10599.22</v>
      </c>
      <c r="M1245" s="16">
        <f t="shared" si="548"/>
        <v>0</v>
      </c>
      <c r="N1245" s="27">
        <f>10599.22</f>
        <v>10599.22</v>
      </c>
      <c r="O1245" s="16">
        <f t="shared" si="549"/>
        <v>0</v>
      </c>
    </row>
    <row r="1246" spans="1:15" s="4" customFormat="1" ht="25.5">
      <c r="A1246" s="12" t="s">
        <v>973</v>
      </c>
      <c r="B1246" s="25" t="s">
        <v>12</v>
      </c>
      <c r="C1246" s="26" t="s">
        <v>8</v>
      </c>
      <c r="D1246" s="26" t="s">
        <v>53</v>
      </c>
      <c r="E1246" s="26" t="s">
        <v>646</v>
      </c>
      <c r="F1246" s="26" t="s">
        <v>1043</v>
      </c>
      <c r="G1246" s="27">
        <f>11078.74</f>
        <v>11078.74</v>
      </c>
      <c r="H1246" s="27">
        <f>10599.22</f>
        <v>10599.22</v>
      </c>
      <c r="I1246" s="27">
        <f>10599.22</f>
        <v>10599.22</v>
      </c>
      <c r="J1246" s="80"/>
      <c r="K1246" s="16">
        <f t="shared" si="547"/>
        <v>-11078.74</v>
      </c>
      <c r="L1246" s="80"/>
      <c r="M1246" s="16">
        <f t="shared" si="548"/>
        <v>-10599.22</v>
      </c>
      <c r="N1246" s="80"/>
      <c r="O1246" s="16">
        <f t="shared" si="549"/>
        <v>-10599.22</v>
      </c>
    </row>
    <row r="1247" spans="1:15" s="3" customFormat="1">
      <c r="A1247" s="12" t="s">
        <v>890</v>
      </c>
      <c r="B1247" s="25" t="s">
        <v>12</v>
      </c>
      <c r="C1247" s="36" t="s">
        <v>8</v>
      </c>
      <c r="D1247" s="36" t="s">
        <v>53</v>
      </c>
      <c r="E1247" s="36" t="s">
        <v>910</v>
      </c>
      <c r="F1247" s="36" t="s">
        <v>58</v>
      </c>
      <c r="G1247" s="27">
        <f>G1248</f>
        <v>1046.3499999999999</v>
      </c>
      <c r="H1247" s="27">
        <f>H1248</f>
        <v>941.72</v>
      </c>
      <c r="I1247" s="27">
        <f>I1248</f>
        <v>941.72</v>
      </c>
      <c r="J1247" s="27">
        <f>J1248</f>
        <v>1046.3499999999999</v>
      </c>
      <c r="K1247" s="16">
        <f t="shared" si="547"/>
        <v>0</v>
      </c>
      <c r="L1247" s="27">
        <f>L1248</f>
        <v>941.72</v>
      </c>
      <c r="M1247" s="16">
        <f t="shared" si="548"/>
        <v>0</v>
      </c>
      <c r="N1247" s="27">
        <f>N1248</f>
        <v>941.72</v>
      </c>
      <c r="O1247" s="16">
        <f t="shared" si="549"/>
        <v>0</v>
      </c>
    </row>
    <row r="1248" spans="1:15" s="3" customFormat="1" ht="25.5">
      <c r="A1248" s="11" t="s">
        <v>108</v>
      </c>
      <c r="B1248" s="25" t="s">
        <v>12</v>
      </c>
      <c r="C1248" s="36" t="s">
        <v>8</v>
      </c>
      <c r="D1248" s="36" t="s">
        <v>53</v>
      </c>
      <c r="E1248" s="36" t="s">
        <v>910</v>
      </c>
      <c r="F1248" s="36" t="s">
        <v>116</v>
      </c>
      <c r="G1248" s="27">
        <f>G1249</f>
        <v>1046.3499999999999</v>
      </c>
      <c r="H1248" s="27">
        <f t="shared" ref="H1248:I1248" si="559">H1249</f>
        <v>941.72</v>
      </c>
      <c r="I1248" s="27">
        <f t="shared" si="559"/>
        <v>941.72</v>
      </c>
      <c r="J1248" s="27">
        <f>1046.35</f>
        <v>1046.3499999999999</v>
      </c>
      <c r="K1248" s="16">
        <f t="shared" si="547"/>
        <v>0</v>
      </c>
      <c r="L1248" s="27">
        <f>941.72</f>
        <v>941.72</v>
      </c>
      <c r="M1248" s="16">
        <f t="shared" si="548"/>
        <v>0</v>
      </c>
      <c r="N1248" s="27">
        <f>941.72</f>
        <v>941.72</v>
      </c>
      <c r="O1248" s="16">
        <f t="shared" si="549"/>
        <v>0</v>
      </c>
    </row>
    <row r="1249" spans="1:15" s="4" customFormat="1" ht="25.5">
      <c r="A1249" s="12" t="s">
        <v>973</v>
      </c>
      <c r="B1249" s="25" t="s">
        <v>12</v>
      </c>
      <c r="C1249" s="36" t="s">
        <v>8</v>
      </c>
      <c r="D1249" s="36" t="s">
        <v>53</v>
      </c>
      <c r="E1249" s="36" t="s">
        <v>910</v>
      </c>
      <c r="F1249" s="36" t="s">
        <v>1043</v>
      </c>
      <c r="G1249" s="27">
        <f>1046.35</f>
        <v>1046.3499999999999</v>
      </c>
      <c r="H1249" s="27">
        <f>941.72</f>
        <v>941.72</v>
      </c>
      <c r="I1249" s="27">
        <f>941.72</f>
        <v>941.72</v>
      </c>
      <c r="J1249" s="80"/>
      <c r="K1249" s="16">
        <f t="shared" si="547"/>
        <v>-1046.3499999999999</v>
      </c>
      <c r="L1249" s="80"/>
      <c r="M1249" s="16">
        <f t="shared" si="548"/>
        <v>-941.72</v>
      </c>
      <c r="N1249" s="80"/>
      <c r="O1249" s="16">
        <f t="shared" si="549"/>
        <v>-941.72</v>
      </c>
    </row>
    <row r="1250" spans="1:15" s="3" customFormat="1" ht="51">
      <c r="A1250" s="12" t="s">
        <v>891</v>
      </c>
      <c r="B1250" s="35" t="s">
        <v>12</v>
      </c>
      <c r="C1250" s="36" t="s">
        <v>8</v>
      </c>
      <c r="D1250" s="36" t="s">
        <v>53</v>
      </c>
      <c r="E1250" s="26" t="s">
        <v>911</v>
      </c>
      <c r="F1250" s="36" t="s">
        <v>58</v>
      </c>
      <c r="G1250" s="37">
        <f>G1251</f>
        <v>6996.87</v>
      </c>
      <c r="H1250" s="37">
        <f>H1251</f>
        <v>6996.87</v>
      </c>
      <c r="I1250" s="37">
        <f>I1251</f>
        <v>6996.87</v>
      </c>
      <c r="J1250" s="37">
        <f>J1251</f>
        <v>6996.87</v>
      </c>
      <c r="K1250" s="16">
        <f t="shared" si="547"/>
        <v>0</v>
      </c>
      <c r="L1250" s="37">
        <f>L1251</f>
        <v>6996.87</v>
      </c>
      <c r="M1250" s="16">
        <f t="shared" si="548"/>
        <v>0</v>
      </c>
      <c r="N1250" s="37">
        <f>N1251</f>
        <v>6996.87</v>
      </c>
      <c r="O1250" s="16">
        <f t="shared" si="549"/>
        <v>0</v>
      </c>
    </row>
    <row r="1251" spans="1:15" s="3" customFormat="1" ht="25.5">
      <c r="A1251" s="11" t="s">
        <v>108</v>
      </c>
      <c r="B1251" s="25" t="s">
        <v>12</v>
      </c>
      <c r="C1251" s="26" t="s">
        <v>8</v>
      </c>
      <c r="D1251" s="26" t="s">
        <v>53</v>
      </c>
      <c r="E1251" s="26" t="s">
        <v>911</v>
      </c>
      <c r="F1251" s="26" t="s">
        <v>116</v>
      </c>
      <c r="G1251" s="27">
        <f>G1252</f>
        <v>6996.87</v>
      </c>
      <c r="H1251" s="27">
        <f t="shared" ref="H1251:I1251" si="560">H1252</f>
        <v>6996.87</v>
      </c>
      <c r="I1251" s="27">
        <f t="shared" si="560"/>
        <v>6996.87</v>
      </c>
      <c r="J1251" s="27">
        <f>6996.87</f>
        <v>6996.87</v>
      </c>
      <c r="K1251" s="16">
        <f t="shared" si="547"/>
        <v>0</v>
      </c>
      <c r="L1251" s="27">
        <f>6996.87</f>
        <v>6996.87</v>
      </c>
      <c r="M1251" s="16">
        <f t="shared" si="548"/>
        <v>0</v>
      </c>
      <c r="N1251" s="27">
        <f>6996.87</f>
        <v>6996.87</v>
      </c>
      <c r="O1251" s="16">
        <f t="shared" si="549"/>
        <v>0</v>
      </c>
    </row>
    <row r="1252" spans="1:15" s="94" customFormat="1" ht="25.5">
      <c r="A1252" s="12" t="s">
        <v>973</v>
      </c>
      <c r="B1252" s="25" t="s">
        <v>12</v>
      </c>
      <c r="C1252" s="26" t="s">
        <v>8</v>
      </c>
      <c r="D1252" s="26" t="s">
        <v>53</v>
      </c>
      <c r="E1252" s="26" t="s">
        <v>911</v>
      </c>
      <c r="F1252" s="26" t="s">
        <v>1043</v>
      </c>
      <c r="G1252" s="27">
        <f>6996.87</f>
        <v>6996.87</v>
      </c>
      <c r="H1252" s="27">
        <f>6996.87</f>
        <v>6996.87</v>
      </c>
      <c r="I1252" s="27">
        <f>6996.87</f>
        <v>6996.87</v>
      </c>
      <c r="J1252" s="81"/>
      <c r="K1252" s="91">
        <f t="shared" si="547"/>
        <v>-6996.87</v>
      </c>
      <c r="L1252" s="81"/>
      <c r="M1252" s="91">
        <f t="shared" si="548"/>
        <v>-6996.87</v>
      </c>
      <c r="N1252" s="81"/>
      <c r="O1252" s="91">
        <f t="shared" si="549"/>
        <v>-6996.87</v>
      </c>
    </row>
    <row r="1253" spans="1:15" s="3" customFormat="1">
      <c r="A1253" s="17" t="s">
        <v>499</v>
      </c>
      <c r="B1253" s="18" t="s">
        <v>12</v>
      </c>
      <c r="C1253" s="19" t="s">
        <v>50</v>
      </c>
      <c r="D1253" s="19" t="s">
        <v>51</v>
      </c>
      <c r="E1253" s="19" t="s">
        <v>196</v>
      </c>
      <c r="F1253" s="19" t="s">
        <v>58</v>
      </c>
      <c r="G1253" s="20">
        <f t="shared" ref="G1253:N1256" si="561">G1254</f>
        <v>1536</v>
      </c>
      <c r="H1253" s="20">
        <f t="shared" si="561"/>
        <v>1480</v>
      </c>
      <c r="I1253" s="20">
        <f t="shared" si="561"/>
        <v>1480</v>
      </c>
      <c r="J1253" s="20">
        <f t="shared" si="561"/>
        <v>1536</v>
      </c>
      <c r="K1253" s="16">
        <f t="shared" si="547"/>
        <v>0</v>
      </c>
      <c r="L1253" s="20">
        <f t="shared" si="561"/>
        <v>1480</v>
      </c>
      <c r="M1253" s="16">
        <f t="shared" si="548"/>
        <v>0</v>
      </c>
      <c r="N1253" s="20">
        <f t="shared" si="561"/>
        <v>1480</v>
      </c>
      <c r="O1253" s="16">
        <f t="shared" si="549"/>
        <v>0</v>
      </c>
    </row>
    <row r="1254" spans="1:15" s="3" customFormat="1">
      <c r="A1254" s="21" t="s">
        <v>27</v>
      </c>
      <c r="B1254" s="22" t="s">
        <v>12</v>
      </c>
      <c r="C1254" s="23" t="s">
        <v>50</v>
      </c>
      <c r="D1254" s="23" t="s">
        <v>65</v>
      </c>
      <c r="E1254" s="23" t="s">
        <v>196</v>
      </c>
      <c r="F1254" s="23" t="s">
        <v>58</v>
      </c>
      <c r="G1254" s="24">
        <f t="shared" si="561"/>
        <v>1536</v>
      </c>
      <c r="H1254" s="24">
        <f t="shared" si="561"/>
        <v>1480</v>
      </c>
      <c r="I1254" s="24">
        <f t="shared" si="561"/>
        <v>1480</v>
      </c>
      <c r="J1254" s="24">
        <f t="shared" si="561"/>
        <v>1536</v>
      </c>
      <c r="K1254" s="16">
        <f t="shared" si="547"/>
        <v>0</v>
      </c>
      <c r="L1254" s="24">
        <f t="shared" si="561"/>
        <v>1480</v>
      </c>
      <c r="M1254" s="16">
        <f t="shared" si="548"/>
        <v>0</v>
      </c>
      <c r="N1254" s="24">
        <f t="shared" si="561"/>
        <v>1480</v>
      </c>
      <c r="O1254" s="16">
        <f t="shared" si="549"/>
        <v>0</v>
      </c>
    </row>
    <row r="1255" spans="1:15" s="3" customFormat="1">
      <c r="A1255" s="11" t="s">
        <v>739</v>
      </c>
      <c r="B1255" s="25" t="s">
        <v>12</v>
      </c>
      <c r="C1255" s="26" t="s">
        <v>50</v>
      </c>
      <c r="D1255" s="26" t="s">
        <v>65</v>
      </c>
      <c r="E1255" s="26" t="s">
        <v>277</v>
      </c>
      <c r="F1255" s="26" t="s">
        <v>58</v>
      </c>
      <c r="G1255" s="27">
        <f t="shared" si="561"/>
        <v>1536</v>
      </c>
      <c r="H1255" s="27">
        <f t="shared" si="561"/>
        <v>1480</v>
      </c>
      <c r="I1255" s="27">
        <f t="shared" si="561"/>
        <v>1480</v>
      </c>
      <c r="J1255" s="27">
        <f t="shared" si="561"/>
        <v>1536</v>
      </c>
      <c r="K1255" s="16">
        <f t="shared" si="547"/>
        <v>0</v>
      </c>
      <c r="L1255" s="27">
        <f t="shared" si="561"/>
        <v>1480</v>
      </c>
      <c r="M1255" s="16">
        <f t="shared" si="548"/>
        <v>0</v>
      </c>
      <c r="N1255" s="27">
        <f t="shared" si="561"/>
        <v>1480</v>
      </c>
      <c r="O1255" s="16">
        <f t="shared" si="549"/>
        <v>0</v>
      </c>
    </row>
    <row r="1256" spans="1:15" s="3" customFormat="1" ht="51">
      <c r="A1256" s="12" t="s">
        <v>194</v>
      </c>
      <c r="B1256" s="25" t="s">
        <v>12</v>
      </c>
      <c r="C1256" s="26" t="s">
        <v>50</v>
      </c>
      <c r="D1256" s="26" t="s">
        <v>65</v>
      </c>
      <c r="E1256" s="26" t="s">
        <v>278</v>
      </c>
      <c r="F1256" s="26" t="s">
        <v>58</v>
      </c>
      <c r="G1256" s="27">
        <f t="shared" si="561"/>
        <v>1536</v>
      </c>
      <c r="H1256" s="27">
        <f t="shared" si="561"/>
        <v>1480</v>
      </c>
      <c r="I1256" s="27">
        <f t="shared" si="561"/>
        <v>1480</v>
      </c>
      <c r="J1256" s="27">
        <f t="shared" si="561"/>
        <v>1536</v>
      </c>
      <c r="K1256" s="16">
        <f t="shared" si="547"/>
        <v>0</v>
      </c>
      <c r="L1256" s="27">
        <f t="shared" si="561"/>
        <v>1480</v>
      </c>
      <c r="M1256" s="16">
        <f t="shared" si="548"/>
        <v>0</v>
      </c>
      <c r="N1256" s="27">
        <f t="shared" si="561"/>
        <v>1480</v>
      </c>
      <c r="O1256" s="16">
        <f t="shared" si="549"/>
        <v>0</v>
      </c>
    </row>
    <row r="1257" spans="1:15" s="3" customFormat="1" ht="63.75">
      <c r="A1257" s="40" t="s">
        <v>605</v>
      </c>
      <c r="B1257" s="35" t="s">
        <v>12</v>
      </c>
      <c r="C1257" s="36" t="s">
        <v>50</v>
      </c>
      <c r="D1257" s="36" t="s">
        <v>65</v>
      </c>
      <c r="E1257" s="36" t="s">
        <v>279</v>
      </c>
      <c r="F1257" s="36" t="s">
        <v>58</v>
      </c>
      <c r="G1257" s="37">
        <f>G1258+G1261</f>
        <v>1536</v>
      </c>
      <c r="H1257" s="37">
        <f>H1258+H1261</f>
        <v>1480</v>
      </c>
      <c r="I1257" s="37">
        <f>I1258+I1261</f>
        <v>1480</v>
      </c>
      <c r="J1257" s="37">
        <f>J1258+J1261</f>
        <v>1536</v>
      </c>
      <c r="K1257" s="16">
        <f t="shared" si="547"/>
        <v>0</v>
      </c>
      <c r="L1257" s="37">
        <f>L1258+L1261</f>
        <v>1480</v>
      </c>
      <c r="M1257" s="16">
        <f t="shared" si="548"/>
        <v>0</v>
      </c>
      <c r="N1257" s="37">
        <f>N1258+N1261</f>
        <v>1480</v>
      </c>
      <c r="O1257" s="16">
        <f t="shared" si="549"/>
        <v>0</v>
      </c>
    </row>
    <row r="1258" spans="1:15" s="3" customFormat="1" ht="25.5">
      <c r="A1258" s="11" t="s">
        <v>161</v>
      </c>
      <c r="B1258" s="25" t="s">
        <v>12</v>
      </c>
      <c r="C1258" s="26" t="s">
        <v>50</v>
      </c>
      <c r="D1258" s="26" t="s">
        <v>65</v>
      </c>
      <c r="E1258" s="26" t="s">
        <v>320</v>
      </c>
      <c r="F1258" s="26" t="s">
        <v>58</v>
      </c>
      <c r="G1258" s="27">
        <f>G1259</f>
        <v>975</v>
      </c>
      <c r="H1258" s="27">
        <f>H1259</f>
        <v>919</v>
      </c>
      <c r="I1258" s="27">
        <f>I1259</f>
        <v>919</v>
      </c>
      <c r="J1258" s="27">
        <f>J1259</f>
        <v>975</v>
      </c>
      <c r="K1258" s="16">
        <f t="shared" si="547"/>
        <v>0</v>
      </c>
      <c r="L1258" s="27">
        <f>L1259</f>
        <v>919</v>
      </c>
      <c r="M1258" s="16">
        <f t="shared" si="548"/>
        <v>0</v>
      </c>
      <c r="N1258" s="27">
        <f>N1259</f>
        <v>919</v>
      </c>
      <c r="O1258" s="16">
        <f t="shared" si="549"/>
        <v>0</v>
      </c>
    </row>
    <row r="1259" spans="1:15" s="3" customFormat="1" ht="25.5">
      <c r="A1259" s="11" t="s">
        <v>108</v>
      </c>
      <c r="B1259" s="25" t="s">
        <v>12</v>
      </c>
      <c r="C1259" s="26" t="s">
        <v>50</v>
      </c>
      <c r="D1259" s="26" t="s">
        <v>65</v>
      </c>
      <c r="E1259" s="26" t="s">
        <v>320</v>
      </c>
      <c r="F1259" s="26" t="s">
        <v>116</v>
      </c>
      <c r="G1259" s="27">
        <f>G1260</f>
        <v>975</v>
      </c>
      <c r="H1259" s="27">
        <f t="shared" ref="H1259:I1259" si="562">H1260</f>
        <v>919</v>
      </c>
      <c r="I1259" s="27">
        <f t="shared" si="562"/>
        <v>919</v>
      </c>
      <c r="J1259" s="27">
        <f>975</f>
        <v>975</v>
      </c>
      <c r="K1259" s="16">
        <f t="shared" si="547"/>
        <v>0</v>
      </c>
      <c r="L1259" s="27">
        <v>919</v>
      </c>
      <c r="M1259" s="16">
        <f t="shared" si="548"/>
        <v>0</v>
      </c>
      <c r="N1259" s="27">
        <v>919</v>
      </c>
      <c r="O1259" s="16">
        <f t="shared" si="549"/>
        <v>0</v>
      </c>
    </row>
    <row r="1260" spans="1:15" s="4" customFormat="1" ht="25.5">
      <c r="A1260" s="12" t="s">
        <v>973</v>
      </c>
      <c r="B1260" s="25" t="s">
        <v>12</v>
      </c>
      <c r="C1260" s="26" t="s">
        <v>50</v>
      </c>
      <c r="D1260" s="26" t="s">
        <v>65</v>
      </c>
      <c r="E1260" s="26" t="s">
        <v>320</v>
      </c>
      <c r="F1260" s="26" t="s">
        <v>1043</v>
      </c>
      <c r="G1260" s="27">
        <f>975</f>
        <v>975</v>
      </c>
      <c r="H1260" s="27">
        <v>919</v>
      </c>
      <c r="I1260" s="27">
        <v>919</v>
      </c>
      <c r="J1260" s="80"/>
      <c r="K1260" s="16">
        <f t="shared" si="547"/>
        <v>-975</v>
      </c>
      <c r="L1260" s="80"/>
      <c r="M1260" s="16">
        <f t="shared" si="548"/>
        <v>-919</v>
      </c>
      <c r="N1260" s="80"/>
      <c r="O1260" s="16">
        <f t="shared" si="549"/>
        <v>-919</v>
      </c>
    </row>
    <row r="1261" spans="1:15" s="3" customFormat="1" ht="25.5">
      <c r="A1261" s="12" t="s">
        <v>892</v>
      </c>
      <c r="B1261" s="25" t="s">
        <v>12</v>
      </c>
      <c r="C1261" s="26" t="s">
        <v>50</v>
      </c>
      <c r="D1261" s="26" t="s">
        <v>65</v>
      </c>
      <c r="E1261" s="26" t="s">
        <v>500</v>
      </c>
      <c r="F1261" s="26" t="s">
        <v>58</v>
      </c>
      <c r="G1261" s="27">
        <f>G1262</f>
        <v>561</v>
      </c>
      <c r="H1261" s="27">
        <f>H1262</f>
        <v>561</v>
      </c>
      <c r="I1261" s="27">
        <f>I1262</f>
        <v>561</v>
      </c>
      <c r="J1261" s="27">
        <f>J1262</f>
        <v>561</v>
      </c>
      <c r="K1261" s="16">
        <f t="shared" si="547"/>
        <v>0</v>
      </c>
      <c r="L1261" s="27">
        <f>L1262</f>
        <v>561</v>
      </c>
      <c r="M1261" s="16">
        <f t="shared" si="548"/>
        <v>0</v>
      </c>
      <c r="N1261" s="27">
        <f>N1262</f>
        <v>561</v>
      </c>
      <c r="O1261" s="16">
        <f t="shared" si="549"/>
        <v>0</v>
      </c>
    </row>
    <row r="1262" spans="1:15" s="3" customFormat="1" ht="25.5">
      <c r="A1262" s="11" t="s">
        <v>108</v>
      </c>
      <c r="B1262" s="25" t="s">
        <v>12</v>
      </c>
      <c r="C1262" s="26" t="s">
        <v>50</v>
      </c>
      <c r="D1262" s="26" t="s">
        <v>65</v>
      </c>
      <c r="E1262" s="26" t="s">
        <v>500</v>
      </c>
      <c r="F1262" s="26" t="s">
        <v>116</v>
      </c>
      <c r="G1262" s="27">
        <f>G1263</f>
        <v>561</v>
      </c>
      <c r="H1262" s="27">
        <f t="shared" ref="H1262:I1262" si="563">H1263</f>
        <v>561</v>
      </c>
      <c r="I1262" s="27">
        <f t="shared" si="563"/>
        <v>561</v>
      </c>
      <c r="J1262" s="27">
        <f>561</f>
        <v>561</v>
      </c>
      <c r="K1262" s="16">
        <f t="shared" si="547"/>
        <v>0</v>
      </c>
      <c r="L1262" s="27">
        <v>561</v>
      </c>
      <c r="M1262" s="16">
        <f t="shared" si="548"/>
        <v>0</v>
      </c>
      <c r="N1262" s="27">
        <v>561</v>
      </c>
      <c r="O1262" s="16">
        <f t="shared" si="549"/>
        <v>0</v>
      </c>
    </row>
    <row r="1263" spans="1:15" s="4" customFormat="1" ht="25.5">
      <c r="A1263" s="12" t="s">
        <v>973</v>
      </c>
      <c r="B1263" s="25" t="s">
        <v>12</v>
      </c>
      <c r="C1263" s="26" t="s">
        <v>50</v>
      </c>
      <c r="D1263" s="26" t="s">
        <v>65</v>
      </c>
      <c r="E1263" s="26" t="s">
        <v>500</v>
      </c>
      <c r="F1263" s="26" t="s">
        <v>1043</v>
      </c>
      <c r="G1263" s="27">
        <f>561</f>
        <v>561</v>
      </c>
      <c r="H1263" s="27">
        <v>561</v>
      </c>
      <c r="I1263" s="27">
        <v>561</v>
      </c>
      <c r="J1263" s="80"/>
      <c r="K1263" s="16">
        <f t="shared" si="547"/>
        <v>-561</v>
      </c>
      <c r="L1263" s="80"/>
      <c r="M1263" s="16">
        <f t="shared" si="548"/>
        <v>-561</v>
      </c>
      <c r="N1263" s="80"/>
      <c r="O1263" s="16">
        <f t="shared" si="549"/>
        <v>-561</v>
      </c>
    </row>
    <row r="1264" spans="1:15" s="3" customFormat="1">
      <c r="A1264" s="11"/>
      <c r="B1264" s="25"/>
      <c r="C1264" s="26"/>
      <c r="D1264" s="26"/>
      <c r="E1264" s="26"/>
      <c r="F1264" s="26"/>
      <c r="G1264" s="27"/>
      <c r="H1264" s="27"/>
      <c r="I1264" s="27"/>
      <c r="J1264" s="27"/>
      <c r="K1264" s="16">
        <f t="shared" si="547"/>
        <v>0</v>
      </c>
      <c r="L1264" s="27"/>
      <c r="M1264" s="16">
        <f t="shared" si="548"/>
        <v>0</v>
      </c>
      <c r="N1264" s="27"/>
      <c r="O1264" s="16">
        <f t="shared" si="549"/>
        <v>0</v>
      </c>
    </row>
    <row r="1265" spans="1:15" s="3" customFormat="1">
      <c r="A1265" s="9" t="s">
        <v>17</v>
      </c>
      <c r="B1265" s="14" t="s">
        <v>18</v>
      </c>
      <c r="C1265" s="15" t="s">
        <v>51</v>
      </c>
      <c r="D1265" s="15" t="s">
        <v>51</v>
      </c>
      <c r="E1265" s="143" t="s">
        <v>196</v>
      </c>
      <c r="F1265" s="15" t="s">
        <v>58</v>
      </c>
      <c r="G1265" s="29">
        <f>G1266+G1303+G1317+G1336</f>
        <v>167614.75000000003</v>
      </c>
      <c r="H1265" s="29">
        <f>H1266+H1303+H1317+H1336</f>
        <v>156136.91999999998</v>
      </c>
      <c r="I1265" s="29">
        <f>I1266+I1303+I1317+I1336</f>
        <v>156136.91999999998</v>
      </c>
      <c r="J1265" s="29">
        <f>J1266+J1303+J1317+J1336</f>
        <v>167614.75000000003</v>
      </c>
      <c r="K1265" s="16">
        <f t="shared" si="547"/>
        <v>0</v>
      </c>
      <c r="L1265" s="29">
        <f>L1266+L1303+L1317+L1336</f>
        <v>156136.91999999998</v>
      </c>
      <c r="M1265" s="16">
        <f t="shared" si="548"/>
        <v>0</v>
      </c>
      <c r="N1265" s="29">
        <f>N1266+N1303+N1317+N1336</f>
        <v>156136.91999999998</v>
      </c>
      <c r="O1265" s="16">
        <f t="shared" si="549"/>
        <v>0</v>
      </c>
    </row>
    <row r="1266" spans="1:15" s="3" customFormat="1">
      <c r="A1266" s="139" t="s">
        <v>64</v>
      </c>
      <c r="B1266" s="18" t="s">
        <v>18</v>
      </c>
      <c r="C1266" s="19" t="s">
        <v>65</v>
      </c>
      <c r="D1266" s="19" t="s">
        <v>51</v>
      </c>
      <c r="E1266" s="19" t="s">
        <v>196</v>
      </c>
      <c r="F1266" s="19" t="s">
        <v>58</v>
      </c>
      <c r="G1266" s="20">
        <f>G1267+G1293</f>
        <v>41675.89</v>
      </c>
      <c r="H1266" s="20">
        <f>H1267+H1293</f>
        <v>41705.760000000002</v>
      </c>
      <c r="I1266" s="20">
        <f>I1267+I1293</f>
        <v>41705.760000000002</v>
      </c>
      <c r="J1266" s="20">
        <f>J1267+J1293</f>
        <v>41675.89</v>
      </c>
      <c r="K1266" s="16">
        <f t="shared" si="547"/>
        <v>0</v>
      </c>
      <c r="L1266" s="20">
        <f>L1267+L1293</f>
        <v>41705.760000000002</v>
      </c>
      <c r="M1266" s="16">
        <f t="shared" si="548"/>
        <v>0</v>
      </c>
      <c r="N1266" s="20">
        <f>N1267+N1293</f>
        <v>41705.760000000002</v>
      </c>
      <c r="O1266" s="16">
        <f t="shared" si="549"/>
        <v>0</v>
      </c>
    </row>
    <row r="1267" spans="1:15" s="3" customFormat="1" ht="39">
      <c r="A1267" s="144" t="s">
        <v>31</v>
      </c>
      <c r="B1267" s="22" t="s">
        <v>18</v>
      </c>
      <c r="C1267" s="23" t="s">
        <v>65</v>
      </c>
      <c r="D1267" s="23" t="s">
        <v>37</v>
      </c>
      <c r="E1267" s="23" t="s">
        <v>196</v>
      </c>
      <c r="F1267" s="23" t="s">
        <v>58</v>
      </c>
      <c r="G1267" s="24">
        <f t="shared" ref="G1267:N1268" si="564">G1268</f>
        <v>41120.82</v>
      </c>
      <c r="H1267" s="24">
        <f t="shared" si="564"/>
        <v>41146.86</v>
      </c>
      <c r="I1267" s="24">
        <f t="shared" si="564"/>
        <v>41146.86</v>
      </c>
      <c r="J1267" s="24">
        <f t="shared" si="564"/>
        <v>41120.82</v>
      </c>
      <c r="K1267" s="16">
        <f t="shared" si="547"/>
        <v>0</v>
      </c>
      <c r="L1267" s="24">
        <f t="shared" si="564"/>
        <v>41146.86</v>
      </c>
      <c r="M1267" s="16">
        <f t="shared" si="548"/>
        <v>0</v>
      </c>
      <c r="N1267" s="24">
        <f t="shared" si="564"/>
        <v>41146.86</v>
      </c>
      <c r="O1267" s="16">
        <f t="shared" si="549"/>
        <v>0</v>
      </c>
    </row>
    <row r="1268" spans="1:15" s="3" customFormat="1" ht="25.5">
      <c r="A1268" s="11" t="s">
        <v>151</v>
      </c>
      <c r="B1268" s="26" t="s">
        <v>18</v>
      </c>
      <c r="C1268" s="26" t="s">
        <v>65</v>
      </c>
      <c r="D1268" s="26" t="s">
        <v>37</v>
      </c>
      <c r="E1268" s="26" t="s">
        <v>553</v>
      </c>
      <c r="F1268" s="26" t="s">
        <v>58</v>
      </c>
      <c r="G1268" s="27">
        <f t="shared" si="564"/>
        <v>41120.82</v>
      </c>
      <c r="H1268" s="27">
        <f t="shared" si="564"/>
        <v>41146.86</v>
      </c>
      <c r="I1268" s="27">
        <f t="shared" si="564"/>
        <v>41146.86</v>
      </c>
      <c r="J1268" s="27">
        <f t="shared" si="564"/>
        <v>41120.82</v>
      </c>
      <c r="K1268" s="16">
        <f t="shared" si="547"/>
        <v>0</v>
      </c>
      <c r="L1268" s="27">
        <f t="shared" si="564"/>
        <v>41146.86</v>
      </c>
      <c r="M1268" s="16">
        <f t="shared" si="548"/>
        <v>0</v>
      </c>
      <c r="N1268" s="27">
        <f t="shared" si="564"/>
        <v>41146.86</v>
      </c>
      <c r="O1268" s="16">
        <f t="shared" si="549"/>
        <v>0</v>
      </c>
    </row>
    <row r="1269" spans="1:15" s="3" customFormat="1" ht="25.5">
      <c r="A1269" s="11" t="s">
        <v>152</v>
      </c>
      <c r="B1269" s="26" t="s">
        <v>18</v>
      </c>
      <c r="C1269" s="26" t="s">
        <v>65</v>
      </c>
      <c r="D1269" s="26" t="s">
        <v>37</v>
      </c>
      <c r="E1269" s="26" t="s">
        <v>554</v>
      </c>
      <c r="F1269" s="26" t="s">
        <v>58</v>
      </c>
      <c r="G1269" s="37">
        <f>G1290+G1283+G1279+G1270</f>
        <v>41120.82</v>
      </c>
      <c r="H1269" s="37">
        <f>H1290+H1283+H1279+H1270</f>
        <v>41146.86</v>
      </c>
      <c r="I1269" s="37">
        <f>I1290+I1283+I1279+I1270</f>
        <v>41146.86</v>
      </c>
      <c r="J1269" s="37">
        <f>J1290+J1283+J1279+J1270</f>
        <v>41120.82</v>
      </c>
      <c r="K1269" s="16">
        <f t="shared" si="547"/>
        <v>0</v>
      </c>
      <c r="L1269" s="37">
        <f>L1290+L1283+L1279+L1270</f>
        <v>41146.86</v>
      </c>
      <c r="M1269" s="16">
        <f t="shared" si="548"/>
        <v>0</v>
      </c>
      <c r="N1269" s="37">
        <f>N1290+N1283+N1279+N1270</f>
        <v>41146.86</v>
      </c>
      <c r="O1269" s="16">
        <f t="shared" si="549"/>
        <v>0</v>
      </c>
    </row>
    <row r="1270" spans="1:15" s="3" customFormat="1" ht="25.5">
      <c r="A1270" s="11" t="s">
        <v>114</v>
      </c>
      <c r="B1270" s="26" t="s">
        <v>18</v>
      </c>
      <c r="C1270" s="26" t="s">
        <v>65</v>
      </c>
      <c r="D1270" s="26" t="s">
        <v>37</v>
      </c>
      <c r="E1270" s="26" t="s">
        <v>555</v>
      </c>
      <c r="F1270" s="26" t="s">
        <v>58</v>
      </c>
      <c r="G1270" s="37">
        <f>G1271+G1274+G1276</f>
        <v>4553.03</v>
      </c>
      <c r="H1270" s="37">
        <f t="shared" ref="H1270:I1270" si="565">H1271+H1274+H1276</f>
        <v>4579.0700000000006</v>
      </c>
      <c r="I1270" s="37">
        <f t="shared" si="565"/>
        <v>4579.0700000000006</v>
      </c>
      <c r="J1270" s="37">
        <f>SUM(J1271:J1276)</f>
        <v>4553.03</v>
      </c>
      <c r="K1270" s="16">
        <f t="shared" si="547"/>
        <v>0</v>
      </c>
      <c r="L1270" s="37">
        <f>SUM(L1271:L1276)</f>
        <v>4579.0700000000006</v>
      </c>
      <c r="M1270" s="16">
        <f t="shared" si="548"/>
        <v>0</v>
      </c>
      <c r="N1270" s="37">
        <f>SUM(N1271:N1276)</f>
        <v>4579.0700000000006</v>
      </c>
      <c r="O1270" s="16">
        <f t="shared" si="549"/>
        <v>0</v>
      </c>
    </row>
    <row r="1271" spans="1:15" s="145" customFormat="1" ht="25.5">
      <c r="A1271" s="34" t="s">
        <v>107</v>
      </c>
      <c r="B1271" s="36" t="s">
        <v>18</v>
      </c>
      <c r="C1271" s="36" t="s">
        <v>65</v>
      </c>
      <c r="D1271" s="36" t="s">
        <v>37</v>
      </c>
      <c r="E1271" s="26" t="s">
        <v>555</v>
      </c>
      <c r="F1271" s="36" t="s">
        <v>115</v>
      </c>
      <c r="G1271" s="37">
        <f>SUM(G1272:G1273)</f>
        <v>803.31000000000006</v>
      </c>
      <c r="H1271" s="37">
        <f t="shared" ref="H1271:I1271" si="566">SUM(H1272:H1273)</f>
        <v>803.31000000000006</v>
      </c>
      <c r="I1271" s="37">
        <f t="shared" si="566"/>
        <v>803.31000000000006</v>
      </c>
      <c r="J1271" s="37">
        <f>616.98+186.33</f>
        <v>803.31000000000006</v>
      </c>
      <c r="K1271" s="16">
        <f t="shared" si="547"/>
        <v>0</v>
      </c>
      <c r="L1271" s="37">
        <f>616.98+186.33</f>
        <v>803.31000000000006</v>
      </c>
      <c r="M1271" s="16">
        <f t="shared" si="548"/>
        <v>0</v>
      </c>
      <c r="N1271" s="37">
        <f>616.98+186.33</f>
        <v>803.31000000000006</v>
      </c>
      <c r="O1271" s="16">
        <f t="shared" si="549"/>
        <v>0</v>
      </c>
    </row>
    <row r="1272" spans="1:15" s="4" customFormat="1" ht="25.5">
      <c r="A1272" s="12" t="s">
        <v>937</v>
      </c>
      <c r="B1272" s="36" t="s">
        <v>18</v>
      </c>
      <c r="C1272" s="36" t="s">
        <v>65</v>
      </c>
      <c r="D1272" s="36" t="s">
        <v>37</v>
      </c>
      <c r="E1272" s="26" t="s">
        <v>555</v>
      </c>
      <c r="F1272" s="26" t="s">
        <v>1059</v>
      </c>
      <c r="G1272" s="27">
        <v>616.98</v>
      </c>
      <c r="H1272" s="27">
        <v>616.98</v>
      </c>
      <c r="I1272" s="27">
        <v>616.98</v>
      </c>
      <c r="J1272" s="80"/>
      <c r="K1272" s="16">
        <f t="shared" si="547"/>
        <v>-616.98</v>
      </c>
      <c r="L1272" s="80"/>
      <c r="M1272" s="16">
        <f t="shared" si="548"/>
        <v>-616.98</v>
      </c>
      <c r="N1272" s="80"/>
      <c r="O1272" s="16">
        <f t="shared" si="549"/>
        <v>-616.98</v>
      </c>
    </row>
    <row r="1273" spans="1:15" s="4" customFormat="1" ht="38.25">
      <c r="A1273" s="12" t="s">
        <v>939</v>
      </c>
      <c r="B1273" s="36" t="s">
        <v>18</v>
      </c>
      <c r="C1273" s="36" t="s">
        <v>65</v>
      </c>
      <c r="D1273" s="36" t="s">
        <v>37</v>
      </c>
      <c r="E1273" s="26" t="s">
        <v>555</v>
      </c>
      <c r="F1273" s="26" t="s">
        <v>1060</v>
      </c>
      <c r="G1273" s="27">
        <v>186.33</v>
      </c>
      <c r="H1273" s="27">
        <v>186.33</v>
      </c>
      <c r="I1273" s="27">
        <v>186.33</v>
      </c>
      <c r="J1273" s="80"/>
      <c r="K1273" s="16">
        <f t="shared" si="547"/>
        <v>-186.33</v>
      </c>
      <c r="L1273" s="80"/>
      <c r="M1273" s="16">
        <f t="shared" si="548"/>
        <v>-186.33</v>
      </c>
      <c r="N1273" s="80"/>
      <c r="O1273" s="16">
        <f t="shared" si="549"/>
        <v>-186.33</v>
      </c>
    </row>
    <row r="1274" spans="1:15" s="3" customFormat="1" ht="25.5">
      <c r="A1274" s="11" t="s">
        <v>108</v>
      </c>
      <c r="B1274" s="26" t="s">
        <v>18</v>
      </c>
      <c r="C1274" s="26" t="s">
        <v>65</v>
      </c>
      <c r="D1274" s="26" t="s">
        <v>37</v>
      </c>
      <c r="E1274" s="26" t="s">
        <v>555</v>
      </c>
      <c r="F1274" s="26" t="s">
        <v>116</v>
      </c>
      <c r="G1274" s="37">
        <f>G1275</f>
        <v>3469.72</v>
      </c>
      <c r="H1274" s="37">
        <f t="shared" ref="H1274:I1274" si="567">H1275</f>
        <v>3495.76</v>
      </c>
      <c r="I1274" s="37">
        <f t="shared" si="567"/>
        <v>3495.76</v>
      </c>
      <c r="J1274" s="37">
        <f>3469.72</f>
        <v>3469.72</v>
      </c>
      <c r="K1274" s="16">
        <f t="shared" si="547"/>
        <v>0</v>
      </c>
      <c r="L1274" s="37">
        <f>3495.76</f>
        <v>3495.76</v>
      </c>
      <c r="M1274" s="16">
        <f t="shared" si="548"/>
        <v>0</v>
      </c>
      <c r="N1274" s="37">
        <f>3495.76</f>
        <v>3495.76</v>
      </c>
      <c r="O1274" s="16">
        <f t="shared" si="549"/>
        <v>0</v>
      </c>
    </row>
    <row r="1275" spans="1:15" s="4" customFormat="1" ht="25.5">
      <c r="A1275" s="12" t="s">
        <v>973</v>
      </c>
      <c r="B1275" s="26" t="s">
        <v>18</v>
      </c>
      <c r="C1275" s="26" t="s">
        <v>65</v>
      </c>
      <c r="D1275" s="26" t="s">
        <v>37</v>
      </c>
      <c r="E1275" s="26" t="s">
        <v>555</v>
      </c>
      <c r="F1275" s="26" t="s">
        <v>1043</v>
      </c>
      <c r="G1275" s="37">
        <f>3469.72</f>
        <v>3469.72</v>
      </c>
      <c r="H1275" s="37">
        <f>3495.76</f>
        <v>3495.76</v>
      </c>
      <c r="I1275" s="37">
        <f>3495.76</f>
        <v>3495.76</v>
      </c>
      <c r="J1275" s="80"/>
      <c r="K1275" s="16">
        <f t="shared" si="547"/>
        <v>-3469.72</v>
      </c>
      <c r="L1275" s="80"/>
      <c r="M1275" s="16">
        <f t="shared" si="548"/>
        <v>-3495.76</v>
      </c>
      <c r="N1275" s="80"/>
      <c r="O1275" s="16">
        <f t="shared" si="549"/>
        <v>-3495.76</v>
      </c>
    </row>
    <row r="1276" spans="1:15" s="3" customFormat="1">
      <c r="A1276" s="11" t="s">
        <v>97</v>
      </c>
      <c r="B1276" s="36" t="s">
        <v>18</v>
      </c>
      <c r="C1276" s="36" t="s">
        <v>65</v>
      </c>
      <c r="D1276" s="36" t="s">
        <v>37</v>
      </c>
      <c r="E1276" s="26" t="s">
        <v>555</v>
      </c>
      <c r="F1276" s="36" t="s">
        <v>118</v>
      </c>
      <c r="G1276" s="37">
        <f>SUM(G1277:G1278)</f>
        <v>280</v>
      </c>
      <c r="H1276" s="37">
        <f t="shared" ref="H1276:I1276" si="568">SUM(H1277:H1278)</f>
        <v>280</v>
      </c>
      <c r="I1276" s="37">
        <f t="shared" si="568"/>
        <v>280</v>
      </c>
      <c r="J1276" s="37">
        <f>260+20</f>
        <v>280</v>
      </c>
      <c r="K1276" s="16">
        <f t="shared" ref="K1276:K1340" si="569">J1276-G1276</f>
        <v>0</v>
      </c>
      <c r="L1276" s="37">
        <f>260+20</f>
        <v>280</v>
      </c>
      <c r="M1276" s="16">
        <f t="shared" ref="M1276:M1340" si="570">L1276-H1276</f>
        <v>0</v>
      </c>
      <c r="N1276" s="37">
        <f>260+20</f>
        <v>280</v>
      </c>
      <c r="O1276" s="16">
        <f t="shared" ref="O1276:O1340" si="571">N1276-I1276</f>
        <v>0</v>
      </c>
    </row>
    <row r="1277" spans="1:15" s="4" customFormat="1">
      <c r="A1277" s="12" t="s">
        <v>1036</v>
      </c>
      <c r="B1277" s="36" t="s">
        <v>18</v>
      </c>
      <c r="C1277" s="36" t="s">
        <v>65</v>
      </c>
      <c r="D1277" s="36" t="s">
        <v>37</v>
      </c>
      <c r="E1277" s="26" t="s">
        <v>555</v>
      </c>
      <c r="F1277" s="26" t="s">
        <v>1061</v>
      </c>
      <c r="G1277" s="27">
        <v>260</v>
      </c>
      <c r="H1277" s="27">
        <v>260</v>
      </c>
      <c r="I1277" s="27">
        <v>260</v>
      </c>
      <c r="J1277" s="80"/>
      <c r="K1277" s="16">
        <f t="shared" si="569"/>
        <v>-260</v>
      </c>
      <c r="L1277" s="80"/>
      <c r="M1277" s="16">
        <f t="shared" si="570"/>
        <v>-260</v>
      </c>
      <c r="N1277" s="80"/>
      <c r="O1277" s="16">
        <f t="shared" si="571"/>
        <v>-260</v>
      </c>
    </row>
    <row r="1278" spans="1:15" s="4" customFormat="1">
      <c r="A1278" s="12" t="s">
        <v>1037</v>
      </c>
      <c r="B1278" s="36" t="s">
        <v>18</v>
      </c>
      <c r="C1278" s="36" t="s">
        <v>65</v>
      </c>
      <c r="D1278" s="36" t="s">
        <v>37</v>
      </c>
      <c r="E1278" s="26" t="s">
        <v>555</v>
      </c>
      <c r="F1278" s="26" t="s">
        <v>1062</v>
      </c>
      <c r="G1278" s="27">
        <v>20</v>
      </c>
      <c r="H1278" s="27">
        <v>20</v>
      </c>
      <c r="I1278" s="27">
        <v>20</v>
      </c>
      <c r="J1278" s="80"/>
      <c r="K1278" s="16">
        <f t="shared" si="569"/>
        <v>-20</v>
      </c>
      <c r="L1278" s="80"/>
      <c r="M1278" s="16">
        <f t="shared" si="570"/>
        <v>-20</v>
      </c>
      <c r="N1278" s="80"/>
      <c r="O1278" s="16">
        <f t="shared" si="571"/>
        <v>-20</v>
      </c>
    </row>
    <row r="1279" spans="1:15" s="127" customFormat="1" ht="25.5">
      <c r="A1279" s="34" t="s">
        <v>504</v>
      </c>
      <c r="B1279" s="36" t="s">
        <v>18</v>
      </c>
      <c r="C1279" s="36" t="s">
        <v>65</v>
      </c>
      <c r="D1279" s="36" t="s">
        <v>37</v>
      </c>
      <c r="E1279" s="36" t="s">
        <v>556</v>
      </c>
      <c r="F1279" s="36" t="s">
        <v>58</v>
      </c>
      <c r="G1279" s="37">
        <f>G1280</f>
        <v>34981.07</v>
      </c>
      <c r="H1279" s="37">
        <f>H1280</f>
        <v>34981.07</v>
      </c>
      <c r="I1279" s="37">
        <f>I1280</f>
        <v>34981.07</v>
      </c>
      <c r="J1279" s="37">
        <f>J1280</f>
        <v>34981.07</v>
      </c>
      <c r="K1279" s="16">
        <f t="shared" si="569"/>
        <v>0</v>
      </c>
      <c r="L1279" s="37">
        <f>L1280</f>
        <v>34981.07</v>
      </c>
      <c r="M1279" s="16">
        <f t="shared" si="570"/>
        <v>0</v>
      </c>
      <c r="N1279" s="37">
        <f>N1280</f>
        <v>34981.07</v>
      </c>
      <c r="O1279" s="16">
        <f t="shared" si="571"/>
        <v>0</v>
      </c>
    </row>
    <row r="1280" spans="1:15" s="145" customFormat="1" ht="25.5">
      <c r="A1280" s="34" t="s">
        <v>107</v>
      </c>
      <c r="B1280" s="36" t="s">
        <v>18</v>
      </c>
      <c r="C1280" s="36" t="s">
        <v>65</v>
      </c>
      <c r="D1280" s="36" t="s">
        <v>37</v>
      </c>
      <c r="E1280" s="36" t="s">
        <v>556</v>
      </c>
      <c r="F1280" s="36" t="s">
        <v>115</v>
      </c>
      <c r="G1280" s="37">
        <f>SUM(G1281:G1282)</f>
        <v>34981.07</v>
      </c>
      <c r="H1280" s="37">
        <f t="shared" ref="H1280:I1280" si="572">SUM(H1281:H1282)</f>
        <v>34981.07</v>
      </c>
      <c r="I1280" s="37">
        <f t="shared" si="572"/>
        <v>34981.07</v>
      </c>
      <c r="J1280" s="37">
        <f>27020.79+7960.28</f>
        <v>34981.07</v>
      </c>
      <c r="K1280" s="16">
        <f t="shared" si="569"/>
        <v>0</v>
      </c>
      <c r="L1280" s="37">
        <f>27020.79+7960.28</f>
        <v>34981.07</v>
      </c>
      <c r="M1280" s="16">
        <f t="shared" si="570"/>
        <v>0</v>
      </c>
      <c r="N1280" s="37">
        <f>27020.79+7960.28</f>
        <v>34981.07</v>
      </c>
      <c r="O1280" s="16">
        <f t="shared" si="571"/>
        <v>0</v>
      </c>
    </row>
    <row r="1281" spans="1:15" s="4" customFormat="1">
      <c r="A1281" s="12" t="s">
        <v>936</v>
      </c>
      <c r="B1281" s="36" t="s">
        <v>18</v>
      </c>
      <c r="C1281" s="36" t="s">
        <v>65</v>
      </c>
      <c r="D1281" s="36" t="s">
        <v>37</v>
      </c>
      <c r="E1281" s="36" t="s">
        <v>556</v>
      </c>
      <c r="F1281" s="26" t="s">
        <v>1063</v>
      </c>
      <c r="G1281" s="27">
        <v>26867.18</v>
      </c>
      <c r="H1281" s="27">
        <v>26867.18</v>
      </c>
      <c r="I1281" s="27">
        <v>26867.18</v>
      </c>
      <c r="J1281" s="80"/>
      <c r="K1281" s="16">
        <f t="shared" si="569"/>
        <v>-26867.18</v>
      </c>
      <c r="L1281" s="80"/>
      <c r="M1281" s="16">
        <f t="shared" si="570"/>
        <v>-26867.18</v>
      </c>
      <c r="N1281" s="80"/>
      <c r="O1281" s="16">
        <f t="shared" si="571"/>
        <v>-26867.18</v>
      </c>
    </row>
    <row r="1282" spans="1:15" s="4" customFormat="1" ht="38.25">
      <c r="A1282" s="12" t="s">
        <v>939</v>
      </c>
      <c r="B1282" s="36" t="s">
        <v>18</v>
      </c>
      <c r="C1282" s="36" t="s">
        <v>65</v>
      </c>
      <c r="D1282" s="36" t="s">
        <v>37</v>
      </c>
      <c r="E1282" s="36" t="s">
        <v>556</v>
      </c>
      <c r="F1282" s="26" t="s">
        <v>1060</v>
      </c>
      <c r="G1282" s="27">
        <v>8113.89</v>
      </c>
      <c r="H1282" s="27">
        <v>8113.89</v>
      </c>
      <c r="I1282" s="27">
        <v>8113.89</v>
      </c>
      <c r="J1282" s="80"/>
      <c r="K1282" s="16">
        <f t="shared" si="569"/>
        <v>-8113.89</v>
      </c>
      <c r="L1282" s="80"/>
      <c r="M1282" s="16">
        <f t="shared" si="570"/>
        <v>-8113.89</v>
      </c>
      <c r="N1282" s="80"/>
      <c r="O1282" s="16">
        <f t="shared" si="571"/>
        <v>-8113.89</v>
      </c>
    </row>
    <row r="1283" spans="1:15" s="127" customFormat="1" ht="51">
      <c r="A1283" s="126" t="s">
        <v>598</v>
      </c>
      <c r="B1283" s="36" t="s">
        <v>18</v>
      </c>
      <c r="C1283" s="36" t="s">
        <v>65</v>
      </c>
      <c r="D1283" s="36" t="s">
        <v>37</v>
      </c>
      <c r="E1283" s="36" t="s">
        <v>557</v>
      </c>
      <c r="F1283" s="36" t="s">
        <v>58</v>
      </c>
      <c r="G1283" s="37">
        <f>G1284+G1288</f>
        <v>1534.98</v>
      </c>
      <c r="H1283" s="37">
        <f>H1284+H1288</f>
        <v>1534.98</v>
      </c>
      <c r="I1283" s="37">
        <f>I1284+I1288</f>
        <v>1534.98</v>
      </c>
      <c r="J1283" s="37">
        <f>J1284+J1288</f>
        <v>1534.98</v>
      </c>
      <c r="K1283" s="16">
        <f t="shared" si="569"/>
        <v>0</v>
      </c>
      <c r="L1283" s="37">
        <f>L1284+L1288</f>
        <v>1534.98</v>
      </c>
      <c r="M1283" s="16">
        <f t="shared" si="570"/>
        <v>0</v>
      </c>
      <c r="N1283" s="37">
        <f>N1284+N1288</f>
        <v>1534.98</v>
      </c>
      <c r="O1283" s="16">
        <f t="shared" si="571"/>
        <v>0</v>
      </c>
    </row>
    <row r="1284" spans="1:15" s="145" customFormat="1" ht="25.5">
      <c r="A1284" s="34" t="s">
        <v>107</v>
      </c>
      <c r="B1284" s="36" t="s">
        <v>18</v>
      </c>
      <c r="C1284" s="36" t="s">
        <v>65</v>
      </c>
      <c r="D1284" s="36" t="s">
        <v>37</v>
      </c>
      <c r="E1284" s="36" t="s">
        <v>557</v>
      </c>
      <c r="F1284" s="36" t="s">
        <v>115</v>
      </c>
      <c r="G1284" s="37">
        <f>SUM(G1285:G1287)</f>
        <v>1338.68</v>
      </c>
      <c r="H1284" s="37">
        <f t="shared" ref="H1284:I1284" si="573">SUM(H1285:H1287)</f>
        <v>1338.68</v>
      </c>
      <c r="I1284" s="37">
        <f t="shared" si="573"/>
        <v>1338.68</v>
      </c>
      <c r="J1284" s="37">
        <f>977.11+51.06+310.51</f>
        <v>1338.68</v>
      </c>
      <c r="K1284" s="16">
        <f t="shared" si="569"/>
        <v>0</v>
      </c>
      <c r="L1284" s="37">
        <f>977.11+51.06+310.51</f>
        <v>1338.68</v>
      </c>
      <c r="M1284" s="16">
        <f t="shared" si="570"/>
        <v>0</v>
      </c>
      <c r="N1284" s="37">
        <f>977.11+51.06+310.51</f>
        <v>1338.68</v>
      </c>
      <c r="O1284" s="16">
        <f t="shared" si="571"/>
        <v>0</v>
      </c>
    </row>
    <row r="1285" spans="1:15" s="145" customFormat="1">
      <c r="A1285" s="11" t="s">
        <v>936</v>
      </c>
      <c r="B1285" s="36" t="s">
        <v>18</v>
      </c>
      <c r="C1285" s="36" t="s">
        <v>65</v>
      </c>
      <c r="D1285" s="36" t="s">
        <v>37</v>
      </c>
      <c r="E1285" s="36" t="s">
        <v>557</v>
      </c>
      <c r="F1285" s="26" t="s">
        <v>1063</v>
      </c>
      <c r="G1285" s="27">
        <v>977.11</v>
      </c>
      <c r="H1285" s="27">
        <v>977.11</v>
      </c>
      <c r="I1285" s="27">
        <v>977.11</v>
      </c>
      <c r="J1285" s="37"/>
      <c r="K1285" s="16"/>
      <c r="L1285" s="37"/>
      <c r="M1285" s="16"/>
      <c r="N1285" s="37"/>
      <c r="O1285" s="16"/>
    </row>
    <row r="1286" spans="1:15" s="4" customFormat="1" ht="15" customHeight="1">
      <c r="A1286" s="12" t="s">
        <v>937</v>
      </c>
      <c r="B1286" s="36" t="s">
        <v>18</v>
      </c>
      <c r="C1286" s="36" t="s">
        <v>65</v>
      </c>
      <c r="D1286" s="36" t="s">
        <v>37</v>
      </c>
      <c r="E1286" s="36" t="s">
        <v>557</v>
      </c>
      <c r="F1286" s="26" t="s">
        <v>1059</v>
      </c>
      <c r="G1286" s="27">
        <v>51.06</v>
      </c>
      <c r="H1286" s="27">
        <v>51.06</v>
      </c>
      <c r="I1286" s="27">
        <v>51.06</v>
      </c>
      <c r="J1286" s="80"/>
      <c r="K1286" s="16">
        <f t="shared" si="569"/>
        <v>-51.06</v>
      </c>
      <c r="L1286" s="80"/>
      <c r="M1286" s="16">
        <f t="shared" si="570"/>
        <v>-51.06</v>
      </c>
      <c r="N1286" s="80"/>
      <c r="O1286" s="16">
        <f t="shared" si="571"/>
        <v>-51.06</v>
      </c>
    </row>
    <row r="1287" spans="1:15" s="4" customFormat="1" ht="38.25">
      <c r="A1287" s="11" t="s">
        <v>939</v>
      </c>
      <c r="B1287" s="36" t="s">
        <v>18</v>
      </c>
      <c r="C1287" s="36" t="s">
        <v>65</v>
      </c>
      <c r="D1287" s="36" t="s">
        <v>37</v>
      </c>
      <c r="E1287" s="36" t="s">
        <v>557</v>
      </c>
      <c r="F1287" s="26" t="s">
        <v>1060</v>
      </c>
      <c r="G1287" s="27">
        <v>310.51</v>
      </c>
      <c r="H1287" s="27">
        <v>310.51</v>
      </c>
      <c r="I1287" s="27">
        <v>310.51</v>
      </c>
      <c r="J1287" s="80"/>
      <c r="K1287" s="16">
        <f t="shared" si="569"/>
        <v>-310.51</v>
      </c>
      <c r="L1287" s="80"/>
      <c r="M1287" s="16">
        <f t="shared" si="570"/>
        <v>-310.51</v>
      </c>
      <c r="N1287" s="80"/>
      <c r="O1287" s="16">
        <f t="shared" si="571"/>
        <v>-310.51</v>
      </c>
    </row>
    <row r="1288" spans="1:15" s="145" customFormat="1" ht="25.5">
      <c r="A1288" s="11" t="s">
        <v>108</v>
      </c>
      <c r="B1288" s="36" t="s">
        <v>18</v>
      </c>
      <c r="C1288" s="36" t="s">
        <v>65</v>
      </c>
      <c r="D1288" s="36" t="s">
        <v>37</v>
      </c>
      <c r="E1288" s="36" t="s">
        <v>557</v>
      </c>
      <c r="F1288" s="36" t="s">
        <v>116</v>
      </c>
      <c r="G1288" s="37">
        <f>G1289</f>
        <v>196.3</v>
      </c>
      <c r="H1288" s="37">
        <f t="shared" ref="H1288:I1288" si="574">H1289</f>
        <v>196.3</v>
      </c>
      <c r="I1288" s="37">
        <f t="shared" si="574"/>
        <v>196.3</v>
      </c>
      <c r="J1288" s="37">
        <f>196.3</f>
        <v>196.3</v>
      </c>
      <c r="K1288" s="16">
        <f t="shared" si="569"/>
        <v>0</v>
      </c>
      <c r="L1288" s="37">
        <f>196.3</f>
        <v>196.3</v>
      </c>
      <c r="M1288" s="16">
        <f t="shared" si="570"/>
        <v>0</v>
      </c>
      <c r="N1288" s="37">
        <f>196.3</f>
        <v>196.3</v>
      </c>
      <c r="O1288" s="16">
        <f t="shared" si="571"/>
        <v>0</v>
      </c>
    </row>
    <row r="1289" spans="1:15" s="4" customFormat="1" ht="25.5">
      <c r="A1289" s="12" t="s">
        <v>973</v>
      </c>
      <c r="B1289" s="36" t="s">
        <v>18</v>
      </c>
      <c r="C1289" s="36" t="s">
        <v>65</v>
      </c>
      <c r="D1289" s="36" t="s">
        <v>37</v>
      </c>
      <c r="E1289" s="36" t="s">
        <v>557</v>
      </c>
      <c r="F1289" s="36" t="s">
        <v>1043</v>
      </c>
      <c r="G1289" s="37">
        <f>196.3</f>
        <v>196.3</v>
      </c>
      <c r="H1289" s="37">
        <f>196.3</f>
        <v>196.3</v>
      </c>
      <c r="I1289" s="37">
        <f>196.3</f>
        <v>196.3</v>
      </c>
      <c r="J1289" s="80"/>
      <c r="K1289" s="16">
        <f t="shared" si="569"/>
        <v>-196.3</v>
      </c>
      <c r="L1289" s="80"/>
      <c r="M1289" s="16">
        <f t="shared" si="570"/>
        <v>-196.3</v>
      </c>
      <c r="N1289" s="80"/>
      <c r="O1289" s="16">
        <f t="shared" si="571"/>
        <v>-196.3</v>
      </c>
    </row>
    <row r="1290" spans="1:15" s="127" customFormat="1" ht="51">
      <c r="A1290" s="34" t="s">
        <v>870</v>
      </c>
      <c r="B1290" s="36" t="s">
        <v>18</v>
      </c>
      <c r="C1290" s="36" t="s">
        <v>65</v>
      </c>
      <c r="D1290" s="36" t="s">
        <v>37</v>
      </c>
      <c r="E1290" s="36" t="s">
        <v>558</v>
      </c>
      <c r="F1290" s="36" t="s">
        <v>58</v>
      </c>
      <c r="G1290" s="37">
        <f>G1291</f>
        <v>51.74</v>
      </c>
      <c r="H1290" s="37">
        <f>H1291</f>
        <v>51.74</v>
      </c>
      <c r="I1290" s="37">
        <f>I1291</f>
        <v>51.74</v>
      </c>
      <c r="J1290" s="37">
        <f>J1291</f>
        <v>51.74</v>
      </c>
      <c r="K1290" s="16">
        <f t="shared" si="569"/>
        <v>0</v>
      </c>
      <c r="L1290" s="37">
        <f>L1291</f>
        <v>51.74</v>
      </c>
      <c r="M1290" s="16">
        <f t="shared" si="570"/>
        <v>0</v>
      </c>
      <c r="N1290" s="37">
        <f>N1291</f>
        <v>51.74</v>
      </c>
      <c r="O1290" s="16">
        <f t="shared" si="571"/>
        <v>0</v>
      </c>
    </row>
    <row r="1291" spans="1:15" s="145" customFormat="1" ht="25.5">
      <c r="A1291" s="11" t="s">
        <v>108</v>
      </c>
      <c r="B1291" s="36" t="s">
        <v>18</v>
      </c>
      <c r="C1291" s="36" t="s">
        <v>65</v>
      </c>
      <c r="D1291" s="36" t="s">
        <v>37</v>
      </c>
      <c r="E1291" s="36" t="s">
        <v>558</v>
      </c>
      <c r="F1291" s="36" t="s">
        <v>116</v>
      </c>
      <c r="G1291" s="37">
        <f>G1292</f>
        <v>51.74</v>
      </c>
      <c r="H1291" s="37">
        <f t="shared" ref="H1291:I1291" si="575">H1292</f>
        <v>51.74</v>
      </c>
      <c r="I1291" s="37">
        <f t="shared" si="575"/>
        <v>51.74</v>
      </c>
      <c r="J1291" s="37">
        <f>51.74</f>
        <v>51.74</v>
      </c>
      <c r="K1291" s="16">
        <f t="shared" si="569"/>
        <v>0</v>
      </c>
      <c r="L1291" s="37">
        <f>51.74</f>
        <v>51.74</v>
      </c>
      <c r="M1291" s="16">
        <f t="shared" si="570"/>
        <v>0</v>
      </c>
      <c r="N1291" s="37">
        <f>51.74</f>
        <v>51.74</v>
      </c>
      <c r="O1291" s="16">
        <f t="shared" si="571"/>
        <v>0</v>
      </c>
    </row>
    <row r="1292" spans="1:15" s="4" customFormat="1" ht="25.5">
      <c r="A1292" s="12" t="s">
        <v>973</v>
      </c>
      <c r="B1292" s="36" t="s">
        <v>18</v>
      </c>
      <c r="C1292" s="36" t="s">
        <v>65</v>
      </c>
      <c r="D1292" s="36" t="s">
        <v>37</v>
      </c>
      <c r="E1292" s="36" t="s">
        <v>558</v>
      </c>
      <c r="F1292" s="36" t="s">
        <v>1043</v>
      </c>
      <c r="G1292" s="37">
        <f>51.74</f>
        <v>51.74</v>
      </c>
      <c r="H1292" s="37">
        <f>51.74</f>
        <v>51.74</v>
      </c>
      <c r="I1292" s="37">
        <f>51.74</f>
        <v>51.74</v>
      </c>
      <c r="J1292" s="80"/>
      <c r="K1292" s="16">
        <f t="shared" si="569"/>
        <v>-51.74</v>
      </c>
      <c r="L1292" s="80"/>
      <c r="M1292" s="16">
        <f t="shared" si="570"/>
        <v>-51.74</v>
      </c>
      <c r="N1292" s="80"/>
      <c r="O1292" s="16">
        <f t="shared" si="571"/>
        <v>-51.74</v>
      </c>
    </row>
    <row r="1293" spans="1:15" s="3" customFormat="1">
      <c r="A1293" s="128" t="s">
        <v>38</v>
      </c>
      <c r="B1293" s="22" t="s">
        <v>18</v>
      </c>
      <c r="C1293" s="23" t="s">
        <v>65</v>
      </c>
      <c r="D1293" s="23" t="s">
        <v>84</v>
      </c>
      <c r="E1293" s="23" t="s">
        <v>196</v>
      </c>
      <c r="F1293" s="23" t="s">
        <v>58</v>
      </c>
      <c r="G1293" s="24">
        <f>G1294</f>
        <v>555.07000000000005</v>
      </c>
      <c r="H1293" s="24">
        <f t="shared" ref="H1293:N1293" si="576">H1294</f>
        <v>558.9</v>
      </c>
      <c r="I1293" s="24">
        <f t="shared" si="576"/>
        <v>558.9</v>
      </c>
      <c r="J1293" s="24">
        <f>J1294</f>
        <v>555.07000000000005</v>
      </c>
      <c r="K1293" s="16">
        <f t="shared" si="569"/>
        <v>0</v>
      </c>
      <c r="L1293" s="24">
        <f t="shared" si="576"/>
        <v>558.9</v>
      </c>
      <c r="M1293" s="16">
        <f t="shared" si="570"/>
        <v>0</v>
      </c>
      <c r="N1293" s="24">
        <f t="shared" si="576"/>
        <v>558.9</v>
      </c>
      <c r="O1293" s="16">
        <f t="shared" si="571"/>
        <v>0</v>
      </c>
    </row>
    <row r="1294" spans="1:15" s="3" customFormat="1" ht="38.25">
      <c r="A1294" s="13" t="s">
        <v>745</v>
      </c>
      <c r="B1294" s="26" t="s">
        <v>18</v>
      </c>
      <c r="C1294" s="26" t="s">
        <v>65</v>
      </c>
      <c r="D1294" s="26" t="s">
        <v>84</v>
      </c>
      <c r="E1294" s="26" t="s">
        <v>280</v>
      </c>
      <c r="F1294" s="26" t="s">
        <v>58</v>
      </c>
      <c r="G1294" s="27">
        <f>G1295</f>
        <v>555.07000000000005</v>
      </c>
      <c r="H1294" s="27">
        <f t="shared" ref="H1294:N1298" si="577">H1295</f>
        <v>558.9</v>
      </c>
      <c r="I1294" s="27">
        <f t="shared" si="577"/>
        <v>558.9</v>
      </c>
      <c r="J1294" s="27">
        <f>J1295</f>
        <v>555.07000000000005</v>
      </c>
      <c r="K1294" s="16">
        <f t="shared" si="569"/>
        <v>0</v>
      </c>
      <c r="L1294" s="27">
        <f t="shared" si="577"/>
        <v>558.9</v>
      </c>
      <c r="M1294" s="16">
        <f t="shared" si="570"/>
        <v>0</v>
      </c>
      <c r="N1294" s="27">
        <f t="shared" si="577"/>
        <v>558.9</v>
      </c>
      <c r="O1294" s="16">
        <f t="shared" si="571"/>
        <v>0</v>
      </c>
    </row>
    <row r="1295" spans="1:15" s="3" customFormat="1" ht="51">
      <c r="A1295" s="13" t="s">
        <v>746</v>
      </c>
      <c r="B1295" s="141" t="s">
        <v>18</v>
      </c>
      <c r="C1295" s="26" t="s">
        <v>65</v>
      </c>
      <c r="D1295" s="26" t="s">
        <v>84</v>
      </c>
      <c r="E1295" s="26" t="s">
        <v>281</v>
      </c>
      <c r="F1295" s="26" t="s">
        <v>58</v>
      </c>
      <c r="G1295" s="27">
        <f>G1296</f>
        <v>555.07000000000005</v>
      </c>
      <c r="H1295" s="27">
        <f t="shared" si="577"/>
        <v>558.9</v>
      </c>
      <c r="I1295" s="27">
        <f t="shared" si="577"/>
        <v>558.9</v>
      </c>
      <c r="J1295" s="27">
        <f>J1296</f>
        <v>555.07000000000005</v>
      </c>
      <c r="K1295" s="16">
        <f t="shared" si="569"/>
        <v>0</v>
      </c>
      <c r="L1295" s="27">
        <f t="shared" si="577"/>
        <v>558.9</v>
      </c>
      <c r="M1295" s="16">
        <f t="shared" si="570"/>
        <v>0</v>
      </c>
      <c r="N1295" s="27">
        <f t="shared" si="577"/>
        <v>558.9</v>
      </c>
      <c r="O1295" s="16">
        <f t="shared" si="571"/>
        <v>0</v>
      </c>
    </row>
    <row r="1296" spans="1:15" s="3" customFormat="1" ht="38.25">
      <c r="A1296" s="140" t="s">
        <v>282</v>
      </c>
      <c r="B1296" s="141" t="s">
        <v>18</v>
      </c>
      <c r="C1296" s="26" t="s">
        <v>65</v>
      </c>
      <c r="D1296" s="26" t="s">
        <v>84</v>
      </c>
      <c r="E1296" s="26" t="s">
        <v>283</v>
      </c>
      <c r="F1296" s="26" t="s">
        <v>58</v>
      </c>
      <c r="G1296" s="27">
        <f>G1297+G1300</f>
        <v>555.07000000000005</v>
      </c>
      <c r="H1296" s="27">
        <f>H1297+H1300</f>
        <v>558.9</v>
      </c>
      <c r="I1296" s="27">
        <f>I1297+I1300</f>
        <v>558.9</v>
      </c>
      <c r="J1296" s="27">
        <f>J1297+J1300</f>
        <v>555.07000000000005</v>
      </c>
      <c r="K1296" s="16">
        <f t="shared" si="569"/>
        <v>0</v>
      </c>
      <c r="L1296" s="27">
        <f>L1297+L1300</f>
        <v>558.9</v>
      </c>
      <c r="M1296" s="16">
        <f t="shared" si="570"/>
        <v>0</v>
      </c>
      <c r="N1296" s="27">
        <f>N1297+N1300</f>
        <v>558.9</v>
      </c>
      <c r="O1296" s="16">
        <f t="shared" si="571"/>
        <v>0</v>
      </c>
    </row>
    <row r="1297" spans="1:15" s="3" customFormat="1" ht="25.5">
      <c r="A1297" s="120" t="s">
        <v>167</v>
      </c>
      <c r="B1297" s="141" t="s">
        <v>18</v>
      </c>
      <c r="C1297" s="26" t="s">
        <v>65</v>
      </c>
      <c r="D1297" s="26" t="s">
        <v>84</v>
      </c>
      <c r="E1297" s="26" t="s">
        <v>491</v>
      </c>
      <c r="F1297" s="26" t="s">
        <v>58</v>
      </c>
      <c r="G1297" s="27">
        <f>G1298</f>
        <v>472.81000000000006</v>
      </c>
      <c r="H1297" s="27">
        <f t="shared" si="577"/>
        <v>476.64</v>
      </c>
      <c r="I1297" s="27">
        <f t="shared" si="577"/>
        <v>476.64</v>
      </c>
      <c r="J1297" s="27">
        <f>J1298</f>
        <v>472.81000000000006</v>
      </c>
      <c r="K1297" s="16">
        <f t="shared" si="569"/>
        <v>0</v>
      </c>
      <c r="L1297" s="27">
        <f t="shared" si="577"/>
        <v>476.64</v>
      </c>
      <c r="M1297" s="16">
        <f t="shared" si="570"/>
        <v>0</v>
      </c>
      <c r="N1297" s="27">
        <f t="shared" si="577"/>
        <v>476.64</v>
      </c>
      <c r="O1297" s="16">
        <f t="shared" si="571"/>
        <v>0</v>
      </c>
    </row>
    <row r="1298" spans="1:15" s="3" customFormat="1" ht="25.5">
      <c r="A1298" s="11" t="s">
        <v>108</v>
      </c>
      <c r="B1298" s="141" t="s">
        <v>18</v>
      </c>
      <c r="C1298" s="26" t="s">
        <v>65</v>
      </c>
      <c r="D1298" s="26" t="s">
        <v>84</v>
      </c>
      <c r="E1298" s="26" t="s">
        <v>491</v>
      </c>
      <c r="F1298" s="26" t="s">
        <v>116</v>
      </c>
      <c r="G1298" s="37">
        <f>G1299</f>
        <v>472.81000000000006</v>
      </c>
      <c r="H1298" s="37">
        <f t="shared" si="577"/>
        <v>476.64</v>
      </c>
      <c r="I1298" s="37">
        <f t="shared" si="577"/>
        <v>476.64</v>
      </c>
      <c r="J1298" s="37">
        <f>555.07-82.26</f>
        <v>472.81000000000006</v>
      </c>
      <c r="K1298" s="16">
        <f t="shared" si="569"/>
        <v>0</v>
      </c>
      <c r="L1298" s="37">
        <f>558.9-82.26</f>
        <v>476.64</v>
      </c>
      <c r="M1298" s="16">
        <f t="shared" si="570"/>
        <v>0</v>
      </c>
      <c r="N1298" s="37">
        <f>558.9-82.26</f>
        <v>476.64</v>
      </c>
      <c r="O1298" s="16">
        <f t="shared" si="571"/>
        <v>0</v>
      </c>
    </row>
    <row r="1299" spans="1:15" s="4" customFormat="1" ht="25.5">
      <c r="A1299" s="12" t="s">
        <v>973</v>
      </c>
      <c r="B1299" s="141" t="s">
        <v>18</v>
      </c>
      <c r="C1299" s="26" t="s">
        <v>65</v>
      </c>
      <c r="D1299" s="26" t="s">
        <v>84</v>
      </c>
      <c r="E1299" s="26" t="s">
        <v>491</v>
      </c>
      <c r="F1299" s="26" t="s">
        <v>1043</v>
      </c>
      <c r="G1299" s="37">
        <f>555.07-82.26</f>
        <v>472.81000000000006</v>
      </c>
      <c r="H1299" s="37">
        <f>558.9-82.26</f>
        <v>476.64</v>
      </c>
      <c r="I1299" s="37">
        <f>558.9-82.26</f>
        <v>476.64</v>
      </c>
      <c r="J1299" s="80"/>
      <c r="K1299" s="16">
        <f t="shared" si="569"/>
        <v>-472.81000000000006</v>
      </c>
      <c r="L1299" s="80"/>
      <c r="M1299" s="16">
        <f t="shared" si="570"/>
        <v>-476.64</v>
      </c>
      <c r="N1299" s="80"/>
      <c r="O1299" s="16">
        <f t="shared" si="571"/>
        <v>-476.64</v>
      </c>
    </row>
    <row r="1300" spans="1:15" s="3" customFormat="1" ht="25.5">
      <c r="A1300" s="11" t="s">
        <v>859</v>
      </c>
      <c r="B1300" s="141" t="s">
        <v>18</v>
      </c>
      <c r="C1300" s="36" t="s">
        <v>65</v>
      </c>
      <c r="D1300" s="36" t="s">
        <v>84</v>
      </c>
      <c r="E1300" s="43" t="s">
        <v>858</v>
      </c>
      <c r="F1300" s="26" t="s">
        <v>58</v>
      </c>
      <c r="G1300" s="27">
        <f>G1301</f>
        <v>82.26</v>
      </c>
      <c r="H1300" s="27">
        <f t="shared" ref="H1300:N1301" si="578">H1301</f>
        <v>82.26</v>
      </c>
      <c r="I1300" s="27">
        <f t="shared" si="578"/>
        <v>82.26</v>
      </c>
      <c r="J1300" s="27">
        <f>J1301</f>
        <v>82.26</v>
      </c>
      <c r="K1300" s="16">
        <f t="shared" si="569"/>
        <v>0</v>
      </c>
      <c r="L1300" s="27">
        <f t="shared" si="578"/>
        <v>82.26</v>
      </c>
      <c r="M1300" s="16">
        <f t="shared" si="570"/>
        <v>0</v>
      </c>
      <c r="N1300" s="27">
        <f t="shared" si="578"/>
        <v>82.26</v>
      </c>
      <c r="O1300" s="16">
        <f t="shared" si="571"/>
        <v>0</v>
      </c>
    </row>
    <row r="1301" spans="1:15" s="3" customFormat="1" ht="25.5">
      <c r="A1301" s="11" t="s">
        <v>108</v>
      </c>
      <c r="B1301" s="141" t="s">
        <v>18</v>
      </c>
      <c r="C1301" s="36" t="s">
        <v>65</v>
      </c>
      <c r="D1301" s="36" t="s">
        <v>84</v>
      </c>
      <c r="E1301" s="43" t="s">
        <v>858</v>
      </c>
      <c r="F1301" s="26" t="s">
        <v>116</v>
      </c>
      <c r="G1301" s="27">
        <f>G1302</f>
        <v>82.26</v>
      </c>
      <c r="H1301" s="27">
        <f t="shared" si="578"/>
        <v>82.26</v>
      </c>
      <c r="I1301" s="27">
        <f t="shared" si="578"/>
        <v>82.26</v>
      </c>
      <c r="J1301" s="27">
        <f>82.26</f>
        <v>82.26</v>
      </c>
      <c r="K1301" s="16">
        <f t="shared" si="569"/>
        <v>0</v>
      </c>
      <c r="L1301" s="27">
        <f>82.26</f>
        <v>82.26</v>
      </c>
      <c r="M1301" s="16">
        <f t="shared" si="570"/>
        <v>0</v>
      </c>
      <c r="N1301" s="27">
        <f>82.26</f>
        <v>82.26</v>
      </c>
      <c r="O1301" s="16">
        <f t="shared" si="571"/>
        <v>0</v>
      </c>
    </row>
    <row r="1302" spans="1:15" s="4" customFormat="1" ht="25.5">
      <c r="A1302" s="12" t="s">
        <v>973</v>
      </c>
      <c r="B1302" s="141" t="s">
        <v>18</v>
      </c>
      <c r="C1302" s="36" t="s">
        <v>65</v>
      </c>
      <c r="D1302" s="36" t="s">
        <v>84</v>
      </c>
      <c r="E1302" s="43" t="s">
        <v>858</v>
      </c>
      <c r="F1302" s="26" t="s">
        <v>1043</v>
      </c>
      <c r="G1302" s="27">
        <f>82.26</f>
        <v>82.26</v>
      </c>
      <c r="H1302" s="27">
        <f>82.26</f>
        <v>82.26</v>
      </c>
      <c r="I1302" s="27">
        <f>82.26</f>
        <v>82.26</v>
      </c>
      <c r="J1302" s="80"/>
      <c r="K1302" s="16">
        <f t="shared" si="569"/>
        <v>-82.26</v>
      </c>
      <c r="L1302" s="80"/>
      <c r="M1302" s="16">
        <f t="shared" si="570"/>
        <v>-82.26</v>
      </c>
      <c r="N1302" s="80"/>
      <c r="O1302" s="16">
        <f t="shared" si="571"/>
        <v>-82.26</v>
      </c>
    </row>
    <row r="1303" spans="1:15" s="3" customFormat="1">
      <c r="A1303" s="139" t="s">
        <v>35</v>
      </c>
      <c r="B1303" s="18" t="s">
        <v>18</v>
      </c>
      <c r="C1303" s="19" t="s">
        <v>37</v>
      </c>
      <c r="D1303" s="19" t="s">
        <v>51</v>
      </c>
      <c r="E1303" s="19" t="s">
        <v>196</v>
      </c>
      <c r="F1303" s="19" t="s">
        <v>58</v>
      </c>
      <c r="G1303" s="20">
        <f t="shared" ref="G1303:N1305" si="579">G1304</f>
        <v>104824.57</v>
      </c>
      <c r="H1303" s="20">
        <f t="shared" si="579"/>
        <v>94442.439999999988</v>
      </c>
      <c r="I1303" s="20">
        <f t="shared" si="579"/>
        <v>94442.439999999988</v>
      </c>
      <c r="J1303" s="20">
        <f t="shared" si="579"/>
        <v>104824.57</v>
      </c>
      <c r="K1303" s="16">
        <f t="shared" si="569"/>
        <v>0</v>
      </c>
      <c r="L1303" s="20">
        <f t="shared" si="579"/>
        <v>94442.439999999988</v>
      </c>
      <c r="M1303" s="16">
        <f t="shared" si="570"/>
        <v>0</v>
      </c>
      <c r="N1303" s="20">
        <f t="shared" si="579"/>
        <v>94442.439999999988</v>
      </c>
      <c r="O1303" s="16">
        <f t="shared" si="571"/>
        <v>0</v>
      </c>
    </row>
    <row r="1304" spans="1:15" s="3" customFormat="1">
      <c r="A1304" s="144" t="s">
        <v>88</v>
      </c>
      <c r="B1304" s="22" t="s">
        <v>18</v>
      </c>
      <c r="C1304" s="23" t="s">
        <v>37</v>
      </c>
      <c r="D1304" s="23" t="s">
        <v>25</v>
      </c>
      <c r="E1304" s="23" t="s">
        <v>196</v>
      </c>
      <c r="F1304" s="23" t="s">
        <v>58</v>
      </c>
      <c r="G1304" s="24">
        <f>G1305</f>
        <v>104824.57</v>
      </c>
      <c r="H1304" s="24">
        <f t="shared" si="579"/>
        <v>94442.439999999988</v>
      </c>
      <c r="I1304" s="24">
        <f t="shared" si="579"/>
        <v>94442.439999999988</v>
      </c>
      <c r="J1304" s="24">
        <f>J1305</f>
        <v>104824.57</v>
      </c>
      <c r="K1304" s="16">
        <f t="shared" si="569"/>
        <v>0</v>
      </c>
      <c r="L1304" s="24">
        <f t="shared" si="579"/>
        <v>94442.439999999988</v>
      </c>
      <c r="M1304" s="16">
        <f t="shared" si="570"/>
        <v>0</v>
      </c>
      <c r="N1304" s="24">
        <f t="shared" si="579"/>
        <v>94442.439999999988</v>
      </c>
      <c r="O1304" s="16">
        <f t="shared" si="571"/>
        <v>0</v>
      </c>
    </row>
    <row r="1305" spans="1:15" s="3" customFormat="1" ht="38.25">
      <c r="A1305" s="12" t="s">
        <v>722</v>
      </c>
      <c r="B1305" s="36" t="s">
        <v>18</v>
      </c>
      <c r="C1305" s="35" t="s">
        <v>37</v>
      </c>
      <c r="D1305" s="35" t="s">
        <v>25</v>
      </c>
      <c r="E1305" s="35" t="s">
        <v>300</v>
      </c>
      <c r="F1305" s="36" t="s">
        <v>58</v>
      </c>
      <c r="G1305" s="146">
        <f t="shared" si="579"/>
        <v>104824.57</v>
      </c>
      <c r="H1305" s="146">
        <f t="shared" si="579"/>
        <v>94442.439999999988</v>
      </c>
      <c r="I1305" s="146">
        <f t="shared" si="579"/>
        <v>94442.439999999988</v>
      </c>
      <c r="J1305" s="146">
        <f t="shared" si="579"/>
        <v>104824.57</v>
      </c>
      <c r="K1305" s="16">
        <f t="shared" si="569"/>
        <v>0</v>
      </c>
      <c r="L1305" s="146">
        <f t="shared" si="579"/>
        <v>94442.439999999988</v>
      </c>
      <c r="M1305" s="16">
        <f t="shared" si="570"/>
        <v>0</v>
      </c>
      <c r="N1305" s="146">
        <f t="shared" si="579"/>
        <v>94442.439999999988</v>
      </c>
      <c r="O1305" s="16">
        <f t="shared" si="571"/>
        <v>0</v>
      </c>
    </row>
    <row r="1306" spans="1:15" s="3" customFormat="1" ht="38.25">
      <c r="A1306" s="40" t="s">
        <v>729</v>
      </c>
      <c r="B1306" s="36" t="s">
        <v>18</v>
      </c>
      <c r="C1306" s="35" t="s">
        <v>37</v>
      </c>
      <c r="D1306" s="35" t="s">
        <v>25</v>
      </c>
      <c r="E1306" s="147" t="s">
        <v>301</v>
      </c>
      <c r="F1306" s="147" t="s">
        <v>58</v>
      </c>
      <c r="G1306" s="37">
        <f>G1307</f>
        <v>104824.57</v>
      </c>
      <c r="H1306" s="37">
        <f>H1307</f>
        <v>94442.439999999988</v>
      </c>
      <c r="I1306" s="37">
        <f>I1307</f>
        <v>94442.439999999988</v>
      </c>
      <c r="J1306" s="37">
        <f>J1307</f>
        <v>104824.57</v>
      </c>
      <c r="K1306" s="16">
        <f t="shared" si="569"/>
        <v>0</v>
      </c>
      <c r="L1306" s="37">
        <f>L1307</f>
        <v>94442.439999999988</v>
      </c>
      <c r="M1306" s="16">
        <f t="shared" si="570"/>
        <v>0</v>
      </c>
      <c r="N1306" s="37">
        <f>N1307</f>
        <v>94442.439999999988</v>
      </c>
      <c r="O1306" s="16">
        <f t="shared" si="571"/>
        <v>0</v>
      </c>
    </row>
    <row r="1307" spans="1:15" s="3" customFormat="1" ht="38.25">
      <c r="A1307" s="34" t="s">
        <v>644</v>
      </c>
      <c r="B1307" s="36" t="s">
        <v>18</v>
      </c>
      <c r="C1307" s="36" t="s">
        <v>37</v>
      </c>
      <c r="D1307" s="36" t="s">
        <v>25</v>
      </c>
      <c r="E1307" s="36" t="s">
        <v>302</v>
      </c>
      <c r="F1307" s="36" t="s">
        <v>58</v>
      </c>
      <c r="G1307" s="37">
        <f>G1314+G1308+G1311</f>
        <v>104824.57</v>
      </c>
      <c r="H1307" s="37">
        <f>H1314+H1308+H1311</f>
        <v>94442.439999999988</v>
      </c>
      <c r="I1307" s="37">
        <f>I1314+I1308+I1311</f>
        <v>94442.439999999988</v>
      </c>
      <c r="J1307" s="37">
        <f>J1314+J1308+J1311</f>
        <v>104824.57</v>
      </c>
      <c r="K1307" s="16">
        <f t="shared" si="569"/>
        <v>0</v>
      </c>
      <c r="L1307" s="37">
        <f>L1314+L1308+L1311</f>
        <v>94442.439999999988</v>
      </c>
      <c r="M1307" s="16">
        <f t="shared" si="570"/>
        <v>0</v>
      </c>
      <c r="N1307" s="37">
        <f>N1314+N1308+N1311</f>
        <v>94442.439999999988</v>
      </c>
      <c r="O1307" s="16">
        <f t="shared" si="571"/>
        <v>0</v>
      </c>
    </row>
    <row r="1308" spans="1:15" s="3" customFormat="1" ht="25.5">
      <c r="A1308" s="112" t="s">
        <v>493</v>
      </c>
      <c r="B1308" s="36" t="s">
        <v>18</v>
      </c>
      <c r="C1308" s="36" t="s">
        <v>37</v>
      </c>
      <c r="D1308" s="36" t="s">
        <v>25</v>
      </c>
      <c r="E1308" s="36" t="s">
        <v>494</v>
      </c>
      <c r="F1308" s="36" t="s">
        <v>58</v>
      </c>
      <c r="G1308" s="37">
        <f>G1309</f>
        <v>10900.21</v>
      </c>
      <c r="H1308" s="37">
        <f>H1309</f>
        <v>9495.51</v>
      </c>
      <c r="I1308" s="37">
        <f>I1309</f>
        <v>9495.51</v>
      </c>
      <c r="J1308" s="37">
        <f>J1309</f>
        <v>10900.21</v>
      </c>
      <c r="K1308" s="16">
        <f t="shared" si="569"/>
        <v>0</v>
      </c>
      <c r="L1308" s="37">
        <f>L1309</f>
        <v>9495.51</v>
      </c>
      <c r="M1308" s="16">
        <f t="shared" si="570"/>
        <v>0</v>
      </c>
      <c r="N1308" s="37">
        <f>N1309</f>
        <v>9495.51</v>
      </c>
      <c r="O1308" s="16">
        <f t="shared" si="571"/>
        <v>0</v>
      </c>
    </row>
    <row r="1309" spans="1:15" s="127" customFormat="1" ht="25.5">
      <c r="A1309" s="11" t="s">
        <v>108</v>
      </c>
      <c r="B1309" s="36" t="s">
        <v>18</v>
      </c>
      <c r="C1309" s="36" t="s">
        <v>37</v>
      </c>
      <c r="D1309" s="36" t="s">
        <v>25</v>
      </c>
      <c r="E1309" s="36" t="s">
        <v>494</v>
      </c>
      <c r="F1309" s="36" t="s">
        <v>116</v>
      </c>
      <c r="G1309" s="37">
        <f>G1310</f>
        <v>10900.21</v>
      </c>
      <c r="H1309" s="37">
        <f t="shared" ref="H1309:I1309" si="580">H1310</f>
        <v>9495.51</v>
      </c>
      <c r="I1309" s="37">
        <f t="shared" si="580"/>
        <v>9495.51</v>
      </c>
      <c r="J1309" s="37">
        <f>10900.21</f>
        <v>10900.21</v>
      </c>
      <c r="K1309" s="16">
        <f t="shared" si="569"/>
        <v>0</v>
      </c>
      <c r="L1309" s="37">
        <f>9495.51</f>
        <v>9495.51</v>
      </c>
      <c r="M1309" s="16">
        <f t="shared" si="570"/>
        <v>0</v>
      </c>
      <c r="N1309" s="37">
        <f>9495.51</f>
        <v>9495.51</v>
      </c>
      <c r="O1309" s="16">
        <f t="shared" si="571"/>
        <v>0</v>
      </c>
    </row>
    <row r="1310" spans="1:15" s="4" customFormat="1" ht="25.5">
      <c r="A1310" s="12" t="s">
        <v>973</v>
      </c>
      <c r="B1310" s="36" t="s">
        <v>18</v>
      </c>
      <c r="C1310" s="36" t="s">
        <v>37</v>
      </c>
      <c r="D1310" s="36" t="s">
        <v>25</v>
      </c>
      <c r="E1310" s="36" t="s">
        <v>494</v>
      </c>
      <c r="F1310" s="36" t="s">
        <v>1043</v>
      </c>
      <c r="G1310" s="37">
        <f>10900.21</f>
        <v>10900.21</v>
      </c>
      <c r="H1310" s="37">
        <f>9495.51</f>
        <v>9495.51</v>
      </c>
      <c r="I1310" s="37">
        <f>9495.51</f>
        <v>9495.51</v>
      </c>
      <c r="J1310" s="80"/>
      <c r="K1310" s="16">
        <f t="shared" si="569"/>
        <v>-10900.21</v>
      </c>
      <c r="L1310" s="80"/>
      <c r="M1310" s="16">
        <f t="shared" si="570"/>
        <v>-9495.51</v>
      </c>
      <c r="N1310" s="80"/>
      <c r="O1310" s="16">
        <f t="shared" si="571"/>
        <v>-9495.51</v>
      </c>
    </row>
    <row r="1311" spans="1:15" s="127" customFormat="1" ht="63.75">
      <c r="A1311" s="11" t="s">
        <v>889</v>
      </c>
      <c r="B1311" s="36" t="s">
        <v>18</v>
      </c>
      <c r="C1311" s="26" t="s">
        <v>37</v>
      </c>
      <c r="D1311" s="26" t="s">
        <v>25</v>
      </c>
      <c r="E1311" s="26" t="s">
        <v>834</v>
      </c>
      <c r="F1311" s="26" t="s">
        <v>58</v>
      </c>
      <c r="G1311" s="27">
        <f>G1312</f>
        <v>23816</v>
      </c>
      <c r="H1311" s="27">
        <f t="shared" ref="H1311:H1312" si="581">H1312</f>
        <v>0</v>
      </c>
      <c r="I1311" s="27">
        <f t="shared" ref="I1311:I1312" si="582">I1312</f>
        <v>0</v>
      </c>
      <c r="J1311" s="27">
        <f>J1312</f>
        <v>23816</v>
      </c>
      <c r="K1311" s="16">
        <f t="shared" si="569"/>
        <v>0</v>
      </c>
      <c r="L1311" s="27">
        <f t="shared" ref="L1311:N1311" si="583">L1312</f>
        <v>0</v>
      </c>
      <c r="M1311" s="16">
        <f t="shared" si="570"/>
        <v>0</v>
      </c>
      <c r="N1311" s="27">
        <f t="shared" si="583"/>
        <v>0</v>
      </c>
      <c r="O1311" s="16">
        <f t="shared" si="571"/>
        <v>0</v>
      </c>
    </row>
    <row r="1312" spans="1:15" s="127" customFormat="1" ht="25.5">
      <c r="A1312" s="11" t="s">
        <v>108</v>
      </c>
      <c r="B1312" s="36" t="s">
        <v>18</v>
      </c>
      <c r="C1312" s="26" t="s">
        <v>37</v>
      </c>
      <c r="D1312" s="26" t="s">
        <v>25</v>
      </c>
      <c r="E1312" s="26" t="s">
        <v>834</v>
      </c>
      <c r="F1312" s="26" t="s">
        <v>116</v>
      </c>
      <c r="G1312" s="27">
        <f>G1313</f>
        <v>23816</v>
      </c>
      <c r="H1312" s="27">
        <f t="shared" si="581"/>
        <v>0</v>
      </c>
      <c r="I1312" s="27">
        <f t="shared" si="582"/>
        <v>0</v>
      </c>
      <c r="J1312" s="27">
        <f>23816</f>
        <v>23816</v>
      </c>
      <c r="K1312" s="16">
        <f t="shared" si="569"/>
        <v>0</v>
      </c>
      <c r="L1312" s="27">
        <v>0</v>
      </c>
      <c r="M1312" s="16">
        <f t="shared" si="570"/>
        <v>0</v>
      </c>
      <c r="N1312" s="27">
        <v>0</v>
      </c>
      <c r="O1312" s="16">
        <f t="shared" si="571"/>
        <v>0</v>
      </c>
    </row>
    <row r="1313" spans="1:15" s="4" customFormat="1" ht="25.5">
      <c r="A1313" s="12" t="s">
        <v>973</v>
      </c>
      <c r="B1313" s="36" t="s">
        <v>18</v>
      </c>
      <c r="C1313" s="26" t="s">
        <v>37</v>
      </c>
      <c r="D1313" s="26" t="s">
        <v>25</v>
      </c>
      <c r="E1313" s="26" t="s">
        <v>834</v>
      </c>
      <c r="F1313" s="26" t="s">
        <v>1043</v>
      </c>
      <c r="G1313" s="27">
        <f>23816</f>
        <v>23816</v>
      </c>
      <c r="H1313" s="27">
        <v>0</v>
      </c>
      <c r="I1313" s="27">
        <v>0</v>
      </c>
      <c r="J1313" s="80"/>
      <c r="K1313" s="16">
        <f t="shared" si="569"/>
        <v>-23816</v>
      </c>
      <c r="L1313" s="80"/>
      <c r="M1313" s="16">
        <f t="shared" si="570"/>
        <v>0</v>
      </c>
      <c r="N1313" s="80"/>
      <c r="O1313" s="16">
        <f t="shared" si="571"/>
        <v>0</v>
      </c>
    </row>
    <row r="1314" spans="1:15" s="3" customFormat="1" ht="25.5">
      <c r="A1314" s="11" t="s">
        <v>902</v>
      </c>
      <c r="B1314" s="36" t="s">
        <v>18</v>
      </c>
      <c r="C1314" s="36" t="s">
        <v>37</v>
      </c>
      <c r="D1314" s="36" t="s">
        <v>25</v>
      </c>
      <c r="E1314" s="26" t="s">
        <v>909</v>
      </c>
      <c r="F1314" s="36" t="s">
        <v>58</v>
      </c>
      <c r="G1314" s="37">
        <f>G1315</f>
        <v>70108.36</v>
      </c>
      <c r="H1314" s="37">
        <f>H1315</f>
        <v>84946.93</v>
      </c>
      <c r="I1314" s="37">
        <f>I1315</f>
        <v>84946.93</v>
      </c>
      <c r="J1314" s="37">
        <f>J1315</f>
        <v>70108.36</v>
      </c>
      <c r="K1314" s="16">
        <f t="shared" si="569"/>
        <v>0</v>
      </c>
      <c r="L1314" s="37">
        <f>L1315</f>
        <v>84946.93</v>
      </c>
      <c r="M1314" s="16">
        <f t="shared" si="570"/>
        <v>0</v>
      </c>
      <c r="N1314" s="37">
        <f>N1315</f>
        <v>84946.93</v>
      </c>
      <c r="O1314" s="16">
        <f t="shared" si="571"/>
        <v>0</v>
      </c>
    </row>
    <row r="1315" spans="1:15" s="3" customFormat="1" ht="25.5">
      <c r="A1315" s="11" t="s">
        <v>108</v>
      </c>
      <c r="B1315" s="36" t="s">
        <v>18</v>
      </c>
      <c r="C1315" s="36" t="s">
        <v>37</v>
      </c>
      <c r="D1315" s="36" t="s">
        <v>25</v>
      </c>
      <c r="E1315" s="26" t="s">
        <v>909</v>
      </c>
      <c r="F1315" s="36" t="s">
        <v>116</v>
      </c>
      <c r="G1315" s="37">
        <f>G1316</f>
        <v>70108.36</v>
      </c>
      <c r="H1315" s="37">
        <f t="shared" ref="H1315:I1315" si="584">H1316</f>
        <v>84946.93</v>
      </c>
      <c r="I1315" s="37">
        <f t="shared" si="584"/>
        <v>84946.93</v>
      </c>
      <c r="J1315" s="37">
        <f>70108.36</f>
        <v>70108.36</v>
      </c>
      <c r="K1315" s="16">
        <f t="shared" si="569"/>
        <v>0</v>
      </c>
      <c r="L1315" s="37">
        <f>84946.93</f>
        <v>84946.93</v>
      </c>
      <c r="M1315" s="16">
        <f t="shared" si="570"/>
        <v>0</v>
      </c>
      <c r="N1315" s="37">
        <f>84946.93</f>
        <v>84946.93</v>
      </c>
      <c r="O1315" s="16">
        <f t="shared" si="571"/>
        <v>0</v>
      </c>
    </row>
    <row r="1316" spans="1:15" s="4" customFormat="1" ht="25.5">
      <c r="A1316" s="12" t="s">
        <v>973</v>
      </c>
      <c r="B1316" s="36" t="s">
        <v>18</v>
      </c>
      <c r="C1316" s="36" t="s">
        <v>37</v>
      </c>
      <c r="D1316" s="36" t="s">
        <v>25</v>
      </c>
      <c r="E1316" s="26" t="s">
        <v>909</v>
      </c>
      <c r="F1316" s="36" t="s">
        <v>1043</v>
      </c>
      <c r="G1316" s="37">
        <f>70108.36</f>
        <v>70108.36</v>
      </c>
      <c r="H1316" s="37">
        <f>84946.93</f>
        <v>84946.93</v>
      </c>
      <c r="I1316" s="37">
        <f>84946.93</f>
        <v>84946.93</v>
      </c>
      <c r="J1316" s="80"/>
      <c r="K1316" s="16">
        <f t="shared" si="569"/>
        <v>-70108.36</v>
      </c>
      <c r="L1316" s="80"/>
      <c r="M1316" s="16">
        <f t="shared" si="570"/>
        <v>-84946.93</v>
      </c>
      <c r="N1316" s="80"/>
      <c r="O1316" s="16">
        <f t="shared" si="571"/>
        <v>-84946.93</v>
      </c>
    </row>
    <row r="1317" spans="1:15" s="127" customFormat="1">
      <c r="A1317" s="139" t="s">
        <v>7</v>
      </c>
      <c r="B1317" s="18" t="s">
        <v>18</v>
      </c>
      <c r="C1317" s="19" t="s">
        <v>8</v>
      </c>
      <c r="D1317" s="19" t="s">
        <v>51</v>
      </c>
      <c r="E1317" s="19" t="s">
        <v>196</v>
      </c>
      <c r="F1317" s="19" t="s">
        <v>58</v>
      </c>
      <c r="G1317" s="20">
        <f>G1318+G1326</f>
        <v>19501.79</v>
      </c>
      <c r="H1317" s="20">
        <f>H1318+H1326</f>
        <v>18439.719999999998</v>
      </c>
      <c r="I1317" s="20">
        <f>I1318+I1326</f>
        <v>18439.719999999998</v>
      </c>
      <c r="J1317" s="20">
        <f>J1318+J1326</f>
        <v>19501.79</v>
      </c>
      <c r="K1317" s="16">
        <f t="shared" si="569"/>
        <v>0</v>
      </c>
      <c r="L1317" s="20">
        <f>L1318+L1326</f>
        <v>18439.719999999998</v>
      </c>
      <c r="M1317" s="16">
        <f t="shared" si="570"/>
        <v>0</v>
      </c>
      <c r="N1317" s="20">
        <f>N1318+N1326</f>
        <v>18439.719999999998</v>
      </c>
      <c r="O1317" s="16">
        <f t="shared" si="571"/>
        <v>0</v>
      </c>
    </row>
    <row r="1318" spans="1:15" s="3" customFormat="1">
      <c r="A1318" s="131" t="s">
        <v>9</v>
      </c>
      <c r="B1318" s="132" t="s">
        <v>18</v>
      </c>
      <c r="C1318" s="133" t="s">
        <v>8</v>
      </c>
      <c r="D1318" s="133" t="s">
        <v>65</v>
      </c>
      <c r="E1318" s="133" t="s">
        <v>196</v>
      </c>
      <c r="F1318" s="133" t="s">
        <v>58</v>
      </c>
      <c r="G1318" s="134">
        <f>G1319</f>
        <v>3447.93</v>
      </c>
      <c r="H1318" s="134">
        <f t="shared" ref="H1318:N1318" si="585">H1319</f>
        <v>3222.93</v>
      </c>
      <c r="I1318" s="134">
        <f t="shared" si="585"/>
        <v>3222.93</v>
      </c>
      <c r="J1318" s="134">
        <f>J1319</f>
        <v>3447.93</v>
      </c>
      <c r="K1318" s="16">
        <f t="shared" si="569"/>
        <v>0</v>
      </c>
      <c r="L1318" s="134">
        <f t="shared" si="585"/>
        <v>3222.93</v>
      </c>
      <c r="M1318" s="16">
        <f t="shared" si="570"/>
        <v>0</v>
      </c>
      <c r="N1318" s="134">
        <f t="shared" si="585"/>
        <v>3222.93</v>
      </c>
      <c r="O1318" s="16">
        <f t="shared" si="571"/>
        <v>0</v>
      </c>
    </row>
    <row r="1319" spans="1:15" s="3" customFormat="1" ht="38.25">
      <c r="A1319" s="12" t="s">
        <v>722</v>
      </c>
      <c r="B1319" s="36" t="s">
        <v>18</v>
      </c>
      <c r="C1319" s="36" t="s">
        <v>8</v>
      </c>
      <c r="D1319" s="36" t="s">
        <v>65</v>
      </c>
      <c r="E1319" s="36" t="s">
        <v>300</v>
      </c>
      <c r="F1319" s="36" t="s">
        <v>58</v>
      </c>
      <c r="G1319" s="44">
        <f>G1320</f>
        <v>3447.93</v>
      </c>
      <c r="H1319" s="44">
        <f>H1320</f>
        <v>3222.93</v>
      </c>
      <c r="I1319" s="44">
        <f>I1320</f>
        <v>3222.93</v>
      </c>
      <c r="J1319" s="44">
        <f>J1320</f>
        <v>3447.93</v>
      </c>
      <c r="K1319" s="16">
        <f t="shared" si="569"/>
        <v>0</v>
      </c>
      <c r="L1319" s="44">
        <f>L1320</f>
        <v>3222.93</v>
      </c>
      <c r="M1319" s="16">
        <f t="shared" si="570"/>
        <v>0</v>
      </c>
      <c r="N1319" s="44">
        <f>N1320</f>
        <v>3222.93</v>
      </c>
      <c r="O1319" s="16">
        <f t="shared" si="571"/>
        <v>0</v>
      </c>
    </row>
    <row r="1320" spans="1:15" s="127" customFormat="1" ht="25.5">
      <c r="A1320" s="135" t="s">
        <v>155</v>
      </c>
      <c r="B1320" s="136" t="s">
        <v>18</v>
      </c>
      <c r="C1320" s="136" t="s">
        <v>8</v>
      </c>
      <c r="D1320" s="136" t="s">
        <v>65</v>
      </c>
      <c r="E1320" s="136" t="s">
        <v>495</v>
      </c>
      <c r="F1320" s="136" t="s">
        <v>58</v>
      </c>
      <c r="G1320" s="137">
        <f>G1321</f>
        <v>3447.93</v>
      </c>
      <c r="H1320" s="137">
        <f>H1321</f>
        <v>3222.93</v>
      </c>
      <c r="I1320" s="137">
        <f>I1321</f>
        <v>3222.93</v>
      </c>
      <c r="J1320" s="137">
        <f>J1321</f>
        <v>3447.93</v>
      </c>
      <c r="K1320" s="16">
        <f t="shared" si="569"/>
        <v>0</v>
      </c>
      <c r="L1320" s="137">
        <f>L1321</f>
        <v>3222.93</v>
      </c>
      <c r="M1320" s="16">
        <f t="shared" si="570"/>
        <v>0</v>
      </c>
      <c r="N1320" s="137">
        <f>N1321</f>
        <v>3222.93</v>
      </c>
      <c r="O1320" s="16">
        <f t="shared" si="571"/>
        <v>0</v>
      </c>
    </row>
    <row r="1321" spans="1:15" s="3" customFormat="1" ht="38.25">
      <c r="A1321" s="34" t="s">
        <v>522</v>
      </c>
      <c r="B1321" s="36" t="s">
        <v>18</v>
      </c>
      <c r="C1321" s="36" t="s">
        <v>8</v>
      </c>
      <c r="D1321" s="36" t="s">
        <v>65</v>
      </c>
      <c r="E1321" s="36" t="s">
        <v>497</v>
      </c>
      <c r="F1321" s="36" t="s">
        <v>58</v>
      </c>
      <c r="G1321" s="37">
        <f>G1322</f>
        <v>3447.93</v>
      </c>
      <c r="H1321" s="37">
        <f t="shared" ref="H1321:N1321" si="586">H1322</f>
        <v>3222.93</v>
      </c>
      <c r="I1321" s="37">
        <f t="shared" si="586"/>
        <v>3222.93</v>
      </c>
      <c r="J1321" s="37">
        <f>J1322</f>
        <v>3447.93</v>
      </c>
      <c r="K1321" s="16">
        <f t="shared" si="569"/>
        <v>0</v>
      </c>
      <c r="L1321" s="37">
        <f t="shared" si="586"/>
        <v>3222.93</v>
      </c>
      <c r="M1321" s="16">
        <f t="shared" si="570"/>
        <v>0</v>
      </c>
      <c r="N1321" s="37">
        <f t="shared" si="586"/>
        <v>3222.93</v>
      </c>
      <c r="O1321" s="16">
        <f t="shared" si="571"/>
        <v>0</v>
      </c>
    </row>
    <row r="1322" spans="1:15" s="3" customFormat="1" ht="25.5">
      <c r="A1322" s="138" t="s">
        <v>148</v>
      </c>
      <c r="B1322" s="36" t="s">
        <v>18</v>
      </c>
      <c r="C1322" s="36" t="s">
        <v>8</v>
      </c>
      <c r="D1322" s="36" t="s">
        <v>65</v>
      </c>
      <c r="E1322" s="36" t="s">
        <v>498</v>
      </c>
      <c r="F1322" s="36" t="s">
        <v>58</v>
      </c>
      <c r="G1322" s="37">
        <f>G1323</f>
        <v>3447.93</v>
      </c>
      <c r="H1322" s="37">
        <f>H1323</f>
        <v>3222.93</v>
      </c>
      <c r="I1322" s="37">
        <f>I1323</f>
        <v>3222.93</v>
      </c>
      <c r="J1322" s="37">
        <f>J1323</f>
        <v>3447.93</v>
      </c>
      <c r="K1322" s="16">
        <f t="shared" si="569"/>
        <v>0</v>
      </c>
      <c r="L1322" s="37">
        <f>L1323</f>
        <v>3222.93</v>
      </c>
      <c r="M1322" s="16">
        <f t="shared" si="570"/>
        <v>0</v>
      </c>
      <c r="N1322" s="37">
        <f>N1323</f>
        <v>3222.93</v>
      </c>
      <c r="O1322" s="16">
        <f t="shared" si="571"/>
        <v>0</v>
      </c>
    </row>
    <row r="1323" spans="1:15" s="3" customFormat="1" ht="25.5">
      <c r="A1323" s="11" t="s">
        <v>108</v>
      </c>
      <c r="B1323" s="36" t="s">
        <v>18</v>
      </c>
      <c r="C1323" s="36" t="s">
        <v>8</v>
      </c>
      <c r="D1323" s="36" t="s">
        <v>65</v>
      </c>
      <c r="E1323" s="36" t="s">
        <v>498</v>
      </c>
      <c r="F1323" s="36" t="s">
        <v>116</v>
      </c>
      <c r="G1323" s="37">
        <f>SUM(G1324:G1325)</f>
        <v>3447.93</v>
      </c>
      <c r="H1323" s="37">
        <f t="shared" ref="H1323:I1323" si="587">SUM(H1324:H1325)</f>
        <v>3222.93</v>
      </c>
      <c r="I1323" s="37">
        <f t="shared" si="587"/>
        <v>3222.93</v>
      </c>
      <c r="J1323" s="37">
        <f>870+2577.93</f>
        <v>3447.93</v>
      </c>
      <c r="K1323" s="16">
        <f t="shared" si="569"/>
        <v>0</v>
      </c>
      <c r="L1323" s="37">
        <f>730+2492.93</f>
        <v>3222.93</v>
      </c>
      <c r="M1323" s="16">
        <f t="shared" si="570"/>
        <v>0</v>
      </c>
      <c r="N1323" s="37">
        <f>730+2492.93</f>
        <v>3222.93</v>
      </c>
      <c r="O1323" s="16">
        <f t="shared" si="571"/>
        <v>0</v>
      </c>
    </row>
    <row r="1324" spans="1:15" s="3" customFormat="1">
      <c r="A1324" s="11"/>
      <c r="B1324" s="36" t="s">
        <v>18</v>
      </c>
      <c r="C1324" s="36" t="s">
        <v>8</v>
      </c>
      <c r="D1324" s="36" t="s">
        <v>65</v>
      </c>
      <c r="E1324" s="36" t="s">
        <v>498</v>
      </c>
      <c r="F1324" s="26" t="s">
        <v>1070</v>
      </c>
      <c r="G1324" s="27">
        <v>870</v>
      </c>
      <c r="H1324" s="27">
        <v>730</v>
      </c>
      <c r="I1324" s="27">
        <v>730</v>
      </c>
      <c r="J1324" s="37"/>
      <c r="K1324" s="16"/>
      <c r="L1324" s="37"/>
      <c r="M1324" s="16"/>
      <c r="N1324" s="37"/>
      <c r="O1324" s="16"/>
    </row>
    <row r="1325" spans="1:15" s="4" customFormat="1" ht="15" customHeight="1">
      <c r="A1325" s="12" t="s">
        <v>973</v>
      </c>
      <c r="B1325" s="36" t="s">
        <v>18</v>
      </c>
      <c r="C1325" s="36" t="s">
        <v>8</v>
      </c>
      <c r="D1325" s="36" t="s">
        <v>65</v>
      </c>
      <c r="E1325" s="36" t="s">
        <v>498</v>
      </c>
      <c r="F1325" s="26" t="s">
        <v>1043</v>
      </c>
      <c r="G1325" s="27">
        <v>2577.9299999999998</v>
      </c>
      <c r="H1325" s="27">
        <v>2492.9299999999998</v>
      </c>
      <c r="I1325" s="27">
        <v>2492.9299999999998</v>
      </c>
      <c r="J1325" s="80"/>
      <c r="K1325" s="16">
        <f t="shared" si="569"/>
        <v>-2577.9299999999998</v>
      </c>
      <c r="L1325" s="80"/>
      <c r="M1325" s="16">
        <f t="shared" si="570"/>
        <v>-2492.9299999999998</v>
      </c>
      <c r="N1325" s="80"/>
      <c r="O1325" s="16">
        <f t="shared" si="571"/>
        <v>-2492.9299999999998</v>
      </c>
    </row>
    <row r="1326" spans="1:15" s="3" customFormat="1">
      <c r="A1326" s="128" t="s">
        <v>1</v>
      </c>
      <c r="B1326" s="22" t="s">
        <v>18</v>
      </c>
      <c r="C1326" s="23" t="s">
        <v>8</v>
      </c>
      <c r="D1326" s="23" t="s">
        <v>53</v>
      </c>
      <c r="E1326" s="23" t="s">
        <v>196</v>
      </c>
      <c r="F1326" s="23" t="s">
        <v>58</v>
      </c>
      <c r="G1326" s="24">
        <f t="shared" ref="G1326:N1328" si="588">G1327</f>
        <v>16053.86</v>
      </c>
      <c r="H1326" s="24">
        <f t="shared" si="588"/>
        <v>15216.789999999999</v>
      </c>
      <c r="I1326" s="24">
        <f t="shared" si="588"/>
        <v>15216.789999999999</v>
      </c>
      <c r="J1326" s="24">
        <f t="shared" si="588"/>
        <v>16053.86</v>
      </c>
      <c r="K1326" s="16">
        <f t="shared" si="569"/>
        <v>0</v>
      </c>
      <c r="L1326" s="24">
        <f t="shared" si="588"/>
        <v>15216.789999999999</v>
      </c>
      <c r="M1326" s="16">
        <f t="shared" si="570"/>
        <v>0</v>
      </c>
      <c r="N1326" s="24">
        <f t="shared" si="588"/>
        <v>15216.789999999999</v>
      </c>
      <c r="O1326" s="16">
        <f t="shared" si="571"/>
        <v>0</v>
      </c>
    </row>
    <row r="1327" spans="1:15" s="3" customFormat="1" ht="38.25">
      <c r="A1327" s="12" t="s">
        <v>722</v>
      </c>
      <c r="B1327" s="36" t="s">
        <v>18</v>
      </c>
      <c r="C1327" s="36" t="s">
        <v>8</v>
      </c>
      <c r="D1327" s="36" t="s">
        <v>53</v>
      </c>
      <c r="E1327" s="36" t="s">
        <v>300</v>
      </c>
      <c r="F1327" s="36" t="s">
        <v>58</v>
      </c>
      <c r="G1327" s="37">
        <f t="shared" si="588"/>
        <v>16053.86</v>
      </c>
      <c r="H1327" s="37">
        <f t="shared" si="588"/>
        <v>15216.789999999999</v>
      </c>
      <c r="I1327" s="37">
        <f t="shared" si="588"/>
        <v>15216.789999999999</v>
      </c>
      <c r="J1327" s="37">
        <f t="shared" si="588"/>
        <v>16053.86</v>
      </c>
      <c r="K1327" s="16">
        <f t="shared" si="569"/>
        <v>0</v>
      </c>
      <c r="L1327" s="37">
        <f t="shared" si="588"/>
        <v>15216.789999999999</v>
      </c>
      <c r="M1327" s="16">
        <f t="shared" si="570"/>
        <v>0</v>
      </c>
      <c r="N1327" s="37">
        <f t="shared" si="588"/>
        <v>15216.789999999999</v>
      </c>
      <c r="O1327" s="16">
        <f t="shared" si="571"/>
        <v>0</v>
      </c>
    </row>
    <row r="1328" spans="1:15" s="3" customFormat="1">
      <c r="A1328" s="148" t="s">
        <v>142</v>
      </c>
      <c r="B1328" s="36" t="s">
        <v>18</v>
      </c>
      <c r="C1328" s="36" t="s">
        <v>8</v>
      </c>
      <c r="D1328" s="36" t="s">
        <v>53</v>
      </c>
      <c r="E1328" s="36" t="s">
        <v>453</v>
      </c>
      <c r="F1328" s="36" t="s">
        <v>58</v>
      </c>
      <c r="G1328" s="37">
        <f t="shared" si="588"/>
        <v>16053.86</v>
      </c>
      <c r="H1328" s="37">
        <f t="shared" si="588"/>
        <v>15216.789999999999</v>
      </c>
      <c r="I1328" s="37">
        <f t="shared" si="588"/>
        <v>15216.789999999999</v>
      </c>
      <c r="J1328" s="37">
        <f t="shared" si="588"/>
        <v>16053.86</v>
      </c>
      <c r="K1328" s="16">
        <f t="shared" si="569"/>
        <v>0</v>
      </c>
      <c r="L1328" s="37">
        <f t="shared" si="588"/>
        <v>15216.789999999999</v>
      </c>
      <c r="M1328" s="16">
        <f t="shared" si="570"/>
        <v>0</v>
      </c>
      <c r="N1328" s="37">
        <f t="shared" si="588"/>
        <v>15216.789999999999</v>
      </c>
      <c r="O1328" s="16">
        <f t="shared" si="571"/>
        <v>0</v>
      </c>
    </row>
    <row r="1329" spans="1:15" s="3" customFormat="1" ht="25.5">
      <c r="A1329" s="148" t="s">
        <v>454</v>
      </c>
      <c r="B1329" s="36" t="s">
        <v>18</v>
      </c>
      <c r="C1329" s="36" t="s">
        <v>8</v>
      </c>
      <c r="D1329" s="36" t="s">
        <v>53</v>
      </c>
      <c r="E1329" s="26" t="s">
        <v>645</v>
      </c>
      <c r="F1329" s="36" t="s">
        <v>58</v>
      </c>
      <c r="G1329" s="37">
        <f>G1331+G1334</f>
        <v>16053.86</v>
      </c>
      <c r="H1329" s="37">
        <f>H1331+H1334</f>
        <v>15216.789999999999</v>
      </c>
      <c r="I1329" s="37">
        <f>I1331+I1334</f>
        <v>15216.789999999999</v>
      </c>
      <c r="J1329" s="37">
        <f>J1331+J1334</f>
        <v>16053.86</v>
      </c>
      <c r="K1329" s="16">
        <f t="shared" si="569"/>
        <v>0</v>
      </c>
      <c r="L1329" s="37">
        <f>L1331+L1334</f>
        <v>15216.789999999999</v>
      </c>
      <c r="M1329" s="16">
        <f t="shared" si="570"/>
        <v>0</v>
      </c>
      <c r="N1329" s="37">
        <f>N1331+N1334</f>
        <v>15216.789999999999</v>
      </c>
      <c r="O1329" s="16">
        <f t="shared" si="571"/>
        <v>0</v>
      </c>
    </row>
    <row r="1330" spans="1:15" s="3" customFormat="1" ht="25.5">
      <c r="A1330" s="148" t="s">
        <v>158</v>
      </c>
      <c r="B1330" s="36" t="s">
        <v>18</v>
      </c>
      <c r="C1330" s="36" t="s">
        <v>8</v>
      </c>
      <c r="D1330" s="36" t="s">
        <v>53</v>
      </c>
      <c r="E1330" s="26" t="s">
        <v>646</v>
      </c>
      <c r="F1330" s="36" t="s">
        <v>58</v>
      </c>
      <c r="G1330" s="37">
        <f>G1331</f>
        <v>15007.51</v>
      </c>
      <c r="H1330" s="37">
        <f>H1331</f>
        <v>14275.07</v>
      </c>
      <c r="I1330" s="37">
        <f>I1331</f>
        <v>14275.07</v>
      </c>
      <c r="J1330" s="37">
        <f>J1331</f>
        <v>15007.51</v>
      </c>
      <c r="K1330" s="16">
        <f t="shared" si="569"/>
        <v>0</v>
      </c>
      <c r="L1330" s="37">
        <f>L1331</f>
        <v>14275.07</v>
      </c>
      <c r="M1330" s="16">
        <f t="shared" si="570"/>
        <v>0</v>
      </c>
      <c r="N1330" s="37">
        <f>N1331</f>
        <v>14275.07</v>
      </c>
      <c r="O1330" s="16">
        <f t="shared" si="571"/>
        <v>0</v>
      </c>
    </row>
    <row r="1331" spans="1:15" s="3" customFormat="1" ht="25.5">
      <c r="A1331" s="11" t="s">
        <v>108</v>
      </c>
      <c r="B1331" s="36" t="s">
        <v>18</v>
      </c>
      <c r="C1331" s="36" t="s">
        <v>8</v>
      </c>
      <c r="D1331" s="36" t="s">
        <v>53</v>
      </c>
      <c r="E1331" s="26" t="s">
        <v>646</v>
      </c>
      <c r="F1331" s="36" t="s">
        <v>116</v>
      </c>
      <c r="G1331" s="27">
        <f>G1332</f>
        <v>15007.51</v>
      </c>
      <c r="H1331" s="27">
        <f t="shared" ref="H1331:I1331" si="589">H1332</f>
        <v>14275.07</v>
      </c>
      <c r="I1331" s="27">
        <f t="shared" si="589"/>
        <v>14275.07</v>
      </c>
      <c r="J1331" s="27">
        <f>15007.51</f>
        <v>15007.51</v>
      </c>
      <c r="K1331" s="16">
        <f t="shared" si="569"/>
        <v>0</v>
      </c>
      <c r="L1331" s="27">
        <f>14275.07</f>
        <v>14275.07</v>
      </c>
      <c r="M1331" s="16">
        <f t="shared" si="570"/>
        <v>0</v>
      </c>
      <c r="N1331" s="27">
        <f>14275.07</f>
        <v>14275.07</v>
      </c>
      <c r="O1331" s="16">
        <f t="shared" si="571"/>
        <v>0</v>
      </c>
    </row>
    <row r="1332" spans="1:15" s="4" customFormat="1" ht="25.5">
      <c r="A1332" s="12" t="s">
        <v>973</v>
      </c>
      <c r="B1332" s="36" t="s">
        <v>18</v>
      </c>
      <c r="C1332" s="36" t="s">
        <v>8</v>
      </c>
      <c r="D1332" s="36" t="s">
        <v>53</v>
      </c>
      <c r="E1332" s="26" t="s">
        <v>646</v>
      </c>
      <c r="F1332" s="36" t="s">
        <v>1043</v>
      </c>
      <c r="G1332" s="27">
        <f>15007.51</f>
        <v>15007.51</v>
      </c>
      <c r="H1332" s="27">
        <f>14275.07</f>
        <v>14275.07</v>
      </c>
      <c r="I1332" s="27">
        <f>14275.07</f>
        <v>14275.07</v>
      </c>
      <c r="J1332" s="80"/>
      <c r="K1332" s="16">
        <f t="shared" si="569"/>
        <v>-15007.51</v>
      </c>
      <c r="L1332" s="80"/>
      <c r="M1332" s="16">
        <f t="shared" si="570"/>
        <v>-14275.07</v>
      </c>
      <c r="N1332" s="80"/>
      <c r="O1332" s="16">
        <f t="shared" si="571"/>
        <v>-14275.07</v>
      </c>
    </row>
    <row r="1333" spans="1:15" s="3" customFormat="1">
      <c r="A1333" s="12" t="s">
        <v>890</v>
      </c>
      <c r="B1333" s="36" t="s">
        <v>18</v>
      </c>
      <c r="C1333" s="36" t="s">
        <v>8</v>
      </c>
      <c r="D1333" s="36" t="s">
        <v>53</v>
      </c>
      <c r="E1333" s="36" t="s">
        <v>910</v>
      </c>
      <c r="F1333" s="36" t="s">
        <v>58</v>
      </c>
      <c r="G1333" s="37">
        <f>G1334</f>
        <v>1046.3499999999999</v>
      </c>
      <c r="H1333" s="37">
        <f>H1334</f>
        <v>941.72</v>
      </c>
      <c r="I1333" s="37">
        <f>I1334</f>
        <v>941.72</v>
      </c>
      <c r="J1333" s="37">
        <f>J1334</f>
        <v>1046.3499999999999</v>
      </c>
      <c r="K1333" s="16">
        <f t="shared" si="569"/>
        <v>0</v>
      </c>
      <c r="L1333" s="37">
        <f>L1334</f>
        <v>941.72</v>
      </c>
      <c r="M1333" s="16">
        <f t="shared" si="570"/>
        <v>0</v>
      </c>
      <c r="N1333" s="37">
        <f>N1334</f>
        <v>941.72</v>
      </c>
      <c r="O1333" s="16">
        <f t="shared" si="571"/>
        <v>0</v>
      </c>
    </row>
    <row r="1334" spans="1:15" s="3" customFormat="1" ht="25.5">
      <c r="A1334" s="11" t="s">
        <v>108</v>
      </c>
      <c r="B1334" s="36" t="s">
        <v>18</v>
      </c>
      <c r="C1334" s="36" t="s">
        <v>8</v>
      </c>
      <c r="D1334" s="36" t="s">
        <v>53</v>
      </c>
      <c r="E1334" s="36" t="s">
        <v>910</v>
      </c>
      <c r="F1334" s="36" t="s">
        <v>116</v>
      </c>
      <c r="G1334" s="27">
        <f>G1335</f>
        <v>1046.3499999999999</v>
      </c>
      <c r="H1334" s="27">
        <f t="shared" ref="H1334:I1334" si="590">H1335</f>
        <v>941.72</v>
      </c>
      <c r="I1334" s="27">
        <f t="shared" si="590"/>
        <v>941.72</v>
      </c>
      <c r="J1334" s="27">
        <f>1046.35</f>
        <v>1046.3499999999999</v>
      </c>
      <c r="K1334" s="16">
        <f t="shared" si="569"/>
        <v>0</v>
      </c>
      <c r="L1334" s="27">
        <f>941.72</f>
        <v>941.72</v>
      </c>
      <c r="M1334" s="16">
        <f t="shared" si="570"/>
        <v>0</v>
      </c>
      <c r="N1334" s="27">
        <f>941.72</f>
        <v>941.72</v>
      </c>
      <c r="O1334" s="16">
        <f t="shared" si="571"/>
        <v>0</v>
      </c>
    </row>
    <row r="1335" spans="1:15" s="4" customFormat="1" ht="25.5">
      <c r="A1335" s="12" t="s">
        <v>973</v>
      </c>
      <c r="B1335" s="36" t="s">
        <v>18</v>
      </c>
      <c r="C1335" s="36" t="s">
        <v>8</v>
      </c>
      <c r="D1335" s="36" t="s">
        <v>53</v>
      </c>
      <c r="E1335" s="36" t="s">
        <v>910</v>
      </c>
      <c r="F1335" s="36" t="s">
        <v>1043</v>
      </c>
      <c r="G1335" s="27">
        <f>1046.35</f>
        <v>1046.3499999999999</v>
      </c>
      <c r="H1335" s="27">
        <f>941.72</f>
        <v>941.72</v>
      </c>
      <c r="I1335" s="27">
        <f>941.72</f>
        <v>941.72</v>
      </c>
      <c r="J1335" s="80"/>
      <c r="K1335" s="16">
        <f t="shared" si="569"/>
        <v>-1046.3499999999999</v>
      </c>
      <c r="L1335" s="80"/>
      <c r="M1335" s="16">
        <f t="shared" si="570"/>
        <v>-941.72</v>
      </c>
      <c r="N1335" s="80"/>
      <c r="O1335" s="16">
        <f t="shared" si="571"/>
        <v>-941.72</v>
      </c>
    </row>
    <row r="1336" spans="1:15" s="3" customFormat="1">
      <c r="A1336" s="17" t="s">
        <v>83</v>
      </c>
      <c r="B1336" s="18" t="s">
        <v>18</v>
      </c>
      <c r="C1336" s="19" t="s">
        <v>50</v>
      </c>
      <c r="D1336" s="19" t="s">
        <v>51</v>
      </c>
      <c r="E1336" s="19" t="s">
        <v>196</v>
      </c>
      <c r="F1336" s="19" t="s">
        <v>58</v>
      </c>
      <c r="G1336" s="20">
        <f t="shared" ref="G1336:N1339" si="591">G1337</f>
        <v>1612.5</v>
      </c>
      <c r="H1336" s="20">
        <f t="shared" si="591"/>
        <v>1549</v>
      </c>
      <c r="I1336" s="20">
        <f t="shared" si="591"/>
        <v>1549</v>
      </c>
      <c r="J1336" s="20">
        <f t="shared" si="591"/>
        <v>1612.5</v>
      </c>
      <c r="K1336" s="16">
        <f t="shared" si="569"/>
        <v>0</v>
      </c>
      <c r="L1336" s="20">
        <f t="shared" si="591"/>
        <v>1549</v>
      </c>
      <c r="M1336" s="16">
        <f t="shared" si="570"/>
        <v>0</v>
      </c>
      <c r="N1336" s="20">
        <f t="shared" si="591"/>
        <v>1549</v>
      </c>
      <c r="O1336" s="16">
        <f t="shared" si="571"/>
        <v>0</v>
      </c>
    </row>
    <row r="1337" spans="1:15" s="3" customFormat="1">
      <c r="A1337" s="128" t="s">
        <v>27</v>
      </c>
      <c r="B1337" s="22" t="s">
        <v>18</v>
      </c>
      <c r="C1337" s="23" t="s">
        <v>50</v>
      </c>
      <c r="D1337" s="23" t="s">
        <v>65</v>
      </c>
      <c r="E1337" s="23" t="s">
        <v>196</v>
      </c>
      <c r="F1337" s="23" t="s">
        <v>58</v>
      </c>
      <c r="G1337" s="24">
        <f t="shared" si="591"/>
        <v>1612.5</v>
      </c>
      <c r="H1337" s="24">
        <f t="shared" si="591"/>
        <v>1549</v>
      </c>
      <c r="I1337" s="24">
        <f t="shared" si="591"/>
        <v>1549</v>
      </c>
      <c r="J1337" s="24">
        <f t="shared" si="591"/>
        <v>1612.5</v>
      </c>
      <c r="K1337" s="16">
        <f t="shared" si="569"/>
        <v>0</v>
      </c>
      <c r="L1337" s="24">
        <f t="shared" si="591"/>
        <v>1549</v>
      </c>
      <c r="M1337" s="16">
        <f t="shared" si="570"/>
        <v>0</v>
      </c>
      <c r="N1337" s="24">
        <f t="shared" si="591"/>
        <v>1549</v>
      </c>
      <c r="O1337" s="16">
        <f t="shared" si="571"/>
        <v>0</v>
      </c>
    </row>
    <row r="1338" spans="1:15" s="3" customFormat="1">
      <c r="A1338" s="11" t="s">
        <v>739</v>
      </c>
      <c r="B1338" s="26" t="s">
        <v>18</v>
      </c>
      <c r="C1338" s="26" t="s">
        <v>50</v>
      </c>
      <c r="D1338" s="26" t="s">
        <v>65</v>
      </c>
      <c r="E1338" s="26" t="s">
        <v>277</v>
      </c>
      <c r="F1338" s="26" t="s">
        <v>58</v>
      </c>
      <c r="G1338" s="27">
        <f t="shared" si="591"/>
        <v>1612.5</v>
      </c>
      <c r="H1338" s="27">
        <f t="shared" si="591"/>
        <v>1549</v>
      </c>
      <c r="I1338" s="27">
        <f t="shared" si="591"/>
        <v>1549</v>
      </c>
      <c r="J1338" s="27">
        <f t="shared" si="591"/>
        <v>1612.5</v>
      </c>
      <c r="K1338" s="16">
        <f t="shared" si="569"/>
        <v>0</v>
      </c>
      <c r="L1338" s="27">
        <f t="shared" si="591"/>
        <v>1549</v>
      </c>
      <c r="M1338" s="16">
        <f t="shared" si="570"/>
        <v>0</v>
      </c>
      <c r="N1338" s="27">
        <f t="shared" si="591"/>
        <v>1549</v>
      </c>
      <c r="O1338" s="16">
        <f t="shared" si="571"/>
        <v>0</v>
      </c>
    </row>
    <row r="1339" spans="1:15" s="3" customFormat="1" ht="51">
      <c r="A1339" s="34" t="s">
        <v>559</v>
      </c>
      <c r="B1339" s="36" t="s">
        <v>18</v>
      </c>
      <c r="C1339" s="36" t="s">
        <v>50</v>
      </c>
      <c r="D1339" s="36" t="s">
        <v>65</v>
      </c>
      <c r="E1339" s="36" t="s">
        <v>278</v>
      </c>
      <c r="F1339" s="36" t="s">
        <v>58</v>
      </c>
      <c r="G1339" s="37">
        <f t="shared" si="591"/>
        <v>1612.5</v>
      </c>
      <c r="H1339" s="37">
        <f t="shared" si="591"/>
        <v>1549</v>
      </c>
      <c r="I1339" s="37">
        <f t="shared" si="591"/>
        <v>1549</v>
      </c>
      <c r="J1339" s="37">
        <f t="shared" si="591"/>
        <v>1612.5</v>
      </c>
      <c r="K1339" s="16">
        <f t="shared" si="569"/>
        <v>0</v>
      </c>
      <c r="L1339" s="37">
        <f t="shared" si="591"/>
        <v>1549</v>
      </c>
      <c r="M1339" s="16">
        <f t="shared" si="570"/>
        <v>0</v>
      </c>
      <c r="N1339" s="37">
        <f t="shared" si="591"/>
        <v>1549</v>
      </c>
      <c r="O1339" s="16">
        <f t="shared" si="571"/>
        <v>0</v>
      </c>
    </row>
    <row r="1340" spans="1:15" s="3" customFormat="1" ht="63.75">
      <c r="A1340" s="135" t="s">
        <v>605</v>
      </c>
      <c r="B1340" s="36" t="s">
        <v>18</v>
      </c>
      <c r="C1340" s="36" t="s">
        <v>50</v>
      </c>
      <c r="D1340" s="36" t="s">
        <v>65</v>
      </c>
      <c r="E1340" s="36" t="s">
        <v>279</v>
      </c>
      <c r="F1340" s="36" t="s">
        <v>58</v>
      </c>
      <c r="G1340" s="37">
        <f>G1341+G1344</f>
        <v>1612.5</v>
      </c>
      <c r="H1340" s="37">
        <f>H1341+H1344</f>
        <v>1549</v>
      </c>
      <c r="I1340" s="37">
        <f>I1341+I1344</f>
        <v>1549</v>
      </c>
      <c r="J1340" s="37">
        <f>J1341+J1344</f>
        <v>1612.5</v>
      </c>
      <c r="K1340" s="16">
        <f t="shared" si="569"/>
        <v>0</v>
      </c>
      <c r="L1340" s="37">
        <f>L1341+L1344</f>
        <v>1549</v>
      </c>
      <c r="M1340" s="16">
        <f t="shared" si="570"/>
        <v>0</v>
      </c>
      <c r="N1340" s="37">
        <f>N1341+N1344</f>
        <v>1549</v>
      </c>
      <c r="O1340" s="16">
        <f t="shared" si="571"/>
        <v>0</v>
      </c>
    </row>
    <row r="1341" spans="1:15" s="3" customFormat="1" ht="25.5">
      <c r="A1341" s="34" t="s">
        <v>161</v>
      </c>
      <c r="B1341" s="36" t="s">
        <v>18</v>
      </c>
      <c r="C1341" s="36" t="s">
        <v>50</v>
      </c>
      <c r="D1341" s="36" t="s">
        <v>65</v>
      </c>
      <c r="E1341" s="36" t="s">
        <v>320</v>
      </c>
      <c r="F1341" s="36" t="s">
        <v>58</v>
      </c>
      <c r="G1341" s="37">
        <f>G1342</f>
        <v>975</v>
      </c>
      <c r="H1341" s="37">
        <f>H1342</f>
        <v>911.5</v>
      </c>
      <c r="I1341" s="37">
        <f>I1342</f>
        <v>911.5</v>
      </c>
      <c r="J1341" s="37">
        <f>J1342</f>
        <v>975</v>
      </c>
      <c r="K1341" s="16">
        <f t="shared" ref="K1341:K1403" si="592">J1341-G1341</f>
        <v>0</v>
      </c>
      <c r="L1341" s="37">
        <f>L1342</f>
        <v>911.5</v>
      </c>
      <c r="M1341" s="16">
        <f t="shared" ref="M1341:M1403" si="593">L1341-H1341</f>
        <v>0</v>
      </c>
      <c r="N1341" s="37">
        <f>N1342</f>
        <v>911.5</v>
      </c>
      <c r="O1341" s="16">
        <f t="shared" ref="O1341:O1403" si="594">N1341-I1341</f>
        <v>0</v>
      </c>
    </row>
    <row r="1342" spans="1:15" s="3" customFormat="1" ht="25.5">
      <c r="A1342" s="11" t="s">
        <v>108</v>
      </c>
      <c r="B1342" s="36" t="s">
        <v>18</v>
      </c>
      <c r="C1342" s="36" t="s">
        <v>50</v>
      </c>
      <c r="D1342" s="36" t="s">
        <v>65</v>
      </c>
      <c r="E1342" s="36" t="s">
        <v>320</v>
      </c>
      <c r="F1342" s="36" t="s">
        <v>116</v>
      </c>
      <c r="G1342" s="27">
        <f>G1343</f>
        <v>975</v>
      </c>
      <c r="H1342" s="27">
        <f t="shared" ref="H1342:I1342" si="595">H1343</f>
        <v>911.5</v>
      </c>
      <c r="I1342" s="27">
        <f t="shared" si="595"/>
        <v>911.5</v>
      </c>
      <c r="J1342" s="27">
        <f>975</f>
        <v>975</v>
      </c>
      <c r="K1342" s="16">
        <f t="shared" si="592"/>
        <v>0</v>
      </c>
      <c r="L1342" s="27">
        <f>911.5</f>
        <v>911.5</v>
      </c>
      <c r="M1342" s="16">
        <f t="shared" si="593"/>
        <v>0</v>
      </c>
      <c r="N1342" s="27">
        <f>911.5</f>
        <v>911.5</v>
      </c>
      <c r="O1342" s="16">
        <f t="shared" si="594"/>
        <v>0</v>
      </c>
    </row>
    <row r="1343" spans="1:15" s="4" customFormat="1" ht="25.5">
      <c r="A1343" s="12" t="s">
        <v>973</v>
      </c>
      <c r="B1343" s="36" t="s">
        <v>18</v>
      </c>
      <c r="C1343" s="36" t="s">
        <v>50</v>
      </c>
      <c r="D1343" s="36" t="s">
        <v>65</v>
      </c>
      <c r="E1343" s="36" t="s">
        <v>320</v>
      </c>
      <c r="F1343" s="36" t="s">
        <v>1043</v>
      </c>
      <c r="G1343" s="27">
        <f>975</f>
        <v>975</v>
      </c>
      <c r="H1343" s="27">
        <f>911.5</f>
        <v>911.5</v>
      </c>
      <c r="I1343" s="27">
        <f>911.5</f>
        <v>911.5</v>
      </c>
      <c r="J1343" s="80"/>
      <c r="K1343" s="16">
        <f t="shared" si="592"/>
        <v>-975</v>
      </c>
      <c r="L1343" s="80"/>
      <c r="M1343" s="16">
        <f t="shared" si="593"/>
        <v>-911.5</v>
      </c>
      <c r="N1343" s="80"/>
      <c r="O1343" s="16">
        <f t="shared" si="594"/>
        <v>-911.5</v>
      </c>
    </row>
    <row r="1344" spans="1:15" s="3" customFormat="1" ht="25.5">
      <c r="A1344" s="12" t="s">
        <v>892</v>
      </c>
      <c r="B1344" s="36" t="s">
        <v>18</v>
      </c>
      <c r="C1344" s="36" t="s">
        <v>50</v>
      </c>
      <c r="D1344" s="36" t="s">
        <v>65</v>
      </c>
      <c r="E1344" s="36" t="s">
        <v>500</v>
      </c>
      <c r="F1344" s="36" t="s">
        <v>58</v>
      </c>
      <c r="G1344" s="149">
        <f>G1345</f>
        <v>637.5</v>
      </c>
      <c r="H1344" s="149">
        <f>H1345</f>
        <v>637.5</v>
      </c>
      <c r="I1344" s="149">
        <f>I1345</f>
        <v>637.5</v>
      </c>
      <c r="J1344" s="149">
        <f>J1345</f>
        <v>637.5</v>
      </c>
      <c r="K1344" s="16">
        <f t="shared" si="592"/>
        <v>0</v>
      </c>
      <c r="L1344" s="149">
        <f>L1345</f>
        <v>637.5</v>
      </c>
      <c r="M1344" s="16">
        <f t="shared" si="593"/>
        <v>0</v>
      </c>
      <c r="N1344" s="149">
        <f>N1345</f>
        <v>637.5</v>
      </c>
      <c r="O1344" s="16">
        <f t="shared" si="594"/>
        <v>0</v>
      </c>
    </row>
    <row r="1345" spans="1:15" s="3" customFormat="1" ht="25.5">
      <c r="A1345" s="11" t="s">
        <v>108</v>
      </c>
      <c r="B1345" s="36" t="s">
        <v>18</v>
      </c>
      <c r="C1345" s="36" t="s">
        <v>50</v>
      </c>
      <c r="D1345" s="36" t="s">
        <v>65</v>
      </c>
      <c r="E1345" s="36" t="s">
        <v>500</v>
      </c>
      <c r="F1345" s="36" t="s">
        <v>116</v>
      </c>
      <c r="G1345" s="27">
        <f>G1346</f>
        <v>637.5</v>
      </c>
      <c r="H1345" s="27">
        <f t="shared" ref="H1345:I1345" si="596">H1346</f>
        <v>637.5</v>
      </c>
      <c r="I1345" s="27">
        <f t="shared" si="596"/>
        <v>637.5</v>
      </c>
      <c r="J1345" s="27">
        <f>637.5</f>
        <v>637.5</v>
      </c>
      <c r="K1345" s="16">
        <f t="shared" si="592"/>
        <v>0</v>
      </c>
      <c r="L1345" s="27">
        <f>637.5</f>
        <v>637.5</v>
      </c>
      <c r="M1345" s="16">
        <f t="shared" si="593"/>
        <v>0</v>
      </c>
      <c r="N1345" s="27">
        <f>637.5</f>
        <v>637.5</v>
      </c>
      <c r="O1345" s="16">
        <f t="shared" si="594"/>
        <v>0</v>
      </c>
    </row>
    <row r="1346" spans="1:15" s="4" customFormat="1" ht="25.5">
      <c r="A1346" s="12" t="s">
        <v>973</v>
      </c>
      <c r="B1346" s="36" t="s">
        <v>18</v>
      </c>
      <c r="C1346" s="36" t="s">
        <v>50</v>
      </c>
      <c r="D1346" s="36" t="s">
        <v>65</v>
      </c>
      <c r="E1346" s="36" t="s">
        <v>500</v>
      </c>
      <c r="F1346" s="36" t="s">
        <v>1043</v>
      </c>
      <c r="G1346" s="27">
        <f>637.5</f>
        <v>637.5</v>
      </c>
      <c r="H1346" s="27">
        <f>637.5</f>
        <v>637.5</v>
      </c>
      <c r="I1346" s="27">
        <f>637.5</f>
        <v>637.5</v>
      </c>
      <c r="J1346" s="80"/>
      <c r="K1346" s="16">
        <f t="shared" si="592"/>
        <v>-637.5</v>
      </c>
      <c r="L1346" s="80"/>
      <c r="M1346" s="16">
        <f t="shared" si="593"/>
        <v>-637.5</v>
      </c>
      <c r="N1346" s="80"/>
      <c r="O1346" s="16">
        <f t="shared" si="594"/>
        <v>-637.5</v>
      </c>
    </row>
    <row r="1347" spans="1:15" s="3" customFormat="1">
      <c r="A1347" s="11"/>
      <c r="B1347" s="36"/>
      <c r="C1347" s="36"/>
      <c r="D1347" s="36"/>
      <c r="E1347" s="36"/>
      <c r="F1347" s="36"/>
      <c r="G1347" s="27"/>
      <c r="H1347" s="27"/>
      <c r="I1347" s="27"/>
      <c r="J1347" s="27"/>
      <c r="K1347" s="16">
        <f t="shared" si="592"/>
        <v>0</v>
      </c>
      <c r="L1347" s="27"/>
      <c r="M1347" s="16">
        <f t="shared" si="593"/>
        <v>0</v>
      </c>
      <c r="N1347" s="27"/>
      <c r="O1347" s="16">
        <f t="shared" si="594"/>
        <v>0</v>
      </c>
    </row>
    <row r="1348" spans="1:15" s="3" customFormat="1">
      <c r="A1348" s="28" t="s">
        <v>19</v>
      </c>
      <c r="B1348" s="14" t="s">
        <v>20</v>
      </c>
      <c r="C1348" s="15" t="s">
        <v>51</v>
      </c>
      <c r="D1348" s="15" t="s">
        <v>51</v>
      </c>
      <c r="E1348" s="15" t="s">
        <v>196</v>
      </c>
      <c r="F1348" s="15" t="s">
        <v>58</v>
      </c>
      <c r="G1348" s="50">
        <f>G1349+G1365+G1428+G1503</f>
        <v>533176.72</v>
      </c>
      <c r="H1348" s="50">
        <f>H1349+H1365+H1428+H1503</f>
        <v>505260.58999999997</v>
      </c>
      <c r="I1348" s="50">
        <f>I1349+I1365+I1428+I1503</f>
        <v>505260.58999999997</v>
      </c>
      <c r="J1348" s="50">
        <f>J1349+J1365+J1428+J1503</f>
        <v>533176.72</v>
      </c>
      <c r="K1348" s="16">
        <f t="shared" si="592"/>
        <v>0</v>
      </c>
      <c r="L1348" s="50">
        <f>L1349+L1365+L1428+L1503</f>
        <v>505260.58999999997</v>
      </c>
      <c r="M1348" s="16">
        <f t="shared" si="593"/>
        <v>0</v>
      </c>
      <c r="N1348" s="50">
        <f>N1349+N1365+N1428+N1503</f>
        <v>505260.58999999997</v>
      </c>
      <c r="O1348" s="16">
        <f t="shared" si="594"/>
        <v>0</v>
      </c>
    </row>
    <row r="1349" spans="1:15" s="3" customFormat="1">
      <c r="A1349" s="17" t="s">
        <v>64</v>
      </c>
      <c r="B1349" s="18" t="s">
        <v>20</v>
      </c>
      <c r="C1349" s="19" t="s">
        <v>65</v>
      </c>
      <c r="D1349" s="19" t="s">
        <v>51</v>
      </c>
      <c r="E1349" s="19" t="s">
        <v>196</v>
      </c>
      <c r="F1349" s="19" t="s">
        <v>58</v>
      </c>
      <c r="G1349" s="20">
        <f t="shared" ref="G1349:N1357" si="597">G1350</f>
        <v>1874.73</v>
      </c>
      <c r="H1349" s="20">
        <f t="shared" si="597"/>
        <v>1719.73</v>
      </c>
      <c r="I1349" s="20">
        <f t="shared" si="597"/>
        <v>1719.73</v>
      </c>
      <c r="J1349" s="20">
        <f t="shared" si="597"/>
        <v>1874.73</v>
      </c>
      <c r="K1349" s="16">
        <f t="shared" si="592"/>
        <v>0</v>
      </c>
      <c r="L1349" s="20">
        <f t="shared" si="597"/>
        <v>1719.73</v>
      </c>
      <c r="M1349" s="16">
        <f t="shared" si="593"/>
        <v>0</v>
      </c>
      <c r="N1349" s="20">
        <f t="shared" si="597"/>
        <v>1719.73</v>
      </c>
      <c r="O1349" s="16">
        <f t="shared" si="594"/>
        <v>0</v>
      </c>
    </row>
    <row r="1350" spans="1:15" s="3" customFormat="1">
      <c r="A1350" s="21" t="s">
        <v>38</v>
      </c>
      <c r="B1350" s="22" t="s">
        <v>20</v>
      </c>
      <c r="C1350" s="23" t="s">
        <v>65</v>
      </c>
      <c r="D1350" s="23" t="s">
        <v>84</v>
      </c>
      <c r="E1350" s="23" t="s">
        <v>196</v>
      </c>
      <c r="F1350" s="23" t="s">
        <v>58</v>
      </c>
      <c r="G1350" s="24">
        <f>G1357+G1351</f>
        <v>1874.73</v>
      </c>
      <c r="H1350" s="24">
        <f t="shared" ref="H1350:I1350" si="598">H1357+H1351</f>
        <v>1719.73</v>
      </c>
      <c r="I1350" s="24">
        <f t="shared" si="598"/>
        <v>1719.73</v>
      </c>
      <c r="J1350" s="24">
        <f>J1357+J1351</f>
        <v>1874.73</v>
      </c>
      <c r="K1350" s="16">
        <f t="shared" si="592"/>
        <v>0</v>
      </c>
      <c r="L1350" s="24">
        <f t="shared" ref="L1350:N1350" si="599">L1357+L1351</f>
        <v>1719.73</v>
      </c>
      <c r="M1350" s="16">
        <f t="shared" si="593"/>
        <v>0</v>
      </c>
      <c r="N1350" s="24">
        <f t="shared" si="599"/>
        <v>1719.73</v>
      </c>
      <c r="O1350" s="16">
        <f t="shared" si="594"/>
        <v>0</v>
      </c>
    </row>
    <row r="1351" spans="1:15" s="3" customFormat="1" ht="38.25">
      <c r="A1351" s="11" t="s">
        <v>745</v>
      </c>
      <c r="B1351" s="25" t="s">
        <v>20</v>
      </c>
      <c r="C1351" s="26" t="s">
        <v>65</v>
      </c>
      <c r="D1351" s="26" t="s">
        <v>84</v>
      </c>
      <c r="E1351" s="43" t="s">
        <v>280</v>
      </c>
      <c r="F1351" s="26" t="s">
        <v>58</v>
      </c>
      <c r="G1351" s="27">
        <f>G1352</f>
        <v>57.23</v>
      </c>
      <c r="H1351" s="27">
        <f t="shared" ref="H1351:N1355" si="600">H1352</f>
        <v>57.23</v>
      </c>
      <c r="I1351" s="27">
        <f t="shared" si="600"/>
        <v>57.23</v>
      </c>
      <c r="J1351" s="27">
        <f>J1352</f>
        <v>57.23</v>
      </c>
      <c r="K1351" s="16">
        <f t="shared" si="592"/>
        <v>0</v>
      </c>
      <c r="L1351" s="27">
        <f t="shared" si="600"/>
        <v>57.23</v>
      </c>
      <c r="M1351" s="16">
        <f t="shared" si="593"/>
        <v>0</v>
      </c>
      <c r="N1351" s="27">
        <f t="shared" si="600"/>
        <v>57.23</v>
      </c>
      <c r="O1351" s="16">
        <f t="shared" si="594"/>
        <v>0</v>
      </c>
    </row>
    <row r="1352" spans="1:15" s="3" customFormat="1" ht="51">
      <c r="A1352" s="11" t="s">
        <v>746</v>
      </c>
      <c r="B1352" s="25" t="s">
        <v>20</v>
      </c>
      <c r="C1352" s="26" t="s">
        <v>65</v>
      </c>
      <c r="D1352" s="26" t="s">
        <v>84</v>
      </c>
      <c r="E1352" s="43" t="s">
        <v>281</v>
      </c>
      <c r="F1352" s="26" t="s">
        <v>58</v>
      </c>
      <c r="G1352" s="27">
        <f>G1353</f>
        <v>57.23</v>
      </c>
      <c r="H1352" s="27">
        <f t="shared" si="600"/>
        <v>57.23</v>
      </c>
      <c r="I1352" s="27">
        <f t="shared" si="600"/>
        <v>57.23</v>
      </c>
      <c r="J1352" s="27">
        <f>J1353</f>
        <v>57.23</v>
      </c>
      <c r="K1352" s="16">
        <f t="shared" si="592"/>
        <v>0</v>
      </c>
      <c r="L1352" s="27">
        <f t="shared" si="600"/>
        <v>57.23</v>
      </c>
      <c r="M1352" s="16">
        <f t="shared" si="593"/>
        <v>0</v>
      </c>
      <c r="N1352" s="27">
        <f t="shared" si="600"/>
        <v>57.23</v>
      </c>
      <c r="O1352" s="16">
        <f t="shared" si="594"/>
        <v>0</v>
      </c>
    </row>
    <row r="1353" spans="1:15" s="3" customFormat="1" ht="38.25">
      <c r="A1353" s="11" t="s">
        <v>282</v>
      </c>
      <c r="B1353" s="25" t="s">
        <v>20</v>
      </c>
      <c r="C1353" s="26" t="s">
        <v>65</v>
      </c>
      <c r="D1353" s="26" t="s">
        <v>84</v>
      </c>
      <c r="E1353" s="43" t="s">
        <v>283</v>
      </c>
      <c r="F1353" s="26" t="s">
        <v>58</v>
      </c>
      <c r="G1353" s="27">
        <f>G1354</f>
        <v>57.23</v>
      </c>
      <c r="H1353" s="27">
        <f t="shared" si="600"/>
        <v>57.23</v>
      </c>
      <c r="I1353" s="27">
        <f t="shared" si="600"/>
        <v>57.23</v>
      </c>
      <c r="J1353" s="27">
        <f>J1354</f>
        <v>57.23</v>
      </c>
      <c r="K1353" s="16">
        <f t="shared" si="592"/>
        <v>0</v>
      </c>
      <c r="L1353" s="27">
        <f t="shared" si="600"/>
        <v>57.23</v>
      </c>
      <c r="M1353" s="16">
        <f t="shared" si="593"/>
        <v>0</v>
      </c>
      <c r="N1353" s="27">
        <f t="shared" si="600"/>
        <v>57.23</v>
      </c>
      <c r="O1353" s="16">
        <f t="shared" si="594"/>
        <v>0</v>
      </c>
    </row>
    <row r="1354" spans="1:15" s="3" customFormat="1" ht="25.5">
      <c r="A1354" s="11" t="s">
        <v>859</v>
      </c>
      <c r="B1354" s="25" t="s">
        <v>20</v>
      </c>
      <c r="C1354" s="26" t="s">
        <v>65</v>
      </c>
      <c r="D1354" s="26" t="s">
        <v>84</v>
      </c>
      <c r="E1354" s="43" t="s">
        <v>858</v>
      </c>
      <c r="F1354" s="26" t="s">
        <v>58</v>
      </c>
      <c r="G1354" s="27">
        <f>G1355</f>
        <v>57.23</v>
      </c>
      <c r="H1354" s="27">
        <f t="shared" si="600"/>
        <v>57.23</v>
      </c>
      <c r="I1354" s="27">
        <f t="shared" si="600"/>
        <v>57.23</v>
      </c>
      <c r="J1354" s="27">
        <f>J1355</f>
        <v>57.23</v>
      </c>
      <c r="K1354" s="16">
        <f t="shared" si="592"/>
        <v>0</v>
      </c>
      <c r="L1354" s="27">
        <f t="shared" si="600"/>
        <v>57.23</v>
      </c>
      <c r="M1354" s="16">
        <f t="shared" si="593"/>
        <v>0</v>
      </c>
      <c r="N1354" s="27">
        <f t="shared" si="600"/>
        <v>57.23</v>
      </c>
      <c r="O1354" s="16">
        <f t="shared" si="594"/>
        <v>0</v>
      </c>
    </row>
    <row r="1355" spans="1:15" s="3" customFormat="1" ht="25.5">
      <c r="A1355" s="11" t="s">
        <v>108</v>
      </c>
      <c r="B1355" s="25" t="s">
        <v>20</v>
      </c>
      <c r="C1355" s="26" t="s">
        <v>65</v>
      </c>
      <c r="D1355" s="26" t="s">
        <v>84</v>
      </c>
      <c r="E1355" s="43" t="s">
        <v>858</v>
      </c>
      <c r="F1355" s="26" t="s">
        <v>116</v>
      </c>
      <c r="G1355" s="27">
        <f>G1356</f>
        <v>57.23</v>
      </c>
      <c r="H1355" s="27">
        <f t="shared" si="600"/>
        <v>57.23</v>
      </c>
      <c r="I1355" s="27">
        <f t="shared" si="600"/>
        <v>57.23</v>
      </c>
      <c r="J1355" s="27">
        <f>57.23</f>
        <v>57.23</v>
      </c>
      <c r="K1355" s="16">
        <f t="shared" si="592"/>
        <v>0</v>
      </c>
      <c r="L1355" s="27">
        <f>57.23</f>
        <v>57.23</v>
      </c>
      <c r="M1355" s="16">
        <f t="shared" si="593"/>
        <v>0</v>
      </c>
      <c r="N1355" s="27">
        <f>57.23</f>
        <v>57.23</v>
      </c>
      <c r="O1355" s="16">
        <f t="shared" si="594"/>
        <v>0</v>
      </c>
    </row>
    <row r="1356" spans="1:15" s="3" customFormat="1" ht="25.5">
      <c r="A1356" s="11" t="s">
        <v>973</v>
      </c>
      <c r="B1356" s="25" t="s">
        <v>20</v>
      </c>
      <c r="C1356" s="26" t="s">
        <v>65</v>
      </c>
      <c r="D1356" s="26" t="s">
        <v>84</v>
      </c>
      <c r="E1356" s="43" t="s">
        <v>858</v>
      </c>
      <c r="F1356" s="26" t="s">
        <v>1043</v>
      </c>
      <c r="G1356" s="27">
        <f>57.23</f>
        <v>57.23</v>
      </c>
      <c r="H1356" s="27">
        <f>57.23</f>
        <v>57.23</v>
      </c>
      <c r="I1356" s="27">
        <f>57.23</f>
        <v>57.23</v>
      </c>
      <c r="J1356" s="27"/>
      <c r="K1356" s="16">
        <f t="shared" si="592"/>
        <v>-57.23</v>
      </c>
      <c r="L1356" s="27"/>
      <c r="M1356" s="16">
        <f t="shared" si="593"/>
        <v>-57.23</v>
      </c>
      <c r="N1356" s="27"/>
      <c r="O1356" s="16">
        <f t="shared" si="594"/>
        <v>-57.23</v>
      </c>
    </row>
    <row r="1357" spans="1:15" s="3" customFormat="1" ht="25.5">
      <c r="A1357" s="11" t="s">
        <v>143</v>
      </c>
      <c r="B1357" s="26" t="s">
        <v>20</v>
      </c>
      <c r="C1357" s="26" t="s">
        <v>65</v>
      </c>
      <c r="D1357" s="26" t="s">
        <v>84</v>
      </c>
      <c r="E1357" s="26" t="s">
        <v>508</v>
      </c>
      <c r="F1357" s="26" t="s">
        <v>58</v>
      </c>
      <c r="G1357" s="27">
        <f t="shared" si="597"/>
        <v>1817.5</v>
      </c>
      <c r="H1357" s="27">
        <f t="shared" si="597"/>
        <v>1662.5</v>
      </c>
      <c r="I1357" s="27">
        <f t="shared" si="597"/>
        <v>1662.5</v>
      </c>
      <c r="J1357" s="27">
        <f t="shared" si="597"/>
        <v>1817.5</v>
      </c>
      <c r="K1357" s="16">
        <f t="shared" si="592"/>
        <v>0</v>
      </c>
      <c r="L1357" s="27">
        <f t="shared" si="597"/>
        <v>1662.5</v>
      </c>
      <c r="M1357" s="16">
        <f t="shared" si="593"/>
        <v>0</v>
      </c>
      <c r="N1357" s="27">
        <f t="shared" si="597"/>
        <v>1662.5</v>
      </c>
      <c r="O1357" s="16">
        <f t="shared" si="594"/>
        <v>0</v>
      </c>
    </row>
    <row r="1358" spans="1:15" s="3" customFormat="1" ht="25.5">
      <c r="A1358" s="11" t="s">
        <v>144</v>
      </c>
      <c r="B1358" s="26" t="s">
        <v>20</v>
      </c>
      <c r="C1358" s="26" t="s">
        <v>65</v>
      </c>
      <c r="D1358" s="26" t="s">
        <v>84</v>
      </c>
      <c r="E1358" s="26" t="s">
        <v>509</v>
      </c>
      <c r="F1358" s="26" t="s">
        <v>58</v>
      </c>
      <c r="G1358" s="27">
        <f>G1362+G1359</f>
        <v>1817.5</v>
      </c>
      <c r="H1358" s="27">
        <f t="shared" ref="H1358:I1358" si="601">H1362+H1359</f>
        <v>1662.5</v>
      </c>
      <c r="I1358" s="27">
        <f t="shared" si="601"/>
        <v>1662.5</v>
      </c>
      <c r="J1358" s="27">
        <f>J1362+J1359</f>
        <v>1817.5</v>
      </c>
      <c r="K1358" s="16">
        <f t="shared" si="592"/>
        <v>0</v>
      </c>
      <c r="L1358" s="27">
        <f t="shared" ref="L1358:N1358" si="602">L1362+L1359</f>
        <v>1662.5</v>
      </c>
      <c r="M1358" s="16">
        <f t="shared" si="593"/>
        <v>0</v>
      </c>
      <c r="N1358" s="27">
        <f t="shared" si="602"/>
        <v>1662.5</v>
      </c>
      <c r="O1358" s="16">
        <f t="shared" si="594"/>
        <v>0</v>
      </c>
    </row>
    <row r="1359" spans="1:15" s="3" customFormat="1" ht="25.5">
      <c r="A1359" s="11" t="s">
        <v>114</v>
      </c>
      <c r="B1359" s="26" t="s">
        <v>20</v>
      </c>
      <c r="C1359" s="26" t="s">
        <v>65</v>
      </c>
      <c r="D1359" s="26" t="s">
        <v>84</v>
      </c>
      <c r="E1359" s="26" t="s">
        <v>531</v>
      </c>
      <c r="F1359" s="26" t="s">
        <v>58</v>
      </c>
      <c r="G1359" s="27">
        <f>G1360</f>
        <v>1317.5</v>
      </c>
      <c r="H1359" s="27">
        <f t="shared" ref="H1359:N1360" si="603">H1360</f>
        <v>1162.5</v>
      </c>
      <c r="I1359" s="27">
        <f t="shared" si="603"/>
        <v>1162.5</v>
      </c>
      <c r="J1359" s="27">
        <f>J1360</f>
        <v>1317.5</v>
      </c>
      <c r="K1359" s="16">
        <f t="shared" si="592"/>
        <v>0</v>
      </c>
      <c r="L1359" s="27">
        <f t="shared" si="603"/>
        <v>1162.5</v>
      </c>
      <c r="M1359" s="16">
        <f t="shared" si="593"/>
        <v>0</v>
      </c>
      <c r="N1359" s="27">
        <f t="shared" si="603"/>
        <v>1162.5</v>
      </c>
      <c r="O1359" s="16">
        <f t="shared" si="594"/>
        <v>0</v>
      </c>
    </row>
    <row r="1360" spans="1:15" s="3" customFormat="1" ht="25.5">
      <c r="A1360" s="11" t="s">
        <v>108</v>
      </c>
      <c r="B1360" s="26" t="s">
        <v>20</v>
      </c>
      <c r="C1360" s="26" t="s">
        <v>65</v>
      </c>
      <c r="D1360" s="26" t="s">
        <v>84</v>
      </c>
      <c r="E1360" s="26" t="s">
        <v>531</v>
      </c>
      <c r="F1360" s="26" t="s">
        <v>116</v>
      </c>
      <c r="G1360" s="27">
        <f>G1361</f>
        <v>1317.5</v>
      </c>
      <c r="H1360" s="27">
        <f t="shared" si="603"/>
        <v>1162.5</v>
      </c>
      <c r="I1360" s="27">
        <f t="shared" si="603"/>
        <v>1162.5</v>
      </c>
      <c r="J1360" s="27">
        <f>1317.5</f>
        <v>1317.5</v>
      </c>
      <c r="K1360" s="16">
        <f t="shared" si="592"/>
        <v>0</v>
      </c>
      <c r="L1360" s="27">
        <f>1162.5</f>
        <v>1162.5</v>
      </c>
      <c r="M1360" s="16">
        <f t="shared" si="593"/>
        <v>0</v>
      </c>
      <c r="N1360" s="27">
        <f>1162.5</f>
        <v>1162.5</v>
      </c>
      <c r="O1360" s="16">
        <f t="shared" si="594"/>
        <v>0</v>
      </c>
    </row>
    <row r="1361" spans="1:15" s="4" customFormat="1" ht="25.5">
      <c r="A1361" s="11" t="s">
        <v>973</v>
      </c>
      <c r="B1361" s="26" t="s">
        <v>20</v>
      </c>
      <c r="C1361" s="26" t="s">
        <v>65</v>
      </c>
      <c r="D1361" s="26" t="s">
        <v>84</v>
      </c>
      <c r="E1361" s="26" t="s">
        <v>531</v>
      </c>
      <c r="F1361" s="26" t="s">
        <v>1043</v>
      </c>
      <c r="G1361" s="27">
        <f>1317.5</f>
        <v>1317.5</v>
      </c>
      <c r="H1361" s="27">
        <f>1162.5</f>
        <v>1162.5</v>
      </c>
      <c r="I1361" s="27">
        <f>1162.5</f>
        <v>1162.5</v>
      </c>
      <c r="J1361" s="80"/>
      <c r="K1361" s="16">
        <f t="shared" si="592"/>
        <v>-1317.5</v>
      </c>
      <c r="L1361" s="80"/>
      <c r="M1361" s="16">
        <f t="shared" si="593"/>
        <v>-1162.5</v>
      </c>
      <c r="N1361" s="80"/>
      <c r="O1361" s="16">
        <f t="shared" si="594"/>
        <v>-1162.5</v>
      </c>
    </row>
    <row r="1362" spans="1:15" s="3" customFormat="1" ht="25.5">
      <c r="A1362" s="11" t="s">
        <v>130</v>
      </c>
      <c r="B1362" s="26" t="s">
        <v>20</v>
      </c>
      <c r="C1362" s="26" t="s">
        <v>65</v>
      </c>
      <c r="D1362" s="26" t="s">
        <v>84</v>
      </c>
      <c r="E1362" s="26" t="s">
        <v>510</v>
      </c>
      <c r="F1362" s="26" t="s">
        <v>58</v>
      </c>
      <c r="G1362" s="27">
        <f>G1363</f>
        <v>500</v>
      </c>
      <c r="H1362" s="27">
        <f>H1363</f>
        <v>500</v>
      </c>
      <c r="I1362" s="27">
        <f>I1363</f>
        <v>500</v>
      </c>
      <c r="J1362" s="27">
        <f>J1363</f>
        <v>500</v>
      </c>
      <c r="K1362" s="16">
        <f t="shared" si="592"/>
        <v>0</v>
      </c>
      <c r="L1362" s="27">
        <f>L1363</f>
        <v>500</v>
      </c>
      <c r="M1362" s="16">
        <f t="shared" si="593"/>
        <v>0</v>
      </c>
      <c r="N1362" s="27">
        <f>N1363</f>
        <v>500</v>
      </c>
      <c r="O1362" s="16">
        <f t="shared" si="594"/>
        <v>0</v>
      </c>
    </row>
    <row r="1363" spans="1:15" s="3" customFormat="1">
      <c r="A1363" s="11" t="s">
        <v>96</v>
      </c>
      <c r="B1363" s="26" t="s">
        <v>20</v>
      </c>
      <c r="C1363" s="26" t="s">
        <v>65</v>
      </c>
      <c r="D1363" s="26" t="s">
        <v>84</v>
      </c>
      <c r="E1363" s="26" t="s">
        <v>510</v>
      </c>
      <c r="F1363" s="26" t="s">
        <v>131</v>
      </c>
      <c r="G1363" s="27">
        <f>G1364</f>
        <v>500</v>
      </c>
      <c r="H1363" s="27">
        <f t="shared" ref="H1363:I1363" si="604">H1364</f>
        <v>500</v>
      </c>
      <c r="I1363" s="27">
        <f t="shared" si="604"/>
        <v>500</v>
      </c>
      <c r="J1363" s="27">
        <f>500</f>
        <v>500</v>
      </c>
      <c r="K1363" s="16">
        <f t="shared" si="592"/>
        <v>0</v>
      </c>
      <c r="L1363" s="27">
        <f>500</f>
        <v>500</v>
      </c>
      <c r="M1363" s="16">
        <f t="shared" si="593"/>
        <v>0</v>
      </c>
      <c r="N1363" s="27">
        <f>500</f>
        <v>500</v>
      </c>
      <c r="O1363" s="16">
        <f t="shared" si="594"/>
        <v>0</v>
      </c>
    </row>
    <row r="1364" spans="1:15" s="4" customFormat="1" ht="25.5">
      <c r="A1364" s="11" t="s">
        <v>1044</v>
      </c>
      <c r="B1364" s="26" t="s">
        <v>20</v>
      </c>
      <c r="C1364" s="26" t="s">
        <v>65</v>
      </c>
      <c r="D1364" s="26" t="s">
        <v>84</v>
      </c>
      <c r="E1364" s="26" t="s">
        <v>510</v>
      </c>
      <c r="F1364" s="26" t="s">
        <v>1045</v>
      </c>
      <c r="G1364" s="27">
        <f>500</f>
        <v>500</v>
      </c>
      <c r="H1364" s="27">
        <f>500</f>
        <v>500</v>
      </c>
      <c r="I1364" s="27">
        <f>500</f>
        <v>500</v>
      </c>
      <c r="J1364" s="80"/>
      <c r="K1364" s="16">
        <f t="shared" si="592"/>
        <v>-500</v>
      </c>
      <c r="L1364" s="80"/>
      <c r="M1364" s="16">
        <f t="shared" si="593"/>
        <v>-500</v>
      </c>
      <c r="N1364" s="80"/>
      <c r="O1364" s="16">
        <f t="shared" si="594"/>
        <v>-500</v>
      </c>
    </row>
    <row r="1365" spans="1:15" s="3" customFormat="1">
      <c r="A1365" s="17" t="s">
        <v>35</v>
      </c>
      <c r="B1365" s="18" t="s">
        <v>20</v>
      </c>
      <c r="C1365" s="19" t="s">
        <v>37</v>
      </c>
      <c r="D1365" s="19" t="s">
        <v>51</v>
      </c>
      <c r="E1365" s="19" t="s">
        <v>196</v>
      </c>
      <c r="F1365" s="19" t="s">
        <v>58</v>
      </c>
      <c r="G1365" s="20">
        <f>G1366+G1374+G1390</f>
        <v>201142.25</v>
      </c>
      <c r="H1365" s="20">
        <f>H1366+H1374+H1390</f>
        <v>201140.13999999998</v>
      </c>
      <c r="I1365" s="20">
        <f>I1366+I1374+I1390</f>
        <v>201140.13999999998</v>
      </c>
      <c r="J1365" s="20">
        <f>J1366+J1374+J1390</f>
        <v>201142.25</v>
      </c>
      <c r="K1365" s="16">
        <f t="shared" si="592"/>
        <v>0</v>
      </c>
      <c r="L1365" s="20">
        <f>L1366+L1374+L1390</f>
        <v>201140.13999999998</v>
      </c>
      <c r="M1365" s="16">
        <f t="shared" si="593"/>
        <v>0</v>
      </c>
      <c r="N1365" s="20">
        <f>N1366+N1374+N1390</f>
        <v>201140.13999999998</v>
      </c>
      <c r="O1365" s="16">
        <f t="shared" si="594"/>
        <v>0</v>
      </c>
    </row>
    <row r="1366" spans="1:15" s="3" customFormat="1">
      <c r="A1366" s="21" t="s">
        <v>76</v>
      </c>
      <c r="B1366" s="22" t="s">
        <v>20</v>
      </c>
      <c r="C1366" s="23" t="s">
        <v>37</v>
      </c>
      <c r="D1366" s="23" t="s">
        <v>71</v>
      </c>
      <c r="E1366" s="23" t="s">
        <v>196</v>
      </c>
      <c r="F1366" s="23" t="s">
        <v>58</v>
      </c>
      <c r="G1366" s="24">
        <f t="shared" ref="G1366:N1370" si="605">G1367</f>
        <v>12526.36</v>
      </c>
      <c r="H1366" s="24">
        <f t="shared" si="605"/>
        <v>12528.97</v>
      </c>
      <c r="I1366" s="24">
        <f t="shared" si="605"/>
        <v>12528.97</v>
      </c>
      <c r="J1366" s="24">
        <f t="shared" si="605"/>
        <v>12526.36</v>
      </c>
      <c r="K1366" s="16">
        <f t="shared" si="592"/>
        <v>0</v>
      </c>
      <c r="L1366" s="24">
        <f t="shared" si="605"/>
        <v>12528.97</v>
      </c>
      <c r="M1366" s="16">
        <f t="shared" si="593"/>
        <v>0</v>
      </c>
      <c r="N1366" s="24">
        <f t="shared" si="605"/>
        <v>12528.97</v>
      </c>
      <c r="O1366" s="16">
        <f t="shared" si="594"/>
        <v>0</v>
      </c>
    </row>
    <row r="1367" spans="1:15" s="3" customFormat="1" ht="38.25">
      <c r="A1367" s="12" t="s">
        <v>722</v>
      </c>
      <c r="B1367" s="26" t="s">
        <v>20</v>
      </c>
      <c r="C1367" s="26" t="s">
        <v>37</v>
      </c>
      <c r="D1367" s="26" t="s">
        <v>71</v>
      </c>
      <c r="E1367" s="26" t="s">
        <v>300</v>
      </c>
      <c r="F1367" s="26" t="s">
        <v>58</v>
      </c>
      <c r="G1367" s="27">
        <f t="shared" si="605"/>
        <v>12526.36</v>
      </c>
      <c r="H1367" s="27">
        <f t="shared" si="605"/>
        <v>12528.97</v>
      </c>
      <c r="I1367" s="27">
        <f t="shared" si="605"/>
        <v>12528.97</v>
      </c>
      <c r="J1367" s="27">
        <f t="shared" si="605"/>
        <v>12526.36</v>
      </c>
      <c r="K1367" s="16">
        <f t="shared" si="592"/>
        <v>0</v>
      </c>
      <c r="L1367" s="27">
        <f t="shared" si="605"/>
        <v>12528.97</v>
      </c>
      <c r="M1367" s="16">
        <f t="shared" si="593"/>
        <v>0</v>
      </c>
      <c r="N1367" s="27">
        <f t="shared" si="605"/>
        <v>12528.97</v>
      </c>
      <c r="O1367" s="16">
        <f t="shared" si="594"/>
        <v>0</v>
      </c>
    </row>
    <row r="1368" spans="1:15" s="3" customFormat="1">
      <c r="A1368" s="11" t="s">
        <v>142</v>
      </c>
      <c r="B1368" s="26" t="s">
        <v>20</v>
      </c>
      <c r="C1368" s="26" t="s">
        <v>37</v>
      </c>
      <c r="D1368" s="26" t="s">
        <v>71</v>
      </c>
      <c r="E1368" s="26" t="s">
        <v>453</v>
      </c>
      <c r="F1368" s="26" t="s">
        <v>58</v>
      </c>
      <c r="G1368" s="27">
        <f t="shared" si="605"/>
        <v>12526.36</v>
      </c>
      <c r="H1368" s="27">
        <f t="shared" si="605"/>
        <v>12528.97</v>
      </c>
      <c r="I1368" s="27">
        <f t="shared" si="605"/>
        <v>12528.97</v>
      </c>
      <c r="J1368" s="27">
        <f t="shared" si="605"/>
        <v>12526.36</v>
      </c>
      <c r="K1368" s="16">
        <f t="shared" si="592"/>
        <v>0</v>
      </c>
      <c r="L1368" s="27">
        <f t="shared" si="605"/>
        <v>12528.97</v>
      </c>
      <c r="M1368" s="16">
        <f t="shared" si="593"/>
        <v>0</v>
      </c>
      <c r="N1368" s="27">
        <f t="shared" si="605"/>
        <v>12528.97</v>
      </c>
      <c r="O1368" s="16">
        <f t="shared" si="594"/>
        <v>0</v>
      </c>
    </row>
    <row r="1369" spans="1:15" s="3" customFormat="1" ht="38.25">
      <c r="A1369" s="11" t="s">
        <v>649</v>
      </c>
      <c r="B1369" s="26" t="s">
        <v>20</v>
      </c>
      <c r="C1369" s="26" t="s">
        <v>37</v>
      </c>
      <c r="D1369" s="26" t="s">
        <v>71</v>
      </c>
      <c r="E1369" s="26" t="s">
        <v>455</v>
      </c>
      <c r="F1369" s="26" t="s">
        <v>58</v>
      </c>
      <c r="G1369" s="27">
        <f>G1370</f>
        <v>12526.36</v>
      </c>
      <c r="H1369" s="27">
        <f>H1370</f>
        <v>12528.97</v>
      </c>
      <c r="I1369" s="27">
        <f>I1370</f>
        <v>12528.97</v>
      </c>
      <c r="J1369" s="27">
        <f>J1370</f>
        <v>12526.36</v>
      </c>
      <c r="K1369" s="16">
        <f t="shared" si="592"/>
        <v>0</v>
      </c>
      <c r="L1369" s="27">
        <f>L1370</f>
        <v>12528.97</v>
      </c>
      <c r="M1369" s="16">
        <f t="shared" si="593"/>
        <v>0</v>
      </c>
      <c r="N1369" s="27">
        <f>N1370</f>
        <v>12528.97</v>
      </c>
      <c r="O1369" s="16">
        <f t="shared" si="594"/>
        <v>0</v>
      </c>
    </row>
    <row r="1370" spans="1:15" s="3" customFormat="1" ht="25.5">
      <c r="A1370" s="11" t="s">
        <v>247</v>
      </c>
      <c r="B1370" s="26" t="s">
        <v>20</v>
      </c>
      <c r="C1370" s="26" t="s">
        <v>37</v>
      </c>
      <c r="D1370" s="26" t="s">
        <v>71</v>
      </c>
      <c r="E1370" s="26" t="s">
        <v>511</v>
      </c>
      <c r="F1370" s="26" t="s">
        <v>58</v>
      </c>
      <c r="G1370" s="27">
        <f t="shared" si="605"/>
        <v>12526.36</v>
      </c>
      <c r="H1370" s="27">
        <f t="shared" si="605"/>
        <v>12528.97</v>
      </c>
      <c r="I1370" s="27">
        <f t="shared" si="605"/>
        <v>12528.97</v>
      </c>
      <c r="J1370" s="27">
        <f t="shared" si="605"/>
        <v>12526.36</v>
      </c>
      <c r="K1370" s="16">
        <f t="shared" si="592"/>
        <v>0</v>
      </c>
      <c r="L1370" s="27">
        <f t="shared" si="605"/>
        <v>12528.97</v>
      </c>
      <c r="M1370" s="16">
        <f t="shared" si="593"/>
        <v>0</v>
      </c>
      <c r="N1370" s="27">
        <f t="shared" si="605"/>
        <v>12528.97</v>
      </c>
      <c r="O1370" s="16">
        <f t="shared" si="594"/>
        <v>0</v>
      </c>
    </row>
    <row r="1371" spans="1:15" s="3" customFormat="1">
      <c r="A1371" s="13" t="s">
        <v>92</v>
      </c>
      <c r="B1371" s="26" t="s">
        <v>20</v>
      </c>
      <c r="C1371" s="26" t="s">
        <v>37</v>
      </c>
      <c r="D1371" s="26" t="s">
        <v>71</v>
      </c>
      <c r="E1371" s="26" t="s">
        <v>511</v>
      </c>
      <c r="F1371" s="26" t="s">
        <v>138</v>
      </c>
      <c r="G1371" s="27">
        <f>SUM(G1372:G1373)</f>
        <v>12526.36</v>
      </c>
      <c r="H1371" s="27">
        <f>SUM(H1372:H1373)</f>
        <v>12528.97</v>
      </c>
      <c r="I1371" s="27">
        <f>11978.97+550</f>
        <v>12528.97</v>
      </c>
      <c r="J1371" s="27">
        <f>11976.36+550</f>
        <v>12526.36</v>
      </c>
      <c r="K1371" s="16">
        <f t="shared" si="592"/>
        <v>0</v>
      </c>
      <c r="L1371" s="27">
        <f>11978.97+550</f>
        <v>12528.97</v>
      </c>
      <c r="M1371" s="16">
        <f t="shared" si="593"/>
        <v>0</v>
      </c>
      <c r="N1371" s="27">
        <f>11978.97+550</f>
        <v>12528.97</v>
      </c>
      <c r="O1371" s="16">
        <f t="shared" si="594"/>
        <v>0</v>
      </c>
    </row>
    <row r="1372" spans="1:15" s="4" customFormat="1" ht="38.25">
      <c r="A1372" s="13" t="s">
        <v>1015</v>
      </c>
      <c r="B1372" s="26" t="s">
        <v>20</v>
      </c>
      <c r="C1372" s="26" t="s">
        <v>37</v>
      </c>
      <c r="D1372" s="26" t="s">
        <v>71</v>
      </c>
      <c r="E1372" s="26" t="s">
        <v>511</v>
      </c>
      <c r="F1372" s="26" t="s">
        <v>67</v>
      </c>
      <c r="G1372" s="27">
        <f>11976.36</f>
        <v>11976.36</v>
      </c>
      <c r="H1372" s="27">
        <v>11978.97</v>
      </c>
      <c r="I1372" s="27">
        <v>11978.97</v>
      </c>
      <c r="J1372" s="80"/>
      <c r="K1372" s="16">
        <f t="shared" si="592"/>
        <v>-11976.36</v>
      </c>
      <c r="L1372" s="80"/>
      <c r="M1372" s="16">
        <f t="shared" si="593"/>
        <v>-11978.97</v>
      </c>
      <c r="N1372" s="80"/>
      <c r="O1372" s="16">
        <f t="shared" si="594"/>
        <v>-11978.97</v>
      </c>
    </row>
    <row r="1373" spans="1:15" s="4" customFormat="1">
      <c r="A1373" s="13" t="s">
        <v>1016</v>
      </c>
      <c r="B1373" s="26" t="s">
        <v>20</v>
      </c>
      <c r="C1373" s="26" t="s">
        <v>37</v>
      </c>
      <c r="D1373" s="26" t="s">
        <v>71</v>
      </c>
      <c r="E1373" s="26" t="s">
        <v>511</v>
      </c>
      <c r="F1373" s="26" t="s">
        <v>1046</v>
      </c>
      <c r="G1373" s="27">
        <v>550</v>
      </c>
      <c r="H1373" s="27">
        <v>550</v>
      </c>
      <c r="I1373" s="27">
        <v>550</v>
      </c>
      <c r="J1373" s="80"/>
      <c r="K1373" s="16">
        <f t="shared" si="592"/>
        <v>-550</v>
      </c>
      <c r="L1373" s="80"/>
      <c r="M1373" s="16">
        <f t="shared" si="593"/>
        <v>-550</v>
      </c>
      <c r="N1373" s="80"/>
      <c r="O1373" s="16">
        <f t="shared" si="594"/>
        <v>-550</v>
      </c>
    </row>
    <row r="1374" spans="1:15" s="3" customFormat="1">
      <c r="A1374" s="21" t="s">
        <v>6</v>
      </c>
      <c r="B1374" s="22" t="s">
        <v>20</v>
      </c>
      <c r="C1374" s="23" t="s">
        <v>37</v>
      </c>
      <c r="D1374" s="23" t="s">
        <v>50</v>
      </c>
      <c r="E1374" s="23" t="s">
        <v>196</v>
      </c>
      <c r="F1374" s="23" t="s">
        <v>58</v>
      </c>
      <c r="G1374" s="24">
        <f>G1375+G1381</f>
        <v>29431.25</v>
      </c>
      <c r="H1374" s="24">
        <f>H1375+H1381</f>
        <v>26463.87</v>
      </c>
      <c r="I1374" s="24">
        <f>I1375+I1381</f>
        <v>26463.87</v>
      </c>
      <c r="J1374" s="24">
        <f>J1375+J1381</f>
        <v>29431.25</v>
      </c>
      <c r="K1374" s="16">
        <f t="shared" si="592"/>
        <v>0</v>
      </c>
      <c r="L1374" s="24">
        <f>L1375+L1381</f>
        <v>26463.87</v>
      </c>
      <c r="M1374" s="16">
        <f t="shared" si="593"/>
        <v>0</v>
      </c>
      <c r="N1374" s="24">
        <f>N1375+N1381</f>
        <v>26463.87</v>
      </c>
      <c r="O1374" s="16">
        <f t="shared" si="594"/>
        <v>0</v>
      </c>
    </row>
    <row r="1375" spans="1:15" s="3" customFormat="1" ht="25.5">
      <c r="A1375" s="31" t="s">
        <v>727</v>
      </c>
      <c r="B1375" s="26" t="s">
        <v>20</v>
      </c>
      <c r="C1375" s="26" t="s">
        <v>37</v>
      </c>
      <c r="D1375" s="26" t="s">
        <v>50</v>
      </c>
      <c r="E1375" s="26" t="s">
        <v>327</v>
      </c>
      <c r="F1375" s="26" t="s">
        <v>58</v>
      </c>
      <c r="G1375" s="27">
        <f>G1376</f>
        <v>973.25</v>
      </c>
      <c r="H1375" s="27">
        <f>H1376</f>
        <v>875.93</v>
      </c>
      <c r="I1375" s="27">
        <f>I1376</f>
        <v>875.93</v>
      </c>
      <c r="J1375" s="27">
        <f>J1376</f>
        <v>973.25</v>
      </c>
      <c r="K1375" s="16">
        <f t="shared" si="592"/>
        <v>0</v>
      </c>
      <c r="L1375" s="27">
        <f>L1376</f>
        <v>875.93</v>
      </c>
      <c r="M1375" s="16">
        <f t="shared" si="593"/>
        <v>0</v>
      </c>
      <c r="N1375" s="27">
        <f>N1376</f>
        <v>875.93</v>
      </c>
      <c r="O1375" s="16">
        <f t="shared" si="594"/>
        <v>0</v>
      </c>
    </row>
    <row r="1376" spans="1:15" s="3" customFormat="1">
      <c r="A1376" s="31" t="s">
        <v>145</v>
      </c>
      <c r="B1376" s="26" t="s">
        <v>20</v>
      </c>
      <c r="C1376" s="26" t="s">
        <v>37</v>
      </c>
      <c r="D1376" s="26" t="s">
        <v>50</v>
      </c>
      <c r="E1376" s="26" t="s">
        <v>437</v>
      </c>
      <c r="F1376" s="26" t="s">
        <v>58</v>
      </c>
      <c r="G1376" s="27">
        <f>G1377</f>
        <v>973.25</v>
      </c>
      <c r="H1376" s="27">
        <f t="shared" ref="H1376:N1376" si="606">H1377</f>
        <v>875.93</v>
      </c>
      <c r="I1376" s="27">
        <f t="shared" si="606"/>
        <v>875.93</v>
      </c>
      <c r="J1376" s="27">
        <f>J1377</f>
        <v>973.25</v>
      </c>
      <c r="K1376" s="16">
        <f t="shared" si="592"/>
        <v>0</v>
      </c>
      <c r="L1376" s="27">
        <f t="shared" si="606"/>
        <v>875.93</v>
      </c>
      <c r="M1376" s="16">
        <f t="shared" si="593"/>
        <v>0</v>
      </c>
      <c r="N1376" s="27">
        <f t="shared" si="606"/>
        <v>875.93</v>
      </c>
      <c r="O1376" s="16">
        <f t="shared" si="594"/>
        <v>0</v>
      </c>
    </row>
    <row r="1377" spans="1:15" s="3" customFormat="1" ht="38.25">
      <c r="A1377" s="31" t="s">
        <v>513</v>
      </c>
      <c r="B1377" s="26" t="s">
        <v>20</v>
      </c>
      <c r="C1377" s="26" t="s">
        <v>37</v>
      </c>
      <c r="D1377" s="26" t="s">
        <v>50</v>
      </c>
      <c r="E1377" s="26" t="s">
        <v>438</v>
      </c>
      <c r="F1377" s="26" t="s">
        <v>58</v>
      </c>
      <c r="G1377" s="27">
        <f>G1378</f>
        <v>973.25</v>
      </c>
      <c r="H1377" s="27">
        <f t="shared" ref="H1377:N1377" si="607">H1378</f>
        <v>875.93</v>
      </c>
      <c r="I1377" s="27">
        <f t="shared" si="607"/>
        <v>875.93</v>
      </c>
      <c r="J1377" s="27">
        <f>J1378</f>
        <v>973.25</v>
      </c>
      <c r="K1377" s="16">
        <f t="shared" si="592"/>
        <v>0</v>
      </c>
      <c r="L1377" s="27">
        <f t="shared" si="607"/>
        <v>875.93</v>
      </c>
      <c r="M1377" s="16">
        <f t="shared" si="593"/>
        <v>0</v>
      </c>
      <c r="N1377" s="27">
        <f t="shared" si="607"/>
        <v>875.93</v>
      </c>
      <c r="O1377" s="16">
        <f t="shared" si="594"/>
        <v>0</v>
      </c>
    </row>
    <row r="1378" spans="1:15" s="3" customFormat="1" ht="38.25">
      <c r="A1378" s="31" t="s">
        <v>706</v>
      </c>
      <c r="B1378" s="26" t="s">
        <v>20</v>
      </c>
      <c r="C1378" s="26" t="s">
        <v>37</v>
      </c>
      <c r="D1378" s="26" t="s">
        <v>50</v>
      </c>
      <c r="E1378" s="26" t="s">
        <v>766</v>
      </c>
      <c r="F1378" s="26" t="s">
        <v>58</v>
      </c>
      <c r="G1378" s="27">
        <f>G1379</f>
        <v>973.25</v>
      </c>
      <c r="H1378" s="27">
        <f>H1379</f>
        <v>875.93</v>
      </c>
      <c r="I1378" s="27">
        <f>I1379</f>
        <v>875.93</v>
      </c>
      <c r="J1378" s="27">
        <f>J1379</f>
        <v>973.25</v>
      </c>
      <c r="K1378" s="16">
        <f t="shared" si="592"/>
        <v>0</v>
      </c>
      <c r="L1378" s="27">
        <f>L1379</f>
        <v>875.93</v>
      </c>
      <c r="M1378" s="16">
        <f t="shared" si="593"/>
        <v>0</v>
      </c>
      <c r="N1378" s="27">
        <f>N1379</f>
        <v>875.93</v>
      </c>
      <c r="O1378" s="16">
        <f t="shared" si="594"/>
        <v>0</v>
      </c>
    </row>
    <row r="1379" spans="1:15" s="3" customFormat="1" ht="25.5">
      <c r="A1379" s="11" t="s">
        <v>108</v>
      </c>
      <c r="B1379" s="26" t="s">
        <v>20</v>
      </c>
      <c r="C1379" s="26" t="s">
        <v>37</v>
      </c>
      <c r="D1379" s="26" t="s">
        <v>50</v>
      </c>
      <c r="E1379" s="26" t="s">
        <v>766</v>
      </c>
      <c r="F1379" s="26" t="s">
        <v>116</v>
      </c>
      <c r="G1379" s="27">
        <f>G1380</f>
        <v>973.25</v>
      </c>
      <c r="H1379" s="27">
        <f t="shared" ref="H1379:I1379" si="608">H1380</f>
        <v>875.93</v>
      </c>
      <c r="I1379" s="27">
        <f t="shared" si="608"/>
        <v>875.93</v>
      </c>
      <c r="J1379" s="27">
        <f>973.25</f>
        <v>973.25</v>
      </c>
      <c r="K1379" s="16">
        <f t="shared" si="592"/>
        <v>0</v>
      </c>
      <c r="L1379" s="27">
        <f>875.93</f>
        <v>875.93</v>
      </c>
      <c r="M1379" s="16">
        <f t="shared" si="593"/>
        <v>0</v>
      </c>
      <c r="N1379" s="27">
        <f>875.93</f>
        <v>875.93</v>
      </c>
      <c r="O1379" s="16">
        <f t="shared" si="594"/>
        <v>0</v>
      </c>
    </row>
    <row r="1380" spans="1:15" s="4" customFormat="1" ht="25.5">
      <c r="A1380" s="11" t="s">
        <v>973</v>
      </c>
      <c r="B1380" s="26" t="s">
        <v>20</v>
      </c>
      <c r="C1380" s="26" t="s">
        <v>37</v>
      </c>
      <c r="D1380" s="26" t="s">
        <v>50</v>
      </c>
      <c r="E1380" s="26" t="s">
        <v>766</v>
      </c>
      <c r="F1380" s="26" t="s">
        <v>1043</v>
      </c>
      <c r="G1380" s="27">
        <f>973.25</f>
        <v>973.25</v>
      </c>
      <c r="H1380" s="27">
        <f>875.93</f>
        <v>875.93</v>
      </c>
      <c r="I1380" s="27">
        <f>875.93</f>
        <v>875.93</v>
      </c>
      <c r="J1380" s="80"/>
      <c r="K1380" s="16">
        <f t="shared" si="592"/>
        <v>-973.25</v>
      </c>
      <c r="L1380" s="80"/>
      <c r="M1380" s="16">
        <f t="shared" si="593"/>
        <v>-875.93</v>
      </c>
      <c r="N1380" s="80"/>
      <c r="O1380" s="16">
        <f t="shared" si="594"/>
        <v>-875.93</v>
      </c>
    </row>
    <row r="1381" spans="1:15" s="3" customFormat="1" ht="38.25">
      <c r="A1381" s="12" t="s">
        <v>722</v>
      </c>
      <c r="B1381" s="26" t="s">
        <v>20</v>
      </c>
      <c r="C1381" s="26" t="s">
        <v>37</v>
      </c>
      <c r="D1381" s="26" t="s">
        <v>50</v>
      </c>
      <c r="E1381" s="26" t="s">
        <v>300</v>
      </c>
      <c r="F1381" s="26" t="s">
        <v>58</v>
      </c>
      <c r="G1381" s="27">
        <f t="shared" ref="G1381:N1382" si="609">G1382</f>
        <v>28458</v>
      </c>
      <c r="H1381" s="27">
        <f t="shared" si="609"/>
        <v>25587.94</v>
      </c>
      <c r="I1381" s="27">
        <f t="shared" si="609"/>
        <v>25587.94</v>
      </c>
      <c r="J1381" s="27">
        <f t="shared" si="609"/>
        <v>28458</v>
      </c>
      <c r="K1381" s="16">
        <f t="shared" si="592"/>
        <v>0</v>
      </c>
      <c r="L1381" s="27">
        <f t="shared" si="609"/>
        <v>25587.94</v>
      </c>
      <c r="M1381" s="16">
        <f t="shared" si="593"/>
        <v>0</v>
      </c>
      <c r="N1381" s="27">
        <f t="shared" si="609"/>
        <v>25587.94</v>
      </c>
      <c r="O1381" s="16">
        <f t="shared" si="594"/>
        <v>0</v>
      </c>
    </row>
    <row r="1382" spans="1:15" s="3" customFormat="1" ht="38.25">
      <c r="A1382" s="40" t="s">
        <v>729</v>
      </c>
      <c r="B1382" s="26" t="s">
        <v>20</v>
      </c>
      <c r="C1382" s="26" t="s">
        <v>37</v>
      </c>
      <c r="D1382" s="26" t="s">
        <v>50</v>
      </c>
      <c r="E1382" s="26" t="s">
        <v>301</v>
      </c>
      <c r="F1382" s="26" t="s">
        <v>58</v>
      </c>
      <c r="G1382" s="27">
        <f t="shared" si="609"/>
        <v>28458</v>
      </c>
      <c r="H1382" s="27">
        <f t="shared" si="609"/>
        <v>25587.94</v>
      </c>
      <c r="I1382" s="27">
        <f t="shared" si="609"/>
        <v>25587.94</v>
      </c>
      <c r="J1382" s="27">
        <f t="shared" si="609"/>
        <v>28458</v>
      </c>
      <c r="K1382" s="16">
        <f t="shared" si="592"/>
        <v>0</v>
      </c>
      <c r="L1382" s="27">
        <f t="shared" si="609"/>
        <v>25587.94</v>
      </c>
      <c r="M1382" s="16">
        <f t="shared" si="593"/>
        <v>0</v>
      </c>
      <c r="N1382" s="27">
        <f t="shared" si="609"/>
        <v>25587.94</v>
      </c>
      <c r="O1382" s="16">
        <f t="shared" si="594"/>
        <v>0</v>
      </c>
    </row>
    <row r="1383" spans="1:15" s="3" customFormat="1" ht="38.25">
      <c r="A1383" s="31" t="s">
        <v>654</v>
      </c>
      <c r="B1383" s="26" t="s">
        <v>20</v>
      </c>
      <c r="C1383" s="26" t="s">
        <v>37</v>
      </c>
      <c r="D1383" s="26" t="s">
        <v>50</v>
      </c>
      <c r="E1383" s="26" t="s">
        <v>514</v>
      </c>
      <c r="F1383" s="26" t="s">
        <v>58</v>
      </c>
      <c r="G1383" s="27">
        <f>G1384+G1387</f>
        <v>28458</v>
      </c>
      <c r="H1383" s="27">
        <f>H1384+H1387</f>
        <v>25587.94</v>
      </c>
      <c r="I1383" s="27">
        <f>I1384+I1387</f>
        <v>25587.94</v>
      </c>
      <c r="J1383" s="27">
        <f>J1384+J1387</f>
        <v>28458</v>
      </c>
      <c r="K1383" s="16">
        <f t="shared" si="592"/>
        <v>0</v>
      </c>
      <c r="L1383" s="27">
        <f>L1384+L1387</f>
        <v>25587.94</v>
      </c>
      <c r="M1383" s="16">
        <f t="shared" si="593"/>
        <v>0</v>
      </c>
      <c r="N1383" s="27">
        <f>N1384+N1387</f>
        <v>25587.94</v>
      </c>
      <c r="O1383" s="16">
        <f t="shared" si="594"/>
        <v>0</v>
      </c>
    </row>
    <row r="1384" spans="1:15" s="3" customFormat="1" ht="25.5">
      <c r="A1384" s="31" t="s">
        <v>247</v>
      </c>
      <c r="B1384" s="26" t="s">
        <v>20</v>
      </c>
      <c r="C1384" s="26" t="s">
        <v>37</v>
      </c>
      <c r="D1384" s="26" t="s">
        <v>50</v>
      </c>
      <c r="E1384" s="26" t="s">
        <v>515</v>
      </c>
      <c r="F1384" s="26" t="s">
        <v>58</v>
      </c>
      <c r="G1384" s="27">
        <f>G1385</f>
        <v>4018.8</v>
      </c>
      <c r="H1384" s="27">
        <f>H1385</f>
        <v>4023.94</v>
      </c>
      <c r="I1384" s="27">
        <f>I1385</f>
        <v>4023.94</v>
      </c>
      <c r="J1384" s="27">
        <f>J1385</f>
        <v>4018.8</v>
      </c>
      <c r="K1384" s="16">
        <f t="shared" si="592"/>
        <v>0</v>
      </c>
      <c r="L1384" s="27">
        <f>L1385</f>
        <v>4023.94</v>
      </c>
      <c r="M1384" s="16">
        <f t="shared" si="593"/>
        <v>0</v>
      </c>
      <c r="N1384" s="27">
        <f>N1385</f>
        <v>4023.94</v>
      </c>
      <c r="O1384" s="16">
        <f t="shared" si="594"/>
        <v>0</v>
      </c>
    </row>
    <row r="1385" spans="1:15" s="3" customFormat="1">
      <c r="A1385" s="13" t="s">
        <v>92</v>
      </c>
      <c r="B1385" s="26" t="s">
        <v>20</v>
      </c>
      <c r="C1385" s="26" t="s">
        <v>37</v>
      </c>
      <c r="D1385" s="26" t="s">
        <v>50</v>
      </c>
      <c r="E1385" s="26" t="s">
        <v>515</v>
      </c>
      <c r="F1385" s="26" t="s">
        <v>138</v>
      </c>
      <c r="G1385" s="27">
        <f>G1386</f>
        <v>4018.8</v>
      </c>
      <c r="H1385" s="27">
        <f t="shared" ref="H1385:I1385" si="610">H1386</f>
        <v>4023.94</v>
      </c>
      <c r="I1385" s="27">
        <f t="shared" si="610"/>
        <v>4023.94</v>
      </c>
      <c r="J1385" s="27">
        <f>4018.8</f>
        <v>4018.8</v>
      </c>
      <c r="K1385" s="16">
        <f t="shared" si="592"/>
        <v>0</v>
      </c>
      <c r="L1385" s="27">
        <f>4023.94</f>
        <v>4023.94</v>
      </c>
      <c r="M1385" s="16">
        <f t="shared" si="593"/>
        <v>0</v>
      </c>
      <c r="N1385" s="27">
        <f>4023.94</f>
        <v>4023.94</v>
      </c>
      <c r="O1385" s="16">
        <f t="shared" si="594"/>
        <v>0</v>
      </c>
    </row>
    <row r="1386" spans="1:15" s="4" customFormat="1" ht="38.25">
      <c r="A1386" s="13" t="s">
        <v>1015</v>
      </c>
      <c r="B1386" s="26" t="s">
        <v>20</v>
      </c>
      <c r="C1386" s="26" t="s">
        <v>37</v>
      </c>
      <c r="D1386" s="26" t="s">
        <v>50</v>
      </c>
      <c r="E1386" s="26" t="s">
        <v>515</v>
      </c>
      <c r="F1386" s="26" t="s">
        <v>67</v>
      </c>
      <c r="G1386" s="27">
        <f>4018.8</f>
        <v>4018.8</v>
      </c>
      <c r="H1386" s="27">
        <f>4023.94</f>
        <v>4023.94</v>
      </c>
      <c r="I1386" s="27">
        <f>4023.94</f>
        <v>4023.94</v>
      </c>
      <c r="J1386" s="80"/>
      <c r="K1386" s="16">
        <f t="shared" si="592"/>
        <v>-4018.8</v>
      </c>
      <c r="L1386" s="80"/>
      <c r="M1386" s="16">
        <f t="shared" si="593"/>
        <v>-4023.94</v>
      </c>
      <c r="N1386" s="80"/>
      <c r="O1386" s="16">
        <f t="shared" si="594"/>
        <v>-4023.94</v>
      </c>
    </row>
    <row r="1387" spans="1:15" s="3" customFormat="1" ht="25.5">
      <c r="A1387" s="31" t="s">
        <v>768</v>
      </c>
      <c r="B1387" s="26" t="s">
        <v>20</v>
      </c>
      <c r="C1387" s="26" t="s">
        <v>37</v>
      </c>
      <c r="D1387" s="26" t="s">
        <v>50</v>
      </c>
      <c r="E1387" s="26" t="s">
        <v>516</v>
      </c>
      <c r="F1387" s="26" t="s">
        <v>58</v>
      </c>
      <c r="G1387" s="27">
        <f>G1388</f>
        <v>24439.200000000001</v>
      </c>
      <c r="H1387" s="27">
        <f>H1388</f>
        <v>21564</v>
      </c>
      <c r="I1387" s="27">
        <f>I1388</f>
        <v>21564</v>
      </c>
      <c r="J1387" s="27">
        <f>J1388</f>
        <v>24439.200000000001</v>
      </c>
      <c r="K1387" s="16">
        <f t="shared" si="592"/>
        <v>0</v>
      </c>
      <c r="L1387" s="27">
        <f>L1388</f>
        <v>21564</v>
      </c>
      <c r="M1387" s="16">
        <f t="shared" si="593"/>
        <v>0</v>
      </c>
      <c r="N1387" s="27">
        <f>N1388</f>
        <v>21564</v>
      </c>
      <c r="O1387" s="16">
        <f t="shared" si="594"/>
        <v>0</v>
      </c>
    </row>
    <row r="1388" spans="1:15" s="3" customFormat="1" ht="38.25">
      <c r="A1388" s="46" t="s">
        <v>561</v>
      </c>
      <c r="B1388" s="26" t="s">
        <v>20</v>
      </c>
      <c r="C1388" s="26" t="s">
        <v>37</v>
      </c>
      <c r="D1388" s="26" t="s">
        <v>50</v>
      </c>
      <c r="E1388" s="26" t="s">
        <v>516</v>
      </c>
      <c r="F1388" s="26" t="s">
        <v>101</v>
      </c>
      <c r="G1388" s="27">
        <f>G1389</f>
        <v>24439.200000000001</v>
      </c>
      <c r="H1388" s="27">
        <f t="shared" ref="H1388:I1388" si="611">H1389</f>
        <v>21564</v>
      </c>
      <c r="I1388" s="27">
        <f t="shared" si="611"/>
        <v>21564</v>
      </c>
      <c r="J1388" s="27">
        <f>24439.2</f>
        <v>24439.200000000001</v>
      </c>
      <c r="K1388" s="16">
        <f t="shared" si="592"/>
        <v>0</v>
      </c>
      <c r="L1388" s="27">
        <f>21564</f>
        <v>21564</v>
      </c>
      <c r="M1388" s="16">
        <f t="shared" si="593"/>
        <v>0</v>
      </c>
      <c r="N1388" s="27">
        <f>21564</f>
        <v>21564</v>
      </c>
      <c r="O1388" s="16">
        <f t="shared" si="594"/>
        <v>0</v>
      </c>
    </row>
    <row r="1389" spans="1:15" s="4" customFormat="1" ht="76.5">
      <c r="A1389" s="46" t="s">
        <v>1048</v>
      </c>
      <c r="B1389" s="26" t="s">
        <v>20</v>
      </c>
      <c r="C1389" s="26" t="s">
        <v>37</v>
      </c>
      <c r="D1389" s="26" t="s">
        <v>50</v>
      </c>
      <c r="E1389" s="26" t="s">
        <v>516</v>
      </c>
      <c r="F1389" s="26" t="s">
        <v>1051</v>
      </c>
      <c r="G1389" s="27">
        <f>24439.2</f>
        <v>24439.200000000001</v>
      </c>
      <c r="H1389" s="27">
        <f>21564</f>
        <v>21564</v>
      </c>
      <c r="I1389" s="27">
        <f>21564</f>
        <v>21564</v>
      </c>
      <c r="J1389" s="80"/>
      <c r="K1389" s="16">
        <f t="shared" si="592"/>
        <v>-24439.200000000001</v>
      </c>
      <c r="L1389" s="80"/>
      <c r="M1389" s="16">
        <f t="shared" si="593"/>
        <v>-21564</v>
      </c>
      <c r="N1389" s="80"/>
      <c r="O1389" s="16">
        <f t="shared" si="594"/>
        <v>-21564</v>
      </c>
    </row>
    <row r="1390" spans="1:15" s="3" customFormat="1">
      <c r="A1390" s="21" t="s">
        <v>88</v>
      </c>
      <c r="B1390" s="22" t="s">
        <v>20</v>
      </c>
      <c r="C1390" s="23" t="s">
        <v>37</v>
      </c>
      <c r="D1390" s="23" t="s">
        <v>25</v>
      </c>
      <c r="E1390" s="23" t="s">
        <v>196</v>
      </c>
      <c r="F1390" s="23" t="s">
        <v>58</v>
      </c>
      <c r="G1390" s="24">
        <f>G1391+G1397</f>
        <v>159184.63999999998</v>
      </c>
      <c r="H1390" s="24">
        <f>H1391+H1397</f>
        <v>162147.29999999999</v>
      </c>
      <c r="I1390" s="24">
        <f>I1391+I1397</f>
        <v>162147.29999999999</v>
      </c>
      <c r="J1390" s="24">
        <f>J1391+J1397</f>
        <v>159184.63999999998</v>
      </c>
      <c r="K1390" s="16">
        <f t="shared" si="592"/>
        <v>0</v>
      </c>
      <c r="L1390" s="24">
        <f>L1391+L1397</f>
        <v>162147.29999999999</v>
      </c>
      <c r="M1390" s="16">
        <f t="shared" si="593"/>
        <v>0</v>
      </c>
      <c r="N1390" s="24">
        <f>N1391+N1397</f>
        <v>162147.29999999999</v>
      </c>
      <c r="O1390" s="16">
        <f t="shared" si="594"/>
        <v>0</v>
      </c>
    </row>
    <row r="1391" spans="1:15" s="3" customFormat="1" ht="38.25">
      <c r="A1391" s="31" t="s">
        <v>725</v>
      </c>
      <c r="B1391" s="25" t="s">
        <v>20</v>
      </c>
      <c r="C1391" s="25" t="s">
        <v>37</v>
      </c>
      <c r="D1391" s="25" t="s">
        <v>25</v>
      </c>
      <c r="E1391" s="25" t="s">
        <v>296</v>
      </c>
      <c r="F1391" s="25" t="s">
        <v>58</v>
      </c>
      <c r="G1391" s="42">
        <f t="shared" ref="G1391:N1395" si="612">G1392</f>
        <v>5251.46</v>
      </c>
      <c r="H1391" s="42">
        <f t="shared" si="612"/>
        <v>5251.46</v>
      </c>
      <c r="I1391" s="42">
        <f t="shared" si="612"/>
        <v>5251.46</v>
      </c>
      <c r="J1391" s="42">
        <f t="shared" si="612"/>
        <v>5251.46</v>
      </c>
      <c r="K1391" s="16">
        <f t="shared" si="592"/>
        <v>0</v>
      </c>
      <c r="L1391" s="42">
        <f t="shared" si="612"/>
        <v>5251.46</v>
      </c>
      <c r="M1391" s="16">
        <f t="shared" si="593"/>
        <v>0</v>
      </c>
      <c r="N1391" s="42">
        <f t="shared" si="612"/>
        <v>5251.46</v>
      </c>
      <c r="O1391" s="16">
        <f t="shared" si="594"/>
        <v>0</v>
      </c>
    </row>
    <row r="1392" spans="1:15" s="3" customFormat="1" ht="51">
      <c r="A1392" s="11" t="s">
        <v>726</v>
      </c>
      <c r="B1392" s="25" t="s">
        <v>20</v>
      </c>
      <c r="C1392" s="25" t="s">
        <v>37</v>
      </c>
      <c r="D1392" s="25" t="s">
        <v>25</v>
      </c>
      <c r="E1392" s="25" t="s">
        <v>297</v>
      </c>
      <c r="F1392" s="25" t="s">
        <v>58</v>
      </c>
      <c r="G1392" s="42">
        <f t="shared" si="612"/>
        <v>5251.46</v>
      </c>
      <c r="H1392" s="42">
        <f t="shared" si="612"/>
        <v>5251.46</v>
      </c>
      <c r="I1392" s="42">
        <f t="shared" si="612"/>
        <v>5251.46</v>
      </c>
      <c r="J1392" s="42">
        <f t="shared" si="612"/>
        <v>5251.46</v>
      </c>
      <c r="K1392" s="16">
        <f t="shared" si="592"/>
        <v>0</v>
      </c>
      <c r="L1392" s="42">
        <f t="shared" si="612"/>
        <v>5251.46</v>
      </c>
      <c r="M1392" s="16">
        <f t="shared" si="593"/>
        <v>0</v>
      </c>
      <c r="N1392" s="42">
        <f t="shared" si="612"/>
        <v>5251.46</v>
      </c>
      <c r="O1392" s="16">
        <f t="shared" si="594"/>
        <v>0</v>
      </c>
    </row>
    <row r="1393" spans="1:15" s="3" customFormat="1" ht="51">
      <c r="A1393" s="12" t="s">
        <v>620</v>
      </c>
      <c r="B1393" s="25" t="s">
        <v>20</v>
      </c>
      <c r="C1393" s="25" t="s">
        <v>37</v>
      </c>
      <c r="D1393" s="25" t="s">
        <v>25</v>
      </c>
      <c r="E1393" s="25" t="s">
        <v>512</v>
      </c>
      <c r="F1393" s="25" t="s">
        <v>58</v>
      </c>
      <c r="G1393" s="42">
        <f t="shared" si="612"/>
        <v>5251.46</v>
      </c>
      <c r="H1393" s="42">
        <f t="shared" si="612"/>
        <v>5251.46</v>
      </c>
      <c r="I1393" s="42">
        <f t="shared" si="612"/>
        <v>5251.46</v>
      </c>
      <c r="J1393" s="42">
        <f t="shared" si="612"/>
        <v>5251.46</v>
      </c>
      <c r="K1393" s="16">
        <f t="shared" si="592"/>
        <v>0</v>
      </c>
      <c r="L1393" s="42">
        <f t="shared" si="612"/>
        <v>5251.46</v>
      </c>
      <c r="M1393" s="16">
        <f t="shared" si="593"/>
        <v>0</v>
      </c>
      <c r="N1393" s="42">
        <f t="shared" si="612"/>
        <v>5251.46</v>
      </c>
      <c r="O1393" s="16">
        <f t="shared" si="594"/>
        <v>0</v>
      </c>
    </row>
    <row r="1394" spans="1:15" s="3" customFormat="1" ht="51">
      <c r="A1394" s="12" t="s">
        <v>893</v>
      </c>
      <c r="B1394" s="25" t="s">
        <v>20</v>
      </c>
      <c r="C1394" s="25" t="s">
        <v>37</v>
      </c>
      <c r="D1394" s="25" t="s">
        <v>25</v>
      </c>
      <c r="E1394" s="25" t="s">
        <v>517</v>
      </c>
      <c r="F1394" s="25" t="s">
        <v>58</v>
      </c>
      <c r="G1394" s="42">
        <f t="shared" si="612"/>
        <v>5251.46</v>
      </c>
      <c r="H1394" s="42">
        <f t="shared" si="612"/>
        <v>5251.46</v>
      </c>
      <c r="I1394" s="42">
        <f t="shared" si="612"/>
        <v>5251.46</v>
      </c>
      <c r="J1394" s="42">
        <f t="shared" si="612"/>
        <v>5251.46</v>
      </c>
      <c r="K1394" s="16">
        <f t="shared" si="592"/>
        <v>0</v>
      </c>
      <c r="L1394" s="42">
        <f t="shared" si="612"/>
        <v>5251.46</v>
      </c>
      <c r="M1394" s="16">
        <f t="shared" si="593"/>
        <v>0</v>
      </c>
      <c r="N1394" s="42">
        <f t="shared" si="612"/>
        <v>5251.46</v>
      </c>
      <c r="O1394" s="16">
        <f t="shared" si="594"/>
        <v>0</v>
      </c>
    </row>
    <row r="1395" spans="1:15" s="3" customFormat="1" ht="25.5">
      <c r="A1395" s="11" t="s">
        <v>108</v>
      </c>
      <c r="B1395" s="25" t="s">
        <v>20</v>
      </c>
      <c r="C1395" s="25" t="s">
        <v>37</v>
      </c>
      <c r="D1395" s="25" t="s">
        <v>25</v>
      </c>
      <c r="E1395" s="25" t="s">
        <v>517</v>
      </c>
      <c r="F1395" s="25" t="s">
        <v>116</v>
      </c>
      <c r="G1395" s="42">
        <f>G1396</f>
        <v>5251.46</v>
      </c>
      <c r="H1395" s="42">
        <f t="shared" si="612"/>
        <v>5251.46</v>
      </c>
      <c r="I1395" s="42">
        <f t="shared" si="612"/>
        <v>5251.46</v>
      </c>
      <c r="J1395" s="42">
        <f>5251.46</f>
        <v>5251.46</v>
      </c>
      <c r="K1395" s="16">
        <f t="shared" si="592"/>
        <v>0</v>
      </c>
      <c r="L1395" s="42">
        <f>5251.46</f>
        <v>5251.46</v>
      </c>
      <c r="M1395" s="16">
        <f t="shared" si="593"/>
        <v>0</v>
      </c>
      <c r="N1395" s="42">
        <f>5251.46</f>
        <v>5251.46</v>
      </c>
      <c r="O1395" s="16">
        <f t="shared" si="594"/>
        <v>0</v>
      </c>
    </row>
    <row r="1396" spans="1:15" s="4" customFormat="1" ht="25.5">
      <c r="A1396" s="12" t="s">
        <v>973</v>
      </c>
      <c r="B1396" s="25" t="s">
        <v>20</v>
      </c>
      <c r="C1396" s="25" t="s">
        <v>37</v>
      </c>
      <c r="D1396" s="25" t="s">
        <v>25</v>
      </c>
      <c r="E1396" s="25" t="s">
        <v>517</v>
      </c>
      <c r="F1396" s="25" t="s">
        <v>1043</v>
      </c>
      <c r="G1396" s="42">
        <f>5251.46</f>
        <v>5251.46</v>
      </c>
      <c r="H1396" s="42">
        <f>5251.46</f>
        <v>5251.46</v>
      </c>
      <c r="I1396" s="42">
        <f>5251.46</f>
        <v>5251.46</v>
      </c>
      <c r="J1396" s="82"/>
      <c r="K1396" s="16">
        <f t="shared" si="592"/>
        <v>-5251.46</v>
      </c>
      <c r="L1396" s="82"/>
      <c r="M1396" s="16">
        <f t="shared" si="593"/>
        <v>-5251.46</v>
      </c>
      <c r="N1396" s="82"/>
      <c r="O1396" s="16">
        <f t="shared" si="594"/>
        <v>-5251.46</v>
      </c>
    </row>
    <row r="1397" spans="1:15" s="3" customFormat="1" ht="38.25">
      <c r="A1397" s="12" t="s">
        <v>722</v>
      </c>
      <c r="B1397" s="26" t="s">
        <v>20</v>
      </c>
      <c r="C1397" s="26" t="s">
        <v>37</v>
      </c>
      <c r="D1397" s="26" t="s">
        <v>25</v>
      </c>
      <c r="E1397" s="26" t="s">
        <v>300</v>
      </c>
      <c r="F1397" s="25" t="s">
        <v>58</v>
      </c>
      <c r="G1397" s="42">
        <f>G1398</f>
        <v>153933.18</v>
      </c>
      <c r="H1397" s="42">
        <f>H1398</f>
        <v>156895.84</v>
      </c>
      <c r="I1397" s="42">
        <f>I1398</f>
        <v>156895.84</v>
      </c>
      <c r="J1397" s="42">
        <f>J1398</f>
        <v>153933.18</v>
      </c>
      <c r="K1397" s="16">
        <f t="shared" si="592"/>
        <v>0</v>
      </c>
      <c r="L1397" s="42">
        <f>L1398</f>
        <v>156895.84</v>
      </c>
      <c r="M1397" s="16">
        <f t="shared" si="593"/>
        <v>0</v>
      </c>
      <c r="N1397" s="42">
        <f>N1398</f>
        <v>156895.84</v>
      </c>
      <c r="O1397" s="16">
        <f t="shared" si="594"/>
        <v>0</v>
      </c>
    </row>
    <row r="1398" spans="1:15" s="3" customFormat="1" ht="38.25">
      <c r="A1398" s="40" t="s">
        <v>729</v>
      </c>
      <c r="B1398" s="26" t="s">
        <v>20</v>
      </c>
      <c r="C1398" s="26" t="s">
        <v>37</v>
      </c>
      <c r="D1398" s="26" t="s">
        <v>25</v>
      </c>
      <c r="E1398" s="26" t="s">
        <v>301</v>
      </c>
      <c r="F1398" s="25" t="s">
        <v>58</v>
      </c>
      <c r="G1398" s="42">
        <f>G1399+G1421</f>
        <v>153933.18</v>
      </c>
      <c r="H1398" s="42">
        <f>H1399+H1421</f>
        <v>156895.84</v>
      </c>
      <c r="I1398" s="42">
        <f>I1399+I1421</f>
        <v>156895.84</v>
      </c>
      <c r="J1398" s="42">
        <f>J1399+J1421</f>
        <v>153933.18</v>
      </c>
      <c r="K1398" s="16">
        <f t="shared" si="592"/>
        <v>0</v>
      </c>
      <c r="L1398" s="42">
        <f>L1399+L1421</f>
        <v>156895.84</v>
      </c>
      <c r="M1398" s="16">
        <f t="shared" si="593"/>
        <v>0</v>
      </c>
      <c r="N1398" s="42">
        <f>N1399+N1421</f>
        <v>156895.84</v>
      </c>
      <c r="O1398" s="16">
        <f t="shared" si="594"/>
        <v>0</v>
      </c>
    </row>
    <row r="1399" spans="1:15" s="3" customFormat="1" ht="38.25">
      <c r="A1399" s="11" t="s">
        <v>644</v>
      </c>
      <c r="B1399" s="26" t="s">
        <v>20</v>
      </c>
      <c r="C1399" s="26" t="s">
        <v>37</v>
      </c>
      <c r="D1399" s="26" t="s">
        <v>25</v>
      </c>
      <c r="E1399" s="26" t="s">
        <v>302</v>
      </c>
      <c r="F1399" s="25" t="s">
        <v>58</v>
      </c>
      <c r="G1399" s="42">
        <f>G1400+G1403+G1406+G1412+G1415+G1418+G1409</f>
        <v>109687.51999999999</v>
      </c>
      <c r="H1399" s="42">
        <f>H1400+H1403+H1406+H1412+H1415+H1418+H1409</f>
        <v>117871.23</v>
      </c>
      <c r="I1399" s="42">
        <f>I1400+I1403+I1406+I1412+I1415+I1418+I1409</f>
        <v>117871.23</v>
      </c>
      <c r="J1399" s="42">
        <f>J1400+J1403+J1406+J1412+J1415+J1418+J1409</f>
        <v>109687.51999999999</v>
      </c>
      <c r="K1399" s="16">
        <f t="shared" si="592"/>
        <v>0</v>
      </c>
      <c r="L1399" s="42">
        <f>L1400+L1403+L1406+L1412+L1415+L1418+L1409</f>
        <v>117871.23</v>
      </c>
      <c r="M1399" s="16">
        <f t="shared" si="593"/>
        <v>0</v>
      </c>
      <c r="N1399" s="42">
        <f>N1400+N1403+N1406+N1412+N1415+N1418+N1409</f>
        <v>117871.23</v>
      </c>
      <c r="O1399" s="16">
        <f t="shared" si="594"/>
        <v>0</v>
      </c>
    </row>
    <row r="1400" spans="1:15" s="3" customFormat="1" ht="25.5">
      <c r="A1400" s="11" t="s">
        <v>896</v>
      </c>
      <c r="B1400" s="26" t="s">
        <v>20</v>
      </c>
      <c r="C1400" s="26" t="s">
        <v>37</v>
      </c>
      <c r="D1400" s="26" t="s">
        <v>25</v>
      </c>
      <c r="E1400" s="26" t="s">
        <v>492</v>
      </c>
      <c r="F1400" s="25" t="s">
        <v>58</v>
      </c>
      <c r="G1400" s="42">
        <f>G1401</f>
        <v>36181.839999999997</v>
      </c>
      <c r="H1400" s="42">
        <f t="shared" ref="H1400:N1401" si="613">H1401</f>
        <v>62280.58</v>
      </c>
      <c r="I1400" s="42">
        <f t="shared" si="613"/>
        <v>62280.58</v>
      </c>
      <c r="J1400" s="42">
        <f>J1401</f>
        <v>36181.839999999997</v>
      </c>
      <c r="K1400" s="16">
        <f t="shared" si="592"/>
        <v>0</v>
      </c>
      <c r="L1400" s="42">
        <f t="shared" si="613"/>
        <v>62280.58</v>
      </c>
      <c r="M1400" s="16">
        <f t="shared" si="593"/>
        <v>0</v>
      </c>
      <c r="N1400" s="42">
        <f t="shared" si="613"/>
        <v>62280.58</v>
      </c>
      <c r="O1400" s="16">
        <f t="shared" si="594"/>
        <v>0</v>
      </c>
    </row>
    <row r="1401" spans="1:15" s="3" customFormat="1" ht="25.5">
      <c r="A1401" s="11" t="s">
        <v>108</v>
      </c>
      <c r="B1401" s="26" t="s">
        <v>20</v>
      </c>
      <c r="C1401" s="26" t="s">
        <v>37</v>
      </c>
      <c r="D1401" s="26" t="s">
        <v>25</v>
      </c>
      <c r="E1401" s="26" t="s">
        <v>492</v>
      </c>
      <c r="F1401" s="25" t="s">
        <v>116</v>
      </c>
      <c r="G1401" s="42">
        <f>G1402</f>
        <v>36181.839999999997</v>
      </c>
      <c r="H1401" s="42">
        <f t="shared" si="613"/>
        <v>62280.58</v>
      </c>
      <c r="I1401" s="42">
        <f t="shared" si="613"/>
        <v>62280.58</v>
      </c>
      <c r="J1401" s="42">
        <f>36181.84</f>
        <v>36181.839999999997</v>
      </c>
      <c r="K1401" s="16">
        <f t="shared" si="592"/>
        <v>0</v>
      </c>
      <c r="L1401" s="42">
        <f>62280.58</f>
        <v>62280.58</v>
      </c>
      <c r="M1401" s="16">
        <f t="shared" si="593"/>
        <v>0</v>
      </c>
      <c r="N1401" s="42">
        <f>62280.58</f>
        <v>62280.58</v>
      </c>
      <c r="O1401" s="16">
        <f t="shared" si="594"/>
        <v>0</v>
      </c>
    </row>
    <row r="1402" spans="1:15" s="4" customFormat="1" ht="25.5">
      <c r="A1402" s="12" t="s">
        <v>973</v>
      </c>
      <c r="B1402" s="26" t="s">
        <v>20</v>
      </c>
      <c r="C1402" s="26" t="s">
        <v>37</v>
      </c>
      <c r="D1402" s="26" t="s">
        <v>25</v>
      </c>
      <c r="E1402" s="26" t="s">
        <v>492</v>
      </c>
      <c r="F1402" s="25" t="s">
        <v>1043</v>
      </c>
      <c r="G1402" s="42">
        <f>36181.84</f>
        <v>36181.839999999997</v>
      </c>
      <c r="H1402" s="42">
        <f>62280.58</f>
        <v>62280.58</v>
      </c>
      <c r="I1402" s="42">
        <f>62280.58</f>
        <v>62280.58</v>
      </c>
      <c r="J1402" s="82"/>
      <c r="K1402" s="16">
        <f t="shared" si="592"/>
        <v>-36181.839999999997</v>
      </c>
      <c r="L1402" s="82"/>
      <c r="M1402" s="16">
        <f t="shared" si="593"/>
        <v>-62280.58</v>
      </c>
      <c r="N1402" s="82"/>
      <c r="O1402" s="16">
        <f t="shared" si="594"/>
        <v>-62280.58</v>
      </c>
    </row>
    <row r="1403" spans="1:15" s="3" customFormat="1" ht="63.75">
      <c r="A1403" s="11" t="s">
        <v>589</v>
      </c>
      <c r="B1403" s="26" t="s">
        <v>20</v>
      </c>
      <c r="C1403" s="26" t="s">
        <v>37</v>
      </c>
      <c r="D1403" s="26" t="s">
        <v>25</v>
      </c>
      <c r="E1403" s="26" t="s">
        <v>518</v>
      </c>
      <c r="F1403" s="25" t="s">
        <v>58</v>
      </c>
      <c r="G1403" s="42">
        <f>G1404</f>
        <v>40000</v>
      </c>
      <c r="H1403" s="42">
        <f>H1404</f>
        <v>17586.29</v>
      </c>
      <c r="I1403" s="42">
        <f>I1404</f>
        <v>17586.29</v>
      </c>
      <c r="J1403" s="42">
        <f>J1404</f>
        <v>40000</v>
      </c>
      <c r="K1403" s="16">
        <f t="shared" si="592"/>
        <v>0</v>
      </c>
      <c r="L1403" s="42">
        <f>L1404</f>
        <v>17586.29</v>
      </c>
      <c r="M1403" s="16">
        <f t="shared" si="593"/>
        <v>0</v>
      </c>
      <c r="N1403" s="42">
        <f>N1404</f>
        <v>17586.29</v>
      </c>
      <c r="O1403" s="16">
        <f t="shared" si="594"/>
        <v>0</v>
      </c>
    </row>
    <row r="1404" spans="1:15" s="3" customFormat="1" ht="25.5">
      <c r="A1404" s="11" t="s">
        <v>108</v>
      </c>
      <c r="B1404" s="26" t="s">
        <v>20</v>
      </c>
      <c r="C1404" s="26" t="s">
        <v>37</v>
      </c>
      <c r="D1404" s="26" t="s">
        <v>25</v>
      </c>
      <c r="E1404" s="26" t="s">
        <v>518</v>
      </c>
      <c r="F1404" s="25" t="s">
        <v>116</v>
      </c>
      <c r="G1404" s="42">
        <f>G1405</f>
        <v>40000</v>
      </c>
      <c r="H1404" s="42">
        <f t="shared" ref="H1404:I1404" si="614">H1405</f>
        <v>17586.29</v>
      </c>
      <c r="I1404" s="42">
        <f t="shared" si="614"/>
        <v>17586.29</v>
      </c>
      <c r="J1404" s="42">
        <f>40000</f>
        <v>40000</v>
      </c>
      <c r="K1404" s="16">
        <f t="shared" ref="K1404:K1467" si="615">J1404-G1404</f>
        <v>0</v>
      </c>
      <c r="L1404" s="42">
        <f>17586.29</f>
        <v>17586.29</v>
      </c>
      <c r="M1404" s="16">
        <f t="shared" ref="M1404:M1467" si="616">L1404-H1404</f>
        <v>0</v>
      </c>
      <c r="N1404" s="42">
        <f>17586.29</f>
        <v>17586.29</v>
      </c>
      <c r="O1404" s="16">
        <f t="shared" ref="O1404:O1467" si="617">N1404-I1404</f>
        <v>0</v>
      </c>
    </row>
    <row r="1405" spans="1:15" s="4" customFormat="1" ht="25.5">
      <c r="A1405" s="12" t="s">
        <v>973</v>
      </c>
      <c r="B1405" s="26" t="s">
        <v>20</v>
      </c>
      <c r="C1405" s="26" t="s">
        <v>37</v>
      </c>
      <c r="D1405" s="26" t="s">
        <v>25</v>
      </c>
      <c r="E1405" s="26" t="s">
        <v>518</v>
      </c>
      <c r="F1405" s="25" t="s">
        <v>1043</v>
      </c>
      <c r="G1405" s="42">
        <f>40000</f>
        <v>40000</v>
      </c>
      <c r="H1405" s="42">
        <f>17586.29</f>
        <v>17586.29</v>
      </c>
      <c r="I1405" s="42">
        <f>17586.29</f>
        <v>17586.29</v>
      </c>
      <c r="J1405" s="82"/>
      <c r="K1405" s="16">
        <f t="shared" si="615"/>
        <v>-40000</v>
      </c>
      <c r="L1405" s="82"/>
      <c r="M1405" s="16">
        <f t="shared" si="616"/>
        <v>-17586.29</v>
      </c>
      <c r="N1405" s="82"/>
      <c r="O1405" s="16">
        <f t="shared" si="617"/>
        <v>-17586.29</v>
      </c>
    </row>
    <row r="1406" spans="1:15" s="3" customFormat="1">
      <c r="A1406" s="11" t="s">
        <v>519</v>
      </c>
      <c r="B1406" s="26" t="s">
        <v>20</v>
      </c>
      <c r="C1406" s="26" t="s">
        <v>37</v>
      </c>
      <c r="D1406" s="26" t="s">
        <v>25</v>
      </c>
      <c r="E1406" s="26" t="s">
        <v>520</v>
      </c>
      <c r="F1406" s="25" t="s">
        <v>58</v>
      </c>
      <c r="G1406" s="42">
        <f>G1407</f>
        <v>0</v>
      </c>
      <c r="H1406" s="42">
        <f>H1407</f>
        <v>1350</v>
      </c>
      <c r="I1406" s="42">
        <f>I1407</f>
        <v>1350</v>
      </c>
      <c r="J1406" s="42">
        <f>J1407</f>
        <v>0</v>
      </c>
      <c r="K1406" s="16">
        <f t="shared" si="615"/>
        <v>0</v>
      </c>
      <c r="L1406" s="42">
        <f>L1407</f>
        <v>1350</v>
      </c>
      <c r="M1406" s="16">
        <f t="shared" si="616"/>
        <v>0</v>
      </c>
      <c r="N1406" s="42">
        <f>N1407</f>
        <v>1350</v>
      </c>
      <c r="O1406" s="16">
        <f t="shared" si="617"/>
        <v>0</v>
      </c>
    </row>
    <row r="1407" spans="1:15" s="3" customFormat="1" ht="25.5">
      <c r="A1407" s="11" t="s">
        <v>108</v>
      </c>
      <c r="B1407" s="26" t="s">
        <v>20</v>
      </c>
      <c r="C1407" s="26" t="s">
        <v>37</v>
      </c>
      <c r="D1407" s="26" t="s">
        <v>25</v>
      </c>
      <c r="E1407" s="26" t="s">
        <v>520</v>
      </c>
      <c r="F1407" s="25" t="s">
        <v>116</v>
      </c>
      <c r="G1407" s="42">
        <f>G1408</f>
        <v>0</v>
      </c>
      <c r="H1407" s="42">
        <f t="shared" ref="H1407:I1407" si="618">H1408</f>
        <v>1350</v>
      </c>
      <c r="I1407" s="42">
        <f t="shared" si="618"/>
        <v>1350</v>
      </c>
      <c r="J1407" s="42">
        <v>0</v>
      </c>
      <c r="K1407" s="16">
        <f t="shared" si="615"/>
        <v>0</v>
      </c>
      <c r="L1407" s="42">
        <f>1350</f>
        <v>1350</v>
      </c>
      <c r="M1407" s="16">
        <f t="shared" si="616"/>
        <v>0</v>
      </c>
      <c r="N1407" s="42">
        <f>1350</f>
        <v>1350</v>
      </c>
      <c r="O1407" s="16">
        <f t="shared" si="617"/>
        <v>0</v>
      </c>
    </row>
    <row r="1408" spans="1:15" s="4" customFormat="1" ht="25.5">
      <c r="A1408" s="12" t="s">
        <v>973</v>
      </c>
      <c r="B1408" s="26" t="s">
        <v>20</v>
      </c>
      <c r="C1408" s="26" t="s">
        <v>37</v>
      </c>
      <c r="D1408" s="26" t="s">
        <v>25</v>
      </c>
      <c r="E1408" s="26" t="s">
        <v>520</v>
      </c>
      <c r="F1408" s="25" t="s">
        <v>1043</v>
      </c>
      <c r="G1408" s="42">
        <v>0</v>
      </c>
      <c r="H1408" s="42">
        <f>1350</f>
        <v>1350</v>
      </c>
      <c r="I1408" s="42">
        <f>1350</f>
        <v>1350</v>
      </c>
      <c r="J1408" s="82"/>
      <c r="K1408" s="16">
        <f t="shared" si="615"/>
        <v>0</v>
      </c>
      <c r="L1408" s="82"/>
      <c r="M1408" s="16">
        <f t="shared" si="616"/>
        <v>-1350</v>
      </c>
      <c r="N1408" s="82"/>
      <c r="O1408" s="16">
        <f t="shared" si="617"/>
        <v>-1350</v>
      </c>
    </row>
    <row r="1409" spans="1:15" s="3" customFormat="1" ht="25.5">
      <c r="A1409" s="11" t="s">
        <v>894</v>
      </c>
      <c r="B1409" s="26" t="s">
        <v>20</v>
      </c>
      <c r="C1409" s="26" t="s">
        <v>37</v>
      </c>
      <c r="D1409" s="26" t="s">
        <v>25</v>
      </c>
      <c r="E1409" s="26" t="s">
        <v>895</v>
      </c>
      <c r="F1409" s="25" t="s">
        <v>58</v>
      </c>
      <c r="G1409" s="42">
        <v>0</v>
      </c>
      <c r="H1409" s="42">
        <f t="shared" ref="H1409:I1409" si="619">H1410</f>
        <v>13566.6</v>
      </c>
      <c r="I1409" s="42">
        <f t="shared" si="619"/>
        <v>13566.6</v>
      </c>
      <c r="J1409" s="42">
        <v>0</v>
      </c>
      <c r="K1409" s="16">
        <f t="shared" si="615"/>
        <v>0</v>
      </c>
      <c r="L1409" s="42">
        <f t="shared" ref="L1409:N1409" si="620">L1410</f>
        <v>13566.6</v>
      </c>
      <c r="M1409" s="16">
        <f t="shared" si="616"/>
        <v>0</v>
      </c>
      <c r="N1409" s="42">
        <f t="shared" si="620"/>
        <v>13566.6</v>
      </c>
      <c r="O1409" s="16">
        <f t="shared" si="617"/>
        <v>0</v>
      </c>
    </row>
    <row r="1410" spans="1:15" s="3" customFormat="1">
      <c r="A1410" s="11" t="s">
        <v>190</v>
      </c>
      <c r="B1410" s="26" t="s">
        <v>20</v>
      </c>
      <c r="C1410" s="26" t="s">
        <v>37</v>
      </c>
      <c r="D1410" s="26" t="s">
        <v>25</v>
      </c>
      <c r="E1410" s="26" t="s">
        <v>895</v>
      </c>
      <c r="F1410" s="25" t="s">
        <v>103</v>
      </c>
      <c r="G1410" s="42">
        <f>G1411</f>
        <v>0</v>
      </c>
      <c r="H1410" s="42">
        <f t="shared" ref="H1410:I1410" si="621">H1411</f>
        <v>13566.6</v>
      </c>
      <c r="I1410" s="42">
        <f t="shared" si="621"/>
        <v>13566.6</v>
      </c>
      <c r="J1410" s="42">
        <v>0</v>
      </c>
      <c r="K1410" s="16">
        <f t="shared" si="615"/>
        <v>0</v>
      </c>
      <c r="L1410" s="42">
        <v>13566.6</v>
      </c>
      <c r="M1410" s="16">
        <f t="shared" si="616"/>
        <v>0</v>
      </c>
      <c r="N1410" s="42">
        <f>13566.6</f>
        <v>13566.6</v>
      </c>
      <c r="O1410" s="16">
        <f t="shared" si="617"/>
        <v>0</v>
      </c>
    </row>
    <row r="1411" spans="1:15" s="4" customFormat="1" ht="25.5">
      <c r="A1411" s="12" t="s">
        <v>987</v>
      </c>
      <c r="B1411" s="26" t="s">
        <v>20</v>
      </c>
      <c r="C1411" s="26" t="s">
        <v>37</v>
      </c>
      <c r="D1411" s="26" t="s">
        <v>25</v>
      </c>
      <c r="E1411" s="26" t="s">
        <v>895</v>
      </c>
      <c r="F1411" s="25" t="s">
        <v>1052</v>
      </c>
      <c r="G1411" s="42">
        <v>0</v>
      </c>
      <c r="H1411" s="42">
        <v>13566.6</v>
      </c>
      <c r="I1411" s="42">
        <f>13566.6</f>
        <v>13566.6</v>
      </c>
      <c r="J1411" s="82"/>
      <c r="K1411" s="16">
        <f t="shared" si="615"/>
        <v>0</v>
      </c>
      <c r="L1411" s="82"/>
      <c r="M1411" s="16">
        <f t="shared" si="616"/>
        <v>-13566.6</v>
      </c>
      <c r="N1411" s="82"/>
      <c r="O1411" s="16">
        <f t="shared" si="617"/>
        <v>-13566.6</v>
      </c>
    </row>
    <row r="1412" spans="1:15" s="3" customFormat="1" ht="63.75">
      <c r="A1412" s="11" t="s">
        <v>912</v>
      </c>
      <c r="B1412" s="25" t="s">
        <v>20</v>
      </c>
      <c r="C1412" s="26" t="s">
        <v>37</v>
      </c>
      <c r="D1412" s="26" t="s">
        <v>25</v>
      </c>
      <c r="E1412" s="43" t="s">
        <v>521</v>
      </c>
      <c r="F1412" s="25" t="s">
        <v>58</v>
      </c>
      <c r="G1412" s="42">
        <f>G1413</f>
        <v>20119.439999999999</v>
      </c>
      <c r="H1412" s="42">
        <f>H1413</f>
        <v>23087.759999999998</v>
      </c>
      <c r="I1412" s="42">
        <f>I1413</f>
        <v>23087.759999999998</v>
      </c>
      <c r="J1412" s="42">
        <f>J1413</f>
        <v>20119.439999999999</v>
      </c>
      <c r="K1412" s="16">
        <f t="shared" si="615"/>
        <v>0</v>
      </c>
      <c r="L1412" s="42">
        <f>L1413</f>
        <v>23087.759999999998</v>
      </c>
      <c r="M1412" s="16">
        <f t="shared" si="616"/>
        <v>0</v>
      </c>
      <c r="N1412" s="42">
        <f>N1413</f>
        <v>23087.759999999998</v>
      </c>
      <c r="O1412" s="16">
        <f t="shared" si="617"/>
        <v>0</v>
      </c>
    </row>
    <row r="1413" spans="1:15" s="3" customFormat="1" ht="38.25">
      <c r="A1413" s="46" t="s">
        <v>561</v>
      </c>
      <c r="B1413" s="25" t="s">
        <v>20</v>
      </c>
      <c r="C1413" s="26" t="s">
        <v>37</v>
      </c>
      <c r="D1413" s="26" t="s">
        <v>25</v>
      </c>
      <c r="E1413" s="43" t="s">
        <v>521</v>
      </c>
      <c r="F1413" s="25" t="s">
        <v>101</v>
      </c>
      <c r="G1413" s="42">
        <f>G1414</f>
        <v>20119.439999999999</v>
      </c>
      <c r="H1413" s="42">
        <f t="shared" ref="H1413:I1413" si="622">H1414</f>
        <v>23087.759999999998</v>
      </c>
      <c r="I1413" s="42">
        <f t="shared" si="622"/>
        <v>23087.759999999998</v>
      </c>
      <c r="J1413" s="42">
        <f>20119.44</f>
        <v>20119.439999999999</v>
      </c>
      <c r="K1413" s="16">
        <f t="shared" si="615"/>
        <v>0</v>
      </c>
      <c r="L1413" s="42">
        <f>23087.76</f>
        <v>23087.759999999998</v>
      </c>
      <c r="M1413" s="16">
        <f t="shared" si="616"/>
        <v>0</v>
      </c>
      <c r="N1413" s="42">
        <f>23087.76</f>
        <v>23087.759999999998</v>
      </c>
      <c r="O1413" s="16">
        <f t="shared" si="617"/>
        <v>0</v>
      </c>
    </row>
    <row r="1414" spans="1:15" s="4" customFormat="1" ht="51">
      <c r="A1414" s="12" t="s">
        <v>1047</v>
      </c>
      <c r="B1414" s="25" t="s">
        <v>20</v>
      </c>
      <c r="C1414" s="26" t="s">
        <v>37</v>
      </c>
      <c r="D1414" s="26" t="s">
        <v>25</v>
      </c>
      <c r="E1414" s="43" t="s">
        <v>521</v>
      </c>
      <c r="F1414" s="25" t="s">
        <v>1050</v>
      </c>
      <c r="G1414" s="42">
        <f>20119.44</f>
        <v>20119.439999999999</v>
      </c>
      <c r="H1414" s="42">
        <f>23087.76</f>
        <v>23087.759999999998</v>
      </c>
      <c r="I1414" s="42">
        <f>23087.76</f>
        <v>23087.759999999998</v>
      </c>
      <c r="J1414" s="82"/>
      <c r="K1414" s="16">
        <f t="shared" si="615"/>
        <v>-20119.439999999999</v>
      </c>
      <c r="L1414" s="82"/>
      <c r="M1414" s="16">
        <f t="shared" si="616"/>
        <v>-23087.759999999998</v>
      </c>
      <c r="N1414" s="82"/>
      <c r="O1414" s="16">
        <f t="shared" si="617"/>
        <v>-23087.759999999998</v>
      </c>
    </row>
    <row r="1415" spans="1:15" s="3" customFormat="1" ht="38.25">
      <c r="A1415" s="11" t="s">
        <v>913</v>
      </c>
      <c r="B1415" s="25" t="s">
        <v>20</v>
      </c>
      <c r="C1415" s="26" t="s">
        <v>37</v>
      </c>
      <c r="D1415" s="26" t="s">
        <v>25</v>
      </c>
      <c r="E1415" s="43" t="s">
        <v>691</v>
      </c>
      <c r="F1415" s="25" t="s">
        <v>58</v>
      </c>
      <c r="G1415" s="42">
        <f>G1416</f>
        <v>11640.21</v>
      </c>
      <c r="H1415" s="42">
        <f>H1416</f>
        <v>0</v>
      </c>
      <c r="I1415" s="42">
        <f>I1416</f>
        <v>0</v>
      </c>
      <c r="J1415" s="42">
        <f>J1416</f>
        <v>11640.21</v>
      </c>
      <c r="K1415" s="16">
        <f t="shared" si="615"/>
        <v>0</v>
      </c>
      <c r="L1415" s="42">
        <f>L1416</f>
        <v>0</v>
      </c>
      <c r="M1415" s="16">
        <f t="shared" si="616"/>
        <v>0</v>
      </c>
      <c r="N1415" s="42">
        <f>N1416</f>
        <v>0</v>
      </c>
      <c r="O1415" s="16">
        <f t="shared" si="617"/>
        <v>0</v>
      </c>
    </row>
    <row r="1416" spans="1:15" s="3" customFormat="1" ht="25.5">
      <c r="A1416" s="11" t="s">
        <v>108</v>
      </c>
      <c r="B1416" s="25" t="s">
        <v>20</v>
      </c>
      <c r="C1416" s="26" t="s">
        <v>37</v>
      </c>
      <c r="D1416" s="26" t="s">
        <v>25</v>
      </c>
      <c r="E1416" s="43" t="s">
        <v>691</v>
      </c>
      <c r="F1416" s="25" t="s">
        <v>116</v>
      </c>
      <c r="G1416" s="42">
        <f>G1417</f>
        <v>11640.21</v>
      </c>
      <c r="H1416" s="42">
        <f t="shared" ref="H1416:I1416" si="623">H1417</f>
        <v>0</v>
      </c>
      <c r="I1416" s="42">
        <f t="shared" si="623"/>
        <v>0</v>
      </c>
      <c r="J1416" s="42">
        <f>11640.21</f>
        <v>11640.21</v>
      </c>
      <c r="K1416" s="16">
        <f t="shared" si="615"/>
        <v>0</v>
      </c>
      <c r="L1416" s="42">
        <v>0</v>
      </c>
      <c r="M1416" s="16">
        <f t="shared" si="616"/>
        <v>0</v>
      </c>
      <c r="N1416" s="42">
        <v>0</v>
      </c>
      <c r="O1416" s="16">
        <f t="shared" si="617"/>
        <v>0</v>
      </c>
    </row>
    <row r="1417" spans="1:15" s="4" customFormat="1" ht="25.5">
      <c r="A1417" s="12" t="s">
        <v>973</v>
      </c>
      <c r="B1417" s="25" t="s">
        <v>20</v>
      </c>
      <c r="C1417" s="26" t="s">
        <v>37</v>
      </c>
      <c r="D1417" s="26" t="s">
        <v>25</v>
      </c>
      <c r="E1417" s="43" t="s">
        <v>691</v>
      </c>
      <c r="F1417" s="25" t="s">
        <v>1043</v>
      </c>
      <c r="G1417" s="42">
        <f>11640.21</f>
        <v>11640.21</v>
      </c>
      <c r="H1417" s="42">
        <v>0</v>
      </c>
      <c r="I1417" s="42">
        <v>0</v>
      </c>
      <c r="J1417" s="82"/>
      <c r="K1417" s="16">
        <f t="shared" si="615"/>
        <v>-11640.21</v>
      </c>
      <c r="L1417" s="82"/>
      <c r="M1417" s="16">
        <f t="shared" si="616"/>
        <v>0</v>
      </c>
      <c r="N1417" s="82"/>
      <c r="O1417" s="16">
        <f t="shared" si="617"/>
        <v>0</v>
      </c>
    </row>
    <row r="1418" spans="1:15" s="3" customFormat="1" ht="51">
      <c r="A1418" s="11" t="s">
        <v>914</v>
      </c>
      <c r="B1418" s="25" t="s">
        <v>20</v>
      </c>
      <c r="C1418" s="26" t="s">
        <v>37</v>
      </c>
      <c r="D1418" s="26" t="s">
        <v>25</v>
      </c>
      <c r="E1418" s="43" t="s">
        <v>692</v>
      </c>
      <c r="F1418" s="25" t="s">
        <v>58</v>
      </c>
      <c r="G1418" s="42">
        <f>G1419</f>
        <v>1746.03</v>
      </c>
      <c r="H1418" s="42">
        <f>H1419</f>
        <v>0</v>
      </c>
      <c r="I1418" s="42">
        <f>I1419</f>
        <v>0</v>
      </c>
      <c r="J1418" s="42">
        <f>J1419</f>
        <v>1746.03</v>
      </c>
      <c r="K1418" s="16">
        <f t="shared" si="615"/>
        <v>0</v>
      </c>
      <c r="L1418" s="42">
        <f>L1419</f>
        <v>0</v>
      </c>
      <c r="M1418" s="16">
        <f t="shared" si="616"/>
        <v>0</v>
      </c>
      <c r="N1418" s="42">
        <f>N1419</f>
        <v>0</v>
      </c>
      <c r="O1418" s="16">
        <f t="shared" si="617"/>
        <v>0</v>
      </c>
    </row>
    <row r="1419" spans="1:15" s="3" customFormat="1" ht="25.5">
      <c r="A1419" s="11" t="s">
        <v>108</v>
      </c>
      <c r="B1419" s="25" t="s">
        <v>20</v>
      </c>
      <c r="C1419" s="26" t="s">
        <v>37</v>
      </c>
      <c r="D1419" s="26" t="s">
        <v>25</v>
      </c>
      <c r="E1419" s="43" t="s">
        <v>692</v>
      </c>
      <c r="F1419" s="25" t="s">
        <v>116</v>
      </c>
      <c r="G1419" s="42">
        <f>G1420</f>
        <v>1746.03</v>
      </c>
      <c r="H1419" s="42">
        <f t="shared" ref="H1419:I1419" si="624">H1420</f>
        <v>0</v>
      </c>
      <c r="I1419" s="42">
        <f t="shared" si="624"/>
        <v>0</v>
      </c>
      <c r="J1419" s="42">
        <f>1746.03</f>
        <v>1746.03</v>
      </c>
      <c r="K1419" s="16">
        <f t="shared" si="615"/>
        <v>0</v>
      </c>
      <c r="L1419" s="42">
        <v>0</v>
      </c>
      <c r="M1419" s="16">
        <f t="shared" si="616"/>
        <v>0</v>
      </c>
      <c r="N1419" s="42">
        <v>0</v>
      </c>
      <c r="O1419" s="16">
        <f t="shared" si="617"/>
        <v>0</v>
      </c>
    </row>
    <row r="1420" spans="1:15" s="4" customFormat="1" ht="25.5">
      <c r="A1420" s="12" t="s">
        <v>973</v>
      </c>
      <c r="B1420" s="25" t="s">
        <v>20</v>
      </c>
      <c r="C1420" s="26" t="s">
        <v>37</v>
      </c>
      <c r="D1420" s="26" t="s">
        <v>25</v>
      </c>
      <c r="E1420" s="43" t="s">
        <v>692</v>
      </c>
      <c r="F1420" s="25" t="s">
        <v>1043</v>
      </c>
      <c r="G1420" s="42">
        <f>1746.03</f>
        <v>1746.03</v>
      </c>
      <c r="H1420" s="42">
        <v>0</v>
      </c>
      <c r="I1420" s="42">
        <v>0</v>
      </c>
      <c r="J1420" s="82"/>
      <c r="K1420" s="16">
        <f t="shared" si="615"/>
        <v>-1746.03</v>
      </c>
      <c r="L1420" s="82"/>
      <c r="M1420" s="16">
        <f t="shared" si="616"/>
        <v>0</v>
      </c>
      <c r="N1420" s="82"/>
      <c r="O1420" s="16">
        <f t="shared" si="617"/>
        <v>0</v>
      </c>
    </row>
    <row r="1421" spans="1:15" s="3" customFormat="1" ht="25.5">
      <c r="A1421" s="11" t="s">
        <v>653</v>
      </c>
      <c r="B1421" s="26" t="s">
        <v>20</v>
      </c>
      <c r="C1421" s="26" t="s">
        <v>37</v>
      </c>
      <c r="D1421" s="26" t="s">
        <v>25</v>
      </c>
      <c r="E1421" s="26" t="s">
        <v>650</v>
      </c>
      <c r="F1421" s="25" t="s">
        <v>58</v>
      </c>
      <c r="G1421" s="42">
        <f>G1422+G1425</f>
        <v>44245.659999999996</v>
      </c>
      <c r="H1421" s="42">
        <f>H1422+H1425</f>
        <v>39024.61</v>
      </c>
      <c r="I1421" s="42">
        <f>I1422+I1425</f>
        <v>39024.61</v>
      </c>
      <c r="J1421" s="42">
        <f>J1422+J1425</f>
        <v>44245.659999999996</v>
      </c>
      <c r="K1421" s="16">
        <f t="shared" si="615"/>
        <v>0</v>
      </c>
      <c r="L1421" s="42">
        <f>L1422+L1425</f>
        <v>39024.61</v>
      </c>
      <c r="M1421" s="16">
        <f t="shared" si="616"/>
        <v>0</v>
      </c>
      <c r="N1421" s="42">
        <f>N1422+N1425</f>
        <v>39024.61</v>
      </c>
      <c r="O1421" s="16">
        <f t="shared" si="617"/>
        <v>0</v>
      </c>
    </row>
    <row r="1422" spans="1:15" s="3" customFormat="1" ht="38.25">
      <c r="A1422" s="11" t="s">
        <v>187</v>
      </c>
      <c r="B1422" s="26" t="s">
        <v>20</v>
      </c>
      <c r="C1422" s="26" t="s">
        <v>37</v>
      </c>
      <c r="D1422" s="26" t="s">
        <v>25</v>
      </c>
      <c r="E1422" s="26" t="s">
        <v>651</v>
      </c>
      <c r="F1422" s="25" t="s">
        <v>58</v>
      </c>
      <c r="G1422" s="42">
        <f>G1423</f>
        <v>44245.659999999996</v>
      </c>
      <c r="H1422" s="42">
        <f>H1423</f>
        <v>37921.910000000003</v>
      </c>
      <c r="I1422" s="42">
        <f>I1423</f>
        <v>37921.910000000003</v>
      </c>
      <c r="J1422" s="42">
        <f>J1423</f>
        <v>44245.659999999996</v>
      </c>
      <c r="K1422" s="16">
        <f t="shared" si="615"/>
        <v>0</v>
      </c>
      <c r="L1422" s="42">
        <f>L1423</f>
        <v>37921.910000000003</v>
      </c>
      <c r="M1422" s="16">
        <f t="shared" si="616"/>
        <v>0</v>
      </c>
      <c r="N1422" s="42">
        <f>N1423</f>
        <v>37921.910000000003</v>
      </c>
      <c r="O1422" s="16">
        <f t="shared" si="617"/>
        <v>0</v>
      </c>
    </row>
    <row r="1423" spans="1:15" s="3" customFormat="1" ht="25.5">
      <c r="A1423" s="11" t="s">
        <v>108</v>
      </c>
      <c r="B1423" s="26" t="s">
        <v>20</v>
      </c>
      <c r="C1423" s="26" t="s">
        <v>37</v>
      </c>
      <c r="D1423" s="26" t="s">
        <v>25</v>
      </c>
      <c r="E1423" s="26" t="s">
        <v>651</v>
      </c>
      <c r="F1423" s="25" t="s">
        <v>116</v>
      </c>
      <c r="G1423" s="42">
        <f>G1424</f>
        <v>44245.659999999996</v>
      </c>
      <c r="H1423" s="42">
        <f t="shared" ref="H1423:I1423" si="625">H1424</f>
        <v>37921.910000000003</v>
      </c>
      <c r="I1423" s="42">
        <f t="shared" si="625"/>
        <v>37921.910000000003</v>
      </c>
      <c r="J1423" s="42">
        <f>43142.96+1102.7</f>
        <v>44245.659999999996</v>
      </c>
      <c r="K1423" s="16">
        <f t="shared" si="615"/>
        <v>0</v>
      </c>
      <c r="L1423" s="42">
        <f>37921.91</f>
        <v>37921.910000000003</v>
      </c>
      <c r="M1423" s="16">
        <f t="shared" si="616"/>
        <v>0</v>
      </c>
      <c r="N1423" s="42">
        <f>37921.91</f>
        <v>37921.910000000003</v>
      </c>
      <c r="O1423" s="16">
        <f t="shared" si="617"/>
        <v>0</v>
      </c>
    </row>
    <row r="1424" spans="1:15" s="4" customFormat="1" ht="25.5">
      <c r="A1424" s="12" t="s">
        <v>973</v>
      </c>
      <c r="B1424" s="26" t="s">
        <v>20</v>
      </c>
      <c r="C1424" s="26" t="s">
        <v>37</v>
      </c>
      <c r="D1424" s="26" t="s">
        <v>25</v>
      </c>
      <c r="E1424" s="26" t="s">
        <v>651</v>
      </c>
      <c r="F1424" s="25" t="s">
        <v>1043</v>
      </c>
      <c r="G1424" s="42">
        <f>43142.96+1102.7</f>
        <v>44245.659999999996</v>
      </c>
      <c r="H1424" s="42">
        <f>37921.91</f>
        <v>37921.910000000003</v>
      </c>
      <c r="I1424" s="42">
        <f>37921.91</f>
        <v>37921.910000000003</v>
      </c>
      <c r="J1424" s="82"/>
      <c r="K1424" s="16">
        <f t="shared" si="615"/>
        <v>-44245.659999999996</v>
      </c>
      <c r="L1424" s="82"/>
      <c r="M1424" s="16">
        <f t="shared" si="616"/>
        <v>-37921.910000000003</v>
      </c>
      <c r="N1424" s="82"/>
      <c r="O1424" s="16">
        <f t="shared" si="617"/>
        <v>-37921.910000000003</v>
      </c>
    </row>
    <row r="1425" spans="1:15" s="3" customFormat="1" ht="76.5">
      <c r="A1425" s="32" t="s">
        <v>590</v>
      </c>
      <c r="B1425" s="26" t="s">
        <v>20</v>
      </c>
      <c r="C1425" s="26" t="s">
        <v>37</v>
      </c>
      <c r="D1425" s="26" t="s">
        <v>25</v>
      </c>
      <c r="E1425" s="26" t="s">
        <v>652</v>
      </c>
      <c r="F1425" s="25" t="s">
        <v>58</v>
      </c>
      <c r="G1425" s="42">
        <f>G1426</f>
        <v>0</v>
      </c>
      <c r="H1425" s="42">
        <f>H1426</f>
        <v>1102.7</v>
      </c>
      <c r="I1425" s="42">
        <f>I1426</f>
        <v>1102.7</v>
      </c>
      <c r="J1425" s="42">
        <f>J1426</f>
        <v>0</v>
      </c>
      <c r="K1425" s="16">
        <f t="shared" si="615"/>
        <v>0</v>
      </c>
      <c r="L1425" s="42">
        <f>L1426</f>
        <v>1102.7</v>
      </c>
      <c r="M1425" s="16">
        <f t="shared" si="616"/>
        <v>0</v>
      </c>
      <c r="N1425" s="42">
        <f>N1426</f>
        <v>1102.7</v>
      </c>
      <c r="O1425" s="16">
        <f t="shared" si="617"/>
        <v>0</v>
      </c>
    </row>
    <row r="1426" spans="1:15" s="3" customFormat="1" ht="25.5">
      <c r="A1426" s="11" t="s">
        <v>108</v>
      </c>
      <c r="B1426" s="26" t="s">
        <v>20</v>
      </c>
      <c r="C1426" s="26" t="s">
        <v>37</v>
      </c>
      <c r="D1426" s="26" t="s">
        <v>25</v>
      </c>
      <c r="E1426" s="26" t="s">
        <v>652</v>
      </c>
      <c r="F1426" s="25" t="s">
        <v>116</v>
      </c>
      <c r="G1426" s="42">
        <f>G1427</f>
        <v>0</v>
      </c>
      <c r="H1426" s="42">
        <f t="shared" ref="H1426:I1426" si="626">H1427</f>
        <v>1102.7</v>
      </c>
      <c r="I1426" s="42">
        <f t="shared" si="626"/>
        <v>1102.7</v>
      </c>
      <c r="J1426" s="42">
        <v>0</v>
      </c>
      <c r="K1426" s="16">
        <f t="shared" si="615"/>
        <v>0</v>
      </c>
      <c r="L1426" s="42">
        <f>1102.7</f>
        <v>1102.7</v>
      </c>
      <c r="M1426" s="16">
        <f t="shared" si="616"/>
        <v>0</v>
      </c>
      <c r="N1426" s="42">
        <f>1102.7</f>
        <v>1102.7</v>
      </c>
      <c r="O1426" s="16">
        <f t="shared" si="617"/>
        <v>0</v>
      </c>
    </row>
    <row r="1427" spans="1:15" s="4" customFormat="1" ht="25.5">
      <c r="A1427" s="12" t="s">
        <v>973</v>
      </c>
      <c r="B1427" s="26" t="s">
        <v>20</v>
      </c>
      <c r="C1427" s="26" t="s">
        <v>37</v>
      </c>
      <c r="D1427" s="26" t="s">
        <v>25</v>
      </c>
      <c r="E1427" s="26" t="s">
        <v>652</v>
      </c>
      <c r="F1427" s="25" t="s">
        <v>1043</v>
      </c>
      <c r="G1427" s="42">
        <v>0</v>
      </c>
      <c r="H1427" s="42">
        <f>1102.7</f>
        <v>1102.7</v>
      </c>
      <c r="I1427" s="42">
        <f>1102.7</f>
        <v>1102.7</v>
      </c>
      <c r="J1427" s="82"/>
      <c r="K1427" s="16">
        <f t="shared" si="615"/>
        <v>0</v>
      </c>
      <c r="L1427" s="82"/>
      <c r="M1427" s="16">
        <f t="shared" si="616"/>
        <v>-1102.7</v>
      </c>
      <c r="N1427" s="82"/>
      <c r="O1427" s="16">
        <f t="shared" si="617"/>
        <v>-1102.7</v>
      </c>
    </row>
    <row r="1428" spans="1:15" s="3" customFormat="1">
      <c r="A1428" s="17" t="s">
        <v>7</v>
      </c>
      <c r="B1428" s="18" t="s">
        <v>20</v>
      </c>
      <c r="C1428" s="19" t="s">
        <v>8</v>
      </c>
      <c r="D1428" s="19" t="s">
        <v>51</v>
      </c>
      <c r="E1428" s="19" t="s">
        <v>196</v>
      </c>
      <c r="F1428" s="19" t="s">
        <v>58</v>
      </c>
      <c r="G1428" s="20">
        <f>G1429+G1436+G1443+G1481</f>
        <v>292259.12</v>
      </c>
      <c r="H1428" s="20">
        <f>H1429+H1436+H1443+H1481</f>
        <v>268902.19999999995</v>
      </c>
      <c r="I1428" s="20">
        <f>I1429+I1436+I1443+I1481</f>
        <v>268902.19999999995</v>
      </c>
      <c r="J1428" s="20">
        <f>J1429+J1436+J1443+J1481</f>
        <v>292259.12</v>
      </c>
      <c r="K1428" s="16">
        <f t="shared" si="615"/>
        <v>0</v>
      </c>
      <c r="L1428" s="20">
        <f>L1429+L1436+L1443+L1481</f>
        <v>268902.19999999995</v>
      </c>
      <c r="M1428" s="16">
        <f t="shared" si="616"/>
        <v>0</v>
      </c>
      <c r="N1428" s="20">
        <f>N1429+N1436+N1443+N1481</f>
        <v>268902.19999999995</v>
      </c>
      <c r="O1428" s="16">
        <f t="shared" si="617"/>
        <v>0</v>
      </c>
    </row>
    <row r="1429" spans="1:15" s="3" customFormat="1">
      <c r="A1429" s="21" t="s">
        <v>9</v>
      </c>
      <c r="B1429" s="22" t="s">
        <v>20</v>
      </c>
      <c r="C1429" s="23" t="s">
        <v>8</v>
      </c>
      <c r="D1429" s="23" t="s">
        <v>65</v>
      </c>
      <c r="E1429" s="23" t="s">
        <v>196</v>
      </c>
      <c r="F1429" s="23" t="s">
        <v>58</v>
      </c>
      <c r="G1429" s="24">
        <f t="shared" ref="G1429:G1434" si="627">G1430</f>
        <v>90</v>
      </c>
      <c r="H1429" s="24">
        <f t="shared" ref="H1429:N1429" si="628">H1430</f>
        <v>90</v>
      </c>
      <c r="I1429" s="24">
        <f t="shared" si="628"/>
        <v>90</v>
      </c>
      <c r="J1429" s="24">
        <f>J1430</f>
        <v>90</v>
      </c>
      <c r="K1429" s="16">
        <f t="shared" si="615"/>
        <v>0</v>
      </c>
      <c r="L1429" s="24">
        <f t="shared" si="628"/>
        <v>90</v>
      </c>
      <c r="M1429" s="16">
        <f t="shared" si="616"/>
        <v>0</v>
      </c>
      <c r="N1429" s="24">
        <f t="shared" si="628"/>
        <v>90</v>
      </c>
      <c r="O1429" s="16">
        <f t="shared" si="617"/>
        <v>0</v>
      </c>
    </row>
    <row r="1430" spans="1:15" s="3" customFormat="1" ht="38.25">
      <c r="A1430" s="12" t="s">
        <v>722</v>
      </c>
      <c r="B1430" s="25" t="s">
        <v>20</v>
      </c>
      <c r="C1430" s="26" t="s">
        <v>8</v>
      </c>
      <c r="D1430" s="26" t="s">
        <v>65</v>
      </c>
      <c r="E1430" s="43" t="s">
        <v>300</v>
      </c>
      <c r="F1430" s="26" t="s">
        <v>58</v>
      </c>
      <c r="G1430" s="42">
        <f t="shared" si="627"/>
        <v>90</v>
      </c>
      <c r="H1430" s="42">
        <f>H1431</f>
        <v>90</v>
      </c>
      <c r="I1430" s="42">
        <f>I1431</f>
        <v>90</v>
      </c>
      <c r="J1430" s="42">
        <f>J1431</f>
        <v>90</v>
      </c>
      <c r="K1430" s="16">
        <f t="shared" si="615"/>
        <v>0</v>
      </c>
      <c r="L1430" s="42">
        <f>L1431</f>
        <v>90</v>
      </c>
      <c r="M1430" s="16">
        <f t="shared" si="616"/>
        <v>0</v>
      </c>
      <c r="N1430" s="42">
        <f>N1431</f>
        <v>90</v>
      </c>
      <c r="O1430" s="16">
        <f t="shared" si="617"/>
        <v>0</v>
      </c>
    </row>
    <row r="1431" spans="1:15" s="3" customFormat="1" ht="25.5">
      <c r="A1431" s="11" t="s">
        <v>155</v>
      </c>
      <c r="B1431" s="25" t="s">
        <v>20</v>
      </c>
      <c r="C1431" s="26" t="s">
        <v>8</v>
      </c>
      <c r="D1431" s="26" t="s">
        <v>65</v>
      </c>
      <c r="E1431" s="43" t="s">
        <v>495</v>
      </c>
      <c r="F1431" s="26" t="s">
        <v>58</v>
      </c>
      <c r="G1431" s="42">
        <f t="shared" si="627"/>
        <v>90</v>
      </c>
      <c r="H1431" s="42">
        <f>H1432</f>
        <v>90</v>
      </c>
      <c r="I1431" s="42">
        <f>I1432</f>
        <v>90</v>
      </c>
      <c r="J1431" s="42">
        <f>J1432</f>
        <v>90</v>
      </c>
      <c r="K1431" s="16">
        <f t="shared" si="615"/>
        <v>0</v>
      </c>
      <c r="L1431" s="42">
        <f>L1432</f>
        <v>90</v>
      </c>
      <c r="M1431" s="16">
        <f t="shared" si="616"/>
        <v>0</v>
      </c>
      <c r="N1431" s="42">
        <f>N1432</f>
        <v>90</v>
      </c>
      <c r="O1431" s="16">
        <f t="shared" si="617"/>
        <v>0</v>
      </c>
    </row>
    <row r="1432" spans="1:15" s="3" customFormat="1" ht="38.25">
      <c r="A1432" s="11" t="s">
        <v>522</v>
      </c>
      <c r="B1432" s="25" t="s">
        <v>20</v>
      </c>
      <c r="C1432" s="26" t="s">
        <v>8</v>
      </c>
      <c r="D1432" s="26" t="s">
        <v>65</v>
      </c>
      <c r="E1432" s="43" t="s">
        <v>497</v>
      </c>
      <c r="F1432" s="26" t="s">
        <v>58</v>
      </c>
      <c r="G1432" s="42">
        <f t="shared" si="627"/>
        <v>90</v>
      </c>
      <c r="H1432" s="42">
        <f t="shared" ref="H1432:N1432" si="629">H1433</f>
        <v>90</v>
      </c>
      <c r="I1432" s="42">
        <f t="shared" si="629"/>
        <v>90</v>
      </c>
      <c r="J1432" s="42">
        <f>J1433</f>
        <v>90</v>
      </c>
      <c r="K1432" s="16">
        <f t="shared" si="615"/>
        <v>0</v>
      </c>
      <c r="L1432" s="42">
        <f t="shared" si="629"/>
        <v>90</v>
      </c>
      <c r="M1432" s="16">
        <f t="shared" si="616"/>
        <v>0</v>
      </c>
      <c r="N1432" s="42">
        <f t="shared" si="629"/>
        <v>90</v>
      </c>
      <c r="O1432" s="16">
        <f t="shared" si="617"/>
        <v>0</v>
      </c>
    </row>
    <row r="1433" spans="1:15" s="3" customFormat="1">
      <c r="A1433" s="11" t="s">
        <v>188</v>
      </c>
      <c r="B1433" s="25" t="s">
        <v>20</v>
      </c>
      <c r="C1433" s="26" t="s">
        <v>8</v>
      </c>
      <c r="D1433" s="26" t="s">
        <v>65</v>
      </c>
      <c r="E1433" s="43" t="s">
        <v>523</v>
      </c>
      <c r="F1433" s="26" t="s">
        <v>58</v>
      </c>
      <c r="G1433" s="42">
        <f t="shared" si="627"/>
        <v>90</v>
      </c>
      <c r="H1433" s="42">
        <f t="shared" ref="H1433:N1434" si="630">H1434</f>
        <v>90</v>
      </c>
      <c r="I1433" s="42">
        <f t="shared" si="630"/>
        <v>90</v>
      </c>
      <c r="J1433" s="42">
        <f>J1434</f>
        <v>90</v>
      </c>
      <c r="K1433" s="16">
        <f t="shared" si="615"/>
        <v>0</v>
      </c>
      <c r="L1433" s="42">
        <f t="shared" si="630"/>
        <v>90</v>
      </c>
      <c r="M1433" s="16">
        <f t="shared" si="616"/>
        <v>0</v>
      </c>
      <c r="N1433" s="42">
        <f t="shared" si="630"/>
        <v>90</v>
      </c>
      <c r="O1433" s="16">
        <f t="shared" si="617"/>
        <v>0</v>
      </c>
    </row>
    <row r="1434" spans="1:15" s="3" customFormat="1" ht="25.5">
      <c r="A1434" s="11" t="s">
        <v>108</v>
      </c>
      <c r="B1434" s="26" t="s">
        <v>20</v>
      </c>
      <c r="C1434" s="26" t="s">
        <v>8</v>
      </c>
      <c r="D1434" s="26" t="s">
        <v>65</v>
      </c>
      <c r="E1434" s="43" t="s">
        <v>523</v>
      </c>
      <c r="F1434" s="26" t="s">
        <v>116</v>
      </c>
      <c r="G1434" s="42">
        <f t="shared" si="627"/>
        <v>90</v>
      </c>
      <c r="H1434" s="42">
        <f t="shared" si="630"/>
        <v>90</v>
      </c>
      <c r="I1434" s="42">
        <f t="shared" si="630"/>
        <v>90</v>
      </c>
      <c r="J1434" s="42">
        <f>90</f>
        <v>90</v>
      </c>
      <c r="K1434" s="16">
        <f t="shared" si="615"/>
        <v>0</v>
      </c>
      <c r="L1434" s="42">
        <f>90</f>
        <v>90</v>
      </c>
      <c r="M1434" s="16">
        <f t="shared" si="616"/>
        <v>0</v>
      </c>
      <c r="N1434" s="42">
        <f>90</f>
        <v>90</v>
      </c>
      <c r="O1434" s="16">
        <f t="shared" si="617"/>
        <v>0</v>
      </c>
    </row>
    <row r="1435" spans="1:15" s="4" customFormat="1" ht="25.5">
      <c r="A1435" s="12" t="s">
        <v>973</v>
      </c>
      <c r="B1435" s="26" t="s">
        <v>20</v>
      </c>
      <c r="C1435" s="26" t="s">
        <v>8</v>
      </c>
      <c r="D1435" s="26" t="s">
        <v>65</v>
      </c>
      <c r="E1435" s="43" t="s">
        <v>523</v>
      </c>
      <c r="F1435" s="26" t="s">
        <v>1043</v>
      </c>
      <c r="G1435" s="42">
        <f>90</f>
        <v>90</v>
      </c>
      <c r="H1435" s="42">
        <f>90</f>
        <v>90</v>
      </c>
      <c r="I1435" s="42">
        <f>90</f>
        <v>90</v>
      </c>
      <c r="J1435" s="82"/>
      <c r="K1435" s="16">
        <f t="shared" si="615"/>
        <v>-90</v>
      </c>
      <c r="L1435" s="82"/>
      <c r="M1435" s="16">
        <f t="shared" si="616"/>
        <v>-90</v>
      </c>
      <c r="N1435" s="82"/>
      <c r="O1435" s="16">
        <f t="shared" si="617"/>
        <v>-90</v>
      </c>
    </row>
    <row r="1436" spans="1:15" s="3" customFormat="1">
      <c r="A1436" s="21" t="s">
        <v>10</v>
      </c>
      <c r="B1436" s="22">
        <v>620</v>
      </c>
      <c r="C1436" s="23" t="s">
        <v>8</v>
      </c>
      <c r="D1436" s="23" t="s">
        <v>66</v>
      </c>
      <c r="E1436" s="23" t="s">
        <v>196</v>
      </c>
      <c r="F1436" s="23" t="s">
        <v>58</v>
      </c>
      <c r="G1436" s="24">
        <f t="shared" ref="G1436:N1441" si="631">G1437</f>
        <v>20</v>
      </c>
      <c r="H1436" s="24">
        <f t="shared" si="631"/>
        <v>20</v>
      </c>
      <c r="I1436" s="24">
        <f t="shared" si="631"/>
        <v>20</v>
      </c>
      <c r="J1436" s="24">
        <f t="shared" si="631"/>
        <v>20</v>
      </c>
      <c r="K1436" s="16">
        <f t="shared" si="615"/>
        <v>0</v>
      </c>
      <c r="L1436" s="24">
        <f t="shared" si="631"/>
        <v>20</v>
      </c>
      <c r="M1436" s="16">
        <f t="shared" si="616"/>
        <v>0</v>
      </c>
      <c r="N1436" s="24">
        <f t="shared" si="631"/>
        <v>20</v>
      </c>
      <c r="O1436" s="16">
        <f t="shared" si="617"/>
        <v>0</v>
      </c>
    </row>
    <row r="1437" spans="1:15" s="3" customFormat="1" ht="38.25">
      <c r="A1437" s="12" t="s">
        <v>722</v>
      </c>
      <c r="B1437" s="47">
        <v>620</v>
      </c>
      <c r="C1437" s="26" t="s">
        <v>8</v>
      </c>
      <c r="D1437" s="26" t="s">
        <v>66</v>
      </c>
      <c r="E1437" s="43" t="s">
        <v>300</v>
      </c>
      <c r="F1437" s="26" t="s">
        <v>58</v>
      </c>
      <c r="G1437" s="42">
        <f t="shared" si="631"/>
        <v>20</v>
      </c>
      <c r="H1437" s="42">
        <f t="shared" si="631"/>
        <v>20</v>
      </c>
      <c r="I1437" s="42">
        <f t="shared" si="631"/>
        <v>20</v>
      </c>
      <c r="J1437" s="42">
        <f t="shared" si="631"/>
        <v>20</v>
      </c>
      <c r="K1437" s="16">
        <f t="shared" si="615"/>
        <v>0</v>
      </c>
      <c r="L1437" s="42">
        <f t="shared" si="631"/>
        <v>20</v>
      </c>
      <c r="M1437" s="16">
        <f t="shared" si="616"/>
        <v>0</v>
      </c>
      <c r="N1437" s="42">
        <f t="shared" si="631"/>
        <v>20</v>
      </c>
      <c r="O1437" s="16">
        <f t="shared" si="617"/>
        <v>0</v>
      </c>
    </row>
    <row r="1438" spans="1:15" s="3" customFormat="1" ht="25.5">
      <c r="A1438" s="11" t="s">
        <v>155</v>
      </c>
      <c r="B1438" s="47">
        <v>620</v>
      </c>
      <c r="C1438" s="26" t="s">
        <v>8</v>
      </c>
      <c r="D1438" s="26" t="s">
        <v>66</v>
      </c>
      <c r="E1438" s="43" t="s">
        <v>495</v>
      </c>
      <c r="F1438" s="26" t="s">
        <v>58</v>
      </c>
      <c r="G1438" s="42">
        <f t="shared" si="631"/>
        <v>20</v>
      </c>
      <c r="H1438" s="42">
        <f t="shared" si="631"/>
        <v>20</v>
      </c>
      <c r="I1438" s="42">
        <f t="shared" si="631"/>
        <v>20</v>
      </c>
      <c r="J1438" s="42">
        <f t="shared" si="631"/>
        <v>20</v>
      </c>
      <c r="K1438" s="16">
        <f t="shared" si="615"/>
        <v>0</v>
      </c>
      <c r="L1438" s="42">
        <f t="shared" si="631"/>
        <v>20</v>
      </c>
      <c r="M1438" s="16">
        <f t="shared" si="616"/>
        <v>0</v>
      </c>
      <c r="N1438" s="42">
        <f t="shared" si="631"/>
        <v>20</v>
      </c>
      <c r="O1438" s="16">
        <f t="shared" si="617"/>
        <v>0</v>
      </c>
    </row>
    <row r="1439" spans="1:15" s="3" customFormat="1" ht="38.25">
      <c r="A1439" s="11" t="s">
        <v>669</v>
      </c>
      <c r="B1439" s="47">
        <v>620</v>
      </c>
      <c r="C1439" s="26" t="s">
        <v>8</v>
      </c>
      <c r="D1439" s="26" t="s">
        <v>66</v>
      </c>
      <c r="E1439" s="43" t="s">
        <v>525</v>
      </c>
      <c r="F1439" s="26" t="s">
        <v>58</v>
      </c>
      <c r="G1439" s="42">
        <f t="shared" si="631"/>
        <v>20</v>
      </c>
      <c r="H1439" s="42">
        <f t="shared" si="631"/>
        <v>20</v>
      </c>
      <c r="I1439" s="42">
        <f t="shared" si="631"/>
        <v>20</v>
      </c>
      <c r="J1439" s="42">
        <f t="shared" si="631"/>
        <v>20</v>
      </c>
      <c r="K1439" s="16">
        <f t="shared" si="615"/>
        <v>0</v>
      </c>
      <c r="L1439" s="42">
        <f t="shared" si="631"/>
        <v>20</v>
      </c>
      <c r="M1439" s="16">
        <f t="shared" si="616"/>
        <v>0</v>
      </c>
      <c r="N1439" s="42">
        <f t="shared" si="631"/>
        <v>20</v>
      </c>
      <c r="O1439" s="16">
        <f t="shared" si="617"/>
        <v>0</v>
      </c>
    </row>
    <row r="1440" spans="1:15" s="3" customFormat="1">
      <c r="A1440" s="11" t="s">
        <v>671</v>
      </c>
      <c r="B1440" s="47">
        <v>620</v>
      </c>
      <c r="C1440" s="26" t="s">
        <v>8</v>
      </c>
      <c r="D1440" s="26" t="s">
        <v>66</v>
      </c>
      <c r="E1440" s="43" t="s">
        <v>526</v>
      </c>
      <c r="F1440" s="26" t="s">
        <v>58</v>
      </c>
      <c r="G1440" s="42">
        <f>G1441</f>
        <v>20</v>
      </c>
      <c r="H1440" s="42">
        <f t="shared" si="631"/>
        <v>20</v>
      </c>
      <c r="I1440" s="42">
        <f t="shared" si="631"/>
        <v>20</v>
      </c>
      <c r="J1440" s="42">
        <f>J1441</f>
        <v>20</v>
      </c>
      <c r="K1440" s="16">
        <f t="shared" si="615"/>
        <v>0</v>
      </c>
      <c r="L1440" s="42">
        <f t="shared" si="631"/>
        <v>20</v>
      </c>
      <c r="M1440" s="16">
        <f t="shared" si="616"/>
        <v>0</v>
      </c>
      <c r="N1440" s="42">
        <f t="shared" si="631"/>
        <v>20</v>
      </c>
      <c r="O1440" s="16">
        <f t="shared" si="617"/>
        <v>0</v>
      </c>
    </row>
    <row r="1441" spans="1:15" s="3" customFormat="1" ht="25.5">
      <c r="A1441" s="11" t="s">
        <v>108</v>
      </c>
      <c r="B1441" s="26" t="s">
        <v>20</v>
      </c>
      <c r="C1441" s="26" t="s">
        <v>8</v>
      </c>
      <c r="D1441" s="26" t="s">
        <v>66</v>
      </c>
      <c r="E1441" s="43" t="s">
        <v>526</v>
      </c>
      <c r="F1441" s="26" t="s">
        <v>116</v>
      </c>
      <c r="G1441" s="42">
        <f>G1442</f>
        <v>20</v>
      </c>
      <c r="H1441" s="42">
        <f t="shared" si="631"/>
        <v>20</v>
      </c>
      <c r="I1441" s="42">
        <f t="shared" si="631"/>
        <v>20</v>
      </c>
      <c r="J1441" s="42">
        <f>20</f>
        <v>20</v>
      </c>
      <c r="K1441" s="16">
        <f t="shared" si="615"/>
        <v>0</v>
      </c>
      <c r="L1441" s="42">
        <f>20</f>
        <v>20</v>
      </c>
      <c r="M1441" s="16">
        <f t="shared" si="616"/>
        <v>0</v>
      </c>
      <c r="N1441" s="42">
        <f>20</f>
        <v>20</v>
      </c>
      <c r="O1441" s="16">
        <f t="shared" si="617"/>
        <v>0</v>
      </c>
    </row>
    <row r="1442" spans="1:15" s="4" customFormat="1" ht="25.5">
      <c r="A1442" s="12" t="s">
        <v>973</v>
      </c>
      <c r="B1442" s="26" t="s">
        <v>20</v>
      </c>
      <c r="C1442" s="26" t="s">
        <v>8</v>
      </c>
      <c r="D1442" s="26" t="s">
        <v>66</v>
      </c>
      <c r="E1442" s="43" t="s">
        <v>526</v>
      </c>
      <c r="F1442" s="26" t="s">
        <v>1043</v>
      </c>
      <c r="G1442" s="42">
        <f>20</f>
        <v>20</v>
      </c>
      <c r="H1442" s="42">
        <f>20</f>
        <v>20</v>
      </c>
      <c r="I1442" s="42">
        <f>20</f>
        <v>20</v>
      </c>
      <c r="J1442" s="82"/>
      <c r="K1442" s="16">
        <f t="shared" si="615"/>
        <v>-20</v>
      </c>
      <c r="L1442" s="82"/>
      <c r="M1442" s="16">
        <f t="shared" si="616"/>
        <v>-20</v>
      </c>
      <c r="N1442" s="82"/>
      <c r="O1442" s="16">
        <f t="shared" si="617"/>
        <v>-20</v>
      </c>
    </row>
    <row r="1443" spans="1:15" s="3" customFormat="1">
      <c r="A1443" s="21" t="s">
        <v>1</v>
      </c>
      <c r="B1443" s="22" t="s">
        <v>20</v>
      </c>
      <c r="C1443" s="23" t="s">
        <v>8</v>
      </c>
      <c r="D1443" s="23" t="s">
        <v>53</v>
      </c>
      <c r="E1443" s="23" t="s">
        <v>196</v>
      </c>
      <c r="F1443" s="23" t="s">
        <v>58</v>
      </c>
      <c r="G1443" s="24">
        <f>G1444+G1475</f>
        <v>234942.32</v>
      </c>
      <c r="H1443" s="24">
        <f>H1444+H1475</f>
        <v>212657.16999999998</v>
      </c>
      <c r="I1443" s="24">
        <f>I1444+I1475</f>
        <v>212657.16999999998</v>
      </c>
      <c r="J1443" s="24">
        <f>J1444+J1475</f>
        <v>234942.32</v>
      </c>
      <c r="K1443" s="16">
        <f t="shared" si="615"/>
        <v>0</v>
      </c>
      <c r="L1443" s="24">
        <f>L1444+L1475</f>
        <v>212657.16999999998</v>
      </c>
      <c r="M1443" s="16">
        <f t="shared" si="616"/>
        <v>0</v>
      </c>
      <c r="N1443" s="24">
        <f>N1444+N1475</f>
        <v>212657.16999999998</v>
      </c>
      <c r="O1443" s="16">
        <f t="shared" si="617"/>
        <v>0</v>
      </c>
    </row>
    <row r="1444" spans="1:15" s="3" customFormat="1" ht="38.25">
      <c r="A1444" s="12" t="s">
        <v>722</v>
      </c>
      <c r="B1444" s="26" t="s">
        <v>20</v>
      </c>
      <c r="C1444" s="26" t="s">
        <v>8</v>
      </c>
      <c r="D1444" s="26" t="s">
        <v>53</v>
      </c>
      <c r="E1444" s="26" t="s">
        <v>300</v>
      </c>
      <c r="F1444" s="26" t="s">
        <v>58</v>
      </c>
      <c r="G1444" s="42">
        <f>G1445</f>
        <v>231180.64</v>
      </c>
      <c r="H1444" s="42">
        <f>H1445</f>
        <v>209271.65</v>
      </c>
      <c r="I1444" s="42">
        <f>I1445</f>
        <v>209271.65</v>
      </c>
      <c r="J1444" s="42">
        <f>J1445</f>
        <v>231180.64</v>
      </c>
      <c r="K1444" s="16">
        <f t="shared" si="615"/>
        <v>0</v>
      </c>
      <c r="L1444" s="42">
        <f>L1445</f>
        <v>209271.65</v>
      </c>
      <c r="M1444" s="16">
        <f t="shared" si="616"/>
        <v>0</v>
      </c>
      <c r="N1444" s="42">
        <f>N1445</f>
        <v>209271.65</v>
      </c>
      <c r="O1444" s="16">
        <f t="shared" si="617"/>
        <v>0</v>
      </c>
    </row>
    <row r="1445" spans="1:15" s="3" customFormat="1">
      <c r="A1445" s="11" t="s">
        <v>142</v>
      </c>
      <c r="B1445" s="26" t="s">
        <v>20</v>
      </c>
      <c r="C1445" s="26" t="s">
        <v>8</v>
      </c>
      <c r="D1445" s="26" t="s">
        <v>53</v>
      </c>
      <c r="E1445" s="26" t="s">
        <v>453</v>
      </c>
      <c r="F1445" s="26" t="s">
        <v>58</v>
      </c>
      <c r="G1445" s="42">
        <f>G1446+G1452+G1456</f>
        <v>231180.64</v>
      </c>
      <c r="H1445" s="42">
        <f>H1446+H1452+H1456</f>
        <v>209271.65</v>
      </c>
      <c r="I1445" s="42">
        <f>I1446+I1452+I1456</f>
        <v>209271.65</v>
      </c>
      <c r="J1445" s="42">
        <f>J1446+J1452+J1456</f>
        <v>231180.64</v>
      </c>
      <c r="K1445" s="16">
        <f t="shared" si="615"/>
        <v>0</v>
      </c>
      <c r="L1445" s="42">
        <f>L1446+L1452+L1456</f>
        <v>209271.65</v>
      </c>
      <c r="M1445" s="16">
        <f t="shared" si="616"/>
        <v>0</v>
      </c>
      <c r="N1445" s="42">
        <f>N1446+N1452+N1456</f>
        <v>209271.65</v>
      </c>
      <c r="O1445" s="16">
        <f t="shared" si="617"/>
        <v>0</v>
      </c>
    </row>
    <row r="1446" spans="1:15" s="3" customFormat="1" ht="25.5">
      <c r="A1446" s="11" t="s">
        <v>718</v>
      </c>
      <c r="B1446" s="26" t="s">
        <v>20</v>
      </c>
      <c r="C1446" s="26" t="s">
        <v>8</v>
      </c>
      <c r="D1446" s="26" t="s">
        <v>53</v>
      </c>
      <c r="E1446" s="26" t="s">
        <v>655</v>
      </c>
      <c r="F1446" s="26" t="s">
        <v>58</v>
      </c>
      <c r="G1446" s="42">
        <f>G1447</f>
        <v>24087.120000000003</v>
      </c>
      <c r="H1446" s="42">
        <f>H1447</f>
        <v>14107.15</v>
      </c>
      <c r="I1446" s="42">
        <f>I1447</f>
        <v>14107.15</v>
      </c>
      <c r="J1446" s="42">
        <f>J1447</f>
        <v>24087.120000000003</v>
      </c>
      <c r="K1446" s="16">
        <f t="shared" si="615"/>
        <v>0</v>
      </c>
      <c r="L1446" s="42">
        <f>L1447</f>
        <v>14107.15</v>
      </c>
      <c r="M1446" s="16">
        <f t="shared" si="616"/>
        <v>0</v>
      </c>
      <c r="N1446" s="42">
        <f>N1447</f>
        <v>14107.15</v>
      </c>
      <c r="O1446" s="16">
        <f t="shared" si="617"/>
        <v>0</v>
      </c>
    </row>
    <row r="1447" spans="1:15" s="3" customFormat="1" ht="38.25">
      <c r="A1447" s="11" t="s">
        <v>905</v>
      </c>
      <c r="B1447" s="26" t="s">
        <v>20</v>
      </c>
      <c r="C1447" s="26" t="s">
        <v>8</v>
      </c>
      <c r="D1447" s="26" t="s">
        <v>53</v>
      </c>
      <c r="E1447" s="26" t="s">
        <v>656</v>
      </c>
      <c r="F1447" s="26" t="s">
        <v>58</v>
      </c>
      <c r="G1447" s="42">
        <f>G1448+G1450</f>
        <v>24087.120000000003</v>
      </c>
      <c r="H1447" s="42">
        <f>H1448+H1450</f>
        <v>14107.15</v>
      </c>
      <c r="I1447" s="42">
        <f>I1448+I1450</f>
        <v>14107.15</v>
      </c>
      <c r="J1447" s="42">
        <f>J1448+J1450</f>
        <v>24087.120000000003</v>
      </c>
      <c r="K1447" s="16">
        <f t="shared" si="615"/>
        <v>0</v>
      </c>
      <c r="L1447" s="42">
        <f>L1448+L1450</f>
        <v>14107.15</v>
      </c>
      <c r="M1447" s="16">
        <f t="shared" si="616"/>
        <v>0</v>
      </c>
      <c r="N1447" s="42">
        <f>N1448+N1450</f>
        <v>14107.15</v>
      </c>
      <c r="O1447" s="16">
        <f t="shared" si="617"/>
        <v>0</v>
      </c>
    </row>
    <row r="1448" spans="1:15" s="3" customFormat="1" ht="25.5">
      <c r="A1448" s="11" t="s">
        <v>108</v>
      </c>
      <c r="B1448" s="26" t="s">
        <v>20</v>
      </c>
      <c r="C1448" s="26" t="s">
        <v>8</v>
      </c>
      <c r="D1448" s="26" t="s">
        <v>53</v>
      </c>
      <c r="E1448" s="26" t="s">
        <v>656</v>
      </c>
      <c r="F1448" s="26" t="s">
        <v>116</v>
      </c>
      <c r="G1448" s="42">
        <f>G1449</f>
        <v>14087.12</v>
      </c>
      <c r="H1448" s="42">
        <f t="shared" ref="H1448:I1448" si="632">H1449</f>
        <v>14107.15</v>
      </c>
      <c r="I1448" s="42">
        <f t="shared" si="632"/>
        <v>14107.15</v>
      </c>
      <c r="J1448" s="42">
        <f>14087.12</f>
        <v>14087.12</v>
      </c>
      <c r="K1448" s="16">
        <f t="shared" si="615"/>
        <v>0</v>
      </c>
      <c r="L1448" s="42">
        <f>14107.15</f>
        <v>14107.15</v>
      </c>
      <c r="M1448" s="16">
        <f t="shared" si="616"/>
        <v>0</v>
      </c>
      <c r="N1448" s="42">
        <f>14107.15</f>
        <v>14107.15</v>
      </c>
      <c r="O1448" s="16">
        <f t="shared" si="617"/>
        <v>0</v>
      </c>
    </row>
    <row r="1449" spans="1:15" s="4" customFormat="1" ht="25.5">
      <c r="A1449" s="12" t="s">
        <v>973</v>
      </c>
      <c r="B1449" s="26" t="s">
        <v>20</v>
      </c>
      <c r="C1449" s="26" t="s">
        <v>8</v>
      </c>
      <c r="D1449" s="26" t="s">
        <v>53</v>
      </c>
      <c r="E1449" s="26" t="s">
        <v>656</v>
      </c>
      <c r="F1449" s="26" t="s">
        <v>1043</v>
      </c>
      <c r="G1449" s="42">
        <f>14087.12</f>
        <v>14087.12</v>
      </c>
      <c r="H1449" s="42">
        <f>14107.15</f>
        <v>14107.15</v>
      </c>
      <c r="I1449" s="42">
        <f>14107.15</f>
        <v>14107.15</v>
      </c>
      <c r="J1449" s="82"/>
      <c r="K1449" s="16">
        <f t="shared" si="615"/>
        <v>-14087.12</v>
      </c>
      <c r="L1449" s="82"/>
      <c r="M1449" s="16">
        <f t="shared" si="616"/>
        <v>-14107.15</v>
      </c>
      <c r="N1449" s="82"/>
      <c r="O1449" s="16">
        <f t="shared" si="617"/>
        <v>-14107.15</v>
      </c>
    </row>
    <row r="1450" spans="1:15" s="3" customFormat="1">
      <c r="A1450" s="11" t="s">
        <v>190</v>
      </c>
      <c r="B1450" s="26" t="s">
        <v>20</v>
      </c>
      <c r="C1450" s="26" t="s">
        <v>8</v>
      </c>
      <c r="D1450" s="26" t="s">
        <v>53</v>
      </c>
      <c r="E1450" s="26" t="s">
        <v>656</v>
      </c>
      <c r="F1450" s="26" t="s">
        <v>103</v>
      </c>
      <c r="G1450" s="42">
        <f>G1451</f>
        <v>10000</v>
      </c>
      <c r="H1450" s="42">
        <f t="shared" ref="H1450:I1450" si="633">H1451</f>
        <v>0</v>
      </c>
      <c r="I1450" s="42">
        <f t="shared" si="633"/>
        <v>0</v>
      </c>
      <c r="J1450" s="42">
        <v>10000</v>
      </c>
      <c r="K1450" s="16">
        <f t="shared" si="615"/>
        <v>0</v>
      </c>
      <c r="L1450" s="42">
        <v>0</v>
      </c>
      <c r="M1450" s="16">
        <f t="shared" si="616"/>
        <v>0</v>
      </c>
      <c r="N1450" s="42">
        <v>0</v>
      </c>
      <c r="O1450" s="16">
        <f t="shared" si="617"/>
        <v>0</v>
      </c>
    </row>
    <row r="1451" spans="1:15" s="4" customFormat="1" ht="25.5">
      <c r="A1451" s="12" t="s">
        <v>987</v>
      </c>
      <c r="B1451" s="26" t="s">
        <v>20</v>
      </c>
      <c r="C1451" s="26" t="s">
        <v>8</v>
      </c>
      <c r="D1451" s="26" t="s">
        <v>53</v>
      </c>
      <c r="E1451" s="26" t="s">
        <v>656</v>
      </c>
      <c r="F1451" s="26" t="s">
        <v>1052</v>
      </c>
      <c r="G1451" s="42">
        <v>10000</v>
      </c>
      <c r="H1451" s="42">
        <v>0</v>
      </c>
      <c r="I1451" s="42">
        <v>0</v>
      </c>
      <c r="J1451" s="82"/>
      <c r="K1451" s="16">
        <f t="shared" si="615"/>
        <v>-10000</v>
      </c>
      <c r="L1451" s="82"/>
      <c r="M1451" s="16">
        <f t="shared" si="616"/>
        <v>0</v>
      </c>
      <c r="N1451" s="82"/>
      <c r="O1451" s="16">
        <f t="shared" si="617"/>
        <v>0</v>
      </c>
    </row>
    <row r="1452" spans="1:15" s="3" customFormat="1" ht="38.25">
      <c r="A1452" s="11" t="s">
        <v>657</v>
      </c>
      <c r="B1452" s="26" t="s">
        <v>20</v>
      </c>
      <c r="C1452" s="26" t="s">
        <v>8</v>
      </c>
      <c r="D1452" s="26" t="s">
        <v>53</v>
      </c>
      <c r="E1452" s="26" t="s">
        <v>658</v>
      </c>
      <c r="F1452" s="26" t="s">
        <v>58</v>
      </c>
      <c r="G1452" s="42">
        <f t="shared" ref="G1452:N1454" si="634">G1453</f>
        <v>2284.56</v>
      </c>
      <c r="H1452" s="42">
        <f t="shared" si="634"/>
        <v>2284.56</v>
      </c>
      <c r="I1452" s="42">
        <f t="shared" si="634"/>
        <v>2284.56</v>
      </c>
      <c r="J1452" s="42">
        <f t="shared" si="634"/>
        <v>2284.56</v>
      </c>
      <c r="K1452" s="16">
        <f t="shared" si="615"/>
        <v>0</v>
      </c>
      <c r="L1452" s="42">
        <f t="shared" si="634"/>
        <v>2284.56</v>
      </c>
      <c r="M1452" s="16">
        <f t="shared" si="616"/>
        <v>0</v>
      </c>
      <c r="N1452" s="42">
        <f t="shared" si="634"/>
        <v>2284.56</v>
      </c>
      <c r="O1452" s="16">
        <f t="shared" si="617"/>
        <v>0</v>
      </c>
    </row>
    <row r="1453" spans="1:15" s="3" customFormat="1" ht="25.5">
      <c r="A1453" s="11" t="s">
        <v>592</v>
      </c>
      <c r="B1453" s="26" t="s">
        <v>20</v>
      </c>
      <c r="C1453" s="26" t="s">
        <v>8</v>
      </c>
      <c r="D1453" s="26" t="s">
        <v>53</v>
      </c>
      <c r="E1453" s="26" t="s">
        <v>659</v>
      </c>
      <c r="F1453" s="26" t="s">
        <v>58</v>
      </c>
      <c r="G1453" s="42">
        <f t="shared" si="634"/>
        <v>2284.56</v>
      </c>
      <c r="H1453" s="42">
        <f t="shared" si="634"/>
        <v>2284.56</v>
      </c>
      <c r="I1453" s="42">
        <f t="shared" si="634"/>
        <v>2284.56</v>
      </c>
      <c r="J1453" s="42">
        <f t="shared" si="634"/>
        <v>2284.56</v>
      </c>
      <c r="K1453" s="16">
        <f t="shared" si="615"/>
        <v>0</v>
      </c>
      <c r="L1453" s="42">
        <f t="shared" si="634"/>
        <v>2284.56</v>
      </c>
      <c r="M1453" s="16">
        <f t="shared" si="616"/>
        <v>0</v>
      </c>
      <c r="N1453" s="42">
        <f t="shared" si="634"/>
        <v>2284.56</v>
      </c>
      <c r="O1453" s="16">
        <f t="shared" si="617"/>
        <v>0</v>
      </c>
    </row>
    <row r="1454" spans="1:15" s="3" customFormat="1" ht="25.5">
      <c r="A1454" s="11" t="s">
        <v>108</v>
      </c>
      <c r="B1454" s="26" t="s">
        <v>20</v>
      </c>
      <c r="C1454" s="26" t="s">
        <v>8</v>
      </c>
      <c r="D1454" s="26" t="s">
        <v>53</v>
      </c>
      <c r="E1454" s="26" t="s">
        <v>659</v>
      </c>
      <c r="F1454" s="26" t="s">
        <v>116</v>
      </c>
      <c r="G1454" s="42">
        <f>G1455</f>
        <v>2284.56</v>
      </c>
      <c r="H1454" s="42">
        <f t="shared" si="634"/>
        <v>2284.56</v>
      </c>
      <c r="I1454" s="42">
        <f t="shared" si="634"/>
        <v>2284.56</v>
      </c>
      <c r="J1454" s="42">
        <f>2284.56</f>
        <v>2284.56</v>
      </c>
      <c r="K1454" s="16">
        <f t="shared" si="615"/>
        <v>0</v>
      </c>
      <c r="L1454" s="42">
        <f>2284.56</f>
        <v>2284.56</v>
      </c>
      <c r="M1454" s="16">
        <f t="shared" si="616"/>
        <v>0</v>
      </c>
      <c r="N1454" s="42">
        <f>2284.56</f>
        <v>2284.56</v>
      </c>
      <c r="O1454" s="16">
        <f t="shared" si="617"/>
        <v>0</v>
      </c>
    </row>
    <row r="1455" spans="1:15" s="4" customFormat="1" ht="25.5">
      <c r="A1455" s="12" t="s">
        <v>973</v>
      </c>
      <c r="B1455" s="26" t="s">
        <v>20</v>
      </c>
      <c r="C1455" s="26" t="s">
        <v>8</v>
      </c>
      <c r="D1455" s="26" t="s">
        <v>53</v>
      </c>
      <c r="E1455" s="26" t="s">
        <v>659</v>
      </c>
      <c r="F1455" s="26" t="s">
        <v>1043</v>
      </c>
      <c r="G1455" s="42">
        <f>2284.56</f>
        <v>2284.56</v>
      </c>
      <c r="H1455" s="42">
        <f>2284.56</f>
        <v>2284.56</v>
      </c>
      <c r="I1455" s="42">
        <f>2284.56</f>
        <v>2284.56</v>
      </c>
      <c r="J1455" s="82"/>
      <c r="K1455" s="16">
        <f t="shared" si="615"/>
        <v>-2284.56</v>
      </c>
      <c r="L1455" s="82"/>
      <c r="M1455" s="16">
        <f t="shared" si="616"/>
        <v>-2284.56</v>
      </c>
      <c r="N1455" s="82"/>
      <c r="O1455" s="16">
        <f t="shared" si="617"/>
        <v>-2284.56</v>
      </c>
    </row>
    <row r="1456" spans="1:15" s="3" customFormat="1" ht="25.5">
      <c r="A1456" s="11" t="s">
        <v>527</v>
      </c>
      <c r="B1456" s="26" t="s">
        <v>20</v>
      </c>
      <c r="C1456" s="26" t="s">
        <v>8</v>
      </c>
      <c r="D1456" s="26" t="s">
        <v>53</v>
      </c>
      <c r="E1456" s="26" t="s">
        <v>645</v>
      </c>
      <c r="F1456" s="26" t="s">
        <v>58</v>
      </c>
      <c r="G1456" s="42">
        <f>G1457+G1460+G1463+G1469+G1472</f>
        <v>204808.96000000002</v>
      </c>
      <c r="H1456" s="42">
        <f>H1457+H1460+H1463+H1469+H1472</f>
        <v>192879.94</v>
      </c>
      <c r="I1456" s="42">
        <f>I1457+I1460+I1463+I1469+I1472</f>
        <v>192879.94</v>
      </c>
      <c r="J1456" s="42">
        <f>J1457+J1460+J1463+J1469+J1472</f>
        <v>204808.96000000002</v>
      </c>
      <c r="K1456" s="16">
        <f t="shared" si="615"/>
        <v>0</v>
      </c>
      <c r="L1456" s="42">
        <f>L1457+L1460+L1463+L1469+L1472</f>
        <v>192879.94</v>
      </c>
      <c r="M1456" s="16">
        <f t="shared" si="616"/>
        <v>0</v>
      </c>
      <c r="N1456" s="42">
        <f>N1457+N1460+N1463+N1469+N1472</f>
        <v>192879.94</v>
      </c>
      <c r="O1456" s="16">
        <f t="shared" si="617"/>
        <v>0</v>
      </c>
    </row>
    <row r="1457" spans="1:15" s="3" customFormat="1" ht="25.5">
      <c r="A1457" s="11" t="s">
        <v>247</v>
      </c>
      <c r="B1457" s="26" t="s">
        <v>20</v>
      </c>
      <c r="C1457" s="26" t="s">
        <v>8</v>
      </c>
      <c r="D1457" s="26" t="s">
        <v>53</v>
      </c>
      <c r="E1457" s="26" t="s">
        <v>660</v>
      </c>
      <c r="F1457" s="26" t="s">
        <v>58</v>
      </c>
      <c r="G1457" s="42">
        <f>G1458</f>
        <v>10982.05</v>
      </c>
      <c r="H1457" s="42">
        <f>H1458</f>
        <v>10984.23</v>
      </c>
      <c r="I1457" s="42">
        <f>I1458</f>
        <v>10984.23</v>
      </c>
      <c r="J1457" s="42">
        <f>J1458</f>
        <v>10982.05</v>
      </c>
      <c r="K1457" s="16">
        <f t="shared" si="615"/>
        <v>0</v>
      </c>
      <c r="L1457" s="42">
        <f>L1458</f>
        <v>10984.23</v>
      </c>
      <c r="M1457" s="16">
        <f t="shared" si="616"/>
        <v>0</v>
      </c>
      <c r="N1457" s="42">
        <f>N1458</f>
        <v>10984.23</v>
      </c>
      <c r="O1457" s="16">
        <f t="shared" si="617"/>
        <v>0</v>
      </c>
    </row>
    <row r="1458" spans="1:15" s="3" customFormat="1">
      <c r="A1458" s="13" t="s">
        <v>92</v>
      </c>
      <c r="B1458" s="26" t="s">
        <v>20</v>
      </c>
      <c r="C1458" s="26" t="s">
        <v>8</v>
      </c>
      <c r="D1458" s="26" t="s">
        <v>53</v>
      </c>
      <c r="E1458" s="26" t="s">
        <v>660</v>
      </c>
      <c r="F1458" s="26" t="s">
        <v>138</v>
      </c>
      <c r="G1458" s="42">
        <f>G1459</f>
        <v>10982.05</v>
      </c>
      <c r="H1458" s="42">
        <f t="shared" ref="H1458:I1458" si="635">H1459</f>
        <v>10984.23</v>
      </c>
      <c r="I1458" s="42">
        <f t="shared" si="635"/>
        <v>10984.23</v>
      </c>
      <c r="J1458" s="42">
        <f>10982.05</f>
        <v>10982.05</v>
      </c>
      <c r="K1458" s="16">
        <f t="shared" si="615"/>
        <v>0</v>
      </c>
      <c r="L1458" s="42">
        <f>10984.23</f>
        <v>10984.23</v>
      </c>
      <c r="M1458" s="16">
        <f t="shared" si="616"/>
        <v>0</v>
      </c>
      <c r="N1458" s="42">
        <f>10984.23</f>
        <v>10984.23</v>
      </c>
      <c r="O1458" s="16">
        <f t="shared" si="617"/>
        <v>0</v>
      </c>
    </row>
    <row r="1459" spans="1:15" s="4" customFormat="1" ht="38.25">
      <c r="A1459" s="12" t="s">
        <v>1015</v>
      </c>
      <c r="B1459" s="26" t="s">
        <v>20</v>
      </c>
      <c r="C1459" s="26" t="s">
        <v>8</v>
      </c>
      <c r="D1459" s="26" t="s">
        <v>53</v>
      </c>
      <c r="E1459" s="26" t="s">
        <v>660</v>
      </c>
      <c r="F1459" s="26" t="s">
        <v>67</v>
      </c>
      <c r="G1459" s="42">
        <f>10982.05</f>
        <v>10982.05</v>
      </c>
      <c r="H1459" s="42">
        <f>10984.23</f>
        <v>10984.23</v>
      </c>
      <c r="I1459" s="42">
        <f>10984.23</f>
        <v>10984.23</v>
      </c>
      <c r="J1459" s="82"/>
      <c r="K1459" s="16">
        <f t="shared" si="615"/>
        <v>-10982.05</v>
      </c>
      <c r="L1459" s="82"/>
      <c r="M1459" s="16">
        <f t="shared" si="616"/>
        <v>-10984.23</v>
      </c>
      <c r="N1459" s="82"/>
      <c r="O1459" s="16">
        <f t="shared" si="617"/>
        <v>-10984.23</v>
      </c>
    </row>
    <row r="1460" spans="1:15" s="3" customFormat="1" ht="25.5">
      <c r="A1460" s="11" t="s">
        <v>897</v>
      </c>
      <c r="B1460" s="26" t="s">
        <v>20</v>
      </c>
      <c r="C1460" s="26" t="s">
        <v>8</v>
      </c>
      <c r="D1460" s="26" t="s">
        <v>53</v>
      </c>
      <c r="E1460" s="26" t="s">
        <v>661</v>
      </c>
      <c r="F1460" s="26" t="s">
        <v>58</v>
      </c>
      <c r="G1460" s="42">
        <f>G1461</f>
        <v>109804.48</v>
      </c>
      <c r="H1460" s="42">
        <f t="shared" ref="H1460:N1461" si="636">H1461</f>
        <v>105492.62</v>
      </c>
      <c r="I1460" s="42">
        <f t="shared" si="636"/>
        <v>105492.62</v>
      </c>
      <c r="J1460" s="42">
        <f>J1461</f>
        <v>109804.48</v>
      </c>
      <c r="K1460" s="16">
        <f t="shared" si="615"/>
        <v>0</v>
      </c>
      <c r="L1460" s="42">
        <f t="shared" si="636"/>
        <v>105492.62</v>
      </c>
      <c r="M1460" s="16">
        <f t="shared" si="616"/>
        <v>0</v>
      </c>
      <c r="N1460" s="42">
        <f t="shared" si="636"/>
        <v>105492.62</v>
      </c>
      <c r="O1460" s="16">
        <f t="shared" si="617"/>
        <v>0</v>
      </c>
    </row>
    <row r="1461" spans="1:15" s="3" customFormat="1" ht="25.5">
      <c r="A1461" s="11" t="s">
        <v>108</v>
      </c>
      <c r="B1461" s="26" t="s">
        <v>20</v>
      </c>
      <c r="C1461" s="26" t="s">
        <v>8</v>
      </c>
      <c r="D1461" s="26" t="s">
        <v>53</v>
      </c>
      <c r="E1461" s="26" t="s">
        <v>661</v>
      </c>
      <c r="F1461" s="26" t="s">
        <v>116</v>
      </c>
      <c r="G1461" s="42">
        <f>G1462</f>
        <v>109804.48</v>
      </c>
      <c r="H1461" s="42">
        <f t="shared" si="636"/>
        <v>105492.62</v>
      </c>
      <c r="I1461" s="42">
        <f t="shared" si="636"/>
        <v>105492.62</v>
      </c>
      <c r="J1461" s="42">
        <f>103864.48+5940</f>
        <v>109804.48</v>
      </c>
      <c r="K1461" s="16">
        <f t="shared" si="615"/>
        <v>0</v>
      </c>
      <c r="L1461" s="42">
        <f>100112.62+5380</f>
        <v>105492.62</v>
      </c>
      <c r="M1461" s="16">
        <f t="shared" si="616"/>
        <v>0</v>
      </c>
      <c r="N1461" s="42">
        <f>100112.62+5380</f>
        <v>105492.62</v>
      </c>
      <c r="O1461" s="16">
        <f t="shared" si="617"/>
        <v>0</v>
      </c>
    </row>
    <row r="1462" spans="1:15" s="3" customFormat="1" ht="25.5">
      <c r="A1462" s="12" t="s">
        <v>973</v>
      </c>
      <c r="B1462" s="26" t="s">
        <v>20</v>
      </c>
      <c r="C1462" s="26" t="s">
        <v>8</v>
      </c>
      <c r="D1462" s="26" t="s">
        <v>53</v>
      </c>
      <c r="E1462" s="26" t="s">
        <v>661</v>
      </c>
      <c r="F1462" s="26" t="s">
        <v>1043</v>
      </c>
      <c r="G1462" s="42">
        <f>103864.48+5940</f>
        <v>109804.48</v>
      </c>
      <c r="H1462" s="42">
        <f>100112.62+5380</f>
        <v>105492.62</v>
      </c>
      <c r="I1462" s="42">
        <f>100112.62+5380</f>
        <v>105492.62</v>
      </c>
      <c r="J1462" s="42"/>
      <c r="K1462" s="16"/>
      <c r="L1462" s="42"/>
      <c r="M1462" s="16"/>
      <c r="N1462" s="42"/>
      <c r="O1462" s="16"/>
    </row>
    <row r="1463" spans="1:15" s="3" customFormat="1" ht="25.5">
      <c r="A1463" s="11" t="s">
        <v>158</v>
      </c>
      <c r="B1463" s="26" t="s">
        <v>20</v>
      </c>
      <c r="C1463" s="26" t="s">
        <v>8</v>
      </c>
      <c r="D1463" s="26" t="s">
        <v>53</v>
      </c>
      <c r="E1463" s="26" t="s">
        <v>646</v>
      </c>
      <c r="F1463" s="26" t="s">
        <v>58</v>
      </c>
      <c r="G1463" s="42">
        <f>G1464+G1468+G1466</f>
        <v>21562.67</v>
      </c>
      <c r="H1463" s="42">
        <f>H1464+H1468</f>
        <v>19405.34</v>
      </c>
      <c r="I1463" s="42">
        <f>I1464+I1468</f>
        <v>19405.34</v>
      </c>
      <c r="J1463" s="42">
        <f>J1464+J1468+J1466</f>
        <v>21562.67</v>
      </c>
      <c r="K1463" s="16">
        <f t="shared" si="615"/>
        <v>0</v>
      </c>
      <c r="L1463" s="42">
        <f>L1464+L1468</f>
        <v>19405.34</v>
      </c>
      <c r="M1463" s="16">
        <f t="shared" si="616"/>
        <v>0</v>
      </c>
      <c r="N1463" s="42">
        <f>N1464+N1468</f>
        <v>19405.34</v>
      </c>
      <c r="O1463" s="16">
        <f t="shared" si="617"/>
        <v>0</v>
      </c>
    </row>
    <row r="1464" spans="1:15" s="3" customFormat="1" ht="25.5">
      <c r="A1464" s="11" t="s">
        <v>108</v>
      </c>
      <c r="B1464" s="26" t="s">
        <v>20</v>
      </c>
      <c r="C1464" s="26" t="s">
        <v>8</v>
      </c>
      <c r="D1464" s="26" t="s">
        <v>53</v>
      </c>
      <c r="E1464" s="26" t="s">
        <v>646</v>
      </c>
      <c r="F1464" s="26" t="s">
        <v>116</v>
      </c>
      <c r="G1464" s="42">
        <f>G1465</f>
        <v>19955.03</v>
      </c>
      <c r="H1464" s="42">
        <f t="shared" ref="H1464:I1464" si="637">H1465</f>
        <v>19255.34</v>
      </c>
      <c r="I1464" s="42">
        <f t="shared" si="637"/>
        <v>19255.34</v>
      </c>
      <c r="J1464" s="42">
        <f>21562.67-1607.64</f>
        <v>19955.03</v>
      </c>
      <c r="K1464" s="16">
        <f t="shared" si="615"/>
        <v>0</v>
      </c>
      <c r="L1464" s="42">
        <f>19255.34</f>
        <v>19255.34</v>
      </c>
      <c r="M1464" s="16">
        <f t="shared" si="616"/>
        <v>0</v>
      </c>
      <c r="N1464" s="42">
        <f>19255.34</f>
        <v>19255.34</v>
      </c>
      <c r="O1464" s="16">
        <f t="shared" si="617"/>
        <v>0</v>
      </c>
    </row>
    <row r="1465" spans="1:15" s="4" customFormat="1" ht="25.5">
      <c r="A1465" s="12" t="s">
        <v>973</v>
      </c>
      <c r="B1465" s="26" t="s">
        <v>20</v>
      </c>
      <c r="C1465" s="26" t="s">
        <v>8</v>
      </c>
      <c r="D1465" s="26" t="s">
        <v>53</v>
      </c>
      <c r="E1465" s="26" t="s">
        <v>646</v>
      </c>
      <c r="F1465" s="26" t="s">
        <v>1043</v>
      </c>
      <c r="G1465" s="42">
        <f>21562.67-1607.64</f>
        <v>19955.03</v>
      </c>
      <c r="H1465" s="42">
        <f>19255.34</f>
        <v>19255.34</v>
      </c>
      <c r="I1465" s="42">
        <f>19255.34</f>
        <v>19255.34</v>
      </c>
      <c r="J1465" s="82"/>
      <c r="K1465" s="16">
        <f t="shared" si="615"/>
        <v>-19955.03</v>
      </c>
      <c r="L1465" s="82"/>
      <c r="M1465" s="16">
        <f t="shared" si="616"/>
        <v>-19255.34</v>
      </c>
      <c r="N1465" s="82"/>
      <c r="O1465" s="16">
        <f t="shared" si="617"/>
        <v>-19255.34</v>
      </c>
    </row>
    <row r="1466" spans="1:15" s="3" customFormat="1">
      <c r="A1466" s="76" t="s">
        <v>21</v>
      </c>
      <c r="B1466" s="26" t="s">
        <v>20</v>
      </c>
      <c r="C1466" s="26" t="s">
        <v>8</v>
      </c>
      <c r="D1466" s="26" t="s">
        <v>53</v>
      </c>
      <c r="E1466" s="26" t="s">
        <v>646</v>
      </c>
      <c r="F1466" s="26" t="s">
        <v>103</v>
      </c>
      <c r="G1466" s="42">
        <f>G1467</f>
        <v>1607.64</v>
      </c>
      <c r="H1466" s="42">
        <f t="shared" ref="H1466:I1466" si="638">H1467</f>
        <v>0</v>
      </c>
      <c r="I1466" s="42">
        <f t="shared" si="638"/>
        <v>0</v>
      </c>
      <c r="J1466" s="42">
        <f>1607.64</f>
        <v>1607.64</v>
      </c>
      <c r="K1466" s="16">
        <f t="shared" si="615"/>
        <v>0</v>
      </c>
      <c r="L1466" s="42">
        <v>0</v>
      </c>
      <c r="M1466" s="16">
        <f t="shared" si="616"/>
        <v>0</v>
      </c>
      <c r="N1466" s="42">
        <v>0</v>
      </c>
      <c r="O1466" s="16">
        <f t="shared" si="617"/>
        <v>0</v>
      </c>
    </row>
    <row r="1467" spans="1:15" s="4" customFormat="1" ht="25.5">
      <c r="A1467" s="12" t="s">
        <v>987</v>
      </c>
      <c r="B1467" s="26" t="s">
        <v>20</v>
      </c>
      <c r="C1467" s="26" t="s">
        <v>8</v>
      </c>
      <c r="D1467" s="26" t="s">
        <v>53</v>
      </c>
      <c r="E1467" s="26" t="s">
        <v>646</v>
      </c>
      <c r="F1467" s="26" t="s">
        <v>1052</v>
      </c>
      <c r="G1467" s="42">
        <f>1607.64</f>
        <v>1607.64</v>
      </c>
      <c r="H1467" s="42">
        <v>0</v>
      </c>
      <c r="I1467" s="42">
        <v>0</v>
      </c>
      <c r="J1467" s="82"/>
      <c r="K1467" s="16">
        <f t="shared" si="615"/>
        <v>-1607.64</v>
      </c>
      <c r="L1467" s="82"/>
      <c r="M1467" s="16">
        <f t="shared" si="616"/>
        <v>0</v>
      </c>
      <c r="N1467" s="82"/>
      <c r="O1467" s="16">
        <f t="shared" si="617"/>
        <v>0</v>
      </c>
    </row>
    <row r="1468" spans="1:15" s="3" customFormat="1">
      <c r="A1468" s="11" t="s">
        <v>99</v>
      </c>
      <c r="B1468" s="26" t="s">
        <v>20</v>
      </c>
      <c r="C1468" s="26" t="s">
        <v>8</v>
      </c>
      <c r="D1468" s="26" t="s">
        <v>53</v>
      </c>
      <c r="E1468" s="26" t="s">
        <v>646</v>
      </c>
      <c r="F1468" s="26" t="s">
        <v>105</v>
      </c>
      <c r="G1468" s="42">
        <v>0</v>
      </c>
      <c r="H1468" s="42">
        <f>150</f>
        <v>150</v>
      </c>
      <c r="I1468" s="42">
        <f>150</f>
        <v>150</v>
      </c>
      <c r="J1468" s="42">
        <v>0</v>
      </c>
      <c r="K1468" s="16">
        <f t="shared" ref="K1468:K1530" si="639">J1468-G1468</f>
        <v>0</v>
      </c>
      <c r="L1468" s="42">
        <f>150</f>
        <v>150</v>
      </c>
      <c r="M1468" s="16">
        <f t="shared" ref="M1468:M1530" si="640">L1468-H1468</f>
        <v>0</v>
      </c>
      <c r="N1468" s="42">
        <f>150</f>
        <v>150</v>
      </c>
      <c r="O1468" s="16">
        <f t="shared" ref="O1468:O1530" si="641">N1468-I1468</f>
        <v>0</v>
      </c>
    </row>
    <row r="1469" spans="1:15" s="3" customFormat="1" ht="25.5">
      <c r="A1469" s="31" t="s">
        <v>159</v>
      </c>
      <c r="B1469" s="26" t="s">
        <v>20</v>
      </c>
      <c r="C1469" s="26" t="s">
        <v>8</v>
      </c>
      <c r="D1469" s="26" t="s">
        <v>53</v>
      </c>
      <c r="E1469" s="26" t="s">
        <v>647</v>
      </c>
      <c r="F1469" s="26" t="s">
        <v>58</v>
      </c>
      <c r="G1469" s="42">
        <f>G1470</f>
        <v>25550</v>
      </c>
      <c r="H1469" s="42">
        <f t="shared" ref="H1469:N1470" si="642">H1470</f>
        <v>42159.69</v>
      </c>
      <c r="I1469" s="42">
        <f t="shared" si="642"/>
        <v>42159.69</v>
      </c>
      <c r="J1469" s="42">
        <f>J1470</f>
        <v>25550</v>
      </c>
      <c r="K1469" s="16">
        <f t="shared" si="639"/>
        <v>0</v>
      </c>
      <c r="L1469" s="42">
        <f t="shared" si="642"/>
        <v>42159.69</v>
      </c>
      <c r="M1469" s="16">
        <f t="shared" si="640"/>
        <v>0</v>
      </c>
      <c r="N1469" s="42">
        <f t="shared" si="642"/>
        <v>42159.69</v>
      </c>
      <c r="O1469" s="16">
        <f t="shared" si="641"/>
        <v>0</v>
      </c>
    </row>
    <row r="1470" spans="1:15" s="3" customFormat="1" ht="25.5">
      <c r="A1470" s="11" t="s">
        <v>108</v>
      </c>
      <c r="B1470" s="26" t="s">
        <v>20</v>
      </c>
      <c r="C1470" s="26" t="s">
        <v>8</v>
      </c>
      <c r="D1470" s="26" t="s">
        <v>53</v>
      </c>
      <c r="E1470" s="26" t="s">
        <v>647</v>
      </c>
      <c r="F1470" s="26" t="s">
        <v>116</v>
      </c>
      <c r="G1470" s="42">
        <f>G1471</f>
        <v>25550</v>
      </c>
      <c r="H1470" s="42">
        <f t="shared" si="642"/>
        <v>42159.69</v>
      </c>
      <c r="I1470" s="42">
        <f t="shared" si="642"/>
        <v>42159.69</v>
      </c>
      <c r="J1470" s="42">
        <v>25550</v>
      </c>
      <c r="K1470" s="16">
        <f t="shared" si="639"/>
        <v>0</v>
      </c>
      <c r="L1470" s="42">
        <f>42159.69</f>
        <v>42159.69</v>
      </c>
      <c r="M1470" s="16">
        <f t="shared" si="640"/>
        <v>0</v>
      </c>
      <c r="N1470" s="42">
        <f>42159.69</f>
        <v>42159.69</v>
      </c>
      <c r="O1470" s="16">
        <f t="shared" si="641"/>
        <v>0</v>
      </c>
    </row>
    <row r="1471" spans="1:15" s="4" customFormat="1" ht="25.5">
      <c r="A1471" s="12" t="s">
        <v>973</v>
      </c>
      <c r="B1471" s="26" t="s">
        <v>20</v>
      </c>
      <c r="C1471" s="26" t="s">
        <v>8</v>
      </c>
      <c r="D1471" s="26" t="s">
        <v>53</v>
      </c>
      <c r="E1471" s="26" t="s">
        <v>647</v>
      </c>
      <c r="F1471" s="26" t="s">
        <v>1043</v>
      </c>
      <c r="G1471" s="42">
        <v>25550</v>
      </c>
      <c r="H1471" s="42">
        <f>42159.69</f>
        <v>42159.69</v>
      </c>
      <c r="I1471" s="42">
        <f>42159.69</f>
        <v>42159.69</v>
      </c>
      <c r="J1471" s="82"/>
      <c r="K1471" s="16">
        <f t="shared" si="639"/>
        <v>-25550</v>
      </c>
      <c r="L1471" s="82"/>
      <c r="M1471" s="16">
        <f t="shared" si="640"/>
        <v>-42159.69</v>
      </c>
      <c r="N1471" s="82"/>
      <c r="O1471" s="16">
        <f t="shared" si="641"/>
        <v>-42159.69</v>
      </c>
    </row>
    <row r="1472" spans="1:15" s="3" customFormat="1" ht="63.75">
      <c r="A1472" s="11" t="s">
        <v>591</v>
      </c>
      <c r="B1472" s="26" t="s">
        <v>20</v>
      </c>
      <c r="C1472" s="26" t="s">
        <v>8</v>
      </c>
      <c r="D1472" s="26" t="s">
        <v>53</v>
      </c>
      <c r="E1472" s="26" t="s">
        <v>662</v>
      </c>
      <c r="F1472" s="26" t="s">
        <v>58</v>
      </c>
      <c r="G1472" s="42">
        <f>G1473</f>
        <v>36909.760000000002</v>
      </c>
      <c r="H1472" s="42">
        <f>H1473</f>
        <v>14838.06</v>
      </c>
      <c r="I1472" s="42">
        <f>I1473</f>
        <v>14838.06</v>
      </c>
      <c r="J1472" s="42">
        <f>J1473</f>
        <v>36909.760000000002</v>
      </c>
      <c r="K1472" s="16">
        <f t="shared" si="639"/>
        <v>0</v>
      </c>
      <c r="L1472" s="42">
        <f>L1473</f>
        <v>14838.06</v>
      </c>
      <c r="M1472" s="16">
        <f t="shared" si="640"/>
        <v>0</v>
      </c>
      <c r="N1472" s="42">
        <f>N1473</f>
        <v>14838.06</v>
      </c>
      <c r="O1472" s="16">
        <f t="shared" si="641"/>
        <v>0</v>
      </c>
    </row>
    <row r="1473" spans="1:15" s="3" customFormat="1" ht="25.5">
      <c r="A1473" s="11" t="s">
        <v>108</v>
      </c>
      <c r="B1473" s="26" t="s">
        <v>20</v>
      </c>
      <c r="C1473" s="26" t="s">
        <v>8</v>
      </c>
      <c r="D1473" s="26" t="s">
        <v>53</v>
      </c>
      <c r="E1473" s="26" t="s">
        <v>662</v>
      </c>
      <c r="F1473" s="26" t="s">
        <v>116</v>
      </c>
      <c r="G1473" s="42">
        <f>G1474</f>
        <v>36909.760000000002</v>
      </c>
      <c r="H1473" s="42">
        <f t="shared" ref="H1473:I1473" si="643">H1474</f>
        <v>14838.06</v>
      </c>
      <c r="I1473" s="42">
        <f t="shared" si="643"/>
        <v>14838.06</v>
      </c>
      <c r="J1473" s="42">
        <f>36909.76</f>
        <v>36909.760000000002</v>
      </c>
      <c r="K1473" s="16">
        <f t="shared" si="639"/>
        <v>0</v>
      </c>
      <c r="L1473" s="42">
        <f>14838.06</f>
        <v>14838.06</v>
      </c>
      <c r="M1473" s="16">
        <f t="shared" si="640"/>
        <v>0</v>
      </c>
      <c r="N1473" s="42">
        <f>14838.06</f>
        <v>14838.06</v>
      </c>
      <c r="O1473" s="16">
        <f t="shared" si="641"/>
        <v>0</v>
      </c>
    </row>
    <row r="1474" spans="1:15" s="4" customFormat="1" ht="25.5">
      <c r="A1474" s="12" t="s">
        <v>973</v>
      </c>
      <c r="B1474" s="26" t="s">
        <v>20</v>
      </c>
      <c r="C1474" s="26" t="s">
        <v>8</v>
      </c>
      <c r="D1474" s="26" t="s">
        <v>53</v>
      </c>
      <c r="E1474" s="26" t="s">
        <v>662</v>
      </c>
      <c r="F1474" s="26" t="s">
        <v>1043</v>
      </c>
      <c r="G1474" s="42">
        <f>36909.76</f>
        <v>36909.760000000002</v>
      </c>
      <c r="H1474" s="42">
        <f>14838.06</f>
        <v>14838.06</v>
      </c>
      <c r="I1474" s="42">
        <f>14838.06</f>
        <v>14838.06</v>
      </c>
      <c r="J1474" s="82"/>
      <c r="K1474" s="16">
        <f t="shared" si="639"/>
        <v>-36909.760000000002</v>
      </c>
      <c r="L1474" s="82"/>
      <c r="M1474" s="16">
        <f t="shared" si="640"/>
        <v>-14838.06</v>
      </c>
      <c r="N1474" s="82"/>
      <c r="O1474" s="16">
        <f t="shared" si="641"/>
        <v>-14838.06</v>
      </c>
    </row>
    <row r="1475" spans="1:15" s="3" customFormat="1" ht="25.5">
      <c r="A1475" s="11" t="s">
        <v>757</v>
      </c>
      <c r="B1475" s="36" t="s">
        <v>20</v>
      </c>
      <c r="C1475" s="36" t="s">
        <v>8</v>
      </c>
      <c r="D1475" s="36" t="s">
        <v>53</v>
      </c>
      <c r="E1475" s="36" t="s">
        <v>342</v>
      </c>
      <c r="F1475" s="36" t="s">
        <v>58</v>
      </c>
      <c r="G1475" s="44">
        <f t="shared" ref="G1475:N1479" si="644">G1476</f>
        <v>3761.68</v>
      </c>
      <c r="H1475" s="44">
        <f t="shared" si="644"/>
        <v>3385.52</v>
      </c>
      <c r="I1475" s="44">
        <f t="shared" si="644"/>
        <v>3385.52</v>
      </c>
      <c r="J1475" s="44">
        <f t="shared" si="644"/>
        <v>3761.68</v>
      </c>
      <c r="K1475" s="16">
        <f t="shared" si="639"/>
        <v>0</v>
      </c>
      <c r="L1475" s="44">
        <f t="shared" si="644"/>
        <v>3385.52</v>
      </c>
      <c r="M1475" s="16">
        <f t="shared" si="640"/>
        <v>0</v>
      </c>
      <c r="N1475" s="44">
        <f t="shared" si="644"/>
        <v>3385.52</v>
      </c>
      <c r="O1475" s="16">
        <f t="shared" si="641"/>
        <v>0</v>
      </c>
    </row>
    <row r="1476" spans="1:15" s="3" customFormat="1" ht="38.25">
      <c r="A1476" s="34" t="s">
        <v>758</v>
      </c>
      <c r="B1476" s="36" t="s">
        <v>20</v>
      </c>
      <c r="C1476" s="36" t="s">
        <v>8</v>
      </c>
      <c r="D1476" s="36" t="s">
        <v>53</v>
      </c>
      <c r="E1476" s="36" t="s">
        <v>343</v>
      </c>
      <c r="F1476" s="36" t="s">
        <v>58</v>
      </c>
      <c r="G1476" s="44">
        <f t="shared" si="644"/>
        <v>3761.68</v>
      </c>
      <c r="H1476" s="44">
        <f t="shared" si="644"/>
        <v>3385.52</v>
      </c>
      <c r="I1476" s="44">
        <f t="shared" si="644"/>
        <v>3385.52</v>
      </c>
      <c r="J1476" s="44">
        <f t="shared" si="644"/>
        <v>3761.68</v>
      </c>
      <c r="K1476" s="16">
        <f t="shared" si="639"/>
        <v>0</v>
      </c>
      <c r="L1476" s="44">
        <f t="shared" si="644"/>
        <v>3385.52</v>
      </c>
      <c r="M1476" s="16">
        <f t="shared" si="640"/>
        <v>0</v>
      </c>
      <c r="N1476" s="44">
        <f t="shared" si="644"/>
        <v>3385.52</v>
      </c>
      <c r="O1476" s="16">
        <f t="shared" si="641"/>
        <v>0</v>
      </c>
    </row>
    <row r="1477" spans="1:15" s="3" customFormat="1" ht="25.5">
      <c r="A1477" s="34" t="s">
        <v>528</v>
      </c>
      <c r="B1477" s="36" t="s">
        <v>20</v>
      </c>
      <c r="C1477" s="36" t="s">
        <v>8</v>
      </c>
      <c r="D1477" s="36" t="s">
        <v>53</v>
      </c>
      <c r="E1477" s="36" t="s">
        <v>529</v>
      </c>
      <c r="F1477" s="36" t="s">
        <v>58</v>
      </c>
      <c r="G1477" s="44">
        <f t="shared" si="644"/>
        <v>3761.68</v>
      </c>
      <c r="H1477" s="44">
        <f t="shared" si="644"/>
        <v>3385.52</v>
      </c>
      <c r="I1477" s="44">
        <f t="shared" si="644"/>
        <v>3385.52</v>
      </c>
      <c r="J1477" s="44">
        <f t="shared" si="644"/>
        <v>3761.68</v>
      </c>
      <c r="K1477" s="16">
        <f t="shared" si="639"/>
        <v>0</v>
      </c>
      <c r="L1477" s="44">
        <f t="shared" si="644"/>
        <v>3385.52</v>
      </c>
      <c r="M1477" s="16">
        <f t="shared" si="640"/>
        <v>0</v>
      </c>
      <c r="N1477" s="44">
        <f t="shared" si="644"/>
        <v>3385.52</v>
      </c>
      <c r="O1477" s="16">
        <f t="shared" si="641"/>
        <v>0</v>
      </c>
    </row>
    <row r="1478" spans="1:15" s="3" customFormat="1" ht="25.5">
      <c r="A1478" s="12" t="s">
        <v>174</v>
      </c>
      <c r="B1478" s="26" t="s">
        <v>20</v>
      </c>
      <c r="C1478" s="26" t="s">
        <v>8</v>
      </c>
      <c r="D1478" s="26" t="s">
        <v>53</v>
      </c>
      <c r="E1478" s="26" t="s">
        <v>530</v>
      </c>
      <c r="F1478" s="26" t="s">
        <v>58</v>
      </c>
      <c r="G1478" s="45">
        <f t="shared" si="644"/>
        <v>3761.68</v>
      </c>
      <c r="H1478" s="45">
        <f t="shared" si="644"/>
        <v>3385.52</v>
      </c>
      <c r="I1478" s="45">
        <f t="shared" si="644"/>
        <v>3385.52</v>
      </c>
      <c r="J1478" s="45">
        <f t="shared" si="644"/>
        <v>3761.68</v>
      </c>
      <c r="K1478" s="16">
        <f t="shared" si="639"/>
        <v>0</v>
      </c>
      <c r="L1478" s="45">
        <f t="shared" si="644"/>
        <v>3385.52</v>
      </c>
      <c r="M1478" s="16">
        <f t="shared" si="640"/>
        <v>0</v>
      </c>
      <c r="N1478" s="45">
        <f t="shared" si="644"/>
        <v>3385.52</v>
      </c>
      <c r="O1478" s="16">
        <f t="shared" si="641"/>
        <v>0</v>
      </c>
    </row>
    <row r="1479" spans="1:15" s="3" customFormat="1" ht="25.5">
      <c r="A1479" s="11" t="s">
        <v>108</v>
      </c>
      <c r="B1479" s="26" t="s">
        <v>20</v>
      </c>
      <c r="C1479" s="26" t="s">
        <v>8</v>
      </c>
      <c r="D1479" s="26" t="s">
        <v>53</v>
      </c>
      <c r="E1479" s="26" t="s">
        <v>530</v>
      </c>
      <c r="F1479" s="26" t="s">
        <v>116</v>
      </c>
      <c r="G1479" s="45">
        <f>G1480</f>
        <v>3761.68</v>
      </c>
      <c r="H1479" s="45">
        <f t="shared" si="644"/>
        <v>3385.52</v>
      </c>
      <c r="I1479" s="45">
        <f t="shared" si="644"/>
        <v>3385.52</v>
      </c>
      <c r="J1479" s="45">
        <f>3761.68</f>
        <v>3761.68</v>
      </c>
      <c r="K1479" s="16">
        <f t="shared" si="639"/>
        <v>0</v>
      </c>
      <c r="L1479" s="45">
        <f>3385.52</f>
        <v>3385.52</v>
      </c>
      <c r="M1479" s="16">
        <f t="shared" si="640"/>
        <v>0</v>
      </c>
      <c r="N1479" s="45">
        <f>3385.52</f>
        <v>3385.52</v>
      </c>
      <c r="O1479" s="16">
        <f t="shared" si="641"/>
        <v>0</v>
      </c>
    </row>
    <row r="1480" spans="1:15" s="4" customFormat="1" ht="25.5">
      <c r="A1480" s="12" t="s">
        <v>973</v>
      </c>
      <c r="B1480" s="26" t="s">
        <v>20</v>
      </c>
      <c r="C1480" s="26" t="s">
        <v>8</v>
      </c>
      <c r="D1480" s="26" t="s">
        <v>53</v>
      </c>
      <c r="E1480" s="26" t="s">
        <v>530</v>
      </c>
      <c r="F1480" s="26" t="s">
        <v>1043</v>
      </c>
      <c r="G1480" s="45">
        <f>3761.68</f>
        <v>3761.68</v>
      </c>
      <c r="H1480" s="45">
        <f>3385.52</f>
        <v>3385.52</v>
      </c>
      <c r="I1480" s="45">
        <f>3385.52</f>
        <v>3385.52</v>
      </c>
      <c r="J1480" s="84"/>
      <c r="K1480" s="16">
        <f t="shared" si="639"/>
        <v>-3761.68</v>
      </c>
      <c r="L1480" s="84"/>
      <c r="M1480" s="16">
        <f t="shared" si="640"/>
        <v>-3385.52</v>
      </c>
      <c r="N1480" s="84"/>
      <c r="O1480" s="16">
        <f t="shared" si="641"/>
        <v>-3385.52</v>
      </c>
    </row>
    <row r="1481" spans="1:15" s="3" customFormat="1" ht="16.899999999999999" customHeight="1">
      <c r="A1481" s="21" t="s">
        <v>3</v>
      </c>
      <c r="B1481" s="22" t="s">
        <v>20</v>
      </c>
      <c r="C1481" s="23" t="s">
        <v>8</v>
      </c>
      <c r="D1481" s="23" t="s">
        <v>8</v>
      </c>
      <c r="E1481" s="23" t="s">
        <v>196</v>
      </c>
      <c r="F1481" s="23" t="s">
        <v>58</v>
      </c>
      <c r="G1481" s="24">
        <f>G1482+G1488</f>
        <v>57206.799999999996</v>
      </c>
      <c r="H1481" s="24">
        <f>H1482+H1488</f>
        <v>56135.03</v>
      </c>
      <c r="I1481" s="24">
        <f>I1482+I1488</f>
        <v>56135.03</v>
      </c>
      <c r="J1481" s="24">
        <f>J1482+J1488</f>
        <v>57206.799999999996</v>
      </c>
      <c r="K1481" s="16">
        <f t="shared" si="639"/>
        <v>0</v>
      </c>
      <c r="L1481" s="24">
        <f>L1482+L1488</f>
        <v>56135.03</v>
      </c>
      <c r="M1481" s="16">
        <f t="shared" si="640"/>
        <v>0</v>
      </c>
      <c r="N1481" s="24">
        <f>N1482+N1488</f>
        <v>56135.03</v>
      </c>
      <c r="O1481" s="16">
        <f t="shared" si="641"/>
        <v>0</v>
      </c>
    </row>
    <row r="1482" spans="1:15" s="3" customFormat="1" ht="25.5">
      <c r="A1482" s="11" t="s">
        <v>736</v>
      </c>
      <c r="B1482" s="25" t="s">
        <v>20</v>
      </c>
      <c r="C1482" s="26" t="s">
        <v>8</v>
      </c>
      <c r="D1482" s="26" t="s">
        <v>8</v>
      </c>
      <c r="E1482" s="43" t="s">
        <v>737</v>
      </c>
      <c r="F1482" s="26" t="s">
        <v>58</v>
      </c>
      <c r="G1482" s="27">
        <f>G1483</f>
        <v>1100</v>
      </c>
      <c r="H1482" s="27">
        <f>H1484</f>
        <v>0</v>
      </c>
      <c r="I1482" s="27">
        <f>I1484</f>
        <v>0</v>
      </c>
      <c r="J1482" s="27">
        <f>J1483</f>
        <v>1100</v>
      </c>
      <c r="K1482" s="16">
        <f t="shared" si="639"/>
        <v>0</v>
      </c>
      <c r="L1482" s="27">
        <f>L1484</f>
        <v>0</v>
      </c>
      <c r="M1482" s="16">
        <f t="shared" si="640"/>
        <v>0</v>
      </c>
      <c r="N1482" s="27">
        <f>N1484</f>
        <v>0</v>
      </c>
      <c r="O1482" s="16">
        <f t="shared" si="641"/>
        <v>0</v>
      </c>
    </row>
    <row r="1483" spans="1:15" s="3" customFormat="1" ht="38.25">
      <c r="A1483" s="11" t="s">
        <v>764</v>
      </c>
      <c r="B1483" s="25" t="s">
        <v>20</v>
      </c>
      <c r="C1483" s="26" t="s">
        <v>8</v>
      </c>
      <c r="D1483" s="26" t="s">
        <v>8</v>
      </c>
      <c r="E1483" s="43" t="s">
        <v>762</v>
      </c>
      <c r="F1483" s="26" t="s">
        <v>58</v>
      </c>
      <c r="G1483" s="27">
        <f>G1484</f>
        <v>1100</v>
      </c>
      <c r="H1483" s="27">
        <f t="shared" ref="H1483:N1483" si="645">H1484</f>
        <v>0</v>
      </c>
      <c r="I1483" s="27">
        <f t="shared" si="645"/>
        <v>0</v>
      </c>
      <c r="J1483" s="27">
        <f>J1484</f>
        <v>1100</v>
      </c>
      <c r="K1483" s="16">
        <f t="shared" si="639"/>
        <v>0</v>
      </c>
      <c r="L1483" s="27">
        <f t="shared" si="645"/>
        <v>0</v>
      </c>
      <c r="M1483" s="16">
        <f t="shared" si="640"/>
        <v>0</v>
      </c>
      <c r="N1483" s="27">
        <f t="shared" si="645"/>
        <v>0</v>
      </c>
      <c r="O1483" s="16">
        <f t="shared" si="641"/>
        <v>0</v>
      </c>
    </row>
    <row r="1484" spans="1:15" s="3" customFormat="1" ht="51">
      <c r="A1484" s="11" t="s">
        <v>861</v>
      </c>
      <c r="B1484" s="25" t="s">
        <v>20</v>
      </c>
      <c r="C1484" s="26" t="s">
        <v>8</v>
      </c>
      <c r="D1484" s="26" t="s">
        <v>8</v>
      </c>
      <c r="E1484" s="43" t="s">
        <v>738</v>
      </c>
      <c r="F1484" s="26" t="s">
        <v>58</v>
      </c>
      <c r="G1484" s="27">
        <f t="shared" ref="G1484:N1484" si="646">G1485</f>
        <v>1100</v>
      </c>
      <c r="H1484" s="27">
        <f t="shared" si="646"/>
        <v>0</v>
      </c>
      <c r="I1484" s="27">
        <f t="shared" si="646"/>
        <v>0</v>
      </c>
      <c r="J1484" s="27">
        <f t="shared" si="646"/>
        <v>1100</v>
      </c>
      <c r="K1484" s="16">
        <f t="shared" si="639"/>
        <v>0</v>
      </c>
      <c r="L1484" s="27">
        <f t="shared" si="646"/>
        <v>0</v>
      </c>
      <c r="M1484" s="16">
        <f t="shared" si="640"/>
        <v>0</v>
      </c>
      <c r="N1484" s="27">
        <f t="shared" si="646"/>
        <v>0</v>
      </c>
      <c r="O1484" s="16">
        <f t="shared" si="641"/>
        <v>0</v>
      </c>
    </row>
    <row r="1485" spans="1:15" s="3" customFormat="1" ht="25.5">
      <c r="A1485" s="11" t="s">
        <v>160</v>
      </c>
      <c r="B1485" s="25" t="s">
        <v>20</v>
      </c>
      <c r="C1485" s="26" t="s">
        <v>8</v>
      </c>
      <c r="D1485" s="26" t="s">
        <v>8</v>
      </c>
      <c r="E1485" s="43" t="s">
        <v>763</v>
      </c>
      <c r="F1485" s="26" t="s">
        <v>58</v>
      </c>
      <c r="G1485" s="27">
        <f>G1486</f>
        <v>1100</v>
      </c>
      <c r="H1485" s="27">
        <f>H1486</f>
        <v>0</v>
      </c>
      <c r="I1485" s="27">
        <f>I1486</f>
        <v>0</v>
      </c>
      <c r="J1485" s="27">
        <f>J1486</f>
        <v>1100</v>
      </c>
      <c r="K1485" s="16">
        <f t="shared" si="639"/>
        <v>0</v>
      </c>
      <c r="L1485" s="27">
        <f>L1486</f>
        <v>0</v>
      </c>
      <c r="M1485" s="16">
        <f t="shared" si="640"/>
        <v>0</v>
      </c>
      <c r="N1485" s="27">
        <f>N1486</f>
        <v>0</v>
      </c>
      <c r="O1485" s="16">
        <f t="shared" si="641"/>
        <v>0</v>
      </c>
    </row>
    <row r="1486" spans="1:15" s="3" customFormat="1" ht="25.5">
      <c r="A1486" s="11" t="s">
        <v>108</v>
      </c>
      <c r="B1486" s="25" t="s">
        <v>20</v>
      </c>
      <c r="C1486" s="26" t="s">
        <v>8</v>
      </c>
      <c r="D1486" s="26" t="s">
        <v>8</v>
      </c>
      <c r="E1486" s="43" t="s">
        <v>763</v>
      </c>
      <c r="F1486" s="26" t="s">
        <v>116</v>
      </c>
      <c r="G1486" s="42">
        <f>G1487</f>
        <v>1100</v>
      </c>
      <c r="H1486" s="42">
        <f t="shared" ref="H1486:I1486" si="647">H1487</f>
        <v>0</v>
      </c>
      <c r="I1486" s="42">
        <f t="shared" si="647"/>
        <v>0</v>
      </c>
      <c r="J1486" s="42">
        <f>1100</f>
        <v>1100</v>
      </c>
      <c r="K1486" s="16">
        <f t="shared" si="639"/>
        <v>0</v>
      </c>
      <c r="L1486" s="42">
        <v>0</v>
      </c>
      <c r="M1486" s="16">
        <f t="shared" si="640"/>
        <v>0</v>
      </c>
      <c r="N1486" s="42">
        <v>0</v>
      </c>
      <c r="O1486" s="16">
        <f t="shared" si="641"/>
        <v>0</v>
      </c>
    </row>
    <row r="1487" spans="1:15" s="4" customFormat="1" ht="25.5">
      <c r="A1487" s="12" t="s">
        <v>973</v>
      </c>
      <c r="B1487" s="25" t="s">
        <v>20</v>
      </c>
      <c r="C1487" s="26" t="s">
        <v>8</v>
      </c>
      <c r="D1487" s="26" t="s">
        <v>8</v>
      </c>
      <c r="E1487" s="43" t="s">
        <v>763</v>
      </c>
      <c r="F1487" s="26" t="s">
        <v>1043</v>
      </c>
      <c r="G1487" s="42">
        <f>1100</f>
        <v>1100</v>
      </c>
      <c r="H1487" s="42">
        <v>0</v>
      </c>
      <c r="I1487" s="42">
        <v>0</v>
      </c>
      <c r="J1487" s="82"/>
      <c r="K1487" s="16">
        <f t="shared" si="639"/>
        <v>-1100</v>
      </c>
      <c r="L1487" s="82"/>
      <c r="M1487" s="16">
        <f t="shared" si="640"/>
        <v>0</v>
      </c>
      <c r="N1487" s="82"/>
      <c r="O1487" s="16">
        <f t="shared" si="641"/>
        <v>0</v>
      </c>
    </row>
    <row r="1488" spans="1:15" s="3" customFormat="1" ht="25.5">
      <c r="A1488" s="11" t="s">
        <v>143</v>
      </c>
      <c r="B1488" s="26" t="s">
        <v>20</v>
      </c>
      <c r="C1488" s="26" t="s">
        <v>8</v>
      </c>
      <c r="D1488" s="26" t="s">
        <v>8</v>
      </c>
      <c r="E1488" s="26" t="s">
        <v>508</v>
      </c>
      <c r="F1488" s="26" t="s">
        <v>58</v>
      </c>
      <c r="G1488" s="45">
        <f>G1489</f>
        <v>56106.799999999996</v>
      </c>
      <c r="H1488" s="45">
        <f t="shared" ref="H1488:N1488" si="648">H1489</f>
        <v>56135.03</v>
      </c>
      <c r="I1488" s="45">
        <f t="shared" si="648"/>
        <v>56135.03</v>
      </c>
      <c r="J1488" s="45">
        <f>J1489</f>
        <v>56106.799999999996</v>
      </c>
      <c r="K1488" s="16">
        <f t="shared" si="639"/>
        <v>0</v>
      </c>
      <c r="L1488" s="45">
        <f t="shared" si="648"/>
        <v>56135.03</v>
      </c>
      <c r="M1488" s="16">
        <f t="shared" si="640"/>
        <v>0</v>
      </c>
      <c r="N1488" s="45">
        <f t="shared" si="648"/>
        <v>56135.03</v>
      </c>
      <c r="O1488" s="16">
        <f t="shared" si="641"/>
        <v>0</v>
      </c>
    </row>
    <row r="1489" spans="1:15" s="3" customFormat="1" ht="25.5">
      <c r="A1489" s="11" t="s">
        <v>144</v>
      </c>
      <c r="B1489" s="26" t="s">
        <v>20</v>
      </c>
      <c r="C1489" s="26" t="s">
        <v>8</v>
      </c>
      <c r="D1489" s="26" t="s">
        <v>8</v>
      </c>
      <c r="E1489" s="26" t="s">
        <v>509</v>
      </c>
      <c r="F1489" s="26" t="s">
        <v>58</v>
      </c>
      <c r="G1489" s="45">
        <f>G1490+G1499</f>
        <v>56106.799999999996</v>
      </c>
      <c r="H1489" s="45">
        <f>H1490+H1499</f>
        <v>56135.03</v>
      </c>
      <c r="I1489" s="45">
        <f>I1490+I1499</f>
        <v>56135.03</v>
      </c>
      <c r="J1489" s="45">
        <f>J1490+J1499</f>
        <v>56106.799999999996</v>
      </c>
      <c r="K1489" s="16">
        <f t="shared" si="639"/>
        <v>0</v>
      </c>
      <c r="L1489" s="45">
        <f>L1490+L1499</f>
        <v>56135.03</v>
      </c>
      <c r="M1489" s="16">
        <f t="shared" si="640"/>
        <v>0</v>
      </c>
      <c r="N1489" s="45">
        <f>N1490+N1499</f>
        <v>56135.03</v>
      </c>
      <c r="O1489" s="16">
        <f t="shared" si="641"/>
        <v>0</v>
      </c>
    </row>
    <row r="1490" spans="1:15" s="3" customFormat="1" ht="25.5">
      <c r="A1490" s="11" t="s">
        <v>114</v>
      </c>
      <c r="B1490" s="26" t="s">
        <v>20</v>
      </c>
      <c r="C1490" s="26" t="s">
        <v>8</v>
      </c>
      <c r="D1490" s="26" t="s">
        <v>8</v>
      </c>
      <c r="E1490" s="26" t="s">
        <v>531</v>
      </c>
      <c r="F1490" s="26" t="s">
        <v>58</v>
      </c>
      <c r="G1490" s="45">
        <f>G1491+G1494+G1496</f>
        <v>7110.0400000000009</v>
      </c>
      <c r="H1490" s="45">
        <f t="shared" ref="H1490:I1490" si="649">H1491+H1494+H1496</f>
        <v>7138.27</v>
      </c>
      <c r="I1490" s="45">
        <f t="shared" si="649"/>
        <v>7138.27</v>
      </c>
      <c r="J1490" s="45">
        <f>SUM(J1491:J1496)</f>
        <v>7110.0400000000009</v>
      </c>
      <c r="K1490" s="16">
        <f t="shared" si="639"/>
        <v>0</v>
      </c>
      <c r="L1490" s="45">
        <f>SUM(L1491:L1496)</f>
        <v>7138.27</v>
      </c>
      <c r="M1490" s="16">
        <f t="shared" si="640"/>
        <v>0</v>
      </c>
      <c r="N1490" s="45">
        <f>SUM(N1491:N1496)</f>
        <v>7138.27</v>
      </c>
      <c r="O1490" s="16">
        <f t="shared" si="641"/>
        <v>0</v>
      </c>
    </row>
    <row r="1491" spans="1:15" s="3" customFormat="1" ht="25.5">
      <c r="A1491" s="12" t="s">
        <v>107</v>
      </c>
      <c r="B1491" s="26" t="s">
        <v>20</v>
      </c>
      <c r="C1491" s="26" t="s">
        <v>8</v>
      </c>
      <c r="D1491" s="26" t="s">
        <v>8</v>
      </c>
      <c r="E1491" s="26" t="s">
        <v>531</v>
      </c>
      <c r="F1491" s="26" t="s">
        <v>115</v>
      </c>
      <c r="G1491" s="27">
        <f>SUM(G1492:G1493)</f>
        <v>1409.9</v>
      </c>
      <c r="H1491" s="27">
        <f t="shared" ref="H1491:I1491" si="650">SUM(H1492:H1493)</f>
        <v>1409.9</v>
      </c>
      <c r="I1491" s="27">
        <f t="shared" si="650"/>
        <v>1409.9</v>
      </c>
      <c r="J1491" s="27">
        <f>1082.9+327</f>
        <v>1409.9</v>
      </c>
      <c r="K1491" s="16">
        <f t="shared" si="639"/>
        <v>0</v>
      </c>
      <c r="L1491" s="27">
        <f>1082.9+327</f>
        <v>1409.9</v>
      </c>
      <c r="M1491" s="16">
        <f t="shared" si="640"/>
        <v>0</v>
      </c>
      <c r="N1491" s="27">
        <f>1082.9+327</f>
        <v>1409.9</v>
      </c>
      <c r="O1491" s="16">
        <f t="shared" si="641"/>
        <v>0</v>
      </c>
    </row>
    <row r="1492" spans="1:15" s="4" customFormat="1" ht="25.5">
      <c r="A1492" s="12" t="s">
        <v>937</v>
      </c>
      <c r="B1492" s="26" t="s">
        <v>20</v>
      </c>
      <c r="C1492" s="26" t="s">
        <v>8</v>
      </c>
      <c r="D1492" s="26" t="s">
        <v>8</v>
      </c>
      <c r="E1492" s="26" t="s">
        <v>531</v>
      </c>
      <c r="F1492" s="26" t="s">
        <v>1059</v>
      </c>
      <c r="G1492" s="27">
        <f>1082.9</f>
        <v>1082.9000000000001</v>
      </c>
      <c r="H1492" s="27">
        <f t="shared" ref="H1492:I1492" si="651">1082.9</f>
        <v>1082.9000000000001</v>
      </c>
      <c r="I1492" s="27">
        <f t="shared" si="651"/>
        <v>1082.9000000000001</v>
      </c>
      <c r="J1492" s="80"/>
      <c r="K1492" s="16">
        <f t="shared" si="639"/>
        <v>-1082.9000000000001</v>
      </c>
      <c r="L1492" s="80"/>
      <c r="M1492" s="16">
        <f t="shared" si="640"/>
        <v>-1082.9000000000001</v>
      </c>
      <c r="N1492" s="80"/>
      <c r="O1492" s="16">
        <f t="shared" si="641"/>
        <v>-1082.9000000000001</v>
      </c>
    </row>
    <row r="1493" spans="1:15" s="4" customFormat="1" ht="38.25">
      <c r="A1493" s="12" t="s">
        <v>939</v>
      </c>
      <c r="B1493" s="26" t="s">
        <v>20</v>
      </c>
      <c r="C1493" s="26" t="s">
        <v>8</v>
      </c>
      <c r="D1493" s="26" t="s">
        <v>8</v>
      </c>
      <c r="E1493" s="26" t="s">
        <v>531</v>
      </c>
      <c r="F1493" s="26" t="s">
        <v>1060</v>
      </c>
      <c r="G1493" s="27">
        <v>327</v>
      </c>
      <c r="H1493" s="27">
        <v>327</v>
      </c>
      <c r="I1493" s="27">
        <v>327</v>
      </c>
      <c r="J1493" s="80"/>
      <c r="K1493" s="16">
        <f t="shared" si="639"/>
        <v>-327</v>
      </c>
      <c r="L1493" s="80"/>
      <c r="M1493" s="16">
        <f t="shared" si="640"/>
        <v>-327</v>
      </c>
      <c r="N1493" s="80"/>
      <c r="O1493" s="16">
        <f t="shared" si="641"/>
        <v>-327</v>
      </c>
    </row>
    <row r="1494" spans="1:15" s="3" customFormat="1" ht="25.5">
      <c r="A1494" s="11" t="s">
        <v>108</v>
      </c>
      <c r="B1494" s="26" t="s">
        <v>20</v>
      </c>
      <c r="C1494" s="26" t="s">
        <v>8</v>
      </c>
      <c r="D1494" s="26" t="s">
        <v>8</v>
      </c>
      <c r="E1494" s="26" t="s">
        <v>531</v>
      </c>
      <c r="F1494" s="26" t="s">
        <v>116</v>
      </c>
      <c r="G1494" s="27">
        <f>G1495</f>
        <v>5591.14</v>
      </c>
      <c r="H1494" s="27">
        <f t="shared" ref="H1494:I1494" si="652">H1495</f>
        <v>5619.37</v>
      </c>
      <c r="I1494" s="27">
        <f t="shared" si="652"/>
        <v>5619.37</v>
      </c>
      <c r="J1494" s="27">
        <f>5591.14</f>
        <v>5591.14</v>
      </c>
      <c r="K1494" s="16">
        <f t="shared" si="639"/>
        <v>0</v>
      </c>
      <c r="L1494" s="27">
        <f>5619.37</f>
        <v>5619.37</v>
      </c>
      <c r="M1494" s="16">
        <f t="shared" si="640"/>
        <v>0</v>
      </c>
      <c r="N1494" s="27">
        <f>5619.37</f>
        <v>5619.37</v>
      </c>
      <c r="O1494" s="16">
        <f t="shared" si="641"/>
        <v>0</v>
      </c>
    </row>
    <row r="1495" spans="1:15" s="4" customFormat="1" ht="25.5">
      <c r="A1495" s="12" t="s">
        <v>973</v>
      </c>
      <c r="B1495" s="26" t="s">
        <v>20</v>
      </c>
      <c r="C1495" s="26" t="s">
        <v>8</v>
      </c>
      <c r="D1495" s="26" t="s">
        <v>8</v>
      </c>
      <c r="E1495" s="26" t="s">
        <v>531</v>
      </c>
      <c r="F1495" s="26" t="s">
        <v>1043</v>
      </c>
      <c r="G1495" s="27">
        <f>5591.14</f>
        <v>5591.14</v>
      </c>
      <c r="H1495" s="27">
        <f>5619.37</f>
        <v>5619.37</v>
      </c>
      <c r="I1495" s="27">
        <f>5619.37</f>
        <v>5619.37</v>
      </c>
      <c r="J1495" s="80"/>
      <c r="K1495" s="16">
        <f t="shared" si="639"/>
        <v>-5591.14</v>
      </c>
      <c r="L1495" s="80"/>
      <c r="M1495" s="16">
        <f t="shared" si="640"/>
        <v>-5619.37</v>
      </c>
      <c r="N1495" s="80"/>
      <c r="O1495" s="16">
        <f t="shared" si="641"/>
        <v>-5619.37</v>
      </c>
    </row>
    <row r="1496" spans="1:15" s="3" customFormat="1">
      <c r="A1496" s="11" t="s">
        <v>97</v>
      </c>
      <c r="B1496" s="26" t="s">
        <v>20</v>
      </c>
      <c r="C1496" s="26" t="s">
        <v>8</v>
      </c>
      <c r="D1496" s="26" t="s">
        <v>8</v>
      </c>
      <c r="E1496" s="26" t="s">
        <v>531</v>
      </c>
      <c r="F1496" s="26" t="s">
        <v>118</v>
      </c>
      <c r="G1496" s="27">
        <f>SUM(G1497:G1498)</f>
        <v>109</v>
      </c>
      <c r="H1496" s="27">
        <f t="shared" ref="H1496:I1496" si="653">SUM(H1497:H1498)</f>
        <v>109</v>
      </c>
      <c r="I1496" s="27">
        <f t="shared" si="653"/>
        <v>109</v>
      </c>
      <c r="J1496" s="27">
        <f>69+40</f>
        <v>109</v>
      </c>
      <c r="K1496" s="16">
        <f t="shared" si="639"/>
        <v>0</v>
      </c>
      <c r="L1496" s="27">
        <f>69+40</f>
        <v>109</v>
      </c>
      <c r="M1496" s="16">
        <f t="shared" si="640"/>
        <v>0</v>
      </c>
      <c r="N1496" s="27">
        <f>69+40</f>
        <v>109</v>
      </c>
      <c r="O1496" s="16">
        <f t="shared" si="641"/>
        <v>0</v>
      </c>
    </row>
    <row r="1497" spans="1:15" s="4" customFormat="1">
      <c r="A1497" s="12" t="s">
        <v>1036</v>
      </c>
      <c r="B1497" s="26" t="s">
        <v>20</v>
      </c>
      <c r="C1497" s="26" t="s">
        <v>8</v>
      </c>
      <c r="D1497" s="26" t="s">
        <v>8</v>
      </c>
      <c r="E1497" s="26" t="s">
        <v>531</v>
      </c>
      <c r="F1497" s="26" t="s">
        <v>1061</v>
      </c>
      <c r="G1497" s="27">
        <f>69</f>
        <v>69</v>
      </c>
      <c r="H1497" s="27">
        <f>69</f>
        <v>69</v>
      </c>
      <c r="I1497" s="27">
        <f>69</f>
        <v>69</v>
      </c>
      <c r="J1497" s="80"/>
      <c r="K1497" s="16">
        <f t="shared" si="639"/>
        <v>-69</v>
      </c>
      <c r="L1497" s="80"/>
      <c r="M1497" s="16">
        <f t="shared" si="640"/>
        <v>-69</v>
      </c>
      <c r="N1497" s="80"/>
      <c r="O1497" s="16">
        <f t="shared" si="641"/>
        <v>-69</v>
      </c>
    </row>
    <row r="1498" spans="1:15" s="4" customFormat="1">
      <c r="A1498" s="12" t="s">
        <v>1037</v>
      </c>
      <c r="B1498" s="26" t="s">
        <v>20</v>
      </c>
      <c r="C1498" s="26" t="s">
        <v>8</v>
      </c>
      <c r="D1498" s="26" t="s">
        <v>8</v>
      </c>
      <c r="E1498" s="26" t="s">
        <v>531</v>
      </c>
      <c r="F1498" s="26" t="s">
        <v>1062</v>
      </c>
      <c r="G1498" s="27">
        <v>40</v>
      </c>
      <c r="H1498" s="27">
        <v>40</v>
      </c>
      <c r="I1498" s="27">
        <v>40</v>
      </c>
      <c r="J1498" s="80"/>
      <c r="K1498" s="16">
        <f t="shared" si="639"/>
        <v>-40</v>
      </c>
      <c r="L1498" s="80"/>
      <c r="M1498" s="16">
        <f t="shared" si="640"/>
        <v>-40</v>
      </c>
      <c r="N1498" s="80"/>
      <c r="O1498" s="16">
        <f t="shared" si="641"/>
        <v>-40</v>
      </c>
    </row>
    <row r="1499" spans="1:15" s="3" customFormat="1" ht="25.5">
      <c r="A1499" s="11" t="s">
        <v>126</v>
      </c>
      <c r="B1499" s="26" t="s">
        <v>20</v>
      </c>
      <c r="C1499" s="26" t="s">
        <v>8</v>
      </c>
      <c r="D1499" s="26" t="s">
        <v>8</v>
      </c>
      <c r="E1499" s="26" t="s">
        <v>532</v>
      </c>
      <c r="F1499" s="26" t="s">
        <v>58</v>
      </c>
      <c r="G1499" s="27">
        <f>G1500</f>
        <v>48996.759999999995</v>
      </c>
      <c r="H1499" s="27">
        <f>H1500</f>
        <v>48996.759999999995</v>
      </c>
      <c r="I1499" s="27">
        <f>I1500</f>
        <v>48996.759999999995</v>
      </c>
      <c r="J1499" s="27">
        <f>J1500</f>
        <v>48996.759999999995</v>
      </c>
      <c r="K1499" s="16">
        <f t="shared" si="639"/>
        <v>0</v>
      </c>
      <c r="L1499" s="27">
        <f>L1500</f>
        <v>48996.759999999995</v>
      </c>
      <c r="M1499" s="16">
        <f t="shared" si="640"/>
        <v>0</v>
      </c>
      <c r="N1499" s="27">
        <f>N1500</f>
        <v>48996.759999999995</v>
      </c>
      <c r="O1499" s="16">
        <f t="shared" si="641"/>
        <v>0</v>
      </c>
    </row>
    <row r="1500" spans="1:15" s="3" customFormat="1" ht="25.5">
      <c r="A1500" s="12" t="s">
        <v>107</v>
      </c>
      <c r="B1500" s="26" t="s">
        <v>20</v>
      </c>
      <c r="C1500" s="26" t="s">
        <v>8</v>
      </c>
      <c r="D1500" s="26" t="s">
        <v>8</v>
      </c>
      <c r="E1500" s="26" t="s">
        <v>532</v>
      </c>
      <c r="F1500" s="26" t="s">
        <v>115</v>
      </c>
      <c r="G1500" s="27">
        <f>SUM(G1501:G1502)</f>
        <v>48996.759999999995</v>
      </c>
      <c r="H1500" s="27">
        <f t="shared" ref="H1500:I1500" si="654">SUM(H1501:H1502)</f>
        <v>48996.759999999995</v>
      </c>
      <c r="I1500" s="27">
        <f t="shared" si="654"/>
        <v>48996.759999999995</v>
      </c>
      <c r="J1500" s="27">
        <f>37631.92+11364.84</f>
        <v>48996.759999999995</v>
      </c>
      <c r="K1500" s="16">
        <f t="shared" si="639"/>
        <v>0</v>
      </c>
      <c r="L1500" s="27">
        <f>37631.92+11364.84</f>
        <v>48996.759999999995</v>
      </c>
      <c r="M1500" s="16">
        <f t="shared" si="640"/>
        <v>0</v>
      </c>
      <c r="N1500" s="27">
        <f>37631.92+11364.84</f>
        <v>48996.759999999995</v>
      </c>
      <c r="O1500" s="16">
        <f t="shared" si="641"/>
        <v>0</v>
      </c>
    </row>
    <row r="1501" spans="1:15" s="4" customFormat="1">
      <c r="A1501" s="12" t="s">
        <v>936</v>
      </c>
      <c r="B1501" s="26" t="s">
        <v>20</v>
      </c>
      <c r="C1501" s="26" t="s">
        <v>8</v>
      </c>
      <c r="D1501" s="26" t="s">
        <v>8</v>
      </c>
      <c r="E1501" s="26" t="s">
        <v>532</v>
      </c>
      <c r="F1501" s="26" t="s">
        <v>1063</v>
      </c>
      <c r="G1501" s="27">
        <f>37631.92</f>
        <v>37631.919999999998</v>
      </c>
      <c r="H1501" s="27">
        <f t="shared" ref="H1501:I1501" si="655">37631.92</f>
        <v>37631.919999999998</v>
      </c>
      <c r="I1501" s="27">
        <f t="shared" si="655"/>
        <v>37631.919999999998</v>
      </c>
      <c r="J1501" s="80"/>
      <c r="K1501" s="16">
        <f t="shared" si="639"/>
        <v>-37631.919999999998</v>
      </c>
      <c r="L1501" s="80"/>
      <c r="M1501" s="16">
        <f t="shared" si="640"/>
        <v>-37631.919999999998</v>
      </c>
      <c r="N1501" s="80"/>
      <c r="O1501" s="16">
        <f t="shared" si="641"/>
        <v>-37631.919999999998</v>
      </c>
    </row>
    <row r="1502" spans="1:15" s="4" customFormat="1" ht="38.25">
      <c r="A1502" s="12" t="s">
        <v>939</v>
      </c>
      <c r="B1502" s="26" t="s">
        <v>20</v>
      </c>
      <c r="C1502" s="26" t="s">
        <v>8</v>
      </c>
      <c r="D1502" s="26" t="s">
        <v>8</v>
      </c>
      <c r="E1502" s="26" t="s">
        <v>532</v>
      </c>
      <c r="F1502" s="26" t="s">
        <v>1060</v>
      </c>
      <c r="G1502" s="27">
        <v>11364.84</v>
      </c>
      <c r="H1502" s="27">
        <v>11364.84</v>
      </c>
      <c r="I1502" s="27">
        <v>11364.84</v>
      </c>
      <c r="J1502" s="80"/>
      <c r="K1502" s="16">
        <f t="shared" si="639"/>
        <v>-11364.84</v>
      </c>
      <c r="L1502" s="80"/>
      <c r="M1502" s="16">
        <f t="shared" si="640"/>
        <v>-11364.84</v>
      </c>
      <c r="N1502" s="80"/>
      <c r="O1502" s="16">
        <f t="shared" si="641"/>
        <v>-11364.84</v>
      </c>
    </row>
    <row r="1503" spans="1:15" s="3" customFormat="1">
      <c r="A1503" s="17" t="s">
        <v>49</v>
      </c>
      <c r="B1503" s="18" t="s">
        <v>20</v>
      </c>
      <c r="C1503" s="19" t="s">
        <v>14</v>
      </c>
      <c r="D1503" s="19" t="s">
        <v>51</v>
      </c>
      <c r="E1503" s="19" t="s">
        <v>196</v>
      </c>
      <c r="F1503" s="19" t="s">
        <v>58</v>
      </c>
      <c r="G1503" s="20">
        <f>G1504</f>
        <v>37900.619999999995</v>
      </c>
      <c r="H1503" s="20">
        <f>H1504</f>
        <v>33498.519999999997</v>
      </c>
      <c r="I1503" s="20">
        <f>I1504</f>
        <v>33498.519999999997</v>
      </c>
      <c r="J1503" s="20">
        <f>J1504</f>
        <v>37900.619999999995</v>
      </c>
      <c r="K1503" s="16">
        <f t="shared" si="639"/>
        <v>0</v>
      </c>
      <c r="L1503" s="20">
        <f>L1504</f>
        <v>33498.519999999997</v>
      </c>
      <c r="M1503" s="16">
        <f t="shared" si="640"/>
        <v>0</v>
      </c>
      <c r="N1503" s="20">
        <f>N1504</f>
        <v>33498.519999999997</v>
      </c>
      <c r="O1503" s="16">
        <f t="shared" si="641"/>
        <v>0</v>
      </c>
    </row>
    <row r="1504" spans="1:15" s="3" customFormat="1">
      <c r="A1504" s="21" t="s">
        <v>63</v>
      </c>
      <c r="B1504" s="22" t="s">
        <v>20</v>
      </c>
      <c r="C1504" s="23">
        <v>10</v>
      </c>
      <c r="D1504" s="23" t="s">
        <v>53</v>
      </c>
      <c r="E1504" s="23" t="s">
        <v>196</v>
      </c>
      <c r="F1504" s="23" t="s">
        <v>58</v>
      </c>
      <c r="G1504" s="24">
        <f>G1505+G1515</f>
        <v>37900.619999999995</v>
      </c>
      <c r="H1504" s="24">
        <f>H1505+H1515</f>
        <v>33498.519999999997</v>
      </c>
      <c r="I1504" s="24">
        <f>I1505+I1515</f>
        <v>33498.519999999997</v>
      </c>
      <c r="J1504" s="24">
        <f>J1505+J1515</f>
        <v>37900.619999999995</v>
      </c>
      <c r="K1504" s="16">
        <f t="shared" si="639"/>
        <v>0</v>
      </c>
      <c r="L1504" s="24">
        <f>L1505+L1515</f>
        <v>33498.519999999997</v>
      </c>
      <c r="M1504" s="16">
        <f t="shared" si="640"/>
        <v>0</v>
      </c>
      <c r="N1504" s="24">
        <f>N1505+N1515</f>
        <v>33498.519999999997</v>
      </c>
      <c r="O1504" s="16">
        <f t="shared" si="641"/>
        <v>0</v>
      </c>
    </row>
    <row r="1505" spans="1:15" s="3" customFormat="1" ht="25.5">
      <c r="A1505" s="31" t="s">
        <v>727</v>
      </c>
      <c r="B1505" s="36" t="s">
        <v>20</v>
      </c>
      <c r="C1505" s="36">
        <v>10</v>
      </c>
      <c r="D1505" s="36" t="s">
        <v>53</v>
      </c>
      <c r="E1505" s="36" t="s">
        <v>327</v>
      </c>
      <c r="F1505" s="36" t="s">
        <v>58</v>
      </c>
      <c r="G1505" s="37">
        <f>G1506</f>
        <v>34739.919999999998</v>
      </c>
      <c r="H1505" s="37">
        <f>H1506</f>
        <v>30893.89</v>
      </c>
      <c r="I1505" s="37">
        <f>I1506</f>
        <v>30893.89</v>
      </c>
      <c r="J1505" s="37">
        <f>J1506</f>
        <v>34739.919999999998</v>
      </c>
      <c r="K1505" s="16">
        <f t="shared" si="639"/>
        <v>0</v>
      </c>
      <c r="L1505" s="37">
        <f>L1506</f>
        <v>30893.89</v>
      </c>
      <c r="M1505" s="16">
        <f t="shared" si="640"/>
        <v>0</v>
      </c>
      <c r="N1505" s="37">
        <f>N1506</f>
        <v>30893.89</v>
      </c>
      <c r="O1505" s="16">
        <f t="shared" si="641"/>
        <v>0</v>
      </c>
    </row>
    <row r="1506" spans="1:15" s="3" customFormat="1" ht="38.25">
      <c r="A1506" s="31" t="s">
        <v>842</v>
      </c>
      <c r="B1506" s="36" t="s">
        <v>20</v>
      </c>
      <c r="C1506" s="36">
        <v>10</v>
      </c>
      <c r="D1506" s="36" t="s">
        <v>53</v>
      </c>
      <c r="E1506" s="36" t="s">
        <v>328</v>
      </c>
      <c r="F1506" s="36" t="s">
        <v>58</v>
      </c>
      <c r="G1506" s="37">
        <f>G1507+G1511</f>
        <v>34739.919999999998</v>
      </c>
      <c r="H1506" s="37">
        <f>H1507+H1511</f>
        <v>30893.89</v>
      </c>
      <c r="I1506" s="37">
        <f>I1507+I1511</f>
        <v>30893.89</v>
      </c>
      <c r="J1506" s="37">
        <f>J1507+J1511</f>
        <v>34739.919999999998</v>
      </c>
      <c r="K1506" s="16">
        <f t="shared" si="639"/>
        <v>0</v>
      </c>
      <c r="L1506" s="37">
        <f>L1507+L1511</f>
        <v>30893.89</v>
      </c>
      <c r="M1506" s="16">
        <f t="shared" si="640"/>
        <v>0</v>
      </c>
      <c r="N1506" s="37">
        <f>N1507+N1511</f>
        <v>30893.89</v>
      </c>
      <c r="O1506" s="16">
        <f t="shared" si="641"/>
        <v>0</v>
      </c>
    </row>
    <row r="1507" spans="1:15" s="3" customFormat="1" ht="38.25">
      <c r="A1507" s="34" t="s">
        <v>638</v>
      </c>
      <c r="B1507" s="36" t="s">
        <v>20</v>
      </c>
      <c r="C1507" s="36">
        <v>10</v>
      </c>
      <c r="D1507" s="36" t="s">
        <v>53</v>
      </c>
      <c r="E1507" s="36" t="s">
        <v>634</v>
      </c>
      <c r="F1507" s="36" t="s">
        <v>58</v>
      </c>
      <c r="G1507" s="37">
        <f t="shared" ref="G1507:N1509" si="656">G1508</f>
        <v>2757</v>
      </c>
      <c r="H1507" s="37">
        <f t="shared" si="656"/>
        <v>2109.2600000000002</v>
      </c>
      <c r="I1507" s="37">
        <f t="shared" si="656"/>
        <v>2109.2600000000002</v>
      </c>
      <c r="J1507" s="37">
        <f t="shared" si="656"/>
        <v>2757</v>
      </c>
      <c r="K1507" s="16">
        <f t="shared" si="639"/>
        <v>0</v>
      </c>
      <c r="L1507" s="37">
        <f t="shared" si="656"/>
        <v>2109.2600000000002</v>
      </c>
      <c r="M1507" s="16">
        <f t="shared" si="640"/>
        <v>0</v>
      </c>
      <c r="N1507" s="37">
        <f t="shared" si="656"/>
        <v>2109.2600000000002</v>
      </c>
      <c r="O1507" s="16">
        <f t="shared" si="641"/>
        <v>0</v>
      </c>
    </row>
    <row r="1508" spans="1:15" s="3" customFormat="1" ht="38.25">
      <c r="A1508" s="11" t="s">
        <v>533</v>
      </c>
      <c r="B1508" s="26" t="s">
        <v>20</v>
      </c>
      <c r="C1508" s="26">
        <v>10</v>
      </c>
      <c r="D1508" s="26" t="s">
        <v>53</v>
      </c>
      <c r="E1508" s="26" t="s">
        <v>639</v>
      </c>
      <c r="F1508" s="26" t="s">
        <v>58</v>
      </c>
      <c r="G1508" s="27">
        <f t="shared" si="656"/>
        <v>2757</v>
      </c>
      <c r="H1508" s="27">
        <f t="shared" si="656"/>
        <v>2109.2600000000002</v>
      </c>
      <c r="I1508" s="27">
        <f t="shared" si="656"/>
        <v>2109.2600000000002</v>
      </c>
      <c r="J1508" s="27">
        <f t="shared" si="656"/>
        <v>2757</v>
      </c>
      <c r="K1508" s="16">
        <f t="shared" si="639"/>
        <v>0</v>
      </c>
      <c r="L1508" s="27">
        <f t="shared" si="656"/>
        <v>2109.2600000000002</v>
      </c>
      <c r="M1508" s="16">
        <f t="shared" si="640"/>
        <v>0</v>
      </c>
      <c r="N1508" s="27">
        <f t="shared" si="656"/>
        <v>2109.2600000000002</v>
      </c>
      <c r="O1508" s="16">
        <f t="shared" si="641"/>
        <v>0</v>
      </c>
    </row>
    <row r="1509" spans="1:15" s="3" customFormat="1" ht="38.25">
      <c r="A1509" s="41" t="s">
        <v>561</v>
      </c>
      <c r="B1509" s="26" t="s">
        <v>20</v>
      </c>
      <c r="C1509" s="26">
        <v>10</v>
      </c>
      <c r="D1509" s="26" t="s">
        <v>53</v>
      </c>
      <c r="E1509" s="26" t="s">
        <v>639</v>
      </c>
      <c r="F1509" s="26" t="s">
        <v>101</v>
      </c>
      <c r="G1509" s="27">
        <f>G1510</f>
        <v>2757</v>
      </c>
      <c r="H1509" s="27">
        <f t="shared" si="656"/>
        <v>2109.2600000000002</v>
      </c>
      <c r="I1509" s="27">
        <f t="shared" si="656"/>
        <v>2109.2600000000002</v>
      </c>
      <c r="J1509" s="27">
        <f>2757</f>
        <v>2757</v>
      </c>
      <c r="K1509" s="16">
        <f t="shared" si="639"/>
        <v>0</v>
      </c>
      <c r="L1509" s="27">
        <f>2109.26</f>
        <v>2109.2600000000002</v>
      </c>
      <c r="M1509" s="16">
        <f t="shared" si="640"/>
        <v>0</v>
      </c>
      <c r="N1509" s="27">
        <f>2109.26</f>
        <v>2109.2600000000002</v>
      </c>
      <c r="O1509" s="16">
        <f t="shared" si="641"/>
        <v>0</v>
      </c>
    </row>
    <row r="1510" spans="1:15" s="4" customFormat="1" ht="51">
      <c r="A1510" s="12" t="s">
        <v>1047</v>
      </c>
      <c r="B1510" s="26" t="s">
        <v>20</v>
      </c>
      <c r="C1510" s="26">
        <v>10</v>
      </c>
      <c r="D1510" s="26" t="s">
        <v>53</v>
      </c>
      <c r="E1510" s="26" t="s">
        <v>639</v>
      </c>
      <c r="F1510" s="26" t="s">
        <v>1050</v>
      </c>
      <c r="G1510" s="27">
        <f>2757</f>
        <v>2757</v>
      </c>
      <c r="H1510" s="27">
        <f>2109.26</f>
        <v>2109.2600000000002</v>
      </c>
      <c r="I1510" s="27">
        <f>2109.26</f>
        <v>2109.2600000000002</v>
      </c>
      <c r="J1510" s="80"/>
      <c r="K1510" s="16">
        <f t="shared" si="639"/>
        <v>-2757</v>
      </c>
      <c r="L1510" s="80"/>
      <c r="M1510" s="16">
        <f t="shared" si="640"/>
        <v>-2109.2600000000002</v>
      </c>
      <c r="N1510" s="80"/>
      <c r="O1510" s="16">
        <f t="shared" si="641"/>
        <v>-2109.2600000000002</v>
      </c>
    </row>
    <row r="1511" spans="1:15" s="3" customFormat="1" ht="51">
      <c r="A1511" s="34" t="s">
        <v>641</v>
      </c>
      <c r="B1511" s="36" t="s">
        <v>20</v>
      </c>
      <c r="C1511" s="36">
        <v>10</v>
      </c>
      <c r="D1511" s="36" t="s">
        <v>53</v>
      </c>
      <c r="E1511" s="36" t="s">
        <v>637</v>
      </c>
      <c r="F1511" s="36" t="s">
        <v>58</v>
      </c>
      <c r="G1511" s="37">
        <f t="shared" ref="G1511:N1513" si="657">G1512</f>
        <v>31982.92</v>
      </c>
      <c r="H1511" s="37">
        <f t="shared" si="657"/>
        <v>28784.63</v>
      </c>
      <c r="I1511" s="37">
        <f t="shared" si="657"/>
        <v>28784.63</v>
      </c>
      <c r="J1511" s="37">
        <f t="shared" si="657"/>
        <v>31982.92</v>
      </c>
      <c r="K1511" s="16">
        <f t="shared" si="639"/>
        <v>0</v>
      </c>
      <c r="L1511" s="37">
        <f t="shared" si="657"/>
        <v>28784.63</v>
      </c>
      <c r="M1511" s="16">
        <f t="shared" si="640"/>
        <v>0</v>
      </c>
      <c r="N1511" s="37">
        <f t="shared" si="657"/>
        <v>28784.63</v>
      </c>
      <c r="O1511" s="16">
        <f t="shared" si="641"/>
        <v>0</v>
      </c>
    </row>
    <row r="1512" spans="1:15" s="3" customFormat="1" ht="38.25">
      <c r="A1512" s="11" t="s">
        <v>534</v>
      </c>
      <c r="B1512" s="26" t="s">
        <v>20</v>
      </c>
      <c r="C1512" s="26">
        <v>10</v>
      </c>
      <c r="D1512" s="26" t="s">
        <v>53</v>
      </c>
      <c r="E1512" s="26" t="s">
        <v>640</v>
      </c>
      <c r="F1512" s="26" t="s">
        <v>58</v>
      </c>
      <c r="G1512" s="27">
        <f t="shared" si="657"/>
        <v>31982.92</v>
      </c>
      <c r="H1512" s="27">
        <f t="shared" si="657"/>
        <v>28784.63</v>
      </c>
      <c r="I1512" s="27">
        <f t="shared" si="657"/>
        <v>28784.63</v>
      </c>
      <c r="J1512" s="27">
        <f t="shared" si="657"/>
        <v>31982.92</v>
      </c>
      <c r="K1512" s="16">
        <f t="shared" si="639"/>
        <v>0</v>
      </c>
      <c r="L1512" s="27">
        <f t="shared" si="657"/>
        <v>28784.63</v>
      </c>
      <c r="M1512" s="16">
        <f t="shared" si="640"/>
        <v>0</v>
      </c>
      <c r="N1512" s="27">
        <f t="shared" si="657"/>
        <v>28784.63</v>
      </c>
      <c r="O1512" s="16">
        <f t="shared" si="641"/>
        <v>0</v>
      </c>
    </row>
    <row r="1513" spans="1:15" s="3" customFormat="1" ht="38.25">
      <c r="A1513" s="41" t="s">
        <v>561</v>
      </c>
      <c r="B1513" s="26" t="s">
        <v>20</v>
      </c>
      <c r="C1513" s="26">
        <v>10</v>
      </c>
      <c r="D1513" s="26" t="s">
        <v>53</v>
      </c>
      <c r="E1513" s="26" t="s">
        <v>640</v>
      </c>
      <c r="F1513" s="26" t="s">
        <v>101</v>
      </c>
      <c r="G1513" s="27">
        <f>G1514</f>
        <v>31982.92</v>
      </c>
      <c r="H1513" s="27">
        <f t="shared" si="657"/>
        <v>28784.63</v>
      </c>
      <c r="I1513" s="27">
        <f t="shared" si="657"/>
        <v>28784.63</v>
      </c>
      <c r="J1513" s="27">
        <f>31982.92</f>
        <v>31982.92</v>
      </c>
      <c r="K1513" s="16">
        <f t="shared" si="639"/>
        <v>0</v>
      </c>
      <c r="L1513" s="27">
        <f>28784.63</f>
        <v>28784.63</v>
      </c>
      <c r="M1513" s="16">
        <f t="shared" si="640"/>
        <v>0</v>
      </c>
      <c r="N1513" s="27">
        <f>28784.63</f>
        <v>28784.63</v>
      </c>
      <c r="O1513" s="16">
        <f t="shared" si="641"/>
        <v>0</v>
      </c>
    </row>
    <row r="1514" spans="1:15" s="4" customFormat="1" ht="76.5">
      <c r="A1514" s="12" t="s">
        <v>1048</v>
      </c>
      <c r="B1514" s="26" t="s">
        <v>20</v>
      </c>
      <c r="C1514" s="26">
        <v>10</v>
      </c>
      <c r="D1514" s="26" t="s">
        <v>53</v>
      </c>
      <c r="E1514" s="26" t="s">
        <v>640</v>
      </c>
      <c r="F1514" s="26" t="s">
        <v>1051</v>
      </c>
      <c r="G1514" s="27">
        <f>31982.92</f>
        <v>31982.92</v>
      </c>
      <c r="H1514" s="27">
        <f>28784.63</f>
        <v>28784.63</v>
      </c>
      <c r="I1514" s="27">
        <f>28784.63</f>
        <v>28784.63</v>
      </c>
      <c r="J1514" s="80"/>
      <c r="K1514" s="16">
        <f t="shared" si="639"/>
        <v>-31982.92</v>
      </c>
      <c r="L1514" s="80"/>
      <c r="M1514" s="16">
        <f t="shared" si="640"/>
        <v>-28784.63</v>
      </c>
      <c r="N1514" s="80"/>
      <c r="O1514" s="16">
        <f t="shared" si="641"/>
        <v>-28784.63</v>
      </c>
    </row>
    <row r="1515" spans="1:15" s="3" customFormat="1" ht="25.5">
      <c r="A1515" s="11" t="s">
        <v>733</v>
      </c>
      <c r="B1515" s="36" t="s">
        <v>20</v>
      </c>
      <c r="C1515" s="36" t="s">
        <v>14</v>
      </c>
      <c r="D1515" s="36" t="s">
        <v>53</v>
      </c>
      <c r="E1515" s="36" t="s">
        <v>524</v>
      </c>
      <c r="F1515" s="36" t="s">
        <v>58</v>
      </c>
      <c r="G1515" s="37">
        <f t="shared" ref="G1515:N1515" si="658">G1516</f>
        <v>3160.7</v>
      </c>
      <c r="H1515" s="37">
        <f t="shared" si="658"/>
        <v>2604.63</v>
      </c>
      <c r="I1515" s="37">
        <f t="shared" si="658"/>
        <v>2604.63</v>
      </c>
      <c r="J1515" s="37">
        <f t="shared" si="658"/>
        <v>3160.7</v>
      </c>
      <c r="K1515" s="16">
        <f t="shared" si="639"/>
        <v>0</v>
      </c>
      <c r="L1515" s="37">
        <f t="shared" si="658"/>
        <v>2604.63</v>
      </c>
      <c r="M1515" s="16">
        <f t="shared" si="640"/>
        <v>0</v>
      </c>
      <c r="N1515" s="37">
        <f t="shared" si="658"/>
        <v>2604.63</v>
      </c>
      <c r="O1515" s="16">
        <f t="shared" si="641"/>
        <v>0</v>
      </c>
    </row>
    <row r="1516" spans="1:15" s="3" customFormat="1" ht="25.5">
      <c r="A1516" s="34" t="s">
        <v>735</v>
      </c>
      <c r="B1516" s="36" t="s">
        <v>20</v>
      </c>
      <c r="C1516" s="36" t="s">
        <v>14</v>
      </c>
      <c r="D1516" s="36" t="s">
        <v>53</v>
      </c>
      <c r="E1516" s="36" t="s">
        <v>734</v>
      </c>
      <c r="F1516" s="36" t="s">
        <v>58</v>
      </c>
      <c r="G1516" s="37">
        <f>G1517</f>
        <v>3160.7</v>
      </c>
      <c r="H1516" s="37">
        <f>H1517</f>
        <v>2604.63</v>
      </c>
      <c r="I1516" s="37">
        <f>I1517</f>
        <v>2604.63</v>
      </c>
      <c r="J1516" s="37">
        <f>J1517</f>
        <v>3160.7</v>
      </c>
      <c r="K1516" s="16">
        <f t="shared" si="639"/>
        <v>0</v>
      </c>
      <c r="L1516" s="37">
        <f>L1517</f>
        <v>2604.63</v>
      </c>
      <c r="M1516" s="16">
        <f t="shared" si="640"/>
        <v>0</v>
      </c>
      <c r="N1516" s="37">
        <f>N1517</f>
        <v>2604.63</v>
      </c>
      <c r="O1516" s="16">
        <f t="shared" si="641"/>
        <v>0</v>
      </c>
    </row>
    <row r="1517" spans="1:15" s="3" customFormat="1" ht="25.5">
      <c r="A1517" s="34" t="s">
        <v>535</v>
      </c>
      <c r="B1517" s="36" t="s">
        <v>20</v>
      </c>
      <c r="C1517" s="36" t="s">
        <v>14</v>
      </c>
      <c r="D1517" s="36" t="s">
        <v>53</v>
      </c>
      <c r="E1517" s="36" t="s">
        <v>761</v>
      </c>
      <c r="F1517" s="36" t="s">
        <v>58</v>
      </c>
      <c r="G1517" s="37">
        <f>G1518</f>
        <v>3160.7</v>
      </c>
      <c r="H1517" s="37">
        <f t="shared" ref="H1517:N1517" si="659">H1518</f>
        <v>2604.63</v>
      </c>
      <c r="I1517" s="37">
        <f t="shared" si="659"/>
        <v>2604.63</v>
      </c>
      <c r="J1517" s="37">
        <f>J1518</f>
        <v>3160.7</v>
      </c>
      <c r="K1517" s="16">
        <f t="shared" si="639"/>
        <v>0</v>
      </c>
      <c r="L1517" s="37">
        <f t="shared" si="659"/>
        <v>2604.63</v>
      </c>
      <c r="M1517" s="16">
        <f t="shared" si="640"/>
        <v>0</v>
      </c>
      <c r="N1517" s="37">
        <f t="shared" si="659"/>
        <v>2604.63</v>
      </c>
      <c r="O1517" s="16">
        <f t="shared" si="641"/>
        <v>0</v>
      </c>
    </row>
    <row r="1518" spans="1:15" s="3" customFormat="1" ht="38.25">
      <c r="A1518" s="11" t="s">
        <v>898</v>
      </c>
      <c r="B1518" s="36" t="s">
        <v>20</v>
      </c>
      <c r="C1518" s="36" t="s">
        <v>14</v>
      </c>
      <c r="D1518" s="36" t="s">
        <v>53</v>
      </c>
      <c r="E1518" s="36" t="s">
        <v>769</v>
      </c>
      <c r="F1518" s="36" t="s">
        <v>58</v>
      </c>
      <c r="G1518" s="37">
        <f>G1519</f>
        <v>3160.7</v>
      </c>
      <c r="H1518" s="37">
        <f>H1519</f>
        <v>2604.63</v>
      </c>
      <c r="I1518" s="37">
        <f>I1519</f>
        <v>2604.63</v>
      </c>
      <c r="J1518" s="37">
        <f>J1519</f>
        <v>3160.7</v>
      </c>
      <c r="K1518" s="16">
        <f t="shared" si="639"/>
        <v>0</v>
      </c>
      <c r="L1518" s="37">
        <f>L1519</f>
        <v>2604.63</v>
      </c>
      <c r="M1518" s="16">
        <f t="shared" si="640"/>
        <v>0</v>
      </c>
      <c r="N1518" s="37">
        <f>N1519</f>
        <v>2604.63</v>
      </c>
      <c r="O1518" s="16">
        <f t="shared" si="641"/>
        <v>0</v>
      </c>
    </row>
    <row r="1519" spans="1:15" s="3" customFormat="1" ht="25.5">
      <c r="A1519" s="13" t="s">
        <v>110</v>
      </c>
      <c r="B1519" s="36" t="s">
        <v>20</v>
      </c>
      <c r="C1519" s="36" t="s">
        <v>14</v>
      </c>
      <c r="D1519" s="36" t="s">
        <v>53</v>
      </c>
      <c r="E1519" s="36" t="s">
        <v>769</v>
      </c>
      <c r="F1519" s="36" t="s">
        <v>117</v>
      </c>
      <c r="G1519" s="37">
        <f>G1520</f>
        <v>3160.7</v>
      </c>
      <c r="H1519" s="37">
        <f t="shared" ref="H1519:I1519" si="660">H1520</f>
        <v>2604.63</v>
      </c>
      <c r="I1519" s="37">
        <f t="shared" si="660"/>
        <v>2604.63</v>
      </c>
      <c r="J1519" s="37">
        <f>3160.7</f>
        <v>3160.7</v>
      </c>
      <c r="K1519" s="16">
        <f t="shared" si="639"/>
        <v>0</v>
      </c>
      <c r="L1519" s="37">
        <f>2604.63</f>
        <v>2604.63</v>
      </c>
      <c r="M1519" s="16">
        <f t="shared" si="640"/>
        <v>0</v>
      </c>
      <c r="N1519" s="37">
        <f>2604.63</f>
        <v>2604.63</v>
      </c>
      <c r="O1519" s="16">
        <f t="shared" si="641"/>
        <v>0</v>
      </c>
    </row>
    <row r="1520" spans="1:15" s="4" customFormat="1">
      <c r="A1520" s="12" t="s">
        <v>980</v>
      </c>
      <c r="B1520" s="36" t="s">
        <v>20</v>
      </c>
      <c r="C1520" s="36" t="s">
        <v>14</v>
      </c>
      <c r="D1520" s="36" t="s">
        <v>53</v>
      </c>
      <c r="E1520" s="36" t="s">
        <v>769</v>
      </c>
      <c r="F1520" s="36" t="s">
        <v>1053</v>
      </c>
      <c r="G1520" s="37">
        <f>3160.7</f>
        <v>3160.7</v>
      </c>
      <c r="H1520" s="37">
        <f>2604.63</f>
        <v>2604.63</v>
      </c>
      <c r="I1520" s="37">
        <f>2604.63</f>
        <v>2604.63</v>
      </c>
      <c r="J1520" s="80"/>
      <c r="K1520" s="16">
        <f t="shared" si="639"/>
        <v>-3160.7</v>
      </c>
      <c r="L1520" s="80"/>
      <c r="M1520" s="16">
        <f t="shared" si="640"/>
        <v>-2604.63</v>
      </c>
      <c r="N1520" s="80"/>
      <c r="O1520" s="16">
        <f t="shared" si="641"/>
        <v>-2604.63</v>
      </c>
    </row>
    <row r="1521" spans="1:15" s="3" customFormat="1">
      <c r="A1521" s="13"/>
      <c r="B1521" s="36"/>
      <c r="C1521" s="36"/>
      <c r="D1521" s="36"/>
      <c r="E1521" s="36"/>
      <c r="F1521" s="36"/>
      <c r="G1521" s="37"/>
      <c r="H1521" s="37"/>
      <c r="I1521" s="37"/>
      <c r="J1521" s="37"/>
      <c r="K1521" s="16">
        <f t="shared" si="639"/>
        <v>0</v>
      </c>
      <c r="L1521" s="37"/>
      <c r="M1521" s="16">
        <f t="shared" si="640"/>
        <v>0</v>
      </c>
      <c r="N1521" s="37"/>
      <c r="O1521" s="16">
        <f t="shared" si="641"/>
        <v>0</v>
      </c>
    </row>
    <row r="1522" spans="1:15" s="3" customFormat="1">
      <c r="A1522" s="28" t="s">
        <v>15</v>
      </c>
      <c r="B1522" s="14" t="s">
        <v>16</v>
      </c>
      <c r="C1522" s="15" t="s">
        <v>51</v>
      </c>
      <c r="D1522" s="15" t="s">
        <v>51</v>
      </c>
      <c r="E1522" s="15" t="s">
        <v>196</v>
      </c>
      <c r="F1522" s="15" t="s">
        <v>58</v>
      </c>
      <c r="G1522" s="29">
        <f>G1523+G1553+G1578+G1599+G1570</f>
        <v>1139651.51</v>
      </c>
      <c r="H1522" s="29">
        <f>H1523+H1553+H1578+H1599+H1570</f>
        <v>71889.25</v>
      </c>
      <c r="I1522" s="29">
        <f>I1523+I1553+I1578+I1599+I1570</f>
        <v>77315.3</v>
      </c>
      <c r="J1522" s="29">
        <f>J1523+J1553+J1578+J1599+J1570</f>
        <v>1139651.51</v>
      </c>
      <c r="K1522" s="16">
        <f t="shared" si="639"/>
        <v>0</v>
      </c>
      <c r="L1522" s="29">
        <f>L1523+L1553+L1578+L1599+L1570</f>
        <v>71889.25</v>
      </c>
      <c r="M1522" s="16">
        <f t="shared" si="640"/>
        <v>0</v>
      </c>
      <c r="N1522" s="29">
        <f>N1523+N1553+N1578+N1599+N1570</f>
        <v>77315.3</v>
      </c>
      <c r="O1522" s="16">
        <f t="shared" si="641"/>
        <v>0</v>
      </c>
    </row>
    <row r="1523" spans="1:15" s="3" customFormat="1">
      <c r="A1523" s="17" t="s">
        <v>64</v>
      </c>
      <c r="B1523" s="18" t="s">
        <v>16</v>
      </c>
      <c r="C1523" s="19" t="s">
        <v>65</v>
      </c>
      <c r="D1523" s="19" t="s">
        <v>51</v>
      </c>
      <c r="E1523" s="19" t="s">
        <v>196</v>
      </c>
      <c r="F1523" s="19" t="s">
        <v>58</v>
      </c>
      <c r="G1523" s="20">
        <f>G1524</f>
        <v>52002.389999999992</v>
      </c>
      <c r="H1523" s="20">
        <f>H1524</f>
        <v>51780.95</v>
      </c>
      <c r="I1523" s="20">
        <f>I1524</f>
        <v>51780.95</v>
      </c>
      <c r="J1523" s="20">
        <f>J1524</f>
        <v>52002.389999999992</v>
      </c>
      <c r="K1523" s="16">
        <f t="shared" si="639"/>
        <v>0</v>
      </c>
      <c r="L1523" s="20">
        <f>L1524</f>
        <v>51780.95</v>
      </c>
      <c r="M1523" s="16">
        <f t="shared" si="640"/>
        <v>0</v>
      </c>
      <c r="N1523" s="20">
        <f>N1524</f>
        <v>51780.95</v>
      </c>
      <c r="O1523" s="16">
        <f t="shared" si="641"/>
        <v>0</v>
      </c>
    </row>
    <row r="1524" spans="1:15" s="3" customFormat="1">
      <c r="A1524" s="21" t="s">
        <v>38</v>
      </c>
      <c r="B1524" s="22" t="s">
        <v>16</v>
      </c>
      <c r="C1524" s="23" t="s">
        <v>65</v>
      </c>
      <c r="D1524" s="23" t="s">
        <v>84</v>
      </c>
      <c r="E1524" s="23" t="s">
        <v>196</v>
      </c>
      <c r="F1524" s="23" t="s">
        <v>58</v>
      </c>
      <c r="G1524" s="24">
        <f>G1525+G1531</f>
        <v>52002.389999999992</v>
      </c>
      <c r="H1524" s="24">
        <f>H1525+H1531</f>
        <v>51780.95</v>
      </c>
      <c r="I1524" s="24">
        <f>I1525+I1531</f>
        <v>51780.95</v>
      </c>
      <c r="J1524" s="24">
        <f>J1525+J1531</f>
        <v>52002.389999999992</v>
      </c>
      <c r="K1524" s="16">
        <f t="shared" si="639"/>
        <v>0</v>
      </c>
      <c r="L1524" s="24">
        <f>L1525+L1531</f>
        <v>51780.95</v>
      </c>
      <c r="M1524" s="16">
        <f t="shared" si="640"/>
        <v>0</v>
      </c>
      <c r="N1524" s="24">
        <f>N1525+N1531</f>
        <v>51780.95</v>
      </c>
      <c r="O1524" s="16">
        <f t="shared" si="641"/>
        <v>0</v>
      </c>
    </row>
    <row r="1525" spans="1:15" s="3" customFormat="1" ht="38.25">
      <c r="A1525" s="34" t="s">
        <v>751</v>
      </c>
      <c r="B1525" s="25" t="s">
        <v>16</v>
      </c>
      <c r="C1525" s="26" t="s">
        <v>65</v>
      </c>
      <c r="D1525" s="26" t="s">
        <v>84</v>
      </c>
      <c r="E1525" s="26" t="s">
        <v>229</v>
      </c>
      <c r="F1525" s="26" t="s">
        <v>58</v>
      </c>
      <c r="G1525" s="27">
        <f t="shared" ref="G1525:N1529" si="661">G1526</f>
        <v>1000</v>
      </c>
      <c r="H1525" s="27">
        <f t="shared" si="661"/>
        <v>765</v>
      </c>
      <c r="I1525" s="27">
        <f t="shared" si="661"/>
        <v>765</v>
      </c>
      <c r="J1525" s="27">
        <f t="shared" si="661"/>
        <v>1000</v>
      </c>
      <c r="K1525" s="16">
        <f t="shared" si="639"/>
        <v>0</v>
      </c>
      <c r="L1525" s="27">
        <f t="shared" si="661"/>
        <v>765</v>
      </c>
      <c r="M1525" s="16">
        <f t="shared" si="640"/>
        <v>0</v>
      </c>
      <c r="N1525" s="27">
        <f t="shared" si="661"/>
        <v>765</v>
      </c>
      <c r="O1525" s="16">
        <f t="shared" si="641"/>
        <v>0</v>
      </c>
    </row>
    <row r="1526" spans="1:15" s="3" customFormat="1" ht="25.5">
      <c r="A1526" s="11" t="s">
        <v>119</v>
      </c>
      <c r="B1526" s="25" t="s">
        <v>16</v>
      </c>
      <c r="C1526" s="26" t="s">
        <v>65</v>
      </c>
      <c r="D1526" s="26" t="s">
        <v>84</v>
      </c>
      <c r="E1526" s="26" t="s">
        <v>230</v>
      </c>
      <c r="F1526" s="26" t="s">
        <v>58</v>
      </c>
      <c r="G1526" s="27">
        <f t="shared" si="661"/>
        <v>1000</v>
      </c>
      <c r="H1526" s="27">
        <f t="shared" si="661"/>
        <v>765</v>
      </c>
      <c r="I1526" s="27">
        <f t="shared" si="661"/>
        <v>765</v>
      </c>
      <c r="J1526" s="27">
        <f t="shared" si="661"/>
        <v>1000</v>
      </c>
      <c r="K1526" s="16">
        <f t="shared" si="639"/>
        <v>0</v>
      </c>
      <c r="L1526" s="27">
        <f t="shared" si="661"/>
        <v>765</v>
      </c>
      <c r="M1526" s="16">
        <f t="shared" si="640"/>
        <v>0</v>
      </c>
      <c r="N1526" s="27">
        <f t="shared" si="661"/>
        <v>765</v>
      </c>
      <c r="O1526" s="16">
        <f t="shared" si="641"/>
        <v>0</v>
      </c>
    </row>
    <row r="1527" spans="1:15" s="3" customFormat="1" ht="38.25">
      <c r="A1527" s="11" t="s">
        <v>579</v>
      </c>
      <c r="B1527" s="25" t="s">
        <v>16</v>
      </c>
      <c r="C1527" s="26" t="s">
        <v>65</v>
      </c>
      <c r="D1527" s="26" t="s">
        <v>84</v>
      </c>
      <c r="E1527" s="26" t="s">
        <v>235</v>
      </c>
      <c r="F1527" s="26" t="s">
        <v>58</v>
      </c>
      <c r="G1527" s="27">
        <f t="shared" si="661"/>
        <v>1000</v>
      </c>
      <c r="H1527" s="27">
        <f t="shared" si="661"/>
        <v>765</v>
      </c>
      <c r="I1527" s="27">
        <f t="shared" si="661"/>
        <v>765</v>
      </c>
      <c r="J1527" s="27">
        <f t="shared" si="661"/>
        <v>1000</v>
      </c>
      <c r="K1527" s="16">
        <f t="shared" si="639"/>
        <v>0</v>
      </c>
      <c r="L1527" s="27">
        <f t="shared" si="661"/>
        <v>765</v>
      </c>
      <c r="M1527" s="16">
        <f t="shared" si="640"/>
        <v>0</v>
      </c>
      <c r="N1527" s="27">
        <f t="shared" si="661"/>
        <v>765</v>
      </c>
      <c r="O1527" s="16">
        <f t="shared" si="641"/>
        <v>0</v>
      </c>
    </row>
    <row r="1528" spans="1:15" s="3" customFormat="1" ht="25.5">
      <c r="A1528" s="11" t="s">
        <v>170</v>
      </c>
      <c r="B1528" s="25" t="s">
        <v>16</v>
      </c>
      <c r="C1528" s="26" t="s">
        <v>65</v>
      </c>
      <c r="D1528" s="26" t="s">
        <v>84</v>
      </c>
      <c r="E1528" s="26" t="s">
        <v>236</v>
      </c>
      <c r="F1528" s="26" t="s">
        <v>58</v>
      </c>
      <c r="G1528" s="27">
        <f t="shared" si="661"/>
        <v>1000</v>
      </c>
      <c r="H1528" s="27">
        <f t="shared" si="661"/>
        <v>765</v>
      </c>
      <c r="I1528" s="27">
        <f t="shared" si="661"/>
        <v>765</v>
      </c>
      <c r="J1528" s="27">
        <f t="shared" si="661"/>
        <v>1000</v>
      </c>
      <c r="K1528" s="16">
        <f t="shared" si="639"/>
        <v>0</v>
      </c>
      <c r="L1528" s="27">
        <f t="shared" si="661"/>
        <v>765</v>
      </c>
      <c r="M1528" s="16">
        <f t="shared" si="640"/>
        <v>0</v>
      </c>
      <c r="N1528" s="27">
        <f t="shared" si="661"/>
        <v>765</v>
      </c>
      <c r="O1528" s="16">
        <f t="shared" si="641"/>
        <v>0</v>
      </c>
    </row>
    <row r="1529" spans="1:15" s="3" customFormat="1" ht="25.5">
      <c r="A1529" s="11" t="s">
        <v>108</v>
      </c>
      <c r="B1529" s="25" t="s">
        <v>16</v>
      </c>
      <c r="C1529" s="26" t="s">
        <v>65</v>
      </c>
      <c r="D1529" s="26" t="s">
        <v>84</v>
      </c>
      <c r="E1529" s="26" t="s">
        <v>236</v>
      </c>
      <c r="F1529" s="26" t="s">
        <v>116</v>
      </c>
      <c r="G1529" s="27">
        <f>G1530</f>
        <v>1000</v>
      </c>
      <c r="H1529" s="27">
        <f t="shared" si="661"/>
        <v>765</v>
      </c>
      <c r="I1529" s="27">
        <f t="shared" si="661"/>
        <v>765</v>
      </c>
      <c r="J1529" s="27">
        <f>1000</f>
        <v>1000</v>
      </c>
      <c r="K1529" s="16">
        <f t="shared" si="639"/>
        <v>0</v>
      </c>
      <c r="L1529" s="27">
        <f>765</f>
        <v>765</v>
      </c>
      <c r="M1529" s="16">
        <f t="shared" si="640"/>
        <v>0</v>
      </c>
      <c r="N1529" s="27">
        <f>765</f>
        <v>765</v>
      </c>
      <c r="O1529" s="16">
        <f t="shared" si="641"/>
        <v>0</v>
      </c>
    </row>
    <row r="1530" spans="1:15" s="4" customFormat="1" ht="25.5">
      <c r="A1530" s="12" t="s">
        <v>973</v>
      </c>
      <c r="B1530" s="25" t="s">
        <v>16</v>
      </c>
      <c r="C1530" s="26" t="s">
        <v>65</v>
      </c>
      <c r="D1530" s="26" t="s">
        <v>84</v>
      </c>
      <c r="E1530" s="26" t="s">
        <v>236</v>
      </c>
      <c r="F1530" s="26" t="s">
        <v>1043</v>
      </c>
      <c r="G1530" s="27">
        <f>1000</f>
        <v>1000</v>
      </c>
      <c r="H1530" s="27">
        <f>765</f>
        <v>765</v>
      </c>
      <c r="I1530" s="27">
        <f>765</f>
        <v>765</v>
      </c>
      <c r="J1530" s="80"/>
      <c r="K1530" s="16">
        <f t="shared" si="639"/>
        <v>-1000</v>
      </c>
      <c r="L1530" s="80"/>
      <c r="M1530" s="16">
        <f t="shared" si="640"/>
        <v>-765</v>
      </c>
      <c r="N1530" s="80"/>
      <c r="O1530" s="16">
        <f t="shared" si="641"/>
        <v>-765</v>
      </c>
    </row>
    <row r="1531" spans="1:15" s="3" customFormat="1" ht="25.5">
      <c r="A1531" s="150" t="s">
        <v>195</v>
      </c>
      <c r="B1531" s="25" t="s">
        <v>16</v>
      </c>
      <c r="C1531" s="26" t="s">
        <v>65</v>
      </c>
      <c r="D1531" s="26" t="s">
        <v>84</v>
      </c>
      <c r="E1531" s="26" t="s">
        <v>572</v>
      </c>
      <c r="F1531" s="26" t="s">
        <v>58</v>
      </c>
      <c r="G1531" s="27">
        <f>G1532+G1546</f>
        <v>51002.389999999992</v>
      </c>
      <c r="H1531" s="27">
        <f>H1532+H1546</f>
        <v>51015.95</v>
      </c>
      <c r="I1531" s="27">
        <f>I1532+I1546</f>
        <v>51015.95</v>
      </c>
      <c r="J1531" s="27">
        <f>J1532+J1546</f>
        <v>51002.389999999992</v>
      </c>
      <c r="K1531" s="16">
        <f t="shared" ref="K1531:K1593" si="662">J1531-G1531</f>
        <v>0</v>
      </c>
      <c r="L1531" s="27">
        <f>L1532+L1546</f>
        <v>51015.95</v>
      </c>
      <c r="M1531" s="16">
        <f t="shared" ref="M1531:M1593" si="663">L1531-H1531</f>
        <v>0</v>
      </c>
      <c r="N1531" s="27">
        <f>N1532+N1546</f>
        <v>51015.95</v>
      </c>
      <c r="O1531" s="16">
        <f t="shared" ref="O1531:O1593" si="664">N1531-I1531</f>
        <v>0</v>
      </c>
    </row>
    <row r="1532" spans="1:15" s="3" customFormat="1" ht="25.5">
      <c r="A1532" s="151" t="s">
        <v>580</v>
      </c>
      <c r="B1532" s="25" t="s">
        <v>16</v>
      </c>
      <c r="C1532" s="26" t="s">
        <v>65</v>
      </c>
      <c r="D1532" s="26" t="s">
        <v>84</v>
      </c>
      <c r="E1532" s="26" t="s">
        <v>573</v>
      </c>
      <c r="F1532" s="26" t="s">
        <v>58</v>
      </c>
      <c r="G1532" s="27">
        <f>G1533+G1542</f>
        <v>46902.389999999992</v>
      </c>
      <c r="H1532" s="27">
        <f>H1533+H1542</f>
        <v>46915.95</v>
      </c>
      <c r="I1532" s="27">
        <f>I1533+I1542</f>
        <v>46915.95</v>
      </c>
      <c r="J1532" s="27">
        <f>J1533+J1542</f>
        <v>46902.389999999992</v>
      </c>
      <c r="K1532" s="16">
        <f t="shared" si="662"/>
        <v>0</v>
      </c>
      <c r="L1532" s="27">
        <f>L1533+L1542</f>
        <v>46915.95</v>
      </c>
      <c r="M1532" s="16">
        <f t="shared" si="663"/>
        <v>0</v>
      </c>
      <c r="N1532" s="27">
        <f>N1533+N1542</f>
        <v>46915.95</v>
      </c>
      <c r="O1532" s="16">
        <f t="shared" si="664"/>
        <v>0</v>
      </c>
    </row>
    <row r="1533" spans="1:15" s="3" customFormat="1" ht="25.5">
      <c r="A1533" s="150" t="s">
        <v>114</v>
      </c>
      <c r="B1533" s="25" t="s">
        <v>16</v>
      </c>
      <c r="C1533" s="26" t="s">
        <v>65</v>
      </c>
      <c r="D1533" s="26" t="s">
        <v>84</v>
      </c>
      <c r="E1533" s="26" t="s">
        <v>574</v>
      </c>
      <c r="F1533" s="26" t="s">
        <v>58</v>
      </c>
      <c r="G1533" s="27">
        <f>G1534+G1537+G1539</f>
        <v>4071.0199999999995</v>
      </c>
      <c r="H1533" s="27">
        <f t="shared" ref="H1533:I1533" si="665">H1534+H1537+H1539</f>
        <v>4084.58</v>
      </c>
      <c r="I1533" s="27">
        <f t="shared" si="665"/>
        <v>4084.58</v>
      </c>
      <c r="J1533" s="27">
        <f>SUM(J1534:J1539)</f>
        <v>4071.0199999999995</v>
      </c>
      <c r="K1533" s="16">
        <f t="shared" si="662"/>
        <v>0</v>
      </c>
      <c r="L1533" s="27">
        <f>SUM(L1534:L1539)</f>
        <v>4084.58</v>
      </c>
      <c r="M1533" s="16">
        <f t="shared" si="663"/>
        <v>0</v>
      </c>
      <c r="N1533" s="27">
        <f>SUM(N1534:N1539)</f>
        <v>4084.58</v>
      </c>
      <c r="O1533" s="16">
        <f t="shared" si="664"/>
        <v>0</v>
      </c>
    </row>
    <row r="1534" spans="1:15" s="3" customFormat="1" ht="25.5">
      <c r="A1534" s="13" t="s">
        <v>107</v>
      </c>
      <c r="B1534" s="25" t="s">
        <v>16</v>
      </c>
      <c r="C1534" s="26" t="s">
        <v>65</v>
      </c>
      <c r="D1534" s="26" t="s">
        <v>84</v>
      </c>
      <c r="E1534" s="26" t="s">
        <v>574</v>
      </c>
      <c r="F1534" s="26" t="s">
        <v>115</v>
      </c>
      <c r="G1534" s="27">
        <f>SUM(G1535:G1536)</f>
        <v>994.43</v>
      </c>
      <c r="H1534" s="27">
        <f t="shared" ref="H1534:I1534" si="666">SUM(H1535:H1536)</f>
        <v>994.43</v>
      </c>
      <c r="I1534" s="27">
        <f t="shared" si="666"/>
        <v>994.43</v>
      </c>
      <c r="J1534" s="27">
        <f>763.77+230.66</f>
        <v>994.43</v>
      </c>
      <c r="K1534" s="16">
        <f t="shared" si="662"/>
        <v>0</v>
      </c>
      <c r="L1534" s="27">
        <f t="shared" ref="L1534:N1534" si="667">763.77+230.66</f>
        <v>994.43</v>
      </c>
      <c r="M1534" s="16">
        <f t="shared" si="663"/>
        <v>0</v>
      </c>
      <c r="N1534" s="27">
        <f t="shared" si="667"/>
        <v>994.43</v>
      </c>
      <c r="O1534" s="16">
        <f t="shared" si="664"/>
        <v>0</v>
      </c>
    </row>
    <row r="1535" spans="1:15" s="3" customFormat="1" ht="25.5">
      <c r="A1535" s="11" t="s">
        <v>937</v>
      </c>
      <c r="B1535" s="25" t="s">
        <v>16</v>
      </c>
      <c r="C1535" s="26" t="s">
        <v>65</v>
      </c>
      <c r="D1535" s="26" t="s">
        <v>84</v>
      </c>
      <c r="E1535" s="26" t="s">
        <v>574</v>
      </c>
      <c r="F1535" s="26" t="s">
        <v>1059</v>
      </c>
      <c r="G1535" s="27">
        <v>763.77</v>
      </c>
      <c r="H1535" s="27">
        <v>763.77</v>
      </c>
      <c r="I1535" s="27">
        <v>763.77</v>
      </c>
      <c r="J1535" s="27"/>
      <c r="K1535" s="16">
        <f t="shared" si="662"/>
        <v>-763.77</v>
      </c>
      <c r="L1535" s="27"/>
      <c r="M1535" s="16">
        <f t="shared" si="663"/>
        <v>-763.77</v>
      </c>
      <c r="N1535" s="27"/>
      <c r="O1535" s="16">
        <f t="shared" si="664"/>
        <v>-763.77</v>
      </c>
    </row>
    <row r="1536" spans="1:15" s="3" customFormat="1" ht="38.25">
      <c r="A1536" s="11" t="s">
        <v>939</v>
      </c>
      <c r="B1536" s="25" t="s">
        <v>16</v>
      </c>
      <c r="C1536" s="26" t="s">
        <v>65</v>
      </c>
      <c r="D1536" s="26" t="s">
        <v>84</v>
      </c>
      <c r="E1536" s="26" t="s">
        <v>574</v>
      </c>
      <c r="F1536" s="26" t="s">
        <v>1060</v>
      </c>
      <c r="G1536" s="27">
        <v>230.66</v>
      </c>
      <c r="H1536" s="27">
        <v>230.66</v>
      </c>
      <c r="I1536" s="27">
        <v>230.66</v>
      </c>
      <c r="J1536" s="27"/>
      <c r="K1536" s="16">
        <f t="shared" si="662"/>
        <v>-230.66</v>
      </c>
      <c r="L1536" s="27"/>
      <c r="M1536" s="16">
        <f t="shared" si="663"/>
        <v>-230.66</v>
      </c>
      <c r="N1536" s="27"/>
      <c r="O1536" s="16">
        <f t="shared" si="664"/>
        <v>-230.66</v>
      </c>
    </row>
    <row r="1537" spans="1:15" s="3" customFormat="1" ht="25.5">
      <c r="A1537" s="13" t="s">
        <v>108</v>
      </c>
      <c r="B1537" s="25" t="s">
        <v>16</v>
      </c>
      <c r="C1537" s="26" t="s">
        <v>65</v>
      </c>
      <c r="D1537" s="26" t="s">
        <v>84</v>
      </c>
      <c r="E1537" s="26" t="s">
        <v>574</v>
      </c>
      <c r="F1537" s="26" t="s">
        <v>116</v>
      </c>
      <c r="G1537" s="27">
        <f>G1538</f>
        <v>2829.9399999999996</v>
      </c>
      <c r="H1537" s="27">
        <f t="shared" ref="H1537:I1537" si="668">H1538</f>
        <v>2843.5</v>
      </c>
      <c r="I1537" s="27">
        <f t="shared" si="668"/>
        <v>2843.5</v>
      </c>
      <c r="J1537" s="27">
        <f>398.76+507.54+77.2+547.26+476.07+55.08+768.03</f>
        <v>2829.9399999999996</v>
      </c>
      <c r="K1537" s="16">
        <f t="shared" si="662"/>
        <v>0</v>
      </c>
      <c r="L1537" s="27">
        <f>412.32+507.54+77.2+547.26+476.07+55.08+768.03</f>
        <v>2843.5</v>
      </c>
      <c r="M1537" s="16">
        <f t="shared" si="663"/>
        <v>0</v>
      </c>
      <c r="N1537" s="27">
        <f>412.32+507.54+77.2+547.26+476.07+55.08+768.03</f>
        <v>2843.5</v>
      </c>
      <c r="O1537" s="16">
        <f t="shared" si="664"/>
        <v>0</v>
      </c>
    </row>
    <row r="1538" spans="1:15" s="94" customFormat="1" ht="25.5">
      <c r="A1538" s="12" t="s">
        <v>973</v>
      </c>
      <c r="B1538" s="25" t="s">
        <v>16</v>
      </c>
      <c r="C1538" s="26" t="s">
        <v>65</v>
      </c>
      <c r="D1538" s="26" t="s">
        <v>84</v>
      </c>
      <c r="E1538" s="26" t="s">
        <v>574</v>
      </c>
      <c r="F1538" s="26" t="s">
        <v>1043</v>
      </c>
      <c r="G1538" s="27">
        <f>398.76+507.54+77.2+547.26+476.07+55.08+768.03</f>
        <v>2829.9399999999996</v>
      </c>
      <c r="H1538" s="27">
        <f>412.32+507.54+77.2+547.26+476.07+55.08+768.03</f>
        <v>2843.5</v>
      </c>
      <c r="I1538" s="27">
        <f>412.32+507.54+77.2+547.26+476.07+55.08+768.03</f>
        <v>2843.5</v>
      </c>
      <c r="J1538" s="81"/>
      <c r="K1538" s="91">
        <f t="shared" si="662"/>
        <v>-2829.9399999999996</v>
      </c>
      <c r="L1538" s="81"/>
      <c r="M1538" s="91">
        <f t="shared" si="663"/>
        <v>-2843.5</v>
      </c>
      <c r="N1538" s="81"/>
      <c r="O1538" s="91">
        <f t="shared" si="664"/>
        <v>-2843.5</v>
      </c>
    </row>
    <row r="1539" spans="1:15" s="3" customFormat="1">
      <c r="A1539" s="13" t="s">
        <v>97</v>
      </c>
      <c r="B1539" s="25" t="s">
        <v>16</v>
      </c>
      <c r="C1539" s="26" t="s">
        <v>65</v>
      </c>
      <c r="D1539" s="26" t="s">
        <v>84</v>
      </c>
      <c r="E1539" s="26" t="s">
        <v>574</v>
      </c>
      <c r="F1539" s="26" t="s">
        <v>118</v>
      </c>
      <c r="G1539" s="27">
        <f>SUM(G1540:G1541)</f>
        <v>246.65</v>
      </c>
      <c r="H1539" s="27">
        <f t="shared" ref="H1539:I1539" si="669">SUM(H1540:H1541)</f>
        <v>246.65</v>
      </c>
      <c r="I1539" s="27">
        <f t="shared" si="669"/>
        <v>246.65</v>
      </c>
      <c r="J1539" s="27">
        <f>226.35+20.3</f>
        <v>246.65</v>
      </c>
      <c r="K1539" s="16">
        <f t="shared" si="662"/>
        <v>0</v>
      </c>
      <c r="L1539" s="27">
        <f t="shared" ref="L1539:N1539" si="670">226.35+20.3</f>
        <v>246.65</v>
      </c>
      <c r="M1539" s="16">
        <f t="shared" si="663"/>
        <v>0</v>
      </c>
      <c r="N1539" s="27">
        <f t="shared" si="670"/>
        <v>246.65</v>
      </c>
      <c r="O1539" s="16">
        <f t="shared" si="664"/>
        <v>0</v>
      </c>
    </row>
    <row r="1540" spans="1:15" s="3" customFormat="1">
      <c r="A1540" s="11" t="s">
        <v>1036</v>
      </c>
      <c r="B1540" s="25" t="s">
        <v>16</v>
      </c>
      <c r="C1540" s="26" t="s">
        <v>65</v>
      </c>
      <c r="D1540" s="26" t="s">
        <v>84</v>
      </c>
      <c r="E1540" s="26" t="s">
        <v>574</v>
      </c>
      <c r="F1540" s="26" t="s">
        <v>1061</v>
      </c>
      <c r="G1540" s="27">
        <v>226.35</v>
      </c>
      <c r="H1540" s="27">
        <v>226.35</v>
      </c>
      <c r="I1540" s="27">
        <v>226.35</v>
      </c>
      <c r="J1540" s="27"/>
      <c r="K1540" s="16">
        <f t="shared" si="662"/>
        <v>-226.35</v>
      </c>
      <c r="L1540" s="27"/>
      <c r="M1540" s="16">
        <f t="shared" si="663"/>
        <v>-226.35</v>
      </c>
      <c r="N1540" s="27"/>
      <c r="O1540" s="16">
        <f t="shared" si="664"/>
        <v>-226.35</v>
      </c>
    </row>
    <row r="1541" spans="1:15" s="3" customFormat="1">
      <c r="A1541" s="11" t="s">
        <v>1037</v>
      </c>
      <c r="B1541" s="25" t="s">
        <v>16</v>
      </c>
      <c r="C1541" s="26" t="s">
        <v>65</v>
      </c>
      <c r="D1541" s="26" t="s">
        <v>84</v>
      </c>
      <c r="E1541" s="26" t="s">
        <v>574</v>
      </c>
      <c r="F1541" s="26" t="s">
        <v>1062</v>
      </c>
      <c r="G1541" s="27">
        <v>20.3</v>
      </c>
      <c r="H1541" s="27">
        <v>20.3</v>
      </c>
      <c r="I1541" s="27">
        <v>20.3</v>
      </c>
      <c r="J1541" s="27"/>
      <c r="K1541" s="16">
        <f t="shared" si="662"/>
        <v>-20.3</v>
      </c>
      <c r="L1541" s="27"/>
      <c r="M1541" s="16">
        <f t="shared" si="663"/>
        <v>-20.3</v>
      </c>
      <c r="N1541" s="27"/>
      <c r="O1541" s="16">
        <f t="shared" si="664"/>
        <v>-20.3</v>
      </c>
    </row>
    <row r="1542" spans="1:15" s="3" customFormat="1" ht="25.5">
      <c r="A1542" s="13" t="s">
        <v>126</v>
      </c>
      <c r="B1542" s="25" t="s">
        <v>16</v>
      </c>
      <c r="C1542" s="26" t="s">
        <v>65</v>
      </c>
      <c r="D1542" s="26" t="s">
        <v>84</v>
      </c>
      <c r="E1542" s="26" t="s">
        <v>575</v>
      </c>
      <c r="F1542" s="26" t="s">
        <v>58</v>
      </c>
      <c r="G1542" s="27">
        <f>G1543</f>
        <v>42831.369999999995</v>
      </c>
      <c r="H1542" s="27">
        <f>H1543</f>
        <v>42831.369999999995</v>
      </c>
      <c r="I1542" s="27">
        <f>I1543</f>
        <v>42831.369999999995</v>
      </c>
      <c r="J1542" s="27">
        <f>J1543</f>
        <v>42831.369999999995</v>
      </c>
      <c r="K1542" s="16">
        <f t="shared" si="662"/>
        <v>0</v>
      </c>
      <c r="L1542" s="27">
        <f>L1543</f>
        <v>42831.369999999995</v>
      </c>
      <c r="M1542" s="16">
        <f t="shared" si="663"/>
        <v>0</v>
      </c>
      <c r="N1542" s="27">
        <f>N1543</f>
        <v>42831.369999999995</v>
      </c>
      <c r="O1542" s="16">
        <f t="shared" si="664"/>
        <v>0</v>
      </c>
    </row>
    <row r="1543" spans="1:15" s="3" customFormat="1" ht="25.5">
      <c r="A1543" s="13" t="s">
        <v>107</v>
      </c>
      <c r="B1543" s="25" t="s">
        <v>16</v>
      </c>
      <c r="C1543" s="26" t="s">
        <v>65</v>
      </c>
      <c r="D1543" s="26" t="s">
        <v>84</v>
      </c>
      <c r="E1543" s="26" t="s">
        <v>575</v>
      </c>
      <c r="F1543" s="26" t="s">
        <v>115</v>
      </c>
      <c r="G1543" s="27">
        <f>SUM(G1544:G1545)</f>
        <v>42831.369999999995</v>
      </c>
      <c r="H1543" s="27">
        <f t="shared" ref="H1543:I1543" si="671">SUM(H1544:H1545)</f>
        <v>42831.369999999995</v>
      </c>
      <c r="I1543" s="27">
        <f t="shared" si="671"/>
        <v>42831.369999999995</v>
      </c>
      <c r="J1543" s="27">
        <f>32896.6+9934.77</f>
        <v>42831.369999999995</v>
      </c>
      <c r="K1543" s="16">
        <f t="shared" si="662"/>
        <v>0</v>
      </c>
      <c r="L1543" s="27">
        <f>32896.6+9934.77</f>
        <v>42831.369999999995</v>
      </c>
      <c r="M1543" s="16">
        <f t="shared" si="663"/>
        <v>0</v>
      </c>
      <c r="N1543" s="27">
        <f>32896.6+9934.77</f>
        <v>42831.369999999995</v>
      </c>
      <c r="O1543" s="16">
        <f t="shared" si="664"/>
        <v>0</v>
      </c>
    </row>
    <row r="1544" spans="1:15" s="3" customFormat="1">
      <c r="A1544" s="11" t="s">
        <v>936</v>
      </c>
      <c r="B1544" s="25" t="s">
        <v>16</v>
      </c>
      <c r="C1544" s="26" t="s">
        <v>65</v>
      </c>
      <c r="D1544" s="26" t="s">
        <v>84</v>
      </c>
      <c r="E1544" s="26" t="s">
        <v>575</v>
      </c>
      <c r="F1544" s="26" t="s">
        <v>1063</v>
      </c>
      <c r="G1544" s="27">
        <v>32896.6</v>
      </c>
      <c r="H1544" s="27">
        <v>32896.6</v>
      </c>
      <c r="I1544" s="27">
        <v>32896.6</v>
      </c>
      <c r="J1544" s="27"/>
      <c r="K1544" s="16">
        <f t="shared" si="662"/>
        <v>-32896.6</v>
      </c>
      <c r="L1544" s="27"/>
      <c r="M1544" s="16">
        <f t="shared" si="663"/>
        <v>-32896.6</v>
      </c>
      <c r="N1544" s="27"/>
      <c r="O1544" s="16">
        <f t="shared" si="664"/>
        <v>-32896.6</v>
      </c>
    </row>
    <row r="1545" spans="1:15" s="3" customFormat="1" ht="38.25">
      <c r="A1545" s="11" t="s">
        <v>939</v>
      </c>
      <c r="B1545" s="25" t="s">
        <v>16</v>
      </c>
      <c r="C1545" s="26" t="s">
        <v>65</v>
      </c>
      <c r="D1545" s="26" t="s">
        <v>84</v>
      </c>
      <c r="E1545" s="26" t="s">
        <v>575</v>
      </c>
      <c r="F1545" s="26" t="s">
        <v>1060</v>
      </c>
      <c r="G1545" s="27">
        <v>9934.77</v>
      </c>
      <c r="H1545" s="27">
        <v>9934.77</v>
      </c>
      <c r="I1545" s="27">
        <v>9934.77</v>
      </c>
      <c r="J1545" s="27"/>
      <c r="K1545" s="16">
        <f t="shared" si="662"/>
        <v>-9934.77</v>
      </c>
      <c r="L1545" s="27"/>
      <c r="M1545" s="16">
        <f t="shared" si="663"/>
        <v>-9934.77</v>
      </c>
      <c r="N1545" s="27"/>
      <c r="O1545" s="16">
        <f t="shared" si="664"/>
        <v>-9934.77</v>
      </c>
    </row>
    <row r="1546" spans="1:15" s="3" customFormat="1">
      <c r="A1546" s="151" t="s">
        <v>175</v>
      </c>
      <c r="B1546" s="25" t="s">
        <v>16</v>
      </c>
      <c r="C1546" s="26" t="s">
        <v>65</v>
      </c>
      <c r="D1546" s="26" t="s">
        <v>84</v>
      </c>
      <c r="E1546" s="26" t="s">
        <v>576</v>
      </c>
      <c r="F1546" s="26" t="s">
        <v>58</v>
      </c>
      <c r="G1546" s="27">
        <f>G1550+G1547</f>
        <v>4100</v>
      </c>
      <c r="H1546" s="27">
        <f t="shared" ref="H1546:I1546" si="672">H1550+H1547</f>
        <v>4100</v>
      </c>
      <c r="I1546" s="27">
        <f t="shared" si="672"/>
        <v>4100</v>
      </c>
      <c r="J1546" s="27">
        <f>J1550+J1547</f>
        <v>4100</v>
      </c>
      <c r="K1546" s="16">
        <f t="shared" si="662"/>
        <v>0</v>
      </c>
      <c r="L1546" s="27">
        <f t="shared" ref="L1546:N1546" si="673">L1550+L1547</f>
        <v>4100</v>
      </c>
      <c r="M1546" s="16">
        <f t="shared" si="663"/>
        <v>0</v>
      </c>
      <c r="N1546" s="27">
        <f t="shared" si="673"/>
        <v>4100</v>
      </c>
      <c r="O1546" s="16">
        <f t="shared" si="664"/>
        <v>0</v>
      </c>
    </row>
    <row r="1547" spans="1:15" s="3" customFormat="1" ht="38.25">
      <c r="A1547" s="150" t="s">
        <v>176</v>
      </c>
      <c r="B1547" s="25" t="s">
        <v>16</v>
      </c>
      <c r="C1547" s="26" t="s">
        <v>65</v>
      </c>
      <c r="D1547" s="26" t="s">
        <v>84</v>
      </c>
      <c r="E1547" s="26" t="s">
        <v>835</v>
      </c>
      <c r="F1547" s="26" t="s">
        <v>58</v>
      </c>
      <c r="G1547" s="27">
        <f>G1548</f>
        <v>600</v>
      </c>
      <c r="H1547" s="27">
        <f t="shared" ref="H1547:N1548" si="674">H1548</f>
        <v>600</v>
      </c>
      <c r="I1547" s="27">
        <f t="shared" si="674"/>
        <v>600</v>
      </c>
      <c r="J1547" s="27">
        <f>J1548</f>
        <v>600</v>
      </c>
      <c r="K1547" s="16">
        <f t="shared" si="662"/>
        <v>0</v>
      </c>
      <c r="L1547" s="27">
        <f t="shared" si="674"/>
        <v>600</v>
      </c>
      <c r="M1547" s="16">
        <f t="shared" si="663"/>
        <v>0</v>
      </c>
      <c r="N1547" s="27">
        <f t="shared" si="674"/>
        <v>600</v>
      </c>
      <c r="O1547" s="16">
        <f t="shared" si="664"/>
        <v>0</v>
      </c>
    </row>
    <row r="1548" spans="1:15" s="3" customFormat="1" ht="25.5">
      <c r="A1548" s="11" t="s">
        <v>108</v>
      </c>
      <c r="B1548" s="25" t="s">
        <v>16</v>
      </c>
      <c r="C1548" s="26" t="s">
        <v>65</v>
      </c>
      <c r="D1548" s="26" t="s">
        <v>84</v>
      </c>
      <c r="E1548" s="26" t="s">
        <v>835</v>
      </c>
      <c r="F1548" s="26" t="s">
        <v>116</v>
      </c>
      <c r="G1548" s="27">
        <f>G1549</f>
        <v>600</v>
      </c>
      <c r="H1548" s="27">
        <f t="shared" si="674"/>
        <v>600</v>
      </c>
      <c r="I1548" s="27">
        <f t="shared" si="674"/>
        <v>600</v>
      </c>
      <c r="J1548" s="27">
        <f>600</f>
        <v>600</v>
      </c>
      <c r="K1548" s="16">
        <f t="shared" si="662"/>
        <v>0</v>
      </c>
      <c r="L1548" s="27">
        <f>600</f>
        <v>600</v>
      </c>
      <c r="M1548" s="16">
        <f t="shared" si="663"/>
        <v>0</v>
      </c>
      <c r="N1548" s="27">
        <f>600</f>
        <v>600</v>
      </c>
      <c r="O1548" s="16">
        <f t="shared" si="664"/>
        <v>0</v>
      </c>
    </row>
    <row r="1549" spans="1:15" s="4" customFormat="1" ht="25.5">
      <c r="A1549" s="12" t="s">
        <v>973</v>
      </c>
      <c r="B1549" s="25" t="s">
        <v>16</v>
      </c>
      <c r="C1549" s="26" t="s">
        <v>65</v>
      </c>
      <c r="D1549" s="26" t="s">
        <v>84</v>
      </c>
      <c r="E1549" s="26" t="s">
        <v>835</v>
      </c>
      <c r="F1549" s="26" t="s">
        <v>1043</v>
      </c>
      <c r="G1549" s="27">
        <f>600</f>
        <v>600</v>
      </c>
      <c r="H1549" s="27">
        <f>600</f>
        <v>600</v>
      </c>
      <c r="I1549" s="27">
        <f>600</f>
        <v>600</v>
      </c>
      <c r="J1549" s="80"/>
      <c r="K1549" s="16">
        <f t="shared" si="662"/>
        <v>-600</v>
      </c>
      <c r="L1549" s="80"/>
      <c r="M1549" s="16">
        <f t="shared" si="663"/>
        <v>-600</v>
      </c>
      <c r="N1549" s="80"/>
      <c r="O1549" s="16">
        <f t="shared" si="664"/>
        <v>-600</v>
      </c>
    </row>
    <row r="1550" spans="1:15" s="3" customFormat="1" ht="25.5">
      <c r="A1550" s="13" t="s">
        <v>899</v>
      </c>
      <c r="B1550" s="25" t="s">
        <v>16</v>
      </c>
      <c r="C1550" s="26" t="s">
        <v>65</v>
      </c>
      <c r="D1550" s="26" t="s">
        <v>84</v>
      </c>
      <c r="E1550" s="26" t="s">
        <v>577</v>
      </c>
      <c r="F1550" s="26" t="s">
        <v>58</v>
      </c>
      <c r="G1550" s="27">
        <f t="shared" ref="G1550:N1551" si="675">G1551</f>
        <v>3500</v>
      </c>
      <c r="H1550" s="27">
        <f t="shared" si="675"/>
        <v>3500</v>
      </c>
      <c r="I1550" s="27">
        <f t="shared" si="675"/>
        <v>3500</v>
      </c>
      <c r="J1550" s="27">
        <f t="shared" si="675"/>
        <v>3500</v>
      </c>
      <c r="K1550" s="16">
        <f t="shared" si="662"/>
        <v>0</v>
      </c>
      <c r="L1550" s="27">
        <f t="shared" si="675"/>
        <v>3500</v>
      </c>
      <c r="M1550" s="16">
        <f t="shared" si="663"/>
        <v>0</v>
      </c>
      <c r="N1550" s="27">
        <f t="shared" si="675"/>
        <v>3500</v>
      </c>
      <c r="O1550" s="16">
        <f t="shared" si="664"/>
        <v>0</v>
      </c>
    </row>
    <row r="1551" spans="1:15" s="3" customFormat="1" ht="25.5">
      <c r="A1551" s="11" t="s">
        <v>108</v>
      </c>
      <c r="B1551" s="25" t="s">
        <v>16</v>
      </c>
      <c r="C1551" s="26" t="s">
        <v>65</v>
      </c>
      <c r="D1551" s="26" t="s">
        <v>84</v>
      </c>
      <c r="E1551" s="26" t="s">
        <v>577</v>
      </c>
      <c r="F1551" s="26" t="s">
        <v>116</v>
      </c>
      <c r="G1551" s="27">
        <f>G1552</f>
        <v>3500</v>
      </c>
      <c r="H1551" s="27">
        <f t="shared" si="675"/>
        <v>3500</v>
      </c>
      <c r="I1551" s="27">
        <f t="shared" si="675"/>
        <v>3500</v>
      </c>
      <c r="J1551" s="27">
        <f>3500</f>
        <v>3500</v>
      </c>
      <c r="K1551" s="16">
        <f t="shared" si="662"/>
        <v>0</v>
      </c>
      <c r="L1551" s="27">
        <f>3500</f>
        <v>3500</v>
      </c>
      <c r="M1551" s="16">
        <f t="shared" si="663"/>
        <v>0</v>
      </c>
      <c r="N1551" s="27">
        <f>3500</f>
        <v>3500</v>
      </c>
      <c r="O1551" s="16">
        <f t="shared" si="664"/>
        <v>0</v>
      </c>
    </row>
    <row r="1552" spans="1:15" s="4" customFormat="1" ht="25.5">
      <c r="A1552" s="12" t="s">
        <v>973</v>
      </c>
      <c r="B1552" s="25" t="s">
        <v>16</v>
      </c>
      <c r="C1552" s="26" t="s">
        <v>65</v>
      </c>
      <c r="D1552" s="26" t="s">
        <v>84</v>
      </c>
      <c r="E1552" s="26" t="s">
        <v>577</v>
      </c>
      <c r="F1552" s="26" t="s">
        <v>1043</v>
      </c>
      <c r="G1552" s="27">
        <f>3500</f>
        <v>3500</v>
      </c>
      <c r="H1552" s="27">
        <f>3500</f>
        <v>3500</v>
      </c>
      <c r="I1552" s="27">
        <f>3500</f>
        <v>3500</v>
      </c>
      <c r="J1552" s="80"/>
      <c r="K1552" s="16">
        <f t="shared" si="662"/>
        <v>-3500</v>
      </c>
      <c r="L1552" s="80"/>
      <c r="M1552" s="16">
        <f t="shared" si="663"/>
        <v>-3500</v>
      </c>
      <c r="N1552" s="80"/>
      <c r="O1552" s="16">
        <f t="shared" si="664"/>
        <v>-3500</v>
      </c>
    </row>
    <row r="1553" spans="1:15" s="3" customFormat="1">
      <c r="A1553" s="17" t="s">
        <v>35</v>
      </c>
      <c r="B1553" s="18" t="s">
        <v>16</v>
      </c>
      <c r="C1553" s="19" t="s">
        <v>37</v>
      </c>
      <c r="D1553" s="19" t="s">
        <v>51</v>
      </c>
      <c r="E1553" s="19" t="s">
        <v>196</v>
      </c>
      <c r="F1553" s="19" t="s">
        <v>58</v>
      </c>
      <c r="G1553" s="20">
        <f>G1554</f>
        <v>6503</v>
      </c>
      <c r="H1553" s="20">
        <f>H1554</f>
        <v>9588.2999999999993</v>
      </c>
      <c r="I1553" s="20">
        <f>I1554</f>
        <v>9588.2999999999993</v>
      </c>
      <c r="J1553" s="20">
        <f>J1554</f>
        <v>6503</v>
      </c>
      <c r="K1553" s="16">
        <f t="shared" si="662"/>
        <v>0</v>
      </c>
      <c r="L1553" s="20">
        <f>L1554</f>
        <v>9588.2999999999993</v>
      </c>
      <c r="M1553" s="16">
        <f t="shared" si="663"/>
        <v>0</v>
      </c>
      <c r="N1553" s="20">
        <f>N1554</f>
        <v>9588.2999999999993</v>
      </c>
      <c r="O1553" s="16">
        <f t="shared" si="664"/>
        <v>0</v>
      </c>
    </row>
    <row r="1554" spans="1:15" s="3" customFormat="1">
      <c r="A1554" s="21" t="s">
        <v>73</v>
      </c>
      <c r="B1554" s="22" t="s">
        <v>16</v>
      </c>
      <c r="C1554" s="23" t="s">
        <v>37</v>
      </c>
      <c r="D1554" s="23" t="s">
        <v>40</v>
      </c>
      <c r="E1554" s="23" t="s">
        <v>196</v>
      </c>
      <c r="F1554" s="23" t="s">
        <v>58</v>
      </c>
      <c r="G1554" s="24">
        <f>G1555+G1565</f>
        <v>6503</v>
      </c>
      <c r="H1554" s="24">
        <f>H1555+H1565</f>
        <v>9588.2999999999993</v>
      </c>
      <c r="I1554" s="24">
        <f>I1555+I1565</f>
        <v>9588.2999999999993</v>
      </c>
      <c r="J1554" s="24">
        <f>J1555+J1565</f>
        <v>6503</v>
      </c>
      <c r="K1554" s="16">
        <f t="shared" si="662"/>
        <v>0</v>
      </c>
      <c r="L1554" s="24">
        <f>L1555+L1565</f>
        <v>9588.2999999999993</v>
      </c>
      <c r="M1554" s="16">
        <f t="shared" si="663"/>
        <v>0</v>
      </c>
      <c r="N1554" s="24">
        <f>N1555+N1565</f>
        <v>9588.2999999999993</v>
      </c>
      <c r="O1554" s="16">
        <f t="shared" si="664"/>
        <v>0</v>
      </c>
    </row>
    <row r="1555" spans="1:15" s="3" customFormat="1" ht="25.5">
      <c r="A1555" s="11" t="s">
        <v>730</v>
      </c>
      <c r="B1555" s="25" t="s">
        <v>16</v>
      </c>
      <c r="C1555" s="25" t="s">
        <v>37</v>
      </c>
      <c r="D1555" s="25" t="s">
        <v>40</v>
      </c>
      <c r="E1555" s="25" t="s">
        <v>565</v>
      </c>
      <c r="F1555" s="25" t="s">
        <v>58</v>
      </c>
      <c r="G1555" s="42">
        <f>G1556</f>
        <v>6403</v>
      </c>
      <c r="H1555" s="42">
        <f>H1556</f>
        <v>9488.2999999999993</v>
      </c>
      <c r="I1555" s="42">
        <f>I1556</f>
        <v>9488.2999999999993</v>
      </c>
      <c r="J1555" s="42">
        <f>J1556</f>
        <v>6403</v>
      </c>
      <c r="K1555" s="16">
        <f t="shared" si="662"/>
        <v>0</v>
      </c>
      <c r="L1555" s="42">
        <f>L1556</f>
        <v>9488.2999999999993</v>
      </c>
      <c r="M1555" s="16">
        <f t="shared" si="663"/>
        <v>0</v>
      </c>
      <c r="N1555" s="42">
        <f>N1556</f>
        <v>9488.2999999999993</v>
      </c>
      <c r="O1555" s="16">
        <f t="shared" si="664"/>
        <v>0</v>
      </c>
    </row>
    <row r="1556" spans="1:15" s="3" customFormat="1" ht="25.5">
      <c r="A1556" s="11" t="s">
        <v>732</v>
      </c>
      <c r="B1556" s="25" t="s">
        <v>16</v>
      </c>
      <c r="C1556" s="25" t="s">
        <v>37</v>
      </c>
      <c r="D1556" s="25" t="s">
        <v>40</v>
      </c>
      <c r="E1556" s="25" t="s">
        <v>731</v>
      </c>
      <c r="F1556" s="25" t="s">
        <v>58</v>
      </c>
      <c r="G1556" s="42">
        <f>G1557+G1561</f>
        <v>6403</v>
      </c>
      <c r="H1556" s="42">
        <f>H1557+H1561</f>
        <v>9488.2999999999993</v>
      </c>
      <c r="I1556" s="42">
        <f>I1557+I1561</f>
        <v>9488.2999999999993</v>
      </c>
      <c r="J1556" s="42">
        <f>J1557+J1561</f>
        <v>6403</v>
      </c>
      <c r="K1556" s="16">
        <f t="shared" si="662"/>
        <v>0</v>
      </c>
      <c r="L1556" s="42">
        <f>L1557+L1561</f>
        <v>9488.2999999999993</v>
      </c>
      <c r="M1556" s="16">
        <f t="shared" si="663"/>
        <v>0</v>
      </c>
      <c r="N1556" s="42">
        <f>N1557+N1561</f>
        <v>9488.2999999999993</v>
      </c>
      <c r="O1556" s="16">
        <f t="shared" si="664"/>
        <v>0</v>
      </c>
    </row>
    <row r="1557" spans="1:15" s="3" customFormat="1" ht="51">
      <c r="A1557" s="11" t="s">
        <v>566</v>
      </c>
      <c r="B1557" s="25" t="s">
        <v>16</v>
      </c>
      <c r="C1557" s="25" t="s">
        <v>37</v>
      </c>
      <c r="D1557" s="25" t="s">
        <v>40</v>
      </c>
      <c r="E1557" s="25" t="s">
        <v>836</v>
      </c>
      <c r="F1557" s="25" t="s">
        <v>58</v>
      </c>
      <c r="G1557" s="42">
        <f t="shared" ref="G1557:N1559" si="676">G1558</f>
        <v>403</v>
      </c>
      <c r="H1557" s="42">
        <f t="shared" si="676"/>
        <v>403</v>
      </c>
      <c r="I1557" s="42">
        <f t="shared" si="676"/>
        <v>9488.2999999999993</v>
      </c>
      <c r="J1557" s="42">
        <f t="shared" si="676"/>
        <v>403</v>
      </c>
      <c r="K1557" s="16">
        <f t="shared" si="662"/>
        <v>0</v>
      </c>
      <c r="L1557" s="42">
        <f t="shared" si="676"/>
        <v>403</v>
      </c>
      <c r="M1557" s="16">
        <f t="shared" si="663"/>
        <v>0</v>
      </c>
      <c r="N1557" s="42">
        <f t="shared" si="676"/>
        <v>9488.2999999999993</v>
      </c>
      <c r="O1557" s="16">
        <f t="shared" si="664"/>
        <v>0</v>
      </c>
    </row>
    <row r="1558" spans="1:15" s="3" customFormat="1" ht="25.5">
      <c r="A1558" s="12" t="s">
        <v>915</v>
      </c>
      <c r="B1558" s="25" t="s">
        <v>16</v>
      </c>
      <c r="C1558" s="25" t="s">
        <v>37</v>
      </c>
      <c r="D1558" s="25" t="s">
        <v>40</v>
      </c>
      <c r="E1558" s="25" t="s">
        <v>837</v>
      </c>
      <c r="F1558" s="25" t="s">
        <v>58</v>
      </c>
      <c r="G1558" s="42">
        <f t="shared" si="676"/>
        <v>403</v>
      </c>
      <c r="H1558" s="42">
        <f t="shared" si="676"/>
        <v>403</v>
      </c>
      <c r="I1558" s="42">
        <f t="shared" si="676"/>
        <v>9488.2999999999993</v>
      </c>
      <c r="J1558" s="42">
        <f t="shared" si="676"/>
        <v>403</v>
      </c>
      <c r="K1558" s="16">
        <f t="shared" si="662"/>
        <v>0</v>
      </c>
      <c r="L1558" s="42">
        <f t="shared" si="676"/>
        <v>403</v>
      </c>
      <c r="M1558" s="16">
        <f t="shared" si="663"/>
        <v>0</v>
      </c>
      <c r="N1558" s="42">
        <f t="shared" si="676"/>
        <v>9488.2999999999993</v>
      </c>
      <c r="O1558" s="16">
        <f t="shared" si="664"/>
        <v>0</v>
      </c>
    </row>
    <row r="1559" spans="1:15" s="3" customFormat="1" ht="25.5">
      <c r="A1559" s="11" t="s">
        <v>108</v>
      </c>
      <c r="B1559" s="25" t="s">
        <v>16</v>
      </c>
      <c r="C1559" s="25" t="s">
        <v>37</v>
      </c>
      <c r="D1559" s="25" t="s">
        <v>40</v>
      </c>
      <c r="E1559" s="25" t="s">
        <v>837</v>
      </c>
      <c r="F1559" s="25" t="s">
        <v>116</v>
      </c>
      <c r="G1559" s="42">
        <f>G1560</f>
        <v>403</v>
      </c>
      <c r="H1559" s="42">
        <f t="shared" si="676"/>
        <v>403</v>
      </c>
      <c r="I1559" s="42">
        <f t="shared" si="676"/>
        <v>9488.2999999999993</v>
      </c>
      <c r="J1559" s="42">
        <f>403</f>
        <v>403</v>
      </c>
      <c r="K1559" s="16">
        <f t="shared" si="662"/>
        <v>0</v>
      </c>
      <c r="L1559" s="42">
        <f>403</f>
        <v>403</v>
      </c>
      <c r="M1559" s="16">
        <f t="shared" si="663"/>
        <v>0</v>
      </c>
      <c r="N1559" s="42">
        <f>9488.3</f>
        <v>9488.2999999999993</v>
      </c>
      <c r="O1559" s="16">
        <f t="shared" si="664"/>
        <v>0</v>
      </c>
    </row>
    <row r="1560" spans="1:15" s="4" customFormat="1" ht="25.5">
      <c r="A1560" s="12" t="s">
        <v>973</v>
      </c>
      <c r="B1560" s="25" t="s">
        <v>16</v>
      </c>
      <c r="C1560" s="25" t="s">
        <v>37</v>
      </c>
      <c r="D1560" s="25" t="s">
        <v>40</v>
      </c>
      <c r="E1560" s="25" t="s">
        <v>837</v>
      </c>
      <c r="F1560" s="25" t="s">
        <v>1043</v>
      </c>
      <c r="G1560" s="42">
        <f>403</f>
        <v>403</v>
      </c>
      <c r="H1560" s="42">
        <f>403</f>
        <v>403</v>
      </c>
      <c r="I1560" s="42">
        <f>9488.3</f>
        <v>9488.2999999999993</v>
      </c>
      <c r="J1560" s="82"/>
      <c r="K1560" s="16">
        <f t="shared" si="662"/>
        <v>-403</v>
      </c>
      <c r="L1560" s="82"/>
      <c r="M1560" s="16">
        <f t="shared" si="663"/>
        <v>-403</v>
      </c>
      <c r="N1560" s="82"/>
      <c r="O1560" s="16">
        <f t="shared" si="664"/>
        <v>-9488.2999999999993</v>
      </c>
    </row>
    <row r="1561" spans="1:15" s="3" customFormat="1" ht="51">
      <c r="A1561" s="11" t="s">
        <v>867</v>
      </c>
      <c r="B1561" s="25" t="s">
        <v>16</v>
      </c>
      <c r="C1561" s="25" t="s">
        <v>37</v>
      </c>
      <c r="D1561" s="25" t="s">
        <v>40</v>
      </c>
      <c r="E1561" s="25" t="s">
        <v>838</v>
      </c>
      <c r="F1561" s="25" t="s">
        <v>58</v>
      </c>
      <c r="G1561" s="42">
        <f t="shared" ref="G1561:N1563" si="677">G1562</f>
        <v>6000</v>
      </c>
      <c r="H1561" s="42">
        <f t="shared" si="677"/>
        <v>9085.2999999999993</v>
      </c>
      <c r="I1561" s="42">
        <f t="shared" si="677"/>
        <v>0</v>
      </c>
      <c r="J1561" s="42">
        <f t="shared" si="677"/>
        <v>6000</v>
      </c>
      <c r="K1561" s="16">
        <f t="shared" si="662"/>
        <v>0</v>
      </c>
      <c r="L1561" s="42">
        <f t="shared" si="677"/>
        <v>9085.2999999999993</v>
      </c>
      <c r="M1561" s="16">
        <f t="shared" si="663"/>
        <v>0</v>
      </c>
      <c r="N1561" s="42">
        <f t="shared" si="677"/>
        <v>0</v>
      </c>
      <c r="O1561" s="16">
        <f t="shared" si="664"/>
        <v>0</v>
      </c>
    </row>
    <row r="1562" spans="1:15" s="3" customFormat="1">
      <c r="A1562" s="11" t="s">
        <v>900</v>
      </c>
      <c r="B1562" s="25" t="s">
        <v>16</v>
      </c>
      <c r="C1562" s="25" t="s">
        <v>37</v>
      </c>
      <c r="D1562" s="25" t="s">
        <v>40</v>
      </c>
      <c r="E1562" s="25" t="s">
        <v>916</v>
      </c>
      <c r="F1562" s="25" t="s">
        <v>58</v>
      </c>
      <c r="G1562" s="42">
        <f t="shared" si="677"/>
        <v>6000</v>
      </c>
      <c r="H1562" s="42">
        <f t="shared" si="677"/>
        <v>9085.2999999999993</v>
      </c>
      <c r="I1562" s="42">
        <f t="shared" si="677"/>
        <v>0</v>
      </c>
      <c r="J1562" s="42">
        <f t="shared" si="677"/>
        <v>6000</v>
      </c>
      <c r="K1562" s="16">
        <f t="shared" si="662"/>
        <v>0</v>
      </c>
      <c r="L1562" s="42">
        <f t="shared" si="677"/>
        <v>9085.2999999999993</v>
      </c>
      <c r="M1562" s="16">
        <f t="shared" si="663"/>
        <v>0</v>
      </c>
      <c r="N1562" s="42">
        <f t="shared" si="677"/>
        <v>0</v>
      </c>
      <c r="O1562" s="16">
        <f t="shared" si="664"/>
        <v>0</v>
      </c>
    </row>
    <row r="1563" spans="1:15" s="3" customFormat="1" ht="25.5">
      <c r="A1563" s="11" t="s">
        <v>108</v>
      </c>
      <c r="B1563" s="25" t="s">
        <v>16</v>
      </c>
      <c r="C1563" s="25" t="s">
        <v>37</v>
      </c>
      <c r="D1563" s="25" t="s">
        <v>40</v>
      </c>
      <c r="E1563" s="25" t="s">
        <v>916</v>
      </c>
      <c r="F1563" s="25" t="s">
        <v>116</v>
      </c>
      <c r="G1563" s="42">
        <f>G1564</f>
        <v>6000</v>
      </c>
      <c r="H1563" s="42">
        <f t="shared" si="677"/>
        <v>9085.2999999999993</v>
      </c>
      <c r="I1563" s="42">
        <f t="shared" si="677"/>
        <v>0</v>
      </c>
      <c r="J1563" s="42">
        <f>6000</f>
        <v>6000</v>
      </c>
      <c r="K1563" s="16">
        <f t="shared" si="662"/>
        <v>0</v>
      </c>
      <c r="L1563" s="42">
        <v>9085.2999999999993</v>
      </c>
      <c r="M1563" s="16">
        <f t="shared" si="663"/>
        <v>0</v>
      </c>
      <c r="N1563" s="42">
        <v>0</v>
      </c>
      <c r="O1563" s="16">
        <f t="shared" si="664"/>
        <v>0</v>
      </c>
    </row>
    <row r="1564" spans="1:15" s="4" customFormat="1" ht="25.5">
      <c r="A1564" s="12" t="s">
        <v>973</v>
      </c>
      <c r="B1564" s="25" t="s">
        <v>16</v>
      </c>
      <c r="C1564" s="25" t="s">
        <v>37</v>
      </c>
      <c r="D1564" s="25" t="s">
        <v>40</v>
      </c>
      <c r="E1564" s="25" t="s">
        <v>916</v>
      </c>
      <c r="F1564" s="25" t="s">
        <v>1043</v>
      </c>
      <c r="G1564" s="42">
        <f>6000</f>
        <v>6000</v>
      </c>
      <c r="H1564" s="42">
        <v>9085.2999999999993</v>
      </c>
      <c r="I1564" s="42">
        <v>0</v>
      </c>
      <c r="J1564" s="82"/>
      <c r="K1564" s="16">
        <f t="shared" si="662"/>
        <v>-6000</v>
      </c>
      <c r="L1564" s="82"/>
      <c r="M1564" s="16">
        <f t="shared" si="663"/>
        <v>-9085.2999999999993</v>
      </c>
      <c r="N1564" s="82"/>
      <c r="O1564" s="16">
        <f t="shared" si="664"/>
        <v>0</v>
      </c>
    </row>
    <row r="1565" spans="1:15" s="3" customFormat="1" ht="25.5">
      <c r="A1565" s="150" t="s">
        <v>195</v>
      </c>
      <c r="B1565" s="25" t="s">
        <v>16</v>
      </c>
      <c r="C1565" s="25" t="s">
        <v>37</v>
      </c>
      <c r="D1565" s="25" t="s">
        <v>40</v>
      </c>
      <c r="E1565" s="26" t="s">
        <v>572</v>
      </c>
      <c r="F1565" s="26" t="s">
        <v>58</v>
      </c>
      <c r="G1565" s="27">
        <f t="shared" ref="G1565:N1568" si="678">G1566</f>
        <v>100</v>
      </c>
      <c r="H1565" s="27">
        <f t="shared" si="678"/>
        <v>100</v>
      </c>
      <c r="I1565" s="27">
        <f t="shared" si="678"/>
        <v>100</v>
      </c>
      <c r="J1565" s="27">
        <f t="shared" si="678"/>
        <v>100</v>
      </c>
      <c r="K1565" s="16">
        <f t="shared" si="662"/>
        <v>0</v>
      </c>
      <c r="L1565" s="27">
        <f t="shared" si="678"/>
        <v>100</v>
      </c>
      <c r="M1565" s="16">
        <f t="shared" si="663"/>
        <v>0</v>
      </c>
      <c r="N1565" s="27">
        <f t="shared" si="678"/>
        <v>100</v>
      </c>
      <c r="O1565" s="16">
        <f t="shared" si="664"/>
        <v>0</v>
      </c>
    </row>
    <row r="1566" spans="1:15" s="3" customFormat="1">
      <c r="A1566" s="151" t="s">
        <v>175</v>
      </c>
      <c r="B1566" s="25" t="s">
        <v>16</v>
      </c>
      <c r="C1566" s="25" t="s">
        <v>37</v>
      </c>
      <c r="D1566" s="25" t="s">
        <v>40</v>
      </c>
      <c r="E1566" s="26" t="s">
        <v>576</v>
      </c>
      <c r="F1566" s="26" t="s">
        <v>58</v>
      </c>
      <c r="G1566" s="27">
        <f t="shared" si="678"/>
        <v>100</v>
      </c>
      <c r="H1566" s="27">
        <f t="shared" si="678"/>
        <v>100</v>
      </c>
      <c r="I1566" s="27">
        <f t="shared" si="678"/>
        <v>100</v>
      </c>
      <c r="J1566" s="27">
        <f t="shared" si="678"/>
        <v>100</v>
      </c>
      <c r="K1566" s="16">
        <f t="shared" si="662"/>
        <v>0</v>
      </c>
      <c r="L1566" s="27">
        <f t="shared" si="678"/>
        <v>100</v>
      </c>
      <c r="M1566" s="16">
        <f t="shared" si="663"/>
        <v>0</v>
      </c>
      <c r="N1566" s="27">
        <f t="shared" si="678"/>
        <v>100</v>
      </c>
      <c r="O1566" s="16">
        <f t="shared" si="664"/>
        <v>0</v>
      </c>
    </row>
    <row r="1567" spans="1:15" s="3" customFormat="1" ht="25.5">
      <c r="A1567" s="150" t="s">
        <v>705</v>
      </c>
      <c r="B1567" s="25" t="s">
        <v>16</v>
      </c>
      <c r="C1567" s="25" t="s">
        <v>37</v>
      </c>
      <c r="D1567" s="25" t="s">
        <v>40</v>
      </c>
      <c r="E1567" s="26" t="s">
        <v>578</v>
      </c>
      <c r="F1567" s="26" t="s">
        <v>58</v>
      </c>
      <c r="G1567" s="27">
        <f t="shared" si="678"/>
        <v>100</v>
      </c>
      <c r="H1567" s="27">
        <f t="shared" si="678"/>
        <v>100</v>
      </c>
      <c r="I1567" s="27">
        <f t="shared" si="678"/>
        <v>100</v>
      </c>
      <c r="J1567" s="27">
        <f t="shared" si="678"/>
        <v>100</v>
      </c>
      <c r="K1567" s="16">
        <f t="shared" si="662"/>
        <v>0</v>
      </c>
      <c r="L1567" s="27">
        <f t="shared" si="678"/>
        <v>100</v>
      </c>
      <c r="M1567" s="16">
        <f t="shared" si="663"/>
        <v>0</v>
      </c>
      <c r="N1567" s="27">
        <f t="shared" si="678"/>
        <v>100</v>
      </c>
      <c r="O1567" s="16">
        <f t="shared" si="664"/>
        <v>0</v>
      </c>
    </row>
    <row r="1568" spans="1:15" s="3" customFormat="1" ht="25.5">
      <c r="A1568" s="11" t="s">
        <v>108</v>
      </c>
      <c r="B1568" s="25" t="s">
        <v>16</v>
      </c>
      <c r="C1568" s="25" t="s">
        <v>37</v>
      </c>
      <c r="D1568" s="25" t="s">
        <v>40</v>
      </c>
      <c r="E1568" s="26" t="s">
        <v>578</v>
      </c>
      <c r="F1568" s="26" t="s">
        <v>116</v>
      </c>
      <c r="G1568" s="27">
        <f>G1569</f>
        <v>100</v>
      </c>
      <c r="H1568" s="27">
        <f t="shared" si="678"/>
        <v>100</v>
      </c>
      <c r="I1568" s="27">
        <f t="shared" si="678"/>
        <v>100</v>
      </c>
      <c r="J1568" s="27">
        <f>100</f>
        <v>100</v>
      </c>
      <c r="K1568" s="16">
        <f t="shared" si="662"/>
        <v>0</v>
      </c>
      <c r="L1568" s="27">
        <f>100</f>
        <v>100</v>
      </c>
      <c r="M1568" s="16">
        <f t="shared" si="663"/>
        <v>0</v>
      </c>
      <c r="N1568" s="27">
        <f>100</f>
        <v>100</v>
      </c>
      <c r="O1568" s="16">
        <f t="shared" si="664"/>
        <v>0</v>
      </c>
    </row>
    <row r="1569" spans="1:15" s="4" customFormat="1" ht="25.5">
      <c r="A1569" s="12" t="s">
        <v>973</v>
      </c>
      <c r="B1569" s="25" t="s">
        <v>16</v>
      </c>
      <c r="C1569" s="25" t="s">
        <v>37</v>
      </c>
      <c r="D1569" s="25" t="s">
        <v>40</v>
      </c>
      <c r="E1569" s="26" t="s">
        <v>578</v>
      </c>
      <c r="F1569" s="26" t="s">
        <v>1043</v>
      </c>
      <c r="G1569" s="27">
        <f>100</f>
        <v>100</v>
      </c>
      <c r="H1569" s="27">
        <f>100</f>
        <v>100</v>
      </c>
      <c r="I1569" s="27">
        <f>100</f>
        <v>100</v>
      </c>
      <c r="J1569" s="80"/>
      <c r="K1569" s="16">
        <f t="shared" si="662"/>
        <v>-100</v>
      </c>
      <c r="L1569" s="80"/>
      <c r="M1569" s="16">
        <f t="shared" si="663"/>
        <v>-100</v>
      </c>
      <c r="N1569" s="80"/>
      <c r="O1569" s="16">
        <f t="shared" si="664"/>
        <v>-100</v>
      </c>
    </row>
    <row r="1570" spans="1:15" s="3" customFormat="1">
      <c r="A1570" s="17" t="s">
        <v>7</v>
      </c>
      <c r="B1570" s="18" t="s">
        <v>16</v>
      </c>
      <c r="C1570" s="19" t="s">
        <v>8</v>
      </c>
      <c r="D1570" s="19" t="s">
        <v>51</v>
      </c>
      <c r="E1570" s="19" t="s">
        <v>196</v>
      </c>
      <c r="F1570" s="19" t="s">
        <v>58</v>
      </c>
      <c r="G1570" s="20">
        <f t="shared" ref="G1570:G1575" si="679">G1571</f>
        <v>200000</v>
      </c>
      <c r="H1570" s="20">
        <f t="shared" ref="H1570:N1575" si="680">H1571</f>
        <v>0</v>
      </c>
      <c r="I1570" s="20">
        <f t="shared" si="680"/>
        <v>0</v>
      </c>
      <c r="J1570" s="20">
        <f t="shared" si="680"/>
        <v>200000</v>
      </c>
      <c r="K1570" s="16">
        <f t="shared" si="662"/>
        <v>0</v>
      </c>
      <c r="L1570" s="20">
        <f t="shared" si="680"/>
        <v>0</v>
      </c>
      <c r="M1570" s="16">
        <f t="shared" si="663"/>
        <v>0</v>
      </c>
      <c r="N1570" s="20">
        <f t="shared" si="680"/>
        <v>0</v>
      </c>
      <c r="O1570" s="16">
        <f t="shared" si="664"/>
        <v>0</v>
      </c>
    </row>
    <row r="1571" spans="1:15" s="3" customFormat="1">
      <c r="A1571" s="21" t="s">
        <v>1</v>
      </c>
      <c r="B1571" s="22" t="s">
        <v>16</v>
      </c>
      <c r="C1571" s="23" t="s">
        <v>8</v>
      </c>
      <c r="D1571" s="23" t="s">
        <v>53</v>
      </c>
      <c r="E1571" s="23" t="s">
        <v>196</v>
      </c>
      <c r="F1571" s="23" t="s">
        <v>58</v>
      </c>
      <c r="G1571" s="24">
        <f t="shared" si="679"/>
        <v>200000</v>
      </c>
      <c r="H1571" s="24">
        <f t="shared" si="680"/>
        <v>0</v>
      </c>
      <c r="I1571" s="24">
        <f t="shared" si="680"/>
        <v>0</v>
      </c>
      <c r="J1571" s="24">
        <f t="shared" si="680"/>
        <v>200000</v>
      </c>
      <c r="K1571" s="16">
        <f t="shared" si="662"/>
        <v>0</v>
      </c>
      <c r="L1571" s="24">
        <f t="shared" si="680"/>
        <v>0</v>
      </c>
      <c r="M1571" s="16">
        <f t="shared" si="663"/>
        <v>0</v>
      </c>
      <c r="N1571" s="24">
        <f t="shared" si="680"/>
        <v>0</v>
      </c>
      <c r="O1571" s="16">
        <f t="shared" si="664"/>
        <v>0</v>
      </c>
    </row>
    <row r="1572" spans="1:15" s="3" customFormat="1" ht="38.25">
      <c r="A1572" s="12" t="s">
        <v>722</v>
      </c>
      <c r="B1572" s="26" t="s">
        <v>16</v>
      </c>
      <c r="C1572" s="26" t="s">
        <v>8</v>
      </c>
      <c r="D1572" s="26" t="s">
        <v>53</v>
      </c>
      <c r="E1572" s="26" t="s">
        <v>300</v>
      </c>
      <c r="F1572" s="26" t="s">
        <v>58</v>
      </c>
      <c r="G1572" s="42">
        <f t="shared" si="679"/>
        <v>200000</v>
      </c>
      <c r="H1572" s="42">
        <f t="shared" ref="H1572:N1576" si="681">H1573</f>
        <v>0</v>
      </c>
      <c r="I1572" s="42">
        <f t="shared" si="681"/>
        <v>0</v>
      </c>
      <c r="J1572" s="42">
        <f t="shared" si="680"/>
        <v>200000</v>
      </c>
      <c r="K1572" s="16">
        <f t="shared" si="662"/>
        <v>0</v>
      </c>
      <c r="L1572" s="42">
        <f t="shared" si="681"/>
        <v>0</v>
      </c>
      <c r="M1572" s="16">
        <f t="shared" si="663"/>
        <v>0</v>
      </c>
      <c r="N1572" s="42">
        <f t="shared" si="681"/>
        <v>0</v>
      </c>
      <c r="O1572" s="16">
        <f t="shared" si="664"/>
        <v>0</v>
      </c>
    </row>
    <row r="1573" spans="1:15" s="3" customFormat="1">
      <c r="A1573" s="11" t="s">
        <v>142</v>
      </c>
      <c r="B1573" s="26" t="s">
        <v>16</v>
      </c>
      <c r="C1573" s="26" t="s">
        <v>8</v>
      </c>
      <c r="D1573" s="26" t="s">
        <v>53</v>
      </c>
      <c r="E1573" s="26" t="s">
        <v>453</v>
      </c>
      <c r="F1573" s="26" t="s">
        <v>58</v>
      </c>
      <c r="G1573" s="42">
        <f t="shared" si="679"/>
        <v>200000</v>
      </c>
      <c r="H1573" s="42">
        <f t="shared" si="681"/>
        <v>0</v>
      </c>
      <c r="I1573" s="42">
        <f t="shared" si="681"/>
        <v>0</v>
      </c>
      <c r="J1573" s="42">
        <f t="shared" si="680"/>
        <v>200000</v>
      </c>
      <c r="K1573" s="16">
        <f t="shared" si="662"/>
        <v>0</v>
      </c>
      <c r="L1573" s="42">
        <f t="shared" si="681"/>
        <v>0</v>
      </c>
      <c r="M1573" s="16">
        <f t="shared" si="663"/>
        <v>0</v>
      </c>
      <c r="N1573" s="42">
        <f t="shared" si="681"/>
        <v>0</v>
      </c>
      <c r="O1573" s="16">
        <f t="shared" si="664"/>
        <v>0</v>
      </c>
    </row>
    <row r="1574" spans="1:15" s="3" customFormat="1" ht="25.5">
      <c r="A1574" s="40" t="s">
        <v>454</v>
      </c>
      <c r="B1574" s="35" t="s">
        <v>16</v>
      </c>
      <c r="C1574" s="36" t="s">
        <v>8</v>
      </c>
      <c r="D1574" s="36" t="s">
        <v>53</v>
      </c>
      <c r="E1574" s="26" t="s">
        <v>645</v>
      </c>
      <c r="F1574" s="36" t="s">
        <v>58</v>
      </c>
      <c r="G1574" s="37">
        <f t="shared" si="679"/>
        <v>200000</v>
      </c>
      <c r="H1574" s="37">
        <f t="shared" si="681"/>
        <v>0</v>
      </c>
      <c r="I1574" s="37">
        <f t="shared" si="681"/>
        <v>0</v>
      </c>
      <c r="J1574" s="37">
        <f t="shared" si="680"/>
        <v>200000</v>
      </c>
      <c r="K1574" s="16">
        <f t="shared" si="662"/>
        <v>0</v>
      </c>
      <c r="L1574" s="37">
        <f t="shared" si="681"/>
        <v>0</v>
      </c>
      <c r="M1574" s="16">
        <f t="shared" si="663"/>
        <v>0</v>
      </c>
      <c r="N1574" s="37">
        <f t="shared" si="681"/>
        <v>0</v>
      </c>
      <c r="O1574" s="16">
        <f t="shared" si="664"/>
        <v>0</v>
      </c>
    </row>
    <row r="1575" spans="1:15" s="3" customFormat="1" ht="63.75">
      <c r="A1575" s="12" t="s">
        <v>588</v>
      </c>
      <c r="B1575" s="35" t="s">
        <v>16</v>
      </c>
      <c r="C1575" s="36" t="s">
        <v>8</v>
      </c>
      <c r="D1575" s="36" t="s">
        <v>53</v>
      </c>
      <c r="E1575" s="36" t="s">
        <v>648</v>
      </c>
      <c r="F1575" s="36" t="s">
        <v>58</v>
      </c>
      <c r="G1575" s="37">
        <f t="shared" si="679"/>
        <v>200000</v>
      </c>
      <c r="H1575" s="37">
        <f t="shared" si="681"/>
        <v>0</v>
      </c>
      <c r="I1575" s="37">
        <f t="shared" si="681"/>
        <v>0</v>
      </c>
      <c r="J1575" s="37">
        <f t="shared" si="680"/>
        <v>200000</v>
      </c>
      <c r="K1575" s="16">
        <f t="shared" si="662"/>
        <v>0</v>
      </c>
      <c r="L1575" s="37">
        <f t="shared" si="681"/>
        <v>0</v>
      </c>
      <c r="M1575" s="16">
        <f t="shared" si="663"/>
        <v>0</v>
      </c>
      <c r="N1575" s="37">
        <f t="shared" si="681"/>
        <v>0</v>
      </c>
      <c r="O1575" s="16">
        <f t="shared" si="664"/>
        <v>0</v>
      </c>
    </row>
    <row r="1576" spans="1:15" s="3" customFormat="1" ht="25.5">
      <c r="A1576" s="11" t="s">
        <v>108</v>
      </c>
      <c r="B1576" s="35" t="s">
        <v>16</v>
      </c>
      <c r="C1576" s="36" t="s">
        <v>8</v>
      </c>
      <c r="D1576" s="36" t="s">
        <v>53</v>
      </c>
      <c r="E1576" s="36" t="s">
        <v>648</v>
      </c>
      <c r="F1576" s="36" t="s">
        <v>116</v>
      </c>
      <c r="G1576" s="37">
        <f>G1577</f>
        <v>200000</v>
      </c>
      <c r="H1576" s="37">
        <f t="shared" si="681"/>
        <v>0</v>
      </c>
      <c r="I1576" s="37">
        <f t="shared" si="681"/>
        <v>0</v>
      </c>
      <c r="J1576" s="37">
        <f>50000+150000</f>
        <v>200000</v>
      </c>
      <c r="K1576" s="16">
        <f t="shared" si="662"/>
        <v>0</v>
      </c>
      <c r="L1576" s="37">
        <v>0</v>
      </c>
      <c r="M1576" s="16">
        <f t="shared" si="663"/>
        <v>0</v>
      </c>
      <c r="N1576" s="37">
        <v>0</v>
      </c>
      <c r="O1576" s="16">
        <f t="shared" si="664"/>
        <v>0</v>
      </c>
    </row>
    <row r="1577" spans="1:15" s="4" customFormat="1" ht="25.5">
      <c r="A1577" s="12" t="s">
        <v>973</v>
      </c>
      <c r="B1577" s="35" t="s">
        <v>16</v>
      </c>
      <c r="C1577" s="36" t="s">
        <v>8</v>
      </c>
      <c r="D1577" s="36" t="s">
        <v>53</v>
      </c>
      <c r="E1577" s="36" t="s">
        <v>648</v>
      </c>
      <c r="F1577" s="36" t="s">
        <v>1043</v>
      </c>
      <c r="G1577" s="37">
        <f>50000+150000</f>
        <v>200000</v>
      </c>
      <c r="H1577" s="37">
        <v>0</v>
      </c>
      <c r="I1577" s="37">
        <v>0</v>
      </c>
      <c r="J1577" s="80"/>
      <c r="K1577" s="16">
        <f t="shared" si="662"/>
        <v>-200000</v>
      </c>
      <c r="L1577" s="80"/>
      <c r="M1577" s="16">
        <f t="shared" si="663"/>
        <v>0</v>
      </c>
      <c r="N1577" s="80"/>
      <c r="O1577" s="16">
        <f t="shared" si="664"/>
        <v>0</v>
      </c>
    </row>
    <row r="1578" spans="1:15" s="3" customFormat="1">
      <c r="A1578" s="17" t="s">
        <v>70</v>
      </c>
      <c r="B1578" s="18" t="s">
        <v>16</v>
      </c>
      <c r="C1578" s="19" t="s">
        <v>71</v>
      </c>
      <c r="D1578" s="19" t="s">
        <v>51</v>
      </c>
      <c r="E1578" s="19" t="s">
        <v>196</v>
      </c>
      <c r="F1578" s="19" t="s">
        <v>58</v>
      </c>
      <c r="G1578" s="20">
        <f>G1579+G1586</f>
        <v>830346.12</v>
      </c>
      <c r="H1578" s="20">
        <f>H1579+H1586</f>
        <v>9800</v>
      </c>
      <c r="I1578" s="20">
        <f>I1579+I1586</f>
        <v>15226.05</v>
      </c>
      <c r="J1578" s="20">
        <f>J1579+J1586</f>
        <v>830346.12</v>
      </c>
      <c r="K1578" s="16">
        <f t="shared" si="662"/>
        <v>0</v>
      </c>
      <c r="L1578" s="20">
        <f>L1579+L1586</f>
        <v>9800</v>
      </c>
      <c r="M1578" s="16">
        <f t="shared" si="663"/>
        <v>0</v>
      </c>
      <c r="N1578" s="20">
        <f>N1579+N1586</f>
        <v>15226.05</v>
      </c>
      <c r="O1578" s="16">
        <f t="shared" si="664"/>
        <v>0</v>
      </c>
    </row>
    <row r="1579" spans="1:15" s="3" customFormat="1">
      <c r="A1579" s="21" t="s">
        <v>72</v>
      </c>
      <c r="B1579" s="22" t="s">
        <v>16</v>
      </c>
      <c r="C1579" s="23" t="s">
        <v>71</v>
      </c>
      <c r="D1579" s="23" t="s">
        <v>65</v>
      </c>
      <c r="E1579" s="23" t="s">
        <v>196</v>
      </c>
      <c r="F1579" s="23" t="s">
        <v>58</v>
      </c>
      <c r="G1579" s="24">
        <f t="shared" ref="G1579:N1582" si="682">G1580</f>
        <v>600</v>
      </c>
      <c r="H1579" s="24">
        <f t="shared" si="682"/>
        <v>9800</v>
      </c>
      <c r="I1579" s="24">
        <f t="shared" si="682"/>
        <v>7613.03</v>
      </c>
      <c r="J1579" s="24">
        <f t="shared" si="682"/>
        <v>600</v>
      </c>
      <c r="K1579" s="16">
        <f t="shared" si="662"/>
        <v>0</v>
      </c>
      <c r="L1579" s="24">
        <f t="shared" si="682"/>
        <v>9800</v>
      </c>
      <c r="M1579" s="16">
        <f t="shared" si="663"/>
        <v>0</v>
      </c>
      <c r="N1579" s="24">
        <f t="shared" si="682"/>
        <v>7613.03</v>
      </c>
      <c r="O1579" s="16">
        <f t="shared" si="664"/>
        <v>0</v>
      </c>
    </row>
    <row r="1580" spans="1:15" s="3" customFormat="1" ht="25.5">
      <c r="A1580" s="13" t="s">
        <v>723</v>
      </c>
      <c r="B1580" s="25" t="s">
        <v>16</v>
      </c>
      <c r="C1580" s="26" t="s">
        <v>71</v>
      </c>
      <c r="D1580" s="26" t="s">
        <v>65</v>
      </c>
      <c r="E1580" s="26" t="s">
        <v>331</v>
      </c>
      <c r="F1580" s="26" t="s">
        <v>58</v>
      </c>
      <c r="G1580" s="27">
        <f t="shared" si="682"/>
        <v>600</v>
      </c>
      <c r="H1580" s="27">
        <f t="shared" si="682"/>
        <v>9800</v>
      </c>
      <c r="I1580" s="27">
        <f t="shared" si="682"/>
        <v>7613.03</v>
      </c>
      <c r="J1580" s="27">
        <f t="shared" si="682"/>
        <v>600</v>
      </c>
      <c r="K1580" s="16">
        <f t="shared" si="662"/>
        <v>0</v>
      </c>
      <c r="L1580" s="27">
        <f t="shared" si="682"/>
        <v>9800</v>
      </c>
      <c r="M1580" s="16">
        <f t="shared" si="663"/>
        <v>0</v>
      </c>
      <c r="N1580" s="27">
        <f t="shared" si="682"/>
        <v>7613.03</v>
      </c>
      <c r="O1580" s="16">
        <f t="shared" si="664"/>
        <v>0</v>
      </c>
    </row>
    <row r="1581" spans="1:15" s="3" customFormat="1" ht="25.5">
      <c r="A1581" s="11" t="s">
        <v>724</v>
      </c>
      <c r="B1581" s="25" t="s">
        <v>16</v>
      </c>
      <c r="C1581" s="26" t="s">
        <v>71</v>
      </c>
      <c r="D1581" s="26" t="s">
        <v>65</v>
      </c>
      <c r="E1581" s="26" t="s">
        <v>562</v>
      </c>
      <c r="F1581" s="26" t="s">
        <v>58</v>
      </c>
      <c r="G1581" s="27">
        <f t="shared" si="682"/>
        <v>600</v>
      </c>
      <c r="H1581" s="27">
        <f t="shared" si="682"/>
        <v>9800</v>
      </c>
      <c r="I1581" s="27">
        <f t="shared" si="682"/>
        <v>7613.03</v>
      </c>
      <c r="J1581" s="27">
        <f t="shared" si="682"/>
        <v>600</v>
      </c>
      <c r="K1581" s="16">
        <f t="shared" si="662"/>
        <v>0</v>
      </c>
      <c r="L1581" s="27">
        <f t="shared" si="682"/>
        <v>9800</v>
      </c>
      <c r="M1581" s="16">
        <f t="shared" si="663"/>
        <v>0</v>
      </c>
      <c r="N1581" s="27">
        <f t="shared" si="682"/>
        <v>7613.03</v>
      </c>
      <c r="O1581" s="16">
        <f t="shared" si="664"/>
        <v>0</v>
      </c>
    </row>
    <row r="1582" spans="1:15" s="3" customFormat="1" ht="38.25">
      <c r="A1582" s="11" t="s">
        <v>612</v>
      </c>
      <c r="B1582" s="25" t="s">
        <v>16</v>
      </c>
      <c r="C1582" s="26" t="s">
        <v>71</v>
      </c>
      <c r="D1582" s="26" t="s">
        <v>65</v>
      </c>
      <c r="E1582" s="26" t="s">
        <v>563</v>
      </c>
      <c r="F1582" s="26" t="s">
        <v>58</v>
      </c>
      <c r="G1582" s="27">
        <f t="shared" si="682"/>
        <v>600</v>
      </c>
      <c r="H1582" s="27">
        <f t="shared" si="682"/>
        <v>9800</v>
      </c>
      <c r="I1582" s="27">
        <f t="shared" si="682"/>
        <v>7613.03</v>
      </c>
      <c r="J1582" s="27">
        <f t="shared" si="682"/>
        <v>600</v>
      </c>
      <c r="K1582" s="16">
        <f t="shared" si="662"/>
        <v>0</v>
      </c>
      <c r="L1582" s="27">
        <f t="shared" si="682"/>
        <v>9800</v>
      </c>
      <c r="M1582" s="16">
        <f t="shared" si="663"/>
        <v>0</v>
      </c>
      <c r="N1582" s="27">
        <f t="shared" si="682"/>
        <v>7613.03</v>
      </c>
      <c r="O1582" s="16">
        <f t="shared" si="664"/>
        <v>0</v>
      </c>
    </row>
    <row r="1583" spans="1:15" s="3" customFormat="1" ht="38.25">
      <c r="A1583" s="11" t="s">
        <v>154</v>
      </c>
      <c r="B1583" s="25" t="s">
        <v>16</v>
      </c>
      <c r="C1583" s="26" t="s">
        <v>71</v>
      </c>
      <c r="D1583" s="26" t="s">
        <v>65</v>
      </c>
      <c r="E1583" s="26" t="s">
        <v>564</v>
      </c>
      <c r="F1583" s="26" t="s">
        <v>58</v>
      </c>
      <c r="G1583" s="27">
        <f>G1584</f>
        <v>600</v>
      </c>
      <c r="H1583" s="27">
        <f>H1584</f>
        <v>9800</v>
      </c>
      <c r="I1583" s="27">
        <f>I1584</f>
        <v>7613.03</v>
      </c>
      <c r="J1583" s="27">
        <f>J1584</f>
        <v>600</v>
      </c>
      <c r="K1583" s="16">
        <f t="shared" si="662"/>
        <v>0</v>
      </c>
      <c r="L1583" s="27">
        <f>L1584</f>
        <v>9800</v>
      </c>
      <c r="M1583" s="16">
        <f t="shared" si="663"/>
        <v>0</v>
      </c>
      <c r="N1583" s="27">
        <f>N1584</f>
        <v>7613.03</v>
      </c>
      <c r="O1583" s="16">
        <f t="shared" si="664"/>
        <v>0</v>
      </c>
    </row>
    <row r="1584" spans="1:15" s="3" customFormat="1">
      <c r="A1584" s="11" t="s">
        <v>21</v>
      </c>
      <c r="B1584" s="25" t="s">
        <v>16</v>
      </c>
      <c r="C1584" s="26" t="s">
        <v>71</v>
      </c>
      <c r="D1584" s="26" t="s">
        <v>65</v>
      </c>
      <c r="E1584" s="26" t="s">
        <v>564</v>
      </c>
      <c r="F1584" s="26" t="s">
        <v>103</v>
      </c>
      <c r="G1584" s="27">
        <f>G1585</f>
        <v>600</v>
      </c>
      <c r="H1584" s="27">
        <f t="shared" ref="H1584:I1584" si="683">H1585</f>
        <v>9800</v>
      </c>
      <c r="I1584" s="27">
        <f t="shared" si="683"/>
        <v>7613.03</v>
      </c>
      <c r="J1584" s="27">
        <v>600</v>
      </c>
      <c r="K1584" s="16">
        <f t="shared" si="662"/>
        <v>0</v>
      </c>
      <c r="L1584" s="27">
        <v>9800</v>
      </c>
      <c r="M1584" s="16">
        <f t="shared" si="663"/>
        <v>0</v>
      </c>
      <c r="N1584" s="27">
        <v>7613.03</v>
      </c>
      <c r="O1584" s="16">
        <f t="shared" si="664"/>
        <v>0</v>
      </c>
    </row>
    <row r="1585" spans="1:15" s="4" customFormat="1" ht="25.5">
      <c r="A1585" s="12" t="s">
        <v>987</v>
      </c>
      <c r="B1585" s="25" t="s">
        <v>16</v>
      </c>
      <c r="C1585" s="26" t="s">
        <v>71</v>
      </c>
      <c r="D1585" s="26" t="s">
        <v>65</v>
      </c>
      <c r="E1585" s="26" t="s">
        <v>564</v>
      </c>
      <c r="F1585" s="26" t="s">
        <v>1052</v>
      </c>
      <c r="G1585" s="27">
        <v>600</v>
      </c>
      <c r="H1585" s="27">
        <v>9800</v>
      </c>
      <c r="I1585" s="27">
        <v>7613.03</v>
      </c>
      <c r="J1585" s="80"/>
      <c r="K1585" s="16">
        <f t="shared" si="662"/>
        <v>-600</v>
      </c>
      <c r="L1585" s="80"/>
      <c r="M1585" s="16">
        <f t="shared" si="663"/>
        <v>-9800</v>
      </c>
      <c r="N1585" s="80"/>
      <c r="O1585" s="16">
        <f t="shared" si="664"/>
        <v>-7613.03</v>
      </c>
    </row>
    <row r="1586" spans="1:15" s="3" customFormat="1">
      <c r="A1586" s="21" t="s">
        <v>61</v>
      </c>
      <c r="B1586" s="22" t="s">
        <v>16</v>
      </c>
      <c r="C1586" s="23" t="s">
        <v>71</v>
      </c>
      <c r="D1586" s="23" t="s">
        <v>66</v>
      </c>
      <c r="E1586" s="23" t="s">
        <v>196</v>
      </c>
      <c r="F1586" s="23" t="s">
        <v>58</v>
      </c>
      <c r="G1586" s="24">
        <f t="shared" ref="G1586:N1588" si="684">G1587</f>
        <v>829746.12</v>
      </c>
      <c r="H1586" s="24">
        <f t="shared" si="684"/>
        <v>0</v>
      </c>
      <c r="I1586" s="24">
        <f t="shared" si="684"/>
        <v>7613.02</v>
      </c>
      <c r="J1586" s="24">
        <f t="shared" si="684"/>
        <v>829746.12</v>
      </c>
      <c r="K1586" s="16">
        <f t="shared" si="662"/>
        <v>0</v>
      </c>
      <c r="L1586" s="24">
        <f t="shared" si="684"/>
        <v>0</v>
      </c>
      <c r="M1586" s="16">
        <f t="shared" si="663"/>
        <v>0</v>
      </c>
      <c r="N1586" s="24">
        <f t="shared" si="684"/>
        <v>7613.02</v>
      </c>
      <c r="O1586" s="16">
        <f t="shared" si="664"/>
        <v>0</v>
      </c>
    </row>
    <row r="1587" spans="1:15" s="3" customFormat="1" ht="25.5">
      <c r="A1587" s="13" t="s">
        <v>723</v>
      </c>
      <c r="B1587" s="25" t="s">
        <v>16</v>
      </c>
      <c r="C1587" s="26" t="s">
        <v>71</v>
      </c>
      <c r="D1587" s="26" t="s">
        <v>66</v>
      </c>
      <c r="E1587" s="26" t="s">
        <v>331</v>
      </c>
      <c r="F1587" s="26" t="s">
        <v>58</v>
      </c>
      <c r="G1587" s="27">
        <f t="shared" si="684"/>
        <v>829746.12</v>
      </c>
      <c r="H1587" s="27">
        <f t="shared" si="684"/>
        <v>0</v>
      </c>
      <c r="I1587" s="27">
        <f t="shared" si="684"/>
        <v>7613.02</v>
      </c>
      <c r="J1587" s="27">
        <f t="shared" si="684"/>
        <v>829746.12</v>
      </c>
      <c r="K1587" s="16">
        <f t="shared" si="662"/>
        <v>0</v>
      </c>
      <c r="L1587" s="27">
        <f t="shared" si="684"/>
        <v>0</v>
      </c>
      <c r="M1587" s="16">
        <f t="shared" si="663"/>
        <v>0</v>
      </c>
      <c r="N1587" s="27">
        <f t="shared" si="684"/>
        <v>7613.02</v>
      </c>
      <c r="O1587" s="16">
        <f t="shared" si="664"/>
        <v>0</v>
      </c>
    </row>
    <row r="1588" spans="1:15" s="3" customFormat="1" ht="25.5">
      <c r="A1588" s="11" t="s">
        <v>724</v>
      </c>
      <c r="B1588" s="25" t="s">
        <v>16</v>
      </c>
      <c r="C1588" s="26" t="s">
        <v>71</v>
      </c>
      <c r="D1588" s="26" t="s">
        <v>66</v>
      </c>
      <c r="E1588" s="26" t="s">
        <v>562</v>
      </c>
      <c r="F1588" s="26" t="s">
        <v>58</v>
      </c>
      <c r="G1588" s="27">
        <f t="shared" si="684"/>
        <v>829746.12</v>
      </c>
      <c r="H1588" s="27">
        <f t="shared" si="684"/>
        <v>0</v>
      </c>
      <c r="I1588" s="27">
        <f t="shared" si="684"/>
        <v>7613.02</v>
      </c>
      <c r="J1588" s="27">
        <f t="shared" si="684"/>
        <v>829746.12</v>
      </c>
      <c r="K1588" s="16">
        <f t="shared" si="662"/>
        <v>0</v>
      </c>
      <c r="L1588" s="27">
        <f t="shared" si="684"/>
        <v>0</v>
      </c>
      <c r="M1588" s="16">
        <f t="shared" si="663"/>
        <v>0</v>
      </c>
      <c r="N1588" s="27">
        <f t="shared" si="684"/>
        <v>7613.02</v>
      </c>
      <c r="O1588" s="16">
        <f t="shared" si="664"/>
        <v>0</v>
      </c>
    </row>
    <row r="1589" spans="1:15" s="3" customFormat="1" ht="38.25">
      <c r="A1589" s="11" t="s">
        <v>612</v>
      </c>
      <c r="B1589" s="25" t="s">
        <v>16</v>
      </c>
      <c r="C1589" s="26" t="s">
        <v>71</v>
      </c>
      <c r="D1589" s="26" t="s">
        <v>66</v>
      </c>
      <c r="E1589" s="26" t="s">
        <v>563</v>
      </c>
      <c r="F1589" s="26" t="s">
        <v>58</v>
      </c>
      <c r="G1589" s="27">
        <f>G1590+G1593+G1596</f>
        <v>829746.12</v>
      </c>
      <c r="H1589" s="27">
        <f>H1590+H1593+H1596</f>
        <v>0</v>
      </c>
      <c r="I1589" s="27">
        <f>I1590+I1593+I1596</f>
        <v>7613.02</v>
      </c>
      <c r="J1589" s="27">
        <f>J1590+J1593+J1596</f>
        <v>829746.12</v>
      </c>
      <c r="K1589" s="16">
        <f t="shared" si="662"/>
        <v>0</v>
      </c>
      <c r="L1589" s="27">
        <f>L1590+L1593+L1596</f>
        <v>0</v>
      </c>
      <c r="M1589" s="16">
        <f t="shared" si="663"/>
        <v>0</v>
      </c>
      <c r="N1589" s="27">
        <f>N1590+N1593+N1596</f>
        <v>7613.02</v>
      </c>
      <c r="O1589" s="16">
        <f t="shared" si="664"/>
        <v>0</v>
      </c>
    </row>
    <row r="1590" spans="1:15" s="3" customFormat="1" ht="38.25">
      <c r="A1590" s="11" t="s">
        <v>154</v>
      </c>
      <c r="B1590" s="25" t="s">
        <v>16</v>
      </c>
      <c r="C1590" s="26" t="s">
        <v>71</v>
      </c>
      <c r="D1590" s="26" t="s">
        <v>66</v>
      </c>
      <c r="E1590" s="26" t="s">
        <v>564</v>
      </c>
      <c r="F1590" s="26" t="s">
        <v>58</v>
      </c>
      <c r="G1590" s="27">
        <f>G1591</f>
        <v>150</v>
      </c>
      <c r="H1590" s="27">
        <f>H1591</f>
        <v>0</v>
      </c>
      <c r="I1590" s="27">
        <f>I1591</f>
        <v>7613.02</v>
      </c>
      <c r="J1590" s="27">
        <f>J1591</f>
        <v>150</v>
      </c>
      <c r="K1590" s="16">
        <f t="shared" si="662"/>
        <v>0</v>
      </c>
      <c r="L1590" s="27">
        <f>L1591</f>
        <v>0</v>
      </c>
      <c r="M1590" s="16">
        <f t="shared" si="663"/>
        <v>0</v>
      </c>
      <c r="N1590" s="27">
        <f>N1591</f>
        <v>7613.02</v>
      </c>
      <c r="O1590" s="16">
        <f t="shared" si="664"/>
        <v>0</v>
      </c>
    </row>
    <row r="1591" spans="1:15" s="3" customFormat="1">
      <c r="A1591" s="11" t="s">
        <v>21</v>
      </c>
      <c r="B1591" s="25" t="s">
        <v>16</v>
      </c>
      <c r="C1591" s="26" t="s">
        <v>71</v>
      </c>
      <c r="D1591" s="26" t="s">
        <v>66</v>
      </c>
      <c r="E1591" s="26" t="s">
        <v>564</v>
      </c>
      <c r="F1591" s="26" t="s">
        <v>103</v>
      </c>
      <c r="G1591" s="27">
        <f>G1592</f>
        <v>150</v>
      </c>
      <c r="H1591" s="27">
        <f t="shared" ref="H1591:I1591" si="685">H1592</f>
        <v>0</v>
      </c>
      <c r="I1591" s="27">
        <f t="shared" si="685"/>
        <v>7613.02</v>
      </c>
      <c r="J1591" s="27">
        <v>150</v>
      </c>
      <c r="K1591" s="16">
        <f t="shared" si="662"/>
        <v>0</v>
      </c>
      <c r="L1591" s="27">
        <v>0</v>
      </c>
      <c r="M1591" s="16">
        <f t="shared" si="663"/>
        <v>0</v>
      </c>
      <c r="N1591" s="27">
        <v>7613.02</v>
      </c>
      <c r="O1591" s="16">
        <f t="shared" si="664"/>
        <v>0</v>
      </c>
    </row>
    <row r="1592" spans="1:15" s="4" customFormat="1" ht="25.5">
      <c r="A1592" s="12" t="s">
        <v>987</v>
      </c>
      <c r="B1592" s="25" t="s">
        <v>16</v>
      </c>
      <c r="C1592" s="26" t="s">
        <v>71</v>
      </c>
      <c r="D1592" s="26" t="s">
        <v>66</v>
      </c>
      <c r="E1592" s="26" t="s">
        <v>564</v>
      </c>
      <c r="F1592" s="26" t="s">
        <v>1052</v>
      </c>
      <c r="G1592" s="27">
        <v>150</v>
      </c>
      <c r="H1592" s="27">
        <v>0</v>
      </c>
      <c r="I1592" s="27">
        <v>7613.02</v>
      </c>
      <c r="J1592" s="80"/>
      <c r="K1592" s="16">
        <f t="shared" si="662"/>
        <v>-150</v>
      </c>
      <c r="L1592" s="80"/>
      <c r="M1592" s="16">
        <f t="shared" si="663"/>
        <v>0</v>
      </c>
      <c r="N1592" s="80"/>
      <c r="O1592" s="16">
        <f t="shared" si="664"/>
        <v>-7613.02</v>
      </c>
    </row>
    <row r="1593" spans="1:15" s="3" customFormat="1" ht="38.25">
      <c r="A1593" s="11" t="s">
        <v>922</v>
      </c>
      <c r="B1593" s="25" t="s">
        <v>16</v>
      </c>
      <c r="C1593" s="26" t="s">
        <v>71</v>
      </c>
      <c r="D1593" s="26" t="s">
        <v>66</v>
      </c>
      <c r="E1593" s="26" t="s">
        <v>921</v>
      </c>
      <c r="F1593" s="26" t="s">
        <v>58</v>
      </c>
      <c r="G1593" s="27">
        <f>G1594</f>
        <v>2488.79</v>
      </c>
      <c r="H1593" s="27">
        <f t="shared" ref="H1593:I1594" si="686">H1594</f>
        <v>0</v>
      </c>
      <c r="I1593" s="27">
        <f t="shared" si="686"/>
        <v>0</v>
      </c>
      <c r="J1593" s="27">
        <f>J1594</f>
        <v>2488.79</v>
      </c>
      <c r="K1593" s="16">
        <f t="shared" si="662"/>
        <v>0</v>
      </c>
      <c r="L1593" s="27">
        <f t="shared" ref="L1593:N1593" si="687">L1594</f>
        <v>0</v>
      </c>
      <c r="M1593" s="16">
        <f t="shared" si="663"/>
        <v>0</v>
      </c>
      <c r="N1593" s="27">
        <f t="shared" si="687"/>
        <v>0</v>
      </c>
      <c r="O1593" s="16">
        <f t="shared" si="664"/>
        <v>0</v>
      </c>
    </row>
    <row r="1594" spans="1:15" s="3" customFormat="1">
      <c r="A1594" s="11" t="s">
        <v>21</v>
      </c>
      <c r="B1594" s="25" t="s">
        <v>16</v>
      </c>
      <c r="C1594" s="26" t="s">
        <v>71</v>
      </c>
      <c r="D1594" s="26" t="s">
        <v>66</v>
      </c>
      <c r="E1594" s="26" t="s">
        <v>921</v>
      </c>
      <c r="F1594" s="26" t="s">
        <v>103</v>
      </c>
      <c r="G1594" s="27">
        <f>G1595</f>
        <v>2488.79</v>
      </c>
      <c r="H1594" s="27">
        <f t="shared" si="686"/>
        <v>0</v>
      </c>
      <c r="I1594" s="27">
        <f t="shared" si="686"/>
        <v>0</v>
      </c>
      <c r="J1594" s="27">
        <v>2488.79</v>
      </c>
      <c r="K1594" s="16">
        <f t="shared" ref="K1594:K1656" si="688">J1594-G1594</f>
        <v>0</v>
      </c>
      <c r="L1594" s="27">
        <v>0</v>
      </c>
      <c r="M1594" s="16">
        <f t="shared" ref="M1594:M1656" si="689">L1594-H1594</f>
        <v>0</v>
      </c>
      <c r="N1594" s="27">
        <v>0</v>
      </c>
      <c r="O1594" s="16">
        <f t="shared" ref="O1594:O1656" si="690">N1594-I1594</f>
        <v>0</v>
      </c>
    </row>
    <row r="1595" spans="1:15" s="4" customFormat="1" ht="25.5">
      <c r="A1595" s="12" t="s">
        <v>987</v>
      </c>
      <c r="B1595" s="25" t="s">
        <v>16</v>
      </c>
      <c r="C1595" s="26" t="s">
        <v>71</v>
      </c>
      <c r="D1595" s="26" t="s">
        <v>66</v>
      </c>
      <c r="E1595" s="26" t="s">
        <v>921</v>
      </c>
      <c r="F1595" s="26" t="s">
        <v>1052</v>
      </c>
      <c r="G1595" s="27">
        <v>2488.79</v>
      </c>
      <c r="H1595" s="27">
        <v>0</v>
      </c>
      <c r="I1595" s="27">
        <v>0</v>
      </c>
      <c r="J1595" s="80"/>
      <c r="K1595" s="16">
        <f t="shared" si="688"/>
        <v>-2488.79</v>
      </c>
      <c r="L1595" s="80"/>
      <c r="M1595" s="16">
        <f t="shared" si="689"/>
        <v>0</v>
      </c>
      <c r="N1595" s="80"/>
      <c r="O1595" s="16">
        <f t="shared" si="690"/>
        <v>0</v>
      </c>
    </row>
    <row r="1596" spans="1:15" s="3" customFormat="1" ht="38.25">
      <c r="A1596" s="11" t="s">
        <v>924</v>
      </c>
      <c r="B1596" s="25" t="s">
        <v>16</v>
      </c>
      <c r="C1596" s="26" t="s">
        <v>71</v>
      </c>
      <c r="D1596" s="26" t="s">
        <v>66</v>
      </c>
      <c r="E1596" s="26" t="s">
        <v>923</v>
      </c>
      <c r="F1596" s="26" t="s">
        <v>58</v>
      </c>
      <c r="G1596" s="27">
        <f>G1597</f>
        <v>827107.33</v>
      </c>
      <c r="H1596" s="27">
        <f t="shared" ref="H1596:I1597" si="691">H1597</f>
        <v>0</v>
      </c>
      <c r="I1596" s="27">
        <f t="shared" si="691"/>
        <v>0</v>
      </c>
      <c r="J1596" s="27">
        <f>J1597</f>
        <v>827107.33</v>
      </c>
      <c r="K1596" s="16">
        <f t="shared" si="688"/>
        <v>0</v>
      </c>
      <c r="L1596" s="27">
        <f t="shared" ref="L1596:N1596" si="692">L1597</f>
        <v>0</v>
      </c>
      <c r="M1596" s="16">
        <f t="shared" si="689"/>
        <v>0</v>
      </c>
      <c r="N1596" s="27">
        <f t="shared" si="692"/>
        <v>0</v>
      </c>
      <c r="O1596" s="16">
        <f t="shared" si="690"/>
        <v>0</v>
      </c>
    </row>
    <row r="1597" spans="1:15" s="3" customFormat="1">
      <c r="A1597" s="11" t="s">
        <v>21</v>
      </c>
      <c r="B1597" s="25" t="s">
        <v>16</v>
      </c>
      <c r="C1597" s="26" t="s">
        <v>71</v>
      </c>
      <c r="D1597" s="26" t="s">
        <v>66</v>
      </c>
      <c r="E1597" s="26" t="s">
        <v>923</v>
      </c>
      <c r="F1597" s="26" t="s">
        <v>103</v>
      </c>
      <c r="G1597" s="27">
        <f>G1598</f>
        <v>827107.33</v>
      </c>
      <c r="H1597" s="27">
        <f t="shared" si="691"/>
        <v>0</v>
      </c>
      <c r="I1597" s="27">
        <f t="shared" si="691"/>
        <v>0</v>
      </c>
      <c r="J1597" s="27">
        <f>47286.97+779820.36</f>
        <v>827107.33</v>
      </c>
      <c r="K1597" s="16">
        <f t="shared" si="688"/>
        <v>0</v>
      </c>
      <c r="L1597" s="27">
        <v>0</v>
      </c>
      <c r="M1597" s="16">
        <f t="shared" si="689"/>
        <v>0</v>
      </c>
      <c r="N1597" s="27">
        <v>0</v>
      </c>
      <c r="O1597" s="16">
        <f t="shared" si="690"/>
        <v>0</v>
      </c>
    </row>
    <row r="1598" spans="1:15" s="4" customFormat="1" ht="25.5">
      <c r="A1598" s="12" t="s">
        <v>987</v>
      </c>
      <c r="B1598" s="25" t="s">
        <v>16</v>
      </c>
      <c r="C1598" s="26" t="s">
        <v>71</v>
      </c>
      <c r="D1598" s="26" t="s">
        <v>66</v>
      </c>
      <c r="E1598" s="26" t="s">
        <v>923</v>
      </c>
      <c r="F1598" s="26" t="s">
        <v>1052</v>
      </c>
      <c r="G1598" s="27">
        <f>47286.97+779820.36</f>
        <v>827107.33</v>
      </c>
      <c r="H1598" s="27">
        <v>0</v>
      </c>
      <c r="I1598" s="27">
        <v>0</v>
      </c>
      <c r="J1598" s="80"/>
      <c r="K1598" s="16">
        <f t="shared" si="688"/>
        <v>-827107.33</v>
      </c>
      <c r="L1598" s="80"/>
      <c r="M1598" s="16">
        <f t="shared" si="689"/>
        <v>0</v>
      </c>
      <c r="N1598" s="80"/>
      <c r="O1598" s="16">
        <f t="shared" si="690"/>
        <v>0</v>
      </c>
    </row>
    <row r="1599" spans="1:15" s="3" customFormat="1">
      <c r="A1599" s="17" t="s">
        <v>83</v>
      </c>
      <c r="B1599" s="18" t="s">
        <v>16</v>
      </c>
      <c r="C1599" s="19" t="s">
        <v>50</v>
      </c>
      <c r="D1599" s="19" t="s">
        <v>51</v>
      </c>
      <c r="E1599" s="19" t="s">
        <v>196</v>
      </c>
      <c r="F1599" s="19" t="s">
        <v>58</v>
      </c>
      <c r="G1599" s="20">
        <f t="shared" ref="G1599:N1600" si="693">G1600</f>
        <v>50800</v>
      </c>
      <c r="H1599" s="20">
        <f t="shared" si="693"/>
        <v>720</v>
      </c>
      <c r="I1599" s="20">
        <f t="shared" si="693"/>
        <v>720</v>
      </c>
      <c r="J1599" s="20">
        <f t="shared" si="693"/>
        <v>50800</v>
      </c>
      <c r="K1599" s="16">
        <f t="shared" si="688"/>
        <v>0</v>
      </c>
      <c r="L1599" s="20">
        <f t="shared" si="693"/>
        <v>720</v>
      </c>
      <c r="M1599" s="16">
        <f t="shared" si="689"/>
        <v>0</v>
      </c>
      <c r="N1599" s="20">
        <f t="shared" si="693"/>
        <v>720</v>
      </c>
      <c r="O1599" s="16">
        <f t="shared" si="690"/>
        <v>0</v>
      </c>
    </row>
    <row r="1600" spans="1:15" s="3" customFormat="1">
      <c r="A1600" s="21" t="s">
        <v>27</v>
      </c>
      <c r="B1600" s="22" t="s">
        <v>16</v>
      </c>
      <c r="C1600" s="23" t="s">
        <v>50</v>
      </c>
      <c r="D1600" s="23" t="s">
        <v>65</v>
      </c>
      <c r="E1600" s="23" t="s">
        <v>196</v>
      </c>
      <c r="F1600" s="23" t="s">
        <v>58</v>
      </c>
      <c r="G1600" s="24">
        <f t="shared" si="693"/>
        <v>50800</v>
      </c>
      <c r="H1600" s="24">
        <f t="shared" si="693"/>
        <v>720</v>
      </c>
      <c r="I1600" s="24">
        <f t="shared" si="693"/>
        <v>720</v>
      </c>
      <c r="J1600" s="24">
        <f t="shared" si="693"/>
        <v>50800</v>
      </c>
      <c r="K1600" s="16">
        <f t="shared" si="688"/>
        <v>0</v>
      </c>
      <c r="L1600" s="24">
        <f t="shared" si="693"/>
        <v>720</v>
      </c>
      <c r="M1600" s="16">
        <f t="shared" si="689"/>
        <v>0</v>
      </c>
      <c r="N1600" s="24">
        <f t="shared" si="693"/>
        <v>720</v>
      </c>
      <c r="O1600" s="16">
        <f t="shared" si="690"/>
        <v>0</v>
      </c>
    </row>
    <row r="1601" spans="1:15" s="3" customFormat="1">
      <c r="A1601" s="11" t="s">
        <v>739</v>
      </c>
      <c r="B1601" s="25" t="s">
        <v>16</v>
      </c>
      <c r="C1601" s="26" t="s">
        <v>50</v>
      </c>
      <c r="D1601" s="26" t="s">
        <v>65</v>
      </c>
      <c r="E1601" s="36" t="s">
        <v>277</v>
      </c>
      <c r="F1601" s="26" t="s">
        <v>58</v>
      </c>
      <c r="G1601" s="27">
        <f>G1602+G1607</f>
        <v>50800</v>
      </c>
      <c r="H1601" s="27">
        <f t="shared" ref="H1601:I1601" si="694">H1602+H1607</f>
        <v>720</v>
      </c>
      <c r="I1601" s="27">
        <f t="shared" si="694"/>
        <v>720</v>
      </c>
      <c r="J1601" s="27">
        <f>J1602+J1607</f>
        <v>50800</v>
      </c>
      <c r="K1601" s="16">
        <f t="shared" si="688"/>
        <v>0</v>
      </c>
      <c r="L1601" s="27">
        <f t="shared" ref="L1601:N1601" si="695">L1602+L1607</f>
        <v>720</v>
      </c>
      <c r="M1601" s="16">
        <f t="shared" si="689"/>
        <v>0</v>
      </c>
      <c r="N1601" s="27">
        <f t="shared" si="695"/>
        <v>720</v>
      </c>
      <c r="O1601" s="16">
        <f t="shared" si="690"/>
        <v>0</v>
      </c>
    </row>
    <row r="1602" spans="1:15" s="3" customFormat="1" ht="51">
      <c r="A1602" s="11" t="s">
        <v>194</v>
      </c>
      <c r="B1602" s="25" t="s">
        <v>16</v>
      </c>
      <c r="C1602" s="26" t="s">
        <v>50</v>
      </c>
      <c r="D1602" s="26" t="s">
        <v>65</v>
      </c>
      <c r="E1602" s="36" t="s">
        <v>278</v>
      </c>
      <c r="F1602" s="26" t="s">
        <v>58</v>
      </c>
      <c r="G1602" s="27">
        <f t="shared" ref="G1602:N1605" si="696">G1603</f>
        <v>800</v>
      </c>
      <c r="H1602" s="27">
        <f t="shared" si="696"/>
        <v>720</v>
      </c>
      <c r="I1602" s="27">
        <f t="shared" si="696"/>
        <v>720</v>
      </c>
      <c r="J1602" s="27">
        <f t="shared" si="696"/>
        <v>800</v>
      </c>
      <c r="K1602" s="16">
        <f t="shared" si="688"/>
        <v>0</v>
      </c>
      <c r="L1602" s="27">
        <f t="shared" si="696"/>
        <v>720</v>
      </c>
      <c r="M1602" s="16">
        <f t="shared" si="689"/>
        <v>0</v>
      </c>
      <c r="N1602" s="27">
        <f t="shared" si="696"/>
        <v>720</v>
      </c>
      <c r="O1602" s="16">
        <f t="shared" si="690"/>
        <v>0</v>
      </c>
    </row>
    <row r="1603" spans="1:15" s="3" customFormat="1" ht="63.75">
      <c r="A1603" s="11" t="s">
        <v>605</v>
      </c>
      <c r="B1603" s="25" t="s">
        <v>16</v>
      </c>
      <c r="C1603" s="26" t="s">
        <v>50</v>
      </c>
      <c r="D1603" s="26" t="s">
        <v>65</v>
      </c>
      <c r="E1603" s="36" t="s">
        <v>279</v>
      </c>
      <c r="F1603" s="26" t="s">
        <v>58</v>
      </c>
      <c r="G1603" s="27">
        <f t="shared" si="696"/>
        <v>800</v>
      </c>
      <c r="H1603" s="27">
        <f t="shared" si="696"/>
        <v>720</v>
      </c>
      <c r="I1603" s="27">
        <f t="shared" si="696"/>
        <v>720</v>
      </c>
      <c r="J1603" s="27">
        <f t="shared" si="696"/>
        <v>800</v>
      </c>
      <c r="K1603" s="16">
        <f t="shared" si="688"/>
        <v>0</v>
      </c>
      <c r="L1603" s="27">
        <f t="shared" si="696"/>
        <v>720</v>
      </c>
      <c r="M1603" s="16">
        <f t="shared" si="689"/>
        <v>0</v>
      </c>
      <c r="N1603" s="27">
        <f t="shared" si="696"/>
        <v>720</v>
      </c>
      <c r="O1603" s="16">
        <f t="shared" si="690"/>
        <v>0</v>
      </c>
    </row>
    <row r="1604" spans="1:15" s="3" customFormat="1" ht="25.5">
      <c r="A1604" s="11" t="s">
        <v>161</v>
      </c>
      <c r="B1604" s="25" t="s">
        <v>16</v>
      </c>
      <c r="C1604" s="26" t="s">
        <v>50</v>
      </c>
      <c r="D1604" s="26" t="s">
        <v>65</v>
      </c>
      <c r="E1604" s="36" t="s">
        <v>320</v>
      </c>
      <c r="F1604" s="26" t="s">
        <v>58</v>
      </c>
      <c r="G1604" s="27">
        <f t="shared" si="696"/>
        <v>800</v>
      </c>
      <c r="H1604" s="27">
        <f t="shared" si="696"/>
        <v>720</v>
      </c>
      <c r="I1604" s="27">
        <f t="shared" si="696"/>
        <v>720</v>
      </c>
      <c r="J1604" s="27">
        <f t="shared" si="696"/>
        <v>800</v>
      </c>
      <c r="K1604" s="16">
        <f t="shared" si="688"/>
        <v>0</v>
      </c>
      <c r="L1604" s="27">
        <f t="shared" si="696"/>
        <v>720</v>
      </c>
      <c r="M1604" s="16">
        <f t="shared" si="689"/>
        <v>0</v>
      </c>
      <c r="N1604" s="27">
        <f t="shared" si="696"/>
        <v>720</v>
      </c>
      <c r="O1604" s="16">
        <f t="shared" si="690"/>
        <v>0</v>
      </c>
    </row>
    <row r="1605" spans="1:15" s="3" customFormat="1" ht="25.5">
      <c r="A1605" s="12" t="s">
        <v>108</v>
      </c>
      <c r="B1605" s="25" t="s">
        <v>16</v>
      </c>
      <c r="C1605" s="26" t="s">
        <v>50</v>
      </c>
      <c r="D1605" s="26" t="s">
        <v>65</v>
      </c>
      <c r="E1605" s="36" t="s">
        <v>320</v>
      </c>
      <c r="F1605" s="26" t="s">
        <v>116</v>
      </c>
      <c r="G1605" s="27">
        <f>G1606</f>
        <v>800</v>
      </c>
      <c r="H1605" s="27">
        <f t="shared" si="696"/>
        <v>720</v>
      </c>
      <c r="I1605" s="27">
        <f t="shared" si="696"/>
        <v>720</v>
      </c>
      <c r="J1605" s="27">
        <f>800</f>
        <v>800</v>
      </c>
      <c r="K1605" s="16">
        <f t="shared" si="688"/>
        <v>0</v>
      </c>
      <c r="L1605" s="27">
        <f>720</f>
        <v>720</v>
      </c>
      <c r="M1605" s="16">
        <f t="shared" si="689"/>
        <v>0</v>
      </c>
      <c r="N1605" s="27">
        <f>720</f>
        <v>720</v>
      </c>
      <c r="O1605" s="16">
        <f t="shared" si="690"/>
        <v>0</v>
      </c>
    </row>
    <row r="1606" spans="1:15" s="4" customFormat="1" ht="25.5">
      <c r="A1606" s="12" t="s">
        <v>973</v>
      </c>
      <c r="B1606" s="25" t="s">
        <v>16</v>
      </c>
      <c r="C1606" s="26" t="s">
        <v>50</v>
      </c>
      <c r="D1606" s="26" t="s">
        <v>65</v>
      </c>
      <c r="E1606" s="36" t="s">
        <v>320</v>
      </c>
      <c r="F1606" s="26" t="s">
        <v>1043</v>
      </c>
      <c r="G1606" s="27">
        <f>800</f>
        <v>800</v>
      </c>
      <c r="H1606" s="27">
        <f>720</f>
        <v>720</v>
      </c>
      <c r="I1606" s="27">
        <f>720</f>
        <v>720</v>
      </c>
      <c r="J1606" s="80"/>
      <c r="K1606" s="16">
        <f t="shared" si="688"/>
        <v>-800</v>
      </c>
      <c r="L1606" s="80"/>
      <c r="M1606" s="16">
        <f t="shared" si="689"/>
        <v>-720</v>
      </c>
      <c r="N1606" s="80"/>
      <c r="O1606" s="16">
        <f t="shared" si="690"/>
        <v>-720</v>
      </c>
    </row>
    <row r="1607" spans="1:15" s="3" customFormat="1">
      <c r="A1607" s="12" t="s">
        <v>140</v>
      </c>
      <c r="B1607" s="25" t="s">
        <v>16</v>
      </c>
      <c r="C1607" s="26" t="s">
        <v>50</v>
      </c>
      <c r="D1607" s="26" t="s">
        <v>65</v>
      </c>
      <c r="E1607" s="36" t="s">
        <v>372</v>
      </c>
      <c r="F1607" s="26" t="s">
        <v>58</v>
      </c>
      <c r="G1607" s="27">
        <f>G1608</f>
        <v>50000</v>
      </c>
      <c r="H1607" s="27">
        <f t="shared" ref="H1607:N1608" si="697">H1608</f>
        <v>0</v>
      </c>
      <c r="I1607" s="27">
        <f t="shared" si="697"/>
        <v>0</v>
      </c>
      <c r="J1607" s="27">
        <f>J1608</f>
        <v>50000</v>
      </c>
      <c r="K1607" s="16">
        <f t="shared" si="688"/>
        <v>0</v>
      </c>
      <c r="L1607" s="27">
        <f t="shared" si="697"/>
        <v>0</v>
      </c>
      <c r="M1607" s="16">
        <f t="shared" si="689"/>
        <v>0</v>
      </c>
      <c r="N1607" s="27">
        <f t="shared" si="697"/>
        <v>0</v>
      </c>
      <c r="O1607" s="16">
        <f t="shared" si="690"/>
        <v>0</v>
      </c>
    </row>
    <row r="1608" spans="1:15" s="3" customFormat="1" ht="25.5">
      <c r="A1608" s="11" t="s">
        <v>857</v>
      </c>
      <c r="B1608" s="25" t="s">
        <v>16</v>
      </c>
      <c r="C1608" s="26" t="s">
        <v>50</v>
      </c>
      <c r="D1608" s="26" t="s">
        <v>65</v>
      </c>
      <c r="E1608" s="36" t="s">
        <v>839</v>
      </c>
      <c r="F1608" s="26" t="s">
        <v>58</v>
      </c>
      <c r="G1608" s="27">
        <f>G1609</f>
        <v>50000</v>
      </c>
      <c r="H1608" s="27">
        <f t="shared" si="697"/>
        <v>0</v>
      </c>
      <c r="I1608" s="27">
        <f t="shared" si="697"/>
        <v>0</v>
      </c>
      <c r="J1608" s="27">
        <f>J1609</f>
        <v>50000</v>
      </c>
      <c r="K1608" s="16">
        <f t="shared" si="688"/>
        <v>0</v>
      </c>
      <c r="L1608" s="27">
        <f t="shared" si="697"/>
        <v>0</v>
      </c>
      <c r="M1608" s="16">
        <f t="shared" si="689"/>
        <v>0</v>
      </c>
      <c r="N1608" s="27">
        <f t="shared" si="697"/>
        <v>0</v>
      </c>
      <c r="O1608" s="16">
        <f t="shared" si="690"/>
        <v>0</v>
      </c>
    </row>
    <row r="1609" spans="1:15" s="3" customFormat="1" ht="63.75">
      <c r="A1609" s="13" t="s">
        <v>840</v>
      </c>
      <c r="B1609" s="25" t="s">
        <v>16</v>
      </c>
      <c r="C1609" s="26" t="s">
        <v>50</v>
      </c>
      <c r="D1609" s="26" t="s">
        <v>65</v>
      </c>
      <c r="E1609" s="36" t="s">
        <v>841</v>
      </c>
      <c r="F1609" s="26" t="s">
        <v>58</v>
      </c>
      <c r="G1609" s="27">
        <f>G1610</f>
        <v>50000</v>
      </c>
      <c r="H1609" s="27">
        <f t="shared" ref="H1609:I1609" si="698">H1610</f>
        <v>0</v>
      </c>
      <c r="I1609" s="27">
        <f t="shared" si="698"/>
        <v>0</v>
      </c>
      <c r="J1609" s="27">
        <f>J1610</f>
        <v>50000</v>
      </c>
      <c r="K1609" s="16">
        <f t="shared" si="688"/>
        <v>0</v>
      </c>
      <c r="L1609" s="27">
        <f t="shared" ref="L1609:N1609" si="699">L1610</f>
        <v>0</v>
      </c>
      <c r="M1609" s="16">
        <f t="shared" si="689"/>
        <v>0</v>
      </c>
      <c r="N1609" s="27">
        <f t="shared" si="699"/>
        <v>0</v>
      </c>
      <c r="O1609" s="16">
        <f t="shared" si="690"/>
        <v>0</v>
      </c>
    </row>
    <row r="1610" spans="1:15" s="3" customFormat="1">
      <c r="A1610" s="11" t="s">
        <v>21</v>
      </c>
      <c r="B1610" s="25" t="s">
        <v>16</v>
      </c>
      <c r="C1610" s="26" t="s">
        <v>50</v>
      </c>
      <c r="D1610" s="26" t="s">
        <v>65</v>
      </c>
      <c r="E1610" s="26" t="s">
        <v>841</v>
      </c>
      <c r="F1610" s="26" t="s">
        <v>103</v>
      </c>
      <c r="G1610" s="27">
        <f>50000</f>
        <v>50000</v>
      </c>
      <c r="H1610" s="27">
        <v>0</v>
      </c>
      <c r="I1610" s="27">
        <v>0</v>
      </c>
      <c r="J1610" s="27">
        <f>50000</f>
        <v>50000</v>
      </c>
      <c r="K1610" s="16">
        <f t="shared" si="688"/>
        <v>0</v>
      </c>
      <c r="L1610" s="27">
        <v>0</v>
      </c>
      <c r="M1610" s="16">
        <f t="shared" si="689"/>
        <v>0</v>
      </c>
      <c r="N1610" s="27">
        <v>0</v>
      </c>
      <c r="O1610" s="16">
        <f t="shared" si="690"/>
        <v>0</v>
      </c>
    </row>
    <row r="1611" spans="1:15" s="4" customFormat="1" ht="25.5">
      <c r="A1611" s="12" t="s">
        <v>987</v>
      </c>
      <c r="B1611" s="25" t="s">
        <v>16</v>
      </c>
      <c r="C1611" s="26" t="s">
        <v>50</v>
      </c>
      <c r="D1611" s="26" t="s">
        <v>65</v>
      </c>
      <c r="E1611" s="26" t="s">
        <v>841</v>
      </c>
      <c r="F1611" s="26" t="s">
        <v>1052</v>
      </c>
      <c r="G1611" s="27">
        <f>50000</f>
        <v>50000</v>
      </c>
      <c r="H1611" s="27">
        <v>0</v>
      </c>
      <c r="I1611" s="27">
        <v>0</v>
      </c>
      <c r="J1611" s="80"/>
      <c r="K1611" s="16">
        <f t="shared" si="688"/>
        <v>-50000</v>
      </c>
      <c r="L1611" s="80"/>
      <c r="M1611" s="16">
        <f t="shared" si="689"/>
        <v>0</v>
      </c>
      <c r="N1611" s="80"/>
      <c r="O1611" s="16">
        <f t="shared" si="690"/>
        <v>0</v>
      </c>
    </row>
    <row r="1612" spans="1:15" s="71" customFormat="1">
      <c r="A1612" s="79"/>
      <c r="B1612" s="92"/>
      <c r="C1612" s="70"/>
      <c r="D1612" s="70"/>
      <c r="E1612" s="70"/>
      <c r="F1612" s="70"/>
      <c r="G1612" s="72"/>
      <c r="H1612" s="72"/>
      <c r="I1612" s="72"/>
      <c r="J1612" s="72"/>
      <c r="K1612" s="91">
        <f t="shared" si="688"/>
        <v>0</v>
      </c>
      <c r="L1612" s="72"/>
      <c r="M1612" s="91">
        <f t="shared" si="689"/>
        <v>0</v>
      </c>
      <c r="N1612" s="72"/>
      <c r="O1612" s="91">
        <f t="shared" si="690"/>
        <v>0</v>
      </c>
    </row>
    <row r="1613" spans="1:15" s="3" customFormat="1" ht="25.5">
      <c r="A1613" s="28" t="s">
        <v>180</v>
      </c>
      <c r="B1613" s="14" t="s">
        <v>536</v>
      </c>
      <c r="C1613" s="15" t="s">
        <v>51</v>
      </c>
      <c r="D1613" s="15" t="s">
        <v>51</v>
      </c>
      <c r="E1613" s="15" t="s">
        <v>196</v>
      </c>
      <c r="F1613" s="15" t="s">
        <v>58</v>
      </c>
      <c r="G1613" s="29">
        <f t="shared" ref="G1613:N1614" si="700">G1614</f>
        <v>72707.77</v>
      </c>
      <c r="H1613" s="29">
        <f t="shared" si="700"/>
        <v>68682.570000000007</v>
      </c>
      <c r="I1613" s="29">
        <f t="shared" si="700"/>
        <v>68682.570000000007</v>
      </c>
      <c r="J1613" s="29">
        <f t="shared" si="700"/>
        <v>72707.77</v>
      </c>
      <c r="K1613" s="16">
        <f t="shared" si="688"/>
        <v>0</v>
      </c>
      <c r="L1613" s="29">
        <f t="shared" si="700"/>
        <v>68682.570000000007</v>
      </c>
      <c r="M1613" s="16">
        <f t="shared" si="689"/>
        <v>0</v>
      </c>
      <c r="N1613" s="29">
        <f t="shared" si="700"/>
        <v>68682.570000000007</v>
      </c>
      <c r="O1613" s="16">
        <f t="shared" si="690"/>
        <v>0</v>
      </c>
    </row>
    <row r="1614" spans="1:15" s="3" customFormat="1">
      <c r="A1614" s="17" t="s">
        <v>13</v>
      </c>
      <c r="B1614" s="18" t="s">
        <v>536</v>
      </c>
      <c r="C1614" s="19" t="s">
        <v>53</v>
      </c>
      <c r="D1614" s="19" t="s">
        <v>51</v>
      </c>
      <c r="E1614" s="19" t="s">
        <v>196</v>
      </c>
      <c r="F1614" s="19" t="s">
        <v>58</v>
      </c>
      <c r="G1614" s="20">
        <f t="shared" si="700"/>
        <v>72707.77</v>
      </c>
      <c r="H1614" s="20">
        <f t="shared" si="700"/>
        <v>68682.570000000007</v>
      </c>
      <c r="I1614" s="20">
        <f t="shared" si="700"/>
        <v>68682.570000000007</v>
      </c>
      <c r="J1614" s="20">
        <f t="shared" si="700"/>
        <v>72707.77</v>
      </c>
      <c r="K1614" s="16">
        <f t="shared" si="688"/>
        <v>0</v>
      </c>
      <c r="L1614" s="20">
        <f t="shared" si="700"/>
        <v>68682.570000000007</v>
      </c>
      <c r="M1614" s="16">
        <f t="shared" si="689"/>
        <v>0</v>
      </c>
      <c r="N1614" s="20">
        <f t="shared" si="700"/>
        <v>68682.570000000007</v>
      </c>
      <c r="O1614" s="16">
        <f t="shared" si="690"/>
        <v>0</v>
      </c>
    </row>
    <row r="1615" spans="1:15" s="3" customFormat="1" ht="38.25">
      <c r="A1615" s="21" t="s">
        <v>537</v>
      </c>
      <c r="B1615" s="22" t="s">
        <v>536</v>
      </c>
      <c r="C1615" s="23" t="s">
        <v>53</v>
      </c>
      <c r="D1615" s="23" t="s">
        <v>25</v>
      </c>
      <c r="E1615" s="23" t="s">
        <v>196</v>
      </c>
      <c r="F1615" s="23" t="s">
        <v>58</v>
      </c>
      <c r="G1615" s="24">
        <f>G1616+G1622+G1670</f>
        <v>72707.77</v>
      </c>
      <c r="H1615" s="24">
        <f>H1616+H1622+H1670</f>
        <v>68682.570000000007</v>
      </c>
      <c r="I1615" s="24">
        <f>I1616+I1622+I1670</f>
        <v>68682.570000000007</v>
      </c>
      <c r="J1615" s="24">
        <f>J1616+J1622+J1670</f>
        <v>72707.77</v>
      </c>
      <c r="K1615" s="16">
        <f t="shared" si="688"/>
        <v>0</v>
      </c>
      <c r="L1615" s="24">
        <f>L1616+L1622+L1670</f>
        <v>68682.570000000007</v>
      </c>
      <c r="M1615" s="16">
        <f t="shared" si="689"/>
        <v>0</v>
      </c>
      <c r="N1615" s="24">
        <f>N1616+N1622+N1670</f>
        <v>68682.570000000007</v>
      </c>
      <c r="O1615" s="16">
        <f t="shared" si="690"/>
        <v>0</v>
      </c>
    </row>
    <row r="1616" spans="1:15" s="3" customFormat="1" ht="38.25">
      <c r="A1616" s="152" t="s">
        <v>752</v>
      </c>
      <c r="B1616" s="25" t="s">
        <v>536</v>
      </c>
      <c r="C1616" s="26" t="s">
        <v>53</v>
      </c>
      <c r="D1616" s="26" t="s">
        <v>25</v>
      </c>
      <c r="E1616" s="26" t="s">
        <v>249</v>
      </c>
      <c r="F1616" s="26" t="s">
        <v>58</v>
      </c>
      <c r="G1616" s="27">
        <f>G1617</f>
        <v>25.5</v>
      </c>
      <c r="H1616" s="27">
        <f t="shared" ref="H1616:N1616" si="701">H1617</f>
        <v>22.95</v>
      </c>
      <c r="I1616" s="27">
        <f t="shared" si="701"/>
        <v>22.95</v>
      </c>
      <c r="J1616" s="27">
        <f>J1617</f>
        <v>25.5</v>
      </c>
      <c r="K1616" s="16">
        <f t="shared" si="688"/>
        <v>0</v>
      </c>
      <c r="L1616" s="27">
        <f t="shared" si="701"/>
        <v>22.95</v>
      </c>
      <c r="M1616" s="16">
        <f t="shared" si="689"/>
        <v>0</v>
      </c>
      <c r="N1616" s="27">
        <f t="shared" si="701"/>
        <v>22.95</v>
      </c>
      <c r="O1616" s="16">
        <f t="shared" si="690"/>
        <v>0</v>
      </c>
    </row>
    <row r="1617" spans="1:15" s="153" customFormat="1" ht="25.5">
      <c r="A1617" s="11" t="s">
        <v>755</v>
      </c>
      <c r="B1617" s="25" t="s">
        <v>536</v>
      </c>
      <c r="C1617" s="26" t="s">
        <v>53</v>
      </c>
      <c r="D1617" s="26" t="s">
        <v>25</v>
      </c>
      <c r="E1617" s="26" t="s">
        <v>256</v>
      </c>
      <c r="F1617" s="26" t="s">
        <v>58</v>
      </c>
      <c r="G1617" s="27">
        <f t="shared" ref="G1617:N1618" si="702">G1618</f>
        <v>25.5</v>
      </c>
      <c r="H1617" s="27">
        <f t="shared" si="702"/>
        <v>22.95</v>
      </c>
      <c r="I1617" s="27">
        <f t="shared" si="702"/>
        <v>22.95</v>
      </c>
      <c r="J1617" s="27">
        <f t="shared" si="702"/>
        <v>25.5</v>
      </c>
      <c r="K1617" s="16">
        <f t="shared" si="688"/>
        <v>0</v>
      </c>
      <c r="L1617" s="27">
        <f t="shared" si="702"/>
        <v>22.95</v>
      </c>
      <c r="M1617" s="16">
        <f t="shared" si="689"/>
        <v>0</v>
      </c>
      <c r="N1617" s="27">
        <f t="shared" si="702"/>
        <v>22.95</v>
      </c>
      <c r="O1617" s="16">
        <f t="shared" si="690"/>
        <v>0</v>
      </c>
    </row>
    <row r="1618" spans="1:15" s="3" customFormat="1" ht="25.5">
      <c r="A1618" s="152" t="s">
        <v>617</v>
      </c>
      <c r="B1618" s="25" t="s">
        <v>536</v>
      </c>
      <c r="C1618" s="26" t="s">
        <v>53</v>
      </c>
      <c r="D1618" s="26" t="s">
        <v>25</v>
      </c>
      <c r="E1618" s="26" t="s">
        <v>541</v>
      </c>
      <c r="F1618" s="26" t="s">
        <v>58</v>
      </c>
      <c r="G1618" s="27">
        <f t="shared" si="702"/>
        <v>25.5</v>
      </c>
      <c r="H1618" s="27">
        <f t="shared" si="702"/>
        <v>22.95</v>
      </c>
      <c r="I1618" s="27">
        <f t="shared" si="702"/>
        <v>22.95</v>
      </c>
      <c r="J1618" s="27">
        <f t="shared" si="702"/>
        <v>25.5</v>
      </c>
      <c r="K1618" s="16">
        <f t="shared" si="688"/>
        <v>0</v>
      </c>
      <c r="L1618" s="27">
        <f t="shared" si="702"/>
        <v>22.95</v>
      </c>
      <c r="M1618" s="16">
        <f t="shared" si="689"/>
        <v>0</v>
      </c>
      <c r="N1618" s="27">
        <f t="shared" si="702"/>
        <v>22.95</v>
      </c>
      <c r="O1618" s="16">
        <f t="shared" si="690"/>
        <v>0</v>
      </c>
    </row>
    <row r="1619" spans="1:15" s="3" customFormat="1" ht="25.5">
      <c r="A1619" s="152" t="s">
        <v>901</v>
      </c>
      <c r="B1619" s="25" t="s">
        <v>536</v>
      </c>
      <c r="C1619" s="26" t="s">
        <v>53</v>
      </c>
      <c r="D1619" s="26" t="s">
        <v>25</v>
      </c>
      <c r="E1619" s="26" t="s">
        <v>917</v>
      </c>
      <c r="F1619" s="26" t="s">
        <v>58</v>
      </c>
      <c r="G1619" s="27">
        <f>G1620</f>
        <v>25.5</v>
      </c>
      <c r="H1619" s="27">
        <f>H1620</f>
        <v>22.95</v>
      </c>
      <c r="I1619" s="27">
        <f>I1620</f>
        <v>22.95</v>
      </c>
      <c r="J1619" s="27">
        <f>J1620</f>
        <v>25.5</v>
      </c>
      <c r="K1619" s="16">
        <f t="shared" si="688"/>
        <v>0</v>
      </c>
      <c r="L1619" s="27">
        <f>L1620</f>
        <v>22.95</v>
      </c>
      <c r="M1619" s="16">
        <f t="shared" si="689"/>
        <v>0</v>
      </c>
      <c r="N1619" s="27">
        <f>N1620</f>
        <v>22.95</v>
      </c>
      <c r="O1619" s="16">
        <f t="shared" si="690"/>
        <v>0</v>
      </c>
    </row>
    <row r="1620" spans="1:15" s="3" customFormat="1" ht="25.5">
      <c r="A1620" s="152" t="s">
        <v>108</v>
      </c>
      <c r="B1620" s="25" t="s">
        <v>536</v>
      </c>
      <c r="C1620" s="26" t="s">
        <v>53</v>
      </c>
      <c r="D1620" s="26" t="s">
        <v>25</v>
      </c>
      <c r="E1620" s="26" t="s">
        <v>917</v>
      </c>
      <c r="F1620" s="26" t="s">
        <v>116</v>
      </c>
      <c r="G1620" s="27">
        <f>G1621</f>
        <v>25.5</v>
      </c>
      <c r="H1620" s="27">
        <f t="shared" ref="H1620:I1620" si="703">H1621</f>
        <v>22.95</v>
      </c>
      <c r="I1620" s="27">
        <f t="shared" si="703"/>
        <v>22.95</v>
      </c>
      <c r="J1620" s="27">
        <f>25.5</f>
        <v>25.5</v>
      </c>
      <c r="K1620" s="16">
        <f t="shared" si="688"/>
        <v>0</v>
      </c>
      <c r="L1620" s="27">
        <f>22.95</f>
        <v>22.95</v>
      </c>
      <c r="M1620" s="16">
        <f t="shared" si="689"/>
        <v>0</v>
      </c>
      <c r="N1620" s="27">
        <f>22.95</f>
        <v>22.95</v>
      </c>
      <c r="O1620" s="16">
        <f t="shared" si="690"/>
        <v>0</v>
      </c>
    </row>
    <row r="1621" spans="1:15" s="94" customFormat="1" ht="25.5">
      <c r="A1621" s="12" t="s">
        <v>973</v>
      </c>
      <c r="B1621" s="25" t="s">
        <v>536</v>
      </c>
      <c r="C1621" s="26" t="s">
        <v>53</v>
      </c>
      <c r="D1621" s="26" t="s">
        <v>25</v>
      </c>
      <c r="E1621" s="26" t="s">
        <v>917</v>
      </c>
      <c r="F1621" s="26" t="s">
        <v>1043</v>
      </c>
      <c r="G1621" s="27">
        <f>25.5</f>
        <v>25.5</v>
      </c>
      <c r="H1621" s="27">
        <f>22.95</f>
        <v>22.95</v>
      </c>
      <c r="I1621" s="27">
        <f>22.95</f>
        <v>22.95</v>
      </c>
      <c r="J1621" s="81"/>
      <c r="K1621" s="91">
        <f t="shared" si="688"/>
        <v>-25.5</v>
      </c>
      <c r="L1621" s="81"/>
      <c r="M1621" s="91">
        <f t="shared" si="689"/>
        <v>-22.95</v>
      </c>
      <c r="N1621" s="81"/>
      <c r="O1621" s="91">
        <f t="shared" si="690"/>
        <v>-22.95</v>
      </c>
    </row>
    <row r="1622" spans="1:15" s="3" customFormat="1" ht="63.75">
      <c r="A1622" s="11" t="s">
        <v>756</v>
      </c>
      <c r="B1622" s="25" t="s">
        <v>536</v>
      </c>
      <c r="C1622" s="26" t="s">
        <v>53</v>
      </c>
      <c r="D1622" s="26" t="s">
        <v>25</v>
      </c>
      <c r="E1622" s="26" t="s">
        <v>339</v>
      </c>
      <c r="F1622" s="26" t="s">
        <v>58</v>
      </c>
      <c r="G1622" s="27">
        <f>G1623+G1642+G1647</f>
        <v>57332.78</v>
      </c>
      <c r="H1622" s="27">
        <f>H1623+H1642+H1647</f>
        <v>53310.130000000005</v>
      </c>
      <c r="I1622" s="27">
        <f>I1623+I1642+I1647</f>
        <v>53310.130000000005</v>
      </c>
      <c r="J1622" s="27">
        <f>J1623+J1642+J1647</f>
        <v>57332.78</v>
      </c>
      <c r="K1622" s="16">
        <f t="shared" si="688"/>
        <v>0</v>
      </c>
      <c r="L1622" s="27">
        <f>L1623+L1642+L1647</f>
        <v>53310.130000000005</v>
      </c>
      <c r="M1622" s="16">
        <f t="shared" si="689"/>
        <v>0</v>
      </c>
      <c r="N1622" s="27">
        <f>N1623+N1642+N1647</f>
        <v>53310.130000000005</v>
      </c>
      <c r="O1622" s="16">
        <f t="shared" si="690"/>
        <v>0</v>
      </c>
    </row>
    <row r="1623" spans="1:15" s="153" customFormat="1" ht="38.25">
      <c r="A1623" s="11" t="s">
        <v>135</v>
      </c>
      <c r="B1623" s="25" t="s">
        <v>536</v>
      </c>
      <c r="C1623" s="26" t="s">
        <v>53</v>
      </c>
      <c r="D1623" s="26" t="s">
        <v>25</v>
      </c>
      <c r="E1623" s="26" t="s">
        <v>542</v>
      </c>
      <c r="F1623" s="26" t="s">
        <v>58</v>
      </c>
      <c r="G1623" s="27">
        <f>G1624+G1628+G1638</f>
        <v>28743.79</v>
      </c>
      <c r="H1623" s="27">
        <f>H1624+H1628+H1638</f>
        <v>28785.74</v>
      </c>
      <c r="I1623" s="27">
        <f>I1624+I1628+I1638</f>
        <v>28785.74</v>
      </c>
      <c r="J1623" s="27">
        <f>J1624+J1628+J1638</f>
        <v>28743.79</v>
      </c>
      <c r="K1623" s="16">
        <f t="shared" si="688"/>
        <v>0</v>
      </c>
      <c r="L1623" s="27">
        <f>L1624+L1628+L1638</f>
        <v>28785.74</v>
      </c>
      <c r="M1623" s="16">
        <f t="shared" si="689"/>
        <v>0</v>
      </c>
      <c r="N1623" s="27">
        <f>N1624+N1628+N1638</f>
        <v>28785.74</v>
      </c>
      <c r="O1623" s="16">
        <f t="shared" si="690"/>
        <v>0</v>
      </c>
    </row>
    <row r="1624" spans="1:15" s="3" customFormat="1" ht="38.25">
      <c r="A1624" s="11" t="s">
        <v>627</v>
      </c>
      <c r="B1624" s="25" t="s">
        <v>536</v>
      </c>
      <c r="C1624" s="26" t="s">
        <v>53</v>
      </c>
      <c r="D1624" s="26" t="s">
        <v>25</v>
      </c>
      <c r="E1624" s="26" t="s">
        <v>543</v>
      </c>
      <c r="F1624" s="26" t="s">
        <v>58</v>
      </c>
      <c r="G1624" s="27">
        <f t="shared" ref="G1624:N1624" si="704">G1625</f>
        <v>100</v>
      </c>
      <c r="H1624" s="27">
        <f t="shared" si="704"/>
        <v>100</v>
      </c>
      <c r="I1624" s="27">
        <f t="shared" si="704"/>
        <v>100</v>
      </c>
      <c r="J1624" s="27">
        <f t="shared" si="704"/>
        <v>100</v>
      </c>
      <c r="K1624" s="16">
        <f t="shared" si="688"/>
        <v>0</v>
      </c>
      <c r="L1624" s="27">
        <f t="shared" si="704"/>
        <v>100</v>
      </c>
      <c r="M1624" s="16">
        <f t="shared" si="689"/>
        <v>0</v>
      </c>
      <c r="N1624" s="27">
        <f t="shared" si="704"/>
        <v>100</v>
      </c>
      <c r="O1624" s="16">
        <f t="shared" si="690"/>
        <v>0</v>
      </c>
    </row>
    <row r="1625" spans="1:15" s="3" customFormat="1" ht="51">
      <c r="A1625" s="152" t="s">
        <v>625</v>
      </c>
      <c r="B1625" s="25" t="s">
        <v>536</v>
      </c>
      <c r="C1625" s="26" t="s">
        <v>53</v>
      </c>
      <c r="D1625" s="26" t="s">
        <v>25</v>
      </c>
      <c r="E1625" s="26" t="s">
        <v>544</v>
      </c>
      <c r="F1625" s="26" t="s">
        <v>58</v>
      </c>
      <c r="G1625" s="27">
        <f>G1626</f>
        <v>100</v>
      </c>
      <c r="H1625" s="27">
        <f>H1626</f>
        <v>100</v>
      </c>
      <c r="I1625" s="27">
        <f>I1626</f>
        <v>100</v>
      </c>
      <c r="J1625" s="27">
        <f>J1626</f>
        <v>100</v>
      </c>
      <c r="K1625" s="16">
        <f t="shared" si="688"/>
        <v>0</v>
      </c>
      <c r="L1625" s="27">
        <f>L1626</f>
        <v>100</v>
      </c>
      <c r="M1625" s="16">
        <f t="shared" si="689"/>
        <v>0</v>
      </c>
      <c r="N1625" s="27">
        <f>N1626</f>
        <v>100</v>
      </c>
      <c r="O1625" s="16">
        <f t="shared" si="690"/>
        <v>0</v>
      </c>
    </row>
    <row r="1626" spans="1:15" s="3" customFormat="1" ht="25.5">
      <c r="A1626" s="11" t="s">
        <v>108</v>
      </c>
      <c r="B1626" s="25" t="s">
        <v>536</v>
      </c>
      <c r="C1626" s="26" t="s">
        <v>53</v>
      </c>
      <c r="D1626" s="26" t="s">
        <v>25</v>
      </c>
      <c r="E1626" s="26" t="s">
        <v>544</v>
      </c>
      <c r="F1626" s="26" t="s">
        <v>116</v>
      </c>
      <c r="G1626" s="27">
        <f>G1627</f>
        <v>100</v>
      </c>
      <c r="H1626" s="27">
        <f t="shared" ref="H1626:I1626" si="705">H1627</f>
        <v>100</v>
      </c>
      <c r="I1626" s="27">
        <f t="shared" si="705"/>
        <v>100</v>
      </c>
      <c r="J1626" s="27">
        <f>100</f>
        <v>100</v>
      </c>
      <c r="K1626" s="16">
        <f t="shared" si="688"/>
        <v>0</v>
      </c>
      <c r="L1626" s="27">
        <f>100</f>
        <v>100</v>
      </c>
      <c r="M1626" s="16">
        <f t="shared" si="689"/>
        <v>0</v>
      </c>
      <c r="N1626" s="27">
        <f>100</f>
        <v>100</v>
      </c>
      <c r="O1626" s="16">
        <f t="shared" si="690"/>
        <v>0</v>
      </c>
    </row>
    <row r="1627" spans="1:15" s="4" customFormat="1" ht="25.5">
      <c r="A1627" s="12" t="s">
        <v>973</v>
      </c>
      <c r="B1627" s="25" t="s">
        <v>536</v>
      </c>
      <c r="C1627" s="26" t="s">
        <v>53</v>
      </c>
      <c r="D1627" s="26" t="s">
        <v>25</v>
      </c>
      <c r="E1627" s="26" t="s">
        <v>544</v>
      </c>
      <c r="F1627" s="26" t="s">
        <v>1043</v>
      </c>
      <c r="G1627" s="27">
        <f>100</f>
        <v>100</v>
      </c>
      <c r="H1627" s="27">
        <f>100</f>
        <v>100</v>
      </c>
      <c r="I1627" s="27">
        <f>100</f>
        <v>100</v>
      </c>
      <c r="J1627" s="80"/>
      <c r="K1627" s="16">
        <f t="shared" si="688"/>
        <v>-100</v>
      </c>
      <c r="L1627" s="80"/>
      <c r="M1627" s="16">
        <f t="shared" si="689"/>
        <v>-100</v>
      </c>
      <c r="N1627" s="80"/>
      <c r="O1627" s="16">
        <f t="shared" si="690"/>
        <v>-100</v>
      </c>
    </row>
    <row r="1628" spans="1:15" s="3" customFormat="1" ht="25.5">
      <c r="A1628" s="152" t="s">
        <v>862</v>
      </c>
      <c r="B1628" s="25" t="s">
        <v>536</v>
      </c>
      <c r="C1628" s="26" t="s">
        <v>53</v>
      </c>
      <c r="D1628" s="26" t="s">
        <v>25</v>
      </c>
      <c r="E1628" s="26" t="s">
        <v>545</v>
      </c>
      <c r="F1628" s="26" t="s">
        <v>58</v>
      </c>
      <c r="G1628" s="27">
        <f>G1629</f>
        <v>28213.79</v>
      </c>
      <c r="H1628" s="27">
        <f>H1629</f>
        <v>28255.74</v>
      </c>
      <c r="I1628" s="27">
        <f>I1629</f>
        <v>28255.74</v>
      </c>
      <c r="J1628" s="27">
        <f>J1629</f>
        <v>28213.79</v>
      </c>
      <c r="K1628" s="16">
        <f t="shared" si="688"/>
        <v>0</v>
      </c>
      <c r="L1628" s="27">
        <f>L1629</f>
        <v>28255.74</v>
      </c>
      <c r="M1628" s="16">
        <f t="shared" si="689"/>
        <v>0</v>
      </c>
      <c r="N1628" s="27">
        <f>N1629</f>
        <v>28255.74</v>
      </c>
      <c r="O1628" s="16">
        <f t="shared" si="690"/>
        <v>0</v>
      </c>
    </row>
    <row r="1629" spans="1:15" s="3" customFormat="1" ht="25.5">
      <c r="A1629" s="152" t="s">
        <v>247</v>
      </c>
      <c r="B1629" s="25" t="s">
        <v>536</v>
      </c>
      <c r="C1629" s="26" t="s">
        <v>53</v>
      </c>
      <c r="D1629" s="26" t="s">
        <v>25</v>
      </c>
      <c r="E1629" s="26" t="s">
        <v>819</v>
      </c>
      <c r="F1629" s="26" t="s">
        <v>58</v>
      </c>
      <c r="G1629" s="27">
        <f>G1630+G1633+G1635</f>
        <v>28213.79</v>
      </c>
      <c r="H1629" s="27">
        <f t="shared" ref="H1629:I1629" si="706">H1630+H1633+H1635</f>
        <v>28255.74</v>
      </c>
      <c r="I1629" s="27">
        <f t="shared" si="706"/>
        <v>28255.74</v>
      </c>
      <c r="J1629" s="27">
        <f>SUM(J1630:J1635)</f>
        <v>28213.79</v>
      </c>
      <c r="K1629" s="16">
        <f t="shared" si="688"/>
        <v>0</v>
      </c>
      <c r="L1629" s="27">
        <f>SUM(L1630:L1635)</f>
        <v>28255.74</v>
      </c>
      <c r="M1629" s="16">
        <f t="shared" si="689"/>
        <v>0</v>
      </c>
      <c r="N1629" s="27">
        <f>SUM(N1630:N1635)</f>
        <v>28255.74</v>
      </c>
      <c r="O1629" s="16">
        <f t="shared" si="690"/>
        <v>0</v>
      </c>
    </row>
    <row r="1630" spans="1:15" s="3" customFormat="1">
      <c r="A1630" s="11" t="s">
        <v>106</v>
      </c>
      <c r="B1630" s="25" t="s">
        <v>536</v>
      </c>
      <c r="C1630" s="26" t="s">
        <v>53</v>
      </c>
      <c r="D1630" s="26" t="s">
        <v>25</v>
      </c>
      <c r="E1630" s="26" t="s">
        <v>819</v>
      </c>
      <c r="F1630" s="26" t="s">
        <v>121</v>
      </c>
      <c r="G1630" s="27">
        <f>SUM(G1631:G1632)</f>
        <v>23050.52</v>
      </c>
      <c r="H1630" s="27">
        <f t="shared" ref="H1630:I1630" si="707">SUM(H1631:H1632)</f>
        <v>23050.52</v>
      </c>
      <c r="I1630" s="27">
        <f t="shared" si="707"/>
        <v>23050.52</v>
      </c>
      <c r="J1630" s="27">
        <f>17703.93+5346.59</f>
        <v>23050.52</v>
      </c>
      <c r="K1630" s="16">
        <f t="shared" si="688"/>
        <v>0</v>
      </c>
      <c r="L1630" s="27">
        <f t="shared" ref="L1630:N1630" si="708">17703.93+5346.59</f>
        <v>23050.52</v>
      </c>
      <c r="M1630" s="16">
        <f t="shared" si="689"/>
        <v>0</v>
      </c>
      <c r="N1630" s="27">
        <f t="shared" si="708"/>
        <v>23050.52</v>
      </c>
      <c r="O1630" s="16">
        <f t="shared" si="690"/>
        <v>0</v>
      </c>
    </row>
    <row r="1631" spans="1:15" s="4" customFormat="1">
      <c r="A1631" s="12" t="s">
        <v>932</v>
      </c>
      <c r="B1631" s="25" t="s">
        <v>536</v>
      </c>
      <c r="C1631" s="26" t="s">
        <v>53</v>
      </c>
      <c r="D1631" s="26" t="s">
        <v>25</v>
      </c>
      <c r="E1631" s="26" t="s">
        <v>819</v>
      </c>
      <c r="F1631" s="26" t="s">
        <v>1056</v>
      </c>
      <c r="G1631" s="27">
        <v>17703.93</v>
      </c>
      <c r="H1631" s="27">
        <v>17703.93</v>
      </c>
      <c r="I1631" s="27">
        <v>17703.93</v>
      </c>
      <c r="J1631" s="80"/>
      <c r="K1631" s="16">
        <f t="shared" si="688"/>
        <v>-17703.93</v>
      </c>
      <c r="L1631" s="80"/>
      <c r="M1631" s="16">
        <f t="shared" si="689"/>
        <v>-17703.93</v>
      </c>
      <c r="N1631" s="80"/>
      <c r="O1631" s="16">
        <f t="shared" si="690"/>
        <v>-17703.93</v>
      </c>
    </row>
    <row r="1632" spans="1:15" s="4" customFormat="1" ht="38.25">
      <c r="A1632" s="12" t="s">
        <v>935</v>
      </c>
      <c r="B1632" s="25" t="s">
        <v>536</v>
      </c>
      <c r="C1632" s="26" t="s">
        <v>53</v>
      </c>
      <c r="D1632" s="26" t="s">
        <v>25</v>
      </c>
      <c r="E1632" s="26" t="s">
        <v>819</v>
      </c>
      <c r="F1632" s="26" t="s">
        <v>1057</v>
      </c>
      <c r="G1632" s="27">
        <v>5346.59</v>
      </c>
      <c r="H1632" s="27">
        <v>5346.59</v>
      </c>
      <c r="I1632" s="27">
        <v>5346.59</v>
      </c>
      <c r="J1632" s="80"/>
      <c r="K1632" s="16">
        <f t="shared" si="688"/>
        <v>-5346.59</v>
      </c>
      <c r="L1632" s="80"/>
      <c r="M1632" s="16">
        <f t="shared" si="689"/>
        <v>-5346.59</v>
      </c>
      <c r="N1632" s="80"/>
      <c r="O1632" s="16">
        <f t="shared" si="690"/>
        <v>-5346.59</v>
      </c>
    </row>
    <row r="1633" spans="1:15" s="3" customFormat="1" ht="25.5">
      <c r="A1633" s="152" t="s">
        <v>108</v>
      </c>
      <c r="B1633" s="25" t="s">
        <v>536</v>
      </c>
      <c r="C1633" s="26" t="s">
        <v>53</v>
      </c>
      <c r="D1633" s="26" t="s">
        <v>25</v>
      </c>
      <c r="E1633" s="26" t="s">
        <v>819</v>
      </c>
      <c r="F1633" s="26" t="s">
        <v>116</v>
      </c>
      <c r="G1633" s="27">
        <f>G1634</f>
        <v>4044.27</v>
      </c>
      <c r="H1633" s="27">
        <f t="shared" ref="H1633:I1633" si="709">H1634</f>
        <v>4264.22</v>
      </c>
      <c r="I1633" s="27">
        <f t="shared" si="709"/>
        <v>4264.22</v>
      </c>
      <c r="J1633" s="27">
        <f>4044.27</f>
        <v>4044.27</v>
      </c>
      <c r="K1633" s="16">
        <f t="shared" si="688"/>
        <v>0</v>
      </c>
      <c r="L1633" s="27">
        <f>4264.22</f>
        <v>4264.22</v>
      </c>
      <c r="M1633" s="16">
        <f t="shared" si="689"/>
        <v>0</v>
      </c>
      <c r="N1633" s="27">
        <f>4264.22</f>
        <v>4264.22</v>
      </c>
      <c r="O1633" s="16">
        <f t="shared" si="690"/>
        <v>0</v>
      </c>
    </row>
    <row r="1634" spans="1:15" s="4" customFormat="1" ht="25.5">
      <c r="A1634" s="12" t="s">
        <v>973</v>
      </c>
      <c r="B1634" s="25" t="s">
        <v>536</v>
      </c>
      <c r="C1634" s="26" t="s">
        <v>53</v>
      </c>
      <c r="D1634" s="26" t="s">
        <v>25</v>
      </c>
      <c r="E1634" s="26" t="s">
        <v>819</v>
      </c>
      <c r="F1634" s="26" t="s">
        <v>1043</v>
      </c>
      <c r="G1634" s="27">
        <f>4044.27</f>
        <v>4044.27</v>
      </c>
      <c r="H1634" s="27">
        <f>4264.22</f>
        <v>4264.22</v>
      </c>
      <c r="I1634" s="27">
        <f>4264.22</f>
        <v>4264.22</v>
      </c>
      <c r="J1634" s="80"/>
      <c r="K1634" s="16">
        <f t="shared" si="688"/>
        <v>-4044.27</v>
      </c>
      <c r="L1634" s="80"/>
      <c r="M1634" s="16">
        <f t="shared" si="689"/>
        <v>-4264.22</v>
      </c>
      <c r="N1634" s="80"/>
      <c r="O1634" s="16">
        <f t="shared" si="690"/>
        <v>-4264.22</v>
      </c>
    </row>
    <row r="1635" spans="1:15" s="3" customFormat="1">
      <c r="A1635" s="152" t="s">
        <v>97</v>
      </c>
      <c r="B1635" s="25" t="s">
        <v>536</v>
      </c>
      <c r="C1635" s="26" t="s">
        <v>53</v>
      </c>
      <c r="D1635" s="26" t="s">
        <v>25</v>
      </c>
      <c r="E1635" s="26" t="s">
        <v>819</v>
      </c>
      <c r="F1635" s="26" t="s">
        <v>118</v>
      </c>
      <c r="G1635" s="27">
        <f>SUM(G1636:G1637)</f>
        <v>1119</v>
      </c>
      <c r="H1635" s="27">
        <f t="shared" ref="H1635:I1635" si="710">SUM(H1636:H1637)</f>
        <v>941</v>
      </c>
      <c r="I1635" s="27">
        <f t="shared" si="710"/>
        <v>941</v>
      </c>
      <c r="J1635" s="27">
        <f>1080+39</f>
        <v>1119</v>
      </c>
      <c r="K1635" s="16">
        <f t="shared" si="688"/>
        <v>0</v>
      </c>
      <c r="L1635" s="27">
        <f>901+40</f>
        <v>941</v>
      </c>
      <c r="M1635" s="16">
        <f t="shared" si="689"/>
        <v>0</v>
      </c>
      <c r="N1635" s="27">
        <f>901+40</f>
        <v>941</v>
      </c>
      <c r="O1635" s="16">
        <f t="shared" si="690"/>
        <v>0</v>
      </c>
    </row>
    <row r="1636" spans="1:15" s="4" customFormat="1">
      <c r="A1636" s="12" t="s">
        <v>1036</v>
      </c>
      <c r="B1636" s="25" t="s">
        <v>536</v>
      </c>
      <c r="C1636" s="26" t="s">
        <v>53</v>
      </c>
      <c r="D1636" s="26" t="s">
        <v>25</v>
      </c>
      <c r="E1636" s="26" t="s">
        <v>819</v>
      </c>
      <c r="F1636" s="26" t="s">
        <v>1061</v>
      </c>
      <c r="G1636" s="27">
        <v>1080</v>
      </c>
      <c r="H1636" s="27">
        <v>901</v>
      </c>
      <c r="I1636" s="27">
        <v>901</v>
      </c>
      <c r="J1636" s="80"/>
      <c r="K1636" s="16">
        <f t="shared" si="688"/>
        <v>-1080</v>
      </c>
      <c r="L1636" s="80"/>
      <c r="M1636" s="16">
        <f t="shared" si="689"/>
        <v>-901</v>
      </c>
      <c r="N1636" s="80"/>
      <c r="O1636" s="16">
        <f t="shared" si="690"/>
        <v>-901</v>
      </c>
    </row>
    <row r="1637" spans="1:15" s="94" customFormat="1">
      <c r="A1637" s="12" t="s">
        <v>1037</v>
      </c>
      <c r="B1637" s="25" t="s">
        <v>536</v>
      </c>
      <c r="C1637" s="26" t="s">
        <v>53</v>
      </c>
      <c r="D1637" s="26" t="s">
        <v>25</v>
      </c>
      <c r="E1637" s="26" t="s">
        <v>819</v>
      </c>
      <c r="F1637" s="26" t="s">
        <v>1062</v>
      </c>
      <c r="G1637" s="27">
        <v>39</v>
      </c>
      <c r="H1637" s="27">
        <v>40</v>
      </c>
      <c r="I1637" s="27">
        <v>40</v>
      </c>
      <c r="J1637" s="81"/>
      <c r="K1637" s="91">
        <f t="shared" si="688"/>
        <v>-39</v>
      </c>
      <c r="L1637" s="81"/>
      <c r="M1637" s="91">
        <f t="shared" si="689"/>
        <v>-40</v>
      </c>
      <c r="N1637" s="81"/>
      <c r="O1637" s="91">
        <f t="shared" si="690"/>
        <v>-40</v>
      </c>
    </row>
    <row r="1638" spans="1:15" s="3" customFormat="1" ht="25.5">
      <c r="A1638" s="152" t="s">
        <v>617</v>
      </c>
      <c r="B1638" s="25" t="s">
        <v>536</v>
      </c>
      <c r="C1638" s="26" t="s">
        <v>53</v>
      </c>
      <c r="D1638" s="26" t="s">
        <v>25</v>
      </c>
      <c r="E1638" s="26" t="s">
        <v>626</v>
      </c>
      <c r="F1638" s="26" t="s">
        <v>58</v>
      </c>
      <c r="G1638" s="27">
        <f t="shared" ref="G1638:N1638" si="711">G1639</f>
        <v>430</v>
      </c>
      <c r="H1638" s="27">
        <f t="shared" si="711"/>
        <v>430</v>
      </c>
      <c r="I1638" s="27">
        <f t="shared" si="711"/>
        <v>430</v>
      </c>
      <c r="J1638" s="27">
        <f t="shared" si="711"/>
        <v>430</v>
      </c>
      <c r="K1638" s="16">
        <f t="shared" si="688"/>
        <v>0</v>
      </c>
      <c r="L1638" s="27">
        <f t="shared" si="711"/>
        <v>430</v>
      </c>
      <c r="M1638" s="16">
        <f t="shared" si="689"/>
        <v>0</v>
      </c>
      <c r="N1638" s="27">
        <f t="shared" si="711"/>
        <v>430</v>
      </c>
      <c r="O1638" s="16">
        <f t="shared" si="690"/>
        <v>0</v>
      </c>
    </row>
    <row r="1639" spans="1:15" s="3" customFormat="1" ht="51">
      <c r="A1639" s="11" t="s">
        <v>172</v>
      </c>
      <c r="B1639" s="25" t="s">
        <v>536</v>
      </c>
      <c r="C1639" s="26" t="s">
        <v>53</v>
      </c>
      <c r="D1639" s="26" t="s">
        <v>25</v>
      </c>
      <c r="E1639" s="26" t="s">
        <v>820</v>
      </c>
      <c r="F1639" s="26" t="s">
        <v>58</v>
      </c>
      <c r="G1639" s="27">
        <f>G1640</f>
        <v>430</v>
      </c>
      <c r="H1639" s="27">
        <f>H1640</f>
        <v>430</v>
      </c>
      <c r="I1639" s="27">
        <f>I1640</f>
        <v>430</v>
      </c>
      <c r="J1639" s="27">
        <f>J1640</f>
        <v>430</v>
      </c>
      <c r="K1639" s="16">
        <f t="shared" si="688"/>
        <v>0</v>
      </c>
      <c r="L1639" s="27">
        <f>L1640</f>
        <v>430</v>
      </c>
      <c r="M1639" s="16">
        <f t="shared" si="689"/>
        <v>0</v>
      </c>
      <c r="N1639" s="27">
        <f>N1640</f>
        <v>430</v>
      </c>
      <c r="O1639" s="16">
        <f t="shared" si="690"/>
        <v>0</v>
      </c>
    </row>
    <row r="1640" spans="1:15" s="3" customFormat="1" ht="25.5">
      <c r="A1640" s="152" t="s">
        <v>108</v>
      </c>
      <c r="B1640" s="25" t="s">
        <v>536</v>
      </c>
      <c r="C1640" s="26" t="s">
        <v>53</v>
      </c>
      <c r="D1640" s="26" t="s">
        <v>25</v>
      </c>
      <c r="E1640" s="26" t="s">
        <v>820</v>
      </c>
      <c r="F1640" s="26" t="s">
        <v>116</v>
      </c>
      <c r="G1640" s="27">
        <f>G1641</f>
        <v>430</v>
      </c>
      <c r="H1640" s="27">
        <f t="shared" ref="H1640:I1640" si="712">H1641</f>
        <v>430</v>
      </c>
      <c r="I1640" s="27">
        <f t="shared" si="712"/>
        <v>430</v>
      </c>
      <c r="J1640" s="27">
        <f>430</f>
        <v>430</v>
      </c>
      <c r="K1640" s="16">
        <f t="shared" si="688"/>
        <v>0</v>
      </c>
      <c r="L1640" s="27">
        <f>430</f>
        <v>430</v>
      </c>
      <c r="M1640" s="16">
        <f t="shared" si="689"/>
        <v>0</v>
      </c>
      <c r="N1640" s="27">
        <f>430</f>
        <v>430</v>
      </c>
      <c r="O1640" s="16">
        <f t="shared" si="690"/>
        <v>0</v>
      </c>
    </row>
    <row r="1641" spans="1:15" s="4" customFormat="1" ht="25.5">
      <c r="A1641" s="12" t="s">
        <v>973</v>
      </c>
      <c r="B1641" s="25" t="s">
        <v>536</v>
      </c>
      <c r="C1641" s="26" t="s">
        <v>53</v>
      </c>
      <c r="D1641" s="26" t="s">
        <v>25</v>
      </c>
      <c r="E1641" s="26" t="s">
        <v>820</v>
      </c>
      <c r="F1641" s="26" t="s">
        <v>1043</v>
      </c>
      <c r="G1641" s="27">
        <f>430</f>
        <v>430</v>
      </c>
      <c r="H1641" s="27">
        <f>430</f>
        <v>430</v>
      </c>
      <c r="I1641" s="27">
        <f>430</f>
        <v>430</v>
      </c>
      <c r="J1641" s="80"/>
      <c r="K1641" s="16">
        <f t="shared" si="688"/>
        <v>-430</v>
      </c>
      <c r="L1641" s="80"/>
      <c r="M1641" s="16">
        <f t="shared" si="689"/>
        <v>-430</v>
      </c>
      <c r="N1641" s="80"/>
      <c r="O1641" s="16">
        <f t="shared" si="690"/>
        <v>-430</v>
      </c>
    </row>
    <row r="1642" spans="1:15" s="153" customFormat="1" ht="25.5">
      <c r="A1642" s="11" t="s">
        <v>136</v>
      </c>
      <c r="B1642" s="25" t="s">
        <v>536</v>
      </c>
      <c r="C1642" s="26" t="s">
        <v>53</v>
      </c>
      <c r="D1642" s="26" t="s">
        <v>25</v>
      </c>
      <c r="E1642" s="26" t="s">
        <v>340</v>
      </c>
      <c r="F1642" s="26" t="s">
        <v>58</v>
      </c>
      <c r="G1642" s="27">
        <f t="shared" ref="G1642:N1643" si="713">G1643</f>
        <v>1712.74</v>
      </c>
      <c r="H1642" s="27">
        <f t="shared" si="713"/>
        <v>435</v>
      </c>
      <c r="I1642" s="27">
        <f t="shared" si="713"/>
        <v>435</v>
      </c>
      <c r="J1642" s="27">
        <f t="shared" si="713"/>
        <v>1712.74</v>
      </c>
      <c r="K1642" s="16">
        <f t="shared" si="688"/>
        <v>0</v>
      </c>
      <c r="L1642" s="27">
        <f t="shared" si="713"/>
        <v>435</v>
      </c>
      <c r="M1642" s="16">
        <f t="shared" si="689"/>
        <v>0</v>
      </c>
      <c r="N1642" s="27">
        <f t="shared" si="713"/>
        <v>435</v>
      </c>
      <c r="O1642" s="16">
        <f t="shared" si="690"/>
        <v>0</v>
      </c>
    </row>
    <row r="1643" spans="1:15" s="3" customFormat="1" ht="25.5">
      <c r="A1643" s="152" t="s">
        <v>863</v>
      </c>
      <c r="B1643" s="25" t="s">
        <v>536</v>
      </c>
      <c r="C1643" s="26" t="s">
        <v>53</v>
      </c>
      <c r="D1643" s="26" t="s">
        <v>25</v>
      </c>
      <c r="E1643" s="26" t="s">
        <v>341</v>
      </c>
      <c r="F1643" s="26" t="s">
        <v>58</v>
      </c>
      <c r="G1643" s="27">
        <f t="shared" si="713"/>
        <v>1712.74</v>
      </c>
      <c r="H1643" s="27">
        <f t="shared" si="713"/>
        <v>435</v>
      </c>
      <c r="I1643" s="27">
        <f t="shared" si="713"/>
        <v>435</v>
      </c>
      <c r="J1643" s="27">
        <f t="shared" si="713"/>
        <v>1712.74</v>
      </c>
      <c r="K1643" s="16">
        <f t="shared" si="688"/>
        <v>0</v>
      </c>
      <c r="L1643" s="27">
        <f t="shared" si="713"/>
        <v>435</v>
      </c>
      <c r="M1643" s="16">
        <f t="shared" si="689"/>
        <v>0</v>
      </c>
      <c r="N1643" s="27">
        <f t="shared" si="713"/>
        <v>435</v>
      </c>
      <c r="O1643" s="16">
        <f t="shared" si="690"/>
        <v>0</v>
      </c>
    </row>
    <row r="1644" spans="1:15" s="3" customFormat="1" ht="25.5">
      <c r="A1644" s="152" t="s">
        <v>137</v>
      </c>
      <c r="B1644" s="25" t="s">
        <v>536</v>
      </c>
      <c r="C1644" s="26" t="s">
        <v>53</v>
      </c>
      <c r="D1644" s="26" t="s">
        <v>25</v>
      </c>
      <c r="E1644" s="26" t="s">
        <v>546</v>
      </c>
      <c r="F1644" s="26" t="s">
        <v>58</v>
      </c>
      <c r="G1644" s="27">
        <f>G1645</f>
        <v>1712.74</v>
      </c>
      <c r="H1644" s="27">
        <f>H1645</f>
        <v>435</v>
      </c>
      <c r="I1644" s="27">
        <f>I1645</f>
        <v>435</v>
      </c>
      <c r="J1644" s="27">
        <f>J1645</f>
        <v>1712.74</v>
      </c>
      <c r="K1644" s="16">
        <f t="shared" si="688"/>
        <v>0</v>
      </c>
      <c r="L1644" s="27">
        <f>L1645</f>
        <v>435</v>
      </c>
      <c r="M1644" s="16">
        <f t="shared" si="689"/>
        <v>0</v>
      </c>
      <c r="N1644" s="27">
        <f>N1645</f>
        <v>435</v>
      </c>
      <c r="O1644" s="16">
        <f t="shared" si="690"/>
        <v>0</v>
      </c>
    </row>
    <row r="1645" spans="1:15" s="3" customFormat="1" ht="25.5">
      <c r="A1645" s="11" t="s">
        <v>108</v>
      </c>
      <c r="B1645" s="25" t="s">
        <v>536</v>
      </c>
      <c r="C1645" s="26" t="s">
        <v>53</v>
      </c>
      <c r="D1645" s="26" t="s">
        <v>25</v>
      </c>
      <c r="E1645" s="26" t="s">
        <v>546</v>
      </c>
      <c r="F1645" s="26" t="s">
        <v>116</v>
      </c>
      <c r="G1645" s="27">
        <f>G1646</f>
        <v>1712.74</v>
      </c>
      <c r="H1645" s="27">
        <f t="shared" ref="H1645:I1645" si="714">H1646</f>
        <v>435</v>
      </c>
      <c r="I1645" s="27">
        <f t="shared" si="714"/>
        <v>435</v>
      </c>
      <c r="J1645" s="27">
        <f>1712.74</f>
        <v>1712.74</v>
      </c>
      <c r="K1645" s="16">
        <f t="shared" si="688"/>
        <v>0</v>
      </c>
      <c r="L1645" s="27">
        <f>435</f>
        <v>435</v>
      </c>
      <c r="M1645" s="16">
        <f t="shared" si="689"/>
        <v>0</v>
      </c>
      <c r="N1645" s="27">
        <f>435</f>
        <v>435</v>
      </c>
      <c r="O1645" s="16">
        <f t="shared" si="690"/>
        <v>0</v>
      </c>
    </row>
    <row r="1646" spans="1:15" s="4" customFormat="1" ht="25.5">
      <c r="A1646" s="12" t="s">
        <v>973</v>
      </c>
      <c r="B1646" s="25" t="s">
        <v>536</v>
      </c>
      <c r="C1646" s="26" t="s">
        <v>53</v>
      </c>
      <c r="D1646" s="26" t="s">
        <v>25</v>
      </c>
      <c r="E1646" s="26" t="s">
        <v>546</v>
      </c>
      <c r="F1646" s="26" t="s">
        <v>1043</v>
      </c>
      <c r="G1646" s="27">
        <f>1712.74</f>
        <v>1712.74</v>
      </c>
      <c r="H1646" s="27">
        <f>435</f>
        <v>435</v>
      </c>
      <c r="I1646" s="27">
        <f>435</f>
        <v>435</v>
      </c>
      <c r="J1646" s="80"/>
      <c r="K1646" s="16">
        <f t="shared" si="688"/>
        <v>-1712.74</v>
      </c>
      <c r="L1646" s="80"/>
      <c r="M1646" s="16">
        <f t="shared" si="689"/>
        <v>-435</v>
      </c>
      <c r="N1646" s="80"/>
      <c r="O1646" s="16">
        <f t="shared" si="690"/>
        <v>-435</v>
      </c>
    </row>
    <row r="1647" spans="1:15" s="3" customFormat="1" ht="25.5">
      <c r="A1647" s="11" t="s">
        <v>822</v>
      </c>
      <c r="B1647" s="25" t="s">
        <v>536</v>
      </c>
      <c r="C1647" s="26" t="s">
        <v>53</v>
      </c>
      <c r="D1647" s="26" t="s">
        <v>25</v>
      </c>
      <c r="E1647" s="26" t="s">
        <v>821</v>
      </c>
      <c r="F1647" s="26" t="s">
        <v>58</v>
      </c>
      <c r="G1647" s="27">
        <f>G1648+G1658+G1662+G1666</f>
        <v>26876.25</v>
      </c>
      <c r="H1647" s="27">
        <f>H1648+H1658+H1662+H1666</f>
        <v>24089.390000000003</v>
      </c>
      <c r="I1647" s="27">
        <f>I1648+I1658+I1662+I1666</f>
        <v>24089.390000000003</v>
      </c>
      <c r="J1647" s="27">
        <f>J1648+J1658+J1662+J1666</f>
        <v>26876.25</v>
      </c>
      <c r="K1647" s="16">
        <f t="shared" si="688"/>
        <v>0</v>
      </c>
      <c r="L1647" s="27">
        <f>L1648+L1658+L1662+L1666</f>
        <v>24089.390000000003</v>
      </c>
      <c r="M1647" s="16">
        <f t="shared" si="689"/>
        <v>0</v>
      </c>
      <c r="N1647" s="27">
        <f>N1648+N1658+N1662+N1666</f>
        <v>24089.390000000003</v>
      </c>
      <c r="O1647" s="16">
        <f t="shared" si="690"/>
        <v>0</v>
      </c>
    </row>
    <row r="1648" spans="1:15" s="3" customFormat="1" ht="38.25">
      <c r="A1648" s="11" t="s">
        <v>864</v>
      </c>
      <c r="B1648" s="25" t="s">
        <v>536</v>
      </c>
      <c r="C1648" s="26" t="s">
        <v>53</v>
      </c>
      <c r="D1648" s="26" t="s">
        <v>25</v>
      </c>
      <c r="E1648" s="26" t="s">
        <v>823</v>
      </c>
      <c r="F1648" s="26" t="s">
        <v>58</v>
      </c>
      <c r="G1648" s="27">
        <f>G1649</f>
        <v>18692.580000000002</v>
      </c>
      <c r="H1648" s="27">
        <f>H1649</f>
        <v>18692.580000000002</v>
      </c>
      <c r="I1648" s="27">
        <f>I1649</f>
        <v>18692.580000000002</v>
      </c>
      <c r="J1648" s="27">
        <f>J1649</f>
        <v>18692.580000000002</v>
      </c>
      <c r="K1648" s="16">
        <f t="shared" si="688"/>
        <v>0</v>
      </c>
      <c r="L1648" s="27">
        <f>L1649</f>
        <v>18692.580000000002</v>
      </c>
      <c r="M1648" s="16">
        <f t="shared" si="689"/>
        <v>0</v>
      </c>
      <c r="N1648" s="27">
        <f>N1649</f>
        <v>18692.580000000002</v>
      </c>
      <c r="O1648" s="16">
        <f t="shared" si="690"/>
        <v>0</v>
      </c>
    </row>
    <row r="1649" spans="1:15" s="3" customFormat="1" ht="25.5">
      <c r="A1649" s="152" t="s">
        <v>247</v>
      </c>
      <c r="B1649" s="25" t="s">
        <v>536</v>
      </c>
      <c r="C1649" s="26" t="s">
        <v>53</v>
      </c>
      <c r="D1649" s="26" t="s">
        <v>25</v>
      </c>
      <c r="E1649" s="26" t="s">
        <v>824</v>
      </c>
      <c r="F1649" s="26" t="s">
        <v>58</v>
      </c>
      <c r="G1649" s="27">
        <f>G1650+G1653+G1655</f>
        <v>18692.580000000002</v>
      </c>
      <c r="H1649" s="27">
        <f t="shared" ref="H1649:I1649" si="715">H1650+H1653+H1655</f>
        <v>18692.580000000002</v>
      </c>
      <c r="I1649" s="27">
        <f t="shared" si="715"/>
        <v>18692.580000000002</v>
      </c>
      <c r="J1649" s="27">
        <f>SUM(J1650:J1655)</f>
        <v>18692.580000000002</v>
      </c>
      <c r="K1649" s="16">
        <f t="shared" si="688"/>
        <v>0</v>
      </c>
      <c r="L1649" s="27">
        <f>SUM(L1650:L1655)</f>
        <v>18692.580000000002</v>
      </c>
      <c r="M1649" s="16">
        <f t="shared" si="689"/>
        <v>0</v>
      </c>
      <c r="N1649" s="27">
        <f>SUM(N1650:N1655)</f>
        <v>18692.580000000002</v>
      </c>
      <c r="O1649" s="16">
        <f t="shared" si="690"/>
        <v>0</v>
      </c>
    </row>
    <row r="1650" spans="1:15" s="3" customFormat="1">
      <c r="A1650" s="152" t="s">
        <v>106</v>
      </c>
      <c r="B1650" s="25" t="s">
        <v>536</v>
      </c>
      <c r="C1650" s="26" t="s">
        <v>53</v>
      </c>
      <c r="D1650" s="26" t="s">
        <v>25</v>
      </c>
      <c r="E1650" s="26" t="s">
        <v>824</v>
      </c>
      <c r="F1650" s="26" t="s">
        <v>121</v>
      </c>
      <c r="G1650" s="27">
        <f>SUM(G1651:G1652)</f>
        <v>16997.420000000002</v>
      </c>
      <c r="H1650" s="27">
        <f t="shared" ref="H1650:I1650" si="716">SUM(H1651:H1652)</f>
        <v>16997.420000000002</v>
      </c>
      <c r="I1650" s="27">
        <f t="shared" si="716"/>
        <v>16997.420000000002</v>
      </c>
      <c r="J1650" s="27">
        <f>13054.85+3942.57</f>
        <v>16997.420000000002</v>
      </c>
      <c r="K1650" s="16">
        <f t="shared" si="688"/>
        <v>0</v>
      </c>
      <c r="L1650" s="27">
        <f t="shared" ref="L1650:N1650" si="717">13054.85+3942.57</f>
        <v>16997.420000000002</v>
      </c>
      <c r="M1650" s="16">
        <f t="shared" si="689"/>
        <v>0</v>
      </c>
      <c r="N1650" s="27">
        <f t="shared" si="717"/>
        <v>16997.420000000002</v>
      </c>
      <c r="O1650" s="16">
        <f t="shared" si="690"/>
        <v>0</v>
      </c>
    </row>
    <row r="1651" spans="1:15" s="4" customFormat="1">
      <c r="A1651" s="12" t="s">
        <v>932</v>
      </c>
      <c r="B1651" s="25" t="s">
        <v>536</v>
      </c>
      <c r="C1651" s="26" t="s">
        <v>53</v>
      </c>
      <c r="D1651" s="26" t="s">
        <v>25</v>
      </c>
      <c r="E1651" s="26" t="s">
        <v>824</v>
      </c>
      <c r="F1651" s="26" t="s">
        <v>1056</v>
      </c>
      <c r="G1651" s="27">
        <v>13054.85</v>
      </c>
      <c r="H1651" s="27">
        <v>13054.85</v>
      </c>
      <c r="I1651" s="27">
        <v>13054.85</v>
      </c>
      <c r="J1651" s="80"/>
      <c r="K1651" s="16">
        <f t="shared" si="688"/>
        <v>-13054.85</v>
      </c>
      <c r="L1651" s="80"/>
      <c r="M1651" s="16">
        <f t="shared" si="689"/>
        <v>-13054.85</v>
      </c>
      <c r="N1651" s="80"/>
      <c r="O1651" s="16">
        <f t="shared" si="690"/>
        <v>-13054.85</v>
      </c>
    </row>
    <row r="1652" spans="1:15" s="4" customFormat="1" ht="38.25">
      <c r="A1652" s="12" t="s">
        <v>935</v>
      </c>
      <c r="B1652" s="25" t="s">
        <v>536</v>
      </c>
      <c r="C1652" s="26" t="s">
        <v>53</v>
      </c>
      <c r="D1652" s="26" t="s">
        <v>25</v>
      </c>
      <c r="E1652" s="26" t="s">
        <v>824</v>
      </c>
      <c r="F1652" s="26" t="s">
        <v>1057</v>
      </c>
      <c r="G1652" s="27">
        <v>3942.57</v>
      </c>
      <c r="H1652" s="27">
        <v>3942.57</v>
      </c>
      <c r="I1652" s="27">
        <v>3942.57</v>
      </c>
      <c r="J1652" s="80"/>
      <c r="K1652" s="16">
        <f t="shared" si="688"/>
        <v>-3942.57</v>
      </c>
      <c r="L1652" s="80"/>
      <c r="M1652" s="16">
        <f t="shared" si="689"/>
        <v>-3942.57</v>
      </c>
      <c r="N1652" s="80"/>
      <c r="O1652" s="16">
        <f t="shared" si="690"/>
        <v>-3942.57</v>
      </c>
    </row>
    <row r="1653" spans="1:15" s="3" customFormat="1" ht="25.5">
      <c r="A1653" s="11" t="s">
        <v>108</v>
      </c>
      <c r="B1653" s="25" t="s">
        <v>536</v>
      </c>
      <c r="C1653" s="26" t="s">
        <v>53</v>
      </c>
      <c r="D1653" s="26" t="s">
        <v>25</v>
      </c>
      <c r="E1653" s="26" t="s">
        <v>824</v>
      </c>
      <c r="F1653" s="26" t="s">
        <v>116</v>
      </c>
      <c r="G1653" s="27">
        <f>G1654</f>
        <v>1338.16</v>
      </c>
      <c r="H1653" s="27">
        <f t="shared" ref="H1653:I1653" si="718">H1654</f>
        <v>1338.16</v>
      </c>
      <c r="I1653" s="27">
        <f t="shared" si="718"/>
        <v>1338.16</v>
      </c>
      <c r="J1653" s="27">
        <f>1338.16</f>
        <v>1338.16</v>
      </c>
      <c r="K1653" s="16">
        <f t="shared" si="688"/>
        <v>0</v>
      </c>
      <c r="L1653" s="27">
        <f t="shared" ref="H1653:N1654" si="719">1338.16</f>
        <v>1338.16</v>
      </c>
      <c r="M1653" s="16">
        <f t="shared" si="689"/>
        <v>0</v>
      </c>
      <c r="N1653" s="27">
        <f t="shared" si="719"/>
        <v>1338.16</v>
      </c>
      <c r="O1653" s="16">
        <f t="shared" si="690"/>
        <v>0</v>
      </c>
    </row>
    <row r="1654" spans="1:15" s="4" customFormat="1" ht="25.5">
      <c r="A1654" s="12" t="s">
        <v>973</v>
      </c>
      <c r="B1654" s="25" t="s">
        <v>536</v>
      </c>
      <c r="C1654" s="26" t="s">
        <v>53</v>
      </c>
      <c r="D1654" s="26" t="s">
        <v>25</v>
      </c>
      <c r="E1654" s="26" t="s">
        <v>824</v>
      </c>
      <c r="F1654" s="26" t="s">
        <v>1043</v>
      </c>
      <c r="G1654" s="27">
        <f>1338.16</f>
        <v>1338.16</v>
      </c>
      <c r="H1654" s="27">
        <f t="shared" si="719"/>
        <v>1338.16</v>
      </c>
      <c r="I1654" s="27">
        <f t="shared" si="719"/>
        <v>1338.16</v>
      </c>
      <c r="J1654" s="80"/>
      <c r="K1654" s="16">
        <f t="shared" si="688"/>
        <v>-1338.16</v>
      </c>
      <c r="L1654" s="80"/>
      <c r="M1654" s="16">
        <f t="shared" si="689"/>
        <v>-1338.16</v>
      </c>
      <c r="N1654" s="80"/>
      <c r="O1654" s="16">
        <f t="shared" si="690"/>
        <v>-1338.16</v>
      </c>
    </row>
    <row r="1655" spans="1:15" s="3" customFormat="1">
      <c r="A1655" s="152" t="s">
        <v>97</v>
      </c>
      <c r="B1655" s="25" t="s">
        <v>536</v>
      </c>
      <c r="C1655" s="26" t="s">
        <v>53</v>
      </c>
      <c r="D1655" s="26" t="s">
        <v>25</v>
      </c>
      <c r="E1655" s="26" t="s">
        <v>824</v>
      </c>
      <c r="F1655" s="26" t="s">
        <v>118</v>
      </c>
      <c r="G1655" s="27">
        <f>SUM(G1656:G1657)</f>
        <v>357</v>
      </c>
      <c r="H1655" s="27">
        <f t="shared" ref="H1655:I1655" si="720">SUM(H1656:H1657)</f>
        <v>357</v>
      </c>
      <c r="I1655" s="27">
        <f t="shared" si="720"/>
        <v>357</v>
      </c>
      <c r="J1655" s="27">
        <f>350+7</f>
        <v>357</v>
      </c>
      <c r="K1655" s="16">
        <f t="shared" si="688"/>
        <v>0</v>
      </c>
      <c r="L1655" s="27">
        <f t="shared" ref="L1655:N1655" si="721">350+7</f>
        <v>357</v>
      </c>
      <c r="M1655" s="16">
        <f t="shared" si="689"/>
        <v>0</v>
      </c>
      <c r="N1655" s="27">
        <f t="shared" si="721"/>
        <v>357</v>
      </c>
      <c r="O1655" s="16">
        <f t="shared" si="690"/>
        <v>0</v>
      </c>
    </row>
    <row r="1656" spans="1:15" s="4" customFormat="1">
      <c r="A1656" s="12" t="s">
        <v>1036</v>
      </c>
      <c r="B1656" s="25" t="s">
        <v>536</v>
      </c>
      <c r="C1656" s="26" t="s">
        <v>53</v>
      </c>
      <c r="D1656" s="26" t="s">
        <v>25</v>
      </c>
      <c r="E1656" s="26" t="s">
        <v>824</v>
      </c>
      <c r="F1656" s="26" t="s">
        <v>1061</v>
      </c>
      <c r="G1656" s="27">
        <v>350</v>
      </c>
      <c r="H1656" s="27">
        <v>350</v>
      </c>
      <c r="I1656" s="27">
        <v>350</v>
      </c>
      <c r="J1656" s="80"/>
      <c r="K1656" s="16">
        <f t="shared" si="688"/>
        <v>-350</v>
      </c>
      <c r="L1656" s="80"/>
      <c r="M1656" s="16">
        <f t="shared" si="689"/>
        <v>-350</v>
      </c>
      <c r="N1656" s="80"/>
      <c r="O1656" s="16">
        <f t="shared" si="690"/>
        <v>-350</v>
      </c>
    </row>
    <row r="1657" spans="1:15" s="4" customFormat="1">
      <c r="A1657" s="12" t="s">
        <v>1037</v>
      </c>
      <c r="B1657" s="25" t="s">
        <v>536</v>
      </c>
      <c r="C1657" s="26" t="s">
        <v>53</v>
      </c>
      <c r="D1657" s="26" t="s">
        <v>25</v>
      </c>
      <c r="E1657" s="26" t="s">
        <v>824</v>
      </c>
      <c r="F1657" s="26" t="s">
        <v>1062</v>
      </c>
      <c r="G1657" s="27">
        <v>7</v>
      </c>
      <c r="H1657" s="27">
        <v>7</v>
      </c>
      <c r="I1657" s="27">
        <v>7</v>
      </c>
      <c r="J1657" s="80"/>
      <c r="K1657" s="16">
        <f t="shared" ref="K1657:K1706" si="722">J1657-G1657</f>
        <v>-7</v>
      </c>
      <c r="L1657" s="80"/>
      <c r="M1657" s="16">
        <f t="shared" ref="M1657:M1706" si="723">L1657-H1657</f>
        <v>-7</v>
      </c>
      <c r="N1657" s="80"/>
      <c r="O1657" s="16">
        <f t="shared" ref="O1657:O1706" si="724">N1657-I1657</f>
        <v>-7</v>
      </c>
    </row>
    <row r="1658" spans="1:15" s="3" customFormat="1" ht="63.75">
      <c r="A1658" s="152" t="s">
        <v>670</v>
      </c>
      <c r="B1658" s="25" t="s">
        <v>536</v>
      </c>
      <c r="C1658" s="26" t="s">
        <v>53</v>
      </c>
      <c r="D1658" s="26" t="s">
        <v>25</v>
      </c>
      <c r="E1658" s="26" t="s">
        <v>825</v>
      </c>
      <c r="F1658" s="26" t="s">
        <v>58</v>
      </c>
      <c r="G1658" s="27">
        <f>G1659</f>
        <v>2553.67</v>
      </c>
      <c r="H1658" s="27">
        <f t="shared" ref="H1658:N1658" si="725">H1659</f>
        <v>2201.81</v>
      </c>
      <c r="I1658" s="27">
        <f t="shared" si="725"/>
        <v>2201.81</v>
      </c>
      <c r="J1658" s="27">
        <f>J1659</f>
        <v>2553.67</v>
      </c>
      <c r="K1658" s="16">
        <f t="shared" si="722"/>
        <v>0</v>
      </c>
      <c r="L1658" s="27">
        <f t="shared" si="725"/>
        <v>2201.81</v>
      </c>
      <c r="M1658" s="16">
        <f t="shared" si="723"/>
        <v>0</v>
      </c>
      <c r="N1658" s="27">
        <f t="shared" si="725"/>
        <v>2201.81</v>
      </c>
      <c r="O1658" s="16">
        <f t="shared" si="724"/>
        <v>0</v>
      </c>
    </row>
    <row r="1659" spans="1:15" s="3" customFormat="1" ht="51">
      <c r="A1659" s="152" t="s">
        <v>173</v>
      </c>
      <c r="B1659" s="25" t="s">
        <v>536</v>
      </c>
      <c r="C1659" s="26" t="s">
        <v>53</v>
      </c>
      <c r="D1659" s="26" t="s">
        <v>25</v>
      </c>
      <c r="E1659" s="26" t="s">
        <v>826</v>
      </c>
      <c r="F1659" s="26" t="s">
        <v>58</v>
      </c>
      <c r="G1659" s="27">
        <f>G1660</f>
        <v>2553.67</v>
      </c>
      <c r="H1659" s="27">
        <f>H1660</f>
        <v>2201.81</v>
      </c>
      <c r="I1659" s="27">
        <f>I1660</f>
        <v>2201.81</v>
      </c>
      <c r="J1659" s="27">
        <f>J1660</f>
        <v>2553.67</v>
      </c>
      <c r="K1659" s="16">
        <f t="shared" si="722"/>
        <v>0</v>
      </c>
      <c r="L1659" s="27">
        <f>L1660</f>
        <v>2201.81</v>
      </c>
      <c r="M1659" s="16">
        <f t="shared" si="723"/>
        <v>0</v>
      </c>
      <c r="N1659" s="27">
        <f>N1660</f>
        <v>2201.81</v>
      </c>
      <c r="O1659" s="16">
        <f t="shared" si="724"/>
        <v>0</v>
      </c>
    </row>
    <row r="1660" spans="1:15" s="3" customFormat="1" ht="25.5">
      <c r="A1660" s="11" t="s">
        <v>108</v>
      </c>
      <c r="B1660" s="25" t="s">
        <v>536</v>
      </c>
      <c r="C1660" s="26" t="s">
        <v>53</v>
      </c>
      <c r="D1660" s="26" t="s">
        <v>25</v>
      </c>
      <c r="E1660" s="26" t="s">
        <v>826</v>
      </c>
      <c r="F1660" s="26" t="s">
        <v>116</v>
      </c>
      <c r="G1660" s="27">
        <f>G1661</f>
        <v>2553.67</v>
      </c>
      <c r="H1660" s="27">
        <f t="shared" ref="H1660:I1660" si="726">H1661</f>
        <v>2201.81</v>
      </c>
      <c r="I1660" s="27">
        <f t="shared" si="726"/>
        <v>2201.81</v>
      </c>
      <c r="J1660" s="27">
        <f>2553.67</f>
        <v>2553.67</v>
      </c>
      <c r="K1660" s="16">
        <f t="shared" si="722"/>
        <v>0</v>
      </c>
      <c r="L1660" s="27">
        <f>2201.81</f>
        <v>2201.81</v>
      </c>
      <c r="M1660" s="16">
        <f t="shared" si="723"/>
        <v>0</v>
      </c>
      <c r="N1660" s="27">
        <f>2201.81</f>
        <v>2201.81</v>
      </c>
      <c r="O1660" s="16">
        <f t="shared" si="724"/>
        <v>0</v>
      </c>
    </row>
    <row r="1661" spans="1:15" s="4" customFormat="1" ht="25.5">
      <c r="A1661" s="12" t="s">
        <v>973</v>
      </c>
      <c r="B1661" s="25" t="s">
        <v>536</v>
      </c>
      <c r="C1661" s="26" t="s">
        <v>53</v>
      </c>
      <c r="D1661" s="26" t="s">
        <v>25</v>
      </c>
      <c r="E1661" s="26" t="s">
        <v>826</v>
      </c>
      <c r="F1661" s="26" t="s">
        <v>1043</v>
      </c>
      <c r="G1661" s="27">
        <f>2553.67</f>
        <v>2553.67</v>
      </c>
      <c r="H1661" s="27">
        <f>2201.81</f>
        <v>2201.81</v>
      </c>
      <c r="I1661" s="27">
        <f>2201.81</f>
        <v>2201.81</v>
      </c>
      <c r="J1661" s="80"/>
      <c r="K1661" s="16">
        <f t="shared" si="722"/>
        <v>-2553.67</v>
      </c>
      <c r="L1661" s="80"/>
      <c r="M1661" s="16">
        <f t="shared" si="723"/>
        <v>-2201.81</v>
      </c>
      <c r="N1661" s="80"/>
      <c r="O1661" s="16">
        <f t="shared" si="724"/>
        <v>-2201.81</v>
      </c>
    </row>
    <row r="1662" spans="1:15" s="3" customFormat="1" ht="25.5">
      <c r="A1662" s="152" t="s">
        <v>865</v>
      </c>
      <c r="B1662" s="25" t="s">
        <v>536</v>
      </c>
      <c r="C1662" s="26" t="s">
        <v>53</v>
      </c>
      <c r="D1662" s="26" t="s">
        <v>25</v>
      </c>
      <c r="E1662" s="26" t="s">
        <v>827</v>
      </c>
      <c r="F1662" s="26" t="s">
        <v>58</v>
      </c>
      <c r="G1662" s="27">
        <f>G1663</f>
        <v>2700</v>
      </c>
      <c r="H1662" s="27">
        <f t="shared" ref="H1662:N1662" si="727">H1663</f>
        <v>2430</v>
      </c>
      <c r="I1662" s="27">
        <f t="shared" si="727"/>
        <v>2430</v>
      </c>
      <c r="J1662" s="27">
        <f>J1663</f>
        <v>2700</v>
      </c>
      <c r="K1662" s="16">
        <f t="shared" si="722"/>
        <v>0</v>
      </c>
      <c r="L1662" s="27">
        <f t="shared" si="727"/>
        <v>2430</v>
      </c>
      <c r="M1662" s="16">
        <f t="shared" si="723"/>
        <v>0</v>
      </c>
      <c r="N1662" s="27">
        <f t="shared" si="727"/>
        <v>2430</v>
      </c>
      <c r="O1662" s="16">
        <f t="shared" si="724"/>
        <v>0</v>
      </c>
    </row>
    <row r="1663" spans="1:15" s="3" customFormat="1" ht="25.5">
      <c r="A1663" s="152" t="s">
        <v>122</v>
      </c>
      <c r="B1663" s="25" t="s">
        <v>536</v>
      </c>
      <c r="C1663" s="26" t="s">
        <v>53</v>
      </c>
      <c r="D1663" s="26" t="s">
        <v>25</v>
      </c>
      <c r="E1663" s="26" t="s">
        <v>828</v>
      </c>
      <c r="F1663" s="26" t="s">
        <v>58</v>
      </c>
      <c r="G1663" s="27">
        <f>G1664</f>
        <v>2700</v>
      </c>
      <c r="H1663" s="27">
        <f>H1664</f>
        <v>2430</v>
      </c>
      <c r="I1663" s="27">
        <f>I1664</f>
        <v>2430</v>
      </c>
      <c r="J1663" s="27">
        <f>J1664</f>
        <v>2700</v>
      </c>
      <c r="K1663" s="16">
        <f t="shared" si="722"/>
        <v>0</v>
      </c>
      <c r="L1663" s="27">
        <f>L1664</f>
        <v>2430</v>
      </c>
      <c r="M1663" s="16">
        <f t="shared" si="723"/>
        <v>0</v>
      </c>
      <c r="N1663" s="27">
        <f>N1664</f>
        <v>2430</v>
      </c>
      <c r="O1663" s="16">
        <f t="shared" si="724"/>
        <v>0</v>
      </c>
    </row>
    <row r="1664" spans="1:15" s="3" customFormat="1" ht="25.5">
      <c r="A1664" s="152" t="s">
        <v>108</v>
      </c>
      <c r="B1664" s="25" t="s">
        <v>536</v>
      </c>
      <c r="C1664" s="26" t="s">
        <v>53</v>
      </c>
      <c r="D1664" s="26" t="s">
        <v>25</v>
      </c>
      <c r="E1664" s="26" t="s">
        <v>828</v>
      </c>
      <c r="F1664" s="26" t="s">
        <v>116</v>
      </c>
      <c r="G1664" s="27">
        <f>G1665</f>
        <v>2700</v>
      </c>
      <c r="H1664" s="27">
        <f t="shared" ref="H1664:I1664" si="728">H1665</f>
        <v>2430</v>
      </c>
      <c r="I1664" s="27">
        <f t="shared" si="728"/>
        <v>2430</v>
      </c>
      <c r="J1664" s="27">
        <f>2700</f>
        <v>2700</v>
      </c>
      <c r="K1664" s="16">
        <f t="shared" si="722"/>
        <v>0</v>
      </c>
      <c r="L1664" s="27">
        <f>2430</f>
        <v>2430</v>
      </c>
      <c r="M1664" s="16">
        <f t="shared" si="723"/>
        <v>0</v>
      </c>
      <c r="N1664" s="27">
        <f>2430</f>
        <v>2430</v>
      </c>
      <c r="O1664" s="16">
        <f t="shared" si="724"/>
        <v>0</v>
      </c>
    </row>
    <row r="1665" spans="1:15" s="4" customFormat="1" ht="25.5">
      <c r="A1665" s="12" t="s">
        <v>973</v>
      </c>
      <c r="B1665" s="25" t="s">
        <v>536</v>
      </c>
      <c r="C1665" s="26" t="s">
        <v>53</v>
      </c>
      <c r="D1665" s="26" t="s">
        <v>25</v>
      </c>
      <c r="E1665" s="26" t="s">
        <v>828</v>
      </c>
      <c r="F1665" s="26" t="s">
        <v>1043</v>
      </c>
      <c r="G1665" s="27">
        <f>2700</f>
        <v>2700</v>
      </c>
      <c r="H1665" s="27">
        <f>2430</f>
        <v>2430</v>
      </c>
      <c r="I1665" s="27">
        <f>2430</f>
        <v>2430</v>
      </c>
      <c r="J1665" s="80"/>
      <c r="K1665" s="16">
        <f t="shared" si="722"/>
        <v>-2700</v>
      </c>
      <c r="L1665" s="80"/>
      <c r="M1665" s="16">
        <f t="shared" si="723"/>
        <v>-2430</v>
      </c>
      <c r="N1665" s="80"/>
      <c r="O1665" s="16">
        <f t="shared" si="724"/>
        <v>-2430</v>
      </c>
    </row>
    <row r="1666" spans="1:15" s="3" customFormat="1" ht="63.75">
      <c r="A1666" s="152" t="s">
        <v>866</v>
      </c>
      <c r="B1666" s="25" t="s">
        <v>536</v>
      </c>
      <c r="C1666" s="26" t="s">
        <v>53</v>
      </c>
      <c r="D1666" s="26" t="s">
        <v>25</v>
      </c>
      <c r="E1666" s="26" t="s">
        <v>829</v>
      </c>
      <c r="F1666" s="26" t="s">
        <v>58</v>
      </c>
      <c r="G1666" s="27">
        <f>G1667</f>
        <v>2930</v>
      </c>
      <c r="H1666" s="27">
        <f t="shared" ref="H1666" si="729">H1667</f>
        <v>765</v>
      </c>
      <c r="I1666" s="27">
        <f t="shared" ref="I1666" si="730">I1667</f>
        <v>765</v>
      </c>
      <c r="J1666" s="27">
        <f>J1667</f>
        <v>2930</v>
      </c>
      <c r="K1666" s="16">
        <f t="shared" si="722"/>
        <v>0</v>
      </c>
      <c r="L1666" s="27">
        <f t="shared" ref="L1666:N1666" si="731">L1667</f>
        <v>765</v>
      </c>
      <c r="M1666" s="16">
        <f t="shared" si="723"/>
        <v>0</v>
      </c>
      <c r="N1666" s="27">
        <f t="shared" si="731"/>
        <v>765</v>
      </c>
      <c r="O1666" s="16">
        <f t="shared" si="724"/>
        <v>0</v>
      </c>
    </row>
    <row r="1667" spans="1:15" s="3" customFormat="1" ht="25.5">
      <c r="A1667" s="152" t="s">
        <v>122</v>
      </c>
      <c r="B1667" s="25" t="s">
        <v>536</v>
      </c>
      <c r="C1667" s="26" t="s">
        <v>53</v>
      </c>
      <c r="D1667" s="26" t="s">
        <v>25</v>
      </c>
      <c r="E1667" s="26" t="s">
        <v>830</v>
      </c>
      <c r="F1667" s="26" t="s">
        <v>58</v>
      </c>
      <c r="G1667" s="27">
        <f>G1668</f>
        <v>2930</v>
      </c>
      <c r="H1667" s="27">
        <f>H1668</f>
        <v>765</v>
      </c>
      <c r="I1667" s="27">
        <f>I1668</f>
        <v>765</v>
      </c>
      <c r="J1667" s="27">
        <f>J1668</f>
        <v>2930</v>
      </c>
      <c r="K1667" s="16">
        <f t="shared" si="722"/>
        <v>0</v>
      </c>
      <c r="L1667" s="27">
        <f>L1668</f>
        <v>765</v>
      </c>
      <c r="M1667" s="16">
        <f t="shared" si="723"/>
        <v>0</v>
      </c>
      <c r="N1667" s="27">
        <f>N1668</f>
        <v>765</v>
      </c>
      <c r="O1667" s="16">
        <f t="shared" si="724"/>
        <v>0</v>
      </c>
    </row>
    <row r="1668" spans="1:15" s="3" customFormat="1" ht="25.5">
      <c r="A1668" s="152" t="s">
        <v>108</v>
      </c>
      <c r="B1668" s="25" t="s">
        <v>536</v>
      </c>
      <c r="C1668" s="26" t="s">
        <v>53</v>
      </c>
      <c r="D1668" s="26" t="s">
        <v>25</v>
      </c>
      <c r="E1668" s="26" t="s">
        <v>830</v>
      </c>
      <c r="F1668" s="26" t="s">
        <v>116</v>
      </c>
      <c r="G1668" s="27">
        <f>G1669</f>
        <v>2930</v>
      </c>
      <c r="H1668" s="27">
        <f t="shared" ref="H1668:I1668" si="732">H1669</f>
        <v>765</v>
      </c>
      <c r="I1668" s="27">
        <f t="shared" si="732"/>
        <v>765</v>
      </c>
      <c r="J1668" s="27">
        <f>2930</f>
        <v>2930</v>
      </c>
      <c r="K1668" s="16">
        <f t="shared" si="722"/>
        <v>0</v>
      </c>
      <c r="L1668" s="27">
        <f>765</f>
        <v>765</v>
      </c>
      <c r="M1668" s="16">
        <f t="shared" si="723"/>
        <v>0</v>
      </c>
      <c r="N1668" s="27">
        <f>765</f>
        <v>765</v>
      </c>
      <c r="O1668" s="16">
        <f t="shared" si="724"/>
        <v>0</v>
      </c>
    </row>
    <row r="1669" spans="1:15" s="4" customFormat="1" ht="25.5">
      <c r="A1669" s="12" t="s">
        <v>973</v>
      </c>
      <c r="B1669" s="25" t="s">
        <v>536</v>
      </c>
      <c r="C1669" s="26" t="s">
        <v>53</v>
      </c>
      <c r="D1669" s="26" t="s">
        <v>25</v>
      </c>
      <c r="E1669" s="26" t="s">
        <v>830</v>
      </c>
      <c r="F1669" s="26" t="s">
        <v>1043</v>
      </c>
      <c r="G1669" s="27">
        <f>2930</f>
        <v>2930</v>
      </c>
      <c r="H1669" s="27">
        <f>765</f>
        <v>765</v>
      </c>
      <c r="I1669" s="27">
        <f>765</f>
        <v>765</v>
      </c>
      <c r="J1669" s="80"/>
      <c r="K1669" s="16">
        <f t="shared" si="722"/>
        <v>-2930</v>
      </c>
      <c r="L1669" s="80"/>
      <c r="M1669" s="16">
        <f t="shared" si="723"/>
        <v>-765</v>
      </c>
      <c r="N1669" s="80"/>
      <c r="O1669" s="16">
        <f t="shared" si="724"/>
        <v>-765</v>
      </c>
    </row>
    <row r="1670" spans="1:15" s="3" customFormat="1" ht="38.25">
      <c r="A1670" s="120" t="s">
        <v>185</v>
      </c>
      <c r="B1670" s="25" t="s">
        <v>536</v>
      </c>
      <c r="C1670" s="26" t="s">
        <v>53</v>
      </c>
      <c r="D1670" s="26" t="s">
        <v>25</v>
      </c>
      <c r="E1670" s="26" t="s">
        <v>547</v>
      </c>
      <c r="F1670" s="26" t="s">
        <v>58</v>
      </c>
      <c r="G1670" s="27">
        <f>G1671</f>
        <v>15349.49</v>
      </c>
      <c r="H1670" s="27">
        <f>H1671</f>
        <v>15349.49</v>
      </c>
      <c r="I1670" s="27">
        <f>I1671</f>
        <v>15349.49</v>
      </c>
      <c r="J1670" s="27">
        <f>J1671</f>
        <v>15349.49</v>
      </c>
      <c r="K1670" s="16">
        <f t="shared" si="722"/>
        <v>0</v>
      </c>
      <c r="L1670" s="27">
        <f>L1671</f>
        <v>15349.49</v>
      </c>
      <c r="M1670" s="16">
        <f t="shared" si="723"/>
        <v>0</v>
      </c>
      <c r="N1670" s="27">
        <f>N1671</f>
        <v>15349.49</v>
      </c>
      <c r="O1670" s="16">
        <f t="shared" si="724"/>
        <v>0</v>
      </c>
    </row>
    <row r="1671" spans="1:15" s="153" customFormat="1" ht="38.25">
      <c r="A1671" s="11" t="s">
        <v>548</v>
      </c>
      <c r="B1671" s="25" t="s">
        <v>536</v>
      </c>
      <c r="C1671" s="26" t="s">
        <v>53</v>
      </c>
      <c r="D1671" s="26" t="s">
        <v>25</v>
      </c>
      <c r="E1671" s="26" t="s">
        <v>549</v>
      </c>
      <c r="F1671" s="26" t="s">
        <v>58</v>
      </c>
      <c r="G1671" s="27">
        <f>G1672+G1681</f>
        <v>15349.49</v>
      </c>
      <c r="H1671" s="27">
        <f>H1672+H1681</f>
        <v>15349.49</v>
      </c>
      <c r="I1671" s="27">
        <f>I1672+I1681</f>
        <v>15349.49</v>
      </c>
      <c r="J1671" s="27">
        <f>J1672+J1681</f>
        <v>15349.49</v>
      </c>
      <c r="K1671" s="16">
        <f t="shared" si="722"/>
        <v>0</v>
      </c>
      <c r="L1671" s="27">
        <f>L1672+L1681</f>
        <v>15349.49</v>
      </c>
      <c r="M1671" s="16">
        <f t="shared" si="723"/>
        <v>0</v>
      </c>
      <c r="N1671" s="27">
        <f>N1672+N1681</f>
        <v>15349.49</v>
      </c>
      <c r="O1671" s="16">
        <f t="shared" si="724"/>
        <v>0</v>
      </c>
    </row>
    <row r="1672" spans="1:15" s="3" customFormat="1" ht="25.5">
      <c r="A1672" s="157" t="s">
        <v>114</v>
      </c>
      <c r="B1672" s="154" t="s">
        <v>536</v>
      </c>
      <c r="C1672" s="155" t="s">
        <v>53</v>
      </c>
      <c r="D1672" s="155" t="s">
        <v>25</v>
      </c>
      <c r="E1672" s="155" t="s">
        <v>550</v>
      </c>
      <c r="F1672" s="155" t="s">
        <v>58</v>
      </c>
      <c r="G1672" s="156">
        <f>G1673+G1676+G1678</f>
        <v>1772.94</v>
      </c>
      <c r="H1672" s="156">
        <f t="shared" ref="H1672:I1672" si="733">H1673+H1676+H1678</f>
        <v>1772.94</v>
      </c>
      <c r="I1672" s="156">
        <f t="shared" si="733"/>
        <v>1772.94</v>
      </c>
      <c r="J1672" s="156">
        <f>SUM(J1673:J1678)</f>
        <v>1772.94</v>
      </c>
      <c r="K1672" s="158">
        <f t="shared" si="722"/>
        <v>0</v>
      </c>
      <c r="L1672" s="156">
        <f>SUM(L1673:L1678)</f>
        <v>1772.94</v>
      </c>
      <c r="M1672" s="158">
        <f t="shared" si="723"/>
        <v>0</v>
      </c>
      <c r="N1672" s="156">
        <f>SUM(N1673:N1678)</f>
        <v>1772.94</v>
      </c>
      <c r="O1672" s="158">
        <f t="shared" si="724"/>
        <v>0</v>
      </c>
    </row>
    <row r="1673" spans="1:15" s="159" customFormat="1" ht="25.5">
      <c r="A1673" s="11" t="s">
        <v>107</v>
      </c>
      <c r="B1673" s="25" t="s">
        <v>536</v>
      </c>
      <c r="C1673" s="26" t="s">
        <v>53</v>
      </c>
      <c r="D1673" s="26" t="s">
        <v>25</v>
      </c>
      <c r="E1673" s="26" t="s">
        <v>550</v>
      </c>
      <c r="F1673" s="26" t="s">
        <v>115</v>
      </c>
      <c r="G1673" s="27">
        <f>SUM(G1674:G1675)</f>
        <v>387.25</v>
      </c>
      <c r="H1673" s="27">
        <f t="shared" ref="H1673:I1673" si="734">SUM(H1674:H1675)</f>
        <v>387.25</v>
      </c>
      <c r="I1673" s="27">
        <f t="shared" si="734"/>
        <v>387.25</v>
      </c>
      <c r="J1673" s="27">
        <f>303.08+84.17</f>
        <v>387.25</v>
      </c>
      <c r="K1673" s="29">
        <f t="shared" si="722"/>
        <v>0</v>
      </c>
      <c r="L1673" s="27">
        <f t="shared" ref="L1673:N1673" si="735">303.08+84.17</f>
        <v>387.25</v>
      </c>
      <c r="M1673" s="29">
        <f t="shared" si="723"/>
        <v>0</v>
      </c>
      <c r="N1673" s="27">
        <f t="shared" si="735"/>
        <v>387.25</v>
      </c>
      <c r="O1673" s="29">
        <f t="shared" si="724"/>
        <v>0</v>
      </c>
    </row>
    <row r="1674" spans="1:15" s="159" customFormat="1" ht="25.5">
      <c r="A1674" s="11" t="s">
        <v>937</v>
      </c>
      <c r="B1674" s="25" t="s">
        <v>536</v>
      </c>
      <c r="C1674" s="26" t="s">
        <v>53</v>
      </c>
      <c r="D1674" s="26" t="s">
        <v>25</v>
      </c>
      <c r="E1674" s="26" t="s">
        <v>550</v>
      </c>
      <c r="F1674" s="26" t="s">
        <v>1059</v>
      </c>
      <c r="G1674" s="27">
        <v>303.08</v>
      </c>
      <c r="H1674" s="27">
        <v>303.08</v>
      </c>
      <c r="I1674" s="27">
        <v>303.08</v>
      </c>
      <c r="J1674" s="27"/>
      <c r="K1674" s="29">
        <f t="shared" si="722"/>
        <v>-303.08</v>
      </c>
      <c r="L1674" s="27"/>
      <c r="M1674" s="29">
        <f t="shared" si="723"/>
        <v>-303.08</v>
      </c>
      <c r="N1674" s="27"/>
      <c r="O1674" s="29">
        <f t="shared" si="724"/>
        <v>-303.08</v>
      </c>
    </row>
    <row r="1675" spans="1:15" s="159" customFormat="1" ht="38.25">
      <c r="A1675" s="11" t="s">
        <v>939</v>
      </c>
      <c r="B1675" s="25" t="s">
        <v>536</v>
      </c>
      <c r="C1675" s="26" t="s">
        <v>53</v>
      </c>
      <c r="D1675" s="26" t="s">
        <v>25</v>
      </c>
      <c r="E1675" s="26" t="s">
        <v>550</v>
      </c>
      <c r="F1675" s="26" t="s">
        <v>1060</v>
      </c>
      <c r="G1675" s="27">
        <v>84.17</v>
      </c>
      <c r="H1675" s="27">
        <v>84.17</v>
      </c>
      <c r="I1675" s="27">
        <v>84.17</v>
      </c>
      <c r="J1675" s="27"/>
      <c r="K1675" s="29">
        <f t="shared" si="722"/>
        <v>-84.17</v>
      </c>
      <c r="L1675" s="27"/>
      <c r="M1675" s="29">
        <f t="shared" si="723"/>
        <v>-84.17</v>
      </c>
      <c r="N1675" s="27"/>
      <c r="O1675" s="29">
        <f t="shared" si="724"/>
        <v>-84.17</v>
      </c>
    </row>
    <row r="1676" spans="1:15" s="159" customFormat="1" ht="25.5">
      <c r="A1676" s="11" t="s">
        <v>108</v>
      </c>
      <c r="B1676" s="25" t="s">
        <v>536</v>
      </c>
      <c r="C1676" s="26" t="s">
        <v>53</v>
      </c>
      <c r="D1676" s="26" t="s">
        <v>25</v>
      </c>
      <c r="E1676" s="26" t="s">
        <v>550</v>
      </c>
      <c r="F1676" s="26" t="s">
        <v>116</v>
      </c>
      <c r="G1676" s="27">
        <f>G1677</f>
        <v>1183.98</v>
      </c>
      <c r="H1676" s="27">
        <f t="shared" ref="H1676:I1676" si="736">H1677</f>
        <v>1183.98</v>
      </c>
      <c r="I1676" s="27">
        <f t="shared" si="736"/>
        <v>1183.98</v>
      </c>
      <c r="J1676" s="27">
        <f>1183.98</f>
        <v>1183.98</v>
      </c>
      <c r="K1676" s="29">
        <f t="shared" si="722"/>
        <v>0</v>
      </c>
      <c r="L1676" s="27">
        <f t="shared" ref="H1676:N1677" si="737">1183.98</f>
        <v>1183.98</v>
      </c>
      <c r="M1676" s="29">
        <f t="shared" si="723"/>
        <v>0</v>
      </c>
      <c r="N1676" s="27">
        <f t="shared" si="737"/>
        <v>1183.98</v>
      </c>
      <c r="O1676" s="29">
        <f t="shared" si="724"/>
        <v>0</v>
      </c>
    </row>
    <row r="1677" spans="1:15" s="159" customFormat="1" ht="25.5">
      <c r="A1677" s="12" t="s">
        <v>973</v>
      </c>
      <c r="B1677" s="25" t="s">
        <v>536</v>
      </c>
      <c r="C1677" s="26" t="s">
        <v>53</v>
      </c>
      <c r="D1677" s="26" t="s">
        <v>25</v>
      </c>
      <c r="E1677" s="26" t="s">
        <v>550</v>
      </c>
      <c r="F1677" s="26" t="s">
        <v>1043</v>
      </c>
      <c r="G1677" s="27">
        <f>1183.98</f>
        <v>1183.98</v>
      </c>
      <c r="H1677" s="27">
        <f t="shared" si="737"/>
        <v>1183.98</v>
      </c>
      <c r="I1677" s="27">
        <f t="shared" si="737"/>
        <v>1183.98</v>
      </c>
      <c r="J1677" s="27"/>
      <c r="K1677" s="29">
        <f t="shared" si="722"/>
        <v>-1183.98</v>
      </c>
      <c r="L1677" s="27"/>
      <c r="M1677" s="29">
        <f t="shared" si="723"/>
        <v>-1183.98</v>
      </c>
      <c r="N1677" s="27"/>
      <c r="O1677" s="29">
        <f t="shared" si="724"/>
        <v>-1183.98</v>
      </c>
    </row>
    <row r="1678" spans="1:15" s="159" customFormat="1">
      <c r="A1678" s="11" t="s">
        <v>97</v>
      </c>
      <c r="B1678" s="25" t="s">
        <v>536</v>
      </c>
      <c r="C1678" s="26" t="s">
        <v>53</v>
      </c>
      <c r="D1678" s="26" t="s">
        <v>25</v>
      </c>
      <c r="E1678" s="26" t="s">
        <v>550</v>
      </c>
      <c r="F1678" s="26" t="s">
        <v>118</v>
      </c>
      <c r="G1678" s="27">
        <f>SUM(G1679:G1680)</f>
        <v>201.71</v>
      </c>
      <c r="H1678" s="27">
        <f>SUM(H1679:H1680)</f>
        <v>201.71</v>
      </c>
      <c r="I1678" s="27">
        <f>SUM(I1679:I1680)</f>
        <v>201.71</v>
      </c>
      <c r="J1678" s="27">
        <f>172.71+29</f>
        <v>201.71</v>
      </c>
      <c r="K1678" s="29">
        <f t="shared" si="722"/>
        <v>0</v>
      </c>
      <c r="L1678" s="27">
        <f t="shared" ref="L1678:N1678" si="738">172.71+29</f>
        <v>201.71</v>
      </c>
      <c r="M1678" s="29">
        <f t="shared" si="723"/>
        <v>0</v>
      </c>
      <c r="N1678" s="27">
        <f t="shared" si="738"/>
        <v>201.71</v>
      </c>
      <c r="O1678" s="29">
        <f t="shared" si="724"/>
        <v>0</v>
      </c>
    </row>
    <row r="1679" spans="1:15" s="159" customFormat="1">
      <c r="A1679" s="11" t="s">
        <v>1036</v>
      </c>
      <c r="B1679" s="25" t="s">
        <v>536</v>
      </c>
      <c r="C1679" s="26" t="s">
        <v>53</v>
      </c>
      <c r="D1679" s="26" t="s">
        <v>25</v>
      </c>
      <c r="E1679" s="26" t="s">
        <v>550</v>
      </c>
      <c r="F1679" s="26" t="s">
        <v>1061</v>
      </c>
      <c r="G1679" s="27">
        <v>172.71</v>
      </c>
      <c r="H1679" s="27">
        <v>172.71</v>
      </c>
      <c r="I1679" s="27">
        <v>172.71</v>
      </c>
      <c r="J1679" s="27"/>
      <c r="K1679" s="29">
        <f t="shared" si="722"/>
        <v>-172.71</v>
      </c>
      <c r="L1679" s="27"/>
      <c r="M1679" s="29">
        <f t="shared" si="723"/>
        <v>-172.71</v>
      </c>
      <c r="N1679" s="27"/>
      <c r="O1679" s="29">
        <f t="shared" si="724"/>
        <v>-172.71</v>
      </c>
    </row>
    <row r="1680" spans="1:15" s="159" customFormat="1">
      <c r="A1680" s="11" t="s">
        <v>1037</v>
      </c>
      <c r="B1680" s="25" t="s">
        <v>536</v>
      </c>
      <c r="C1680" s="26" t="s">
        <v>53</v>
      </c>
      <c r="D1680" s="26" t="s">
        <v>25</v>
      </c>
      <c r="E1680" s="26" t="s">
        <v>550</v>
      </c>
      <c r="F1680" s="26" t="s">
        <v>1062</v>
      </c>
      <c r="G1680" s="27">
        <v>29</v>
      </c>
      <c r="H1680" s="27">
        <v>29</v>
      </c>
      <c r="I1680" s="27">
        <v>29</v>
      </c>
      <c r="J1680" s="27"/>
      <c r="K1680" s="29">
        <f t="shared" si="722"/>
        <v>-29</v>
      </c>
      <c r="L1680" s="27"/>
      <c r="M1680" s="29">
        <f t="shared" si="723"/>
        <v>-29</v>
      </c>
      <c r="N1680" s="27"/>
      <c r="O1680" s="29">
        <f t="shared" si="724"/>
        <v>-29</v>
      </c>
    </row>
    <row r="1681" spans="1:15" s="3" customFormat="1" ht="25.5">
      <c r="A1681" s="152" t="s">
        <v>126</v>
      </c>
      <c r="B1681" s="25" t="s">
        <v>536</v>
      </c>
      <c r="C1681" s="26" t="s">
        <v>53</v>
      </c>
      <c r="D1681" s="26" t="s">
        <v>25</v>
      </c>
      <c r="E1681" s="26" t="s">
        <v>551</v>
      </c>
      <c r="F1681" s="26" t="s">
        <v>58</v>
      </c>
      <c r="G1681" s="27">
        <f>G1682</f>
        <v>13576.55</v>
      </c>
      <c r="H1681" s="27">
        <f>H1682</f>
        <v>13576.55</v>
      </c>
      <c r="I1681" s="27">
        <f>I1682</f>
        <v>13576.55</v>
      </c>
      <c r="J1681" s="27">
        <f>J1682</f>
        <v>13576.55</v>
      </c>
      <c r="K1681" s="16">
        <f t="shared" si="722"/>
        <v>0</v>
      </c>
      <c r="L1681" s="27">
        <f>L1682</f>
        <v>13576.55</v>
      </c>
      <c r="M1681" s="16">
        <f t="shared" si="723"/>
        <v>0</v>
      </c>
      <c r="N1681" s="27">
        <f>N1682</f>
        <v>13576.55</v>
      </c>
      <c r="O1681" s="16">
        <f t="shared" si="724"/>
        <v>0</v>
      </c>
    </row>
    <row r="1682" spans="1:15" s="3" customFormat="1" ht="25.5">
      <c r="A1682" s="11" t="s">
        <v>107</v>
      </c>
      <c r="B1682" s="25" t="s">
        <v>536</v>
      </c>
      <c r="C1682" s="26" t="s">
        <v>53</v>
      </c>
      <c r="D1682" s="26" t="s">
        <v>25</v>
      </c>
      <c r="E1682" s="26" t="s">
        <v>551</v>
      </c>
      <c r="F1682" s="26" t="s">
        <v>115</v>
      </c>
      <c r="G1682" s="27">
        <f>SUM(G1683:G1684)</f>
        <v>13576.55</v>
      </c>
      <c r="H1682" s="27">
        <f t="shared" ref="H1682:I1682" si="739">SUM(H1683:H1684)</f>
        <v>13576.55</v>
      </c>
      <c r="I1682" s="27">
        <f t="shared" si="739"/>
        <v>13576.55</v>
      </c>
      <c r="J1682" s="27">
        <f>10427.46+3149.09</f>
        <v>13576.55</v>
      </c>
      <c r="K1682" s="16">
        <f t="shared" si="722"/>
        <v>0</v>
      </c>
      <c r="L1682" s="27">
        <f t="shared" ref="L1682:N1682" si="740">10427.46+3149.09</f>
        <v>13576.55</v>
      </c>
      <c r="M1682" s="16">
        <f t="shared" si="723"/>
        <v>0</v>
      </c>
      <c r="N1682" s="27">
        <f t="shared" si="740"/>
        <v>13576.55</v>
      </c>
      <c r="O1682" s="16">
        <f t="shared" si="724"/>
        <v>0</v>
      </c>
    </row>
    <row r="1683" spans="1:15" s="94" customFormat="1">
      <c r="A1683" s="12" t="s">
        <v>936</v>
      </c>
      <c r="B1683" s="25" t="s">
        <v>536</v>
      </c>
      <c r="C1683" s="26" t="s">
        <v>53</v>
      </c>
      <c r="D1683" s="26" t="s">
        <v>25</v>
      </c>
      <c r="E1683" s="26" t="s">
        <v>551</v>
      </c>
      <c r="F1683" s="26" t="s">
        <v>1063</v>
      </c>
      <c r="G1683" s="27">
        <v>10427.459999999999</v>
      </c>
      <c r="H1683" s="27">
        <v>10427.459999999999</v>
      </c>
      <c r="I1683" s="27">
        <v>10427.459999999999</v>
      </c>
      <c r="J1683" s="81"/>
      <c r="K1683" s="91">
        <f t="shared" si="722"/>
        <v>-10427.459999999999</v>
      </c>
      <c r="L1683" s="81"/>
      <c r="M1683" s="91">
        <f t="shared" si="723"/>
        <v>-10427.459999999999</v>
      </c>
      <c r="N1683" s="81"/>
      <c r="O1683" s="91">
        <f t="shared" si="724"/>
        <v>-10427.459999999999</v>
      </c>
    </row>
    <row r="1684" spans="1:15" s="94" customFormat="1" ht="38.25">
      <c r="A1684" s="12" t="s">
        <v>939</v>
      </c>
      <c r="B1684" s="25" t="s">
        <v>536</v>
      </c>
      <c r="C1684" s="26" t="s">
        <v>53</v>
      </c>
      <c r="D1684" s="26" t="s">
        <v>25</v>
      </c>
      <c r="E1684" s="26" t="s">
        <v>551</v>
      </c>
      <c r="F1684" s="26" t="s">
        <v>1060</v>
      </c>
      <c r="G1684" s="27">
        <v>3149.09</v>
      </c>
      <c r="H1684" s="27">
        <v>3149.09</v>
      </c>
      <c r="I1684" s="27">
        <v>3149.09</v>
      </c>
      <c r="J1684" s="81"/>
      <c r="K1684" s="91">
        <f t="shared" si="722"/>
        <v>-3149.09</v>
      </c>
      <c r="L1684" s="81"/>
      <c r="M1684" s="91">
        <f t="shared" si="723"/>
        <v>-3149.09</v>
      </c>
      <c r="N1684" s="81"/>
      <c r="O1684" s="91">
        <f t="shared" si="724"/>
        <v>-3149.09</v>
      </c>
    </row>
    <row r="1685" spans="1:15" s="71" customFormat="1" ht="16.899999999999999" customHeight="1">
      <c r="A1685" s="79"/>
      <c r="B1685" s="92"/>
      <c r="C1685" s="70"/>
      <c r="D1685" s="70"/>
      <c r="E1685" s="70"/>
      <c r="F1685" s="70"/>
      <c r="G1685" s="72"/>
      <c r="H1685" s="72"/>
      <c r="I1685" s="72"/>
      <c r="J1685" s="72"/>
      <c r="K1685" s="91">
        <f t="shared" si="722"/>
        <v>0</v>
      </c>
      <c r="L1685" s="72"/>
      <c r="M1685" s="91">
        <f t="shared" si="723"/>
        <v>0</v>
      </c>
      <c r="N1685" s="72"/>
      <c r="O1685" s="91">
        <f t="shared" si="724"/>
        <v>0</v>
      </c>
    </row>
    <row r="1686" spans="1:15" s="3" customFormat="1">
      <c r="A1686" s="28" t="s">
        <v>127</v>
      </c>
      <c r="B1686" s="14" t="s">
        <v>707</v>
      </c>
      <c r="C1686" s="15" t="s">
        <v>51</v>
      </c>
      <c r="D1686" s="15" t="s">
        <v>51</v>
      </c>
      <c r="E1686" s="15" t="s">
        <v>196</v>
      </c>
      <c r="F1686" s="15" t="s">
        <v>58</v>
      </c>
      <c r="G1686" s="29">
        <f t="shared" ref="G1686:N1689" si="741">G1687</f>
        <v>13430.300000000001</v>
      </c>
      <c r="H1686" s="29">
        <f t="shared" si="741"/>
        <v>13442.18</v>
      </c>
      <c r="I1686" s="29">
        <f t="shared" si="741"/>
        <v>13442.18</v>
      </c>
      <c r="J1686" s="29">
        <f t="shared" si="741"/>
        <v>13430.300000000001</v>
      </c>
      <c r="K1686" s="16">
        <f t="shared" si="722"/>
        <v>0</v>
      </c>
      <c r="L1686" s="29">
        <f t="shared" si="741"/>
        <v>13442.18</v>
      </c>
      <c r="M1686" s="16">
        <f t="shared" si="723"/>
        <v>0</v>
      </c>
      <c r="N1686" s="29">
        <f t="shared" si="741"/>
        <v>13442.18</v>
      </c>
      <c r="O1686" s="16">
        <f t="shared" si="724"/>
        <v>0</v>
      </c>
    </row>
    <row r="1687" spans="1:15" s="3" customFormat="1">
      <c r="A1687" s="17" t="s">
        <v>64</v>
      </c>
      <c r="B1687" s="18" t="s">
        <v>707</v>
      </c>
      <c r="C1687" s="19" t="s">
        <v>65</v>
      </c>
      <c r="D1687" s="19" t="s">
        <v>51</v>
      </c>
      <c r="E1687" s="19" t="s">
        <v>196</v>
      </c>
      <c r="F1687" s="19" t="s">
        <v>58</v>
      </c>
      <c r="G1687" s="20">
        <f t="shared" si="741"/>
        <v>13430.300000000001</v>
      </c>
      <c r="H1687" s="20">
        <f t="shared" si="741"/>
        <v>13442.18</v>
      </c>
      <c r="I1687" s="20">
        <f t="shared" si="741"/>
        <v>13442.18</v>
      </c>
      <c r="J1687" s="20">
        <f t="shared" si="741"/>
        <v>13430.300000000001</v>
      </c>
      <c r="K1687" s="16">
        <f t="shared" si="722"/>
        <v>0</v>
      </c>
      <c r="L1687" s="20">
        <f t="shared" si="741"/>
        <v>13442.18</v>
      </c>
      <c r="M1687" s="16">
        <f t="shared" si="723"/>
        <v>0</v>
      </c>
      <c r="N1687" s="20">
        <f t="shared" si="741"/>
        <v>13442.18</v>
      </c>
      <c r="O1687" s="16">
        <f t="shared" si="724"/>
        <v>0</v>
      </c>
    </row>
    <row r="1688" spans="1:15" s="3" customFormat="1" ht="25.5">
      <c r="A1688" s="21" t="s">
        <v>32</v>
      </c>
      <c r="B1688" s="22" t="s">
        <v>707</v>
      </c>
      <c r="C1688" s="23" t="s">
        <v>65</v>
      </c>
      <c r="D1688" s="23" t="s">
        <v>2</v>
      </c>
      <c r="E1688" s="23" t="s">
        <v>196</v>
      </c>
      <c r="F1688" s="23" t="s">
        <v>58</v>
      </c>
      <c r="G1688" s="24">
        <f t="shared" si="741"/>
        <v>13430.300000000001</v>
      </c>
      <c r="H1688" s="24">
        <f t="shared" si="741"/>
        <v>13442.18</v>
      </c>
      <c r="I1688" s="24">
        <f t="shared" si="741"/>
        <v>13442.18</v>
      </c>
      <c r="J1688" s="24">
        <f t="shared" si="741"/>
        <v>13430.300000000001</v>
      </c>
      <c r="K1688" s="16">
        <f t="shared" si="722"/>
        <v>0</v>
      </c>
      <c r="L1688" s="24">
        <f t="shared" si="741"/>
        <v>13442.18</v>
      </c>
      <c r="M1688" s="16">
        <f t="shared" si="723"/>
        <v>0</v>
      </c>
      <c r="N1688" s="24">
        <f t="shared" si="741"/>
        <v>13442.18</v>
      </c>
      <c r="O1688" s="16">
        <f t="shared" si="724"/>
        <v>0</v>
      </c>
    </row>
    <row r="1689" spans="1:15" s="3" customFormat="1" ht="26.25">
      <c r="A1689" s="10" t="s">
        <v>712</v>
      </c>
      <c r="B1689" s="25" t="s">
        <v>707</v>
      </c>
      <c r="C1689" s="26" t="s">
        <v>65</v>
      </c>
      <c r="D1689" s="26" t="s">
        <v>2</v>
      </c>
      <c r="E1689" s="26" t="s">
        <v>710</v>
      </c>
      <c r="F1689" s="26" t="s">
        <v>58</v>
      </c>
      <c r="G1689" s="27">
        <f t="shared" si="741"/>
        <v>13430.300000000001</v>
      </c>
      <c r="H1689" s="27">
        <f t="shared" si="741"/>
        <v>13442.18</v>
      </c>
      <c r="I1689" s="27">
        <f t="shared" si="741"/>
        <v>13442.18</v>
      </c>
      <c r="J1689" s="27">
        <f t="shared" si="741"/>
        <v>13430.300000000001</v>
      </c>
      <c r="K1689" s="16">
        <f t="shared" si="722"/>
        <v>0</v>
      </c>
      <c r="L1689" s="27">
        <f t="shared" si="741"/>
        <v>13442.18</v>
      </c>
      <c r="M1689" s="16">
        <f t="shared" si="723"/>
        <v>0</v>
      </c>
      <c r="N1689" s="27">
        <f t="shared" si="741"/>
        <v>13442.18</v>
      </c>
      <c r="O1689" s="16">
        <f t="shared" si="724"/>
        <v>0</v>
      </c>
    </row>
    <row r="1690" spans="1:15" s="3" customFormat="1" ht="26.25">
      <c r="A1690" s="10" t="s">
        <v>711</v>
      </c>
      <c r="B1690" s="25" t="s">
        <v>707</v>
      </c>
      <c r="C1690" s="26" t="s">
        <v>65</v>
      </c>
      <c r="D1690" s="26" t="s">
        <v>2</v>
      </c>
      <c r="E1690" s="26" t="s">
        <v>708</v>
      </c>
      <c r="F1690" s="26" t="s">
        <v>58</v>
      </c>
      <c r="G1690" s="27">
        <f>G1691+G1699</f>
        <v>13430.300000000001</v>
      </c>
      <c r="H1690" s="27">
        <f>H1691+H1699</f>
        <v>13442.18</v>
      </c>
      <c r="I1690" s="27">
        <f>I1691+I1699</f>
        <v>13442.18</v>
      </c>
      <c r="J1690" s="27">
        <f>J1691+J1699</f>
        <v>13430.300000000001</v>
      </c>
      <c r="K1690" s="16">
        <f t="shared" si="722"/>
        <v>0</v>
      </c>
      <c r="L1690" s="27">
        <f>L1691+L1699</f>
        <v>13442.18</v>
      </c>
      <c r="M1690" s="16">
        <f t="shared" si="723"/>
        <v>0</v>
      </c>
      <c r="N1690" s="27">
        <f>N1691+N1699</f>
        <v>13442.18</v>
      </c>
      <c r="O1690" s="16">
        <f t="shared" si="724"/>
        <v>0</v>
      </c>
    </row>
    <row r="1691" spans="1:15" s="3" customFormat="1" ht="25.5">
      <c r="A1691" s="11" t="s">
        <v>114</v>
      </c>
      <c r="B1691" s="25" t="s">
        <v>707</v>
      </c>
      <c r="C1691" s="26" t="s">
        <v>65</v>
      </c>
      <c r="D1691" s="26" t="s">
        <v>2</v>
      </c>
      <c r="E1691" s="26" t="s">
        <v>709</v>
      </c>
      <c r="F1691" s="26" t="s">
        <v>58</v>
      </c>
      <c r="G1691" s="27">
        <f>G1692+G1695+G1697</f>
        <v>2962.51</v>
      </c>
      <c r="H1691" s="27">
        <f t="shared" ref="H1691:I1691" si="742">H1692+H1695+H1697</f>
        <v>2974.3900000000003</v>
      </c>
      <c r="I1691" s="27">
        <f t="shared" si="742"/>
        <v>2974.3900000000003</v>
      </c>
      <c r="J1691" s="27">
        <f>SUM(J1692:J1697)</f>
        <v>2962.51</v>
      </c>
      <c r="K1691" s="16">
        <f t="shared" si="722"/>
        <v>0</v>
      </c>
      <c r="L1691" s="27">
        <f t="shared" ref="L1691:N1691" si="743">SUM(L1692:L1697)</f>
        <v>2974.3900000000003</v>
      </c>
      <c r="M1691" s="16">
        <f t="shared" si="723"/>
        <v>0</v>
      </c>
      <c r="N1691" s="27">
        <f t="shared" si="743"/>
        <v>2974.3900000000003</v>
      </c>
      <c r="O1691" s="16">
        <f t="shared" si="724"/>
        <v>0</v>
      </c>
    </row>
    <row r="1692" spans="1:15" s="3" customFormat="1" ht="25.5">
      <c r="A1692" s="12" t="s">
        <v>107</v>
      </c>
      <c r="B1692" s="25" t="s">
        <v>707</v>
      </c>
      <c r="C1692" s="26" t="s">
        <v>65</v>
      </c>
      <c r="D1692" s="26" t="s">
        <v>2</v>
      </c>
      <c r="E1692" s="26" t="s">
        <v>709</v>
      </c>
      <c r="F1692" s="26" t="s">
        <v>115</v>
      </c>
      <c r="G1692" s="27">
        <f>SUM(G1693:G1694)</f>
        <v>446.53</v>
      </c>
      <c r="H1692" s="27">
        <f t="shared" ref="H1692:I1692" si="744">SUM(H1693:H1694)</f>
        <v>446.53</v>
      </c>
      <c r="I1692" s="27">
        <f t="shared" si="744"/>
        <v>446.53</v>
      </c>
      <c r="J1692" s="27">
        <f>376.52+70.01</f>
        <v>446.53</v>
      </c>
      <c r="K1692" s="16">
        <f t="shared" si="722"/>
        <v>0</v>
      </c>
      <c r="L1692" s="27">
        <f t="shared" ref="L1692:N1692" si="745">376.52+70.01</f>
        <v>446.53</v>
      </c>
      <c r="M1692" s="16">
        <f t="shared" si="723"/>
        <v>0</v>
      </c>
      <c r="N1692" s="27">
        <f t="shared" si="745"/>
        <v>446.53</v>
      </c>
      <c r="O1692" s="16">
        <f t="shared" si="724"/>
        <v>0</v>
      </c>
    </row>
    <row r="1693" spans="1:15" s="4" customFormat="1" ht="25.5">
      <c r="A1693" s="12" t="s">
        <v>937</v>
      </c>
      <c r="B1693" s="25" t="s">
        <v>707</v>
      </c>
      <c r="C1693" s="26" t="s">
        <v>65</v>
      </c>
      <c r="D1693" s="26" t="s">
        <v>2</v>
      </c>
      <c r="E1693" s="26" t="s">
        <v>709</v>
      </c>
      <c r="F1693" s="26" t="s">
        <v>1059</v>
      </c>
      <c r="G1693" s="27">
        <v>376.5</v>
      </c>
      <c r="H1693" s="27">
        <v>376.5</v>
      </c>
      <c r="I1693" s="27">
        <v>376.5</v>
      </c>
      <c r="J1693" s="80"/>
      <c r="K1693" s="16">
        <f t="shared" si="722"/>
        <v>-376.5</v>
      </c>
      <c r="L1693" s="80"/>
      <c r="M1693" s="16">
        <f t="shared" si="723"/>
        <v>-376.5</v>
      </c>
      <c r="N1693" s="80"/>
      <c r="O1693" s="16">
        <f t="shared" si="724"/>
        <v>-376.5</v>
      </c>
    </row>
    <row r="1694" spans="1:15" s="4" customFormat="1" ht="38.25">
      <c r="A1694" s="12" t="s">
        <v>939</v>
      </c>
      <c r="B1694" s="25" t="s">
        <v>707</v>
      </c>
      <c r="C1694" s="26" t="s">
        <v>65</v>
      </c>
      <c r="D1694" s="26" t="s">
        <v>2</v>
      </c>
      <c r="E1694" s="26" t="s">
        <v>709</v>
      </c>
      <c r="F1694" s="26" t="s">
        <v>1060</v>
      </c>
      <c r="G1694" s="27">
        <v>70.03</v>
      </c>
      <c r="H1694" s="27">
        <v>70.03</v>
      </c>
      <c r="I1694" s="27">
        <v>70.03</v>
      </c>
      <c r="J1694" s="80"/>
      <c r="K1694" s="16">
        <f t="shared" si="722"/>
        <v>-70.03</v>
      </c>
      <c r="L1694" s="80"/>
      <c r="M1694" s="16">
        <f t="shared" si="723"/>
        <v>-70.03</v>
      </c>
      <c r="N1694" s="80"/>
      <c r="O1694" s="16">
        <f t="shared" si="724"/>
        <v>-70.03</v>
      </c>
    </row>
    <row r="1695" spans="1:15" s="3" customFormat="1" ht="25.5">
      <c r="A1695" s="11" t="s">
        <v>108</v>
      </c>
      <c r="B1695" s="25" t="s">
        <v>707</v>
      </c>
      <c r="C1695" s="26" t="s">
        <v>65</v>
      </c>
      <c r="D1695" s="26" t="s">
        <v>2</v>
      </c>
      <c r="E1695" s="26" t="s">
        <v>709</v>
      </c>
      <c r="F1695" s="26" t="s">
        <v>116</v>
      </c>
      <c r="G1695" s="27">
        <f>G1696</f>
        <v>2496.98</v>
      </c>
      <c r="H1695" s="27">
        <f t="shared" ref="H1695:I1695" si="746">H1696</f>
        <v>2508.86</v>
      </c>
      <c r="I1695" s="27">
        <f t="shared" si="746"/>
        <v>2508.86</v>
      </c>
      <c r="J1695" s="27">
        <f>2496.98</f>
        <v>2496.98</v>
      </c>
      <c r="K1695" s="16">
        <f t="shared" si="722"/>
        <v>0</v>
      </c>
      <c r="L1695" s="27">
        <f>2508.86</f>
        <v>2508.86</v>
      </c>
      <c r="M1695" s="16">
        <f t="shared" si="723"/>
        <v>0</v>
      </c>
      <c r="N1695" s="27">
        <f>2508.86</f>
        <v>2508.86</v>
      </c>
      <c r="O1695" s="16">
        <f t="shared" si="724"/>
        <v>0</v>
      </c>
    </row>
    <row r="1696" spans="1:15" s="94" customFormat="1" ht="25.5">
      <c r="A1696" s="12" t="s">
        <v>973</v>
      </c>
      <c r="B1696" s="25" t="s">
        <v>707</v>
      </c>
      <c r="C1696" s="26" t="s">
        <v>65</v>
      </c>
      <c r="D1696" s="26" t="s">
        <v>2</v>
      </c>
      <c r="E1696" s="26" t="s">
        <v>709</v>
      </c>
      <c r="F1696" s="26" t="s">
        <v>1043</v>
      </c>
      <c r="G1696" s="27">
        <f>2496.98</f>
        <v>2496.98</v>
      </c>
      <c r="H1696" s="27">
        <f>2508.86</f>
        <v>2508.86</v>
      </c>
      <c r="I1696" s="27">
        <f>2508.86</f>
        <v>2508.86</v>
      </c>
      <c r="J1696" s="81"/>
      <c r="K1696" s="91">
        <f t="shared" si="722"/>
        <v>-2496.98</v>
      </c>
      <c r="L1696" s="81"/>
      <c r="M1696" s="91">
        <f t="shared" si="723"/>
        <v>-2508.86</v>
      </c>
      <c r="N1696" s="81"/>
      <c r="O1696" s="91">
        <f t="shared" si="724"/>
        <v>-2508.86</v>
      </c>
    </row>
    <row r="1697" spans="1:15" s="3" customFormat="1">
      <c r="A1697" s="11" t="s">
        <v>97</v>
      </c>
      <c r="B1697" s="25" t="s">
        <v>707</v>
      </c>
      <c r="C1697" s="26" t="s">
        <v>65</v>
      </c>
      <c r="D1697" s="26" t="s">
        <v>2</v>
      </c>
      <c r="E1697" s="26" t="s">
        <v>709</v>
      </c>
      <c r="F1697" s="26" t="s">
        <v>118</v>
      </c>
      <c r="G1697" s="27">
        <f>G1698</f>
        <v>19</v>
      </c>
      <c r="H1697" s="27">
        <f t="shared" ref="H1697:I1697" si="747">H1698</f>
        <v>19</v>
      </c>
      <c r="I1697" s="27">
        <f t="shared" si="747"/>
        <v>19</v>
      </c>
      <c r="J1697" s="27">
        <f>19</f>
        <v>19</v>
      </c>
      <c r="K1697" s="16">
        <f t="shared" si="722"/>
        <v>0</v>
      </c>
      <c r="L1697" s="27">
        <f>19</f>
        <v>19</v>
      </c>
      <c r="M1697" s="16">
        <f t="shared" si="723"/>
        <v>0</v>
      </c>
      <c r="N1697" s="27">
        <f>19</f>
        <v>19</v>
      </c>
      <c r="O1697" s="16">
        <f t="shared" si="724"/>
        <v>0</v>
      </c>
    </row>
    <row r="1698" spans="1:15" s="4" customFormat="1">
      <c r="A1698" s="12" t="s">
        <v>1038</v>
      </c>
      <c r="B1698" s="25" t="s">
        <v>707</v>
      </c>
      <c r="C1698" s="26" t="s">
        <v>65</v>
      </c>
      <c r="D1698" s="26" t="s">
        <v>2</v>
      </c>
      <c r="E1698" s="26" t="s">
        <v>709</v>
      </c>
      <c r="F1698" s="26" t="s">
        <v>1066</v>
      </c>
      <c r="G1698" s="27">
        <f>19</f>
        <v>19</v>
      </c>
      <c r="H1698" s="27">
        <f>19</f>
        <v>19</v>
      </c>
      <c r="I1698" s="27">
        <f>19</f>
        <v>19</v>
      </c>
      <c r="J1698" s="80"/>
      <c r="K1698" s="16">
        <f t="shared" si="722"/>
        <v>-19</v>
      </c>
      <c r="L1698" s="80"/>
      <c r="M1698" s="16">
        <f t="shared" si="723"/>
        <v>-19</v>
      </c>
      <c r="N1698" s="80"/>
      <c r="O1698" s="16">
        <f t="shared" si="724"/>
        <v>-19</v>
      </c>
    </row>
    <row r="1699" spans="1:15" s="3" customFormat="1" ht="25.5">
      <c r="A1699" s="11" t="s">
        <v>126</v>
      </c>
      <c r="B1699" s="25" t="s">
        <v>707</v>
      </c>
      <c r="C1699" s="26" t="s">
        <v>65</v>
      </c>
      <c r="D1699" s="26" t="s">
        <v>2</v>
      </c>
      <c r="E1699" s="26" t="s">
        <v>713</v>
      </c>
      <c r="F1699" s="26" t="s">
        <v>58</v>
      </c>
      <c r="G1699" s="27">
        <f>G1700</f>
        <v>10467.790000000001</v>
      </c>
      <c r="H1699" s="27">
        <f>H1700</f>
        <v>10467.790000000001</v>
      </c>
      <c r="I1699" s="27">
        <f>I1700</f>
        <v>10467.790000000001</v>
      </c>
      <c r="J1699" s="27">
        <f>J1700</f>
        <v>10467.790000000001</v>
      </c>
      <c r="K1699" s="16">
        <f t="shared" si="722"/>
        <v>0</v>
      </c>
      <c r="L1699" s="27">
        <f>L1700</f>
        <v>10467.790000000001</v>
      </c>
      <c r="M1699" s="16">
        <f t="shared" si="723"/>
        <v>0</v>
      </c>
      <c r="N1699" s="27">
        <f>N1700</f>
        <v>10467.790000000001</v>
      </c>
      <c r="O1699" s="16">
        <f t="shared" si="724"/>
        <v>0</v>
      </c>
    </row>
    <row r="1700" spans="1:15" s="3" customFormat="1" ht="25.5">
      <c r="A1700" s="11" t="s">
        <v>107</v>
      </c>
      <c r="B1700" s="25" t="s">
        <v>707</v>
      </c>
      <c r="C1700" s="26" t="s">
        <v>65</v>
      </c>
      <c r="D1700" s="26" t="s">
        <v>2</v>
      </c>
      <c r="E1700" s="26" t="s">
        <v>713</v>
      </c>
      <c r="F1700" s="26" t="s">
        <v>115</v>
      </c>
      <c r="G1700" s="27">
        <f>SUM(G1701:G1702)</f>
        <v>10467.790000000001</v>
      </c>
      <c r="H1700" s="27">
        <f t="shared" ref="H1700:I1700" si="748">SUM(H1701:H1702)</f>
        <v>10467.790000000001</v>
      </c>
      <c r="I1700" s="27">
        <f t="shared" si="748"/>
        <v>10467.790000000001</v>
      </c>
      <c r="J1700" s="27">
        <f>8041.87+2425.92</f>
        <v>10467.790000000001</v>
      </c>
      <c r="K1700" s="16">
        <f t="shared" si="722"/>
        <v>0</v>
      </c>
      <c r="L1700" s="27">
        <f t="shared" ref="L1700:N1700" si="749">8041.87+2425.92</f>
        <v>10467.790000000001</v>
      </c>
      <c r="M1700" s="16">
        <f t="shared" si="723"/>
        <v>0</v>
      </c>
      <c r="N1700" s="27">
        <f t="shared" si="749"/>
        <v>10467.790000000001</v>
      </c>
      <c r="O1700" s="16">
        <f t="shared" si="724"/>
        <v>0</v>
      </c>
    </row>
    <row r="1701" spans="1:15" s="3" customFormat="1">
      <c r="A1701" s="11" t="s">
        <v>936</v>
      </c>
      <c r="B1701" s="25" t="s">
        <v>707</v>
      </c>
      <c r="C1701" s="26" t="s">
        <v>65</v>
      </c>
      <c r="D1701" s="26" t="s">
        <v>2</v>
      </c>
      <c r="E1701" s="26" t="s">
        <v>713</v>
      </c>
      <c r="F1701" s="26" t="s">
        <v>1063</v>
      </c>
      <c r="G1701" s="27">
        <v>8039.78</v>
      </c>
      <c r="H1701" s="27">
        <v>8039.78</v>
      </c>
      <c r="I1701" s="27">
        <v>8039.78</v>
      </c>
      <c r="J1701" s="27"/>
      <c r="K1701" s="16">
        <f t="shared" si="722"/>
        <v>-8039.78</v>
      </c>
      <c r="L1701" s="27"/>
      <c r="M1701" s="16">
        <f t="shared" si="723"/>
        <v>-8039.78</v>
      </c>
      <c r="N1701" s="27"/>
      <c r="O1701" s="16">
        <f t="shared" si="724"/>
        <v>-8039.78</v>
      </c>
    </row>
    <row r="1702" spans="1:15" s="3" customFormat="1" ht="38.25">
      <c r="A1702" s="11" t="s">
        <v>939</v>
      </c>
      <c r="B1702" s="25" t="s">
        <v>707</v>
      </c>
      <c r="C1702" s="26" t="s">
        <v>65</v>
      </c>
      <c r="D1702" s="26" t="s">
        <v>2</v>
      </c>
      <c r="E1702" s="26" t="s">
        <v>713</v>
      </c>
      <c r="F1702" s="26" t="s">
        <v>1060</v>
      </c>
      <c r="G1702" s="27">
        <v>2428.0100000000002</v>
      </c>
      <c r="H1702" s="27">
        <v>2428.0100000000002</v>
      </c>
      <c r="I1702" s="27">
        <v>2428.0100000000002</v>
      </c>
      <c r="J1702" s="27"/>
      <c r="K1702" s="16">
        <f t="shared" si="722"/>
        <v>-2428.0100000000002</v>
      </c>
      <c r="L1702" s="27"/>
      <c r="M1702" s="16">
        <f t="shared" si="723"/>
        <v>-2428.0100000000002</v>
      </c>
      <c r="N1702" s="27"/>
      <c r="O1702" s="16">
        <f t="shared" si="724"/>
        <v>-2428.0100000000002</v>
      </c>
    </row>
    <row r="1703" spans="1:15" s="3" customFormat="1">
      <c r="A1703" s="11"/>
      <c r="B1703" s="25"/>
      <c r="C1703" s="26"/>
      <c r="D1703" s="26"/>
      <c r="E1703" s="26"/>
      <c r="F1703" s="26"/>
      <c r="G1703" s="27"/>
      <c r="H1703" s="27"/>
      <c r="I1703" s="27"/>
      <c r="J1703" s="27"/>
      <c r="K1703" s="16">
        <f t="shared" si="722"/>
        <v>0</v>
      </c>
      <c r="L1703" s="27"/>
      <c r="M1703" s="16">
        <f t="shared" si="723"/>
        <v>0</v>
      </c>
      <c r="N1703" s="27"/>
      <c r="O1703" s="16">
        <f t="shared" si="724"/>
        <v>0</v>
      </c>
    </row>
    <row r="1704" spans="1:15" s="3" customFormat="1">
      <c r="A1704" s="11" t="s">
        <v>833</v>
      </c>
      <c r="B1704" s="25"/>
      <c r="C1704" s="26"/>
      <c r="D1704" s="26"/>
      <c r="E1704" s="26"/>
      <c r="F1704" s="26"/>
      <c r="G1704" s="27">
        <v>0</v>
      </c>
      <c r="H1704" s="27">
        <f>94100.47-395.71</f>
        <v>93704.76</v>
      </c>
      <c r="I1704" s="27">
        <f>194988.67-200.34</f>
        <v>194788.33000000002</v>
      </c>
      <c r="J1704" s="27">
        <v>0</v>
      </c>
      <c r="K1704" s="16">
        <f t="shared" si="722"/>
        <v>0</v>
      </c>
      <c r="L1704" s="27">
        <f>94100.47-395.71</f>
        <v>93704.76</v>
      </c>
      <c r="M1704" s="16">
        <f t="shared" si="723"/>
        <v>0</v>
      </c>
      <c r="N1704" s="27">
        <f>194988.67-200.34</f>
        <v>194788.33000000002</v>
      </c>
      <c r="O1704" s="16">
        <f t="shared" si="724"/>
        <v>0</v>
      </c>
    </row>
    <row r="1705" spans="1:15" s="3" customFormat="1">
      <c r="A1705" s="160"/>
      <c r="B1705" s="25"/>
      <c r="C1705" s="26"/>
      <c r="D1705" s="26"/>
      <c r="E1705" s="26"/>
      <c r="F1705" s="26"/>
      <c r="G1705" s="27"/>
      <c r="H1705" s="27"/>
      <c r="I1705" s="27"/>
      <c r="J1705" s="27"/>
      <c r="K1705" s="16">
        <f t="shared" si="722"/>
        <v>0</v>
      </c>
      <c r="L1705" s="27"/>
      <c r="M1705" s="16">
        <f t="shared" si="723"/>
        <v>0</v>
      </c>
      <c r="N1705" s="27"/>
      <c r="O1705" s="16">
        <f t="shared" si="724"/>
        <v>0</v>
      </c>
    </row>
    <row r="1706" spans="1:15">
      <c r="A1706" s="9" t="s">
        <v>41</v>
      </c>
      <c r="B1706" s="61"/>
      <c r="C1706" s="15"/>
      <c r="D1706" s="15"/>
      <c r="E1706" s="15"/>
      <c r="F1706" s="15"/>
      <c r="G1706" s="29">
        <f>G5+G62+G275+G344+G390+G431+G632+G814+G1018+G1096+G1182+G1265+G1348+G1613+G1522+G1686+G1704</f>
        <v>8620578.3400000017</v>
      </c>
      <c r="H1706" s="29">
        <f>H5+H62+H275+H344+H390+H431+H632+H814+H1018+H1096+H1182+H1265+H1348+H1613+H1522+H1686+H1704</f>
        <v>7084551.5800000001</v>
      </c>
      <c r="I1706" s="29">
        <f>I5+I62+I275+I344+I390+I431+I632+I814+I1018+I1096+I1182+I1265+I1348+I1613+I1522+I1686+I1704</f>
        <v>7545819.3500000006</v>
      </c>
      <c r="J1706" s="29">
        <f>J5+J62+J275+J344+J390+J431+J632+J814+J1018+J1096+J1182+J1265+J1348+J1613+J1522+J1686+J1704</f>
        <v>8620578.3400000017</v>
      </c>
      <c r="K1706" s="16">
        <f t="shared" si="722"/>
        <v>0</v>
      </c>
      <c r="L1706" s="29">
        <f>L5+L62+L275+L344+L390+L431+L632+L814+L1018+L1096+L1182+L1265+L1348+L1613+L1522+L1686+L1704</f>
        <v>7084551.5800000001</v>
      </c>
      <c r="M1706" s="16">
        <f t="shared" si="723"/>
        <v>0</v>
      </c>
      <c r="N1706" s="29">
        <f>N5+N62+N275+N344+N390+N431+N632+N814+N1018+N1096+N1182+N1265+N1348+N1613+N1522+N1686+N1704</f>
        <v>7545819.3500000006</v>
      </c>
      <c r="O1706" s="16">
        <f t="shared" si="724"/>
        <v>0</v>
      </c>
    </row>
    <row r="1707" spans="1:15">
      <c r="H1707" s="49"/>
      <c r="I1707" s="20"/>
      <c r="J1707" s="20"/>
      <c r="K1707" s="20"/>
      <c r="L1707" s="29"/>
      <c r="M1707" s="16"/>
      <c r="N1707" s="20"/>
      <c r="O1707" s="27"/>
    </row>
    <row r="1708" spans="1:15">
      <c r="H1708" s="49"/>
      <c r="I1708" s="20"/>
      <c r="J1708" s="20"/>
      <c r="K1708" s="20"/>
      <c r="L1708" s="29"/>
      <c r="M1708" s="16"/>
      <c r="N1708" s="20"/>
      <c r="O1708" s="27"/>
    </row>
    <row r="1709" spans="1:15">
      <c r="E1709" s="65"/>
      <c r="F1709" s="65"/>
      <c r="G1709" s="52">
        <v>8620578.3400000017</v>
      </c>
      <c r="H1709" s="52">
        <v>7084551.5800000001</v>
      </c>
      <c r="I1709" s="52">
        <v>7545819.3500000006</v>
      </c>
      <c r="J1709" s="52"/>
      <c r="K1709" s="52"/>
      <c r="L1709" s="27"/>
      <c r="M1709" s="16"/>
      <c r="N1709" s="52"/>
      <c r="O1709" s="27"/>
    </row>
    <row r="1710" spans="1:15">
      <c r="E1710" s="65"/>
      <c r="F1710" s="65"/>
      <c r="G1710" s="52">
        <f>G1706-G1709</f>
        <v>0</v>
      </c>
      <c r="H1710" s="52">
        <f>H1706-H1709</f>
        <v>0</v>
      </c>
      <c r="I1710" s="52">
        <f>I1706-I1709</f>
        <v>0</v>
      </c>
      <c r="J1710" s="52"/>
      <c r="K1710" s="52"/>
      <c r="L1710" s="27"/>
      <c r="M1710" s="16"/>
      <c r="N1710" s="52"/>
      <c r="O1710" s="27"/>
    </row>
    <row r="1711" spans="1:15">
      <c r="E1711" s="65"/>
      <c r="F1711" s="65"/>
      <c r="G1711" s="52"/>
      <c r="H1711" s="52"/>
      <c r="I1711" s="52"/>
      <c r="J1711" s="52"/>
      <c r="K1711" s="52"/>
      <c r="L1711" s="27"/>
      <c r="M1711" s="27"/>
      <c r="N1711" s="52"/>
      <c r="O1711" s="27"/>
    </row>
    <row r="1712" spans="1:15">
      <c r="E1712" s="65"/>
      <c r="F1712" s="65"/>
      <c r="G1712" s="52"/>
      <c r="H1712" s="52"/>
      <c r="I1712" s="52"/>
      <c r="J1712" s="52"/>
      <c r="K1712" s="52"/>
      <c r="L1712" s="27"/>
      <c r="M1712" s="27"/>
      <c r="N1712" s="52"/>
      <c r="O1712" s="27"/>
    </row>
    <row r="1713" spans="5:15">
      <c r="E1713" s="65"/>
      <c r="F1713" s="65"/>
      <c r="G1713" s="52"/>
      <c r="H1713" s="52"/>
      <c r="I1713" s="52"/>
      <c r="J1713" s="52"/>
      <c r="K1713" s="52"/>
      <c r="L1713" s="27"/>
      <c r="M1713" s="27"/>
      <c r="N1713" s="52"/>
      <c r="O1713" s="27"/>
    </row>
    <row r="1714" spans="5:15">
      <c r="E1714" s="65"/>
      <c r="F1714" s="65"/>
      <c r="G1714" s="52"/>
      <c r="H1714" s="52"/>
      <c r="I1714" s="52"/>
      <c r="J1714" s="52"/>
      <c r="K1714" s="52"/>
      <c r="L1714" s="27"/>
      <c r="M1714" s="27"/>
      <c r="N1714" s="52"/>
      <c r="O1714" s="27"/>
    </row>
    <row r="1715" spans="5:15">
      <c r="E1715" s="65"/>
      <c r="F1715" s="65"/>
      <c r="G1715" s="52"/>
      <c r="H1715" s="52"/>
      <c r="I1715" s="52"/>
      <c r="J1715" s="52"/>
      <c r="K1715" s="52"/>
      <c r="L1715" s="52"/>
      <c r="M1715" s="52"/>
      <c r="N1715" s="52"/>
      <c r="O1715" s="52"/>
    </row>
    <row r="1716" spans="5:15">
      <c r="G1716" s="49"/>
      <c r="H1716" s="49"/>
      <c r="I1716" s="49"/>
      <c r="J1716" s="49"/>
      <c r="K1716" s="49"/>
      <c r="L1716" s="49"/>
      <c r="M1716" s="49"/>
      <c r="N1716" s="49"/>
      <c r="O1716" s="49"/>
    </row>
    <row r="1717" spans="5:15">
      <c r="I1717" s="20"/>
      <c r="J1717" s="20"/>
      <c r="K1717" s="20"/>
      <c r="L1717" s="20"/>
      <c r="M1717" s="20"/>
      <c r="N1717" s="20"/>
      <c r="O1717" s="20"/>
    </row>
  </sheetData>
  <pageMargins left="0.59055118110236227" right="0.15748031496062992" top="0.51181102362204722" bottom="0.27559055118110237" header="0.19685039370078741" footer="0.15748031496062992"/>
  <pageSetup paperSize="9" scale="10" fitToHeight="2" orientation="portrait" r:id="rId1"/>
  <headerFooter differentFirst="1" alignWithMargins="0">
    <oddHeader>&amp;C&amp;P</oddHeader>
  </headerFooter>
  <rowBreaks count="1" manualBreakCount="1">
    <brk id="781" max="8" man="1"/>
  </rowBreaks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L1641"/>
  <sheetViews>
    <sheetView view="pageBreakPreview" zoomScale="105" zoomScaleNormal="100" zoomScaleSheetLayoutView="105" workbookViewId="0">
      <selection activeCell="A12" sqref="A12"/>
    </sheetView>
  </sheetViews>
  <sheetFormatPr defaultColWidth="8.7265625" defaultRowHeight="15.75"/>
  <cols>
    <col min="1" max="1" width="44.90625" style="6" customWidth="1"/>
    <col min="2" max="2" width="5" style="62" customWidth="1"/>
    <col min="3" max="3" width="3.36328125" style="63" customWidth="1"/>
    <col min="4" max="4" width="3" style="63" customWidth="1"/>
    <col min="5" max="5" width="8.90625" style="63" customWidth="1"/>
    <col min="6" max="6" width="4" style="63" customWidth="1"/>
    <col min="7" max="7" width="11.54296875" style="64" bestFit="1" customWidth="1"/>
    <col min="8" max="8" width="11.54296875" style="64" customWidth="1"/>
    <col min="9" max="9" width="8.90625" style="63" customWidth="1"/>
    <col min="10" max="10" width="10.36328125" style="67" customWidth="1"/>
    <col min="11" max="11" width="18.7265625" style="125" customWidth="1"/>
    <col min="12" max="16384" width="8.7265625" style="5"/>
  </cols>
  <sheetData>
    <row r="1" spans="1:11" s="2" customFormat="1" ht="18.75">
      <c r="A1" s="376" t="s">
        <v>1079</v>
      </c>
      <c r="B1" s="376"/>
      <c r="C1" s="376"/>
      <c r="D1" s="376"/>
      <c r="E1" s="376"/>
      <c r="F1" s="376"/>
      <c r="G1" s="376"/>
      <c r="H1" s="376"/>
      <c r="I1" s="361"/>
      <c r="J1" s="362"/>
      <c r="K1" s="33"/>
    </row>
    <row r="2" spans="1:11" s="2" customFormat="1" ht="18.75">
      <c r="A2" s="376" t="s">
        <v>1516</v>
      </c>
      <c r="B2" s="376"/>
      <c r="C2" s="376"/>
      <c r="D2" s="376"/>
      <c r="E2" s="376"/>
      <c r="F2" s="376"/>
      <c r="G2" s="376"/>
      <c r="H2" s="376"/>
      <c r="I2" s="361"/>
      <c r="J2" s="362"/>
      <c r="K2" s="33"/>
    </row>
    <row r="3" spans="1:11" s="2" customFormat="1" ht="18.75">
      <c r="A3" s="358"/>
      <c r="B3" s="358"/>
      <c r="C3" s="358"/>
      <c r="D3" s="358"/>
      <c r="E3" s="358"/>
      <c r="F3" s="358"/>
      <c r="G3" s="358"/>
      <c r="H3" s="358"/>
      <c r="I3" s="361"/>
      <c r="J3" s="362"/>
      <c r="K3" s="33"/>
    </row>
    <row r="4" spans="1:11" s="2" customFormat="1" ht="18.75">
      <c r="A4" s="377" t="s">
        <v>1080</v>
      </c>
      <c r="B4" s="377"/>
      <c r="C4" s="377"/>
      <c r="D4" s="377"/>
      <c r="E4" s="377"/>
      <c r="F4" s="377"/>
      <c r="G4" s="377"/>
      <c r="H4" s="377"/>
      <c r="I4" s="361"/>
      <c r="J4" s="362"/>
      <c r="K4" s="33"/>
    </row>
    <row r="5" spans="1:11" s="2" customFormat="1" ht="15.75" customHeight="1">
      <c r="A5" s="377" t="s">
        <v>1081</v>
      </c>
      <c r="B5" s="377"/>
      <c r="C5" s="377"/>
      <c r="D5" s="377"/>
      <c r="E5" s="377"/>
      <c r="F5" s="377"/>
      <c r="G5" s="377"/>
      <c r="H5" s="377"/>
      <c r="I5" s="361"/>
      <c r="J5" s="362"/>
      <c r="K5" s="33"/>
    </row>
    <row r="6" spans="1:11" s="2" customFormat="1" ht="16.5" thickBot="1">
      <c r="A6" s="7"/>
      <c r="B6" s="54"/>
      <c r="C6" s="55"/>
      <c r="D6" s="55"/>
      <c r="F6" s="206"/>
      <c r="H6" s="207" t="s">
        <v>1091</v>
      </c>
      <c r="I6" s="179"/>
      <c r="J6" s="78"/>
      <c r="K6" s="33"/>
    </row>
    <row r="7" spans="1:11" s="2" customFormat="1" ht="45.75" customHeight="1" thickBot="1">
      <c r="A7" s="378" t="s">
        <v>1082</v>
      </c>
      <c r="B7" s="379" t="s">
        <v>1083</v>
      </c>
      <c r="C7" s="380"/>
      <c r="D7" s="379"/>
      <c r="E7" s="379"/>
      <c r="F7" s="379"/>
      <c r="G7" s="385" t="s">
        <v>1101</v>
      </c>
      <c r="H7" s="386"/>
      <c r="I7" s="78"/>
      <c r="J7" s="78"/>
      <c r="K7" s="33"/>
    </row>
    <row r="8" spans="1:11" s="2" customFormat="1" ht="18.75" customHeight="1" thickBot="1">
      <c r="A8" s="378"/>
      <c r="B8" s="368" t="s">
        <v>1092</v>
      </c>
      <c r="C8" s="368" t="s">
        <v>23</v>
      </c>
      <c r="D8" s="368" t="s">
        <v>44</v>
      </c>
      <c r="E8" s="368" t="s">
        <v>45</v>
      </c>
      <c r="F8" s="368" t="s">
        <v>46</v>
      </c>
      <c r="G8" s="369" t="s">
        <v>720</v>
      </c>
      <c r="H8" s="369" t="s">
        <v>721</v>
      </c>
      <c r="I8" s="215"/>
      <c r="J8" s="78"/>
      <c r="K8" s="33"/>
    </row>
    <row r="9" spans="1:11" s="2" customFormat="1">
      <c r="A9" s="202" t="s">
        <v>1085</v>
      </c>
      <c r="B9" s="203" t="s">
        <v>1086</v>
      </c>
      <c r="C9" s="204" t="s">
        <v>1087</v>
      </c>
      <c r="D9" s="203" t="s">
        <v>552</v>
      </c>
      <c r="E9" s="205" t="s">
        <v>1088</v>
      </c>
      <c r="F9" s="203" t="s">
        <v>1089</v>
      </c>
      <c r="G9" s="203" t="s">
        <v>1090</v>
      </c>
      <c r="H9" s="203" t="s">
        <v>1515</v>
      </c>
      <c r="I9" s="205" t="s">
        <v>1088</v>
      </c>
      <c r="J9" s="215"/>
      <c r="K9" s="33"/>
    </row>
    <row r="10" spans="1:11" s="3" customFormat="1">
      <c r="A10" s="219" t="s">
        <v>47</v>
      </c>
      <c r="B10" s="220" t="s">
        <v>48</v>
      </c>
      <c r="C10" s="221" t="s">
        <v>51</v>
      </c>
      <c r="D10" s="221" t="s">
        <v>51</v>
      </c>
      <c r="E10" s="221" t="s">
        <v>196</v>
      </c>
      <c r="F10" s="221" t="s">
        <v>58</v>
      </c>
      <c r="G10" s="222">
        <f>G11+G53</f>
        <v>55107760</v>
      </c>
      <c r="H10" s="222">
        <f>H11+H53</f>
        <v>55107760</v>
      </c>
      <c r="I10" s="221">
        <v>0</v>
      </c>
      <c r="J10" s="370" t="str">
        <f>TEXT(I10,"0000000000")</f>
        <v>0000000000</v>
      </c>
      <c r="K10" s="30" t="str">
        <f>CONCATENATE(B10,C10,D10,J10,F10)</f>
        <v>60000000000000000000</v>
      </c>
    </row>
    <row r="11" spans="1:11" s="3" customFormat="1">
      <c r="A11" s="224" t="s">
        <v>64</v>
      </c>
      <c r="B11" s="225" t="s">
        <v>48</v>
      </c>
      <c r="C11" s="226" t="s">
        <v>65</v>
      </c>
      <c r="D11" s="226" t="s">
        <v>51</v>
      </c>
      <c r="E11" s="226" t="s">
        <v>196</v>
      </c>
      <c r="F11" s="226" t="s">
        <v>58</v>
      </c>
      <c r="G11" s="227">
        <f>G12+G47</f>
        <v>48017260</v>
      </c>
      <c r="H11" s="227">
        <f>H12+H47</f>
        <v>48017260</v>
      </c>
      <c r="I11" s="226">
        <v>0</v>
      </c>
      <c r="J11" s="370" t="str">
        <f t="shared" ref="J11:J74" si="0">TEXT(I11,"0000000000")</f>
        <v>0000000000</v>
      </c>
      <c r="K11" s="30" t="str">
        <f t="shared" ref="K11:K74" si="1">CONCATENATE(B11,C11,D11,J11,F11)</f>
        <v>60001000000000000000</v>
      </c>
    </row>
    <row r="12" spans="1:11" s="3" customFormat="1" ht="25.5">
      <c r="A12" s="228" t="s">
        <v>56</v>
      </c>
      <c r="B12" s="229" t="s">
        <v>48</v>
      </c>
      <c r="C12" s="230" t="s">
        <v>65</v>
      </c>
      <c r="D12" s="230" t="s">
        <v>53</v>
      </c>
      <c r="E12" s="230" t="s">
        <v>196</v>
      </c>
      <c r="F12" s="230" t="s">
        <v>58</v>
      </c>
      <c r="G12" s="231">
        <f>G13</f>
        <v>47517260</v>
      </c>
      <c r="H12" s="231">
        <f>H13</f>
        <v>47517260</v>
      </c>
      <c r="I12" s="230">
        <v>0</v>
      </c>
      <c r="J12" s="370" t="str">
        <f t="shared" si="0"/>
        <v>0000000000</v>
      </c>
      <c r="K12" s="30" t="str">
        <f t="shared" si="1"/>
        <v>60001030000000000000</v>
      </c>
    </row>
    <row r="13" spans="1:11" s="3" customFormat="1">
      <c r="A13" s="232" t="s">
        <v>124</v>
      </c>
      <c r="B13" s="233" t="s">
        <v>48</v>
      </c>
      <c r="C13" s="234" t="s">
        <v>65</v>
      </c>
      <c r="D13" s="234" t="s">
        <v>53</v>
      </c>
      <c r="E13" s="234" t="s">
        <v>197</v>
      </c>
      <c r="F13" s="234" t="s">
        <v>58</v>
      </c>
      <c r="G13" s="235">
        <f>G14+G38+G29</f>
        <v>47517260</v>
      </c>
      <c r="H13" s="235">
        <f>H14+H38+H29</f>
        <v>47517260</v>
      </c>
      <c r="I13" s="234">
        <v>7000000000</v>
      </c>
      <c r="J13" s="370" t="str">
        <f t="shared" si="0"/>
        <v>7000000000</v>
      </c>
      <c r="K13" s="30" t="str">
        <f t="shared" si="1"/>
        <v>60001037000000000000</v>
      </c>
    </row>
    <row r="14" spans="1:11" s="3" customFormat="1" ht="25.5">
      <c r="A14" s="232" t="s">
        <v>125</v>
      </c>
      <c r="B14" s="233" t="s">
        <v>48</v>
      </c>
      <c r="C14" s="234" t="s">
        <v>65</v>
      </c>
      <c r="D14" s="234" t="s">
        <v>53</v>
      </c>
      <c r="E14" s="234" t="s">
        <v>200</v>
      </c>
      <c r="F14" s="234" t="s">
        <v>58</v>
      </c>
      <c r="G14" s="235">
        <f>G15+G25</f>
        <v>43815440</v>
      </c>
      <c r="H14" s="235">
        <f>H15+H25</f>
        <v>43815440</v>
      </c>
      <c r="I14" s="234">
        <v>7010000000</v>
      </c>
      <c r="J14" s="370" t="str">
        <f t="shared" si="0"/>
        <v>7010000000</v>
      </c>
      <c r="K14" s="30" t="str">
        <f t="shared" si="1"/>
        <v>60001037010000000000</v>
      </c>
    </row>
    <row r="15" spans="1:11" s="3" customFormat="1" ht="25.5">
      <c r="A15" s="232" t="s">
        <v>114</v>
      </c>
      <c r="B15" s="233" t="s">
        <v>48</v>
      </c>
      <c r="C15" s="234" t="s">
        <v>65</v>
      </c>
      <c r="D15" s="234" t="s">
        <v>53</v>
      </c>
      <c r="E15" s="234" t="s">
        <v>201</v>
      </c>
      <c r="F15" s="234" t="s">
        <v>58</v>
      </c>
      <c r="G15" s="235">
        <f>G16+G20+G22</f>
        <v>10535420</v>
      </c>
      <c r="H15" s="235">
        <f>H16+H20+H22</f>
        <v>10535420</v>
      </c>
      <c r="I15" s="234">
        <v>7010010010</v>
      </c>
      <c r="J15" s="370" t="str">
        <f t="shared" si="0"/>
        <v>7010010010</v>
      </c>
      <c r="K15" s="30" t="str">
        <f t="shared" si="1"/>
        <v>60001037010010010000</v>
      </c>
    </row>
    <row r="16" spans="1:11" s="3" customFormat="1">
      <c r="A16" s="236" t="s">
        <v>107</v>
      </c>
      <c r="B16" s="233" t="s">
        <v>48</v>
      </c>
      <c r="C16" s="234" t="s">
        <v>65</v>
      </c>
      <c r="D16" s="234" t="s">
        <v>53</v>
      </c>
      <c r="E16" s="234" t="s">
        <v>201</v>
      </c>
      <c r="F16" s="234" t="s">
        <v>115</v>
      </c>
      <c r="G16" s="235">
        <f>SUM(G17:G19)</f>
        <v>3836780</v>
      </c>
      <c r="H16" s="235">
        <f>SUM(H17:H19)</f>
        <v>3836780</v>
      </c>
      <c r="I16" s="234">
        <v>7010010010</v>
      </c>
      <c r="J16" s="370" t="str">
        <f t="shared" si="0"/>
        <v>7010010010</v>
      </c>
      <c r="K16" s="30" t="str">
        <f t="shared" si="1"/>
        <v>60001037010010010120</v>
      </c>
    </row>
    <row r="17" spans="1:11" s="3" customFormat="1" ht="25.5">
      <c r="A17" s="236" t="s">
        <v>937</v>
      </c>
      <c r="B17" s="233" t="s">
        <v>48</v>
      </c>
      <c r="C17" s="234" t="s">
        <v>65</v>
      </c>
      <c r="D17" s="234" t="s">
        <v>53</v>
      </c>
      <c r="E17" s="234" t="s">
        <v>201</v>
      </c>
      <c r="F17" s="234" t="s">
        <v>1059</v>
      </c>
      <c r="G17" s="235">
        <f>VLOOKUP(K17,'исх АС БЮДЖЕТ'!$A$10:$H$568,7,0)</f>
        <v>1273000</v>
      </c>
      <c r="H17" s="235">
        <f>VLOOKUP(K17,'исх АС БЮДЖЕТ'!$A$10:$H$568,8,0)</f>
        <v>1273000</v>
      </c>
      <c r="I17" s="234">
        <v>7010010010</v>
      </c>
      <c r="J17" s="370" t="str">
        <f t="shared" si="0"/>
        <v>7010010010</v>
      </c>
      <c r="K17" s="30" t="str">
        <f t="shared" si="1"/>
        <v>60001037010010010122</v>
      </c>
    </row>
    <row r="18" spans="1:11" s="4" customFormat="1" ht="38.25">
      <c r="A18" s="236" t="s">
        <v>938</v>
      </c>
      <c r="B18" s="233" t="s">
        <v>48</v>
      </c>
      <c r="C18" s="234" t="s">
        <v>65</v>
      </c>
      <c r="D18" s="234" t="s">
        <v>53</v>
      </c>
      <c r="E18" s="234" t="s">
        <v>201</v>
      </c>
      <c r="F18" s="234" t="s">
        <v>1068</v>
      </c>
      <c r="G18" s="235">
        <f>VLOOKUP(K18,'исх АС БЮДЖЕТ'!$A$10:$H$568,7,0)</f>
        <v>2333124</v>
      </c>
      <c r="H18" s="235">
        <f>VLOOKUP(K18,'исх АС БЮДЖЕТ'!$A$10:$H$568,8,0)</f>
        <v>2333124</v>
      </c>
      <c r="I18" s="234">
        <v>7010010010</v>
      </c>
      <c r="J18" s="370" t="str">
        <f t="shared" si="0"/>
        <v>7010010010</v>
      </c>
      <c r="K18" s="30" t="str">
        <f t="shared" si="1"/>
        <v>60001037010010010123</v>
      </c>
    </row>
    <row r="19" spans="1:11" s="4" customFormat="1" ht="38.25">
      <c r="A19" s="236" t="s">
        <v>939</v>
      </c>
      <c r="B19" s="233" t="s">
        <v>48</v>
      </c>
      <c r="C19" s="234" t="s">
        <v>65</v>
      </c>
      <c r="D19" s="234" t="s">
        <v>53</v>
      </c>
      <c r="E19" s="234" t="s">
        <v>201</v>
      </c>
      <c r="F19" s="234" t="s">
        <v>1060</v>
      </c>
      <c r="G19" s="235">
        <f>VLOOKUP(K19,'исх АС БЮДЖЕТ'!$A$10:$H$568,7,0)</f>
        <v>230656</v>
      </c>
      <c r="H19" s="235">
        <f>VLOOKUP(K19,'исх АС БЮДЖЕТ'!$A$10:$H$568,8,0)</f>
        <v>230656</v>
      </c>
      <c r="I19" s="234">
        <v>7010010010</v>
      </c>
      <c r="J19" s="370" t="str">
        <f t="shared" si="0"/>
        <v>7010010010</v>
      </c>
      <c r="K19" s="30" t="str">
        <f t="shared" si="1"/>
        <v>60001037010010010129</v>
      </c>
    </row>
    <row r="20" spans="1:11" s="3" customFormat="1" ht="25.5">
      <c r="A20" s="232" t="s">
        <v>108</v>
      </c>
      <c r="B20" s="233" t="s">
        <v>48</v>
      </c>
      <c r="C20" s="234" t="s">
        <v>65</v>
      </c>
      <c r="D20" s="234" t="s">
        <v>53</v>
      </c>
      <c r="E20" s="234" t="s">
        <v>201</v>
      </c>
      <c r="F20" s="234" t="s">
        <v>116</v>
      </c>
      <c r="G20" s="235">
        <f>G21</f>
        <v>6534600</v>
      </c>
      <c r="H20" s="235">
        <f>H21</f>
        <v>6534600</v>
      </c>
      <c r="I20" s="234">
        <v>7010010010</v>
      </c>
      <c r="J20" s="370" t="str">
        <f t="shared" si="0"/>
        <v>7010010010</v>
      </c>
      <c r="K20" s="30" t="str">
        <f t="shared" si="1"/>
        <v>60001037010010010240</v>
      </c>
    </row>
    <row r="21" spans="1:11" s="4" customFormat="1" ht="25.5">
      <c r="A21" s="236" t="s">
        <v>973</v>
      </c>
      <c r="B21" s="233" t="s">
        <v>48</v>
      </c>
      <c r="C21" s="234" t="s">
        <v>65</v>
      </c>
      <c r="D21" s="234" t="s">
        <v>53</v>
      </c>
      <c r="E21" s="234" t="s">
        <v>201</v>
      </c>
      <c r="F21" s="234" t="s">
        <v>1043</v>
      </c>
      <c r="G21" s="235">
        <f>VLOOKUP(K21,'исх АС БЮДЖЕТ'!$A$10:$H$568,7,0)</f>
        <v>6534600</v>
      </c>
      <c r="H21" s="235">
        <f>VLOOKUP(K21,'исх АС БЮДЖЕТ'!$A$10:$H$568,8,0)</f>
        <v>6534600</v>
      </c>
      <c r="I21" s="234">
        <v>7010010010</v>
      </c>
      <c r="J21" s="370" t="str">
        <f t="shared" si="0"/>
        <v>7010010010</v>
      </c>
      <c r="K21" s="30" t="str">
        <f t="shared" si="1"/>
        <v>60001037010010010244</v>
      </c>
    </row>
    <row r="22" spans="1:11" s="3" customFormat="1">
      <c r="A22" s="232" t="s">
        <v>97</v>
      </c>
      <c r="B22" s="233" t="s">
        <v>48</v>
      </c>
      <c r="C22" s="234" t="s">
        <v>65</v>
      </c>
      <c r="D22" s="234" t="s">
        <v>53</v>
      </c>
      <c r="E22" s="234" t="s">
        <v>201</v>
      </c>
      <c r="F22" s="234" t="s">
        <v>118</v>
      </c>
      <c r="G22" s="235">
        <f>SUM(G23:G24)</f>
        <v>164040</v>
      </c>
      <c r="H22" s="235">
        <f>SUM(H23:H24)</f>
        <v>164040</v>
      </c>
      <c r="I22" s="234">
        <v>7010010010</v>
      </c>
      <c r="J22" s="370" t="str">
        <f t="shared" si="0"/>
        <v>7010010010</v>
      </c>
      <c r="K22" s="30" t="str">
        <f t="shared" si="1"/>
        <v>60001037010010010850</v>
      </c>
    </row>
    <row r="23" spans="1:11" s="3" customFormat="1">
      <c r="A23" s="232" t="s">
        <v>1036</v>
      </c>
      <c r="B23" s="233" t="s">
        <v>48</v>
      </c>
      <c r="C23" s="234" t="s">
        <v>65</v>
      </c>
      <c r="D23" s="234" t="s">
        <v>53</v>
      </c>
      <c r="E23" s="234" t="s">
        <v>201</v>
      </c>
      <c r="F23" s="234" t="s">
        <v>1061</v>
      </c>
      <c r="G23" s="235">
        <f>VLOOKUP(K23,'исх АС БЮДЖЕТ'!$A$10:$H$568,7,0)</f>
        <v>78370</v>
      </c>
      <c r="H23" s="235">
        <f>VLOOKUP(K23,'исх АС БЮДЖЕТ'!$A$10:$H$568,8,0)</f>
        <v>78370</v>
      </c>
      <c r="I23" s="234">
        <v>7010010010</v>
      </c>
      <c r="J23" s="370" t="str">
        <f t="shared" si="0"/>
        <v>7010010010</v>
      </c>
      <c r="K23" s="30" t="str">
        <f t="shared" si="1"/>
        <v>60001037010010010851</v>
      </c>
    </row>
    <row r="24" spans="1:11" s="3" customFormat="1">
      <c r="A24" s="232" t="s">
        <v>1037</v>
      </c>
      <c r="B24" s="233" t="s">
        <v>48</v>
      </c>
      <c r="C24" s="234" t="s">
        <v>65</v>
      </c>
      <c r="D24" s="234" t="s">
        <v>53</v>
      </c>
      <c r="E24" s="234" t="s">
        <v>201</v>
      </c>
      <c r="F24" s="234" t="s">
        <v>1062</v>
      </c>
      <c r="G24" s="235">
        <f>VLOOKUP(K24,'исх АС БЮДЖЕТ'!$A$10:$H$568,7,0)</f>
        <v>85670</v>
      </c>
      <c r="H24" s="235">
        <f>VLOOKUP(K24,'исх АС БЮДЖЕТ'!$A$10:$H$568,8,0)</f>
        <v>85670</v>
      </c>
      <c r="I24" s="234">
        <v>7010010010</v>
      </c>
      <c r="J24" s="370" t="str">
        <f t="shared" si="0"/>
        <v>7010010010</v>
      </c>
      <c r="K24" s="30" t="str">
        <f t="shared" si="1"/>
        <v>60001037010010010852</v>
      </c>
    </row>
    <row r="25" spans="1:11" s="3" customFormat="1" ht="25.5">
      <c r="A25" s="232" t="s">
        <v>126</v>
      </c>
      <c r="B25" s="233" t="s">
        <v>48</v>
      </c>
      <c r="C25" s="234" t="s">
        <v>65</v>
      </c>
      <c r="D25" s="234" t="s">
        <v>53</v>
      </c>
      <c r="E25" s="234" t="s">
        <v>202</v>
      </c>
      <c r="F25" s="234" t="s">
        <v>58</v>
      </c>
      <c r="G25" s="235">
        <f>G26</f>
        <v>33280020</v>
      </c>
      <c r="H25" s="235">
        <f>H26</f>
        <v>33280020</v>
      </c>
      <c r="I25" s="234">
        <v>7010010020</v>
      </c>
      <c r="J25" s="370" t="str">
        <f t="shared" si="0"/>
        <v>7010010020</v>
      </c>
      <c r="K25" s="30" t="str">
        <f t="shared" si="1"/>
        <v>60001037010010020000</v>
      </c>
    </row>
    <row r="26" spans="1:11" s="3" customFormat="1">
      <c r="A26" s="232" t="s">
        <v>107</v>
      </c>
      <c r="B26" s="233" t="s">
        <v>48</v>
      </c>
      <c r="C26" s="234" t="s">
        <v>65</v>
      </c>
      <c r="D26" s="234" t="s">
        <v>53</v>
      </c>
      <c r="E26" s="234" t="s">
        <v>202</v>
      </c>
      <c r="F26" s="234" t="s">
        <v>115</v>
      </c>
      <c r="G26" s="235">
        <f>SUM(G27:G28)</f>
        <v>33280020</v>
      </c>
      <c r="H26" s="235">
        <f>SUM(H27:H28)</f>
        <v>33280020</v>
      </c>
      <c r="I26" s="234">
        <v>7010010020</v>
      </c>
      <c r="J26" s="370" t="str">
        <f t="shared" si="0"/>
        <v>7010010020</v>
      </c>
      <c r="K26" s="30" t="str">
        <f t="shared" si="1"/>
        <v>60001037010010020120</v>
      </c>
    </row>
    <row r="27" spans="1:11" s="3" customFormat="1">
      <c r="A27" s="232" t="s">
        <v>936</v>
      </c>
      <c r="B27" s="233" t="s">
        <v>48</v>
      </c>
      <c r="C27" s="234" t="s">
        <v>65</v>
      </c>
      <c r="D27" s="234" t="s">
        <v>53</v>
      </c>
      <c r="E27" s="234" t="s">
        <v>202</v>
      </c>
      <c r="F27" s="234" t="s">
        <v>1063</v>
      </c>
      <c r="G27" s="235">
        <f>VLOOKUP(K27,'исх АС БЮДЖЕТ'!$A$10:$H$568,7,0)</f>
        <v>25560710</v>
      </c>
      <c r="H27" s="235">
        <f>VLOOKUP(K27,'исх АС БЮДЖЕТ'!$A$10:$H$568,8,0)</f>
        <v>25560710</v>
      </c>
      <c r="I27" s="234">
        <v>7010010020</v>
      </c>
      <c r="J27" s="370" t="str">
        <f t="shared" si="0"/>
        <v>7010010020</v>
      </c>
      <c r="K27" s="30" t="str">
        <f t="shared" si="1"/>
        <v>60001037010010020121</v>
      </c>
    </row>
    <row r="28" spans="1:11" s="3" customFormat="1" ht="38.25">
      <c r="A28" s="232" t="s">
        <v>939</v>
      </c>
      <c r="B28" s="233" t="s">
        <v>48</v>
      </c>
      <c r="C28" s="234" t="s">
        <v>65</v>
      </c>
      <c r="D28" s="234" t="s">
        <v>53</v>
      </c>
      <c r="E28" s="234" t="s">
        <v>202</v>
      </c>
      <c r="F28" s="234" t="s">
        <v>1060</v>
      </c>
      <c r="G28" s="235">
        <f>VLOOKUP(K28,'исх АС БЮДЖЕТ'!$A$10:$H$568,7,0)</f>
        <v>7719310</v>
      </c>
      <c r="H28" s="235">
        <f>VLOOKUP(K28,'исх АС БЮДЖЕТ'!$A$10:$H$568,8,0)</f>
        <v>7719310</v>
      </c>
      <c r="I28" s="234">
        <v>7010010020</v>
      </c>
      <c r="J28" s="370" t="str">
        <f t="shared" si="0"/>
        <v>7010010020</v>
      </c>
      <c r="K28" s="30" t="str">
        <f t="shared" si="1"/>
        <v>60001037010010020129</v>
      </c>
    </row>
    <row r="29" spans="1:11" s="3" customFormat="1">
      <c r="A29" s="232" t="s">
        <v>831</v>
      </c>
      <c r="B29" s="233" t="s">
        <v>48</v>
      </c>
      <c r="C29" s="234" t="s">
        <v>65</v>
      </c>
      <c r="D29" s="234" t="s">
        <v>53</v>
      </c>
      <c r="E29" s="234" t="s">
        <v>198</v>
      </c>
      <c r="F29" s="234" t="s">
        <v>58</v>
      </c>
      <c r="G29" s="235">
        <f>G34+G30</f>
        <v>1593550</v>
      </c>
      <c r="H29" s="235">
        <f>H34+H30</f>
        <v>1593550</v>
      </c>
      <c r="I29" s="234">
        <v>7020000000</v>
      </c>
      <c r="J29" s="370" t="str">
        <f t="shared" si="0"/>
        <v>7020000000</v>
      </c>
      <c r="K29" s="30" t="str">
        <f t="shared" si="1"/>
        <v>60001037020000000000</v>
      </c>
    </row>
    <row r="30" spans="1:11" s="3" customFormat="1" ht="25.5">
      <c r="A30" s="232" t="s">
        <v>114</v>
      </c>
      <c r="B30" s="233" t="s">
        <v>48</v>
      </c>
      <c r="C30" s="234" t="s">
        <v>65</v>
      </c>
      <c r="D30" s="234" t="s">
        <v>53</v>
      </c>
      <c r="E30" s="234" t="s">
        <v>628</v>
      </c>
      <c r="F30" s="234" t="s">
        <v>58</v>
      </c>
      <c r="G30" s="235">
        <f>G31</f>
        <v>41550</v>
      </c>
      <c r="H30" s="235">
        <f>H31</f>
        <v>41550</v>
      </c>
      <c r="I30" s="234">
        <v>7020010010</v>
      </c>
      <c r="J30" s="370" t="str">
        <f t="shared" si="0"/>
        <v>7020010010</v>
      </c>
      <c r="K30" s="30" t="str">
        <f t="shared" si="1"/>
        <v>60001037020010010000</v>
      </c>
    </row>
    <row r="31" spans="1:11" s="3" customFormat="1">
      <c r="A31" s="232" t="s">
        <v>107</v>
      </c>
      <c r="B31" s="233" t="s">
        <v>48</v>
      </c>
      <c r="C31" s="234" t="s">
        <v>65</v>
      </c>
      <c r="D31" s="234" t="s">
        <v>53</v>
      </c>
      <c r="E31" s="234" t="s">
        <v>628</v>
      </c>
      <c r="F31" s="234" t="s">
        <v>115</v>
      </c>
      <c r="G31" s="235">
        <f>SUM(G32:G33)</f>
        <v>41550</v>
      </c>
      <c r="H31" s="235">
        <f>SUM(H32:H33)</f>
        <v>41550</v>
      </c>
      <c r="I31" s="234">
        <v>7020010010</v>
      </c>
      <c r="J31" s="370" t="str">
        <f t="shared" si="0"/>
        <v>7020010010</v>
      </c>
      <c r="K31" s="30" t="str">
        <f t="shared" si="1"/>
        <v>60001037020010010120</v>
      </c>
    </row>
    <row r="32" spans="1:11" s="3" customFormat="1" ht="25.5">
      <c r="A32" s="232" t="s">
        <v>937</v>
      </c>
      <c r="B32" s="233" t="s">
        <v>48</v>
      </c>
      <c r="C32" s="234" t="s">
        <v>65</v>
      </c>
      <c r="D32" s="234" t="s">
        <v>53</v>
      </c>
      <c r="E32" s="234" t="s">
        <v>628</v>
      </c>
      <c r="F32" s="234" t="s">
        <v>1059</v>
      </c>
      <c r="G32" s="235">
        <f>VLOOKUP(K32,'исх АС БЮДЖЕТ'!$A$10:$H$568,7,0)</f>
        <v>31912.5</v>
      </c>
      <c r="H32" s="235">
        <f>VLOOKUP(K32,'исх АС БЮДЖЕТ'!$A$10:$H$568,8,0)</f>
        <v>31912.5</v>
      </c>
      <c r="I32" s="234">
        <v>7020010010</v>
      </c>
      <c r="J32" s="370" t="str">
        <f t="shared" si="0"/>
        <v>7020010010</v>
      </c>
      <c r="K32" s="30" t="str">
        <f t="shared" si="1"/>
        <v>60001037020010010122</v>
      </c>
    </row>
    <row r="33" spans="1:11" s="3" customFormat="1" ht="38.25">
      <c r="A33" s="232" t="s">
        <v>939</v>
      </c>
      <c r="B33" s="233" t="s">
        <v>48</v>
      </c>
      <c r="C33" s="234" t="s">
        <v>65</v>
      </c>
      <c r="D33" s="234" t="s">
        <v>53</v>
      </c>
      <c r="E33" s="234" t="s">
        <v>628</v>
      </c>
      <c r="F33" s="234" t="s">
        <v>1060</v>
      </c>
      <c r="G33" s="235">
        <f>VLOOKUP(K33,'исх АС БЮДЖЕТ'!$A$10:$H$568,7,0)</f>
        <v>9637.5</v>
      </c>
      <c r="H33" s="235">
        <f>VLOOKUP(K33,'исх АС БЮДЖЕТ'!$A$10:$H$568,8,0)</f>
        <v>9637.5</v>
      </c>
      <c r="I33" s="234">
        <v>7020010010</v>
      </c>
      <c r="J33" s="370" t="str">
        <f t="shared" si="0"/>
        <v>7020010010</v>
      </c>
      <c r="K33" s="30" t="str">
        <f t="shared" si="1"/>
        <v>60001037020010010129</v>
      </c>
    </row>
    <row r="34" spans="1:11" s="3" customFormat="1" ht="25.5">
      <c r="A34" s="232" t="s">
        <v>126</v>
      </c>
      <c r="B34" s="233" t="s">
        <v>48</v>
      </c>
      <c r="C34" s="234" t="s">
        <v>65</v>
      </c>
      <c r="D34" s="234" t="s">
        <v>53</v>
      </c>
      <c r="E34" s="234" t="s">
        <v>199</v>
      </c>
      <c r="F34" s="234" t="s">
        <v>58</v>
      </c>
      <c r="G34" s="235">
        <f>G35</f>
        <v>1552000</v>
      </c>
      <c r="H34" s="235">
        <f>H35</f>
        <v>1552000</v>
      </c>
      <c r="I34" s="234">
        <v>7020010020</v>
      </c>
      <c r="J34" s="370" t="str">
        <f t="shared" si="0"/>
        <v>7020010020</v>
      </c>
      <c r="K34" s="30" t="str">
        <f t="shared" si="1"/>
        <v>60001037020010020000</v>
      </c>
    </row>
    <row r="35" spans="1:11" s="3" customFormat="1">
      <c r="A35" s="232" t="s">
        <v>107</v>
      </c>
      <c r="B35" s="233" t="s">
        <v>48</v>
      </c>
      <c r="C35" s="234" t="s">
        <v>65</v>
      </c>
      <c r="D35" s="234" t="s">
        <v>53</v>
      </c>
      <c r="E35" s="234" t="s">
        <v>199</v>
      </c>
      <c r="F35" s="234" t="s">
        <v>115</v>
      </c>
      <c r="G35" s="235">
        <f>SUM(G36:G37)</f>
        <v>1552000</v>
      </c>
      <c r="H35" s="235">
        <f>SUM(H36:H37)</f>
        <v>1552000</v>
      </c>
      <c r="I35" s="234">
        <v>7020010020</v>
      </c>
      <c r="J35" s="370" t="str">
        <f t="shared" si="0"/>
        <v>7020010020</v>
      </c>
      <c r="K35" s="30" t="str">
        <f t="shared" si="1"/>
        <v>60001037020010020120</v>
      </c>
    </row>
    <row r="36" spans="1:11" s="3" customFormat="1">
      <c r="A36" s="232" t="s">
        <v>936</v>
      </c>
      <c r="B36" s="233" t="s">
        <v>48</v>
      </c>
      <c r="C36" s="234" t="s">
        <v>65</v>
      </c>
      <c r="D36" s="234" t="s">
        <v>53</v>
      </c>
      <c r="E36" s="234" t="s">
        <v>199</v>
      </c>
      <c r="F36" s="234" t="s">
        <v>1063</v>
      </c>
      <c r="G36" s="235">
        <f>VLOOKUP(K36,'исх АС БЮДЖЕТ'!$A$10:$H$568,7,0)</f>
        <v>1192000</v>
      </c>
      <c r="H36" s="235">
        <f>VLOOKUP(K36,'исх АС БЮДЖЕТ'!$A$10:$H$568,8,0)</f>
        <v>1192000</v>
      </c>
      <c r="I36" s="234">
        <v>7020010020</v>
      </c>
      <c r="J36" s="370" t="str">
        <f t="shared" si="0"/>
        <v>7020010020</v>
      </c>
      <c r="K36" s="30" t="str">
        <f t="shared" si="1"/>
        <v>60001037020010020121</v>
      </c>
    </row>
    <row r="37" spans="1:11" s="3" customFormat="1" ht="38.25">
      <c r="A37" s="232" t="s">
        <v>939</v>
      </c>
      <c r="B37" s="233" t="s">
        <v>48</v>
      </c>
      <c r="C37" s="234" t="s">
        <v>65</v>
      </c>
      <c r="D37" s="234" t="s">
        <v>53</v>
      </c>
      <c r="E37" s="234" t="s">
        <v>199</v>
      </c>
      <c r="F37" s="234" t="s">
        <v>1060</v>
      </c>
      <c r="G37" s="235">
        <f>VLOOKUP(K37,'исх АС БЮДЖЕТ'!$A$10:$H$568,7,0)</f>
        <v>360000</v>
      </c>
      <c r="H37" s="235">
        <f>VLOOKUP(K37,'исх АС БЮДЖЕТ'!$A$10:$H$568,8,0)</f>
        <v>360000</v>
      </c>
      <c r="I37" s="234">
        <v>7020010020</v>
      </c>
      <c r="J37" s="370" t="str">
        <f t="shared" si="0"/>
        <v>7020010020</v>
      </c>
      <c r="K37" s="30" t="str">
        <f t="shared" si="1"/>
        <v>60001037020010020129</v>
      </c>
    </row>
    <row r="38" spans="1:11" s="3" customFormat="1">
      <c r="A38" s="232" t="s">
        <v>28</v>
      </c>
      <c r="B38" s="233" t="s">
        <v>48</v>
      </c>
      <c r="C38" s="234" t="s">
        <v>65</v>
      </c>
      <c r="D38" s="234" t="s">
        <v>53</v>
      </c>
      <c r="E38" s="234" t="s">
        <v>203</v>
      </c>
      <c r="F38" s="234" t="s">
        <v>58</v>
      </c>
      <c r="G38" s="235">
        <f>G43+G39</f>
        <v>2108270</v>
      </c>
      <c r="H38" s="235">
        <f>H43+H39</f>
        <v>2108270</v>
      </c>
      <c r="I38" s="234">
        <v>7030000000</v>
      </c>
      <c r="J38" s="370" t="str">
        <f t="shared" si="0"/>
        <v>7030000000</v>
      </c>
      <c r="K38" s="30" t="str">
        <f t="shared" si="1"/>
        <v>60001037030000000000</v>
      </c>
    </row>
    <row r="39" spans="1:11" s="3" customFormat="1" ht="25.5">
      <c r="A39" s="232" t="s">
        <v>114</v>
      </c>
      <c r="B39" s="233" t="s">
        <v>48</v>
      </c>
      <c r="C39" s="234" t="s">
        <v>65</v>
      </c>
      <c r="D39" s="234" t="s">
        <v>53</v>
      </c>
      <c r="E39" s="234" t="s">
        <v>643</v>
      </c>
      <c r="F39" s="234" t="s">
        <v>58</v>
      </c>
      <c r="G39" s="235">
        <f>G40</f>
        <v>83110</v>
      </c>
      <c r="H39" s="235">
        <f>H40</f>
        <v>83110</v>
      </c>
      <c r="I39" s="234">
        <v>7030010010</v>
      </c>
      <c r="J39" s="370" t="str">
        <f t="shared" si="0"/>
        <v>7030010010</v>
      </c>
      <c r="K39" s="30" t="str">
        <f t="shared" si="1"/>
        <v>60001037030010010000</v>
      </c>
    </row>
    <row r="40" spans="1:11" s="3" customFormat="1">
      <c r="A40" s="232" t="s">
        <v>107</v>
      </c>
      <c r="B40" s="233" t="s">
        <v>48</v>
      </c>
      <c r="C40" s="234" t="s">
        <v>65</v>
      </c>
      <c r="D40" s="234" t="s">
        <v>53</v>
      </c>
      <c r="E40" s="234" t="s">
        <v>643</v>
      </c>
      <c r="F40" s="234" t="s">
        <v>115</v>
      </c>
      <c r="G40" s="235">
        <f>SUM(G41:G42)</f>
        <v>83110</v>
      </c>
      <c r="H40" s="235">
        <f>SUM(H41:H42)</f>
        <v>83110</v>
      </c>
      <c r="I40" s="234">
        <v>7030010010</v>
      </c>
      <c r="J40" s="370" t="str">
        <f t="shared" si="0"/>
        <v>7030010010</v>
      </c>
      <c r="K40" s="30" t="str">
        <f t="shared" si="1"/>
        <v>60001037030010010120</v>
      </c>
    </row>
    <row r="41" spans="1:11" s="3" customFormat="1" ht="25.5">
      <c r="A41" s="232" t="s">
        <v>937</v>
      </c>
      <c r="B41" s="233" t="s">
        <v>48</v>
      </c>
      <c r="C41" s="234" t="s">
        <v>65</v>
      </c>
      <c r="D41" s="234" t="s">
        <v>53</v>
      </c>
      <c r="E41" s="234" t="s">
        <v>643</v>
      </c>
      <c r="F41" s="234" t="s">
        <v>1059</v>
      </c>
      <c r="G41" s="235">
        <f>VLOOKUP(K41,'исх АС БЮДЖЕТ'!$A$10:$H$568,7,0)</f>
        <v>63830</v>
      </c>
      <c r="H41" s="235">
        <f>VLOOKUP(K41,'исх АС БЮДЖЕТ'!$A$10:$H$568,8,0)</f>
        <v>63830</v>
      </c>
      <c r="I41" s="234">
        <v>7030010010</v>
      </c>
      <c r="J41" s="370" t="str">
        <f t="shared" si="0"/>
        <v>7030010010</v>
      </c>
      <c r="K41" s="30" t="str">
        <f t="shared" si="1"/>
        <v>60001037030010010122</v>
      </c>
    </row>
    <row r="42" spans="1:11" s="3" customFormat="1" ht="38.25">
      <c r="A42" s="232" t="s">
        <v>939</v>
      </c>
      <c r="B42" s="233" t="s">
        <v>48</v>
      </c>
      <c r="C42" s="234" t="s">
        <v>65</v>
      </c>
      <c r="D42" s="234" t="s">
        <v>53</v>
      </c>
      <c r="E42" s="234" t="s">
        <v>643</v>
      </c>
      <c r="F42" s="234" t="s">
        <v>1060</v>
      </c>
      <c r="G42" s="235">
        <f>VLOOKUP(K42,'исх АС БЮДЖЕТ'!$A$10:$H$568,7,0)</f>
        <v>19280</v>
      </c>
      <c r="H42" s="235">
        <f>VLOOKUP(K42,'исх АС БЮДЖЕТ'!$A$10:$H$568,8,0)</f>
        <v>19280</v>
      </c>
      <c r="I42" s="234">
        <v>7030010010</v>
      </c>
      <c r="J42" s="370" t="str">
        <f t="shared" si="0"/>
        <v>7030010010</v>
      </c>
      <c r="K42" s="30" t="str">
        <f t="shared" si="1"/>
        <v>60001037030010010129</v>
      </c>
    </row>
    <row r="43" spans="1:11" s="3" customFormat="1" ht="25.5">
      <c r="A43" s="232" t="s">
        <v>126</v>
      </c>
      <c r="B43" s="233" t="s">
        <v>48</v>
      </c>
      <c r="C43" s="234" t="s">
        <v>65</v>
      </c>
      <c r="D43" s="234" t="s">
        <v>53</v>
      </c>
      <c r="E43" s="234" t="s">
        <v>204</v>
      </c>
      <c r="F43" s="234" t="s">
        <v>58</v>
      </c>
      <c r="G43" s="235">
        <f>G44</f>
        <v>2025160</v>
      </c>
      <c r="H43" s="235">
        <f>H44</f>
        <v>2025160</v>
      </c>
      <c r="I43" s="234">
        <v>7030010020</v>
      </c>
      <c r="J43" s="370" t="str">
        <f t="shared" si="0"/>
        <v>7030010020</v>
      </c>
      <c r="K43" s="30" t="str">
        <f t="shared" si="1"/>
        <v>60001037030010020000</v>
      </c>
    </row>
    <row r="44" spans="1:11" s="3" customFormat="1">
      <c r="A44" s="232" t="s">
        <v>107</v>
      </c>
      <c r="B44" s="233" t="s">
        <v>48</v>
      </c>
      <c r="C44" s="234" t="s">
        <v>65</v>
      </c>
      <c r="D44" s="234" t="s">
        <v>53</v>
      </c>
      <c r="E44" s="234" t="s">
        <v>204</v>
      </c>
      <c r="F44" s="234" t="s">
        <v>115</v>
      </c>
      <c r="G44" s="235">
        <f>SUM(G45:G46)</f>
        <v>2025160</v>
      </c>
      <c r="H44" s="235">
        <f>SUM(H45:H46)</f>
        <v>2025160</v>
      </c>
      <c r="I44" s="234">
        <v>7030010020</v>
      </c>
      <c r="J44" s="370" t="str">
        <f t="shared" si="0"/>
        <v>7030010020</v>
      </c>
      <c r="K44" s="30" t="str">
        <f t="shared" si="1"/>
        <v>60001037030010020120</v>
      </c>
    </row>
    <row r="45" spans="1:11" s="3" customFormat="1">
      <c r="A45" s="232" t="s">
        <v>936</v>
      </c>
      <c r="B45" s="233" t="s">
        <v>48</v>
      </c>
      <c r="C45" s="234" t="s">
        <v>65</v>
      </c>
      <c r="D45" s="234" t="s">
        <v>53</v>
      </c>
      <c r="E45" s="234" t="s">
        <v>204</v>
      </c>
      <c r="F45" s="234" t="s">
        <v>1063</v>
      </c>
      <c r="G45" s="235">
        <f>VLOOKUP(K45,'исх АС БЮДЖЕТ'!$A$10:$H$568,7,0)</f>
        <v>1555420</v>
      </c>
      <c r="H45" s="235">
        <f>VLOOKUP(K45,'исх АС БЮДЖЕТ'!$A$10:$H$568,8,0)</f>
        <v>1555420</v>
      </c>
      <c r="I45" s="234">
        <v>7030010020</v>
      </c>
      <c r="J45" s="370" t="str">
        <f t="shared" si="0"/>
        <v>7030010020</v>
      </c>
      <c r="K45" s="30" t="str">
        <f t="shared" si="1"/>
        <v>60001037030010020121</v>
      </c>
    </row>
    <row r="46" spans="1:11" s="3" customFormat="1" ht="38.25">
      <c r="A46" s="232" t="s">
        <v>939</v>
      </c>
      <c r="B46" s="233" t="s">
        <v>48</v>
      </c>
      <c r="C46" s="234" t="s">
        <v>65</v>
      </c>
      <c r="D46" s="234" t="s">
        <v>53</v>
      </c>
      <c r="E46" s="234" t="s">
        <v>204</v>
      </c>
      <c r="F46" s="234" t="s">
        <v>1060</v>
      </c>
      <c r="G46" s="235">
        <f>VLOOKUP(K46,'исх АС БЮДЖЕТ'!$A$10:$H$568,7,0)</f>
        <v>469740</v>
      </c>
      <c r="H46" s="235">
        <f>VLOOKUP(K46,'исх АС БЮДЖЕТ'!$A$10:$H$568,8,0)</f>
        <v>469740</v>
      </c>
      <c r="I46" s="234">
        <v>7030010020</v>
      </c>
      <c r="J46" s="370" t="str">
        <f t="shared" si="0"/>
        <v>7030010020</v>
      </c>
      <c r="K46" s="30" t="str">
        <f t="shared" si="1"/>
        <v>60001037030010020129</v>
      </c>
    </row>
    <row r="47" spans="1:11" s="3" customFormat="1">
      <c r="A47" s="228" t="s">
        <v>38</v>
      </c>
      <c r="B47" s="229" t="s">
        <v>48</v>
      </c>
      <c r="C47" s="230" t="s">
        <v>65</v>
      </c>
      <c r="D47" s="230" t="s">
        <v>84</v>
      </c>
      <c r="E47" s="230" t="s">
        <v>196</v>
      </c>
      <c r="F47" s="230" t="s">
        <v>58</v>
      </c>
      <c r="G47" s="231">
        <f t="shared" ref="G47:H47" si="2">G48</f>
        <v>500000</v>
      </c>
      <c r="H47" s="231">
        <f t="shared" si="2"/>
        <v>500000</v>
      </c>
      <c r="I47" s="230">
        <v>0</v>
      </c>
      <c r="J47" s="370" t="str">
        <f t="shared" si="0"/>
        <v>0000000000</v>
      </c>
      <c r="K47" s="30" t="str">
        <f t="shared" si="1"/>
        <v>60001130000000000000</v>
      </c>
    </row>
    <row r="48" spans="1:11" s="3" customFormat="1">
      <c r="A48" s="232" t="s">
        <v>124</v>
      </c>
      <c r="B48" s="233" t="s">
        <v>48</v>
      </c>
      <c r="C48" s="234" t="s">
        <v>65</v>
      </c>
      <c r="D48" s="234" t="s">
        <v>84</v>
      </c>
      <c r="E48" s="234" t="s">
        <v>197</v>
      </c>
      <c r="F48" s="234" t="s">
        <v>58</v>
      </c>
      <c r="G48" s="235">
        <f>G49</f>
        <v>500000</v>
      </c>
      <c r="H48" s="235">
        <f>H49</f>
        <v>500000</v>
      </c>
      <c r="I48" s="234">
        <v>7000000000</v>
      </c>
      <c r="J48" s="370" t="str">
        <f t="shared" si="0"/>
        <v>7000000000</v>
      </c>
      <c r="K48" s="30" t="str">
        <f t="shared" si="1"/>
        <v>60001137000000000000</v>
      </c>
    </row>
    <row r="49" spans="1:11" s="3" customFormat="1">
      <c r="A49" s="232" t="s">
        <v>175</v>
      </c>
      <c r="B49" s="233" t="s">
        <v>48</v>
      </c>
      <c r="C49" s="234" t="s">
        <v>65</v>
      </c>
      <c r="D49" s="234" t="s">
        <v>84</v>
      </c>
      <c r="E49" s="234" t="s">
        <v>205</v>
      </c>
      <c r="F49" s="234" t="s">
        <v>58</v>
      </c>
      <c r="G49" s="235">
        <f>G50</f>
        <v>500000</v>
      </c>
      <c r="H49" s="235">
        <f>H50</f>
        <v>500000</v>
      </c>
      <c r="I49" s="234">
        <v>7040000000</v>
      </c>
      <c r="J49" s="370" t="str">
        <f t="shared" si="0"/>
        <v>7040000000</v>
      </c>
      <c r="K49" s="30" t="str">
        <f t="shared" si="1"/>
        <v>60001137040000000000</v>
      </c>
    </row>
    <row r="50" spans="1:11" s="3" customFormat="1" ht="51">
      <c r="A50" s="237" t="s">
        <v>846</v>
      </c>
      <c r="B50" s="233" t="s">
        <v>48</v>
      </c>
      <c r="C50" s="234" t="s">
        <v>65</v>
      </c>
      <c r="D50" s="234" t="s">
        <v>84</v>
      </c>
      <c r="E50" s="234" t="s">
        <v>832</v>
      </c>
      <c r="F50" s="234" t="s">
        <v>58</v>
      </c>
      <c r="G50" s="235">
        <f t="shared" ref="G50:H50" si="3">G51</f>
        <v>500000</v>
      </c>
      <c r="H50" s="235">
        <f t="shared" si="3"/>
        <v>500000</v>
      </c>
      <c r="I50" s="234">
        <v>7040020090</v>
      </c>
      <c r="J50" s="370" t="str">
        <f t="shared" si="0"/>
        <v>7040020090</v>
      </c>
      <c r="K50" s="30" t="str">
        <f t="shared" si="1"/>
        <v>60001137040020090000</v>
      </c>
    </row>
    <row r="51" spans="1:11" s="3" customFormat="1" ht="25.5">
      <c r="A51" s="232" t="s">
        <v>108</v>
      </c>
      <c r="B51" s="233" t="s">
        <v>48</v>
      </c>
      <c r="C51" s="234" t="s">
        <v>65</v>
      </c>
      <c r="D51" s="234" t="s">
        <v>84</v>
      </c>
      <c r="E51" s="234" t="s">
        <v>832</v>
      </c>
      <c r="F51" s="234" t="s">
        <v>116</v>
      </c>
      <c r="G51" s="235">
        <f>G52</f>
        <v>500000</v>
      </c>
      <c r="H51" s="235">
        <f>H52</f>
        <v>500000</v>
      </c>
      <c r="I51" s="234">
        <v>7040020090</v>
      </c>
      <c r="J51" s="370" t="str">
        <f t="shared" si="0"/>
        <v>7040020090</v>
      </c>
      <c r="K51" s="30" t="str">
        <f t="shared" si="1"/>
        <v>60001137040020090240</v>
      </c>
    </row>
    <row r="52" spans="1:11" s="4" customFormat="1" ht="25.5">
      <c r="A52" s="236" t="s">
        <v>973</v>
      </c>
      <c r="B52" s="233" t="s">
        <v>48</v>
      </c>
      <c r="C52" s="234" t="s">
        <v>65</v>
      </c>
      <c r="D52" s="234" t="s">
        <v>84</v>
      </c>
      <c r="E52" s="234" t="s">
        <v>832</v>
      </c>
      <c r="F52" s="234" t="s">
        <v>1043</v>
      </c>
      <c r="G52" s="235">
        <f>VLOOKUP(K52,'исх АС БЮДЖЕТ'!$A$10:$H$568,7,0)</f>
        <v>500000</v>
      </c>
      <c r="H52" s="235">
        <f>VLOOKUP(K52,'исх АС БЮДЖЕТ'!$A$10:$H$568,8,0)</f>
        <v>500000</v>
      </c>
      <c r="I52" s="234">
        <v>7040020090</v>
      </c>
      <c r="J52" s="370" t="str">
        <f t="shared" si="0"/>
        <v>7040020090</v>
      </c>
      <c r="K52" s="30" t="str">
        <f t="shared" si="1"/>
        <v>60001137040020090244</v>
      </c>
    </row>
    <row r="53" spans="1:11" s="3" customFormat="1">
      <c r="A53" s="224" t="s">
        <v>77</v>
      </c>
      <c r="B53" s="225" t="s">
        <v>48</v>
      </c>
      <c r="C53" s="226" t="s">
        <v>40</v>
      </c>
      <c r="D53" s="226" t="s">
        <v>51</v>
      </c>
      <c r="E53" s="226" t="s">
        <v>196</v>
      </c>
      <c r="F53" s="226" t="s">
        <v>58</v>
      </c>
      <c r="G53" s="227">
        <f>G60+G54</f>
        <v>7090500</v>
      </c>
      <c r="H53" s="227">
        <f>H60+H54</f>
        <v>7090500</v>
      </c>
      <c r="I53" s="226">
        <v>0</v>
      </c>
      <c r="J53" s="370" t="str">
        <f t="shared" si="0"/>
        <v>0000000000</v>
      </c>
      <c r="K53" s="30" t="str">
        <f t="shared" si="1"/>
        <v>60012000000000000000</v>
      </c>
    </row>
    <row r="54" spans="1:11" s="3" customFormat="1">
      <c r="A54" s="228" t="s">
        <v>906</v>
      </c>
      <c r="B54" s="229" t="s">
        <v>48</v>
      </c>
      <c r="C54" s="230" t="s">
        <v>40</v>
      </c>
      <c r="D54" s="230" t="s">
        <v>65</v>
      </c>
      <c r="E54" s="230" t="s">
        <v>196</v>
      </c>
      <c r="F54" s="230" t="s">
        <v>58</v>
      </c>
      <c r="G54" s="231">
        <f>G55</f>
        <v>5900500</v>
      </c>
      <c r="H54" s="231">
        <f>H55</f>
        <v>5900500</v>
      </c>
      <c r="I54" s="230">
        <v>0</v>
      </c>
      <c r="J54" s="370" t="str">
        <f t="shared" si="0"/>
        <v>0000000000</v>
      </c>
      <c r="K54" s="30" t="str">
        <f t="shared" si="1"/>
        <v>60012010000000000000</v>
      </c>
    </row>
    <row r="55" spans="1:11" s="3" customFormat="1">
      <c r="A55" s="232" t="s">
        <v>124</v>
      </c>
      <c r="B55" s="233" t="s">
        <v>48</v>
      </c>
      <c r="C55" s="234" t="s">
        <v>40</v>
      </c>
      <c r="D55" s="234" t="s">
        <v>65</v>
      </c>
      <c r="E55" s="234" t="s">
        <v>197</v>
      </c>
      <c r="F55" s="234" t="s">
        <v>58</v>
      </c>
      <c r="G55" s="235">
        <f>G56</f>
        <v>5900500</v>
      </c>
      <c r="H55" s="235">
        <f>H56</f>
        <v>5900500</v>
      </c>
      <c r="I55" s="234">
        <v>7000000000</v>
      </c>
      <c r="J55" s="370" t="str">
        <f t="shared" si="0"/>
        <v>7000000000</v>
      </c>
      <c r="K55" s="30" t="str">
        <f t="shared" si="1"/>
        <v>60012017000000000000</v>
      </c>
    </row>
    <row r="56" spans="1:11" s="3" customFormat="1">
      <c r="A56" s="232" t="s">
        <v>175</v>
      </c>
      <c r="B56" s="233" t="s">
        <v>48</v>
      </c>
      <c r="C56" s="234" t="s">
        <v>40</v>
      </c>
      <c r="D56" s="234" t="s">
        <v>65</v>
      </c>
      <c r="E56" s="234" t="s">
        <v>205</v>
      </c>
      <c r="F56" s="234" t="s">
        <v>58</v>
      </c>
      <c r="G56" s="235">
        <f t="shared" ref="G56:H57" si="4">G57</f>
        <v>5900500</v>
      </c>
      <c r="H56" s="235">
        <f t="shared" si="4"/>
        <v>5900500</v>
      </c>
      <c r="I56" s="234">
        <v>7040000000</v>
      </c>
      <c r="J56" s="370" t="str">
        <f t="shared" si="0"/>
        <v>7040000000</v>
      </c>
      <c r="K56" s="30" t="str">
        <f t="shared" si="1"/>
        <v>60012017040000000000</v>
      </c>
    </row>
    <row r="57" spans="1:11" s="3" customFormat="1">
      <c r="A57" s="232" t="s">
        <v>120</v>
      </c>
      <c r="B57" s="233" t="s">
        <v>48</v>
      </c>
      <c r="C57" s="234" t="s">
        <v>40</v>
      </c>
      <c r="D57" s="234" t="s">
        <v>65</v>
      </c>
      <c r="E57" s="234" t="s">
        <v>928</v>
      </c>
      <c r="F57" s="234" t="s">
        <v>58</v>
      </c>
      <c r="G57" s="235">
        <f t="shared" si="4"/>
        <v>5900500</v>
      </c>
      <c r="H57" s="235">
        <f t="shared" si="4"/>
        <v>5900500</v>
      </c>
      <c r="I57" s="234">
        <v>7040098710</v>
      </c>
      <c r="J57" s="370" t="str">
        <f t="shared" si="0"/>
        <v>7040098710</v>
      </c>
      <c r="K57" s="30" t="str">
        <f t="shared" si="1"/>
        <v>60012017040098710000</v>
      </c>
    </row>
    <row r="58" spans="1:11" s="3" customFormat="1" ht="25.5">
      <c r="A58" s="232" t="s">
        <v>108</v>
      </c>
      <c r="B58" s="233" t="s">
        <v>48</v>
      </c>
      <c r="C58" s="234" t="s">
        <v>40</v>
      </c>
      <c r="D58" s="234" t="s">
        <v>65</v>
      </c>
      <c r="E58" s="234" t="s">
        <v>928</v>
      </c>
      <c r="F58" s="234" t="s">
        <v>116</v>
      </c>
      <c r="G58" s="235">
        <f>G59</f>
        <v>5900500</v>
      </c>
      <c r="H58" s="235">
        <f>H59</f>
        <v>5900500</v>
      </c>
      <c r="I58" s="234">
        <v>7040098710</v>
      </c>
      <c r="J58" s="370" t="str">
        <f t="shared" si="0"/>
        <v>7040098710</v>
      </c>
      <c r="K58" s="30" t="str">
        <f t="shared" si="1"/>
        <v>60012017040098710240</v>
      </c>
    </row>
    <row r="59" spans="1:11" s="4" customFormat="1" ht="25.5">
      <c r="A59" s="236" t="s">
        <v>973</v>
      </c>
      <c r="B59" s="233" t="s">
        <v>48</v>
      </c>
      <c r="C59" s="234" t="s">
        <v>40</v>
      </c>
      <c r="D59" s="234" t="s">
        <v>65</v>
      </c>
      <c r="E59" s="234" t="s">
        <v>928</v>
      </c>
      <c r="F59" s="234" t="s">
        <v>1043</v>
      </c>
      <c r="G59" s="235">
        <f>VLOOKUP(K59,'исх АС БЮДЖЕТ'!$A$10:$H$568,7,0)</f>
        <v>5900500</v>
      </c>
      <c r="H59" s="235">
        <f>VLOOKUP(K59,'исх АС БЮДЖЕТ'!$A$10:$H$568,8,0)</f>
        <v>5900500</v>
      </c>
      <c r="I59" s="234">
        <v>7040098710</v>
      </c>
      <c r="J59" s="370" t="str">
        <f t="shared" si="0"/>
        <v>7040098710</v>
      </c>
      <c r="K59" s="30" t="str">
        <f t="shared" si="1"/>
        <v>60012017040098710244</v>
      </c>
    </row>
    <row r="60" spans="1:11" s="3" customFormat="1">
      <c r="A60" s="228" t="s">
        <v>52</v>
      </c>
      <c r="B60" s="229" t="s">
        <v>48</v>
      </c>
      <c r="C60" s="230" t="s">
        <v>40</v>
      </c>
      <c r="D60" s="230" t="s">
        <v>66</v>
      </c>
      <c r="E60" s="230" t="s">
        <v>196</v>
      </c>
      <c r="F60" s="230" t="s">
        <v>58</v>
      </c>
      <c r="G60" s="231">
        <f t="shared" ref="G60:H60" si="5">G61</f>
        <v>1190000</v>
      </c>
      <c r="H60" s="231">
        <f t="shared" si="5"/>
        <v>1190000</v>
      </c>
      <c r="I60" s="230">
        <v>0</v>
      </c>
      <c r="J60" s="370" t="str">
        <f t="shared" si="0"/>
        <v>0000000000</v>
      </c>
      <c r="K60" s="30" t="str">
        <f t="shared" si="1"/>
        <v>60012020000000000000</v>
      </c>
    </row>
    <row r="61" spans="1:11" s="3" customFormat="1">
      <c r="A61" s="232" t="s">
        <v>124</v>
      </c>
      <c r="B61" s="233" t="s">
        <v>48</v>
      </c>
      <c r="C61" s="234" t="s">
        <v>40</v>
      </c>
      <c r="D61" s="234" t="s">
        <v>66</v>
      </c>
      <c r="E61" s="234" t="s">
        <v>197</v>
      </c>
      <c r="F61" s="234" t="s">
        <v>58</v>
      </c>
      <c r="G61" s="235">
        <f t="shared" ref="G61:H64" si="6">G62</f>
        <v>1190000</v>
      </c>
      <c r="H61" s="235">
        <f t="shared" si="6"/>
        <v>1190000</v>
      </c>
      <c r="I61" s="234">
        <v>7000000000</v>
      </c>
      <c r="J61" s="370" t="str">
        <f t="shared" si="0"/>
        <v>7000000000</v>
      </c>
      <c r="K61" s="30" t="str">
        <f t="shared" si="1"/>
        <v>60012027000000000000</v>
      </c>
    </row>
    <row r="62" spans="1:11" s="3" customFormat="1">
      <c r="A62" s="232" t="s">
        <v>175</v>
      </c>
      <c r="B62" s="233" t="s">
        <v>48</v>
      </c>
      <c r="C62" s="234" t="s">
        <v>40</v>
      </c>
      <c r="D62" s="234" t="s">
        <v>66</v>
      </c>
      <c r="E62" s="234" t="s">
        <v>205</v>
      </c>
      <c r="F62" s="234" t="s">
        <v>58</v>
      </c>
      <c r="G62" s="235">
        <f t="shared" si="6"/>
        <v>1190000</v>
      </c>
      <c r="H62" s="235">
        <f t="shared" si="6"/>
        <v>1190000</v>
      </c>
      <c r="I62" s="234">
        <v>7040000000</v>
      </c>
      <c r="J62" s="370" t="str">
        <f t="shared" si="0"/>
        <v>7040000000</v>
      </c>
      <c r="K62" s="30" t="str">
        <f t="shared" si="1"/>
        <v>60012027040000000000</v>
      </c>
    </row>
    <row r="63" spans="1:11" s="3" customFormat="1">
      <c r="A63" s="232" t="s">
        <v>120</v>
      </c>
      <c r="B63" s="233" t="s">
        <v>48</v>
      </c>
      <c r="C63" s="234" t="s">
        <v>40</v>
      </c>
      <c r="D63" s="234" t="s">
        <v>66</v>
      </c>
      <c r="E63" s="234" t="s">
        <v>928</v>
      </c>
      <c r="F63" s="234" t="s">
        <v>58</v>
      </c>
      <c r="G63" s="235">
        <f t="shared" si="6"/>
        <v>1190000</v>
      </c>
      <c r="H63" s="235">
        <f t="shared" si="6"/>
        <v>1190000</v>
      </c>
      <c r="I63" s="234">
        <v>7040098710</v>
      </c>
      <c r="J63" s="370" t="str">
        <f t="shared" si="0"/>
        <v>7040098710</v>
      </c>
      <c r="K63" s="30" t="str">
        <f t="shared" si="1"/>
        <v>60012027040098710000</v>
      </c>
    </row>
    <row r="64" spans="1:11" s="3" customFormat="1" ht="25.5">
      <c r="A64" s="232" t="s">
        <v>108</v>
      </c>
      <c r="B64" s="233" t="s">
        <v>48</v>
      </c>
      <c r="C64" s="234" t="s">
        <v>40</v>
      </c>
      <c r="D64" s="234" t="s">
        <v>66</v>
      </c>
      <c r="E64" s="234" t="s">
        <v>928</v>
      </c>
      <c r="F64" s="234" t="s">
        <v>116</v>
      </c>
      <c r="G64" s="235">
        <f t="shared" si="6"/>
        <v>1190000</v>
      </c>
      <c r="H64" s="235">
        <f t="shared" si="6"/>
        <v>1190000</v>
      </c>
      <c r="I64" s="234">
        <v>7040098710</v>
      </c>
      <c r="J64" s="370" t="str">
        <f t="shared" si="0"/>
        <v>7040098710</v>
      </c>
      <c r="K64" s="30" t="str">
        <f t="shared" si="1"/>
        <v>60012027040098710240</v>
      </c>
    </row>
    <row r="65" spans="1:11" s="4" customFormat="1" ht="25.5">
      <c r="A65" s="236" t="s">
        <v>973</v>
      </c>
      <c r="B65" s="233" t="s">
        <v>48</v>
      </c>
      <c r="C65" s="234" t="s">
        <v>40</v>
      </c>
      <c r="D65" s="234" t="s">
        <v>66</v>
      </c>
      <c r="E65" s="234" t="s">
        <v>928</v>
      </c>
      <c r="F65" s="234" t="s">
        <v>1043</v>
      </c>
      <c r="G65" s="235">
        <f>VLOOKUP(K65,'исх АС БЮДЖЕТ'!$A$10:$H$568,7,0)</f>
        <v>1190000</v>
      </c>
      <c r="H65" s="235">
        <f>VLOOKUP(K65,'исх АС БЮДЖЕТ'!$A$10:$H$568,8,0)</f>
        <v>1190000</v>
      </c>
      <c r="I65" s="234">
        <v>7040098710</v>
      </c>
      <c r="J65" s="370" t="str">
        <f t="shared" si="0"/>
        <v>7040098710</v>
      </c>
      <c r="K65" s="30" t="str">
        <f t="shared" si="1"/>
        <v>60012027040098710244</v>
      </c>
    </row>
    <row r="66" spans="1:11" s="4" customFormat="1">
      <c r="A66" s="236"/>
      <c r="B66" s="233"/>
      <c r="C66" s="234"/>
      <c r="D66" s="234"/>
      <c r="E66" s="234"/>
      <c r="F66" s="234"/>
      <c r="G66" s="235"/>
      <c r="H66" s="235"/>
      <c r="I66" s="234"/>
      <c r="J66" s="370"/>
      <c r="K66" s="30"/>
    </row>
    <row r="67" spans="1:11" s="3" customFormat="1">
      <c r="A67" s="219" t="s">
        <v>54</v>
      </c>
      <c r="B67" s="220" t="s">
        <v>55</v>
      </c>
      <c r="C67" s="221" t="s">
        <v>51</v>
      </c>
      <c r="D67" s="221" t="s">
        <v>51</v>
      </c>
      <c r="E67" s="221" t="s">
        <v>196</v>
      </c>
      <c r="F67" s="221" t="s">
        <v>58</v>
      </c>
      <c r="G67" s="222">
        <f>G68+G217+G243+G251+G259</f>
        <v>262302595.75</v>
      </c>
      <c r="H67" s="222">
        <f>H68+H217+H243+H251+H259</f>
        <v>262302595.75</v>
      </c>
      <c r="I67" s="221">
        <v>0</v>
      </c>
      <c r="J67" s="370" t="str">
        <f t="shared" si="0"/>
        <v>0000000000</v>
      </c>
      <c r="K67" s="30" t="str">
        <f t="shared" si="1"/>
        <v>60100000000000000000</v>
      </c>
    </row>
    <row r="68" spans="1:11" s="3" customFormat="1">
      <c r="A68" s="224" t="s">
        <v>64</v>
      </c>
      <c r="B68" s="225" t="s">
        <v>55</v>
      </c>
      <c r="C68" s="226" t="s">
        <v>65</v>
      </c>
      <c r="D68" s="226" t="s">
        <v>51</v>
      </c>
      <c r="E68" s="226" t="s">
        <v>196</v>
      </c>
      <c r="F68" s="226" t="s">
        <v>58</v>
      </c>
      <c r="G68" s="227">
        <f>G80+G107+G113+G69</f>
        <v>233226595.75</v>
      </c>
      <c r="H68" s="227">
        <f>H80+H107+H113+H69</f>
        <v>233226595.75</v>
      </c>
      <c r="I68" s="226">
        <v>0</v>
      </c>
      <c r="J68" s="370" t="str">
        <f t="shared" si="0"/>
        <v>0000000000</v>
      </c>
      <c r="K68" s="30" t="str">
        <f t="shared" si="1"/>
        <v>60101000000000000000</v>
      </c>
    </row>
    <row r="69" spans="1:11" s="3" customFormat="1" ht="25.5">
      <c r="A69" s="228" t="s">
        <v>33</v>
      </c>
      <c r="B69" s="229" t="s">
        <v>55</v>
      </c>
      <c r="C69" s="230" t="s">
        <v>65</v>
      </c>
      <c r="D69" s="230" t="s">
        <v>66</v>
      </c>
      <c r="E69" s="230" t="s">
        <v>196</v>
      </c>
      <c r="F69" s="230" t="s">
        <v>58</v>
      </c>
      <c r="G69" s="231">
        <f>G70</f>
        <v>1593550</v>
      </c>
      <c r="H69" s="231">
        <f>H70</f>
        <v>1593550</v>
      </c>
      <c r="I69" s="230">
        <v>0</v>
      </c>
      <c r="J69" s="370" t="str">
        <f t="shared" si="0"/>
        <v>0000000000</v>
      </c>
      <c r="K69" s="30" t="str">
        <f t="shared" si="1"/>
        <v>60101020000000000000</v>
      </c>
    </row>
    <row r="70" spans="1:11" s="3" customFormat="1">
      <c r="A70" s="232" t="s">
        <v>112</v>
      </c>
      <c r="B70" s="233" t="s">
        <v>55</v>
      </c>
      <c r="C70" s="234" t="s">
        <v>65</v>
      </c>
      <c r="D70" s="234" t="s">
        <v>66</v>
      </c>
      <c r="E70" s="234" t="s">
        <v>206</v>
      </c>
      <c r="F70" s="234" t="s">
        <v>58</v>
      </c>
      <c r="G70" s="235">
        <f>G71</f>
        <v>1593550</v>
      </c>
      <c r="H70" s="235">
        <f>H71</f>
        <v>1593550</v>
      </c>
      <c r="I70" s="234">
        <v>7100000000</v>
      </c>
      <c r="J70" s="370" t="str">
        <f t="shared" si="0"/>
        <v>7100000000</v>
      </c>
      <c r="K70" s="30" t="str">
        <f t="shared" si="1"/>
        <v>60101027100000000000</v>
      </c>
    </row>
    <row r="71" spans="1:11" s="3" customFormat="1">
      <c r="A71" s="232" t="s">
        <v>34</v>
      </c>
      <c r="B71" s="233" t="s">
        <v>55</v>
      </c>
      <c r="C71" s="234" t="s">
        <v>65</v>
      </c>
      <c r="D71" s="234" t="s">
        <v>66</v>
      </c>
      <c r="E71" s="234" t="s">
        <v>213</v>
      </c>
      <c r="F71" s="234" t="s">
        <v>58</v>
      </c>
      <c r="G71" s="235">
        <f>G72+G76</f>
        <v>1593550</v>
      </c>
      <c r="H71" s="235">
        <f>H72+H76</f>
        <v>1593550</v>
      </c>
      <c r="I71" s="234">
        <v>7120000000</v>
      </c>
      <c r="J71" s="370" t="str">
        <f t="shared" si="0"/>
        <v>7120000000</v>
      </c>
      <c r="K71" s="30" t="str">
        <f t="shared" si="1"/>
        <v>60101027120000000000</v>
      </c>
    </row>
    <row r="72" spans="1:11" s="3" customFormat="1" ht="25.5">
      <c r="A72" s="232" t="s">
        <v>114</v>
      </c>
      <c r="B72" s="233" t="s">
        <v>55</v>
      </c>
      <c r="C72" s="234" t="s">
        <v>65</v>
      </c>
      <c r="D72" s="234" t="s">
        <v>66</v>
      </c>
      <c r="E72" s="234" t="s">
        <v>585</v>
      </c>
      <c r="F72" s="234" t="s">
        <v>58</v>
      </c>
      <c r="G72" s="235">
        <f>G73</f>
        <v>41550</v>
      </c>
      <c r="H72" s="235">
        <f>H73</f>
        <v>41550</v>
      </c>
      <c r="I72" s="234">
        <v>7120010010</v>
      </c>
      <c r="J72" s="370" t="str">
        <f t="shared" si="0"/>
        <v>7120010010</v>
      </c>
      <c r="K72" s="30" t="str">
        <f t="shared" si="1"/>
        <v>60101027120010010000</v>
      </c>
    </row>
    <row r="73" spans="1:11" s="3" customFormat="1">
      <c r="A73" s="232" t="s">
        <v>107</v>
      </c>
      <c r="B73" s="233" t="s">
        <v>55</v>
      </c>
      <c r="C73" s="234" t="s">
        <v>65</v>
      </c>
      <c r="D73" s="234" t="s">
        <v>66</v>
      </c>
      <c r="E73" s="234" t="s">
        <v>585</v>
      </c>
      <c r="F73" s="234" t="s">
        <v>115</v>
      </c>
      <c r="G73" s="235">
        <f>SUM(G74:G75)</f>
        <v>41550</v>
      </c>
      <c r="H73" s="235">
        <f>SUM(H74:H75)</f>
        <v>41550</v>
      </c>
      <c r="I73" s="234">
        <v>7120010010</v>
      </c>
      <c r="J73" s="370" t="str">
        <f t="shared" si="0"/>
        <v>7120010010</v>
      </c>
      <c r="K73" s="30" t="str">
        <f t="shared" si="1"/>
        <v>60101027120010010120</v>
      </c>
    </row>
    <row r="74" spans="1:11" s="3" customFormat="1" ht="25.5">
      <c r="A74" s="232" t="s">
        <v>937</v>
      </c>
      <c r="B74" s="233" t="s">
        <v>55</v>
      </c>
      <c r="C74" s="234" t="s">
        <v>65</v>
      </c>
      <c r="D74" s="234" t="s">
        <v>66</v>
      </c>
      <c r="E74" s="234" t="s">
        <v>585</v>
      </c>
      <c r="F74" s="234" t="s">
        <v>1059</v>
      </c>
      <c r="G74" s="235">
        <f>VLOOKUP(K74,'исх АС БЮДЖЕТ'!$A$10:$H$568,7,0)</f>
        <v>31912.5</v>
      </c>
      <c r="H74" s="235">
        <f>VLOOKUP(K74,'исх АС БЮДЖЕТ'!$A$10:$H$568,8,0)</f>
        <v>31912.5</v>
      </c>
      <c r="I74" s="234">
        <v>7120010010</v>
      </c>
      <c r="J74" s="370" t="str">
        <f t="shared" si="0"/>
        <v>7120010010</v>
      </c>
      <c r="K74" s="30" t="str">
        <f t="shared" si="1"/>
        <v>60101027120010010122</v>
      </c>
    </row>
    <row r="75" spans="1:11" s="3" customFormat="1" ht="38.25">
      <c r="A75" s="232" t="s">
        <v>939</v>
      </c>
      <c r="B75" s="233" t="s">
        <v>55</v>
      </c>
      <c r="C75" s="234" t="s">
        <v>65</v>
      </c>
      <c r="D75" s="234" t="s">
        <v>66</v>
      </c>
      <c r="E75" s="234" t="s">
        <v>585</v>
      </c>
      <c r="F75" s="234" t="s">
        <v>1060</v>
      </c>
      <c r="G75" s="235">
        <f>VLOOKUP(K75,'исх АС БЮДЖЕТ'!$A$10:$H$568,7,0)</f>
        <v>9637.5</v>
      </c>
      <c r="H75" s="235">
        <f>VLOOKUP(K75,'исх АС БЮДЖЕТ'!$A$10:$H$568,8,0)</f>
        <v>9637.5</v>
      </c>
      <c r="I75" s="234">
        <v>7120010010</v>
      </c>
      <c r="J75" s="370" t="str">
        <f t="shared" ref="J75:J138" si="7">TEXT(I75,"0000000000")</f>
        <v>7120010010</v>
      </c>
      <c r="K75" s="30" t="str">
        <f t="shared" ref="K75:K138" si="8">CONCATENATE(B75,C75,D75,J75,F75)</f>
        <v>60101027120010010129</v>
      </c>
    </row>
    <row r="76" spans="1:11" s="3" customFormat="1" ht="25.5">
      <c r="A76" s="232" t="s">
        <v>126</v>
      </c>
      <c r="B76" s="233" t="s">
        <v>55</v>
      </c>
      <c r="C76" s="234" t="s">
        <v>65</v>
      </c>
      <c r="D76" s="234" t="s">
        <v>66</v>
      </c>
      <c r="E76" s="234" t="s">
        <v>214</v>
      </c>
      <c r="F76" s="234" t="s">
        <v>58</v>
      </c>
      <c r="G76" s="235">
        <f>G77</f>
        <v>1552000</v>
      </c>
      <c r="H76" s="235">
        <f>H77</f>
        <v>1552000</v>
      </c>
      <c r="I76" s="234">
        <v>7120010020</v>
      </c>
      <c r="J76" s="370" t="str">
        <f t="shared" si="7"/>
        <v>7120010020</v>
      </c>
      <c r="K76" s="30" t="str">
        <f t="shared" si="8"/>
        <v>60101027120010020000</v>
      </c>
    </row>
    <row r="77" spans="1:11" s="3" customFormat="1">
      <c r="A77" s="236" t="s">
        <v>107</v>
      </c>
      <c r="B77" s="233" t="s">
        <v>55</v>
      </c>
      <c r="C77" s="234" t="s">
        <v>65</v>
      </c>
      <c r="D77" s="234" t="s">
        <v>66</v>
      </c>
      <c r="E77" s="234" t="s">
        <v>214</v>
      </c>
      <c r="F77" s="234" t="s">
        <v>115</v>
      </c>
      <c r="G77" s="235">
        <f>SUM(G78:G79)</f>
        <v>1552000</v>
      </c>
      <c r="H77" s="235">
        <f>SUM(H78:H79)</f>
        <v>1552000</v>
      </c>
      <c r="I77" s="234">
        <v>7120010020</v>
      </c>
      <c r="J77" s="370" t="str">
        <f t="shared" si="7"/>
        <v>7120010020</v>
      </c>
      <c r="K77" s="30" t="str">
        <f t="shared" si="8"/>
        <v>60101027120010020120</v>
      </c>
    </row>
    <row r="78" spans="1:11" s="4" customFormat="1">
      <c r="A78" s="236" t="s">
        <v>936</v>
      </c>
      <c r="B78" s="233" t="s">
        <v>55</v>
      </c>
      <c r="C78" s="234" t="s">
        <v>65</v>
      </c>
      <c r="D78" s="234" t="s">
        <v>66</v>
      </c>
      <c r="E78" s="234" t="s">
        <v>214</v>
      </c>
      <c r="F78" s="234" t="s">
        <v>1063</v>
      </c>
      <c r="G78" s="235">
        <f>VLOOKUP(K78,'исх АС БЮДЖЕТ'!$A$10:$H$568,7,0)</f>
        <v>1192000</v>
      </c>
      <c r="H78" s="235">
        <f>VLOOKUP(K78,'исх АС БЮДЖЕТ'!$A$10:$H$568,8,0)</f>
        <v>1192000</v>
      </c>
      <c r="I78" s="234">
        <v>7120010020</v>
      </c>
      <c r="J78" s="370" t="str">
        <f t="shared" si="7"/>
        <v>7120010020</v>
      </c>
      <c r="K78" s="30" t="str">
        <f t="shared" si="8"/>
        <v>60101027120010020121</v>
      </c>
    </row>
    <row r="79" spans="1:11" s="4" customFormat="1" ht="38.25">
      <c r="A79" s="236" t="s">
        <v>939</v>
      </c>
      <c r="B79" s="233" t="s">
        <v>55</v>
      </c>
      <c r="C79" s="234" t="s">
        <v>65</v>
      </c>
      <c r="D79" s="234" t="s">
        <v>66</v>
      </c>
      <c r="E79" s="234" t="s">
        <v>214</v>
      </c>
      <c r="F79" s="234" t="s">
        <v>1060</v>
      </c>
      <c r="G79" s="235">
        <f>VLOOKUP(K79,'исх АС БЮДЖЕТ'!$A$10:$H$568,7,0)</f>
        <v>360000</v>
      </c>
      <c r="H79" s="235">
        <f>VLOOKUP(K79,'исх АС БЮДЖЕТ'!$A$10:$H$568,8,0)</f>
        <v>360000</v>
      </c>
      <c r="I79" s="234">
        <v>7120010020</v>
      </c>
      <c r="J79" s="370" t="str">
        <f t="shared" si="7"/>
        <v>7120010020</v>
      </c>
      <c r="K79" s="30" t="str">
        <f t="shared" si="8"/>
        <v>60101027120010020129</v>
      </c>
    </row>
    <row r="80" spans="1:11" s="3" customFormat="1" ht="38.25">
      <c r="A80" s="228" t="s">
        <v>31</v>
      </c>
      <c r="B80" s="229" t="s">
        <v>55</v>
      </c>
      <c r="C80" s="230" t="s">
        <v>65</v>
      </c>
      <c r="D80" s="230" t="s">
        <v>37</v>
      </c>
      <c r="E80" s="230" t="s">
        <v>196</v>
      </c>
      <c r="F80" s="230" t="s">
        <v>58</v>
      </c>
      <c r="G80" s="231">
        <f>G81</f>
        <v>108449545.75</v>
      </c>
      <c r="H80" s="231">
        <f>H81</f>
        <v>108449545.75</v>
      </c>
      <c r="I80" s="230">
        <v>0</v>
      </c>
      <c r="J80" s="370" t="str">
        <f t="shared" si="7"/>
        <v>0000000000</v>
      </c>
      <c r="K80" s="30" t="str">
        <f t="shared" si="8"/>
        <v>60101040000000000000</v>
      </c>
    </row>
    <row r="81" spans="1:11" s="3" customFormat="1">
      <c r="A81" s="237" t="s">
        <v>112</v>
      </c>
      <c r="B81" s="233" t="s">
        <v>55</v>
      </c>
      <c r="C81" s="234" t="s">
        <v>65</v>
      </c>
      <c r="D81" s="234" t="s">
        <v>37</v>
      </c>
      <c r="E81" s="234" t="s">
        <v>206</v>
      </c>
      <c r="F81" s="234" t="s">
        <v>58</v>
      </c>
      <c r="G81" s="235">
        <f>G82</f>
        <v>108449545.75</v>
      </c>
      <c r="H81" s="235">
        <f>H82</f>
        <v>108449545.75</v>
      </c>
      <c r="I81" s="234">
        <v>7100000000</v>
      </c>
      <c r="J81" s="370" t="str">
        <f t="shared" si="7"/>
        <v>7100000000</v>
      </c>
      <c r="K81" s="30" t="str">
        <f t="shared" si="8"/>
        <v>60101047100000000000</v>
      </c>
    </row>
    <row r="82" spans="1:11" s="3" customFormat="1" ht="25.5">
      <c r="A82" s="237" t="s">
        <v>113</v>
      </c>
      <c r="B82" s="233" t="s">
        <v>55</v>
      </c>
      <c r="C82" s="234" t="s">
        <v>65</v>
      </c>
      <c r="D82" s="234" t="s">
        <v>37</v>
      </c>
      <c r="E82" s="234" t="s">
        <v>207</v>
      </c>
      <c r="F82" s="234" t="s">
        <v>58</v>
      </c>
      <c r="G82" s="235">
        <f>G83+G91+G95+G98+G104</f>
        <v>108449545.75</v>
      </c>
      <c r="H82" s="235">
        <f>H83+H91+H95+H98+H104</f>
        <v>108449545.75</v>
      </c>
      <c r="I82" s="234">
        <v>7110000000</v>
      </c>
      <c r="J82" s="370" t="str">
        <f t="shared" si="7"/>
        <v>7110000000</v>
      </c>
      <c r="K82" s="30" t="str">
        <f t="shared" si="8"/>
        <v>60101047110000000000</v>
      </c>
    </row>
    <row r="83" spans="1:11" s="3" customFormat="1" ht="25.5">
      <c r="A83" s="237" t="s">
        <v>114</v>
      </c>
      <c r="B83" s="241" t="s">
        <v>55</v>
      </c>
      <c r="C83" s="242" t="s">
        <v>65</v>
      </c>
      <c r="D83" s="242" t="s">
        <v>37</v>
      </c>
      <c r="E83" s="242" t="s">
        <v>208</v>
      </c>
      <c r="F83" s="242" t="s">
        <v>58</v>
      </c>
      <c r="G83" s="243">
        <f>G84+G87+G89</f>
        <v>12390421.030000001</v>
      </c>
      <c r="H83" s="243">
        <f>H84+H87+H89</f>
        <v>12390421.030000001</v>
      </c>
      <c r="I83" s="242">
        <v>7110010010</v>
      </c>
      <c r="J83" s="370" t="str">
        <f t="shared" si="7"/>
        <v>7110010010</v>
      </c>
      <c r="K83" s="30" t="str">
        <f t="shared" si="8"/>
        <v>60101047110010010000</v>
      </c>
    </row>
    <row r="84" spans="1:11" s="3" customFormat="1">
      <c r="A84" s="236" t="s">
        <v>107</v>
      </c>
      <c r="B84" s="241" t="s">
        <v>55</v>
      </c>
      <c r="C84" s="242" t="s">
        <v>65</v>
      </c>
      <c r="D84" s="242" t="s">
        <v>37</v>
      </c>
      <c r="E84" s="242" t="s">
        <v>208</v>
      </c>
      <c r="F84" s="234" t="s">
        <v>115</v>
      </c>
      <c r="G84" s="235">
        <f>SUM(G85:G86)</f>
        <v>4464751.03</v>
      </c>
      <c r="H84" s="235">
        <f>SUM(H85:H86)</f>
        <v>4464751.03</v>
      </c>
      <c r="I84" s="242">
        <v>7110010010</v>
      </c>
      <c r="J84" s="370" t="str">
        <f t="shared" si="7"/>
        <v>7110010010</v>
      </c>
      <c r="K84" s="30" t="str">
        <f t="shared" si="8"/>
        <v>60101047110010010120</v>
      </c>
    </row>
    <row r="85" spans="1:11" s="3" customFormat="1" ht="25.5">
      <c r="A85" s="232" t="s">
        <v>937</v>
      </c>
      <c r="B85" s="233" t="s">
        <v>55</v>
      </c>
      <c r="C85" s="234" t="s">
        <v>65</v>
      </c>
      <c r="D85" s="234" t="s">
        <v>37</v>
      </c>
      <c r="E85" s="234" t="s">
        <v>208</v>
      </c>
      <c r="F85" s="234" t="s">
        <v>1059</v>
      </c>
      <c r="G85" s="235">
        <f>VLOOKUP(K85,'исх АС БЮДЖЕТ'!$A$10:$H$568,7,0)</f>
        <v>3758646</v>
      </c>
      <c r="H85" s="235">
        <f>VLOOKUP(K85,'исх АС БЮДЖЕТ'!$A$10:$H$568,8,0)</f>
        <v>3758646</v>
      </c>
      <c r="I85" s="234">
        <v>7110010010</v>
      </c>
      <c r="J85" s="370" t="str">
        <f t="shared" si="7"/>
        <v>7110010010</v>
      </c>
      <c r="K85" s="30" t="str">
        <f t="shared" si="8"/>
        <v>60101047110010010122</v>
      </c>
    </row>
    <row r="86" spans="1:11" s="3" customFormat="1" ht="38.25">
      <c r="A86" s="232" t="s">
        <v>939</v>
      </c>
      <c r="B86" s="233" t="s">
        <v>55</v>
      </c>
      <c r="C86" s="234" t="s">
        <v>65</v>
      </c>
      <c r="D86" s="234" t="s">
        <v>37</v>
      </c>
      <c r="E86" s="234" t="s">
        <v>208</v>
      </c>
      <c r="F86" s="234" t="s">
        <v>1060</v>
      </c>
      <c r="G86" s="235">
        <f>VLOOKUP(K86,'исх АС БЮДЖЕТ'!$A$10:$H$568,7,0)</f>
        <v>706105.03</v>
      </c>
      <c r="H86" s="235">
        <f>VLOOKUP(K86,'исх АС БЮДЖЕТ'!$A$10:$H$568,8,0)</f>
        <v>706105.03</v>
      </c>
      <c r="I86" s="234">
        <v>7110010010</v>
      </c>
      <c r="J86" s="370" t="str">
        <f t="shared" si="7"/>
        <v>7110010010</v>
      </c>
      <c r="K86" s="30" t="str">
        <f t="shared" si="8"/>
        <v>60101047110010010129</v>
      </c>
    </row>
    <row r="87" spans="1:11" s="3" customFormat="1" ht="25.5">
      <c r="A87" s="232" t="s">
        <v>108</v>
      </c>
      <c r="B87" s="241" t="s">
        <v>55</v>
      </c>
      <c r="C87" s="242" t="s">
        <v>65</v>
      </c>
      <c r="D87" s="242" t="s">
        <v>37</v>
      </c>
      <c r="E87" s="242" t="s">
        <v>208</v>
      </c>
      <c r="F87" s="234" t="s">
        <v>116</v>
      </c>
      <c r="G87" s="235">
        <f>G88</f>
        <v>7901670</v>
      </c>
      <c r="H87" s="235">
        <f>H88</f>
        <v>7901670</v>
      </c>
      <c r="I87" s="242">
        <v>7110010010</v>
      </c>
      <c r="J87" s="370" t="str">
        <f t="shared" si="7"/>
        <v>7110010010</v>
      </c>
      <c r="K87" s="30" t="str">
        <f t="shared" si="8"/>
        <v>60101047110010010240</v>
      </c>
    </row>
    <row r="88" spans="1:11" s="4" customFormat="1" ht="25.5">
      <c r="A88" s="236" t="s">
        <v>973</v>
      </c>
      <c r="B88" s="241" t="s">
        <v>55</v>
      </c>
      <c r="C88" s="242" t="s">
        <v>65</v>
      </c>
      <c r="D88" s="242" t="s">
        <v>37</v>
      </c>
      <c r="E88" s="242" t="s">
        <v>208</v>
      </c>
      <c r="F88" s="234" t="s">
        <v>1043</v>
      </c>
      <c r="G88" s="235">
        <f>VLOOKUP(K88,'исх АС БЮДЖЕТ'!$A$10:$H$568,7,0)</f>
        <v>7901670</v>
      </c>
      <c r="H88" s="235">
        <f>VLOOKUP(K88,'исх АС БЮДЖЕТ'!$A$10:$H$568,8,0)</f>
        <v>7901670</v>
      </c>
      <c r="I88" s="242">
        <v>7110010010</v>
      </c>
      <c r="J88" s="370" t="str">
        <f t="shared" si="7"/>
        <v>7110010010</v>
      </c>
      <c r="K88" s="30" t="str">
        <f t="shared" si="8"/>
        <v>60101047110010010244</v>
      </c>
    </row>
    <row r="89" spans="1:11" s="3" customFormat="1">
      <c r="A89" s="232" t="s">
        <v>97</v>
      </c>
      <c r="B89" s="241" t="s">
        <v>55</v>
      </c>
      <c r="C89" s="242" t="s">
        <v>65</v>
      </c>
      <c r="D89" s="242" t="s">
        <v>37</v>
      </c>
      <c r="E89" s="242" t="s">
        <v>208</v>
      </c>
      <c r="F89" s="234" t="s">
        <v>118</v>
      </c>
      <c r="G89" s="235">
        <f>G90</f>
        <v>24000</v>
      </c>
      <c r="H89" s="235">
        <f>H90</f>
        <v>24000</v>
      </c>
      <c r="I89" s="242">
        <v>7110010010</v>
      </c>
      <c r="J89" s="370" t="str">
        <f t="shared" si="7"/>
        <v>7110010010</v>
      </c>
      <c r="K89" s="30" t="str">
        <f t="shared" si="8"/>
        <v>60101047110010010850</v>
      </c>
    </row>
    <row r="90" spans="1:11" s="4" customFormat="1">
      <c r="A90" s="236" t="s">
        <v>1037</v>
      </c>
      <c r="B90" s="241" t="s">
        <v>55</v>
      </c>
      <c r="C90" s="242" t="s">
        <v>65</v>
      </c>
      <c r="D90" s="242" t="s">
        <v>37</v>
      </c>
      <c r="E90" s="242" t="s">
        <v>208</v>
      </c>
      <c r="F90" s="234" t="s">
        <v>1062</v>
      </c>
      <c r="G90" s="235">
        <f>VLOOKUP(K90,'исх АС БЮДЖЕТ'!$A$10:$H$568,7,0)</f>
        <v>24000</v>
      </c>
      <c r="H90" s="235">
        <f>VLOOKUP(K90,'исх АС БЮДЖЕТ'!$A$10:$H$568,8,0)</f>
        <v>24000</v>
      </c>
      <c r="I90" s="242">
        <v>7110010010</v>
      </c>
      <c r="J90" s="370" t="str">
        <f t="shared" si="7"/>
        <v>7110010010</v>
      </c>
      <c r="K90" s="30" t="str">
        <f t="shared" si="8"/>
        <v>60101047110010010852</v>
      </c>
    </row>
    <row r="91" spans="1:11" s="3" customFormat="1" ht="25.5">
      <c r="A91" s="237" t="s">
        <v>126</v>
      </c>
      <c r="B91" s="233" t="s">
        <v>55</v>
      </c>
      <c r="C91" s="234" t="s">
        <v>65</v>
      </c>
      <c r="D91" s="234" t="s">
        <v>37</v>
      </c>
      <c r="E91" s="234" t="s">
        <v>209</v>
      </c>
      <c r="F91" s="242" t="s">
        <v>58</v>
      </c>
      <c r="G91" s="235">
        <f>G92</f>
        <v>94835753.719999999</v>
      </c>
      <c r="H91" s="235">
        <f>H92</f>
        <v>94835753.719999999</v>
      </c>
      <c r="I91" s="234">
        <v>7110010020</v>
      </c>
      <c r="J91" s="370" t="str">
        <f t="shared" si="7"/>
        <v>7110010020</v>
      </c>
      <c r="K91" s="30" t="str">
        <f t="shared" si="8"/>
        <v>60101047110010020000</v>
      </c>
    </row>
    <row r="92" spans="1:11" s="3" customFormat="1">
      <c r="A92" s="236" t="s">
        <v>107</v>
      </c>
      <c r="B92" s="233" t="s">
        <v>55</v>
      </c>
      <c r="C92" s="234" t="s">
        <v>65</v>
      </c>
      <c r="D92" s="234" t="s">
        <v>37</v>
      </c>
      <c r="E92" s="234" t="s">
        <v>209</v>
      </c>
      <c r="F92" s="242" t="s">
        <v>115</v>
      </c>
      <c r="G92" s="235">
        <f>SUM(G93:G94)</f>
        <v>94835753.719999999</v>
      </c>
      <c r="H92" s="235">
        <f>SUM(H93:H94)</f>
        <v>94835753.719999999</v>
      </c>
      <c r="I92" s="234">
        <v>7110010020</v>
      </c>
      <c r="J92" s="370" t="str">
        <f t="shared" si="7"/>
        <v>7110010020</v>
      </c>
      <c r="K92" s="30" t="str">
        <f t="shared" si="8"/>
        <v>60101047110010020120</v>
      </c>
    </row>
    <row r="93" spans="1:11" s="4" customFormat="1">
      <c r="A93" s="236" t="s">
        <v>936</v>
      </c>
      <c r="B93" s="233" t="s">
        <v>55</v>
      </c>
      <c r="C93" s="234" t="s">
        <v>65</v>
      </c>
      <c r="D93" s="234" t="s">
        <v>37</v>
      </c>
      <c r="E93" s="234" t="s">
        <v>209</v>
      </c>
      <c r="F93" s="234" t="s">
        <v>1063</v>
      </c>
      <c r="G93" s="235">
        <f>VLOOKUP(K93,'исх АС БЮДЖЕТ'!$A$10:$H$568,7,0)</f>
        <v>72838538</v>
      </c>
      <c r="H93" s="235">
        <f>VLOOKUP(K93,'исх АС БЮДЖЕТ'!$A$10:$H$568,8,0)</f>
        <v>72838538</v>
      </c>
      <c r="I93" s="234">
        <v>7110010020</v>
      </c>
      <c r="J93" s="370" t="str">
        <f t="shared" si="7"/>
        <v>7110010020</v>
      </c>
      <c r="K93" s="30" t="str">
        <f t="shared" si="8"/>
        <v>60101047110010020121</v>
      </c>
    </row>
    <row r="94" spans="1:11" s="4" customFormat="1" ht="38.25">
      <c r="A94" s="236" t="s">
        <v>939</v>
      </c>
      <c r="B94" s="233" t="s">
        <v>55</v>
      </c>
      <c r="C94" s="234" t="s">
        <v>65</v>
      </c>
      <c r="D94" s="234" t="s">
        <v>37</v>
      </c>
      <c r="E94" s="234" t="s">
        <v>209</v>
      </c>
      <c r="F94" s="234" t="s">
        <v>1060</v>
      </c>
      <c r="G94" s="235">
        <f>VLOOKUP(K94,'исх АС БЮДЖЕТ'!$A$10:$H$568,7,0)</f>
        <v>21997215.719999999</v>
      </c>
      <c r="H94" s="235">
        <f>VLOOKUP(K94,'исх АС БЮДЖЕТ'!$A$10:$H$568,8,0)</f>
        <v>21997215.719999999</v>
      </c>
      <c r="I94" s="234">
        <v>7110010020</v>
      </c>
      <c r="J94" s="370" t="str">
        <f t="shared" si="7"/>
        <v>7110010020</v>
      </c>
      <c r="K94" s="30" t="str">
        <f t="shared" si="8"/>
        <v>60101047110010020129</v>
      </c>
    </row>
    <row r="95" spans="1:11" s="3" customFormat="1" ht="38.25">
      <c r="A95" s="237" t="s">
        <v>870</v>
      </c>
      <c r="B95" s="233" t="s">
        <v>55</v>
      </c>
      <c r="C95" s="234" t="s">
        <v>65</v>
      </c>
      <c r="D95" s="234" t="s">
        <v>37</v>
      </c>
      <c r="E95" s="234" t="s">
        <v>210</v>
      </c>
      <c r="F95" s="242" t="s">
        <v>58</v>
      </c>
      <c r="G95" s="235">
        <f>G96</f>
        <v>51730</v>
      </c>
      <c r="H95" s="235">
        <f>H96</f>
        <v>51730</v>
      </c>
      <c r="I95" s="234">
        <v>7110076360</v>
      </c>
      <c r="J95" s="370" t="str">
        <f t="shared" si="7"/>
        <v>7110076360</v>
      </c>
      <c r="K95" s="30" t="str">
        <f t="shared" si="8"/>
        <v>60101047110076360000</v>
      </c>
    </row>
    <row r="96" spans="1:11" s="3" customFormat="1" ht="25.5">
      <c r="A96" s="232" t="s">
        <v>108</v>
      </c>
      <c r="B96" s="233" t="s">
        <v>55</v>
      </c>
      <c r="C96" s="234" t="s">
        <v>65</v>
      </c>
      <c r="D96" s="234" t="s">
        <v>37</v>
      </c>
      <c r="E96" s="234" t="s">
        <v>210</v>
      </c>
      <c r="F96" s="234" t="s">
        <v>116</v>
      </c>
      <c r="G96" s="235">
        <f>G97</f>
        <v>51730</v>
      </c>
      <c r="H96" s="235">
        <f>H97</f>
        <v>51730</v>
      </c>
      <c r="I96" s="234">
        <v>7110076360</v>
      </c>
      <c r="J96" s="370" t="str">
        <f t="shared" si="7"/>
        <v>7110076360</v>
      </c>
      <c r="K96" s="30" t="str">
        <f t="shared" si="8"/>
        <v>60101047110076360240</v>
      </c>
    </row>
    <row r="97" spans="1:11" s="4" customFormat="1" ht="25.5">
      <c r="A97" s="236" t="s">
        <v>973</v>
      </c>
      <c r="B97" s="233" t="s">
        <v>55</v>
      </c>
      <c r="C97" s="234" t="s">
        <v>65</v>
      </c>
      <c r="D97" s="234" t="s">
        <v>37</v>
      </c>
      <c r="E97" s="234" t="s">
        <v>210</v>
      </c>
      <c r="F97" s="234" t="s">
        <v>1043</v>
      </c>
      <c r="G97" s="235">
        <f>VLOOKUP(K97,'исх АС БЮДЖЕТ'!$A$10:$H$568,7,0)</f>
        <v>51730</v>
      </c>
      <c r="H97" s="235">
        <f>VLOOKUP(K97,'исх АС БЮДЖЕТ'!$A$10:$H$568,8,0)</f>
        <v>51730</v>
      </c>
      <c r="I97" s="234">
        <v>7110076360</v>
      </c>
      <c r="J97" s="370" t="str">
        <f t="shared" si="7"/>
        <v>7110076360</v>
      </c>
      <c r="K97" s="30" t="str">
        <f t="shared" si="8"/>
        <v>60101047110076360244</v>
      </c>
    </row>
    <row r="98" spans="1:11" s="3" customFormat="1" ht="38.25">
      <c r="A98" s="232" t="s">
        <v>597</v>
      </c>
      <c r="B98" s="241" t="s">
        <v>55</v>
      </c>
      <c r="C98" s="242" t="s">
        <v>65</v>
      </c>
      <c r="D98" s="242" t="s">
        <v>37</v>
      </c>
      <c r="E98" s="242" t="s">
        <v>211</v>
      </c>
      <c r="F98" s="242" t="s">
        <v>58</v>
      </c>
      <c r="G98" s="235">
        <f>G99+G102</f>
        <v>1162641</v>
      </c>
      <c r="H98" s="235">
        <f>H99+H102</f>
        <v>1162641</v>
      </c>
      <c r="I98" s="242">
        <v>7110076630</v>
      </c>
      <c r="J98" s="370" t="str">
        <f t="shared" si="7"/>
        <v>7110076630</v>
      </c>
      <c r="K98" s="30" t="str">
        <f t="shared" si="8"/>
        <v>60101047110076630000</v>
      </c>
    </row>
    <row r="99" spans="1:11" s="3" customFormat="1">
      <c r="A99" s="236" t="s">
        <v>107</v>
      </c>
      <c r="B99" s="241" t="s">
        <v>55</v>
      </c>
      <c r="C99" s="242" t="s">
        <v>65</v>
      </c>
      <c r="D99" s="242" t="s">
        <v>37</v>
      </c>
      <c r="E99" s="242" t="s">
        <v>211</v>
      </c>
      <c r="F99" s="242" t="s">
        <v>115</v>
      </c>
      <c r="G99" s="235">
        <f>SUM(G100:G101)</f>
        <v>919811</v>
      </c>
      <c r="H99" s="235">
        <f>SUM(H100:H101)</f>
        <v>919811</v>
      </c>
      <c r="I99" s="242">
        <v>7110076630</v>
      </c>
      <c r="J99" s="370" t="str">
        <f t="shared" si="7"/>
        <v>7110076630</v>
      </c>
      <c r="K99" s="30" t="str">
        <f t="shared" si="8"/>
        <v>60101047110076630120</v>
      </c>
    </row>
    <row r="100" spans="1:11" s="4" customFormat="1">
      <c r="A100" s="236" t="s">
        <v>936</v>
      </c>
      <c r="B100" s="241" t="s">
        <v>55</v>
      </c>
      <c r="C100" s="242" t="s">
        <v>65</v>
      </c>
      <c r="D100" s="242" t="s">
        <v>37</v>
      </c>
      <c r="E100" s="242" t="s">
        <v>211</v>
      </c>
      <c r="F100" s="234" t="s">
        <v>1063</v>
      </c>
      <c r="G100" s="235">
        <f>VLOOKUP(K100,'исх АС БЮДЖЕТ'!$A$10:$H$568,7,0)</f>
        <v>706460</v>
      </c>
      <c r="H100" s="235">
        <f>VLOOKUP(K100,'исх АС БЮДЖЕТ'!$A$10:$H$568,8,0)</f>
        <v>706460</v>
      </c>
      <c r="I100" s="242">
        <v>7110076630</v>
      </c>
      <c r="J100" s="370" t="str">
        <f t="shared" si="7"/>
        <v>7110076630</v>
      </c>
      <c r="K100" s="30" t="str">
        <f t="shared" si="8"/>
        <v>60101047110076630121</v>
      </c>
    </row>
    <row r="101" spans="1:11" s="4" customFormat="1" ht="38.25">
      <c r="A101" s="236" t="s">
        <v>939</v>
      </c>
      <c r="B101" s="241" t="s">
        <v>55</v>
      </c>
      <c r="C101" s="242" t="s">
        <v>65</v>
      </c>
      <c r="D101" s="242" t="s">
        <v>37</v>
      </c>
      <c r="E101" s="242" t="s">
        <v>211</v>
      </c>
      <c r="F101" s="234" t="s">
        <v>1060</v>
      </c>
      <c r="G101" s="235">
        <f>VLOOKUP(K101,'исх АС БЮДЖЕТ'!$A$10:$H$568,7,0)</f>
        <v>213351</v>
      </c>
      <c r="H101" s="235">
        <f>VLOOKUP(K101,'исх АС БЮДЖЕТ'!$A$10:$H$568,8,0)</f>
        <v>213351</v>
      </c>
      <c r="I101" s="242">
        <v>7110076630</v>
      </c>
      <c r="J101" s="370" t="str">
        <f t="shared" si="7"/>
        <v>7110076630</v>
      </c>
      <c r="K101" s="30" t="str">
        <f t="shared" si="8"/>
        <v>60101047110076630129</v>
      </c>
    </row>
    <row r="102" spans="1:11" s="3" customFormat="1" ht="25.5">
      <c r="A102" s="232" t="s">
        <v>108</v>
      </c>
      <c r="B102" s="241" t="s">
        <v>55</v>
      </c>
      <c r="C102" s="242" t="s">
        <v>65</v>
      </c>
      <c r="D102" s="242" t="s">
        <v>37</v>
      </c>
      <c r="E102" s="242" t="s">
        <v>211</v>
      </c>
      <c r="F102" s="242" t="s">
        <v>116</v>
      </c>
      <c r="G102" s="235">
        <f>G103</f>
        <v>242830</v>
      </c>
      <c r="H102" s="235">
        <f>H103</f>
        <v>242830</v>
      </c>
      <c r="I102" s="242">
        <v>7110076630</v>
      </c>
      <c r="J102" s="370" t="str">
        <f t="shared" si="7"/>
        <v>7110076630</v>
      </c>
      <c r="K102" s="30" t="str">
        <f t="shared" si="8"/>
        <v>60101047110076630240</v>
      </c>
    </row>
    <row r="103" spans="1:11" s="3" customFormat="1" ht="25.5">
      <c r="A103" s="236" t="s">
        <v>973</v>
      </c>
      <c r="B103" s="241" t="s">
        <v>55</v>
      </c>
      <c r="C103" s="242" t="s">
        <v>65</v>
      </c>
      <c r="D103" s="242" t="s">
        <v>37</v>
      </c>
      <c r="E103" s="242" t="s">
        <v>211</v>
      </c>
      <c r="F103" s="242" t="s">
        <v>1043</v>
      </c>
      <c r="G103" s="235">
        <f>VLOOKUP(K103,'исх АС БЮДЖЕТ'!$A$10:$H$568,7,0)</f>
        <v>242830</v>
      </c>
      <c r="H103" s="235">
        <f>VLOOKUP(K103,'исх АС БЮДЖЕТ'!$A$10:$H$568,8,0)</f>
        <v>242830</v>
      </c>
      <c r="I103" s="242">
        <v>7110076630</v>
      </c>
      <c r="J103" s="370" t="str">
        <f t="shared" si="7"/>
        <v>7110076630</v>
      </c>
      <c r="K103" s="30" t="str">
        <f t="shared" si="8"/>
        <v>60101047110076630244</v>
      </c>
    </row>
    <row r="104" spans="1:11" s="3" customFormat="1" ht="25.5">
      <c r="A104" s="237" t="s">
        <v>596</v>
      </c>
      <c r="B104" s="241" t="s">
        <v>55</v>
      </c>
      <c r="C104" s="242" t="s">
        <v>65</v>
      </c>
      <c r="D104" s="242" t="s">
        <v>37</v>
      </c>
      <c r="E104" s="242" t="s">
        <v>212</v>
      </c>
      <c r="F104" s="242" t="s">
        <v>58</v>
      </c>
      <c r="G104" s="243">
        <f>G105</f>
        <v>9000</v>
      </c>
      <c r="H104" s="243">
        <f>H105</f>
        <v>9000</v>
      </c>
      <c r="I104" s="242">
        <v>7110076930</v>
      </c>
      <c r="J104" s="370" t="str">
        <f t="shared" si="7"/>
        <v>7110076930</v>
      </c>
      <c r="K104" s="30" t="str">
        <f t="shared" si="8"/>
        <v>60101047110076930000</v>
      </c>
    </row>
    <row r="105" spans="1:11" s="3" customFormat="1" ht="25.5">
      <c r="A105" s="232" t="s">
        <v>108</v>
      </c>
      <c r="B105" s="241" t="s">
        <v>55</v>
      </c>
      <c r="C105" s="242" t="s">
        <v>65</v>
      </c>
      <c r="D105" s="242" t="s">
        <v>37</v>
      </c>
      <c r="E105" s="242" t="s">
        <v>212</v>
      </c>
      <c r="F105" s="242" t="s">
        <v>116</v>
      </c>
      <c r="G105" s="235">
        <f>G106</f>
        <v>9000</v>
      </c>
      <c r="H105" s="235">
        <f>H106</f>
        <v>9000</v>
      </c>
      <c r="I105" s="242">
        <v>7110076930</v>
      </c>
      <c r="J105" s="370" t="str">
        <f t="shared" si="7"/>
        <v>7110076930</v>
      </c>
      <c r="K105" s="30" t="str">
        <f t="shared" si="8"/>
        <v>60101047110076930240</v>
      </c>
    </row>
    <row r="106" spans="1:11" s="4" customFormat="1" ht="25.5">
      <c r="A106" s="236" t="s">
        <v>973</v>
      </c>
      <c r="B106" s="241" t="s">
        <v>55</v>
      </c>
      <c r="C106" s="242" t="s">
        <v>65</v>
      </c>
      <c r="D106" s="242" t="s">
        <v>37</v>
      </c>
      <c r="E106" s="242" t="s">
        <v>212</v>
      </c>
      <c r="F106" s="242" t="s">
        <v>1043</v>
      </c>
      <c r="G106" s="235">
        <f>VLOOKUP(K106,'исх АС БЮДЖЕТ'!$A$10:$H$568,7,0)</f>
        <v>9000</v>
      </c>
      <c r="H106" s="235">
        <f>VLOOKUP(K106,'исх АС БЮДЖЕТ'!$A$10:$H$568,8,0)</f>
        <v>9000</v>
      </c>
      <c r="I106" s="242">
        <v>7110076930</v>
      </c>
      <c r="J106" s="370" t="str">
        <f t="shared" si="7"/>
        <v>7110076930</v>
      </c>
      <c r="K106" s="30" t="str">
        <f t="shared" si="8"/>
        <v>60101047110076930244</v>
      </c>
    </row>
    <row r="107" spans="1:11" s="3" customFormat="1">
      <c r="A107" s="228" t="s">
        <v>57</v>
      </c>
      <c r="B107" s="229" t="s">
        <v>55</v>
      </c>
      <c r="C107" s="230" t="s">
        <v>65</v>
      </c>
      <c r="D107" s="230" t="s">
        <v>8</v>
      </c>
      <c r="E107" s="230" t="s">
        <v>196</v>
      </c>
      <c r="F107" s="230" t="s">
        <v>58</v>
      </c>
      <c r="G107" s="231">
        <f>G108</f>
        <v>136800</v>
      </c>
      <c r="H107" s="231">
        <f>H108</f>
        <v>136800</v>
      </c>
      <c r="I107" s="230">
        <v>0</v>
      </c>
      <c r="J107" s="370" t="str">
        <f t="shared" si="7"/>
        <v>0000000000</v>
      </c>
      <c r="K107" s="30" t="str">
        <f t="shared" si="8"/>
        <v>60101050000000000000</v>
      </c>
    </row>
    <row r="108" spans="1:11" s="3" customFormat="1" ht="25.5">
      <c r="A108" s="232" t="s">
        <v>683</v>
      </c>
      <c r="B108" s="233" t="s">
        <v>55</v>
      </c>
      <c r="C108" s="234" t="s">
        <v>65</v>
      </c>
      <c r="D108" s="242" t="s">
        <v>8</v>
      </c>
      <c r="E108" s="234" t="s">
        <v>680</v>
      </c>
      <c r="F108" s="234" t="s">
        <v>58</v>
      </c>
      <c r="G108" s="235">
        <f t="shared" ref="G108:H110" si="9">G109</f>
        <v>136800</v>
      </c>
      <c r="H108" s="235">
        <f t="shared" si="9"/>
        <v>136800</v>
      </c>
      <c r="I108" s="234">
        <v>9800000000</v>
      </c>
      <c r="J108" s="370" t="str">
        <f t="shared" si="7"/>
        <v>9800000000</v>
      </c>
      <c r="K108" s="30" t="str">
        <f t="shared" si="8"/>
        <v>60101059800000000000</v>
      </c>
    </row>
    <row r="109" spans="1:11" s="3" customFormat="1">
      <c r="A109" s="232" t="s">
        <v>684</v>
      </c>
      <c r="B109" s="233" t="s">
        <v>55</v>
      </c>
      <c r="C109" s="234" t="s">
        <v>65</v>
      </c>
      <c r="D109" s="242" t="s">
        <v>8</v>
      </c>
      <c r="E109" s="234" t="s">
        <v>681</v>
      </c>
      <c r="F109" s="234" t="s">
        <v>58</v>
      </c>
      <c r="G109" s="235">
        <f t="shared" si="9"/>
        <v>136800</v>
      </c>
      <c r="H109" s="235">
        <f t="shared" si="9"/>
        <v>136800</v>
      </c>
      <c r="I109" s="234">
        <v>9810000000</v>
      </c>
      <c r="J109" s="370" t="str">
        <f t="shared" si="7"/>
        <v>9810000000</v>
      </c>
      <c r="K109" s="30" t="str">
        <f t="shared" si="8"/>
        <v>60101059810000000000</v>
      </c>
    </row>
    <row r="110" spans="1:11" s="3" customFormat="1" ht="38.25">
      <c r="A110" s="237" t="s">
        <v>903</v>
      </c>
      <c r="B110" s="241" t="s">
        <v>55</v>
      </c>
      <c r="C110" s="242" t="s">
        <v>65</v>
      </c>
      <c r="D110" s="242" t="s">
        <v>8</v>
      </c>
      <c r="E110" s="242" t="s">
        <v>682</v>
      </c>
      <c r="F110" s="242" t="s">
        <v>58</v>
      </c>
      <c r="G110" s="243">
        <f t="shared" si="9"/>
        <v>136800</v>
      </c>
      <c r="H110" s="243">
        <f t="shared" si="9"/>
        <v>136800</v>
      </c>
      <c r="I110" s="242">
        <v>9810051200</v>
      </c>
      <c r="J110" s="370" t="str">
        <f t="shared" si="7"/>
        <v>9810051200</v>
      </c>
      <c r="K110" s="30" t="str">
        <f t="shared" si="8"/>
        <v>60101059810051200000</v>
      </c>
    </row>
    <row r="111" spans="1:11" s="3" customFormat="1" ht="25.5">
      <c r="A111" s="232" t="s">
        <v>108</v>
      </c>
      <c r="B111" s="241" t="s">
        <v>55</v>
      </c>
      <c r="C111" s="242" t="s">
        <v>65</v>
      </c>
      <c r="D111" s="242" t="s">
        <v>8</v>
      </c>
      <c r="E111" s="242" t="s">
        <v>682</v>
      </c>
      <c r="F111" s="242" t="s">
        <v>116</v>
      </c>
      <c r="G111" s="235">
        <f>G112</f>
        <v>136800</v>
      </c>
      <c r="H111" s="235">
        <f>H112</f>
        <v>136800</v>
      </c>
      <c r="I111" s="242">
        <v>9810051200</v>
      </c>
      <c r="J111" s="370" t="str">
        <f t="shared" si="7"/>
        <v>9810051200</v>
      </c>
      <c r="K111" s="30" t="str">
        <f t="shared" si="8"/>
        <v>60101059810051200240</v>
      </c>
    </row>
    <row r="112" spans="1:11" s="4" customFormat="1" ht="25.5">
      <c r="A112" s="236" t="s">
        <v>973</v>
      </c>
      <c r="B112" s="241" t="s">
        <v>55</v>
      </c>
      <c r="C112" s="242" t="s">
        <v>65</v>
      </c>
      <c r="D112" s="242" t="s">
        <v>8</v>
      </c>
      <c r="E112" s="242" t="s">
        <v>682</v>
      </c>
      <c r="F112" s="242" t="s">
        <v>1043</v>
      </c>
      <c r="G112" s="235">
        <f>VLOOKUP(K112,'исх АС БЮДЖЕТ'!$A$10:$H$568,7,0)</f>
        <v>136800</v>
      </c>
      <c r="H112" s="235">
        <f>VLOOKUP(K112,'исх АС БЮДЖЕТ'!$A$10:$H$568,8,0)</f>
        <v>136800</v>
      </c>
      <c r="I112" s="242">
        <v>9810051200</v>
      </c>
      <c r="J112" s="370" t="str">
        <f t="shared" si="7"/>
        <v>9810051200</v>
      </c>
      <c r="K112" s="30" t="str">
        <f t="shared" si="8"/>
        <v>60101059810051200244</v>
      </c>
    </row>
    <row r="113" spans="1:11" s="3" customFormat="1">
      <c r="A113" s="228" t="s">
        <v>38</v>
      </c>
      <c r="B113" s="229" t="s">
        <v>55</v>
      </c>
      <c r="C113" s="230" t="s">
        <v>65</v>
      </c>
      <c r="D113" s="230" t="s">
        <v>84</v>
      </c>
      <c r="E113" s="230" t="s">
        <v>196</v>
      </c>
      <c r="F113" s="230" t="s">
        <v>58</v>
      </c>
      <c r="G113" s="231">
        <f>G114+G123+G129+G163+G192+G198+G211</f>
        <v>123046700</v>
      </c>
      <c r="H113" s="231">
        <f>H114+H123+H129+H163+H192+H198+H211</f>
        <v>123046700</v>
      </c>
      <c r="I113" s="230">
        <v>0</v>
      </c>
      <c r="J113" s="370" t="str">
        <f t="shared" si="7"/>
        <v>0000000000</v>
      </c>
      <c r="K113" s="30" t="str">
        <f t="shared" si="8"/>
        <v>60101130000000000000</v>
      </c>
    </row>
    <row r="114" spans="1:11" s="3" customFormat="1">
      <c r="A114" s="237" t="s">
        <v>747</v>
      </c>
      <c r="B114" s="233" t="s">
        <v>55</v>
      </c>
      <c r="C114" s="234" t="s">
        <v>65</v>
      </c>
      <c r="D114" s="234" t="s">
        <v>84</v>
      </c>
      <c r="E114" s="234" t="s">
        <v>215</v>
      </c>
      <c r="F114" s="234" t="s">
        <v>58</v>
      </c>
      <c r="G114" s="235">
        <f t="shared" ref="G114:H115" si="10">G115</f>
        <v>1975500</v>
      </c>
      <c r="H114" s="235">
        <f t="shared" si="10"/>
        <v>1975500</v>
      </c>
      <c r="I114" s="234">
        <v>1200000000</v>
      </c>
      <c r="J114" s="370" t="str">
        <f t="shared" si="7"/>
        <v>1200000000</v>
      </c>
      <c r="K114" s="30" t="str">
        <f t="shared" si="8"/>
        <v>60101131200000000000</v>
      </c>
    </row>
    <row r="115" spans="1:11" s="3" customFormat="1" ht="25.5">
      <c r="A115" s="237" t="s">
        <v>765</v>
      </c>
      <c r="B115" s="233" t="s">
        <v>55</v>
      </c>
      <c r="C115" s="234" t="s">
        <v>65</v>
      </c>
      <c r="D115" s="234" t="s">
        <v>84</v>
      </c>
      <c r="E115" s="234" t="s">
        <v>216</v>
      </c>
      <c r="F115" s="234" t="s">
        <v>58</v>
      </c>
      <c r="G115" s="235">
        <f t="shared" si="10"/>
        <v>1975500</v>
      </c>
      <c r="H115" s="235">
        <f t="shared" si="10"/>
        <v>1975500</v>
      </c>
      <c r="I115" s="234">
        <v>1220000000</v>
      </c>
      <c r="J115" s="370" t="str">
        <f t="shared" si="7"/>
        <v>1220000000</v>
      </c>
      <c r="K115" s="30" t="str">
        <f t="shared" si="8"/>
        <v>60101131220000000000</v>
      </c>
    </row>
    <row r="116" spans="1:11" s="3" customFormat="1" ht="25.5">
      <c r="A116" s="237" t="s">
        <v>845</v>
      </c>
      <c r="B116" s="233" t="s">
        <v>55</v>
      </c>
      <c r="C116" s="234" t="s">
        <v>65</v>
      </c>
      <c r="D116" s="234" t="s">
        <v>84</v>
      </c>
      <c r="E116" s="234" t="s">
        <v>217</v>
      </c>
      <c r="F116" s="234" t="s">
        <v>58</v>
      </c>
      <c r="G116" s="235">
        <f>G117+G120</f>
        <v>1975500</v>
      </c>
      <c r="H116" s="235">
        <f>H117+H120</f>
        <v>1975500</v>
      </c>
      <c r="I116" s="234">
        <v>1220300000</v>
      </c>
      <c r="J116" s="370" t="str">
        <f t="shared" si="7"/>
        <v>1220300000</v>
      </c>
      <c r="K116" s="30" t="str">
        <f t="shared" si="8"/>
        <v>60101131220300000000</v>
      </c>
    </row>
    <row r="117" spans="1:11" s="3" customFormat="1" ht="25.5">
      <c r="A117" s="237" t="s">
        <v>844</v>
      </c>
      <c r="B117" s="233" t="s">
        <v>55</v>
      </c>
      <c r="C117" s="234" t="s">
        <v>65</v>
      </c>
      <c r="D117" s="234" t="s">
        <v>84</v>
      </c>
      <c r="E117" s="234" t="s">
        <v>218</v>
      </c>
      <c r="F117" s="234" t="s">
        <v>58</v>
      </c>
      <c r="G117" s="235">
        <f>G118</f>
        <v>1185500</v>
      </c>
      <c r="H117" s="235">
        <f>H118</f>
        <v>1185500</v>
      </c>
      <c r="I117" s="234">
        <v>1220320040</v>
      </c>
      <c r="J117" s="370" t="str">
        <f t="shared" si="7"/>
        <v>1220320040</v>
      </c>
      <c r="K117" s="30" t="str">
        <f t="shared" si="8"/>
        <v>60101131220320040000</v>
      </c>
    </row>
    <row r="118" spans="1:11" s="3" customFormat="1">
      <c r="A118" s="232" t="s">
        <v>97</v>
      </c>
      <c r="B118" s="233" t="s">
        <v>55</v>
      </c>
      <c r="C118" s="234" t="s">
        <v>65</v>
      </c>
      <c r="D118" s="234" t="s">
        <v>84</v>
      </c>
      <c r="E118" s="234" t="s">
        <v>218</v>
      </c>
      <c r="F118" s="234" t="s">
        <v>118</v>
      </c>
      <c r="G118" s="235">
        <f>G119</f>
        <v>1185500</v>
      </c>
      <c r="H118" s="235">
        <f>H119</f>
        <v>1185500</v>
      </c>
      <c r="I118" s="234">
        <v>1220320040</v>
      </c>
      <c r="J118" s="370" t="str">
        <f t="shared" si="7"/>
        <v>1220320040</v>
      </c>
      <c r="K118" s="30" t="str">
        <f t="shared" si="8"/>
        <v>60101131220320040850</v>
      </c>
    </row>
    <row r="119" spans="1:11" s="4" customFormat="1">
      <c r="A119" s="236" t="s">
        <v>1038</v>
      </c>
      <c r="B119" s="233" t="s">
        <v>55</v>
      </c>
      <c r="C119" s="234" t="s">
        <v>65</v>
      </c>
      <c r="D119" s="234" t="s">
        <v>84</v>
      </c>
      <c r="E119" s="234" t="s">
        <v>218</v>
      </c>
      <c r="F119" s="234" t="s">
        <v>1066</v>
      </c>
      <c r="G119" s="235">
        <f>VLOOKUP(K119,'исх АС БЮДЖЕТ'!$A$10:$H$568,7,0)</f>
        <v>1185500</v>
      </c>
      <c r="H119" s="235">
        <f>VLOOKUP(K119,'исх АС БЮДЖЕТ'!$A$10:$H$568,8,0)</f>
        <v>1185500</v>
      </c>
      <c r="I119" s="234">
        <v>1220320040</v>
      </c>
      <c r="J119" s="370" t="str">
        <f t="shared" si="7"/>
        <v>1220320040</v>
      </c>
      <c r="K119" s="30" t="str">
        <f t="shared" si="8"/>
        <v>60101131220320040853</v>
      </c>
    </row>
    <row r="120" spans="1:11" s="3" customFormat="1" ht="51">
      <c r="A120" s="237" t="s">
        <v>846</v>
      </c>
      <c r="B120" s="233" t="s">
        <v>55</v>
      </c>
      <c r="C120" s="234" t="s">
        <v>65</v>
      </c>
      <c r="D120" s="234" t="s">
        <v>84</v>
      </c>
      <c r="E120" s="234" t="s">
        <v>219</v>
      </c>
      <c r="F120" s="234" t="s">
        <v>58</v>
      </c>
      <c r="G120" s="235">
        <f>G121</f>
        <v>790000</v>
      </c>
      <c r="H120" s="235">
        <f>H121</f>
        <v>790000</v>
      </c>
      <c r="I120" s="234">
        <v>1220320090</v>
      </c>
      <c r="J120" s="370" t="str">
        <f t="shared" si="7"/>
        <v>1220320090</v>
      </c>
      <c r="K120" s="30" t="str">
        <f t="shared" si="8"/>
        <v>60101131220320090000</v>
      </c>
    </row>
    <row r="121" spans="1:11" s="3" customFormat="1" ht="25.5">
      <c r="A121" s="232" t="s">
        <v>108</v>
      </c>
      <c r="B121" s="233" t="s">
        <v>55</v>
      </c>
      <c r="C121" s="234" t="s">
        <v>65</v>
      </c>
      <c r="D121" s="234" t="s">
        <v>84</v>
      </c>
      <c r="E121" s="234" t="s">
        <v>219</v>
      </c>
      <c r="F121" s="234" t="s">
        <v>116</v>
      </c>
      <c r="G121" s="235">
        <f>G122</f>
        <v>790000</v>
      </c>
      <c r="H121" s="235">
        <f>H122</f>
        <v>790000</v>
      </c>
      <c r="I121" s="234">
        <v>1220320090</v>
      </c>
      <c r="J121" s="370" t="str">
        <f t="shared" si="7"/>
        <v>1220320090</v>
      </c>
      <c r="K121" s="30" t="str">
        <f t="shared" si="8"/>
        <v>60101131220320090240</v>
      </c>
    </row>
    <row r="122" spans="1:11" s="3" customFormat="1" ht="25.5">
      <c r="A122" s="236" t="s">
        <v>973</v>
      </c>
      <c r="B122" s="233" t="s">
        <v>55</v>
      </c>
      <c r="C122" s="234" t="s">
        <v>65</v>
      </c>
      <c r="D122" s="234" t="s">
        <v>84</v>
      </c>
      <c r="E122" s="234" t="s">
        <v>219</v>
      </c>
      <c r="F122" s="234" t="s">
        <v>1043</v>
      </c>
      <c r="G122" s="235">
        <f>VLOOKUP(K122,'исх АС БЮДЖЕТ'!$A$10:$H$568,7,0)</f>
        <v>790000</v>
      </c>
      <c r="H122" s="235">
        <f>VLOOKUP(K122,'исх АС БЮДЖЕТ'!$A$10:$H$568,8,0)</f>
        <v>790000</v>
      </c>
      <c r="I122" s="234">
        <v>1220320090</v>
      </c>
      <c r="J122" s="370" t="str">
        <f t="shared" si="7"/>
        <v>1220320090</v>
      </c>
      <c r="K122" s="30" t="str">
        <f t="shared" si="8"/>
        <v>60101131220320090244</v>
      </c>
    </row>
    <row r="123" spans="1:11" s="3" customFormat="1" ht="25.5">
      <c r="A123" s="237" t="s">
        <v>748</v>
      </c>
      <c r="B123" s="233" t="s">
        <v>55</v>
      </c>
      <c r="C123" s="234" t="s">
        <v>65</v>
      </c>
      <c r="D123" s="234" t="s">
        <v>84</v>
      </c>
      <c r="E123" s="234" t="s">
        <v>220</v>
      </c>
      <c r="F123" s="234" t="s">
        <v>58</v>
      </c>
      <c r="G123" s="235">
        <f t="shared" ref="G123:H127" si="11">G124</f>
        <v>100000</v>
      </c>
      <c r="H123" s="235">
        <f t="shared" si="11"/>
        <v>100000</v>
      </c>
      <c r="I123" s="234">
        <v>1300000000</v>
      </c>
      <c r="J123" s="370" t="str">
        <f t="shared" si="7"/>
        <v>1300000000</v>
      </c>
      <c r="K123" s="30" t="str">
        <f t="shared" si="8"/>
        <v>60101131300000000000</v>
      </c>
    </row>
    <row r="124" spans="1:11" s="3" customFormat="1" ht="25.5">
      <c r="A124" s="232" t="s">
        <v>750</v>
      </c>
      <c r="B124" s="233" t="s">
        <v>55</v>
      </c>
      <c r="C124" s="234" t="s">
        <v>65</v>
      </c>
      <c r="D124" s="234" t="s">
        <v>84</v>
      </c>
      <c r="E124" s="234" t="s">
        <v>225</v>
      </c>
      <c r="F124" s="234" t="s">
        <v>58</v>
      </c>
      <c r="G124" s="235">
        <f t="shared" si="11"/>
        <v>100000</v>
      </c>
      <c r="H124" s="235">
        <f t="shared" si="11"/>
        <v>100000</v>
      </c>
      <c r="I124" s="234">
        <v>1320000000</v>
      </c>
      <c r="J124" s="370" t="str">
        <f t="shared" si="7"/>
        <v>1320000000</v>
      </c>
      <c r="K124" s="30" t="str">
        <f t="shared" si="8"/>
        <v>60101131320000000000</v>
      </c>
    </row>
    <row r="125" spans="1:11" s="3" customFormat="1" ht="25.5">
      <c r="A125" s="237" t="s">
        <v>228</v>
      </c>
      <c r="B125" s="233" t="s">
        <v>55</v>
      </c>
      <c r="C125" s="234" t="s">
        <v>65</v>
      </c>
      <c r="D125" s="234" t="s">
        <v>84</v>
      </c>
      <c r="E125" s="234" t="s">
        <v>226</v>
      </c>
      <c r="F125" s="234" t="s">
        <v>58</v>
      </c>
      <c r="G125" s="235">
        <f t="shared" si="11"/>
        <v>100000</v>
      </c>
      <c r="H125" s="235">
        <f t="shared" si="11"/>
        <v>100000</v>
      </c>
      <c r="I125" s="234">
        <v>1320100000</v>
      </c>
      <c r="J125" s="370" t="str">
        <f t="shared" si="7"/>
        <v>1320100000</v>
      </c>
      <c r="K125" s="30" t="str">
        <f t="shared" si="8"/>
        <v>60101131320100000000</v>
      </c>
    </row>
    <row r="126" spans="1:11" s="3" customFormat="1" ht="25.5">
      <c r="A126" s="237" t="s">
        <v>169</v>
      </c>
      <c r="B126" s="233" t="s">
        <v>55</v>
      </c>
      <c r="C126" s="234" t="s">
        <v>65</v>
      </c>
      <c r="D126" s="234" t="s">
        <v>84</v>
      </c>
      <c r="E126" s="234" t="s">
        <v>227</v>
      </c>
      <c r="F126" s="234" t="s">
        <v>58</v>
      </c>
      <c r="G126" s="235">
        <f t="shared" si="11"/>
        <v>100000</v>
      </c>
      <c r="H126" s="235">
        <f t="shared" si="11"/>
        <v>100000</v>
      </c>
      <c r="I126" s="234">
        <v>1320120620</v>
      </c>
      <c r="J126" s="370" t="str">
        <f t="shared" si="7"/>
        <v>1320120620</v>
      </c>
      <c r="K126" s="30" t="str">
        <f t="shared" si="8"/>
        <v>60101131320120620000</v>
      </c>
    </row>
    <row r="127" spans="1:11" s="3" customFormat="1" ht="25.5">
      <c r="A127" s="232" t="s">
        <v>108</v>
      </c>
      <c r="B127" s="233" t="s">
        <v>55</v>
      </c>
      <c r="C127" s="234" t="s">
        <v>65</v>
      </c>
      <c r="D127" s="234" t="s">
        <v>84</v>
      </c>
      <c r="E127" s="234" t="s">
        <v>227</v>
      </c>
      <c r="F127" s="234" t="s">
        <v>116</v>
      </c>
      <c r="G127" s="235">
        <f t="shared" si="11"/>
        <v>100000</v>
      </c>
      <c r="H127" s="235">
        <f t="shared" si="11"/>
        <v>100000</v>
      </c>
      <c r="I127" s="234">
        <v>1320120620</v>
      </c>
      <c r="J127" s="370" t="str">
        <f t="shared" si="7"/>
        <v>1320120620</v>
      </c>
      <c r="K127" s="30" t="str">
        <f t="shared" si="8"/>
        <v>60101131320120620240</v>
      </c>
    </row>
    <row r="128" spans="1:11" s="4" customFormat="1" ht="25.5">
      <c r="A128" s="236" t="s">
        <v>973</v>
      </c>
      <c r="B128" s="233" t="s">
        <v>55</v>
      </c>
      <c r="C128" s="234" t="s">
        <v>65</v>
      </c>
      <c r="D128" s="234" t="s">
        <v>84</v>
      </c>
      <c r="E128" s="234" t="s">
        <v>227</v>
      </c>
      <c r="F128" s="234" t="s">
        <v>1043</v>
      </c>
      <c r="G128" s="235">
        <f>VLOOKUP(K128,'исх АС БЮДЖЕТ'!$A$10:$H$568,7,0)</f>
        <v>100000</v>
      </c>
      <c r="H128" s="235">
        <f>VLOOKUP(K128,'исх АС БЮДЖЕТ'!$A$10:$H$568,8,0)</f>
        <v>100000</v>
      </c>
      <c r="I128" s="234">
        <v>1320120620</v>
      </c>
      <c r="J128" s="370" t="str">
        <f t="shared" si="7"/>
        <v>1320120620</v>
      </c>
      <c r="K128" s="30" t="str">
        <f t="shared" si="8"/>
        <v>60101131320120620244</v>
      </c>
    </row>
    <row r="129" spans="1:11" s="3" customFormat="1" ht="38.25">
      <c r="A129" s="237" t="s">
        <v>751</v>
      </c>
      <c r="B129" s="233" t="s">
        <v>55</v>
      </c>
      <c r="C129" s="234" t="s">
        <v>65</v>
      </c>
      <c r="D129" s="234" t="s">
        <v>84</v>
      </c>
      <c r="E129" s="234" t="s">
        <v>229</v>
      </c>
      <c r="F129" s="234" t="s">
        <v>58</v>
      </c>
      <c r="G129" s="235">
        <f>G130+G139</f>
        <v>78133710</v>
      </c>
      <c r="H129" s="235">
        <f>H130+H139</f>
        <v>78133710</v>
      </c>
      <c r="I129" s="234">
        <v>1400000000</v>
      </c>
      <c r="J129" s="370" t="str">
        <f t="shared" si="7"/>
        <v>1400000000</v>
      </c>
      <c r="K129" s="30" t="str">
        <f t="shared" si="8"/>
        <v>60101131400000000000</v>
      </c>
    </row>
    <row r="130" spans="1:11" s="3" customFormat="1">
      <c r="A130" s="237" t="s">
        <v>119</v>
      </c>
      <c r="B130" s="233" t="s">
        <v>55</v>
      </c>
      <c r="C130" s="234" t="s">
        <v>65</v>
      </c>
      <c r="D130" s="234" t="s">
        <v>84</v>
      </c>
      <c r="E130" s="234" t="s">
        <v>230</v>
      </c>
      <c r="F130" s="234" t="s">
        <v>58</v>
      </c>
      <c r="G130" s="235">
        <f>G131+G135</f>
        <v>10818880</v>
      </c>
      <c r="H130" s="235">
        <f>H131+H135</f>
        <v>10818880</v>
      </c>
      <c r="I130" s="234">
        <v>1410000000</v>
      </c>
      <c r="J130" s="370" t="str">
        <f t="shared" si="7"/>
        <v>1410000000</v>
      </c>
      <c r="K130" s="30" t="str">
        <f t="shared" si="8"/>
        <v>60101131410000000000</v>
      </c>
    </row>
    <row r="131" spans="1:11" s="3" customFormat="1" ht="25.5">
      <c r="A131" s="237" t="s">
        <v>231</v>
      </c>
      <c r="B131" s="233" t="s">
        <v>55</v>
      </c>
      <c r="C131" s="234" t="s">
        <v>65</v>
      </c>
      <c r="D131" s="234" t="s">
        <v>84</v>
      </c>
      <c r="E131" s="234" t="s">
        <v>232</v>
      </c>
      <c r="F131" s="234" t="s">
        <v>58</v>
      </c>
      <c r="G131" s="235">
        <f t="shared" ref="G131:H133" si="12">G132</f>
        <v>8250850</v>
      </c>
      <c r="H131" s="235">
        <f t="shared" si="12"/>
        <v>8250850</v>
      </c>
      <c r="I131" s="234">
        <v>1410100000</v>
      </c>
      <c r="J131" s="370" t="str">
        <f t="shared" si="7"/>
        <v>1410100000</v>
      </c>
      <c r="K131" s="30" t="str">
        <f t="shared" si="8"/>
        <v>60101131410100000000</v>
      </c>
    </row>
    <row r="132" spans="1:11" s="3" customFormat="1" ht="25.5">
      <c r="A132" s="237" t="s">
        <v>170</v>
      </c>
      <c r="B132" s="233" t="s">
        <v>55</v>
      </c>
      <c r="C132" s="234" t="s">
        <v>65</v>
      </c>
      <c r="D132" s="234" t="s">
        <v>84</v>
      </c>
      <c r="E132" s="234" t="s">
        <v>233</v>
      </c>
      <c r="F132" s="234" t="s">
        <v>58</v>
      </c>
      <c r="G132" s="235">
        <f t="shared" si="12"/>
        <v>8250850</v>
      </c>
      <c r="H132" s="235">
        <f t="shared" si="12"/>
        <v>8250850</v>
      </c>
      <c r="I132" s="234">
        <v>1410120630</v>
      </c>
      <c r="J132" s="370" t="str">
        <f t="shared" si="7"/>
        <v>1410120630</v>
      </c>
      <c r="K132" s="30" t="str">
        <f t="shared" si="8"/>
        <v>60101131410120630000</v>
      </c>
    </row>
    <row r="133" spans="1:11" s="3" customFormat="1" ht="25.5">
      <c r="A133" s="232" t="s">
        <v>108</v>
      </c>
      <c r="B133" s="233" t="s">
        <v>55</v>
      </c>
      <c r="C133" s="234" t="s">
        <v>65</v>
      </c>
      <c r="D133" s="234" t="s">
        <v>84</v>
      </c>
      <c r="E133" s="234" t="s">
        <v>233</v>
      </c>
      <c r="F133" s="234" t="s">
        <v>116</v>
      </c>
      <c r="G133" s="235">
        <f t="shared" si="12"/>
        <v>8250850</v>
      </c>
      <c r="H133" s="235">
        <f t="shared" si="12"/>
        <v>8250850</v>
      </c>
      <c r="I133" s="234">
        <v>1410120630</v>
      </c>
      <c r="J133" s="370" t="str">
        <f t="shared" si="7"/>
        <v>1410120630</v>
      </c>
      <c r="K133" s="30" t="str">
        <f t="shared" si="8"/>
        <v>60101131410120630240</v>
      </c>
    </row>
    <row r="134" spans="1:11" s="4" customFormat="1" ht="25.5">
      <c r="A134" s="236" t="s">
        <v>973</v>
      </c>
      <c r="B134" s="233" t="s">
        <v>55</v>
      </c>
      <c r="C134" s="234" t="s">
        <v>65</v>
      </c>
      <c r="D134" s="234" t="s">
        <v>84</v>
      </c>
      <c r="E134" s="234" t="s">
        <v>233</v>
      </c>
      <c r="F134" s="234" t="s">
        <v>1043</v>
      </c>
      <c r="G134" s="235">
        <f>VLOOKUP(K134,'исх АС БЮДЖЕТ'!$A$10:$H$568,7,0)</f>
        <v>8250850</v>
      </c>
      <c r="H134" s="235">
        <f>VLOOKUP(K134,'исх АС БЮДЖЕТ'!$A$10:$H$568,8,0)</f>
        <v>8250850</v>
      </c>
      <c r="I134" s="234">
        <v>1410120630</v>
      </c>
      <c r="J134" s="370" t="str">
        <f t="shared" si="7"/>
        <v>1410120630</v>
      </c>
      <c r="K134" s="30" t="str">
        <f t="shared" si="8"/>
        <v>60101131410120630244</v>
      </c>
    </row>
    <row r="135" spans="1:11" s="3" customFormat="1" ht="38.25">
      <c r="A135" s="237" t="s">
        <v>234</v>
      </c>
      <c r="B135" s="233" t="s">
        <v>55</v>
      </c>
      <c r="C135" s="234" t="s">
        <v>65</v>
      </c>
      <c r="D135" s="234" t="s">
        <v>84</v>
      </c>
      <c r="E135" s="234" t="s">
        <v>235</v>
      </c>
      <c r="F135" s="234" t="s">
        <v>58</v>
      </c>
      <c r="G135" s="235">
        <f t="shared" ref="G135:H136" si="13">G136</f>
        <v>2568030</v>
      </c>
      <c r="H135" s="235">
        <f t="shared" si="13"/>
        <v>2568030</v>
      </c>
      <c r="I135" s="234">
        <v>1410200000</v>
      </c>
      <c r="J135" s="370" t="str">
        <f t="shared" si="7"/>
        <v>1410200000</v>
      </c>
      <c r="K135" s="30" t="str">
        <f t="shared" si="8"/>
        <v>60101131410200000000</v>
      </c>
    </row>
    <row r="136" spans="1:11" s="3" customFormat="1" ht="25.5">
      <c r="A136" s="237" t="s">
        <v>170</v>
      </c>
      <c r="B136" s="233" t="s">
        <v>55</v>
      </c>
      <c r="C136" s="234" t="s">
        <v>65</v>
      </c>
      <c r="D136" s="234" t="s">
        <v>84</v>
      </c>
      <c r="E136" s="234" t="s">
        <v>236</v>
      </c>
      <c r="F136" s="234" t="s">
        <v>58</v>
      </c>
      <c r="G136" s="235">
        <f t="shared" si="13"/>
        <v>2568030</v>
      </c>
      <c r="H136" s="235">
        <f t="shared" si="13"/>
        <v>2568030</v>
      </c>
      <c r="I136" s="234">
        <v>1410220630</v>
      </c>
      <c r="J136" s="370" t="str">
        <f t="shared" si="7"/>
        <v>1410220630</v>
      </c>
      <c r="K136" s="30" t="str">
        <f t="shared" si="8"/>
        <v>60101131410220630000</v>
      </c>
    </row>
    <row r="137" spans="1:11" s="3" customFormat="1" ht="25.5">
      <c r="A137" s="232" t="s">
        <v>108</v>
      </c>
      <c r="B137" s="233" t="s">
        <v>55</v>
      </c>
      <c r="C137" s="234" t="s">
        <v>65</v>
      </c>
      <c r="D137" s="234" t="s">
        <v>84</v>
      </c>
      <c r="E137" s="234" t="s">
        <v>236</v>
      </c>
      <c r="F137" s="234" t="s">
        <v>116</v>
      </c>
      <c r="G137" s="235">
        <f>G138</f>
        <v>2568030</v>
      </c>
      <c r="H137" s="235">
        <f>H138</f>
        <v>2568030</v>
      </c>
      <c r="I137" s="234">
        <v>1410220630</v>
      </c>
      <c r="J137" s="370" t="str">
        <f t="shared" si="7"/>
        <v>1410220630</v>
      </c>
      <c r="K137" s="30" t="str">
        <f t="shared" si="8"/>
        <v>60101131410220630240</v>
      </c>
    </row>
    <row r="138" spans="1:11" s="4" customFormat="1" ht="25.5">
      <c r="A138" s="236" t="s">
        <v>973</v>
      </c>
      <c r="B138" s="233" t="s">
        <v>55</v>
      </c>
      <c r="C138" s="234" t="s">
        <v>65</v>
      </c>
      <c r="D138" s="234" t="s">
        <v>84</v>
      </c>
      <c r="E138" s="234" t="s">
        <v>236</v>
      </c>
      <c r="F138" s="234" t="s">
        <v>1043</v>
      </c>
      <c r="G138" s="235">
        <f>VLOOKUP(K138,'исх АС БЮДЖЕТ'!$A$10:$H$568,7,0)</f>
        <v>2568030</v>
      </c>
      <c r="H138" s="235">
        <f>VLOOKUP(K138,'исх АС БЮДЖЕТ'!$A$10:$H$568,8,0)</f>
        <v>2568030</v>
      </c>
      <c r="I138" s="234">
        <v>1410220630</v>
      </c>
      <c r="J138" s="370" t="str">
        <f t="shared" si="7"/>
        <v>1410220630</v>
      </c>
      <c r="K138" s="30" t="str">
        <f t="shared" si="8"/>
        <v>60101131410220630244</v>
      </c>
    </row>
    <row r="139" spans="1:11" s="3" customFormat="1" ht="25.5">
      <c r="A139" s="237" t="s">
        <v>871</v>
      </c>
      <c r="B139" s="233" t="s">
        <v>55</v>
      </c>
      <c r="C139" s="234" t="s">
        <v>65</v>
      </c>
      <c r="D139" s="234" t="s">
        <v>84</v>
      </c>
      <c r="E139" s="234" t="s">
        <v>240</v>
      </c>
      <c r="F139" s="234" t="s">
        <v>58</v>
      </c>
      <c r="G139" s="235">
        <f>G140+G144+G152+G148</f>
        <v>67314830</v>
      </c>
      <c r="H139" s="235">
        <f>H140+H144+H152+H148</f>
        <v>67314830</v>
      </c>
      <c r="I139" s="234">
        <v>1420000000</v>
      </c>
      <c r="J139" s="370" t="str">
        <f t="shared" ref="J139:J202" si="14">TEXT(I139,"0000000000")</f>
        <v>1420000000</v>
      </c>
      <c r="K139" s="30" t="str">
        <f t="shared" ref="K139:K202" si="15">CONCATENATE(B139,C139,D139,J139,F139)</f>
        <v>60101131420000000000</v>
      </c>
    </row>
    <row r="140" spans="1:11" s="3" customFormat="1" ht="25.5">
      <c r="A140" s="237" t="s">
        <v>849</v>
      </c>
      <c r="B140" s="233" t="s">
        <v>55</v>
      </c>
      <c r="C140" s="234" t="s">
        <v>65</v>
      </c>
      <c r="D140" s="234" t="s">
        <v>84</v>
      </c>
      <c r="E140" s="234" t="s">
        <v>241</v>
      </c>
      <c r="F140" s="234" t="s">
        <v>58</v>
      </c>
      <c r="G140" s="235">
        <f t="shared" ref="G140:H141" si="16">G141</f>
        <v>450000</v>
      </c>
      <c r="H140" s="235">
        <f t="shared" si="16"/>
        <v>450000</v>
      </c>
      <c r="I140" s="234">
        <v>1420100000</v>
      </c>
      <c r="J140" s="370" t="str">
        <f t="shared" si="14"/>
        <v>1420100000</v>
      </c>
      <c r="K140" s="30" t="str">
        <f t="shared" si="15"/>
        <v>60101131420100000000</v>
      </c>
    </row>
    <row r="141" spans="1:11" s="3" customFormat="1" ht="38.25">
      <c r="A141" s="237" t="s">
        <v>872</v>
      </c>
      <c r="B141" s="233" t="s">
        <v>55</v>
      </c>
      <c r="C141" s="234" t="s">
        <v>65</v>
      </c>
      <c r="D141" s="234" t="s">
        <v>84</v>
      </c>
      <c r="E141" s="234" t="s">
        <v>242</v>
      </c>
      <c r="F141" s="234" t="s">
        <v>58</v>
      </c>
      <c r="G141" s="235">
        <f t="shared" si="16"/>
        <v>450000</v>
      </c>
      <c r="H141" s="235">
        <f t="shared" si="16"/>
        <v>450000</v>
      </c>
      <c r="I141" s="234">
        <v>1420120710</v>
      </c>
      <c r="J141" s="370" t="str">
        <f t="shared" si="14"/>
        <v>1420120710</v>
      </c>
      <c r="K141" s="30" t="str">
        <f t="shared" si="15"/>
        <v>60101131420120710000</v>
      </c>
    </row>
    <row r="142" spans="1:11" s="3" customFormat="1" ht="25.5">
      <c r="A142" s="232" t="s">
        <v>108</v>
      </c>
      <c r="B142" s="233" t="s">
        <v>55</v>
      </c>
      <c r="C142" s="234" t="s">
        <v>65</v>
      </c>
      <c r="D142" s="234" t="s">
        <v>84</v>
      </c>
      <c r="E142" s="234" t="s">
        <v>242</v>
      </c>
      <c r="F142" s="234" t="s">
        <v>116</v>
      </c>
      <c r="G142" s="235">
        <f>G143</f>
        <v>450000</v>
      </c>
      <c r="H142" s="235">
        <f>H143</f>
        <v>450000</v>
      </c>
      <c r="I142" s="234">
        <v>1420120710</v>
      </c>
      <c r="J142" s="370" t="str">
        <f t="shared" si="14"/>
        <v>1420120710</v>
      </c>
      <c r="K142" s="30" t="str">
        <f t="shared" si="15"/>
        <v>60101131420120710240</v>
      </c>
    </row>
    <row r="143" spans="1:11" s="4" customFormat="1" ht="25.5">
      <c r="A143" s="236" t="s">
        <v>973</v>
      </c>
      <c r="B143" s="233" t="s">
        <v>55</v>
      </c>
      <c r="C143" s="234" t="s">
        <v>65</v>
      </c>
      <c r="D143" s="234" t="s">
        <v>84</v>
      </c>
      <c r="E143" s="234" t="s">
        <v>242</v>
      </c>
      <c r="F143" s="234" t="s">
        <v>1043</v>
      </c>
      <c r="G143" s="235">
        <f>VLOOKUP(K143,'исх АС БЮДЖЕТ'!$A$10:$H$568,7,0)</f>
        <v>450000</v>
      </c>
      <c r="H143" s="235">
        <f>VLOOKUP(K143,'исх АС БЮДЖЕТ'!$A$10:$H$568,8,0)</f>
        <v>450000</v>
      </c>
      <c r="I143" s="234">
        <v>1420120710</v>
      </c>
      <c r="J143" s="370" t="str">
        <f t="shared" si="14"/>
        <v>1420120710</v>
      </c>
      <c r="K143" s="30" t="str">
        <f t="shared" si="15"/>
        <v>60101131420120710244</v>
      </c>
    </row>
    <row r="144" spans="1:11" s="3" customFormat="1" ht="38.25">
      <c r="A144" s="237" t="s">
        <v>604</v>
      </c>
      <c r="B144" s="233" t="s">
        <v>55</v>
      </c>
      <c r="C144" s="234" t="s">
        <v>65</v>
      </c>
      <c r="D144" s="234" t="s">
        <v>84</v>
      </c>
      <c r="E144" s="234" t="s">
        <v>243</v>
      </c>
      <c r="F144" s="234" t="s">
        <v>58</v>
      </c>
      <c r="G144" s="235">
        <f t="shared" ref="G144:H145" si="17">G145</f>
        <v>76500</v>
      </c>
      <c r="H144" s="235">
        <f t="shared" si="17"/>
        <v>76500</v>
      </c>
      <c r="I144" s="234">
        <v>1420200000</v>
      </c>
      <c r="J144" s="370" t="str">
        <f t="shared" si="14"/>
        <v>1420200000</v>
      </c>
      <c r="K144" s="30" t="str">
        <f t="shared" si="15"/>
        <v>60101131420200000000</v>
      </c>
    </row>
    <row r="145" spans="1:11" s="3" customFormat="1" ht="38.25">
      <c r="A145" s="237" t="s">
        <v>872</v>
      </c>
      <c r="B145" s="233" t="s">
        <v>55</v>
      </c>
      <c r="C145" s="234" t="s">
        <v>65</v>
      </c>
      <c r="D145" s="234" t="s">
        <v>84</v>
      </c>
      <c r="E145" s="234" t="s">
        <v>244</v>
      </c>
      <c r="F145" s="234" t="s">
        <v>58</v>
      </c>
      <c r="G145" s="235">
        <f t="shared" si="17"/>
        <v>76500</v>
      </c>
      <c r="H145" s="235">
        <f t="shared" si="17"/>
        <v>76500</v>
      </c>
      <c r="I145" s="234">
        <v>1420220710</v>
      </c>
      <c r="J145" s="370" t="str">
        <f t="shared" si="14"/>
        <v>1420220710</v>
      </c>
      <c r="K145" s="30" t="str">
        <f t="shared" si="15"/>
        <v>60101131420220710000</v>
      </c>
    </row>
    <row r="146" spans="1:11" s="3" customFormat="1" ht="25.5">
      <c r="A146" s="232" t="s">
        <v>108</v>
      </c>
      <c r="B146" s="233" t="s">
        <v>55</v>
      </c>
      <c r="C146" s="234" t="s">
        <v>65</v>
      </c>
      <c r="D146" s="234" t="s">
        <v>84</v>
      </c>
      <c r="E146" s="234" t="s">
        <v>244</v>
      </c>
      <c r="F146" s="234" t="s">
        <v>116</v>
      </c>
      <c r="G146" s="235">
        <f>G147</f>
        <v>76500</v>
      </c>
      <c r="H146" s="235">
        <f>H147</f>
        <v>76500</v>
      </c>
      <c r="I146" s="234">
        <v>1420220710</v>
      </c>
      <c r="J146" s="370" t="str">
        <f t="shared" si="14"/>
        <v>1420220710</v>
      </c>
      <c r="K146" s="30" t="str">
        <f t="shared" si="15"/>
        <v>60101131420220710240</v>
      </c>
    </row>
    <row r="147" spans="1:11" s="4" customFormat="1" ht="25.5">
      <c r="A147" s="236" t="s">
        <v>973</v>
      </c>
      <c r="B147" s="233" t="s">
        <v>55</v>
      </c>
      <c r="C147" s="234" t="s">
        <v>65</v>
      </c>
      <c r="D147" s="234" t="s">
        <v>84</v>
      </c>
      <c r="E147" s="234" t="s">
        <v>244</v>
      </c>
      <c r="F147" s="234" t="s">
        <v>1043</v>
      </c>
      <c r="G147" s="235">
        <f>VLOOKUP(K147,'исх АС БЮДЖЕТ'!$A$10:$H$568,7,0)</f>
        <v>76500</v>
      </c>
      <c r="H147" s="235">
        <f>VLOOKUP(K147,'исх АС БЮДЖЕТ'!$A$10:$H$568,8,0)</f>
        <v>76500</v>
      </c>
      <c r="I147" s="234">
        <v>1420220710</v>
      </c>
      <c r="J147" s="370" t="str">
        <f t="shared" si="14"/>
        <v>1420220710</v>
      </c>
      <c r="K147" s="30" t="str">
        <f t="shared" si="15"/>
        <v>60101131420220710244</v>
      </c>
    </row>
    <row r="148" spans="1:11" s="3" customFormat="1" ht="38.25">
      <c r="A148" s="237" t="s">
        <v>771</v>
      </c>
      <c r="B148" s="233" t="s">
        <v>55</v>
      </c>
      <c r="C148" s="234" t="s">
        <v>65</v>
      </c>
      <c r="D148" s="234" t="s">
        <v>84</v>
      </c>
      <c r="E148" s="234" t="s">
        <v>772</v>
      </c>
      <c r="F148" s="234" t="s">
        <v>58</v>
      </c>
      <c r="G148" s="235">
        <f t="shared" ref="G148:H150" si="18">G149</f>
        <v>76500</v>
      </c>
      <c r="H148" s="235">
        <f t="shared" si="18"/>
        <v>76500</v>
      </c>
      <c r="I148" s="234">
        <v>1420300000</v>
      </c>
      <c r="J148" s="370" t="str">
        <f t="shared" si="14"/>
        <v>1420300000</v>
      </c>
      <c r="K148" s="30" t="str">
        <f t="shared" si="15"/>
        <v>60101131420300000000</v>
      </c>
    </row>
    <row r="149" spans="1:11" s="3" customFormat="1" ht="38.25">
      <c r="A149" s="237" t="s">
        <v>872</v>
      </c>
      <c r="B149" s="233" t="s">
        <v>55</v>
      </c>
      <c r="C149" s="234" t="s">
        <v>65</v>
      </c>
      <c r="D149" s="234" t="s">
        <v>84</v>
      </c>
      <c r="E149" s="234" t="s">
        <v>773</v>
      </c>
      <c r="F149" s="234" t="s">
        <v>58</v>
      </c>
      <c r="G149" s="235">
        <f t="shared" si="18"/>
        <v>76500</v>
      </c>
      <c r="H149" s="235">
        <f t="shared" si="18"/>
        <v>76500</v>
      </c>
      <c r="I149" s="234">
        <v>1420320710</v>
      </c>
      <c r="J149" s="370" t="str">
        <f t="shared" si="14"/>
        <v>1420320710</v>
      </c>
      <c r="K149" s="30" t="str">
        <f t="shared" si="15"/>
        <v>60101131420320710000</v>
      </c>
    </row>
    <row r="150" spans="1:11" s="3" customFormat="1" ht="25.5">
      <c r="A150" s="232" t="s">
        <v>108</v>
      </c>
      <c r="B150" s="233" t="s">
        <v>55</v>
      </c>
      <c r="C150" s="234" t="s">
        <v>65</v>
      </c>
      <c r="D150" s="234" t="s">
        <v>84</v>
      </c>
      <c r="E150" s="234" t="s">
        <v>773</v>
      </c>
      <c r="F150" s="234" t="s">
        <v>116</v>
      </c>
      <c r="G150" s="235">
        <f t="shared" si="18"/>
        <v>76500</v>
      </c>
      <c r="H150" s="235">
        <f t="shared" si="18"/>
        <v>76500</v>
      </c>
      <c r="I150" s="234">
        <v>1420320710</v>
      </c>
      <c r="J150" s="370" t="str">
        <f t="shared" si="14"/>
        <v>1420320710</v>
      </c>
      <c r="K150" s="30" t="str">
        <f t="shared" si="15"/>
        <v>60101131420320710240</v>
      </c>
    </row>
    <row r="151" spans="1:11" s="4" customFormat="1" ht="25.5">
      <c r="A151" s="236" t="s">
        <v>973</v>
      </c>
      <c r="B151" s="233" t="s">
        <v>55</v>
      </c>
      <c r="C151" s="234" t="s">
        <v>65</v>
      </c>
      <c r="D151" s="234" t="s">
        <v>84</v>
      </c>
      <c r="E151" s="234" t="s">
        <v>773</v>
      </c>
      <c r="F151" s="234" t="s">
        <v>1043</v>
      </c>
      <c r="G151" s="235">
        <f>VLOOKUP(K151,'исх АС БЮДЖЕТ'!$A$10:$H$568,7,0)</f>
        <v>76500</v>
      </c>
      <c r="H151" s="235">
        <f>VLOOKUP(K151,'исх АС БЮДЖЕТ'!$A$10:$H$568,8,0)</f>
        <v>76500</v>
      </c>
      <c r="I151" s="234">
        <v>1420320710</v>
      </c>
      <c r="J151" s="370" t="str">
        <f t="shared" si="14"/>
        <v>1420320710</v>
      </c>
      <c r="K151" s="30" t="str">
        <f t="shared" si="15"/>
        <v>60101131420320710244</v>
      </c>
    </row>
    <row r="152" spans="1:11" s="3" customFormat="1" ht="25.5">
      <c r="A152" s="237" t="s">
        <v>245</v>
      </c>
      <c r="B152" s="233" t="s">
        <v>55</v>
      </c>
      <c r="C152" s="234" t="s">
        <v>65</v>
      </c>
      <c r="D152" s="234" t="s">
        <v>84</v>
      </c>
      <c r="E152" s="234" t="s">
        <v>246</v>
      </c>
      <c r="F152" s="234" t="s">
        <v>58</v>
      </c>
      <c r="G152" s="235">
        <f>G153</f>
        <v>66711830</v>
      </c>
      <c r="H152" s="235">
        <f>H153</f>
        <v>66711830</v>
      </c>
      <c r="I152" s="234">
        <v>1420400000</v>
      </c>
      <c r="J152" s="370" t="str">
        <f t="shared" si="14"/>
        <v>1420400000</v>
      </c>
      <c r="K152" s="30" t="str">
        <f t="shared" si="15"/>
        <v>60101131420400000000</v>
      </c>
    </row>
    <row r="153" spans="1:11" s="3" customFormat="1">
      <c r="A153" s="237" t="s">
        <v>247</v>
      </c>
      <c r="B153" s="233" t="s">
        <v>55</v>
      </c>
      <c r="C153" s="234" t="s">
        <v>65</v>
      </c>
      <c r="D153" s="234" t="s">
        <v>84</v>
      </c>
      <c r="E153" s="234" t="s">
        <v>248</v>
      </c>
      <c r="F153" s="234" t="s">
        <v>58</v>
      </c>
      <c r="G153" s="235">
        <f>G154+G158+G160</f>
        <v>66711830</v>
      </c>
      <c r="H153" s="235">
        <f>H154+H158+H160</f>
        <v>66711830</v>
      </c>
      <c r="I153" s="234">
        <v>1420411010</v>
      </c>
      <c r="J153" s="370" t="str">
        <f t="shared" si="14"/>
        <v>1420411010</v>
      </c>
      <c r="K153" s="30" t="str">
        <f t="shared" si="15"/>
        <v>60101131420411010000</v>
      </c>
    </row>
    <row r="154" spans="1:11" s="3" customFormat="1">
      <c r="A154" s="244" t="s">
        <v>106</v>
      </c>
      <c r="B154" s="233" t="s">
        <v>55</v>
      </c>
      <c r="C154" s="234" t="s">
        <v>65</v>
      </c>
      <c r="D154" s="234" t="s">
        <v>84</v>
      </c>
      <c r="E154" s="234" t="s">
        <v>248</v>
      </c>
      <c r="F154" s="234" t="s">
        <v>121</v>
      </c>
      <c r="G154" s="235">
        <f>SUM(G155:G157)</f>
        <v>58134480</v>
      </c>
      <c r="H154" s="235">
        <f>SUM(H155:H157)</f>
        <v>58134480</v>
      </c>
      <c r="I154" s="234">
        <v>1420411010</v>
      </c>
      <c r="J154" s="370" t="str">
        <f t="shared" si="14"/>
        <v>1420411010</v>
      </c>
      <c r="K154" s="30" t="str">
        <f t="shared" si="15"/>
        <v>60101131420411010110</v>
      </c>
    </row>
    <row r="155" spans="1:11" s="4" customFormat="1">
      <c r="A155" s="236" t="s">
        <v>932</v>
      </c>
      <c r="B155" s="233" t="s">
        <v>55</v>
      </c>
      <c r="C155" s="234" t="s">
        <v>65</v>
      </c>
      <c r="D155" s="234" t="s">
        <v>84</v>
      </c>
      <c r="E155" s="234" t="s">
        <v>248</v>
      </c>
      <c r="F155" s="234" t="s">
        <v>1056</v>
      </c>
      <c r="G155" s="235">
        <f>VLOOKUP(K155,'исх АС БЮДЖЕТ'!$A$10:$H$568,7,0)</f>
        <v>44638770</v>
      </c>
      <c r="H155" s="235">
        <f>VLOOKUP(K155,'исх АС БЮДЖЕТ'!$A$10:$H$568,8,0)</f>
        <v>44638770</v>
      </c>
      <c r="I155" s="234">
        <v>1420411010</v>
      </c>
      <c r="J155" s="370" t="str">
        <f t="shared" si="14"/>
        <v>1420411010</v>
      </c>
      <c r="K155" s="30" t="str">
        <f t="shared" si="15"/>
        <v>60101131420411010111</v>
      </c>
    </row>
    <row r="156" spans="1:11" s="4" customFormat="1">
      <c r="A156" s="236" t="s">
        <v>933</v>
      </c>
      <c r="B156" s="233" t="s">
        <v>55</v>
      </c>
      <c r="C156" s="234" t="s">
        <v>65</v>
      </c>
      <c r="D156" s="234" t="s">
        <v>84</v>
      </c>
      <c r="E156" s="234" t="s">
        <v>248</v>
      </c>
      <c r="F156" s="234" t="s">
        <v>1069</v>
      </c>
      <c r="G156" s="235">
        <f>VLOOKUP(K156,'исх АС БЮДЖЕТ'!$A$10:$H$568,7,0)</f>
        <v>14800</v>
      </c>
      <c r="H156" s="235">
        <f>VLOOKUP(K156,'исх АС БЮДЖЕТ'!$A$10:$H$568,8,0)</f>
        <v>14800</v>
      </c>
      <c r="I156" s="234">
        <v>1420411010</v>
      </c>
      <c r="J156" s="370" t="str">
        <f t="shared" si="14"/>
        <v>1420411010</v>
      </c>
      <c r="K156" s="30" t="str">
        <f t="shared" si="15"/>
        <v>60101131420411010112</v>
      </c>
    </row>
    <row r="157" spans="1:11" s="4" customFormat="1" ht="25.5">
      <c r="A157" s="236" t="s">
        <v>935</v>
      </c>
      <c r="B157" s="233" t="s">
        <v>55</v>
      </c>
      <c r="C157" s="234" t="s">
        <v>65</v>
      </c>
      <c r="D157" s="234" t="s">
        <v>84</v>
      </c>
      <c r="E157" s="234" t="s">
        <v>248</v>
      </c>
      <c r="F157" s="234" t="s">
        <v>1057</v>
      </c>
      <c r="G157" s="235">
        <f>VLOOKUP(K157,'исх АС БЮДЖЕТ'!$A$10:$H$568,7,0)</f>
        <v>13480910</v>
      </c>
      <c r="H157" s="235">
        <f>VLOOKUP(K157,'исх АС БЮДЖЕТ'!$A$10:$H$568,8,0)</f>
        <v>13480910</v>
      </c>
      <c r="I157" s="234">
        <v>1420411010</v>
      </c>
      <c r="J157" s="370" t="str">
        <f t="shared" si="14"/>
        <v>1420411010</v>
      </c>
      <c r="K157" s="30" t="str">
        <f t="shared" si="15"/>
        <v>60101131420411010119</v>
      </c>
    </row>
    <row r="158" spans="1:11" s="3" customFormat="1" ht="25.5">
      <c r="A158" s="232" t="s">
        <v>108</v>
      </c>
      <c r="B158" s="233" t="s">
        <v>55</v>
      </c>
      <c r="C158" s="234" t="s">
        <v>65</v>
      </c>
      <c r="D158" s="234" t="s">
        <v>84</v>
      </c>
      <c r="E158" s="234" t="s">
        <v>248</v>
      </c>
      <c r="F158" s="234" t="s">
        <v>116</v>
      </c>
      <c r="G158" s="235">
        <f>G159</f>
        <v>7279920</v>
      </c>
      <c r="H158" s="235">
        <f>H159</f>
        <v>7279920</v>
      </c>
      <c r="I158" s="234">
        <v>1420411010</v>
      </c>
      <c r="J158" s="370" t="str">
        <f t="shared" si="14"/>
        <v>1420411010</v>
      </c>
      <c r="K158" s="30" t="str">
        <f t="shared" si="15"/>
        <v>60101131420411010240</v>
      </c>
    </row>
    <row r="159" spans="1:11" s="4" customFormat="1" ht="25.5">
      <c r="A159" s="236" t="s">
        <v>973</v>
      </c>
      <c r="B159" s="233" t="s">
        <v>55</v>
      </c>
      <c r="C159" s="234" t="s">
        <v>65</v>
      </c>
      <c r="D159" s="234" t="s">
        <v>84</v>
      </c>
      <c r="E159" s="234" t="s">
        <v>248</v>
      </c>
      <c r="F159" s="234" t="s">
        <v>1043</v>
      </c>
      <c r="G159" s="235">
        <f>VLOOKUP(K159,'исх АС БЮДЖЕТ'!$A$10:$H$568,7,0)</f>
        <v>7279920</v>
      </c>
      <c r="H159" s="235">
        <f>VLOOKUP(K159,'исх АС БЮДЖЕТ'!$A$10:$H$568,8,0)</f>
        <v>7279920</v>
      </c>
      <c r="I159" s="234">
        <v>1420411010</v>
      </c>
      <c r="J159" s="370" t="str">
        <f t="shared" si="14"/>
        <v>1420411010</v>
      </c>
      <c r="K159" s="30" t="str">
        <f t="shared" si="15"/>
        <v>60101131420411010244</v>
      </c>
    </row>
    <row r="160" spans="1:11" s="3" customFormat="1">
      <c r="A160" s="232" t="s">
        <v>97</v>
      </c>
      <c r="B160" s="233" t="s">
        <v>55</v>
      </c>
      <c r="C160" s="234" t="s">
        <v>65</v>
      </c>
      <c r="D160" s="234" t="s">
        <v>84</v>
      </c>
      <c r="E160" s="234" t="s">
        <v>248</v>
      </c>
      <c r="F160" s="245">
        <v>850</v>
      </c>
      <c r="G160" s="235">
        <f>SUM(G161:G162)</f>
        <v>1297430</v>
      </c>
      <c r="H160" s="235">
        <f>SUM(H161:H162)</f>
        <v>1297430</v>
      </c>
      <c r="I160" s="234">
        <v>1420411010</v>
      </c>
      <c r="J160" s="370" t="str">
        <f t="shared" si="14"/>
        <v>1420411010</v>
      </c>
      <c r="K160" s="30" t="str">
        <f t="shared" si="15"/>
        <v>60101131420411010850</v>
      </c>
    </row>
    <row r="161" spans="1:11" s="4" customFormat="1">
      <c r="A161" s="236" t="s">
        <v>1036</v>
      </c>
      <c r="B161" s="233" t="s">
        <v>55</v>
      </c>
      <c r="C161" s="234" t="s">
        <v>65</v>
      </c>
      <c r="D161" s="234" t="s">
        <v>84</v>
      </c>
      <c r="E161" s="234" t="s">
        <v>248</v>
      </c>
      <c r="F161" s="246">
        <v>851</v>
      </c>
      <c r="G161" s="235">
        <f>VLOOKUP(K161,'исх АС БЮДЖЕТ'!$A$10:$H$568,7,0)</f>
        <v>1283590</v>
      </c>
      <c r="H161" s="235">
        <f>VLOOKUP(K161,'исх АС БЮДЖЕТ'!$A$10:$H$568,8,0)</f>
        <v>1283590</v>
      </c>
      <c r="I161" s="234">
        <v>1420411010</v>
      </c>
      <c r="J161" s="370" t="str">
        <f t="shared" si="14"/>
        <v>1420411010</v>
      </c>
      <c r="K161" s="30" t="str">
        <f t="shared" si="15"/>
        <v>60101131420411010851</v>
      </c>
    </row>
    <row r="162" spans="1:11" s="4" customFormat="1">
      <c r="A162" s="236" t="s">
        <v>1037</v>
      </c>
      <c r="B162" s="233" t="s">
        <v>55</v>
      </c>
      <c r="C162" s="234" t="s">
        <v>65</v>
      </c>
      <c r="D162" s="234" t="s">
        <v>84</v>
      </c>
      <c r="E162" s="234" t="s">
        <v>248</v>
      </c>
      <c r="F162" s="246">
        <v>852</v>
      </c>
      <c r="G162" s="235">
        <f>VLOOKUP(K162,'исх АС БЮДЖЕТ'!$A$10:$H$568,7,0)</f>
        <v>13840</v>
      </c>
      <c r="H162" s="235">
        <f>VLOOKUP(K162,'исх АС БЮДЖЕТ'!$A$10:$H$568,8,0)</f>
        <v>13840</v>
      </c>
      <c r="I162" s="234">
        <v>1420411010</v>
      </c>
      <c r="J162" s="370" t="str">
        <f t="shared" si="14"/>
        <v>1420411010</v>
      </c>
      <c r="K162" s="30" t="str">
        <f t="shared" si="15"/>
        <v>60101131420411010852</v>
      </c>
    </row>
    <row r="163" spans="1:11" s="3" customFormat="1" ht="25.5">
      <c r="A163" s="236" t="s">
        <v>752</v>
      </c>
      <c r="B163" s="241">
        <v>601</v>
      </c>
      <c r="C163" s="241" t="s">
        <v>65</v>
      </c>
      <c r="D163" s="241">
        <v>13</v>
      </c>
      <c r="E163" s="241" t="s">
        <v>249</v>
      </c>
      <c r="F163" s="241" t="s">
        <v>58</v>
      </c>
      <c r="G163" s="247">
        <f>G164+G173+G188</f>
        <v>1001790</v>
      </c>
      <c r="H163" s="247">
        <f>H164+H173+H188</f>
        <v>1001790</v>
      </c>
      <c r="I163" s="241">
        <v>1500000000</v>
      </c>
      <c r="J163" s="370" t="str">
        <f t="shared" si="14"/>
        <v>1500000000</v>
      </c>
      <c r="K163" s="30" t="str">
        <f t="shared" si="15"/>
        <v>60101131500000000000</v>
      </c>
    </row>
    <row r="164" spans="1:11" s="3" customFormat="1">
      <c r="A164" s="232" t="s">
        <v>753</v>
      </c>
      <c r="B164" s="241">
        <v>601</v>
      </c>
      <c r="C164" s="241" t="s">
        <v>65</v>
      </c>
      <c r="D164" s="241">
        <v>13</v>
      </c>
      <c r="E164" s="241" t="s">
        <v>250</v>
      </c>
      <c r="F164" s="241" t="s">
        <v>58</v>
      </c>
      <c r="G164" s="247">
        <f>G165+G169</f>
        <v>336600</v>
      </c>
      <c r="H164" s="247">
        <f>H165+H169</f>
        <v>336600</v>
      </c>
      <c r="I164" s="241">
        <v>1510000000</v>
      </c>
      <c r="J164" s="370" t="str">
        <f t="shared" si="14"/>
        <v>1510000000</v>
      </c>
      <c r="K164" s="30" t="str">
        <f t="shared" si="15"/>
        <v>60101131510000000000</v>
      </c>
    </row>
    <row r="165" spans="1:11" s="3" customFormat="1" ht="38.25">
      <c r="A165" s="237" t="s">
        <v>880</v>
      </c>
      <c r="B165" s="241">
        <v>601</v>
      </c>
      <c r="C165" s="241" t="s">
        <v>65</v>
      </c>
      <c r="D165" s="241">
        <v>13</v>
      </c>
      <c r="E165" s="241" t="s">
        <v>538</v>
      </c>
      <c r="F165" s="241" t="s">
        <v>58</v>
      </c>
      <c r="G165" s="247">
        <f>G166</f>
        <v>321300</v>
      </c>
      <c r="H165" s="247">
        <f>H166</f>
        <v>321300</v>
      </c>
      <c r="I165" s="241">
        <v>1510100000</v>
      </c>
      <c r="J165" s="370" t="str">
        <f t="shared" si="14"/>
        <v>1510100000</v>
      </c>
      <c r="K165" s="30" t="str">
        <f t="shared" si="15"/>
        <v>60101131510100000000</v>
      </c>
    </row>
    <row r="166" spans="1:11" s="3" customFormat="1" ht="25.5">
      <c r="A166" s="237" t="s">
        <v>122</v>
      </c>
      <c r="B166" s="241">
        <v>601</v>
      </c>
      <c r="C166" s="241" t="s">
        <v>65</v>
      </c>
      <c r="D166" s="241">
        <v>13</v>
      </c>
      <c r="E166" s="241" t="s">
        <v>539</v>
      </c>
      <c r="F166" s="241" t="s">
        <v>58</v>
      </c>
      <c r="G166" s="247">
        <f>SUM(G167:G167)</f>
        <v>321300</v>
      </c>
      <c r="H166" s="247">
        <f>SUM(H167:H167)</f>
        <v>321300</v>
      </c>
      <c r="I166" s="241">
        <v>1510120350</v>
      </c>
      <c r="J166" s="370" t="str">
        <f t="shared" si="14"/>
        <v>1510120350</v>
      </c>
      <c r="K166" s="30" t="str">
        <f t="shared" si="15"/>
        <v>60101131510120350000</v>
      </c>
    </row>
    <row r="167" spans="1:11" s="3" customFormat="1" ht="25.5">
      <c r="A167" s="248" t="s">
        <v>108</v>
      </c>
      <c r="B167" s="241">
        <v>601</v>
      </c>
      <c r="C167" s="241" t="s">
        <v>65</v>
      </c>
      <c r="D167" s="241">
        <v>13</v>
      </c>
      <c r="E167" s="241" t="s">
        <v>539</v>
      </c>
      <c r="F167" s="241" t="s">
        <v>116</v>
      </c>
      <c r="G167" s="235">
        <f>G168</f>
        <v>321300</v>
      </c>
      <c r="H167" s="235">
        <f>H168</f>
        <v>321300</v>
      </c>
      <c r="I167" s="241">
        <v>1510120350</v>
      </c>
      <c r="J167" s="370" t="str">
        <f t="shared" si="14"/>
        <v>1510120350</v>
      </c>
      <c r="K167" s="30" t="str">
        <f t="shared" si="15"/>
        <v>60101131510120350240</v>
      </c>
    </row>
    <row r="168" spans="1:11" s="4" customFormat="1" ht="25.5">
      <c r="A168" s="236" t="s">
        <v>973</v>
      </c>
      <c r="B168" s="241">
        <v>601</v>
      </c>
      <c r="C168" s="241" t="s">
        <v>65</v>
      </c>
      <c r="D168" s="241">
        <v>13</v>
      </c>
      <c r="E168" s="241" t="s">
        <v>539</v>
      </c>
      <c r="F168" s="241" t="s">
        <v>1043</v>
      </c>
      <c r="G168" s="235">
        <f>VLOOKUP(K168,'исх АС БЮДЖЕТ'!$A$10:$H$568,7,0)</f>
        <v>321300</v>
      </c>
      <c r="H168" s="235">
        <f>VLOOKUP(K168,'исх АС БЮДЖЕТ'!$A$10:$H$568,8,0)</f>
        <v>321300</v>
      </c>
      <c r="I168" s="241">
        <v>1510120350</v>
      </c>
      <c r="J168" s="370" t="str">
        <f t="shared" si="14"/>
        <v>1510120350</v>
      </c>
      <c r="K168" s="30" t="str">
        <f t="shared" si="15"/>
        <v>60101131510120350244</v>
      </c>
    </row>
    <row r="169" spans="1:11" s="3" customFormat="1">
      <c r="A169" s="248" t="s">
        <v>618</v>
      </c>
      <c r="B169" s="241">
        <v>601</v>
      </c>
      <c r="C169" s="241" t="s">
        <v>65</v>
      </c>
      <c r="D169" s="241">
        <v>13</v>
      </c>
      <c r="E169" s="241" t="s">
        <v>540</v>
      </c>
      <c r="F169" s="241" t="s">
        <v>58</v>
      </c>
      <c r="G169" s="247">
        <f t="shared" ref="G169:H170" si="19">G170</f>
        <v>15300</v>
      </c>
      <c r="H169" s="247">
        <f t="shared" si="19"/>
        <v>15300</v>
      </c>
      <c r="I169" s="241">
        <v>1510200000</v>
      </c>
      <c r="J169" s="370" t="str">
        <f t="shared" si="14"/>
        <v>1510200000</v>
      </c>
      <c r="K169" s="30" t="str">
        <f t="shared" si="15"/>
        <v>60101131510200000000</v>
      </c>
    </row>
    <row r="170" spans="1:11" s="3" customFormat="1" ht="25.5">
      <c r="A170" s="248" t="s">
        <v>122</v>
      </c>
      <c r="B170" s="241">
        <v>601</v>
      </c>
      <c r="C170" s="241" t="s">
        <v>65</v>
      </c>
      <c r="D170" s="241">
        <v>13</v>
      </c>
      <c r="E170" s="241" t="s">
        <v>571</v>
      </c>
      <c r="F170" s="241" t="s">
        <v>58</v>
      </c>
      <c r="G170" s="247">
        <f t="shared" si="19"/>
        <v>15300</v>
      </c>
      <c r="H170" s="247">
        <f t="shared" si="19"/>
        <v>15300</v>
      </c>
      <c r="I170" s="241">
        <v>1510220350</v>
      </c>
      <c r="J170" s="370" t="str">
        <f t="shared" si="14"/>
        <v>1510220350</v>
      </c>
      <c r="K170" s="30" t="str">
        <f t="shared" si="15"/>
        <v>60101131510220350000</v>
      </c>
    </row>
    <row r="171" spans="1:11" s="3" customFormat="1" ht="25.5">
      <c r="A171" s="248" t="s">
        <v>108</v>
      </c>
      <c r="B171" s="241">
        <v>601</v>
      </c>
      <c r="C171" s="241" t="s">
        <v>65</v>
      </c>
      <c r="D171" s="241">
        <v>13</v>
      </c>
      <c r="E171" s="241" t="s">
        <v>571</v>
      </c>
      <c r="F171" s="241" t="s">
        <v>116</v>
      </c>
      <c r="G171" s="235">
        <f>G172</f>
        <v>15300</v>
      </c>
      <c r="H171" s="235">
        <f>H172</f>
        <v>15300</v>
      </c>
      <c r="I171" s="241">
        <v>1510220350</v>
      </c>
      <c r="J171" s="370" t="str">
        <f t="shared" si="14"/>
        <v>1510220350</v>
      </c>
      <c r="K171" s="30" t="str">
        <f t="shared" si="15"/>
        <v>60101131510220350240</v>
      </c>
    </row>
    <row r="172" spans="1:11" s="4" customFormat="1" ht="25.5">
      <c r="A172" s="236" t="s">
        <v>973</v>
      </c>
      <c r="B172" s="241">
        <v>601</v>
      </c>
      <c r="C172" s="241" t="s">
        <v>65</v>
      </c>
      <c r="D172" s="241">
        <v>13</v>
      </c>
      <c r="E172" s="241" t="s">
        <v>571</v>
      </c>
      <c r="F172" s="241" t="s">
        <v>1043</v>
      </c>
      <c r="G172" s="235">
        <f>VLOOKUP(K172,'исх АС БЮДЖЕТ'!$A$10:$H$568,7,0)</f>
        <v>15300</v>
      </c>
      <c r="H172" s="235">
        <f>VLOOKUP(K172,'исх АС БЮДЖЕТ'!$A$10:$H$568,8,0)</f>
        <v>15300</v>
      </c>
      <c r="I172" s="241">
        <v>1510220350</v>
      </c>
      <c r="J172" s="370" t="str">
        <f t="shared" si="14"/>
        <v>1510220350</v>
      </c>
      <c r="K172" s="30" t="str">
        <f t="shared" si="15"/>
        <v>60101131510220350244</v>
      </c>
    </row>
    <row r="173" spans="1:11" s="3" customFormat="1">
      <c r="A173" s="236" t="s">
        <v>754</v>
      </c>
      <c r="B173" s="245">
        <v>601</v>
      </c>
      <c r="C173" s="241" t="s">
        <v>65</v>
      </c>
      <c r="D173" s="241">
        <v>13</v>
      </c>
      <c r="E173" s="241" t="s">
        <v>251</v>
      </c>
      <c r="F173" s="241" t="s">
        <v>58</v>
      </c>
      <c r="G173" s="247">
        <f>G178+G183+G174</f>
        <v>414270</v>
      </c>
      <c r="H173" s="247">
        <f>H178+H183+H174</f>
        <v>414270</v>
      </c>
      <c r="I173" s="241">
        <v>1520000000</v>
      </c>
      <c r="J173" s="370" t="str">
        <f t="shared" si="14"/>
        <v>1520000000</v>
      </c>
      <c r="K173" s="30" t="str">
        <f t="shared" si="15"/>
        <v>60101131520000000000</v>
      </c>
    </row>
    <row r="174" spans="1:11" s="3" customFormat="1" ht="25.5">
      <c r="A174" s="237" t="s">
        <v>774</v>
      </c>
      <c r="B174" s="245">
        <v>601</v>
      </c>
      <c r="C174" s="241" t="s">
        <v>65</v>
      </c>
      <c r="D174" s="241">
        <v>13</v>
      </c>
      <c r="E174" s="241" t="s">
        <v>775</v>
      </c>
      <c r="F174" s="241" t="s">
        <v>58</v>
      </c>
      <c r="G174" s="247">
        <f t="shared" ref="G174:H176" si="20">G175</f>
        <v>74970</v>
      </c>
      <c r="H174" s="247">
        <f t="shared" si="20"/>
        <v>74970</v>
      </c>
      <c r="I174" s="241">
        <v>1520100000</v>
      </c>
      <c r="J174" s="370" t="str">
        <f t="shared" si="14"/>
        <v>1520100000</v>
      </c>
      <c r="K174" s="30" t="str">
        <f t="shared" si="15"/>
        <v>60101131520100000000</v>
      </c>
    </row>
    <row r="175" spans="1:11" s="3" customFormat="1" ht="38.25">
      <c r="A175" s="237" t="s">
        <v>873</v>
      </c>
      <c r="B175" s="245">
        <v>601</v>
      </c>
      <c r="C175" s="241" t="s">
        <v>65</v>
      </c>
      <c r="D175" s="241">
        <v>13</v>
      </c>
      <c r="E175" s="241" t="s">
        <v>776</v>
      </c>
      <c r="F175" s="241" t="s">
        <v>58</v>
      </c>
      <c r="G175" s="235">
        <f t="shared" si="20"/>
        <v>74970</v>
      </c>
      <c r="H175" s="235">
        <f t="shared" si="20"/>
        <v>74970</v>
      </c>
      <c r="I175" s="241">
        <v>1520120370</v>
      </c>
      <c r="J175" s="370" t="str">
        <f t="shared" si="14"/>
        <v>1520120370</v>
      </c>
      <c r="K175" s="30" t="str">
        <f t="shared" si="15"/>
        <v>60101131520120370000</v>
      </c>
    </row>
    <row r="176" spans="1:11" s="3" customFormat="1" ht="25.5">
      <c r="A176" s="232" t="s">
        <v>108</v>
      </c>
      <c r="B176" s="245">
        <v>601</v>
      </c>
      <c r="C176" s="241" t="s">
        <v>65</v>
      </c>
      <c r="D176" s="241">
        <v>13</v>
      </c>
      <c r="E176" s="241" t="s">
        <v>776</v>
      </c>
      <c r="F176" s="241" t="s">
        <v>116</v>
      </c>
      <c r="G176" s="235">
        <f t="shared" si="20"/>
        <v>74970</v>
      </c>
      <c r="H176" s="235">
        <f t="shared" si="20"/>
        <v>74970</v>
      </c>
      <c r="I176" s="241">
        <v>1520120370</v>
      </c>
      <c r="J176" s="370" t="str">
        <f t="shared" si="14"/>
        <v>1520120370</v>
      </c>
      <c r="K176" s="30" t="str">
        <f t="shared" si="15"/>
        <v>60101131520120370240</v>
      </c>
    </row>
    <row r="177" spans="1:11" s="4" customFormat="1" ht="25.5">
      <c r="A177" s="236" t="s">
        <v>973</v>
      </c>
      <c r="B177" s="245">
        <v>601</v>
      </c>
      <c r="C177" s="241" t="s">
        <v>65</v>
      </c>
      <c r="D177" s="241">
        <v>13</v>
      </c>
      <c r="E177" s="241" t="s">
        <v>776</v>
      </c>
      <c r="F177" s="241" t="s">
        <v>1043</v>
      </c>
      <c r="G177" s="235">
        <f>VLOOKUP(K177,'исх АС БЮДЖЕТ'!$A$10:$H$568,7,0)</f>
        <v>74970</v>
      </c>
      <c r="H177" s="235">
        <f>VLOOKUP(K177,'исх АС БЮДЖЕТ'!$A$10:$H$568,8,0)</f>
        <v>74970</v>
      </c>
      <c r="I177" s="241">
        <v>1520120370</v>
      </c>
      <c r="J177" s="370" t="str">
        <f t="shared" si="14"/>
        <v>1520120370</v>
      </c>
      <c r="K177" s="30" t="str">
        <f t="shared" si="15"/>
        <v>60101131520120370244</v>
      </c>
    </row>
    <row r="178" spans="1:11" s="3" customFormat="1" ht="25.5">
      <c r="A178" s="237" t="s">
        <v>611</v>
      </c>
      <c r="B178" s="245">
        <v>601</v>
      </c>
      <c r="C178" s="241" t="s">
        <v>65</v>
      </c>
      <c r="D178" s="241">
        <v>13</v>
      </c>
      <c r="E178" s="241" t="s">
        <v>252</v>
      </c>
      <c r="F178" s="234" t="s">
        <v>58</v>
      </c>
      <c r="G178" s="235">
        <f>G179</f>
        <v>157500</v>
      </c>
      <c r="H178" s="235">
        <f>H179</f>
        <v>157500</v>
      </c>
      <c r="I178" s="241">
        <v>1520200000</v>
      </c>
      <c r="J178" s="370" t="str">
        <f t="shared" si="14"/>
        <v>1520200000</v>
      </c>
      <c r="K178" s="30" t="str">
        <f t="shared" si="15"/>
        <v>60101131520200000000</v>
      </c>
    </row>
    <row r="179" spans="1:11" s="3" customFormat="1" ht="38.25">
      <c r="A179" s="237" t="s">
        <v>873</v>
      </c>
      <c r="B179" s="245">
        <v>601</v>
      </c>
      <c r="C179" s="241" t="s">
        <v>65</v>
      </c>
      <c r="D179" s="241">
        <v>13</v>
      </c>
      <c r="E179" s="241" t="s">
        <v>253</v>
      </c>
      <c r="F179" s="234" t="s">
        <v>58</v>
      </c>
      <c r="G179" s="235">
        <f>G180+G182</f>
        <v>157500</v>
      </c>
      <c r="H179" s="235">
        <f>H180+H182</f>
        <v>157500</v>
      </c>
      <c r="I179" s="241">
        <v>1520220370</v>
      </c>
      <c r="J179" s="370" t="str">
        <f t="shared" si="14"/>
        <v>1520220370</v>
      </c>
      <c r="K179" s="30" t="str">
        <f t="shared" si="15"/>
        <v>60101131520220370000</v>
      </c>
    </row>
    <row r="180" spans="1:11" s="3" customFormat="1" ht="25.5">
      <c r="A180" s="232" t="s">
        <v>108</v>
      </c>
      <c r="B180" s="245">
        <v>601</v>
      </c>
      <c r="C180" s="241" t="s">
        <v>65</v>
      </c>
      <c r="D180" s="241">
        <v>13</v>
      </c>
      <c r="E180" s="241" t="s">
        <v>253</v>
      </c>
      <c r="F180" s="234" t="s">
        <v>116</v>
      </c>
      <c r="G180" s="235">
        <f>G181</f>
        <v>94500</v>
      </c>
      <c r="H180" s="235">
        <f>H181</f>
        <v>94500</v>
      </c>
      <c r="I180" s="241">
        <v>1520220370</v>
      </c>
      <c r="J180" s="370" t="str">
        <f t="shared" si="14"/>
        <v>1520220370</v>
      </c>
      <c r="K180" s="30" t="str">
        <f t="shared" si="15"/>
        <v>60101131520220370240</v>
      </c>
    </row>
    <row r="181" spans="1:11" s="4" customFormat="1" ht="25.5">
      <c r="A181" s="236" t="s">
        <v>973</v>
      </c>
      <c r="B181" s="245">
        <v>601</v>
      </c>
      <c r="C181" s="241" t="s">
        <v>65</v>
      </c>
      <c r="D181" s="241">
        <v>13</v>
      </c>
      <c r="E181" s="241" t="s">
        <v>253</v>
      </c>
      <c r="F181" s="234" t="s">
        <v>1043</v>
      </c>
      <c r="G181" s="235">
        <f>VLOOKUP(K181,'исх АС БЮДЖЕТ'!$A$10:$H$568,7,0)</f>
        <v>94500</v>
      </c>
      <c r="H181" s="235">
        <f>VLOOKUP(K181,'исх АС БЮДЖЕТ'!$A$10:$H$568,8,0)</f>
        <v>94500</v>
      </c>
      <c r="I181" s="241">
        <v>1520220370</v>
      </c>
      <c r="J181" s="370" t="str">
        <f t="shared" si="14"/>
        <v>1520220370</v>
      </c>
      <c r="K181" s="30" t="str">
        <f t="shared" si="15"/>
        <v>60101131520220370244</v>
      </c>
    </row>
    <row r="182" spans="1:11" s="3" customFormat="1">
      <c r="A182" s="248" t="s">
        <v>91</v>
      </c>
      <c r="B182" s="245">
        <v>601</v>
      </c>
      <c r="C182" s="241" t="s">
        <v>65</v>
      </c>
      <c r="D182" s="241">
        <v>13</v>
      </c>
      <c r="E182" s="241" t="s">
        <v>253</v>
      </c>
      <c r="F182" s="234" t="s">
        <v>100</v>
      </c>
      <c r="G182" s="235">
        <f>VLOOKUP(K182,'исх АС БЮДЖЕТ'!$A$10:$H$568,7,0)</f>
        <v>63000</v>
      </c>
      <c r="H182" s="235">
        <f>VLOOKUP(K182,'исх АС БЮДЖЕТ'!$A$10:$H$568,8,0)</f>
        <v>63000</v>
      </c>
      <c r="I182" s="241">
        <v>1520220370</v>
      </c>
      <c r="J182" s="370" t="str">
        <f t="shared" si="14"/>
        <v>1520220370</v>
      </c>
      <c r="K182" s="30" t="str">
        <f t="shared" si="15"/>
        <v>60101131520220370360</v>
      </c>
    </row>
    <row r="183" spans="1:11" s="3" customFormat="1" ht="25.5">
      <c r="A183" s="237" t="s">
        <v>615</v>
      </c>
      <c r="B183" s="245">
        <v>601</v>
      </c>
      <c r="C183" s="241" t="s">
        <v>65</v>
      </c>
      <c r="D183" s="241">
        <v>13</v>
      </c>
      <c r="E183" s="241" t="s">
        <v>254</v>
      </c>
      <c r="F183" s="234" t="s">
        <v>58</v>
      </c>
      <c r="G183" s="235">
        <f>G184</f>
        <v>181800</v>
      </c>
      <c r="H183" s="235">
        <f>H184</f>
        <v>181800</v>
      </c>
      <c r="I183" s="241">
        <v>1520300000</v>
      </c>
      <c r="J183" s="370" t="str">
        <f t="shared" si="14"/>
        <v>1520300000</v>
      </c>
      <c r="K183" s="30" t="str">
        <f t="shared" si="15"/>
        <v>60101131520300000000</v>
      </c>
    </row>
    <row r="184" spans="1:11" s="3" customFormat="1" ht="38.25">
      <c r="A184" s="237" t="s">
        <v>873</v>
      </c>
      <c r="B184" s="245">
        <v>601</v>
      </c>
      <c r="C184" s="241" t="s">
        <v>65</v>
      </c>
      <c r="D184" s="241">
        <v>13</v>
      </c>
      <c r="E184" s="241" t="s">
        <v>255</v>
      </c>
      <c r="F184" s="234" t="s">
        <v>58</v>
      </c>
      <c r="G184" s="235">
        <f>G185+G187</f>
        <v>181800</v>
      </c>
      <c r="H184" s="235">
        <f>H185+H187</f>
        <v>181800</v>
      </c>
      <c r="I184" s="241">
        <v>1520320370</v>
      </c>
      <c r="J184" s="370" t="str">
        <f t="shared" si="14"/>
        <v>1520320370</v>
      </c>
      <c r="K184" s="30" t="str">
        <f t="shared" si="15"/>
        <v>60101131520320370000</v>
      </c>
    </row>
    <row r="185" spans="1:11" s="3" customFormat="1" ht="25.5">
      <c r="A185" s="232" t="s">
        <v>108</v>
      </c>
      <c r="B185" s="245">
        <v>601</v>
      </c>
      <c r="C185" s="241" t="s">
        <v>65</v>
      </c>
      <c r="D185" s="241">
        <v>13</v>
      </c>
      <c r="E185" s="241" t="s">
        <v>255</v>
      </c>
      <c r="F185" s="234" t="s">
        <v>116</v>
      </c>
      <c r="G185" s="235">
        <f>G186</f>
        <v>121800</v>
      </c>
      <c r="H185" s="235">
        <f>H186</f>
        <v>121800</v>
      </c>
      <c r="I185" s="241">
        <v>1520320370</v>
      </c>
      <c r="J185" s="370" t="str">
        <f t="shared" si="14"/>
        <v>1520320370</v>
      </c>
      <c r="K185" s="30" t="str">
        <f t="shared" si="15"/>
        <v>60101131520320370240</v>
      </c>
    </row>
    <row r="186" spans="1:11" s="4" customFormat="1" ht="25.5">
      <c r="A186" s="236" t="s">
        <v>973</v>
      </c>
      <c r="B186" s="245">
        <v>601</v>
      </c>
      <c r="C186" s="241" t="s">
        <v>65</v>
      </c>
      <c r="D186" s="241">
        <v>13</v>
      </c>
      <c r="E186" s="241" t="s">
        <v>255</v>
      </c>
      <c r="F186" s="234" t="s">
        <v>1043</v>
      </c>
      <c r="G186" s="235">
        <f>VLOOKUP(K186,'исх АС БЮДЖЕТ'!$A$10:$H$568,7,0)</f>
        <v>121800</v>
      </c>
      <c r="H186" s="235">
        <f>VLOOKUP(K186,'исх АС БЮДЖЕТ'!$A$10:$H$568,8,0)</f>
        <v>121800</v>
      </c>
      <c r="I186" s="241">
        <v>1520320370</v>
      </c>
      <c r="J186" s="370" t="str">
        <f t="shared" si="14"/>
        <v>1520320370</v>
      </c>
      <c r="K186" s="30" t="str">
        <f t="shared" si="15"/>
        <v>60101131520320370244</v>
      </c>
    </row>
    <row r="187" spans="1:11" s="3" customFormat="1">
      <c r="A187" s="248" t="s">
        <v>91</v>
      </c>
      <c r="B187" s="245">
        <v>601</v>
      </c>
      <c r="C187" s="241" t="s">
        <v>65</v>
      </c>
      <c r="D187" s="241">
        <v>13</v>
      </c>
      <c r="E187" s="241" t="s">
        <v>255</v>
      </c>
      <c r="F187" s="234" t="s">
        <v>100</v>
      </c>
      <c r="G187" s="235">
        <f>VLOOKUP(K187,'исх АС БЮДЖЕТ'!$A$10:$H$568,7,0)</f>
        <v>60000</v>
      </c>
      <c r="H187" s="235">
        <f>VLOOKUP(K187,'исх АС БЮДЖЕТ'!$A$10:$H$568,8,0)</f>
        <v>60000</v>
      </c>
      <c r="I187" s="241">
        <v>1520320370</v>
      </c>
      <c r="J187" s="370" t="str">
        <f t="shared" si="14"/>
        <v>1520320370</v>
      </c>
      <c r="K187" s="30" t="str">
        <f t="shared" si="15"/>
        <v>60101131520320370360</v>
      </c>
    </row>
    <row r="188" spans="1:11" s="3" customFormat="1">
      <c r="A188" s="232" t="s">
        <v>755</v>
      </c>
      <c r="B188" s="245">
        <v>601</v>
      </c>
      <c r="C188" s="241" t="s">
        <v>65</v>
      </c>
      <c r="D188" s="241">
        <v>13</v>
      </c>
      <c r="E188" s="241" t="s">
        <v>256</v>
      </c>
      <c r="F188" s="234" t="s">
        <v>58</v>
      </c>
      <c r="G188" s="235">
        <f t="shared" ref="G188:H190" si="21">G189</f>
        <v>250920</v>
      </c>
      <c r="H188" s="235">
        <f t="shared" si="21"/>
        <v>250920</v>
      </c>
      <c r="I188" s="241">
        <v>1530000000</v>
      </c>
      <c r="J188" s="370" t="str">
        <f t="shared" si="14"/>
        <v>1530000000</v>
      </c>
      <c r="K188" s="30" t="str">
        <f t="shared" si="15"/>
        <v>60101131530000000000</v>
      </c>
    </row>
    <row r="189" spans="1:11" s="3" customFormat="1" ht="25.5">
      <c r="A189" s="232" t="s">
        <v>679</v>
      </c>
      <c r="B189" s="245">
        <v>601</v>
      </c>
      <c r="C189" s="241" t="s">
        <v>65</v>
      </c>
      <c r="D189" s="241">
        <v>13</v>
      </c>
      <c r="E189" s="241" t="s">
        <v>257</v>
      </c>
      <c r="F189" s="234" t="s">
        <v>58</v>
      </c>
      <c r="G189" s="235">
        <f t="shared" si="21"/>
        <v>250920</v>
      </c>
      <c r="H189" s="235">
        <f t="shared" si="21"/>
        <v>250920</v>
      </c>
      <c r="I189" s="241">
        <v>1530300000</v>
      </c>
      <c r="J189" s="370" t="str">
        <f t="shared" si="14"/>
        <v>1530300000</v>
      </c>
      <c r="K189" s="30" t="str">
        <f t="shared" si="15"/>
        <v>60101131530300000000</v>
      </c>
    </row>
    <row r="190" spans="1:11" s="3" customFormat="1" ht="38.25">
      <c r="A190" s="232" t="s">
        <v>678</v>
      </c>
      <c r="B190" s="245">
        <v>601</v>
      </c>
      <c r="C190" s="241" t="s">
        <v>65</v>
      </c>
      <c r="D190" s="241">
        <v>13</v>
      </c>
      <c r="E190" s="241" t="s">
        <v>258</v>
      </c>
      <c r="F190" s="234" t="s">
        <v>58</v>
      </c>
      <c r="G190" s="235">
        <f t="shared" si="21"/>
        <v>250920</v>
      </c>
      <c r="H190" s="235">
        <f t="shared" si="21"/>
        <v>250920</v>
      </c>
      <c r="I190" s="241">
        <v>1530320100</v>
      </c>
      <c r="J190" s="370" t="str">
        <f t="shared" si="14"/>
        <v>1530320100</v>
      </c>
      <c r="K190" s="30" t="str">
        <f t="shared" si="15"/>
        <v>60101131530320100000</v>
      </c>
    </row>
    <row r="191" spans="1:11" s="3" customFormat="1">
      <c r="A191" s="248" t="s">
        <v>91</v>
      </c>
      <c r="B191" s="245">
        <v>601</v>
      </c>
      <c r="C191" s="241" t="s">
        <v>65</v>
      </c>
      <c r="D191" s="241">
        <v>13</v>
      </c>
      <c r="E191" s="241" t="s">
        <v>258</v>
      </c>
      <c r="F191" s="234" t="s">
        <v>100</v>
      </c>
      <c r="G191" s="235">
        <f>VLOOKUP(K191,'исх АС БЮДЖЕТ'!$A$10:$H$568,7,0)</f>
        <v>250920</v>
      </c>
      <c r="H191" s="235">
        <f>VLOOKUP(K191,'исх АС БЮДЖЕТ'!$A$10:$H$568,8,0)</f>
        <v>250920</v>
      </c>
      <c r="I191" s="241">
        <v>1530320100</v>
      </c>
      <c r="J191" s="370" t="str">
        <f t="shared" si="14"/>
        <v>1530320100</v>
      </c>
      <c r="K191" s="30" t="str">
        <f t="shared" si="15"/>
        <v>60101131530320100360</v>
      </c>
    </row>
    <row r="192" spans="1:11" s="3" customFormat="1">
      <c r="A192" s="232" t="s">
        <v>759</v>
      </c>
      <c r="B192" s="233" t="s">
        <v>55</v>
      </c>
      <c r="C192" s="234" t="s">
        <v>65</v>
      </c>
      <c r="D192" s="234" t="s">
        <v>84</v>
      </c>
      <c r="E192" s="234" t="s">
        <v>259</v>
      </c>
      <c r="F192" s="234" t="s">
        <v>58</v>
      </c>
      <c r="G192" s="235">
        <f t="shared" ref="G192:H195" si="22">G193</f>
        <v>2292500</v>
      </c>
      <c r="H192" s="235">
        <f t="shared" si="22"/>
        <v>2292500</v>
      </c>
      <c r="I192" s="234">
        <v>1800000000</v>
      </c>
      <c r="J192" s="370" t="str">
        <f t="shared" si="14"/>
        <v>1800000000</v>
      </c>
      <c r="K192" s="30" t="str">
        <f t="shared" si="15"/>
        <v>60101131800000000000</v>
      </c>
    </row>
    <row r="193" spans="1:11" s="3" customFormat="1" ht="25.5">
      <c r="A193" s="232" t="s">
        <v>760</v>
      </c>
      <c r="B193" s="233" t="s">
        <v>55</v>
      </c>
      <c r="C193" s="234" t="s">
        <v>65</v>
      </c>
      <c r="D193" s="234" t="s">
        <v>84</v>
      </c>
      <c r="E193" s="234" t="s">
        <v>260</v>
      </c>
      <c r="F193" s="234" t="s">
        <v>58</v>
      </c>
      <c r="G193" s="235">
        <f t="shared" si="22"/>
        <v>2292500</v>
      </c>
      <c r="H193" s="235">
        <f t="shared" si="22"/>
        <v>2292500</v>
      </c>
      <c r="I193" s="234" t="s">
        <v>1182</v>
      </c>
      <c r="J193" s="370" t="str">
        <f t="shared" si="14"/>
        <v>18Б0000000</v>
      </c>
      <c r="K193" s="30" t="str">
        <f t="shared" si="15"/>
        <v>601011318Б0000000000</v>
      </c>
    </row>
    <row r="194" spans="1:11" s="3" customFormat="1" ht="38.25">
      <c r="A194" s="237" t="s">
        <v>261</v>
      </c>
      <c r="B194" s="233" t="s">
        <v>55</v>
      </c>
      <c r="C194" s="234" t="s">
        <v>65</v>
      </c>
      <c r="D194" s="234" t="s">
        <v>84</v>
      </c>
      <c r="E194" s="234" t="s">
        <v>262</v>
      </c>
      <c r="F194" s="234" t="s">
        <v>58</v>
      </c>
      <c r="G194" s="235">
        <f t="shared" si="22"/>
        <v>2292500</v>
      </c>
      <c r="H194" s="235">
        <f t="shared" si="22"/>
        <v>2292500</v>
      </c>
      <c r="I194" s="234" t="s">
        <v>1183</v>
      </c>
      <c r="J194" s="370" t="str">
        <f t="shared" si="14"/>
        <v>18Б0100000</v>
      </c>
      <c r="K194" s="30" t="str">
        <f t="shared" si="15"/>
        <v>601011318Б0100000000</v>
      </c>
    </row>
    <row r="195" spans="1:11" s="3" customFormat="1" ht="63.75">
      <c r="A195" s="232" t="s">
        <v>677</v>
      </c>
      <c r="B195" s="233" t="s">
        <v>55</v>
      </c>
      <c r="C195" s="234" t="s">
        <v>65</v>
      </c>
      <c r="D195" s="234" t="s">
        <v>84</v>
      </c>
      <c r="E195" s="234" t="s">
        <v>263</v>
      </c>
      <c r="F195" s="234" t="s">
        <v>58</v>
      </c>
      <c r="G195" s="235">
        <f t="shared" si="22"/>
        <v>2292500</v>
      </c>
      <c r="H195" s="235">
        <f t="shared" si="22"/>
        <v>2292500</v>
      </c>
      <c r="I195" s="234" t="s">
        <v>1184</v>
      </c>
      <c r="J195" s="370" t="str">
        <f t="shared" si="14"/>
        <v>18Б0160080</v>
      </c>
      <c r="K195" s="30" t="str">
        <f t="shared" si="15"/>
        <v>601011318Б0160080000</v>
      </c>
    </row>
    <row r="196" spans="1:11" s="3" customFormat="1" ht="25.5">
      <c r="A196" s="232" t="s">
        <v>111</v>
      </c>
      <c r="B196" s="233" t="s">
        <v>55</v>
      </c>
      <c r="C196" s="234" t="s">
        <v>65</v>
      </c>
      <c r="D196" s="234" t="s">
        <v>84</v>
      </c>
      <c r="E196" s="234" t="s">
        <v>263</v>
      </c>
      <c r="F196" s="234" t="s">
        <v>104</v>
      </c>
      <c r="G196" s="235">
        <f>G197</f>
        <v>2292500</v>
      </c>
      <c r="H196" s="235">
        <f>H197</f>
        <v>2292500</v>
      </c>
      <c r="I196" s="234" t="s">
        <v>1184</v>
      </c>
      <c r="J196" s="370" t="str">
        <f t="shared" si="14"/>
        <v>18Б0160080</v>
      </c>
      <c r="K196" s="30" t="str">
        <f t="shared" si="15"/>
        <v>601011318Б0160080630</v>
      </c>
    </row>
    <row r="197" spans="1:11" s="4" customFormat="1" ht="38.25">
      <c r="A197" s="236" t="s">
        <v>1047</v>
      </c>
      <c r="B197" s="233" t="s">
        <v>55</v>
      </c>
      <c r="C197" s="234" t="s">
        <v>65</v>
      </c>
      <c r="D197" s="234" t="s">
        <v>84</v>
      </c>
      <c r="E197" s="234" t="s">
        <v>263</v>
      </c>
      <c r="F197" s="234" t="s">
        <v>1072</v>
      </c>
      <c r="G197" s="235">
        <f>VLOOKUP(K197,'исх АС БЮДЖЕТ'!$A$10:$H$568,7,0)</f>
        <v>2292500</v>
      </c>
      <c r="H197" s="235">
        <f>VLOOKUP(K197,'исх АС БЮДЖЕТ'!$A$10:$H$568,8,0)</f>
        <v>2292500</v>
      </c>
      <c r="I197" s="234" t="s">
        <v>1184</v>
      </c>
      <c r="J197" s="370" t="str">
        <f t="shared" si="14"/>
        <v>18Б0160080</v>
      </c>
      <c r="K197" s="30" t="str">
        <f t="shared" si="15"/>
        <v>601011318Б0160080631</v>
      </c>
    </row>
    <row r="198" spans="1:11" s="3" customFormat="1">
      <c r="A198" s="237" t="s">
        <v>112</v>
      </c>
      <c r="B198" s="241" t="s">
        <v>55</v>
      </c>
      <c r="C198" s="242" t="s">
        <v>65</v>
      </c>
      <c r="D198" s="242" t="s">
        <v>84</v>
      </c>
      <c r="E198" s="242" t="s">
        <v>206</v>
      </c>
      <c r="F198" s="242" t="s">
        <v>58</v>
      </c>
      <c r="G198" s="235">
        <f>G199</f>
        <v>32138510</v>
      </c>
      <c r="H198" s="235">
        <f>H199</f>
        <v>32138510</v>
      </c>
      <c r="I198" s="242">
        <v>7100000000</v>
      </c>
      <c r="J198" s="370" t="str">
        <f t="shared" si="14"/>
        <v>7100000000</v>
      </c>
      <c r="K198" s="30" t="str">
        <f t="shared" si="15"/>
        <v>60101137100000000000</v>
      </c>
    </row>
    <row r="199" spans="1:11" s="3" customFormat="1" ht="25.5">
      <c r="A199" s="237" t="s">
        <v>113</v>
      </c>
      <c r="B199" s="241" t="s">
        <v>55</v>
      </c>
      <c r="C199" s="242" t="s">
        <v>65</v>
      </c>
      <c r="D199" s="242" t="s">
        <v>84</v>
      </c>
      <c r="E199" s="242" t="s">
        <v>207</v>
      </c>
      <c r="F199" s="242" t="s">
        <v>58</v>
      </c>
      <c r="G199" s="235">
        <f>G200</f>
        <v>32138510</v>
      </c>
      <c r="H199" s="235">
        <f>H200</f>
        <v>32138510</v>
      </c>
      <c r="I199" s="242">
        <v>7110000000</v>
      </c>
      <c r="J199" s="370" t="str">
        <f t="shared" si="14"/>
        <v>7110000000</v>
      </c>
      <c r="K199" s="30" t="str">
        <f t="shared" si="15"/>
        <v>60101137110000000000</v>
      </c>
    </row>
    <row r="200" spans="1:11" s="3" customFormat="1">
      <c r="A200" s="237" t="s">
        <v>247</v>
      </c>
      <c r="B200" s="241" t="s">
        <v>55</v>
      </c>
      <c r="C200" s="242" t="s">
        <v>65</v>
      </c>
      <c r="D200" s="242" t="s">
        <v>84</v>
      </c>
      <c r="E200" s="242" t="s">
        <v>264</v>
      </c>
      <c r="F200" s="242" t="s">
        <v>58</v>
      </c>
      <c r="G200" s="243">
        <f>G201+G205+G207</f>
        <v>32138510</v>
      </c>
      <c r="H200" s="243">
        <f>H201+H205+H207</f>
        <v>32138510</v>
      </c>
      <c r="I200" s="242">
        <v>7110011010</v>
      </c>
      <c r="J200" s="370" t="str">
        <f t="shared" si="14"/>
        <v>7110011010</v>
      </c>
      <c r="K200" s="30" t="str">
        <f t="shared" si="15"/>
        <v>60101137110011010000</v>
      </c>
    </row>
    <row r="201" spans="1:11" s="3" customFormat="1">
      <c r="A201" s="244" t="s">
        <v>106</v>
      </c>
      <c r="B201" s="241" t="s">
        <v>55</v>
      </c>
      <c r="C201" s="242" t="s">
        <v>65</v>
      </c>
      <c r="D201" s="242" t="s">
        <v>84</v>
      </c>
      <c r="E201" s="242" t="s">
        <v>264</v>
      </c>
      <c r="F201" s="242" t="s">
        <v>121</v>
      </c>
      <c r="G201" s="235">
        <f>SUM(G202:G204)</f>
        <v>12661960</v>
      </c>
      <c r="H201" s="235">
        <f>SUM(H202:H204)</f>
        <v>12661960</v>
      </c>
      <c r="I201" s="242">
        <v>7110011010</v>
      </c>
      <c r="J201" s="370" t="str">
        <f t="shared" si="14"/>
        <v>7110011010</v>
      </c>
      <c r="K201" s="30" t="str">
        <f t="shared" si="15"/>
        <v>60101137110011010110</v>
      </c>
    </row>
    <row r="202" spans="1:11" s="4" customFormat="1">
      <c r="A202" s="236" t="s">
        <v>932</v>
      </c>
      <c r="B202" s="241" t="s">
        <v>55</v>
      </c>
      <c r="C202" s="242" t="s">
        <v>65</v>
      </c>
      <c r="D202" s="242" t="s">
        <v>84</v>
      </c>
      <c r="E202" s="242" t="s">
        <v>264</v>
      </c>
      <c r="F202" s="234" t="s">
        <v>1056</v>
      </c>
      <c r="G202" s="235">
        <f>VLOOKUP(K202,'исх АС БЮДЖЕТ'!$A$10:$H$568,7,0)</f>
        <v>9739070</v>
      </c>
      <c r="H202" s="235">
        <f>VLOOKUP(K202,'исх АС БЮДЖЕТ'!$A$10:$H$568,8,0)</f>
        <v>9739070</v>
      </c>
      <c r="I202" s="242">
        <v>7110011010</v>
      </c>
      <c r="J202" s="370" t="str">
        <f t="shared" si="14"/>
        <v>7110011010</v>
      </c>
      <c r="K202" s="30" t="str">
        <f t="shared" si="15"/>
        <v>60101137110011010111</v>
      </c>
    </row>
    <row r="203" spans="1:11" s="4" customFormat="1">
      <c r="A203" s="236" t="s">
        <v>933</v>
      </c>
      <c r="B203" s="241" t="s">
        <v>55</v>
      </c>
      <c r="C203" s="242" t="s">
        <v>65</v>
      </c>
      <c r="D203" s="242" t="s">
        <v>84</v>
      </c>
      <c r="E203" s="242" t="s">
        <v>264</v>
      </c>
      <c r="F203" s="234" t="s">
        <v>1069</v>
      </c>
      <c r="G203" s="235">
        <f>VLOOKUP(K203,'исх АС БЮДЖЕТ'!$A$10:$H$568,7,0)</f>
        <v>55000</v>
      </c>
      <c r="H203" s="235">
        <f>VLOOKUP(K203,'исх АС БЮДЖЕТ'!$A$10:$H$568,8,0)</f>
        <v>55000</v>
      </c>
      <c r="I203" s="242">
        <v>7110011010</v>
      </c>
      <c r="J203" s="370" t="str">
        <f t="shared" ref="J203:J262" si="23">TEXT(I203,"0000000000")</f>
        <v>7110011010</v>
      </c>
      <c r="K203" s="30" t="str">
        <f t="shared" ref="K203:K262" si="24">CONCATENATE(B203,C203,D203,J203,F203)</f>
        <v>60101137110011010112</v>
      </c>
    </row>
    <row r="204" spans="1:11" s="4" customFormat="1" ht="25.5">
      <c r="A204" s="236" t="s">
        <v>935</v>
      </c>
      <c r="B204" s="241" t="s">
        <v>55</v>
      </c>
      <c r="C204" s="242" t="s">
        <v>65</v>
      </c>
      <c r="D204" s="242" t="s">
        <v>84</v>
      </c>
      <c r="E204" s="242" t="s">
        <v>264</v>
      </c>
      <c r="F204" s="234" t="s">
        <v>1057</v>
      </c>
      <c r="G204" s="235">
        <f>VLOOKUP(K204,'исх АС БЮДЖЕТ'!$A$10:$H$568,7,0)</f>
        <v>2867890</v>
      </c>
      <c r="H204" s="235">
        <f>VLOOKUP(K204,'исх АС БЮДЖЕТ'!$A$10:$H$568,8,0)</f>
        <v>2867890</v>
      </c>
      <c r="I204" s="242">
        <v>7110011010</v>
      </c>
      <c r="J204" s="370" t="str">
        <f t="shared" si="23"/>
        <v>7110011010</v>
      </c>
      <c r="K204" s="30" t="str">
        <f t="shared" si="24"/>
        <v>60101137110011010119</v>
      </c>
    </row>
    <row r="205" spans="1:11" s="3" customFormat="1" ht="25.5">
      <c r="A205" s="232" t="s">
        <v>108</v>
      </c>
      <c r="B205" s="241" t="s">
        <v>55</v>
      </c>
      <c r="C205" s="242" t="s">
        <v>65</v>
      </c>
      <c r="D205" s="242" t="s">
        <v>84</v>
      </c>
      <c r="E205" s="242" t="s">
        <v>264</v>
      </c>
      <c r="F205" s="242" t="s">
        <v>116</v>
      </c>
      <c r="G205" s="235">
        <f>G206</f>
        <v>19082020</v>
      </c>
      <c r="H205" s="235">
        <f>H206</f>
        <v>19082020</v>
      </c>
      <c r="I205" s="242">
        <v>7110011010</v>
      </c>
      <c r="J205" s="370" t="str">
        <f t="shared" si="23"/>
        <v>7110011010</v>
      </c>
      <c r="K205" s="30" t="str">
        <f t="shared" si="24"/>
        <v>60101137110011010240</v>
      </c>
    </row>
    <row r="206" spans="1:11" s="4" customFormat="1" ht="25.5">
      <c r="A206" s="236" t="s">
        <v>973</v>
      </c>
      <c r="B206" s="241" t="s">
        <v>55</v>
      </c>
      <c r="C206" s="242" t="s">
        <v>65</v>
      </c>
      <c r="D206" s="242" t="s">
        <v>84</v>
      </c>
      <c r="E206" s="242" t="s">
        <v>264</v>
      </c>
      <c r="F206" s="242" t="s">
        <v>1043</v>
      </c>
      <c r="G206" s="235">
        <f>VLOOKUP(K206,'исх АС БЮДЖЕТ'!$A$10:$H$568,7,0)</f>
        <v>19082020</v>
      </c>
      <c r="H206" s="235">
        <f>VLOOKUP(K206,'исх АС БЮДЖЕТ'!$A$10:$H$568,8,0)</f>
        <v>19082020</v>
      </c>
      <c r="I206" s="242">
        <v>7110011010</v>
      </c>
      <c r="J206" s="370" t="str">
        <f t="shared" si="23"/>
        <v>7110011010</v>
      </c>
      <c r="K206" s="30" t="str">
        <f t="shared" si="24"/>
        <v>60101137110011010244</v>
      </c>
    </row>
    <row r="207" spans="1:11" s="3" customFormat="1">
      <c r="A207" s="232" t="s">
        <v>97</v>
      </c>
      <c r="B207" s="233" t="s">
        <v>55</v>
      </c>
      <c r="C207" s="234" t="s">
        <v>65</v>
      </c>
      <c r="D207" s="234" t="s">
        <v>84</v>
      </c>
      <c r="E207" s="234" t="s">
        <v>264</v>
      </c>
      <c r="F207" s="234" t="s">
        <v>118</v>
      </c>
      <c r="G207" s="235">
        <f>SUM(G208:G210)</f>
        <v>394530</v>
      </c>
      <c r="H207" s="235">
        <f>SUM(H208:H210)</f>
        <v>394530</v>
      </c>
      <c r="I207" s="234">
        <v>7110011010</v>
      </c>
      <c r="J207" s="370" t="str">
        <f t="shared" si="23"/>
        <v>7110011010</v>
      </c>
      <c r="K207" s="30" t="str">
        <f t="shared" si="24"/>
        <v>60101137110011010850</v>
      </c>
    </row>
    <row r="208" spans="1:11" s="3" customFormat="1">
      <c r="A208" s="232" t="s">
        <v>1036</v>
      </c>
      <c r="B208" s="233" t="s">
        <v>55</v>
      </c>
      <c r="C208" s="234" t="s">
        <v>65</v>
      </c>
      <c r="D208" s="234" t="s">
        <v>84</v>
      </c>
      <c r="E208" s="234" t="s">
        <v>264</v>
      </c>
      <c r="F208" s="234" t="s">
        <v>1061</v>
      </c>
      <c r="G208" s="235">
        <f>VLOOKUP(K208,'исх АС БЮДЖЕТ'!$A$10:$H$568,7,0)</f>
        <v>200000</v>
      </c>
      <c r="H208" s="235">
        <f>VLOOKUP(K208,'исх АС БЮДЖЕТ'!$A$10:$H$568,8,0)</f>
        <v>200000</v>
      </c>
      <c r="I208" s="234">
        <v>7110011010</v>
      </c>
      <c r="J208" s="370" t="str">
        <f t="shared" si="23"/>
        <v>7110011010</v>
      </c>
      <c r="K208" s="30" t="str">
        <f t="shared" si="24"/>
        <v>60101137110011010851</v>
      </c>
    </row>
    <row r="209" spans="1:11" s="3" customFormat="1">
      <c r="A209" s="232" t="s">
        <v>1037</v>
      </c>
      <c r="B209" s="233" t="s">
        <v>55</v>
      </c>
      <c r="C209" s="234" t="s">
        <v>65</v>
      </c>
      <c r="D209" s="234" t="s">
        <v>84</v>
      </c>
      <c r="E209" s="234" t="s">
        <v>264</v>
      </c>
      <c r="F209" s="234" t="s">
        <v>1062</v>
      </c>
      <c r="G209" s="235">
        <f>VLOOKUP(K209,'исх АС БЮДЖЕТ'!$A$10:$H$568,7,0)</f>
        <v>192530</v>
      </c>
      <c r="H209" s="235">
        <f>VLOOKUP(K209,'исх АС БЮДЖЕТ'!$A$10:$H$568,8,0)</f>
        <v>192530</v>
      </c>
      <c r="I209" s="234">
        <v>7110011010</v>
      </c>
      <c r="J209" s="370" t="str">
        <f t="shared" si="23"/>
        <v>7110011010</v>
      </c>
      <c r="K209" s="30" t="str">
        <f t="shared" si="24"/>
        <v>60101137110011010852</v>
      </c>
    </row>
    <row r="210" spans="1:11" s="3" customFormat="1">
      <c r="A210" s="232" t="s">
        <v>1038</v>
      </c>
      <c r="B210" s="233" t="s">
        <v>55</v>
      </c>
      <c r="C210" s="234" t="s">
        <v>65</v>
      </c>
      <c r="D210" s="234" t="s">
        <v>84</v>
      </c>
      <c r="E210" s="234" t="s">
        <v>264</v>
      </c>
      <c r="F210" s="234" t="s">
        <v>1066</v>
      </c>
      <c r="G210" s="235">
        <f>VLOOKUP(K210,'исх АС БЮДЖЕТ'!$A$10:$H$568,7,0)</f>
        <v>2000</v>
      </c>
      <c r="H210" s="235">
        <f>VLOOKUP(K210,'исх АС БЮДЖЕТ'!$A$10:$H$568,8,0)</f>
        <v>2000</v>
      </c>
      <c r="I210" s="234">
        <v>7110011010</v>
      </c>
      <c r="J210" s="370" t="str">
        <f t="shared" si="23"/>
        <v>7110011010</v>
      </c>
      <c r="K210" s="30" t="str">
        <f t="shared" si="24"/>
        <v>60101137110011010853</v>
      </c>
    </row>
    <row r="211" spans="1:11" s="3" customFormat="1" ht="25.5">
      <c r="A211" s="232" t="s">
        <v>683</v>
      </c>
      <c r="B211" s="241" t="s">
        <v>55</v>
      </c>
      <c r="C211" s="242" t="s">
        <v>65</v>
      </c>
      <c r="D211" s="242" t="s">
        <v>84</v>
      </c>
      <c r="E211" s="242" t="s">
        <v>680</v>
      </c>
      <c r="F211" s="242" t="s">
        <v>58</v>
      </c>
      <c r="G211" s="235">
        <f>G212</f>
        <v>7404690</v>
      </c>
      <c r="H211" s="235">
        <f>H212</f>
        <v>7404690</v>
      </c>
      <c r="I211" s="242">
        <v>9800000000</v>
      </c>
      <c r="J211" s="370" t="str">
        <f t="shared" si="23"/>
        <v>9800000000</v>
      </c>
      <c r="K211" s="30" t="str">
        <f t="shared" si="24"/>
        <v>60101139800000000000</v>
      </c>
    </row>
    <row r="212" spans="1:11" s="3" customFormat="1">
      <c r="A212" s="232" t="s">
        <v>684</v>
      </c>
      <c r="B212" s="241" t="s">
        <v>55</v>
      </c>
      <c r="C212" s="242" t="s">
        <v>65</v>
      </c>
      <c r="D212" s="242" t="s">
        <v>84</v>
      </c>
      <c r="E212" s="242" t="s">
        <v>681</v>
      </c>
      <c r="F212" s="242" t="s">
        <v>58</v>
      </c>
      <c r="G212" s="235">
        <f>G213</f>
        <v>7404690</v>
      </c>
      <c r="H212" s="235">
        <f>H213</f>
        <v>7404690</v>
      </c>
      <c r="I212" s="242">
        <v>9810000000</v>
      </c>
      <c r="J212" s="370" t="str">
        <f t="shared" si="23"/>
        <v>9810000000</v>
      </c>
      <c r="K212" s="30" t="str">
        <f t="shared" si="24"/>
        <v>60101139810000000000</v>
      </c>
    </row>
    <row r="213" spans="1:11" s="3" customFormat="1" ht="25.5">
      <c r="A213" s="237" t="s">
        <v>265</v>
      </c>
      <c r="B213" s="241" t="s">
        <v>55</v>
      </c>
      <c r="C213" s="242" t="s">
        <v>65</v>
      </c>
      <c r="D213" s="242" t="s">
        <v>84</v>
      </c>
      <c r="E213" s="242" t="s">
        <v>770</v>
      </c>
      <c r="F213" s="242" t="s">
        <v>58</v>
      </c>
      <c r="G213" s="235">
        <f>SUM(G214:G214)</f>
        <v>7404690</v>
      </c>
      <c r="H213" s="235">
        <f>SUM(H214:H214)</f>
        <v>7404690</v>
      </c>
      <c r="I213" s="242">
        <v>9810076610</v>
      </c>
      <c r="J213" s="370" t="str">
        <f t="shared" si="23"/>
        <v>9810076610</v>
      </c>
      <c r="K213" s="30" t="str">
        <f t="shared" si="24"/>
        <v>60101139810076610000</v>
      </c>
    </row>
    <row r="214" spans="1:11" s="3" customFormat="1">
      <c r="A214" s="236" t="s">
        <v>107</v>
      </c>
      <c r="B214" s="241" t="s">
        <v>55</v>
      </c>
      <c r="C214" s="242" t="s">
        <v>65</v>
      </c>
      <c r="D214" s="242" t="s">
        <v>84</v>
      </c>
      <c r="E214" s="242" t="s">
        <v>770</v>
      </c>
      <c r="F214" s="242" t="s">
        <v>115</v>
      </c>
      <c r="G214" s="235">
        <f>SUM(G215:G216)</f>
        <v>7404690</v>
      </c>
      <c r="H214" s="235">
        <f>SUM(H215:H216)</f>
        <v>7404690</v>
      </c>
      <c r="I214" s="242">
        <v>9810076610</v>
      </c>
      <c r="J214" s="370" t="str">
        <f t="shared" si="23"/>
        <v>9810076610</v>
      </c>
      <c r="K214" s="30" t="str">
        <f t="shared" si="24"/>
        <v>60101139810076610120</v>
      </c>
    </row>
    <row r="215" spans="1:11" s="4" customFormat="1">
      <c r="A215" s="236" t="s">
        <v>936</v>
      </c>
      <c r="B215" s="241" t="s">
        <v>55</v>
      </c>
      <c r="C215" s="242" t="s">
        <v>65</v>
      </c>
      <c r="D215" s="242" t="s">
        <v>84</v>
      </c>
      <c r="E215" s="242" t="s">
        <v>770</v>
      </c>
      <c r="F215" s="234" t="s">
        <v>1063</v>
      </c>
      <c r="G215" s="235">
        <f>VLOOKUP(K215,'исх АС БЮДЖЕТ'!$A$10:$H$568,7,0)</f>
        <v>5687160</v>
      </c>
      <c r="H215" s="235">
        <f>VLOOKUP(K215,'исх АС БЮДЖЕТ'!$A$10:$H$568,8,0)</f>
        <v>5687160</v>
      </c>
      <c r="I215" s="242">
        <v>9810076610</v>
      </c>
      <c r="J215" s="370" t="str">
        <f t="shared" si="23"/>
        <v>9810076610</v>
      </c>
      <c r="K215" s="30" t="str">
        <f t="shared" si="24"/>
        <v>60101139810076610121</v>
      </c>
    </row>
    <row r="216" spans="1:11" s="4" customFormat="1" ht="38.25">
      <c r="A216" s="236" t="s">
        <v>939</v>
      </c>
      <c r="B216" s="241" t="s">
        <v>55</v>
      </c>
      <c r="C216" s="242" t="s">
        <v>65</v>
      </c>
      <c r="D216" s="242" t="s">
        <v>84</v>
      </c>
      <c r="E216" s="242" t="s">
        <v>770</v>
      </c>
      <c r="F216" s="234" t="s">
        <v>1060</v>
      </c>
      <c r="G216" s="235">
        <f>VLOOKUP(K216,'исх АС БЮДЖЕТ'!$A$10:$H$568,7,0)</f>
        <v>1717530</v>
      </c>
      <c r="H216" s="235">
        <f>VLOOKUP(K216,'исх АС БЮДЖЕТ'!$A$10:$H$568,8,0)</f>
        <v>1717530</v>
      </c>
      <c r="I216" s="242">
        <v>9810076610</v>
      </c>
      <c r="J216" s="370" t="str">
        <f t="shared" si="23"/>
        <v>9810076610</v>
      </c>
      <c r="K216" s="30" t="str">
        <f t="shared" si="24"/>
        <v>60101139810076610129</v>
      </c>
    </row>
    <row r="217" spans="1:11" s="3" customFormat="1">
      <c r="A217" s="224" t="s">
        <v>35</v>
      </c>
      <c r="B217" s="225" t="s">
        <v>55</v>
      </c>
      <c r="C217" s="226" t="s">
        <v>37</v>
      </c>
      <c r="D217" s="226" t="s">
        <v>51</v>
      </c>
      <c r="E217" s="226" t="s">
        <v>196</v>
      </c>
      <c r="F217" s="226" t="s">
        <v>58</v>
      </c>
      <c r="G217" s="227">
        <f t="shared" ref="G217:H218" si="25">G218</f>
        <v>6547500</v>
      </c>
      <c r="H217" s="227">
        <f t="shared" si="25"/>
        <v>6547500</v>
      </c>
      <c r="I217" s="226">
        <v>0</v>
      </c>
      <c r="J217" s="370" t="str">
        <f t="shared" si="23"/>
        <v>0000000000</v>
      </c>
      <c r="K217" s="30" t="str">
        <f t="shared" si="24"/>
        <v>60104000000000000000</v>
      </c>
    </row>
    <row r="218" spans="1:11" s="3" customFormat="1">
      <c r="A218" s="228" t="s">
        <v>30</v>
      </c>
      <c r="B218" s="229" t="s">
        <v>55</v>
      </c>
      <c r="C218" s="230" t="s">
        <v>37</v>
      </c>
      <c r="D218" s="230" t="s">
        <v>40</v>
      </c>
      <c r="E218" s="230" t="s">
        <v>196</v>
      </c>
      <c r="F218" s="230" t="s">
        <v>58</v>
      </c>
      <c r="G218" s="231">
        <f t="shared" si="25"/>
        <v>6547500</v>
      </c>
      <c r="H218" s="231">
        <f t="shared" si="25"/>
        <v>6547500</v>
      </c>
      <c r="I218" s="230">
        <v>0</v>
      </c>
      <c r="J218" s="370" t="str">
        <f t="shared" si="23"/>
        <v>0000000000</v>
      </c>
      <c r="K218" s="30" t="str">
        <f t="shared" si="24"/>
        <v>60104120000000000000</v>
      </c>
    </row>
    <row r="219" spans="1:11" s="3" customFormat="1">
      <c r="A219" s="237" t="s">
        <v>747</v>
      </c>
      <c r="B219" s="233" t="s">
        <v>55</v>
      </c>
      <c r="C219" s="234" t="s">
        <v>37</v>
      </c>
      <c r="D219" s="234" t="s">
        <v>40</v>
      </c>
      <c r="E219" s="234" t="s">
        <v>215</v>
      </c>
      <c r="F219" s="234" t="s">
        <v>58</v>
      </c>
      <c r="G219" s="235">
        <f>G220+G234</f>
        <v>6547500</v>
      </c>
      <c r="H219" s="235">
        <f>H220+H234</f>
        <v>6547500</v>
      </c>
      <c r="I219" s="234">
        <v>1200000000</v>
      </c>
      <c r="J219" s="370" t="str">
        <f t="shared" si="23"/>
        <v>1200000000</v>
      </c>
      <c r="K219" s="30" t="str">
        <f t="shared" si="24"/>
        <v>60104121200000000000</v>
      </c>
    </row>
    <row r="220" spans="1:11" s="3" customFormat="1" ht="25.5">
      <c r="A220" s="237" t="s">
        <v>153</v>
      </c>
      <c r="B220" s="233" t="s">
        <v>55</v>
      </c>
      <c r="C220" s="234" t="s">
        <v>37</v>
      </c>
      <c r="D220" s="234" t="s">
        <v>40</v>
      </c>
      <c r="E220" s="234" t="s">
        <v>266</v>
      </c>
      <c r="F220" s="234" t="s">
        <v>58</v>
      </c>
      <c r="G220" s="235">
        <f>G221+G226+G230</f>
        <v>5967000</v>
      </c>
      <c r="H220" s="235">
        <f>H221+H226+H230</f>
        <v>5967000</v>
      </c>
      <c r="I220" s="234">
        <v>1210000000</v>
      </c>
      <c r="J220" s="370" t="str">
        <f t="shared" si="23"/>
        <v>1210000000</v>
      </c>
      <c r="K220" s="30" t="str">
        <f t="shared" si="24"/>
        <v>60104121210000000000</v>
      </c>
    </row>
    <row r="221" spans="1:11" s="3" customFormat="1" ht="25.5">
      <c r="A221" s="237" t="s">
        <v>586</v>
      </c>
      <c r="B221" s="233" t="s">
        <v>55</v>
      </c>
      <c r="C221" s="234" t="s">
        <v>37</v>
      </c>
      <c r="D221" s="234" t="s">
        <v>40</v>
      </c>
      <c r="E221" s="234" t="s">
        <v>267</v>
      </c>
      <c r="F221" s="234" t="s">
        <v>58</v>
      </c>
      <c r="G221" s="235">
        <f t="shared" ref="G221:H222" si="26">G222</f>
        <v>4410000</v>
      </c>
      <c r="H221" s="235">
        <f t="shared" si="26"/>
        <v>4410000</v>
      </c>
      <c r="I221" s="234">
        <v>1210100000</v>
      </c>
      <c r="J221" s="370" t="str">
        <f t="shared" si="23"/>
        <v>1210100000</v>
      </c>
      <c r="K221" s="30" t="str">
        <f t="shared" si="24"/>
        <v>60104121210100000000</v>
      </c>
    </row>
    <row r="222" spans="1:11" s="3" customFormat="1" ht="25.5">
      <c r="A222" s="237" t="s">
        <v>268</v>
      </c>
      <c r="B222" s="233" t="s">
        <v>55</v>
      </c>
      <c r="C222" s="234" t="s">
        <v>37</v>
      </c>
      <c r="D222" s="234" t="s">
        <v>40</v>
      </c>
      <c r="E222" s="234" t="s">
        <v>269</v>
      </c>
      <c r="F222" s="234" t="s">
        <v>58</v>
      </c>
      <c r="G222" s="235">
        <f t="shared" si="26"/>
        <v>4410000</v>
      </c>
      <c r="H222" s="235">
        <f t="shared" si="26"/>
        <v>4410000</v>
      </c>
      <c r="I222" s="234">
        <v>1210160130</v>
      </c>
      <c r="J222" s="370" t="str">
        <f t="shared" si="23"/>
        <v>1210160130</v>
      </c>
      <c r="K222" s="30" t="str">
        <f t="shared" si="24"/>
        <v>60104121210160130000</v>
      </c>
    </row>
    <row r="223" spans="1:11" s="3" customFormat="1" ht="38.25">
      <c r="A223" s="237" t="s">
        <v>561</v>
      </c>
      <c r="B223" s="233" t="s">
        <v>55</v>
      </c>
      <c r="C223" s="234" t="s">
        <v>37</v>
      </c>
      <c r="D223" s="234" t="s">
        <v>40</v>
      </c>
      <c r="E223" s="234" t="s">
        <v>269</v>
      </c>
      <c r="F223" s="234" t="s">
        <v>101</v>
      </c>
      <c r="G223" s="235">
        <f>SUM(G224:G225)</f>
        <v>4410000</v>
      </c>
      <c r="H223" s="235">
        <f>SUM(H224:H225)</f>
        <v>4410000</v>
      </c>
      <c r="I223" s="234">
        <v>1210160130</v>
      </c>
      <c r="J223" s="370" t="str">
        <f t="shared" si="23"/>
        <v>1210160130</v>
      </c>
      <c r="K223" s="30" t="str">
        <f t="shared" si="24"/>
        <v>60104121210160130810</v>
      </c>
    </row>
    <row r="224" spans="1:11" s="3" customFormat="1" ht="38.25">
      <c r="A224" s="236" t="s">
        <v>1047</v>
      </c>
      <c r="B224" s="233" t="s">
        <v>55</v>
      </c>
      <c r="C224" s="234" t="s">
        <v>37</v>
      </c>
      <c r="D224" s="234" t="s">
        <v>40</v>
      </c>
      <c r="E224" s="234" t="s">
        <v>269</v>
      </c>
      <c r="F224" s="234" t="s">
        <v>1050</v>
      </c>
      <c r="G224" s="235">
        <f>VLOOKUP(K224,'исх АС БЮДЖЕТ'!$A$10:$H$568,7,0)</f>
        <v>1710000</v>
      </c>
      <c r="H224" s="235">
        <f>VLOOKUP(K224,'исх АС БЮДЖЕТ'!$A$10:$H$568,8,0)</f>
        <v>2310000</v>
      </c>
      <c r="I224" s="234">
        <v>1210160130</v>
      </c>
      <c r="J224" s="370" t="str">
        <f t="shared" si="23"/>
        <v>1210160130</v>
      </c>
      <c r="K224" s="30" t="str">
        <f t="shared" si="24"/>
        <v>60104121210160130811</v>
      </c>
    </row>
    <row r="225" spans="1:11" s="4" customFormat="1" ht="63.75">
      <c r="A225" s="236" t="s">
        <v>1048</v>
      </c>
      <c r="B225" s="233" t="s">
        <v>55</v>
      </c>
      <c r="C225" s="234" t="s">
        <v>37</v>
      </c>
      <c r="D225" s="234" t="s">
        <v>40</v>
      </c>
      <c r="E225" s="234" t="s">
        <v>269</v>
      </c>
      <c r="F225" s="234" t="s">
        <v>1051</v>
      </c>
      <c r="G225" s="235">
        <f>VLOOKUP(K225,'исх АС БЮДЖЕТ'!$A$10:$H$568,7,0)</f>
        <v>2700000</v>
      </c>
      <c r="H225" s="235">
        <f>VLOOKUP(K225,'исх АС БЮДЖЕТ'!$A$10:$H$568,8,0)</f>
        <v>2100000</v>
      </c>
      <c r="I225" s="234">
        <v>1210160130</v>
      </c>
      <c r="J225" s="370" t="str">
        <f t="shared" si="23"/>
        <v>1210160130</v>
      </c>
      <c r="K225" s="30" t="str">
        <f t="shared" si="24"/>
        <v>60104121210160130812</v>
      </c>
    </row>
    <row r="226" spans="1:11" s="3" customFormat="1" ht="38.25">
      <c r="A226" s="237" t="s">
        <v>270</v>
      </c>
      <c r="B226" s="233" t="s">
        <v>55</v>
      </c>
      <c r="C226" s="234" t="s">
        <v>37</v>
      </c>
      <c r="D226" s="234" t="s">
        <v>40</v>
      </c>
      <c r="E226" s="234" t="s">
        <v>271</v>
      </c>
      <c r="F226" s="234" t="s">
        <v>58</v>
      </c>
      <c r="G226" s="235">
        <f t="shared" ref="G226:H227" si="27">G227</f>
        <v>1150000</v>
      </c>
      <c r="H226" s="235">
        <f t="shared" si="27"/>
        <v>1150000</v>
      </c>
      <c r="I226" s="234">
        <v>1210200000</v>
      </c>
      <c r="J226" s="370" t="str">
        <f t="shared" si="23"/>
        <v>1210200000</v>
      </c>
      <c r="K226" s="30" t="str">
        <f t="shared" si="24"/>
        <v>60104121210200000000</v>
      </c>
    </row>
    <row r="227" spans="1:11" s="3" customFormat="1" ht="25.5">
      <c r="A227" s="237" t="s">
        <v>874</v>
      </c>
      <c r="B227" s="233" t="s">
        <v>55</v>
      </c>
      <c r="C227" s="234" t="s">
        <v>37</v>
      </c>
      <c r="D227" s="234" t="s">
        <v>40</v>
      </c>
      <c r="E227" s="234" t="s">
        <v>272</v>
      </c>
      <c r="F227" s="234" t="s">
        <v>58</v>
      </c>
      <c r="G227" s="235">
        <f t="shared" si="27"/>
        <v>1150000</v>
      </c>
      <c r="H227" s="235">
        <f t="shared" si="27"/>
        <v>1150000</v>
      </c>
      <c r="I227" s="234">
        <v>1210220480</v>
      </c>
      <c r="J227" s="370" t="str">
        <f t="shared" si="23"/>
        <v>1210220480</v>
      </c>
      <c r="K227" s="30" t="str">
        <f t="shared" si="24"/>
        <v>60104121210220480000</v>
      </c>
    </row>
    <row r="228" spans="1:11" s="3" customFormat="1" ht="25.5">
      <c r="A228" s="232" t="s">
        <v>108</v>
      </c>
      <c r="B228" s="233" t="s">
        <v>55</v>
      </c>
      <c r="C228" s="234" t="s">
        <v>37</v>
      </c>
      <c r="D228" s="234" t="s">
        <v>40</v>
      </c>
      <c r="E228" s="234" t="s">
        <v>272</v>
      </c>
      <c r="F228" s="234" t="s">
        <v>116</v>
      </c>
      <c r="G228" s="235">
        <f>G229</f>
        <v>1150000</v>
      </c>
      <c r="H228" s="235">
        <f>H229</f>
        <v>1150000</v>
      </c>
      <c r="I228" s="234">
        <v>1210220480</v>
      </c>
      <c r="J228" s="370" t="str">
        <f t="shared" si="23"/>
        <v>1210220480</v>
      </c>
      <c r="K228" s="30" t="str">
        <f t="shared" si="24"/>
        <v>60104121210220480240</v>
      </c>
    </row>
    <row r="229" spans="1:11" s="4" customFormat="1" ht="25.5">
      <c r="A229" s="236" t="s">
        <v>973</v>
      </c>
      <c r="B229" s="233" t="s">
        <v>55</v>
      </c>
      <c r="C229" s="234" t="s">
        <v>37</v>
      </c>
      <c r="D229" s="234" t="s">
        <v>40</v>
      </c>
      <c r="E229" s="234" t="s">
        <v>272</v>
      </c>
      <c r="F229" s="234" t="s">
        <v>1043</v>
      </c>
      <c r="G229" s="235">
        <f>VLOOKUP(K229,'исх АС БЮДЖЕТ'!$A$10:$H$568,7,0)</f>
        <v>1150000</v>
      </c>
      <c r="H229" s="235">
        <f>VLOOKUP(K229,'исх АС БЮДЖЕТ'!$A$10:$H$568,8,0)</f>
        <v>1150000</v>
      </c>
      <c r="I229" s="234">
        <v>1210220480</v>
      </c>
      <c r="J229" s="370" t="str">
        <f t="shared" si="23"/>
        <v>1210220480</v>
      </c>
      <c r="K229" s="30" t="str">
        <f t="shared" si="24"/>
        <v>60104121210220480244</v>
      </c>
    </row>
    <row r="230" spans="1:11" s="3" customFormat="1" ht="25.5">
      <c r="A230" s="237" t="s">
        <v>608</v>
      </c>
      <c r="B230" s="233" t="s">
        <v>55</v>
      </c>
      <c r="C230" s="234" t="s">
        <v>37</v>
      </c>
      <c r="D230" s="234" t="s">
        <v>40</v>
      </c>
      <c r="E230" s="234" t="s">
        <v>273</v>
      </c>
      <c r="F230" s="234" t="s">
        <v>58</v>
      </c>
      <c r="G230" s="235">
        <f t="shared" ref="G230:H231" si="28">G231</f>
        <v>407000</v>
      </c>
      <c r="H230" s="235">
        <f t="shared" si="28"/>
        <v>407000</v>
      </c>
      <c r="I230" s="234">
        <v>1210300000</v>
      </c>
      <c r="J230" s="370" t="str">
        <f t="shared" si="23"/>
        <v>1210300000</v>
      </c>
      <c r="K230" s="30" t="str">
        <f t="shared" si="24"/>
        <v>60104121210300000000</v>
      </c>
    </row>
    <row r="231" spans="1:11" s="3" customFormat="1" ht="25.5">
      <c r="A231" s="237" t="s">
        <v>874</v>
      </c>
      <c r="B231" s="233" t="s">
        <v>55</v>
      </c>
      <c r="C231" s="234" t="s">
        <v>37</v>
      </c>
      <c r="D231" s="234" t="s">
        <v>40</v>
      </c>
      <c r="E231" s="234" t="s">
        <v>274</v>
      </c>
      <c r="F231" s="234" t="s">
        <v>58</v>
      </c>
      <c r="G231" s="235">
        <f t="shared" si="28"/>
        <v>407000</v>
      </c>
      <c r="H231" s="235">
        <f t="shared" si="28"/>
        <v>407000</v>
      </c>
      <c r="I231" s="234">
        <v>1210320480</v>
      </c>
      <c r="J231" s="370" t="str">
        <f t="shared" si="23"/>
        <v>1210320480</v>
      </c>
      <c r="K231" s="30" t="str">
        <f t="shared" si="24"/>
        <v>60104121210320480000</v>
      </c>
    </row>
    <row r="232" spans="1:11" s="3" customFormat="1" ht="25.5">
      <c r="A232" s="232" t="s">
        <v>108</v>
      </c>
      <c r="B232" s="233" t="s">
        <v>55</v>
      </c>
      <c r="C232" s="234" t="s">
        <v>37</v>
      </c>
      <c r="D232" s="234" t="s">
        <v>40</v>
      </c>
      <c r="E232" s="234" t="s">
        <v>274</v>
      </c>
      <c r="F232" s="234" t="s">
        <v>116</v>
      </c>
      <c r="G232" s="235">
        <f>G233</f>
        <v>407000</v>
      </c>
      <c r="H232" s="235">
        <f>H233</f>
        <v>407000</v>
      </c>
      <c r="I232" s="234">
        <v>1210320480</v>
      </c>
      <c r="J232" s="370" t="str">
        <f t="shared" si="23"/>
        <v>1210320480</v>
      </c>
      <c r="K232" s="30" t="str">
        <f t="shared" si="24"/>
        <v>60104121210320480240</v>
      </c>
    </row>
    <row r="233" spans="1:11" s="4" customFormat="1" ht="25.5">
      <c r="A233" s="236" t="s">
        <v>973</v>
      </c>
      <c r="B233" s="233" t="s">
        <v>55</v>
      </c>
      <c r="C233" s="234" t="s">
        <v>37</v>
      </c>
      <c r="D233" s="234" t="s">
        <v>40</v>
      </c>
      <c r="E233" s="234" t="s">
        <v>274</v>
      </c>
      <c r="F233" s="234" t="s">
        <v>1043</v>
      </c>
      <c r="G233" s="235">
        <f>VLOOKUP(K233,'исх АС БЮДЖЕТ'!$A$10:$H$568,7,0)</f>
        <v>407000</v>
      </c>
      <c r="H233" s="235">
        <f>VLOOKUP(K233,'исх АС БЮДЖЕТ'!$A$10:$H$568,8,0)</f>
        <v>407000</v>
      </c>
      <c r="I233" s="234">
        <v>1210320480</v>
      </c>
      <c r="J233" s="370" t="str">
        <f t="shared" si="23"/>
        <v>1210320480</v>
      </c>
      <c r="K233" s="30" t="str">
        <f t="shared" si="24"/>
        <v>60104121210320480244</v>
      </c>
    </row>
    <row r="234" spans="1:11" s="3" customFormat="1" ht="25.5">
      <c r="A234" s="232" t="s">
        <v>765</v>
      </c>
      <c r="B234" s="233" t="s">
        <v>55</v>
      </c>
      <c r="C234" s="234" t="s">
        <v>37</v>
      </c>
      <c r="D234" s="234" t="s">
        <v>40</v>
      </c>
      <c r="E234" s="234" t="s">
        <v>216</v>
      </c>
      <c r="F234" s="234" t="s">
        <v>58</v>
      </c>
      <c r="G234" s="235">
        <f>G239+G235</f>
        <v>580500</v>
      </c>
      <c r="H234" s="235">
        <f>H239+H235</f>
        <v>580500</v>
      </c>
      <c r="I234" s="234">
        <v>1220000000</v>
      </c>
      <c r="J234" s="370" t="str">
        <f t="shared" si="23"/>
        <v>1220000000</v>
      </c>
      <c r="K234" s="30" t="str">
        <f t="shared" si="24"/>
        <v>60104121220000000000</v>
      </c>
    </row>
    <row r="235" spans="1:11" s="3" customFormat="1" ht="25.5">
      <c r="A235" s="237" t="s">
        <v>847</v>
      </c>
      <c r="B235" s="233" t="s">
        <v>55</v>
      </c>
      <c r="C235" s="234" t="s">
        <v>37</v>
      </c>
      <c r="D235" s="234" t="s">
        <v>40</v>
      </c>
      <c r="E235" s="234" t="s">
        <v>777</v>
      </c>
      <c r="F235" s="234" t="s">
        <v>58</v>
      </c>
      <c r="G235" s="235">
        <f t="shared" ref="G235:H237" si="29">G236</f>
        <v>252000</v>
      </c>
      <c r="H235" s="235">
        <f t="shared" si="29"/>
        <v>252000</v>
      </c>
      <c r="I235" s="234">
        <v>1220100000</v>
      </c>
      <c r="J235" s="370" t="str">
        <f t="shared" si="23"/>
        <v>1220100000</v>
      </c>
      <c r="K235" s="30" t="str">
        <f t="shared" si="24"/>
        <v>60104121220100000000</v>
      </c>
    </row>
    <row r="236" spans="1:11" s="3" customFormat="1">
      <c r="A236" s="237" t="s">
        <v>875</v>
      </c>
      <c r="B236" s="233" t="s">
        <v>55</v>
      </c>
      <c r="C236" s="234" t="s">
        <v>37</v>
      </c>
      <c r="D236" s="234" t="s">
        <v>40</v>
      </c>
      <c r="E236" s="234" t="s">
        <v>778</v>
      </c>
      <c r="F236" s="234" t="s">
        <v>58</v>
      </c>
      <c r="G236" s="235">
        <f t="shared" si="29"/>
        <v>252000</v>
      </c>
      <c r="H236" s="235">
        <f t="shared" si="29"/>
        <v>252000</v>
      </c>
      <c r="I236" s="234">
        <v>1220120650</v>
      </c>
      <c r="J236" s="370" t="str">
        <f t="shared" si="23"/>
        <v>1220120650</v>
      </c>
      <c r="K236" s="30" t="str">
        <f t="shared" si="24"/>
        <v>60104121220120650000</v>
      </c>
    </row>
    <row r="237" spans="1:11" s="3" customFormat="1" ht="25.5">
      <c r="A237" s="232" t="s">
        <v>108</v>
      </c>
      <c r="B237" s="233" t="s">
        <v>55</v>
      </c>
      <c r="C237" s="234" t="s">
        <v>37</v>
      </c>
      <c r="D237" s="234" t="s">
        <v>40</v>
      </c>
      <c r="E237" s="234" t="s">
        <v>778</v>
      </c>
      <c r="F237" s="234" t="s">
        <v>116</v>
      </c>
      <c r="G237" s="235">
        <f t="shared" si="29"/>
        <v>252000</v>
      </c>
      <c r="H237" s="235">
        <f t="shared" si="29"/>
        <v>252000</v>
      </c>
      <c r="I237" s="234">
        <v>1220120650</v>
      </c>
      <c r="J237" s="370" t="str">
        <f t="shared" si="23"/>
        <v>1220120650</v>
      </c>
      <c r="K237" s="30" t="str">
        <f t="shared" si="24"/>
        <v>60104121220120650240</v>
      </c>
    </row>
    <row r="238" spans="1:11" s="4" customFormat="1" ht="25.5">
      <c r="A238" s="236" t="s">
        <v>973</v>
      </c>
      <c r="B238" s="233" t="s">
        <v>55</v>
      </c>
      <c r="C238" s="234" t="s">
        <v>37</v>
      </c>
      <c r="D238" s="234" t="s">
        <v>40</v>
      </c>
      <c r="E238" s="234" t="s">
        <v>778</v>
      </c>
      <c r="F238" s="234" t="s">
        <v>1043</v>
      </c>
      <c r="G238" s="235">
        <f>VLOOKUP(K238,'исх АС БЮДЖЕТ'!$A$10:$H$568,7,0)</f>
        <v>252000</v>
      </c>
      <c r="H238" s="235">
        <f>VLOOKUP(K238,'исх АС БЮДЖЕТ'!$A$10:$H$568,8,0)</f>
        <v>252000</v>
      </c>
      <c r="I238" s="234">
        <v>1220120650</v>
      </c>
      <c r="J238" s="370" t="str">
        <f t="shared" si="23"/>
        <v>1220120650</v>
      </c>
      <c r="K238" s="30" t="str">
        <f t="shared" si="24"/>
        <v>60104121220120650244</v>
      </c>
    </row>
    <row r="239" spans="1:11" s="3" customFormat="1" ht="25.5">
      <c r="A239" s="232" t="s">
        <v>851</v>
      </c>
      <c r="B239" s="233" t="s">
        <v>55</v>
      </c>
      <c r="C239" s="234" t="s">
        <v>37</v>
      </c>
      <c r="D239" s="234" t="s">
        <v>40</v>
      </c>
      <c r="E239" s="234" t="s">
        <v>275</v>
      </c>
      <c r="F239" s="234" t="s">
        <v>58</v>
      </c>
      <c r="G239" s="235">
        <f t="shared" ref="G239:H239" si="30">G240</f>
        <v>328500</v>
      </c>
      <c r="H239" s="235">
        <f t="shared" si="30"/>
        <v>328500</v>
      </c>
      <c r="I239" s="234">
        <v>1220200000</v>
      </c>
      <c r="J239" s="370" t="str">
        <f t="shared" si="23"/>
        <v>1220200000</v>
      </c>
      <c r="K239" s="30" t="str">
        <f t="shared" si="24"/>
        <v>60104121220200000000</v>
      </c>
    </row>
    <row r="240" spans="1:11" s="3" customFormat="1" ht="25.5">
      <c r="A240" s="237" t="s">
        <v>876</v>
      </c>
      <c r="B240" s="233" t="s">
        <v>55</v>
      </c>
      <c r="C240" s="234" t="s">
        <v>37</v>
      </c>
      <c r="D240" s="234" t="s">
        <v>40</v>
      </c>
      <c r="E240" s="234" t="s">
        <v>276</v>
      </c>
      <c r="F240" s="234" t="s">
        <v>58</v>
      </c>
      <c r="G240" s="235">
        <f>G241</f>
        <v>328500</v>
      </c>
      <c r="H240" s="235">
        <f>H241</f>
        <v>328500</v>
      </c>
      <c r="I240" s="234">
        <v>1220220640</v>
      </c>
      <c r="J240" s="370" t="str">
        <f t="shared" si="23"/>
        <v>1220220640</v>
      </c>
      <c r="K240" s="30" t="str">
        <f t="shared" si="24"/>
        <v>60104121220220640000</v>
      </c>
    </row>
    <row r="241" spans="1:11" s="3" customFormat="1" ht="25.5">
      <c r="A241" s="232" t="s">
        <v>108</v>
      </c>
      <c r="B241" s="233" t="s">
        <v>55</v>
      </c>
      <c r="C241" s="234" t="s">
        <v>37</v>
      </c>
      <c r="D241" s="234" t="s">
        <v>40</v>
      </c>
      <c r="E241" s="234" t="s">
        <v>276</v>
      </c>
      <c r="F241" s="234" t="s">
        <v>116</v>
      </c>
      <c r="G241" s="235">
        <f>G242</f>
        <v>328500</v>
      </c>
      <c r="H241" s="235">
        <f>H242</f>
        <v>328500</v>
      </c>
      <c r="I241" s="234">
        <v>1220220640</v>
      </c>
      <c r="J241" s="370" t="str">
        <f t="shared" si="23"/>
        <v>1220220640</v>
      </c>
      <c r="K241" s="30" t="str">
        <f t="shared" si="24"/>
        <v>60104121220220640240</v>
      </c>
    </row>
    <row r="242" spans="1:11" s="4" customFormat="1" ht="25.5">
      <c r="A242" s="236" t="s">
        <v>973</v>
      </c>
      <c r="B242" s="233" t="s">
        <v>55</v>
      </c>
      <c r="C242" s="234" t="s">
        <v>37</v>
      </c>
      <c r="D242" s="234" t="s">
        <v>40</v>
      </c>
      <c r="E242" s="234" t="s">
        <v>276</v>
      </c>
      <c r="F242" s="234" t="s">
        <v>1043</v>
      </c>
      <c r="G242" s="235">
        <f>VLOOKUP(K242,'исх АС БЮДЖЕТ'!$A$10:$H$568,7,0)</f>
        <v>328500</v>
      </c>
      <c r="H242" s="235">
        <f>VLOOKUP(K242,'исх АС БЮДЖЕТ'!$A$10:$H$568,8,0)</f>
        <v>328500</v>
      </c>
      <c r="I242" s="234">
        <v>1220220640</v>
      </c>
      <c r="J242" s="370" t="str">
        <f t="shared" si="23"/>
        <v>1220220640</v>
      </c>
      <c r="K242" s="30" t="str">
        <f t="shared" si="24"/>
        <v>60104121220220640244</v>
      </c>
    </row>
    <row r="243" spans="1:11" s="3" customFormat="1">
      <c r="A243" s="224" t="s">
        <v>70</v>
      </c>
      <c r="B243" s="225" t="s">
        <v>55</v>
      </c>
      <c r="C243" s="226" t="s">
        <v>71</v>
      </c>
      <c r="D243" s="226" t="s">
        <v>51</v>
      </c>
      <c r="E243" s="226" t="s">
        <v>196</v>
      </c>
      <c r="F243" s="226" t="s">
        <v>58</v>
      </c>
      <c r="G243" s="227">
        <f t="shared" ref="G243:H248" si="31">G244</f>
        <v>160000</v>
      </c>
      <c r="H243" s="227">
        <f t="shared" si="31"/>
        <v>160000</v>
      </c>
      <c r="I243" s="226">
        <v>0</v>
      </c>
      <c r="J243" s="370" t="str">
        <f t="shared" si="23"/>
        <v>0000000000</v>
      </c>
      <c r="K243" s="30" t="str">
        <f t="shared" si="24"/>
        <v>60107000000000000000</v>
      </c>
    </row>
    <row r="244" spans="1:11" s="3" customFormat="1">
      <c r="A244" s="228" t="s">
        <v>664</v>
      </c>
      <c r="B244" s="229" t="s">
        <v>55</v>
      </c>
      <c r="C244" s="230" t="s">
        <v>71</v>
      </c>
      <c r="D244" s="230" t="s">
        <v>8</v>
      </c>
      <c r="E244" s="230" t="s">
        <v>196</v>
      </c>
      <c r="F244" s="230" t="s">
        <v>58</v>
      </c>
      <c r="G244" s="231">
        <f t="shared" si="31"/>
        <v>160000</v>
      </c>
      <c r="H244" s="231">
        <f t="shared" si="31"/>
        <v>160000</v>
      </c>
      <c r="I244" s="230">
        <v>0</v>
      </c>
      <c r="J244" s="370" t="str">
        <f t="shared" si="23"/>
        <v>0000000000</v>
      </c>
      <c r="K244" s="30" t="str">
        <f t="shared" si="24"/>
        <v>60107050000000000000</v>
      </c>
    </row>
    <row r="245" spans="1:11" s="3" customFormat="1" ht="25.5">
      <c r="A245" s="237" t="s">
        <v>748</v>
      </c>
      <c r="B245" s="233" t="s">
        <v>55</v>
      </c>
      <c r="C245" s="234" t="s">
        <v>71</v>
      </c>
      <c r="D245" s="234" t="s">
        <v>8</v>
      </c>
      <c r="E245" s="234" t="s">
        <v>220</v>
      </c>
      <c r="F245" s="234" t="s">
        <v>58</v>
      </c>
      <c r="G245" s="235">
        <f t="shared" si="31"/>
        <v>160000</v>
      </c>
      <c r="H245" s="235">
        <f t="shared" si="31"/>
        <v>160000</v>
      </c>
      <c r="I245" s="234">
        <v>1300000000</v>
      </c>
      <c r="J245" s="370" t="str">
        <f t="shared" si="23"/>
        <v>1300000000</v>
      </c>
      <c r="K245" s="30" t="str">
        <f t="shared" si="24"/>
        <v>60107051300000000000</v>
      </c>
    </row>
    <row r="246" spans="1:11" s="3" customFormat="1">
      <c r="A246" s="237" t="s">
        <v>749</v>
      </c>
      <c r="B246" s="233" t="s">
        <v>55</v>
      </c>
      <c r="C246" s="234" t="s">
        <v>71</v>
      </c>
      <c r="D246" s="234" t="s">
        <v>8</v>
      </c>
      <c r="E246" s="234" t="s">
        <v>221</v>
      </c>
      <c r="F246" s="234" t="s">
        <v>58</v>
      </c>
      <c r="G246" s="235">
        <f t="shared" si="31"/>
        <v>160000</v>
      </c>
      <c r="H246" s="235">
        <f t="shared" si="31"/>
        <v>160000</v>
      </c>
      <c r="I246" s="234">
        <v>1310000000</v>
      </c>
      <c r="J246" s="370" t="str">
        <f t="shared" si="23"/>
        <v>1310000000</v>
      </c>
      <c r="K246" s="30" t="str">
        <f t="shared" si="24"/>
        <v>60107051310000000000</v>
      </c>
    </row>
    <row r="247" spans="1:11" s="3" customFormat="1" ht="25.5">
      <c r="A247" s="237" t="s">
        <v>222</v>
      </c>
      <c r="B247" s="233" t="s">
        <v>55</v>
      </c>
      <c r="C247" s="234" t="s">
        <v>71</v>
      </c>
      <c r="D247" s="234" t="s">
        <v>8</v>
      </c>
      <c r="E247" s="234" t="s">
        <v>223</v>
      </c>
      <c r="F247" s="234" t="s">
        <v>58</v>
      </c>
      <c r="G247" s="235">
        <f t="shared" si="31"/>
        <v>160000</v>
      </c>
      <c r="H247" s="235">
        <f t="shared" si="31"/>
        <v>160000</v>
      </c>
      <c r="I247" s="234">
        <v>1310100000</v>
      </c>
      <c r="J247" s="370" t="str">
        <f t="shared" si="23"/>
        <v>1310100000</v>
      </c>
      <c r="K247" s="30" t="str">
        <f t="shared" si="24"/>
        <v>60107051310100000000</v>
      </c>
    </row>
    <row r="248" spans="1:11" s="3" customFormat="1" ht="25.5">
      <c r="A248" s="237" t="s">
        <v>877</v>
      </c>
      <c r="B248" s="233" t="s">
        <v>55</v>
      </c>
      <c r="C248" s="234" t="s">
        <v>71</v>
      </c>
      <c r="D248" s="234" t="s">
        <v>8</v>
      </c>
      <c r="E248" s="234" t="s">
        <v>224</v>
      </c>
      <c r="F248" s="234" t="s">
        <v>58</v>
      </c>
      <c r="G248" s="235">
        <f t="shared" si="31"/>
        <v>160000</v>
      </c>
      <c r="H248" s="235">
        <f t="shared" si="31"/>
        <v>160000</v>
      </c>
      <c r="I248" s="234">
        <v>1310120450</v>
      </c>
      <c r="J248" s="370" t="str">
        <f t="shared" si="23"/>
        <v>1310120450</v>
      </c>
      <c r="K248" s="30" t="str">
        <f t="shared" si="24"/>
        <v>60107051310120450000</v>
      </c>
    </row>
    <row r="249" spans="1:11" s="3" customFormat="1" ht="25.5">
      <c r="A249" s="232" t="s">
        <v>108</v>
      </c>
      <c r="B249" s="233" t="s">
        <v>55</v>
      </c>
      <c r="C249" s="234" t="s">
        <v>71</v>
      </c>
      <c r="D249" s="234" t="s">
        <v>8</v>
      </c>
      <c r="E249" s="234" t="s">
        <v>224</v>
      </c>
      <c r="F249" s="234" t="s">
        <v>116</v>
      </c>
      <c r="G249" s="235">
        <f>G250</f>
        <v>160000</v>
      </c>
      <c r="H249" s="235">
        <f>H250</f>
        <v>160000</v>
      </c>
      <c r="I249" s="234">
        <v>1310120450</v>
      </c>
      <c r="J249" s="370" t="str">
        <f t="shared" si="23"/>
        <v>1310120450</v>
      </c>
      <c r="K249" s="30" t="str">
        <f t="shared" si="24"/>
        <v>60107051310120450240</v>
      </c>
    </row>
    <row r="250" spans="1:11" s="4" customFormat="1" ht="25.5">
      <c r="A250" s="236" t="s">
        <v>973</v>
      </c>
      <c r="B250" s="233" t="s">
        <v>55</v>
      </c>
      <c r="C250" s="234" t="s">
        <v>71</v>
      </c>
      <c r="D250" s="234" t="s">
        <v>8</v>
      </c>
      <c r="E250" s="234" t="s">
        <v>224</v>
      </c>
      <c r="F250" s="234" t="s">
        <v>1043</v>
      </c>
      <c r="G250" s="235">
        <f>VLOOKUP(K250,'исх АС БЮДЖЕТ'!$A$10:$H$568,7,0)</f>
        <v>160000</v>
      </c>
      <c r="H250" s="235">
        <f>VLOOKUP(K250,'исх АС БЮДЖЕТ'!$A$10:$H$568,8,0)</f>
        <v>160000</v>
      </c>
      <c r="I250" s="234">
        <v>1310120450</v>
      </c>
      <c r="J250" s="370" t="str">
        <f t="shared" si="23"/>
        <v>1310120450</v>
      </c>
      <c r="K250" s="30" t="str">
        <f t="shared" si="24"/>
        <v>60107051310120450244</v>
      </c>
    </row>
    <row r="251" spans="1:11" s="3" customFormat="1">
      <c r="A251" s="224" t="s">
        <v>499</v>
      </c>
      <c r="B251" s="225" t="s">
        <v>55</v>
      </c>
      <c r="C251" s="226" t="s">
        <v>50</v>
      </c>
      <c r="D251" s="226" t="s">
        <v>51</v>
      </c>
      <c r="E251" s="226" t="s">
        <v>196</v>
      </c>
      <c r="F251" s="226" t="s">
        <v>58</v>
      </c>
      <c r="G251" s="227">
        <f t="shared" ref="G251:H255" si="32">G252</f>
        <v>1911000</v>
      </c>
      <c r="H251" s="227">
        <f t="shared" si="32"/>
        <v>1911000</v>
      </c>
      <c r="I251" s="226">
        <v>0</v>
      </c>
      <c r="J251" s="370" t="str">
        <f t="shared" si="23"/>
        <v>0000000000</v>
      </c>
      <c r="K251" s="30" t="str">
        <f t="shared" si="24"/>
        <v>60108000000000000000</v>
      </c>
    </row>
    <row r="252" spans="1:11" s="3" customFormat="1">
      <c r="A252" s="228" t="s">
        <v>27</v>
      </c>
      <c r="B252" s="229" t="s">
        <v>55</v>
      </c>
      <c r="C252" s="230" t="s">
        <v>50</v>
      </c>
      <c r="D252" s="230" t="s">
        <v>65</v>
      </c>
      <c r="E252" s="230" t="s">
        <v>196</v>
      </c>
      <c r="F252" s="230" t="s">
        <v>58</v>
      </c>
      <c r="G252" s="231">
        <f t="shared" si="32"/>
        <v>1911000</v>
      </c>
      <c r="H252" s="231">
        <f t="shared" si="32"/>
        <v>1911000</v>
      </c>
      <c r="I252" s="230">
        <v>0</v>
      </c>
      <c r="J252" s="370" t="str">
        <f t="shared" si="23"/>
        <v>0000000000</v>
      </c>
      <c r="K252" s="30" t="str">
        <f t="shared" si="24"/>
        <v>60108010000000000000</v>
      </c>
    </row>
    <row r="253" spans="1:11" s="3" customFormat="1">
      <c r="A253" s="232" t="s">
        <v>739</v>
      </c>
      <c r="B253" s="233" t="s">
        <v>55</v>
      </c>
      <c r="C253" s="234" t="s">
        <v>50</v>
      </c>
      <c r="D253" s="234" t="s">
        <v>65</v>
      </c>
      <c r="E253" s="234" t="s">
        <v>277</v>
      </c>
      <c r="F253" s="234" t="s">
        <v>58</v>
      </c>
      <c r="G253" s="235">
        <f t="shared" si="32"/>
        <v>1911000</v>
      </c>
      <c r="H253" s="235">
        <f t="shared" si="32"/>
        <v>1911000</v>
      </c>
      <c r="I253" s="234">
        <v>700000000</v>
      </c>
      <c r="J253" s="370" t="str">
        <f t="shared" si="23"/>
        <v>0700000000</v>
      </c>
      <c r="K253" s="30" t="str">
        <f t="shared" si="24"/>
        <v>60108010700000000000</v>
      </c>
    </row>
    <row r="254" spans="1:11" s="3" customFormat="1" ht="38.25">
      <c r="A254" s="237" t="s">
        <v>191</v>
      </c>
      <c r="B254" s="233" t="s">
        <v>55</v>
      </c>
      <c r="C254" s="234" t="s">
        <v>50</v>
      </c>
      <c r="D254" s="234" t="s">
        <v>65</v>
      </c>
      <c r="E254" s="234" t="s">
        <v>278</v>
      </c>
      <c r="F254" s="234" t="s">
        <v>58</v>
      </c>
      <c r="G254" s="235">
        <f t="shared" si="32"/>
        <v>1911000</v>
      </c>
      <c r="H254" s="235">
        <f t="shared" si="32"/>
        <v>1911000</v>
      </c>
      <c r="I254" s="234">
        <v>710000000</v>
      </c>
      <c r="J254" s="370" t="str">
        <f t="shared" si="23"/>
        <v>0710000000</v>
      </c>
      <c r="K254" s="30" t="str">
        <f t="shared" si="24"/>
        <v>60108010710000000000</v>
      </c>
    </row>
    <row r="255" spans="1:11" s="3" customFormat="1" ht="51">
      <c r="A255" s="237" t="s">
        <v>605</v>
      </c>
      <c r="B255" s="233" t="s">
        <v>55</v>
      </c>
      <c r="C255" s="234" t="s">
        <v>50</v>
      </c>
      <c r="D255" s="234" t="s">
        <v>65</v>
      </c>
      <c r="E255" s="234" t="s">
        <v>279</v>
      </c>
      <c r="F255" s="234" t="s">
        <v>58</v>
      </c>
      <c r="G255" s="235">
        <f t="shared" si="32"/>
        <v>1911000</v>
      </c>
      <c r="H255" s="235">
        <f t="shared" si="32"/>
        <v>1911000</v>
      </c>
      <c r="I255" s="234">
        <v>710100000</v>
      </c>
      <c r="J255" s="370" t="str">
        <f t="shared" si="23"/>
        <v>0710100000</v>
      </c>
      <c r="K255" s="30" t="str">
        <f t="shared" si="24"/>
        <v>60108010710100000000</v>
      </c>
    </row>
    <row r="256" spans="1:11" s="3" customFormat="1">
      <c r="A256" s="237" t="s">
        <v>161</v>
      </c>
      <c r="B256" s="233" t="s">
        <v>55</v>
      </c>
      <c r="C256" s="234" t="s">
        <v>50</v>
      </c>
      <c r="D256" s="234" t="s">
        <v>65</v>
      </c>
      <c r="E256" s="234" t="s">
        <v>320</v>
      </c>
      <c r="F256" s="234" t="s">
        <v>58</v>
      </c>
      <c r="G256" s="235">
        <f>G257</f>
        <v>1911000</v>
      </c>
      <c r="H256" s="235">
        <f>H257</f>
        <v>1911000</v>
      </c>
      <c r="I256" s="234">
        <v>710120060</v>
      </c>
      <c r="J256" s="370" t="str">
        <f t="shared" si="23"/>
        <v>0710120060</v>
      </c>
      <c r="K256" s="30" t="str">
        <f t="shared" si="24"/>
        <v>60108010710120060000</v>
      </c>
    </row>
    <row r="257" spans="1:11" s="3" customFormat="1" ht="25.5">
      <c r="A257" s="232" t="s">
        <v>108</v>
      </c>
      <c r="B257" s="233" t="s">
        <v>55</v>
      </c>
      <c r="C257" s="234" t="s">
        <v>50</v>
      </c>
      <c r="D257" s="234" t="s">
        <v>65</v>
      </c>
      <c r="E257" s="234" t="s">
        <v>320</v>
      </c>
      <c r="F257" s="234" t="s">
        <v>116</v>
      </c>
      <c r="G257" s="235">
        <f>G258</f>
        <v>1911000</v>
      </c>
      <c r="H257" s="235">
        <f>H258</f>
        <v>1911000</v>
      </c>
      <c r="I257" s="234">
        <v>710120060</v>
      </c>
      <c r="J257" s="370" t="str">
        <f t="shared" si="23"/>
        <v>0710120060</v>
      </c>
      <c r="K257" s="30" t="str">
        <f t="shared" si="24"/>
        <v>60108010710120060240</v>
      </c>
    </row>
    <row r="258" spans="1:11" s="4" customFormat="1" ht="25.5">
      <c r="A258" s="236" t="s">
        <v>973</v>
      </c>
      <c r="B258" s="233" t="s">
        <v>55</v>
      </c>
      <c r="C258" s="234" t="s">
        <v>50</v>
      </c>
      <c r="D258" s="234" t="s">
        <v>65</v>
      </c>
      <c r="E258" s="234" t="s">
        <v>320</v>
      </c>
      <c r="F258" s="234" t="s">
        <v>1043</v>
      </c>
      <c r="G258" s="235">
        <f>VLOOKUP(K258,'исх АС БЮДЖЕТ'!$A$10:$H$568,7,0)</f>
        <v>1911000</v>
      </c>
      <c r="H258" s="235">
        <f>VLOOKUP(K258,'исх АС БЮДЖЕТ'!$A$10:$H$568,8,0)</f>
        <v>1911000</v>
      </c>
      <c r="I258" s="234">
        <v>710120060</v>
      </c>
      <c r="J258" s="370" t="str">
        <f t="shared" si="23"/>
        <v>0710120060</v>
      </c>
      <c r="K258" s="30" t="str">
        <f t="shared" si="24"/>
        <v>60108010710120060244</v>
      </c>
    </row>
    <row r="259" spans="1:11" s="3" customFormat="1">
      <c r="A259" s="224" t="s">
        <v>77</v>
      </c>
      <c r="B259" s="225" t="s">
        <v>55</v>
      </c>
      <c r="C259" s="226" t="s">
        <v>40</v>
      </c>
      <c r="D259" s="226" t="s">
        <v>51</v>
      </c>
      <c r="E259" s="226" t="s">
        <v>196</v>
      </c>
      <c r="F259" s="226" t="s">
        <v>58</v>
      </c>
      <c r="G259" s="227">
        <f>G267+G260</f>
        <v>20457500</v>
      </c>
      <c r="H259" s="227">
        <f>H267+H260</f>
        <v>20457500</v>
      </c>
      <c r="I259" s="226">
        <v>0</v>
      </c>
      <c r="J259" s="370" t="str">
        <f t="shared" si="23"/>
        <v>0000000000</v>
      </c>
      <c r="K259" s="30" t="str">
        <f t="shared" si="24"/>
        <v>60112000000000000000</v>
      </c>
    </row>
    <row r="260" spans="1:11" s="3" customFormat="1">
      <c r="A260" s="228" t="s">
        <v>906</v>
      </c>
      <c r="B260" s="229" t="s">
        <v>55</v>
      </c>
      <c r="C260" s="230" t="s">
        <v>40</v>
      </c>
      <c r="D260" s="230" t="s">
        <v>65</v>
      </c>
      <c r="E260" s="230" t="s">
        <v>196</v>
      </c>
      <c r="F260" s="230" t="s">
        <v>58</v>
      </c>
      <c r="G260" s="231">
        <f t="shared" ref="G260:H265" si="33">G261</f>
        <v>5900500</v>
      </c>
      <c r="H260" s="231">
        <f t="shared" si="33"/>
        <v>5900500</v>
      </c>
      <c r="I260" s="230">
        <v>0</v>
      </c>
      <c r="J260" s="370" t="str">
        <f t="shared" si="23"/>
        <v>0000000000</v>
      </c>
      <c r="K260" s="30" t="str">
        <f t="shared" si="24"/>
        <v>60112010000000000000</v>
      </c>
    </row>
    <row r="261" spans="1:11" s="3" customFormat="1" ht="38.25">
      <c r="A261" s="237" t="s">
        <v>751</v>
      </c>
      <c r="B261" s="233" t="s">
        <v>55</v>
      </c>
      <c r="C261" s="234" t="s">
        <v>40</v>
      </c>
      <c r="D261" s="234" t="s">
        <v>65</v>
      </c>
      <c r="E261" s="234" t="s">
        <v>229</v>
      </c>
      <c r="F261" s="234" t="s">
        <v>58</v>
      </c>
      <c r="G261" s="235">
        <f t="shared" si="33"/>
        <v>5900500</v>
      </c>
      <c r="H261" s="235">
        <f t="shared" si="33"/>
        <v>5900500</v>
      </c>
      <c r="I261" s="234">
        <v>1400000000</v>
      </c>
      <c r="J261" s="370" t="str">
        <f t="shared" si="23"/>
        <v>1400000000</v>
      </c>
      <c r="K261" s="30" t="str">
        <f t="shared" si="24"/>
        <v>60112011400000000000</v>
      </c>
    </row>
    <row r="262" spans="1:11" s="3" customFormat="1">
      <c r="A262" s="237" t="s">
        <v>119</v>
      </c>
      <c r="B262" s="233" t="s">
        <v>55</v>
      </c>
      <c r="C262" s="234" t="s">
        <v>40</v>
      </c>
      <c r="D262" s="234" t="s">
        <v>65</v>
      </c>
      <c r="E262" s="234" t="s">
        <v>230</v>
      </c>
      <c r="F262" s="234" t="s">
        <v>58</v>
      </c>
      <c r="G262" s="235">
        <f t="shared" si="33"/>
        <v>5900500</v>
      </c>
      <c r="H262" s="235">
        <f t="shared" si="33"/>
        <v>5900500</v>
      </c>
      <c r="I262" s="234">
        <v>1410000000</v>
      </c>
      <c r="J262" s="370" t="str">
        <f t="shared" si="23"/>
        <v>1410000000</v>
      </c>
      <c r="K262" s="30" t="str">
        <f t="shared" si="24"/>
        <v>60112011410000000000</v>
      </c>
    </row>
    <row r="263" spans="1:11" s="3" customFormat="1" ht="38.25">
      <c r="A263" s="237" t="s">
        <v>237</v>
      </c>
      <c r="B263" s="233" t="s">
        <v>55</v>
      </c>
      <c r="C263" s="234" t="s">
        <v>40</v>
      </c>
      <c r="D263" s="234" t="s">
        <v>65</v>
      </c>
      <c r="E263" s="234" t="s">
        <v>238</v>
      </c>
      <c r="F263" s="234" t="s">
        <v>58</v>
      </c>
      <c r="G263" s="235">
        <f t="shared" si="33"/>
        <v>5900500</v>
      </c>
      <c r="H263" s="235">
        <f t="shared" si="33"/>
        <v>5900500</v>
      </c>
      <c r="I263" s="234">
        <v>1410300000</v>
      </c>
      <c r="J263" s="370" t="str">
        <f t="shared" ref="J263:J320" si="34">TEXT(I263,"0000000000")</f>
        <v>1410300000</v>
      </c>
      <c r="K263" s="30" t="str">
        <f t="shared" ref="K263:K320" si="35">CONCATENATE(B263,C263,D263,J263,F263)</f>
        <v>60112011410300000000</v>
      </c>
    </row>
    <row r="264" spans="1:11" s="3" customFormat="1">
      <c r="A264" s="237" t="s">
        <v>120</v>
      </c>
      <c r="B264" s="233" t="s">
        <v>55</v>
      </c>
      <c r="C264" s="234" t="s">
        <v>40</v>
      </c>
      <c r="D264" s="234" t="s">
        <v>65</v>
      </c>
      <c r="E264" s="234" t="s">
        <v>907</v>
      </c>
      <c r="F264" s="234" t="s">
        <v>58</v>
      </c>
      <c r="G264" s="235">
        <f t="shared" si="33"/>
        <v>5900500</v>
      </c>
      <c r="H264" s="235">
        <f t="shared" si="33"/>
        <v>5900500</v>
      </c>
      <c r="I264" s="234">
        <v>1410398710</v>
      </c>
      <c r="J264" s="370" t="str">
        <f t="shared" si="34"/>
        <v>1410398710</v>
      </c>
      <c r="K264" s="30" t="str">
        <f t="shared" si="35"/>
        <v>60112011410398710000</v>
      </c>
    </row>
    <row r="265" spans="1:11" s="3" customFormat="1" ht="25.5">
      <c r="A265" s="232" t="s">
        <v>108</v>
      </c>
      <c r="B265" s="233" t="s">
        <v>55</v>
      </c>
      <c r="C265" s="234" t="s">
        <v>40</v>
      </c>
      <c r="D265" s="234" t="s">
        <v>65</v>
      </c>
      <c r="E265" s="234" t="s">
        <v>907</v>
      </c>
      <c r="F265" s="234" t="s">
        <v>116</v>
      </c>
      <c r="G265" s="235">
        <f t="shared" si="33"/>
        <v>5900500</v>
      </c>
      <c r="H265" s="235">
        <f t="shared" si="33"/>
        <v>5900500</v>
      </c>
      <c r="I265" s="234">
        <v>1410398710</v>
      </c>
      <c r="J265" s="370" t="str">
        <f t="shared" si="34"/>
        <v>1410398710</v>
      </c>
      <c r="K265" s="30" t="str">
        <f t="shared" si="35"/>
        <v>60112011410398710240</v>
      </c>
    </row>
    <row r="266" spans="1:11" s="4" customFormat="1" ht="25.5">
      <c r="A266" s="236" t="s">
        <v>973</v>
      </c>
      <c r="B266" s="233" t="s">
        <v>55</v>
      </c>
      <c r="C266" s="234" t="s">
        <v>40</v>
      </c>
      <c r="D266" s="234" t="s">
        <v>65</v>
      </c>
      <c r="E266" s="234" t="s">
        <v>907</v>
      </c>
      <c r="F266" s="234" t="s">
        <v>1043</v>
      </c>
      <c r="G266" s="235">
        <f>VLOOKUP(K266,'исх АС БЮДЖЕТ'!$A$10:$H$568,7,0)</f>
        <v>5900500</v>
      </c>
      <c r="H266" s="235">
        <f>VLOOKUP(K266,'исх АС БЮДЖЕТ'!$A$10:$H$568,8,0)</f>
        <v>5900500</v>
      </c>
      <c r="I266" s="234">
        <v>1410398710</v>
      </c>
      <c r="J266" s="370" t="str">
        <f t="shared" si="34"/>
        <v>1410398710</v>
      </c>
      <c r="K266" s="30" t="str">
        <f t="shared" si="35"/>
        <v>60112011410398710244</v>
      </c>
    </row>
    <row r="267" spans="1:11" s="3" customFormat="1">
      <c r="A267" s="228" t="s">
        <v>52</v>
      </c>
      <c r="B267" s="229" t="s">
        <v>55</v>
      </c>
      <c r="C267" s="230" t="s">
        <v>40</v>
      </c>
      <c r="D267" s="230" t="s">
        <v>66</v>
      </c>
      <c r="E267" s="230" t="s">
        <v>196</v>
      </c>
      <c r="F267" s="230" t="s">
        <v>58</v>
      </c>
      <c r="G267" s="231">
        <f t="shared" ref="G267:H275" si="36">G268</f>
        <v>14557000</v>
      </c>
      <c r="H267" s="231">
        <f t="shared" si="36"/>
        <v>14557000</v>
      </c>
      <c r="I267" s="230">
        <v>0</v>
      </c>
      <c r="J267" s="370" t="str">
        <f t="shared" si="34"/>
        <v>0000000000</v>
      </c>
      <c r="K267" s="30" t="str">
        <f t="shared" si="35"/>
        <v>60112020000000000000</v>
      </c>
    </row>
    <row r="268" spans="1:11" s="3" customFormat="1" ht="38.25">
      <c r="A268" s="237" t="s">
        <v>751</v>
      </c>
      <c r="B268" s="233" t="s">
        <v>55</v>
      </c>
      <c r="C268" s="234" t="s">
        <v>40</v>
      </c>
      <c r="D268" s="234" t="s">
        <v>66</v>
      </c>
      <c r="E268" s="234" t="s">
        <v>229</v>
      </c>
      <c r="F268" s="234" t="s">
        <v>58</v>
      </c>
      <c r="G268" s="235">
        <f t="shared" si="36"/>
        <v>14557000</v>
      </c>
      <c r="H268" s="235">
        <f t="shared" si="36"/>
        <v>14557000</v>
      </c>
      <c r="I268" s="234">
        <v>1400000000</v>
      </c>
      <c r="J268" s="370" t="str">
        <f t="shared" si="34"/>
        <v>1400000000</v>
      </c>
      <c r="K268" s="30" t="str">
        <f t="shared" si="35"/>
        <v>60112021400000000000</v>
      </c>
    </row>
    <row r="269" spans="1:11" s="3" customFormat="1">
      <c r="A269" s="237" t="s">
        <v>119</v>
      </c>
      <c r="B269" s="233" t="s">
        <v>55</v>
      </c>
      <c r="C269" s="234" t="s">
        <v>40</v>
      </c>
      <c r="D269" s="234" t="s">
        <v>66</v>
      </c>
      <c r="E269" s="234" t="s">
        <v>230</v>
      </c>
      <c r="F269" s="234" t="s">
        <v>58</v>
      </c>
      <c r="G269" s="235">
        <f>G274+G270</f>
        <v>14557000</v>
      </c>
      <c r="H269" s="235">
        <f>H274+H270</f>
        <v>14557000</v>
      </c>
      <c r="I269" s="234">
        <v>1410000000</v>
      </c>
      <c r="J269" s="370" t="str">
        <f t="shared" si="34"/>
        <v>1410000000</v>
      </c>
      <c r="K269" s="30" t="str">
        <f t="shared" si="35"/>
        <v>60112021410000000000</v>
      </c>
    </row>
    <row r="270" spans="1:11" s="3" customFormat="1" ht="38.25">
      <c r="A270" s="237" t="s">
        <v>237</v>
      </c>
      <c r="B270" s="233" t="s">
        <v>55</v>
      </c>
      <c r="C270" s="234" t="s">
        <v>40</v>
      </c>
      <c r="D270" s="234" t="s">
        <v>66</v>
      </c>
      <c r="E270" s="234" t="s">
        <v>238</v>
      </c>
      <c r="F270" s="234" t="s">
        <v>58</v>
      </c>
      <c r="G270" s="235">
        <f t="shared" ref="G270:H272" si="37">G271</f>
        <v>1190000</v>
      </c>
      <c r="H270" s="235">
        <f t="shared" si="37"/>
        <v>1190000</v>
      </c>
      <c r="I270" s="234">
        <v>1410300000</v>
      </c>
      <c r="J270" s="370" t="str">
        <f t="shared" si="34"/>
        <v>1410300000</v>
      </c>
      <c r="K270" s="30" t="str">
        <f t="shared" si="35"/>
        <v>60112021410300000000</v>
      </c>
    </row>
    <row r="271" spans="1:11" s="3" customFormat="1">
      <c r="A271" s="237" t="s">
        <v>120</v>
      </c>
      <c r="B271" s="233" t="s">
        <v>55</v>
      </c>
      <c r="C271" s="234" t="s">
        <v>40</v>
      </c>
      <c r="D271" s="234" t="s">
        <v>66</v>
      </c>
      <c r="E271" s="234" t="s">
        <v>907</v>
      </c>
      <c r="F271" s="234" t="s">
        <v>58</v>
      </c>
      <c r="G271" s="235">
        <f t="shared" si="37"/>
        <v>1190000</v>
      </c>
      <c r="H271" s="235">
        <f t="shared" si="37"/>
        <v>1190000</v>
      </c>
      <c r="I271" s="234">
        <v>1410398710</v>
      </c>
      <c r="J271" s="370" t="str">
        <f t="shared" si="34"/>
        <v>1410398710</v>
      </c>
      <c r="K271" s="30" t="str">
        <f t="shared" si="35"/>
        <v>60112021410398710000</v>
      </c>
    </row>
    <row r="272" spans="1:11" s="3" customFormat="1" ht="25.5">
      <c r="A272" s="232" t="s">
        <v>108</v>
      </c>
      <c r="B272" s="233" t="s">
        <v>55</v>
      </c>
      <c r="C272" s="234" t="s">
        <v>40</v>
      </c>
      <c r="D272" s="234" t="s">
        <v>66</v>
      </c>
      <c r="E272" s="234" t="s">
        <v>907</v>
      </c>
      <c r="F272" s="234" t="s">
        <v>116</v>
      </c>
      <c r="G272" s="235">
        <f t="shared" si="37"/>
        <v>1190000</v>
      </c>
      <c r="H272" s="235">
        <f t="shared" si="37"/>
        <v>1190000</v>
      </c>
      <c r="I272" s="234">
        <v>1410398710</v>
      </c>
      <c r="J272" s="370" t="str">
        <f t="shared" si="34"/>
        <v>1410398710</v>
      </c>
      <c r="K272" s="30" t="str">
        <f t="shared" si="35"/>
        <v>60112021410398710240</v>
      </c>
    </row>
    <row r="273" spans="1:11" s="4" customFormat="1" ht="25.5">
      <c r="A273" s="236" t="s">
        <v>973</v>
      </c>
      <c r="B273" s="233" t="s">
        <v>55</v>
      </c>
      <c r="C273" s="234" t="s">
        <v>40</v>
      </c>
      <c r="D273" s="234" t="s">
        <v>66</v>
      </c>
      <c r="E273" s="234" t="s">
        <v>907</v>
      </c>
      <c r="F273" s="234" t="s">
        <v>1043</v>
      </c>
      <c r="G273" s="235">
        <f>VLOOKUP(K273,'исх АС БЮДЖЕТ'!$A$10:$H$568,7,0)</f>
        <v>1190000</v>
      </c>
      <c r="H273" s="235">
        <f>VLOOKUP(K273,'исх АС БЮДЖЕТ'!$A$10:$H$568,8,0)</f>
        <v>1190000</v>
      </c>
      <c r="I273" s="234">
        <v>1410398710</v>
      </c>
      <c r="J273" s="370" t="str">
        <f t="shared" si="34"/>
        <v>1410398710</v>
      </c>
      <c r="K273" s="30" t="str">
        <f t="shared" si="35"/>
        <v>60112021410398710244</v>
      </c>
    </row>
    <row r="274" spans="1:11" s="3" customFormat="1" ht="25.5">
      <c r="A274" s="237" t="s">
        <v>603</v>
      </c>
      <c r="B274" s="233" t="s">
        <v>55</v>
      </c>
      <c r="C274" s="234" t="s">
        <v>40</v>
      </c>
      <c r="D274" s="234" t="s">
        <v>66</v>
      </c>
      <c r="E274" s="234" t="s">
        <v>239</v>
      </c>
      <c r="F274" s="234" t="s">
        <v>58</v>
      </c>
      <c r="G274" s="235">
        <f>G275</f>
        <v>13367000</v>
      </c>
      <c r="H274" s="235">
        <f>H275</f>
        <v>13367000</v>
      </c>
      <c r="I274" s="234">
        <v>1410400000</v>
      </c>
      <c r="J274" s="370" t="str">
        <f t="shared" si="34"/>
        <v>1410400000</v>
      </c>
      <c r="K274" s="30" t="str">
        <f t="shared" si="35"/>
        <v>60112021410400000000</v>
      </c>
    </row>
    <row r="275" spans="1:11" s="3" customFormat="1" ht="25.5">
      <c r="A275" s="237" t="s">
        <v>171</v>
      </c>
      <c r="B275" s="233" t="s">
        <v>55</v>
      </c>
      <c r="C275" s="234" t="s">
        <v>40</v>
      </c>
      <c r="D275" s="234" t="s">
        <v>66</v>
      </c>
      <c r="E275" s="234" t="s">
        <v>929</v>
      </c>
      <c r="F275" s="234" t="s">
        <v>58</v>
      </c>
      <c r="G275" s="235">
        <f t="shared" si="36"/>
        <v>13367000</v>
      </c>
      <c r="H275" s="235">
        <f t="shared" si="36"/>
        <v>13367000</v>
      </c>
      <c r="I275" s="234">
        <v>1410498720</v>
      </c>
      <c r="J275" s="370" t="str">
        <f t="shared" si="34"/>
        <v>1410498720</v>
      </c>
      <c r="K275" s="30" t="str">
        <f t="shared" si="35"/>
        <v>60112021410498720000</v>
      </c>
    </row>
    <row r="276" spans="1:11" s="3" customFormat="1" ht="38.25">
      <c r="A276" s="237" t="s">
        <v>561</v>
      </c>
      <c r="B276" s="233" t="s">
        <v>55</v>
      </c>
      <c r="C276" s="234" t="s">
        <v>40</v>
      </c>
      <c r="D276" s="234" t="s">
        <v>66</v>
      </c>
      <c r="E276" s="234" t="s">
        <v>929</v>
      </c>
      <c r="F276" s="234" t="s">
        <v>101</v>
      </c>
      <c r="G276" s="235">
        <f>G277</f>
        <v>13367000</v>
      </c>
      <c r="H276" s="235">
        <f>H277</f>
        <v>13367000</v>
      </c>
      <c r="I276" s="234">
        <v>1410498720</v>
      </c>
      <c r="J276" s="370" t="str">
        <f t="shared" si="34"/>
        <v>1410498720</v>
      </c>
      <c r="K276" s="30" t="str">
        <f t="shared" si="35"/>
        <v>60112021410498720810</v>
      </c>
    </row>
    <row r="277" spans="1:11" s="4" customFormat="1" ht="38.25">
      <c r="A277" s="236" t="s">
        <v>1047</v>
      </c>
      <c r="B277" s="233" t="s">
        <v>55</v>
      </c>
      <c r="C277" s="234" t="s">
        <v>40</v>
      </c>
      <c r="D277" s="234" t="s">
        <v>66</v>
      </c>
      <c r="E277" s="234" t="s">
        <v>929</v>
      </c>
      <c r="F277" s="234" t="s">
        <v>1050</v>
      </c>
      <c r="G277" s="235">
        <f>VLOOKUP(K277,'исх АС БЮДЖЕТ'!$A$10:$H$568,7,0)</f>
        <v>13367000</v>
      </c>
      <c r="H277" s="235">
        <f>VLOOKUP(K277,'исх АС БЮДЖЕТ'!$A$10:$H$568,8,0)</f>
        <v>13367000</v>
      </c>
      <c r="I277" s="234">
        <v>1410498720</v>
      </c>
      <c r="J277" s="370" t="str">
        <f t="shared" si="34"/>
        <v>1410498720</v>
      </c>
      <c r="K277" s="30" t="str">
        <f t="shared" si="35"/>
        <v>60112021410498720811</v>
      </c>
    </row>
    <row r="278" spans="1:11" s="4" customFormat="1">
      <c r="A278" s="236"/>
      <c r="B278" s="233"/>
      <c r="C278" s="234"/>
      <c r="D278" s="234"/>
      <c r="E278" s="234"/>
      <c r="F278" s="234"/>
      <c r="G278" s="235"/>
      <c r="H278" s="235"/>
      <c r="I278" s="234"/>
      <c r="J278" s="370"/>
      <c r="K278" s="30"/>
    </row>
    <row r="279" spans="1:11" s="109" customFormat="1">
      <c r="A279" s="219" t="s">
        <v>60</v>
      </c>
      <c r="B279" s="220" t="s">
        <v>29</v>
      </c>
      <c r="C279" s="221" t="s">
        <v>51</v>
      </c>
      <c r="D279" s="221" t="s">
        <v>51</v>
      </c>
      <c r="E279" s="221" t="s">
        <v>196</v>
      </c>
      <c r="F279" s="221" t="s">
        <v>58</v>
      </c>
      <c r="G279" s="222">
        <f>G280+G321</f>
        <v>67262680</v>
      </c>
      <c r="H279" s="222">
        <f>H280+H321</f>
        <v>67262680</v>
      </c>
      <c r="I279" s="221">
        <v>0</v>
      </c>
      <c r="J279" s="370" t="str">
        <f t="shared" si="34"/>
        <v>0000000000</v>
      </c>
      <c r="K279" s="30" t="str">
        <f t="shared" si="35"/>
        <v>60200000000000000000</v>
      </c>
    </row>
    <row r="280" spans="1:11" s="109" customFormat="1">
      <c r="A280" s="224" t="s">
        <v>64</v>
      </c>
      <c r="B280" s="225" t="s">
        <v>29</v>
      </c>
      <c r="C280" s="226" t="s">
        <v>65</v>
      </c>
      <c r="D280" s="226" t="s">
        <v>51</v>
      </c>
      <c r="E280" s="226" t="s">
        <v>196</v>
      </c>
      <c r="F280" s="226" t="s">
        <v>58</v>
      </c>
      <c r="G280" s="227">
        <f>G281</f>
        <v>66470680</v>
      </c>
      <c r="H280" s="227">
        <f>H281</f>
        <v>66470680</v>
      </c>
      <c r="I280" s="226">
        <v>0</v>
      </c>
      <c r="J280" s="370" t="str">
        <f t="shared" si="34"/>
        <v>0000000000</v>
      </c>
      <c r="K280" s="30" t="str">
        <f t="shared" si="35"/>
        <v>60201000000000000000</v>
      </c>
    </row>
    <row r="281" spans="1:11" s="109" customFormat="1">
      <c r="A281" s="228" t="s">
        <v>38</v>
      </c>
      <c r="B281" s="229" t="s">
        <v>29</v>
      </c>
      <c r="C281" s="230" t="s">
        <v>65</v>
      </c>
      <c r="D281" s="230" t="s">
        <v>84</v>
      </c>
      <c r="E281" s="230" t="s">
        <v>196</v>
      </c>
      <c r="F281" s="230" t="s">
        <v>58</v>
      </c>
      <c r="G281" s="231">
        <f>G282+G306+G300</f>
        <v>66470680</v>
      </c>
      <c r="H281" s="231">
        <f>H282+H306+H300</f>
        <v>66470680</v>
      </c>
      <c r="I281" s="230">
        <v>0</v>
      </c>
      <c r="J281" s="370" t="str">
        <f t="shared" si="34"/>
        <v>0000000000</v>
      </c>
      <c r="K281" s="30" t="str">
        <f t="shared" si="35"/>
        <v>60201130000000000000</v>
      </c>
    </row>
    <row r="282" spans="1:11" s="109" customFormat="1" ht="38.25">
      <c r="A282" s="244" t="s">
        <v>745</v>
      </c>
      <c r="B282" s="233" t="s">
        <v>29</v>
      </c>
      <c r="C282" s="234" t="s">
        <v>65</v>
      </c>
      <c r="D282" s="234" t="s">
        <v>84</v>
      </c>
      <c r="E282" s="234" t="s">
        <v>280</v>
      </c>
      <c r="F282" s="234" t="s">
        <v>58</v>
      </c>
      <c r="G282" s="235">
        <f>G283</f>
        <v>5065270</v>
      </c>
      <c r="H282" s="235">
        <f>H283</f>
        <v>5065270</v>
      </c>
      <c r="I282" s="234">
        <v>1100000000</v>
      </c>
      <c r="J282" s="370" t="str">
        <f t="shared" si="34"/>
        <v>1100000000</v>
      </c>
      <c r="K282" s="30" t="str">
        <f t="shared" si="35"/>
        <v>60201131100000000000</v>
      </c>
    </row>
    <row r="283" spans="1:11" s="109" customFormat="1" ht="38.25">
      <c r="A283" s="244" t="s">
        <v>746</v>
      </c>
      <c r="B283" s="233" t="s">
        <v>29</v>
      </c>
      <c r="C283" s="234" t="s">
        <v>65</v>
      </c>
      <c r="D283" s="234" t="s">
        <v>84</v>
      </c>
      <c r="E283" s="234" t="s">
        <v>281</v>
      </c>
      <c r="F283" s="234" t="s">
        <v>58</v>
      </c>
      <c r="G283" s="235">
        <f>G284+G296</f>
        <v>5065270</v>
      </c>
      <c r="H283" s="235">
        <f>H284+H296</f>
        <v>5065270</v>
      </c>
      <c r="I283" s="234" t="s">
        <v>1185</v>
      </c>
      <c r="J283" s="370" t="str">
        <f t="shared" si="34"/>
        <v>11Б0000000</v>
      </c>
      <c r="K283" s="30" t="str">
        <f t="shared" si="35"/>
        <v>602011311Б0000000000</v>
      </c>
    </row>
    <row r="284" spans="1:11" s="109" customFormat="1" ht="25.5">
      <c r="A284" s="232" t="s">
        <v>282</v>
      </c>
      <c r="B284" s="233" t="s">
        <v>29</v>
      </c>
      <c r="C284" s="234" t="s">
        <v>65</v>
      </c>
      <c r="D284" s="234" t="s">
        <v>84</v>
      </c>
      <c r="E284" s="234" t="s">
        <v>283</v>
      </c>
      <c r="F284" s="234" t="s">
        <v>58</v>
      </c>
      <c r="G284" s="235">
        <f>G285+G290+G293</f>
        <v>4722550</v>
      </c>
      <c r="H284" s="235">
        <f>H285+H290+H293</f>
        <v>4722550</v>
      </c>
      <c r="I284" s="234" t="s">
        <v>1186</v>
      </c>
      <c r="J284" s="370" t="str">
        <f t="shared" si="34"/>
        <v>11Б0100000</v>
      </c>
      <c r="K284" s="30" t="str">
        <f t="shared" si="35"/>
        <v>602011311Б0100000000</v>
      </c>
    </row>
    <row r="285" spans="1:11" s="109" customFormat="1" ht="38.25">
      <c r="A285" s="232" t="s">
        <v>165</v>
      </c>
      <c r="B285" s="233" t="s">
        <v>29</v>
      </c>
      <c r="C285" s="234" t="s">
        <v>65</v>
      </c>
      <c r="D285" s="234" t="s">
        <v>84</v>
      </c>
      <c r="E285" s="234" t="s">
        <v>284</v>
      </c>
      <c r="F285" s="234" t="s">
        <v>58</v>
      </c>
      <c r="G285" s="235">
        <f>G286+G288</f>
        <v>1261000</v>
      </c>
      <c r="H285" s="235">
        <f>H286+H288</f>
        <v>1261000</v>
      </c>
      <c r="I285" s="234" t="s">
        <v>1187</v>
      </c>
      <c r="J285" s="370" t="str">
        <f t="shared" si="34"/>
        <v>11Б0120030</v>
      </c>
      <c r="K285" s="30" t="str">
        <f t="shared" si="35"/>
        <v>602011311Б0120030000</v>
      </c>
    </row>
    <row r="286" spans="1:11" s="109" customFormat="1" ht="25.5">
      <c r="A286" s="232" t="s">
        <v>108</v>
      </c>
      <c r="B286" s="233" t="s">
        <v>29</v>
      </c>
      <c r="C286" s="234" t="s">
        <v>65</v>
      </c>
      <c r="D286" s="234" t="s">
        <v>84</v>
      </c>
      <c r="E286" s="234" t="s">
        <v>284</v>
      </c>
      <c r="F286" s="234" t="s">
        <v>116</v>
      </c>
      <c r="G286" s="235">
        <f>G287</f>
        <v>1250000</v>
      </c>
      <c r="H286" s="235">
        <f>H287</f>
        <v>1250000</v>
      </c>
      <c r="I286" s="234" t="s">
        <v>1187</v>
      </c>
      <c r="J286" s="370" t="str">
        <f t="shared" si="34"/>
        <v>11Б0120030</v>
      </c>
      <c r="K286" s="30" t="str">
        <f t="shared" si="35"/>
        <v>602011311Б0120030240</v>
      </c>
    </row>
    <row r="287" spans="1:11" s="110" customFormat="1" ht="25.5">
      <c r="A287" s="236" t="s">
        <v>973</v>
      </c>
      <c r="B287" s="233" t="s">
        <v>29</v>
      </c>
      <c r="C287" s="234" t="s">
        <v>65</v>
      </c>
      <c r="D287" s="234" t="s">
        <v>84</v>
      </c>
      <c r="E287" s="234" t="s">
        <v>284</v>
      </c>
      <c r="F287" s="234" t="s">
        <v>1043</v>
      </c>
      <c r="G287" s="235">
        <f>VLOOKUP(K287,'исх АС БЮДЖЕТ'!$A$10:$H$568,7,0)</f>
        <v>1250000</v>
      </c>
      <c r="H287" s="235">
        <f>VLOOKUP(K287,'исх АС БЮДЖЕТ'!$A$10:$H$568,8,0)</f>
        <v>1250000</v>
      </c>
      <c r="I287" s="234" t="s">
        <v>1187</v>
      </c>
      <c r="J287" s="370" t="str">
        <f t="shared" si="34"/>
        <v>11Б0120030</v>
      </c>
      <c r="K287" s="30" t="str">
        <f t="shared" si="35"/>
        <v>602011311Б0120030244</v>
      </c>
    </row>
    <row r="288" spans="1:11" s="109" customFormat="1">
      <c r="A288" s="232" t="s">
        <v>97</v>
      </c>
      <c r="B288" s="233" t="s">
        <v>29</v>
      </c>
      <c r="C288" s="234" t="s">
        <v>65</v>
      </c>
      <c r="D288" s="234" t="s">
        <v>84</v>
      </c>
      <c r="E288" s="234" t="s">
        <v>284</v>
      </c>
      <c r="F288" s="234" t="s">
        <v>118</v>
      </c>
      <c r="G288" s="235">
        <f>G289</f>
        <v>11000</v>
      </c>
      <c r="H288" s="235">
        <f>H289</f>
        <v>11000</v>
      </c>
      <c r="I288" s="234" t="s">
        <v>1187</v>
      </c>
      <c r="J288" s="370" t="str">
        <f t="shared" si="34"/>
        <v>11Б0120030</v>
      </c>
      <c r="K288" s="30" t="str">
        <f t="shared" si="35"/>
        <v>602011311Б0120030850</v>
      </c>
    </row>
    <row r="289" spans="1:11" s="110" customFormat="1">
      <c r="A289" s="236" t="s">
        <v>1037</v>
      </c>
      <c r="B289" s="233" t="s">
        <v>29</v>
      </c>
      <c r="C289" s="234" t="s">
        <v>65</v>
      </c>
      <c r="D289" s="234" t="s">
        <v>84</v>
      </c>
      <c r="E289" s="234" t="s">
        <v>284</v>
      </c>
      <c r="F289" s="234" t="s">
        <v>1062</v>
      </c>
      <c r="G289" s="235">
        <f>VLOOKUP(K289,'исх АС БЮДЖЕТ'!$A$10:$H$568,7,0)</f>
        <v>11000</v>
      </c>
      <c r="H289" s="235">
        <f>VLOOKUP(K289,'исх АС БЮДЖЕТ'!$A$10:$H$568,8,0)</f>
        <v>11000</v>
      </c>
      <c r="I289" s="234" t="s">
        <v>1187</v>
      </c>
      <c r="J289" s="370" t="str">
        <f t="shared" si="34"/>
        <v>11Б0120030</v>
      </c>
      <c r="K289" s="30" t="str">
        <f t="shared" si="35"/>
        <v>602011311Б0120030852</v>
      </c>
    </row>
    <row r="290" spans="1:11" s="109" customFormat="1" ht="25.5">
      <c r="A290" s="232" t="s">
        <v>166</v>
      </c>
      <c r="B290" s="233" t="s">
        <v>29</v>
      </c>
      <c r="C290" s="234" t="s">
        <v>65</v>
      </c>
      <c r="D290" s="234" t="s">
        <v>84</v>
      </c>
      <c r="E290" s="234" t="s">
        <v>285</v>
      </c>
      <c r="F290" s="234" t="s">
        <v>58</v>
      </c>
      <c r="G290" s="235">
        <f>G291</f>
        <v>1703920</v>
      </c>
      <c r="H290" s="235">
        <f>H291</f>
        <v>1703920</v>
      </c>
      <c r="I290" s="234" t="s">
        <v>1188</v>
      </c>
      <c r="J290" s="370" t="str">
        <f t="shared" si="34"/>
        <v>11Б0120070</v>
      </c>
      <c r="K290" s="30" t="str">
        <f t="shared" si="35"/>
        <v>602011311Б0120070000</v>
      </c>
    </row>
    <row r="291" spans="1:11" s="109" customFormat="1" ht="25.5">
      <c r="A291" s="232" t="s">
        <v>108</v>
      </c>
      <c r="B291" s="233" t="s">
        <v>29</v>
      </c>
      <c r="C291" s="234" t="s">
        <v>65</v>
      </c>
      <c r="D291" s="234" t="s">
        <v>84</v>
      </c>
      <c r="E291" s="234" t="s">
        <v>285</v>
      </c>
      <c r="F291" s="234" t="s">
        <v>116</v>
      </c>
      <c r="G291" s="235">
        <f>G292</f>
        <v>1703920</v>
      </c>
      <c r="H291" s="235">
        <f>H292</f>
        <v>1703920</v>
      </c>
      <c r="I291" s="234" t="s">
        <v>1188</v>
      </c>
      <c r="J291" s="370" t="str">
        <f t="shared" si="34"/>
        <v>11Б0120070</v>
      </c>
      <c r="K291" s="30" t="str">
        <f t="shared" si="35"/>
        <v>602011311Б0120070240</v>
      </c>
    </row>
    <row r="292" spans="1:11" s="110" customFormat="1" ht="25.5">
      <c r="A292" s="236" t="s">
        <v>973</v>
      </c>
      <c r="B292" s="233" t="s">
        <v>29</v>
      </c>
      <c r="C292" s="234" t="s">
        <v>65</v>
      </c>
      <c r="D292" s="234" t="s">
        <v>84</v>
      </c>
      <c r="E292" s="234" t="s">
        <v>285</v>
      </c>
      <c r="F292" s="234" t="s">
        <v>1043</v>
      </c>
      <c r="G292" s="235">
        <f>VLOOKUP(K292,'исх АС БЮДЖЕТ'!$A$10:$H$568,7,0)</f>
        <v>1703920</v>
      </c>
      <c r="H292" s="235">
        <f>VLOOKUP(K292,'исх АС БЮДЖЕТ'!$A$10:$H$568,8,0)</f>
        <v>1703920</v>
      </c>
      <c r="I292" s="234" t="s">
        <v>1188</v>
      </c>
      <c r="J292" s="370" t="str">
        <f t="shared" si="34"/>
        <v>11Б0120070</v>
      </c>
      <c r="K292" s="30" t="str">
        <f t="shared" si="35"/>
        <v>602011311Б0120070244</v>
      </c>
    </row>
    <row r="293" spans="1:11" s="109" customFormat="1" ht="25.5">
      <c r="A293" s="232" t="s">
        <v>859</v>
      </c>
      <c r="B293" s="233" t="s">
        <v>29</v>
      </c>
      <c r="C293" s="234" t="s">
        <v>65</v>
      </c>
      <c r="D293" s="234" t="s">
        <v>84</v>
      </c>
      <c r="E293" s="234" t="s">
        <v>858</v>
      </c>
      <c r="F293" s="234" t="s">
        <v>58</v>
      </c>
      <c r="G293" s="235">
        <f>G294</f>
        <v>1757630</v>
      </c>
      <c r="H293" s="235">
        <f>H294</f>
        <v>1757630</v>
      </c>
      <c r="I293" s="234" t="s">
        <v>1189</v>
      </c>
      <c r="J293" s="370" t="str">
        <f t="shared" si="34"/>
        <v>11Б0121120</v>
      </c>
      <c r="K293" s="30" t="str">
        <f t="shared" si="35"/>
        <v>602011311Б0121120000</v>
      </c>
    </row>
    <row r="294" spans="1:11" s="109" customFormat="1" ht="25.5">
      <c r="A294" s="232" t="s">
        <v>108</v>
      </c>
      <c r="B294" s="233" t="s">
        <v>29</v>
      </c>
      <c r="C294" s="234" t="s">
        <v>65</v>
      </c>
      <c r="D294" s="234" t="s">
        <v>84</v>
      </c>
      <c r="E294" s="234" t="s">
        <v>858</v>
      </c>
      <c r="F294" s="234" t="s">
        <v>116</v>
      </c>
      <c r="G294" s="235">
        <f>G295</f>
        <v>1757630</v>
      </c>
      <c r="H294" s="235">
        <f>H295</f>
        <v>1757630</v>
      </c>
      <c r="I294" s="234" t="s">
        <v>1189</v>
      </c>
      <c r="J294" s="370" t="str">
        <f t="shared" si="34"/>
        <v>11Б0121120</v>
      </c>
      <c r="K294" s="30" t="str">
        <f t="shared" si="35"/>
        <v>602011311Б0121120240</v>
      </c>
    </row>
    <row r="295" spans="1:11" s="110" customFormat="1" ht="25.5">
      <c r="A295" s="236" t="s">
        <v>973</v>
      </c>
      <c r="B295" s="233" t="s">
        <v>29</v>
      </c>
      <c r="C295" s="234" t="s">
        <v>65</v>
      </c>
      <c r="D295" s="234" t="s">
        <v>84</v>
      </c>
      <c r="E295" s="234" t="s">
        <v>858</v>
      </c>
      <c r="F295" s="234" t="s">
        <v>1043</v>
      </c>
      <c r="G295" s="235">
        <f>VLOOKUP(K295,'исх АС БЮДЖЕТ'!$A$10:$H$568,7,0)</f>
        <v>1757630</v>
      </c>
      <c r="H295" s="235">
        <f>VLOOKUP(K295,'исх АС БЮДЖЕТ'!$A$10:$H$568,8,0)</f>
        <v>1757630</v>
      </c>
      <c r="I295" s="234" t="s">
        <v>1189</v>
      </c>
      <c r="J295" s="370" t="str">
        <f t="shared" si="34"/>
        <v>11Б0121120</v>
      </c>
      <c r="K295" s="30" t="str">
        <f t="shared" si="35"/>
        <v>602011311Б0121120244</v>
      </c>
    </row>
    <row r="296" spans="1:11" s="109" customFormat="1" ht="51">
      <c r="A296" s="309" t="s">
        <v>852</v>
      </c>
      <c r="B296" s="233" t="s">
        <v>29</v>
      </c>
      <c r="C296" s="234" t="s">
        <v>65</v>
      </c>
      <c r="D296" s="234" t="s">
        <v>84</v>
      </c>
      <c r="E296" s="234" t="s">
        <v>289</v>
      </c>
      <c r="F296" s="234" t="s">
        <v>58</v>
      </c>
      <c r="G296" s="235">
        <f t="shared" ref="G296:H297" si="38">G297</f>
        <v>342720</v>
      </c>
      <c r="H296" s="235">
        <f t="shared" si="38"/>
        <v>342720</v>
      </c>
      <c r="I296" s="234" t="s">
        <v>1190</v>
      </c>
      <c r="J296" s="370" t="str">
        <f t="shared" si="34"/>
        <v>11Б0300000</v>
      </c>
      <c r="K296" s="30" t="str">
        <f t="shared" si="35"/>
        <v>602011311Б0300000000</v>
      </c>
    </row>
    <row r="297" spans="1:11" s="109" customFormat="1" ht="38.25">
      <c r="A297" s="232" t="s">
        <v>168</v>
      </c>
      <c r="B297" s="233" t="s">
        <v>29</v>
      </c>
      <c r="C297" s="234" t="s">
        <v>65</v>
      </c>
      <c r="D297" s="234" t="s">
        <v>84</v>
      </c>
      <c r="E297" s="234" t="s">
        <v>290</v>
      </c>
      <c r="F297" s="234" t="s">
        <v>58</v>
      </c>
      <c r="G297" s="235">
        <f t="shared" si="38"/>
        <v>342720</v>
      </c>
      <c r="H297" s="235">
        <f t="shared" si="38"/>
        <v>342720</v>
      </c>
      <c r="I297" s="234" t="s">
        <v>1191</v>
      </c>
      <c r="J297" s="370" t="str">
        <f t="shared" si="34"/>
        <v>11Б0320340</v>
      </c>
      <c r="K297" s="30" t="str">
        <f t="shared" si="35"/>
        <v>602011311Б0320340000</v>
      </c>
    </row>
    <row r="298" spans="1:11" s="109" customFormat="1" ht="25.5">
      <c r="A298" s="232" t="s">
        <v>108</v>
      </c>
      <c r="B298" s="233" t="s">
        <v>29</v>
      </c>
      <c r="C298" s="234" t="s">
        <v>65</v>
      </c>
      <c r="D298" s="234" t="s">
        <v>84</v>
      </c>
      <c r="E298" s="234" t="s">
        <v>290</v>
      </c>
      <c r="F298" s="234" t="s">
        <v>116</v>
      </c>
      <c r="G298" s="235">
        <f>G299</f>
        <v>342720</v>
      </c>
      <c r="H298" s="235">
        <f>H299</f>
        <v>342720</v>
      </c>
      <c r="I298" s="234" t="s">
        <v>1191</v>
      </c>
      <c r="J298" s="370" t="str">
        <f t="shared" si="34"/>
        <v>11Б0320340</v>
      </c>
      <c r="K298" s="30" t="str">
        <f t="shared" si="35"/>
        <v>602011311Б0320340240</v>
      </c>
    </row>
    <row r="299" spans="1:11" s="110" customFormat="1" ht="25.5">
      <c r="A299" s="236" t="s">
        <v>973</v>
      </c>
      <c r="B299" s="233" t="s">
        <v>29</v>
      </c>
      <c r="C299" s="234" t="s">
        <v>65</v>
      </c>
      <c r="D299" s="234" t="s">
        <v>84</v>
      </c>
      <c r="E299" s="234" t="s">
        <v>290</v>
      </c>
      <c r="F299" s="234" t="s">
        <v>1043</v>
      </c>
      <c r="G299" s="235">
        <f>VLOOKUP(K299,'исх АС БЮДЖЕТ'!$A$10:$H$568,7,0)</f>
        <v>342720</v>
      </c>
      <c r="H299" s="235">
        <f>VLOOKUP(K299,'исх АС БЮДЖЕТ'!$A$10:$H$568,8,0)</f>
        <v>342720</v>
      </c>
      <c r="I299" s="234" t="s">
        <v>1191</v>
      </c>
      <c r="J299" s="370" t="str">
        <f t="shared" si="34"/>
        <v>11Б0320340</v>
      </c>
      <c r="K299" s="30" t="str">
        <f t="shared" si="35"/>
        <v>602011311Б0320340244</v>
      </c>
    </row>
    <row r="300" spans="1:11" s="109" customFormat="1" ht="38.25">
      <c r="A300" s="237" t="s">
        <v>751</v>
      </c>
      <c r="B300" s="233" t="s">
        <v>29</v>
      </c>
      <c r="C300" s="234" t="s">
        <v>65</v>
      </c>
      <c r="D300" s="234" t="s">
        <v>84</v>
      </c>
      <c r="E300" s="234" t="s">
        <v>229</v>
      </c>
      <c r="F300" s="234" t="s">
        <v>58</v>
      </c>
      <c r="G300" s="235">
        <f t="shared" ref="G300:H303" si="39">G301</f>
        <v>478000</v>
      </c>
      <c r="H300" s="235">
        <f t="shared" si="39"/>
        <v>478000</v>
      </c>
      <c r="I300" s="234">
        <v>1400000000</v>
      </c>
      <c r="J300" s="370" t="str">
        <f t="shared" si="34"/>
        <v>1400000000</v>
      </c>
      <c r="K300" s="30" t="str">
        <f t="shared" si="35"/>
        <v>60201131400000000000</v>
      </c>
    </row>
    <row r="301" spans="1:11" s="109" customFormat="1">
      <c r="A301" s="237" t="s">
        <v>119</v>
      </c>
      <c r="B301" s="233" t="s">
        <v>29</v>
      </c>
      <c r="C301" s="234" t="s">
        <v>65</v>
      </c>
      <c r="D301" s="234" t="s">
        <v>84</v>
      </c>
      <c r="E301" s="234" t="s">
        <v>230</v>
      </c>
      <c r="F301" s="234" t="s">
        <v>58</v>
      </c>
      <c r="G301" s="235">
        <f t="shared" si="39"/>
        <v>478000</v>
      </c>
      <c r="H301" s="235">
        <f t="shared" si="39"/>
        <v>478000</v>
      </c>
      <c r="I301" s="234">
        <v>1410000000</v>
      </c>
      <c r="J301" s="370" t="str">
        <f t="shared" si="34"/>
        <v>1410000000</v>
      </c>
      <c r="K301" s="30" t="str">
        <f t="shared" si="35"/>
        <v>60201131410000000000</v>
      </c>
    </row>
    <row r="302" spans="1:11" s="109" customFormat="1" ht="38.25">
      <c r="A302" s="237" t="s">
        <v>234</v>
      </c>
      <c r="B302" s="233" t="s">
        <v>29</v>
      </c>
      <c r="C302" s="234" t="s">
        <v>65</v>
      </c>
      <c r="D302" s="234" t="s">
        <v>84</v>
      </c>
      <c r="E302" s="234" t="s">
        <v>235</v>
      </c>
      <c r="F302" s="234" t="s">
        <v>58</v>
      </c>
      <c r="G302" s="235">
        <f t="shared" si="39"/>
        <v>478000</v>
      </c>
      <c r="H302" s="235">
        <f t="shared" si="39"/>
        <v>478000</v>
      </c>
      <c r="I302" s="234">
        <v>1410200000</v>
      </c>
      <c r="J302" s="370" t="str">
        <f t="shared" si="34"/>
        <v>1410200000</v>
      </c>
      <c r="K302" s="30" t="str">
        <f t="shared" si="35"/>
        <v>60201131410200000000</v>
      </c>
    </row>
    <row r="303" spans="1:11" s="109" customFormat="1" ht="25.5">
      <c r="A303" s="237" t="s">
        <v>170</v>
      </c>
      <c r="B303" s="233" t="s">
        <v>29</v>
      </c>
      <c r="C303" s="234" t="s">
        <v>65</v>
      </c>
      <c r="D303" s="234" t="s">
        <v>84</v>
      </c>
      <c r="E303" s="234" t="s">
        <v>236</v>
      </c>
      <c r="F303" s="234" t="s">
        <v>58</v>
      </c>
      <c r="G303" s="235">
        <f t="shared" si="39"/>
        <v>478000</v>
      </c>
      <c r="H303" s="235">
        <f t="shared" si="39"/>
        <v>478000</v>
      </c>
      <c r="I303" s="234">
        <v>1410220630</v>
      </c>
      <c r="J303" s="370" t="str">
        <f t="shared" si="34"/>
        <v>1410220630</v>
      </c>
      <c r="K303" s="30" t="str">
        <f t="shared" si="35"/>
        <v>60201131410220630000</v>
      </c>
    </row>
    <row r="304" spans="1:11" s="109" customFormat="1" ht="25.5">
      <c r="A304" s="232" t="s">
        <v>108</v>
      </c>
      <c r="B304" s="233" t="s">
        <v>29</v>
      </c>
      <c r="C304" s="234" t="s">
        <v>65</v>
      </c>
      <c r="D304" s="234" t="s">
        <v>84</v>
      </c>
      <c r="E304" s="234" t="s">
        <v>236</v>
      </c>
      <c r="F304" s="234" t="s">
        <v>116</v>
      </c>
      <c r="G304" s="235">
        <f>G305</f>
        <v>478000</v>
      </c>
      <c r="H304" s="235">
        <f>H305</f>
        <v>478000</v>
      </c>
      <c r="I304" s="234">
        <v>1410220630</v>
      </c>
      <c r="J304" s="370" t="str">
        <f t="shared" si="34"/>
        <v>1410220630</v>
      </c>
      <c r="K304" s="30" t="str">
        <f t="shared" si="35"/>
        <v>60201131410220630240</v>
      </c>
    </row>
    <row r="305" spans="1:11" s="110" customFormat="1" ht="25.5">
      <c r="A305" s="236" t="s">
        <v>973</v>
      </c>
      <c r="B305" s="233" t="s">
        <v>29</v>
      </c>
      <c r="C305" s="234" t="s">
        <v>65</v>
      </c>
      <c r="D305" s="234" t="s">
        <v>84</v>
      </c>
      <c r="E305" s="234" t="s">
        <v>236</v>
      </c>
      <c r="F305" s="234" t="s">
        <v>1043</v>
      </c>
      <c r="G305" s="235">
        <f>VLOOKUP(K305,'исх АС БЮДЖЕТ'!$A$10:$H$568,7,0)</f>
        <v>478000</v>
      </c>
      <c r="H305" s="235">
        <f>VLOOKUP(K305,'исх АС БЮДЖЕТ'!$A$10:$H$568,8,0)</f>
        <v>478000</v>
      </c>
      <c r="I305" s="234">
        <v>1410220630</v>
      </c>
      <c r="J305" s="370" t="str">
        <f t="shared" si="34"/>
        <v>1410220630</v>
      </c>
      <c r="K305" s="30" t="str">
        <f t="shared" si="35"/>
        <v>60201131410220630244</v>
      </c>
    </row>
    <row r="306" spans="1:11" s="109" customFormat="1" ht="25.5">
      <c r="A306" s="232" t="s">
        <v>291</v>
      </c>
      <c r="B306" s="233" t="s">
        <v>29</v>
      </c>
      <c r="C306" s="234" t="s">
        <v>65</v>
      </c>
      <c r="D306" s="234" t="s">
        <v>84</v>
      </c>
      <c r="E306" s="234" t="s">
        <v>292</v>
      </c>
      <c r="F306" s="234" t="s">
        <v>58</v>
      </c>
      <c r="G306" s="235">
        <f>G307</f>
        <v>60927410</v>
      </c>
      <c r="H306" s="235">
        <f>H307</f>
        <v>60927410</v>
      </c>
      <c r="I306" s="234">
        <v>7200000000</v>
      </c>
      <c r="J306" s="370" t="str">
        <f t="shared" si="34"/>
        <v>7200000000</v>
      </c>
      <c r="K306" s="30" t="str">
        <f t="shared" si="35"/>
        <v>60201137200000000000</v>
      </c>
    </row>
    <row r="307" spans="1:11" s="109" customFormat="1" ht="25.5">
      <c r="A307" s="232" t="s">
        <v>581</v>
      </c>
      <c r="B307" s="233" t="s">
        <v>29</v>
      </c>
      <c r="C307" s="234" t="s">
        <v>65</v>
      </c>
      <c r="D307" s="234" t="s">
        <v>84</v>
      </c>
      <c r="E307" s="234" t="s">
        <v>293</v>
      </c>
      <c r="F307" s="234" t="s">
        <v>58</v>
      </c>
      <c r="G307" s="235">
        <f>G317+G308</f>
        <v>60927410</v>
      </c>
      <c r="H307" s="235">
        <f>H317+H308</f>
        <v>60927410</v>
      </c>
      <c r="I307" s="234">
        <v>7210000000</v>
      </c>
      <c r="J307" s="370" t="str">
        <f t="shared" si="34"/>
        <v>7210000000</v>
      </c>
      <c r="K307" s="30" t="str">
        <f t="shared" si="35"/>
        <v>60201137210000000000</v>
      </c>
    </row>
    <row r="308" spans="1:11" s="109" customFormat="1" ht="25.5">
      <c r="A308" s="232" t="s">
        <v>114</v>
      </c>
      <c r="B308" s="233" t="s">
        <v>29</v>
      </c>
      <c r="C308" s="234" t="s">
        <v>65</v>
      </c>
      <c r="D308" s="234" t="s">
        <v>84</v>
      </c>
      <c r="E308" s="234" t="s">
        <v>294</v>
      </c>
      <c r="F308" s="234" t="s">
        <v>58</v>
      </c>
      <c r="G308" s="235">
        <f>G309+G312+G314</f>
        <v>10103840</v>
      </c>
      <c r="H308" s="235">
        <f>H309+H312+H314</f>
        <v>10103840</v>
      </c>
      <c r="I308" s="234">
        <v>7210010010</v>
      </c>
      <c r="J308" s="370" t="str">
        <f t="shared" si="34"/>
        <v>7210010010</v>
      </c>
      <c r="K308" s="30" t="str">
        <f t="shared" si="35"/>
        <v>60201137210010010000</v>
      </c>
    </row>
    <row r="309" spans="1:11" s="109" customFormat="1">
      <c r="A309" s="236" t="s">
        <v>107</v>
      </c>
      <c r="B309" s="233" t="s">
        <v>29</v>
      </c>
      <c r="C309" s="234" t="s">
        <v>65</v>
      </c>
      <c r="D309" s="234" t="s">
        <v>84</v>
      </c>
      <c r="E309" s="234" t="s">
        <v>294</v>
      </c>
      <c r="F309" s="234" t="s">
        <v>115</v>
      </c>
      <c r="G309" s="235">
        <f>SUM(G310:G311)</f>
        <v>1328030</v>
      </c>
      <c r="H309" s="235">
        <f>SUM(H310:H311)</f>
        <v>1328030</v>
      </c>
      <c r="I309" s="234">
        <v>7210010010</v>
      </c>
      <c r="J309" s="370" t="str">
        <f t="shared" si="34"/>
        <v>7210010010</v>
      </c>
      <c r="K309" s="30" t="str">
        <f t="shared" si="35"/>
        <v>60201137210010010120</v>
      </c>
    </row>
    <row r="310" spans="1:11" s="110" customFormat="1" ht="25.5">
      <c r="A310" s="236" t="s">
        <v>937</v>
      </c>
      <c r="B310" s="233" t="s">
        <v>29</v>
      </c>
      <c r="C310" s="234" t="s">
        <v>65</v>
      </c>
      <c r="D310" s="234" t="s">
        <v>84</v>
      </c>
      <c r="E310" s="234" t="s">
        <v>294</v>
      </c>
      <c r="F310" s="234" t="s">
        <v>1059</v>
      </c>
      <c r="G310" s="235">
        <f>VLOOKUP(K310,'исх АС БЮДЖЕТ'!$A$10:$H$568,7,0)</f>
        <v>1033120</v>
      </c>
      <c r="H310" s="235">
        <f>VLOOKUP(K310,'исх АС БЮДЖЕТ'!$A$10:$H$568,8,0)</f>
        <v>1033120</v>
      </c>
      <c r="I310" s="234">
        <v>7210010010</v>
      </c>
      <c r="J310" s="370" t="str">
        <f t="shared" si="34"/>
        <v>7210010010</v>
      </c>
      <c r="K310" s="30" t="str">
        <f t="shared" si="35"/>
        <v>60201137210010010122</v>
      </c>
    </row>
    <row r="311" spans="1:11" s="110" customFormat="1" ht="38.25">
      <c r="A311" s="236" t="s">
        <v>939</v>
      </c>
      <c r="B311" s="233" t="s">
        <v>29</v>
      </c>
      <c r="C311" s="234" t="s">
        <v>65</v>
      </c>
      <c r="D311" s="234" t="s">
        <v>84</v>
      </c>
      <c r="E311" s="234" t="s">
        <v>294</v>
      </c>
      <c r="F311" s="234" t="s">
        <v>1060</v>
      </c>
      <c r="G311" s="235">
        <f>VLOOKUP(K311,'исх АС БЮДЖЕТ'!$A$10:$H$568,7,0)</f>
        <v>294910</v>
      </c>
      <c r="H311" s="235">
        <f>VLOOKUP(K311,'исх АС БЮДЖЕТ'!$A$10:$H$568,8,0)</f>
        <v>294910</v>
      </c>
      <c r="I311" s="234">
        <v>7210010010</v>
      </c>
      <c r="J311" s="370" t="str">
        <f t="shared" si="34"/>
        <v>7210010010</v>
      </c>
      <c r="K311" s="30" t="str">
        <f t="shared" si="35"/>
        <v>60201137210010010129</v>
      </c>
    </row>
    <row r="312" spans="1:11" s="109" customFormat="1" ht="25.5">
      <c r="A312" s="232" t="s">
        <v>108</v>
      </c>
      <c r="B312" s="233" t="s">
        <v>29</v>
      </c>
      <c r="C312" s="234" t="s">
        <v>65</v>
      </c>
      <c r="D312" s="234" t="s">
        <v>84</v>
      </c>
      <c r="E312" s="234" t="s">
        <v>294</v>
      </c>
      <c r="F312" s="234" t="s">
        <v>116</v>
      </c>
      <c r="G312" s="235">
        <f>G313</f>
        <v>8628140</v>
      </c>
      <c r="H312" s="235">
        <f>H313</f>
        <v>8628140</v>
      </c>
      <c r="I312" s="234">
        <v>7210010010</v>
      </c>
      <c r="J312" s="370" t="str">
        <f t="shared" si="34"/>
        <v>7210010010</v>
      </c>
      <c r="K312" s="30" t="str">
        <f t="shared" si="35"/>
        <v>60201137210010010240</v>
      </c>
    </row>
    <row r="313" spans="1:11" s="110" customFormat="1" ht="25.5">
      <c r="A313" s="236" t="s">
        <v>973</v>
      </c>
      <c r="B313" s="233" t="s">
        <v>29</v>
      </c>
      <c r="C313" s="234" t="s">
        <v>65</v>
      </c>
      <c r="D313" s="234" t="s">
        <v>84</v>
      </c>
      <c r="E313" s="234" t="s">
        <v>294</v>
      </c>
      <c r="F313" s="234" t="s">
        <v>1043</v>
      </c>
      <c r="G313" s="235">
        <f>VLOOKUP(K313,'исх АС БЮДЖЕТ'!$A$10:$H$568,7,0)</f>
        <v>8628140</v>
      </c>
      <c r="H313" s="235">
        <f>VLOOKUP(K313,'исх АС БЮДЖЕТ'!$A$10:$H$568,8,0)</f>
        <v>8628140</v>
      </c>
      <c r="I313" s="234">
        <v>7210010010</v>
      </c>
      <c r="J313" s="370" t="str">
        <f t="shared" si="34"/>
        <v>7210010010</v>
      </c>
      <c r="K313" s="30" t="str">
        <f t="shared" si="35"/>
        <v>60201137210010010244</v>
      </c>
    </row>
    <row r="314" spans="1:11" s="109" customFormat="1">
      <c r="A314" s="232" t="s">
        <v>97</v>
      </c>
      <c r="B314" s="233" t="s">
        <v>29</v>
      </c>
      <c r="C314" s="234" t="s">
        <v>65</v>
      </c>
      <c r="D314" s="234" t="s">
        <v>84</v>
      </c>
      <c r="E314" s="234" t="s">
        <v>294</v>
      </c>
      <c r="F314" s="234" t="s">
        <v>118</v>
      </c>
      <c r="G314" s="235">
        <f>SUM(G315:G316)</f>
        <v>147670</v>
      </c>
      <c r="H314" s="235">
        <f>SUM(H315:H316)</f>
        <v>147670</v>
      </c>
      <c r="I314" s="234">
        <v>7210010010</v>
      </c>
      <c r="J314" s="370" t="str">
        <f t="shared" si="34"/>
        <v>7210010010</v>
      </c>
      <c r="K314" s="30" t="str">
        <f t="shared" si="35"/>
        <v>60201137210010010850</v>
      </c>
    </row>
    <row r="315" spans="1:11" s="110" customFormat="1">
      <c r="A315" s="236" t="s">
        <v>1036</v>
      </c>
      <c r="B315" s="233" t="s">
        <v>29</v>
      </c>
      <c r="C315" s="234" t="s">
        <v>65</v>
      </c>
      <c r="D315" s="234" t="s">
        <v>84</v>
      </c>
      <c r="E315" s="234" t="s">
        <v>294</v>
      </c>
      <c r="F315" s="234" t="s">
        <v>1061</v>
      </c>
      <c r="G315" s="235">
        <f>VLOOKUP(K315,'исх АС БЮДЖЕТ'!$A$10:$H$568,7,0)</f>
        <v>86550</v>
      </c>
      <c r="H315" s="235">
        <f>VLOOKUP(K315,'исх АС БЮДЖЕТ'!$A$10:$H$568,8,0)</f>
        <v>86550</v>
      </c>
      <c r="I315" s="234">
        <v>7210010010</v>
      </c>
      <c r="J315" s="370" t="str">
        <f t="shared" si="34"/>
        <v>7210010010</v>
      </c>
      <c r="K315" s="30" t="str">
        <f t="shared" si="35"/>
        <v>60201137210010010851</v>
      </c>
    </row>
    <row r="316" spans="1:11" s="110" customFormat="1">
      <c r="A316" s="236" t="s">
        <v>1037</v>
      </c>
      <c r="B316" s="233" t="s">
        <v>29</v>
      </c>
      <c r="C316" s="234" t="s">
        <v>65</v>
      </c>
      <c r="D316" s="234" t="s">
        <v>84</v>
      </c>
      <c r="E316" s="234" t="s">
        <v>294</v>
      </c>
      <c r="F316" s="234" t="s">
        <v>1062</v>
      </c>
      <c r="G316" s="235">
        <f>VLOOKUP(K316,'исх АС БЮДЖЕТ'!$A$10:$H$568,7,0)</f>
        <v>61120</v>
      </c>
      <c r="H316" s="235">
        <f>VLOOKUP(K316,'исх АС БЮДЖЕТ'!$A$10:$H$568,8,0)</f>
        <v>61120</v>
      </c>
      <c r="I316" s="234">
        <v>7210010010</v>
      </c>
      <c r="J316" s="370" t="str">
        <f t="shared" si="34"/>
        <v>7210010010</v>
      </c>
      <c r="K316" s="30" t="str">
        <f t="shared" si="35"/>
        <v>60201137210010010852</v>
      </c>
    </row>
    <row r="317" spans="1:11" s="109" customFormat="1" ht="25.5">
      <c r="A317" s="232" t="s">
        <v>126</v>
      </c>
      <c r="B317" s="233" t="s">
        <v>29</v>
      </c>
      <c r="C317" s="234" t="s">
        <v>65</v>
      </c>
      <c r="D317" s="234" t="s">
        <v>84</v>
      </c>
      <c r="E317" s="234" t="s">
        <v>295</v>
      </c>
      <c r="F317" s="234" t="s">
        <v>58</v>
      </c>
      <c r="G317" s="235">
        <f>SUM(G318:G318)</f>
        <v>50823570</v>
      </c>
      <c r="H317" s="235">
        <f>SUM(H318:H318)</f>
        <v>50823570</v>
      </c>
      <c r="I317" s="234">
        <v>7210010020</v>
      </c>
      <c r="J317" s="370" t="str">
        <f t="shared" si="34"/>
        <v>7210010020</v>
      </c>
      <c r="K317" s="30" t="str">
        <f t="shared" si="35"/>
        <v>60201137210010020000</v>
      </c>
    </row>
    <row r="318" spans="1:11" s="109" customFormat="1">
      <c r="A318" s="232" t="s">
        <v>107</v>
      </c>
      <c r="B318" s="233" t="s">
        <v>29</v>
      </c>
      <c r="C318" s="234" t="s">
        <v>65</v>
      </c>
      <c r="D318" s="234" t="s">
        <v>84</v>
      </c>
      <c r="E318" s="234" t="s">
        <v>295</v>
      </c>
      <c r="F318" s="234" t="s">
        <v>115</v>
      </c>
      <c r="G318" s="235">
        <f>SUM(G319:G320)</f>
        <v>50823570</v>
      </c>
      <c r="H318" s="235">
        <f>SUM(H319:H320)</f>
        <v>50823570</v>
      </c>
      <c r="I318" s="234">
        <v>7210010020</v>
      </c>
      <c r="J318" s="370" t="str">
        <f t="shared" si="34"/>
        <v>7210010020</v>
      </c>
      <c r="K318" s="30" t="str">
        <f t="shared" si="35"/>
        <v>60201137210010020120</v>
      </c>
    </row>
    <row r="319" spans="1:11" s="109" customFormat="1">
      <c r="A319" s="232" t="s">
        <v>936</v>
      </c>
      <c r="B319" s="233" t="s">
        <v>29</v>
      </c>
      <c r="C319" s="234" t="s">
        <v>65</v>
      </c>
      <c r="D319" s="234" t="s">
        <v>84</v>
      </c>
      <c r="E319" s="234" t="s">
        <v>295</v>
      </c>
      <c r="F319" s="234" t="s">
        <v>1063</v>
      </c>
      <c r="G319" s="235">
        <f>VLOOKUP(K319,'исх АС БЮДЖЕТ'!$A$10:$H$568,7,0)</f>
        <v>39035000</v>
      </c>
      <c r="H319" s="235">
        <f>VLOOKUP(K319,'исх АС БЮДЖЕТ'!$A$10:$H$568,8,0)</f>
        <v>39035000</v>
      </c>
      <c r="I319" s="234">
        <v>7210010020</v>
      </c>
      <c r="J319" s="370" t="str">
        <f t="shared" si="34"/>
        <v>7210010020</v>
      </c>
      <c r="K319" s="30" t="str">
        <f t="shared" si="35"/>
        <v>60201137210010020121</v>
      </c>
    </row>
    <row r="320" spans="1:11" s="109" customFormat="1" ht="38.25">
      <c r="A320" s="232" t="s">
        <v>939</v>
      </c>
      <c r="B320" s="233" t="s">
        <v>29</v>
      </c>
      <c r="C320" s="234" t="s">
        <v>65</v>
      </c>
      <c r="D320" s="234" t="s">
        <v>84</v>
      </c>
      <c r="E320" s="234" t="s">
        <v>295</v>
      </c>
      <c r="F320" s="234" t="s">
        <v>1060</v>
      </c>
      <c r="G320" s="235">
        <f>VLOOKUP(K320,'исх АС БЮДЖЕТ'!$A$10:$H$568,7,0)</f>
        <v>11788570</v>
      </c>
      <c r="H320" s="235">
        <f>VLOOKUP(K320,'исх АС БЮДЖЕТ'!$A$10:$H$568,8,0)</f>
        <v>11788570</v>
      </c>
      <c r="I320" s="234">
        <v>7210010020</v>
      </c>
      <c r="J320" s="370" t="str">
        <f t="shared" si="34"/>
        <v>7210010020</v>
      </c>
      <c r="K320" s="30" t="str">
        <f t="shared" si="35"/>
        <v>60201137210010020129</v>
      </c>
    </row>
    <row r="321" spans="1:11" s="109" customFormat="1">
      <c r="A321" s="224" t="s">
        <v>35</v>
      </c>
      <c r="B321" s="225" t="s">
        <v>29</v>
      </c>
      <c r="C321" s="226" t="s">
        <v>37</v>
      </c>
      <c r="D321" s="226" t="s">
        <v>51</v>
      </c>
      <c r="E321" s="226" t="s">
        <v>196</v>
      </c>
      <c r="F321" s="226" t="s">
        <v>58</v>
      </c>
      <c r="G321" s="227">
        <f>G322</f>
        <v>792000</v>
      </c>
      <c r="H321" s="227">
        <f>H322</f>
        <v>792000</v>
      </c>
      <c r="I321" s="226">
        <v>0</v>
      </c>
      <c r="J321" s="370" t="str">
        <f t="shared" ref="J321:J371" si="40">TEXT(I321,"0000000000")</f>
        <v>0000000000</v>
      </c>
      <c r="K321" s="30" t="str">
        <f t="shared" ref="K321:K371" si="41">CONCATENATE(B321,C321,D321,J321,F321)</f>
        <v>60204000000000000000</v>
      </c>
    </row>
    <row r="322" spans="1:11" s="109" customFormat="1">
      <c r="A322" s="228" t="s">
        <v>73</v>
      </c>
      <c r="B322" s="229" t="s">
        <v>29</v>
      </c>
      <c r="C322" s="230" t="s">
        <v>37</v>
      </c>
      <c r="D322" s="230" t="s">
        <v>40</v>
      </c>
      <c r="E322" s="251" t="s">
        <v>196</v>
      </c>
      <c r="F322" s="251" t="s">
        <v>58</v>
      </c>
      <c r="G322" s="231">
        <f>G323+G329</f>
        <v>792000</v>
      </c>
      <c r="H322" s="231">
        <f>H323+H329</f>
        <v>792000</v>
      </c>
      <c r="I322" s="251">
        <v>0</v>
      </c>
      <c r="J322" s="370" t="str">
        <f t="shared" si="40"/>
        <v>0000000000</v>
      </c>
      <c r="K322" s="30" t="str">
        <f t="shared" si="41"/>
        <v>60204120000000000000</v>
      </c>
    </row>
    <row r="323" spans="1:11" s="109" customFormat="1" ht="38.25">
      <c r="A323" s="248" t="s">
        <v>725</v>
      </c>
      <c r="B323" s="233" t="s">
        <v>29</v>
      </c>
      <c r="C323" s="234" t="s">
        <v>37</v>
      </c>
      <c r="D323" s="234" t="s">
        <v>40</v>
      </c>
      <c r="E323" s="234" t="s">
        <v>296</v>
      </c>
      <c r="F323" s="234" t="s">
        <v>58</v>
      </c>
      <c r="G323" s="235">
        <f t="shared" ref="G323:H325" si="42">G324</f>
        <v>180000</v>
      </c>
      <c r="H323" s="235">
        <f t="shared" si="42"/>
        <v>180000</v>
      </c>
      <c r="I323" s="234">
        <v>200000000</v>
      </c>
      <c r="J323" s="370" t="str">
        <f t="shared" si="40"/>
        <v>0200000000</v>
      </c>
      <c r="K323" s="30" t="str">
        <f t="shared" si="41"/>
        <v>60204120200000000000</v>
      </c>
    </row>
    <row r="324" spans="1:11" s="109" customFormat="1" ht="38.25">
      <c r="A324" s="232" t="s">
        <v>726</v>
      </c>
      <c r="B324" s="233" t="s">
        <v>29</v>
      </c>
      <c r="C324" s="234" t="s">
        <v>37</v>
      </c>
      <c r="D324" s="234" t="s">
        <v>40</v>
      </c>
      <c r="E324" s="234" t="s">
        <v>297</v>
      </c>
      <c r="F324" s="234" t="s">
        <v>58</v>
      </c>
      <c r="G324" s="235">
        <f t="shared" si="42"/>
        <v>180000</v>
      </c>
      <c r="H324" s="235">
        <f t="shared" si="42"/>
        <v>180000</v>
      </c>
      <c r="I324" s="234" t="s">
        <v>1192</v>
      </c>
      <c r="J324" s="370" t="str">
        <f t="shared" si="40"/>
        <v>02Б0000000</v>
      </c>
      <c r="K324" s="30" t="str">
        <f t="shared" si="41"/>
        <v>602041202Б0000000000</v>
      </c>
    </row>
    <row r="325" spans="1:11" s="109" customFormat="1" ht="38.25">
      <c r="A325" s="232" t="s">
        <v>606</v>
      </c>
      <c r="B325" s="233" t="s">
        <v>29</v>
      </c>
      <c r="C325" s="234" t="s">
        <v>37</v>
      </c>
      <c r="D325" s="234" t="s">
        <v>40</v>
      </c>
      <c r="E325" s="234" t="s">
        <v>298</v>
      </c>
      <c r="F325" s="234" t="s">
        <v>58</v>
      </c>
      <c r="G325" s="235">
        <f t="shared" si="42"/>
        <v>180000</v>
      </c>
      <c r="H325" s="235">
        <f t="shared" si="42"/>
        <v>180000</v>
      </c>
      <c r="I325" s="234" t="s">
        <v>1193</v>
      </c>
      <c r="J325" s="370" t="str">
        <f t="shared" si="40"/>
        <v>02Б0200000</v>
      </c>
      <c r="K325" s="30" t="str">
        <f t="shared" si="41"/>
        <v>602041202Б0200000000</v>
      </c>
    </row>
    <row r="326" spans="1:11" s="109" customFormat="1" ht="51">
      <c r="A326" s="232" t="s">
        <v>156</v>
      </c>
      <c r="B326" s="233" t="s">
        <v>29</v>
      </c>
      <c r="C326" s="234" t="s">
        <v>37</v>
      </c>
      <c r="D326" s="234" t="s">
        <v>40</v>
      </c>
      <c r="E326" s="234" t="s">
        <v>299</v>
      </c>
      <c r="F326" s="234" t="s">
        <v>58</v>
      </c>
      <c r="G326" s="235">
        <f>G327</f>
        <v>180000</v>
      </c>
      <c r="H326" s="235">
        <f>H327</f>
        <v>180000</v>
      </c>
      <c r="I326" s="234" t="s">
        <v>1194</v>
      </c>
      <c r="J326" s="370" t="str">
        <f t="shared" si="40"/>
        <v>02Б0220160</v>
      </c>
      <c r="K326" s="30" t="str">
        <f t="shared" si="41"/>
        <v>602041202Б0220160000</v>
      </c>
    </row>
    <row r="327" spans="1:11" s="109" customFormat="1" ht="25.5">
      <c r="A327" s="232" t="s">
        <v>108</v>
      </c>
      <c r="B327" s="233" t="s">
        <v>29</v>
      </c>
      <c r="C327" s="234" t="s">
        <v>37</v>
      </c>
      <c r="D327" s="234" t="s">
        <v>40</v>
      </c>
      <c r="E327" s="234" t="s">
        <v>299</v>
      </c>
      <c r="F327" s="234" t="s">
        <v>116</v>
      </c>
      <c r="G327" s="235">
        <f>G328</f>
        <v>180000</v>
      </c>
      <c r="H327" s="235">
        <f>H328</f>
        <v>180000</v>
      </c>
      <c r="I327" s="234" t="s">
        <v>1194</v>
      </c>
      <c r="J327" s="370" t="str">
        <f t="shared" si="40"/>
        <v>02Б0220160</v>
      </c>
      <c r="K327" s="30" t="str">
        <f t="shared" si="41"/>
        <v>602041202Б0220160240</v>
      </c>
    </row>
    <row r="328" spans="1:11" s="110" customFormat="1" ht="25.5">
      <c r="A328" s="236" t="s">
        <v>973</v>
      </c>
      <c r="B328" s="233" t="s">
        <v>29</v>
      </c>
      <c r="C328" s="234" t="s">
        <v>37</v>
      </c>
      <c r="D328" s="234" t="s">
        <v>40</v>
      </c>
      <c r="E328" s="234" t="s">
        <v>299</v>
      </c>
      <c r="F328" s="234" t="s">
        <v>1043</v>
      </c>
      <c r="G328" s="235">
        <f>VLOOKUP(K328,'исх АС БЮДЖЕТ'!$A$10:$H$568,7,0)</f>
        <v>180000</v>
      </c>
      <c r="H328" s="235">
        <f>VLOOKUP(K328,'исх АС БЮДЖЕТ'!$A$10:$H$568,8,0)</f>
        <v>180000</v>
      </c>
      <c r="I328" s="234" t="s">
        <v>1194</v>
      </c>
      <c r="J328" s="370" t="str">
        <f t="shared" si="40"/>
        <v>02Б0220160</v>
      </c>
      <c r="K328" s="30" t="str">
        <f t="shared" si="41"/>
        <v>602041202Б0220160244</v>
      </c>
    </row>
    <row r="329" spans="1:11" s="109" customFormat="1" ht="38.25">
      <c r="A329" s="244" t="s">
        <v>745</v>
      </c>
      <c r="B329" s="233" t="s">
        <v>29</v>
      </c>
      <c r="C329" s="234" t="s">
        <v>37</v>
      </c>
      <c r="D329" s="234" t="s">
        <v>40</v>
      </c>
      <c r="E329" s="234" t="s">
        <v>280</v>
      </c>
      <c r="F329" s="234" t="s">
        <v>58</v>
      </c>
      <c r="G329" s="235">
        <f t="shared" ref="G329:H331" si="43">G330</f>
        <v>612000</v>
      </c>
      <c r="H329" s="235">
        <f t="shared" si="43"/>
        <v>612000</v>
      </c>
      <c r="I329" s="234">
        <v>1100000000</v>
      </c>
      <c r="J329" s="370" t="str">
        <f t="shared" si="40"/>
        <v>1100000000</v>
      </c>
      <c r="K329" s="30" t="str">
        <f t="shared" si="41"/>
        <v>60204121100000000000</v>
      </c>
    </row>
    <row r="330" spans="1:11" s="109" customFormat="1" ht="38.25">
      <c r="A330" s="244" t="s">
        <v>746</v>
      </c>
      <c r="B330" s="233" t="s">
        <v>29</v>
      </c>
      <c r="C330" s="234" t="s">
        <v>37</v>
      </c>
      <c r="D330" s="234" t="s">
        <v>40</v>
      </c>
      <c r="E330" s="234" t="s">
        <v>281</v>
      </c>
      <c r="F330" s="234" t="s">
        <v>58</v>
      </c>
      <c r="G330" s="235">
        <f t="shared" si="43"/>
        <v>612000</v>
      </c>
      <c r="H330" s="235">
        <f t="shared" si="43"/>
        <v>612000</v>
      </c>
      <c r="I330" s="234" t="s">
        <v>1185</v>
      </c>
      <c r="J330" s="370" t="str">
        <f t="shared" si="40"/>
        <v>11Б0000000</v>
      </c>
      <c r="K330" s="30" t="str">
        <f t="shared" si="41"/>
        <v>602041211Б0000000000</v>
      </c>
    </row>
    <row r="331" spans="1:11" s="109" customFormat="1" ht="25.5">
      <c r="A331" s="232" t="s">
        <v>286</v>
      </c>
      <c r="B331" s="233" t="s">
        <v>29</v>
      </c>
      <c r="C331" s="234" t="s">
        <v>37</v>
      </c>
      <c r="D331" s="234" t="s">
        <v>40</v>
      </c>
      <c r="E331" s="234" t="s">
        <v>287</v>
      </c>
      <c r="F331" s="234" t="s">
        <v>58</v>
      </c>
      <c r="G331" s="235">
        <f t="shared" si="43"/>
        <v>612000</v>
      </c>
      <c r="H331" s="235">
        <f t="shared" si="43"/>
        <v>612000</v>
      </c>
      <c r="I331" s="234" t="s">
        <v>1195</v>
      </c>
      <c r="J331" s="370" t="str">
        <f t="shared" si="40"/>
        <v>11Б0200000</v>
      </c>
      <c r="K331" s="30" t="str">
        <f t="shared" si="41"/>
        <v>602041211Б0200000000</v>
      </c>
    </row>
    <row r="332" spans="1:11" s="109" customFormat="1" ht="38.25">
      <c r="A332" s="232" t="s">
        <v>878</v>
      </c>
      <c r="B332" s="233" t="s">
        <v>29</v>
      </c>
      <c r="C332" s="234" t="s">
        <v>37</v>
      </c>
      <c r="D332" s="234" t="s">
        <v>40</v>
      </c>
      <c r="E332" s="234" t="s">
        <v>288</v>
      </c>
      <c r="F332" s="234" t="s">
        <v>58</v>
      </c>
      <c r="G332" s="235">
        <f>G333</f>
        <v>612000</v>
      </c>
      <c r="H332" s="235">
        <f>H333</f>
        <v>612000</v>
      </c>
      <c r="I332" s="234" t="s">
        <v>1196</v>
      </c>
      <c r="J332" s="370" t="str">
        <f t="shared" si="40"/>
        <v>11Б0220180</v>
      </c>
      <c r="K332" s="30" t="str">
        <f t="shared" si="41"/>
        <v>602041211Б0220180000</v>
      </c>
    </row>
    <row r="333" spans="1:11" s="109" customFormat="1" ht="25.5">
      <c r="A333" s="232" t="s">
        <v>108</v>
      </c>
      <c r="B333" s="233" t="s">
        <v>29</v>
      </c>
      <c r="C333" s="234" t="s">
        <v>37</v>
      </c>
      <c r="D333" s="234" t="s">
        <v>40</v>
      </c>
      <c r="E333" s="234" t="s">
        <v>288</v>
      </c>
      <c r="F333" s="234" t="s">
        <v>116</v>
      </c>
      <c r="G333" s="235">
        <f>G334</f>
        <v>612000</v>
      </c>
      <c r="H333" s="235">
        <f>H334</f>
        <v>612000</v>
      </c>
      <c r="I333" s="234" t="s">
        <v>1196</v>
      </c>
      <c r="J333" s="370" t="str">
        <f t="shared" si="40"/>
        <v>11Б0220180</v>
      </c>
      <c r="K333" s="30" t="str">
        <f t="shared" si="41"/>
        <v>602041211Б0220180240</v>
      </c>
    </row>
    <row r="334" spans="1:11" s="110" customFormat="1" ht="25.5">
      <c r="A334" s="236" t="s">
        <v>973</v>
      </c>
      <c r="B334" s="233" t="s">
        <v>29</v>
      </c>
      <c r="C334" s="234" t="s">
        <v>37</v>
      </c>
      <c r="D334" s="234" t="s">
        <v>40</v>
      </c>
      <c r="E334" s="234" t="s">
        <v>288</v>
      </c>
      <c r="F334" s="234" t="s">
        <v>1043</v>
      </c>
      <c r="G334" s="235">
        <f>VLOOKUP(K334,'исх АС БЮДЖЕТ'!$A$10:$H$568,7,0)</f>
        <v>612000</v>
      </c>
      <c r="H334" s="235">
        <f>VLOOKUP(K334,'исх АС БЮДЖЕТ'!$A$10:$H$568,8,0)</f>
        <v>612000</v>
      </c>
      <c r="I334" s="234" t="s">
        <v>1196</v>
      </c>
      <c r="J334" s="370" t="str">
        <f t="shared" si="40"/>
        <v>11Б0220180</v>
      </c>
      <c r="K334" s="30" t="str">
        <f t="shared" si="41"/>
        <v>602041211Б0220180244</v>
      </c>
    </row>
    <row r="335" spans="1:11" s="110" customFormat="1">
      <c r="A335" s="236"/>
      <c r="B335" s="233"/>
      <c r="C335" s="234"/>
      <c r="D335" s="234"/>
      <c r="E335" s="234"/>
      <c r="F335" s="234"/>
      <c r="G335" s="235"/>
      <c r="H335" s="235"/>
      <c r="I335" s="234"/>
      <c r="J335" s="370"/>
      <c r="K335" s="30"/>
    </row>
    <row r="336" spans="1:11" s="109" customFormat="1">
      <c r="A336" s="219" t="s">
        <v>74</v>
      </c>
      <c r="B336" s="220" t="s">
        <v>75</v>
      </c>
      <c r="C336" s="221" t="s">
        <v>51</v>
      </c>
      <c r="D336" s="221" t="s">
        <v>51</v>
      </c>
      <c r="E336" s="221" t="s">
        <v>196</v>
      </c>
      <c r="F336" s="221" t="s">
        <v>58</v>
      </c>
      <c r="G336" s="222">
        <f>G337+G374</f>
        <v>279553445.25</v>
      </c>
      <c r="H336" s="222">
        <f>H337+H374</f>
        <v>327439445.25</v>
      </c>
      <c r="I336" s="221">
        <v>0</v>
      </c>
      <c r="J336" s="370" t="str">
        <f t="shared" si="40"/>
        <v>0000000000</v>
      </c>
      <c r="K336" s="30" t="str">
        <f t="shared" si="41"/>
        <v>60400000000000000000</v>
      </c>
    </row>
    <row r="337" spans="1:11" s="109" customFormat="1">
      <c r="A337" s="224" t="s">
        <v>64</v>
      </c>
      <c r="B337" s="225" t="s">
        <v>75</v>
      </c>
      <c r="C337" s="226" t="s">
        <v>65</v>
      </c>
      <c r="D337" s="226" t="s">
        <v>51</v>
      </c>
      <c r="E337" s="226" t="s">
        <v>196</v>
      </c>
      <c r="F337" s="226" t="s">
        <v>58</v>
      </c>
      <c r="G337" s="227">
        <f>G338+G355+G361</f>
        <v>79511445.25</v>
      </c>
      <c r="H337" s="227">
        <f>H338+H355+H361</f>
        <v>85711445.25</v>
      </c>
      <c r="I337" s="226">
        <v>0</v>
      </c>
      <c r="J337" s="370" t="str">
        <f t="shared" si="40"/>
        <v>0000000000</v>
      </c>
      <c r="K337" s="30" t="str">
        <f t="shared" si="41"/>
        <v>60401000000000000000</v>
      </c>
    </row>
    <row r="338" spans="1:11" s="109" customFormat="1" ht="25.5">
      <c r="A338" s="228" t="s">
        <v>32</v>
      </c>
      <c r="B338" s="229" t="s">
        <v>75</v>
      </c>
      <c r="C338" s="230" t="s">
        <v>65</v>
      </c>
      <c r="D338" s="230" t="s">
        <v>2</v>
      </c>
      <c r="E338" s="230" t="s">
        <v>196</v>
      </c>
      <c r="F338" s="230" t="s">
        <v>58</v>
      </c>
      <c r="G338" s="231">
        <f t="shared" ref="G338:H339" si="44">G339</f>
        <v>44486695.25</v>
      </c>
      <c r="H338" s="231">
        <f t="shared" si="44"/>
        <v>44486695.25</v>
      </c>
      <c r="I338" s="230">
        <v>0</v>
      </c>
      <c r="J338" s="370" t="str">
        <f t="shared" si="40"/>
        <v>0000000000</v>
      </c>
      <c r="K338" s="30" t="str">
        <f t="shared" si="41"/>
        <v>60401060000000000000</v>
      </c>
    </row>
    <row r="339" spans="1:11" s="109" customFormat="1" ht="25.5">
      <c r="A339" s="253" t="s">
        <v>128</v>
      </c>
      <c r="B339" s="233" t="s">
        <v>75</v>
      </c>
      <c r="C339" s="234" t="s">
        <v>65</v>
      </c>
      <c r="D339" s="234" t="s">
        <v>2</v>
      </c>
      <c r="E339" s="234" t="s">
        <v>305</v>
      </c>
      <c r="F339" s="234" t="s">
        <v>58</v>
      </c>
      <c r="G339" s="235">
        <f t="shared" si="44"/>
        <v>44486695.25</v>
      </c>
      <c r="H339" s="235">
        <f t="shared" si="44"/>
        <v>44486695.25</v>
      </c>
      <c r="I339" s="234">
        <v>7300000000</v>
      </c>
      <c r="J339" s="370" t="str">
        <f t="shared" si="40"/>
        <v>7300000000</v>
      </c>
      <c r="K339" s="30" t="str">
        <f t="shared" si="41"/>
        <v>60401067300000000000</v>
      </c>
    </row>
    <row r="340" spans="1:11" s="109" customFormat="1" ht="25.5">
      <c r="A340" s="253" t="s">
        <v>129</v>
      </c>
      <c r="B340" s="233" t="s">
        <v>75</v>
      </c>
      <c r="C340" s="234" t="s">
        <v>65</v>
      </c>
      <c r="D340" s="234" t="s">
        <v>2</v>
      </c>
      <c r="E340" s="234" t="s">
        <v>306</v>
      </c>
      <c r="F340" s="234" t="s">
        <v>58</v>
      </c>
      <c r="G340" s="235">
        <f>G341+G351</f>
        <v>44486695.25</v>
      </c>
      <c r="H340" s="235">
        <f>H341+H351</f>
        <v>44486695.25</v>
      </c>
      <c r="I340" s="234">
        <v>7310000000</v>
      </c>
      <c r="J340" s="370" t="str">
        <f t="shared" si="40"/>
        <v>7310000000</v>
      </c>
      <c r="K340" s="30" t="str">
        <f t="shared" si="41"/>
        <v>60401067310000000000</v>
      </c>
    </row>
    <row r="341" spans="1:11" s="109" customFormat="1" ht="25.5">
      <c r="A341" s="254" t="s">
        <v>114</v>
      </c>
      <c r="B341" s="233" t="s">
        <v>75</v>
      </c>
      <c r="C341" s="234" t="s">
        <v>65</v>
      </c>
      <c r="D341" s="234" t="s">
        <v>2</v>
      </c>
      <c r="E341" s="234" t="s">
        <v>307</v>
      </c>
      <c r="F341" s="234" t="s">
        <v>58</v>
      </c>
      <c r="G341" s="235">
        <f>G342+G345+G347</f>
        <v>4885619.97</v>
      </c>
      <c r="H341" s="235">
        <f>H342+H345+H347</f>
        <v>4885619.97</v>
      </c>
      <c r="I341" s="234">
        <v>7310010010</v>
      </c>
      <c r="J341" s="370" t="str">
        <f t="shared" si="40"/>
        <v>7310010010</v>
      </c>
      <c r="K341" s="30" t="str">
        <f t="shared" si="41"/>
        <v>60401067310010010000</v>
      </c>
    </row>
    <row r="342" spans="1:11" s="109" customFormat="1">
      <c r="A342" s="236" t="s">
        <v>107</v>
      </c>
      <c r="B342" s="233" t="s">
        <v>75</v>
      </c>
      <c r="C342" s="234" t="s">
        <v>65</v>
      </c>
      <c r="D342" s="234" t="s">
        <v>2</v>
      </c>
      <c r="E342" s="234" t="s">
        <v>307</v>
      </c>
      <c r="F342" s="234" t="s">
        <v>115</v>
      </c>
      <c r="G342" s="235">
        <f>SUM(G343:G344)</f>
        <v>1291339.97</v>
      </c>
      <c r="H342" s="235">
        <f>SUM(H343:H344)</f>
        <v>1291339.97</v>
      </c>
      <c r="I342" s="234">
        <v>7310010010</v>
      </c>
      <c r="J342" s="370" t="str">
        <f t="shared" si="40"/>
        <v>7310010010</v>
      </c>
      <c r="K342" s="30" t="str">
        <f t="shared" si="41"/>
        <v>60401067310010010120</v>
      </c>
    </row>
    <row r="343" spans="1:11" s="110" customFormat="1" ht="25.5">
      <c r="A343" s="236" t="s">
        <v>937</v>
      </c>
      <c r="B343" s="233" t="s">
        <v>75</v>
      </c>
      <c r="C343" s="234" t="s">
        <v>65</v>
      </c>
      <c r="D343" s="234" t="s">
        <v>2</v>
      </c>
      <c r="E343" s="234" t="s">
        <v>307</v>
      </c>
      <c r="F343" s="234" t="s">
        <v>1059</v>
      </c>
      <c r="G343" s="235">
        <f>VLOOKUP(K343,'исх АС БЮДЖЕТ'!$A$10:$H$568,7,0)</f>
        <v>1019565</v>
      </c>
      <c r="H343" s="235">
        <f>VLOOKUP(K343,'исх АС БЮДЖЕТ'!$A$10:$H$568,8,0)</f>
        <v>1019565</v>
      </c>
      <c r="I343" s="234">
        <v>7310010010</v>
      </c>
      <c r="J343" s="370" t="str">
        <f t="shared" si="40"/>
        <v>7310010010</v>
      </c>
      <c r="K343" s="30" t="str">
        <f t="shared" si="41"/>
        <v>60401067310010010122</v>
      </c>
    </row>
    <row r="344" spans="1:11" s="110" customFormat="1" ht="38.25">
      <c r="A344" s="236" t="s">
        <v>939</v>
      </c>
      <c r="B344" s="233" t="s">
        <v>75</v>
      </c>
      <c r="C344" s="234" t="s">
        <v>65</v>
      </c>
      <c r="D344" s="234" t="s">
        <v>2</v>
      </c>
      <c r="E344" s="234" t="s">
        <v>307</v>
      </c>
      <c r="F344" s="234" t="s">
        <v>1060</v>
      </c>
      <c r="G344" s="235">
        <f>VLOOKUP(K344,'исх АС БЮДЖЕТ'!$A$10:$H$568,7,0)</f>
        <v>271774.96999999997</v>
      </c>
      <c r="H344" s="235">
        <f>VLOOKUP(K344,'исх АС БЮДЖЕТ'!$A$10:$H$568,8,0)</f>
        <v>271774.96999999997</v>
      </c>
      <c r="I344" s="234">
        <v>7310010010</v>
      </c>
      <c r="J344" s="370" t="str">
        <f t="shared" si="40"/>
        <v>7310010010</v>
      </c>
      <c r="K344" s="30" t="str">
        <f t="shared" si="41"/>
        <v>60401067310010010129</v>
      </c>
    </row>
    <row r="345" spans="1:11" s="109" customFormat="1" ht="25.5">
      <c r="A345" s="232" t="s">
        <v>108</v>
      </c>
      <c r="B345" s="233" t="s">
        <v>75</v>
      </c>
      <c r="C345" s="234" t="s">
        <v>65</v>
      </c>
      <c r="D345" s="234" t="s">
        <v>2</v>
      </c>
      <c r="E345" s="234" t="s">
        <v>307</v>
      </c>
      <c r="F345" s="234" t="s">
        <v>116</v>
      </c>
      <c r="G345" s="235">
        <f>G346</f>
        <v>3533810</v>
      </c>
      <c r="H345" s="235">
        <f>H346</f>
        <v>3533810</v>
      </c>
      <c r="I345" s="234">
        <v>7310010010</v>
      </c>
      <c r="J345" s="370" t="str">
        <f t="shared" si="40"/>
        <v>7310010010</v>
      </c>
      <c r="K345" s="30" t="str">
        <f t="shared" si="41"/>
        <v>60401067310010010240</v>
      </c>
    </row>
    <row r="346" spans="1:11" s="110" customFormat="1" ht="25.5">
      <c r="A346" s="236" t="s">
        <v>973</v>
      </c>
      <c r="B346" s="233" t="s">
        <v>75</v>
      </c>
      <c r="C346" s="234" t="s">
        <v>65</v>
      </c>
      <c r="D346" s="234" t="s">
        <v>2</v>
      </c>
      <c r="E346" s="234" t="s">
        <v>307</v>
      </c>
      <c r="F346" s="234" t="s">
        <v>1043</v>
      </c>
      <c r="G346" s="235">
        <f>VLOOKUP(K346,'исх АС БЮДЖЕТ'!$A$10:$H$568,7,0)</f>
        <v>3533810</v>
      </c>
      <c r="H346" s="235">
        <f>VLOOKUP(K346,'исх АС БЮДЖЕТ'!$A$10:$H$568,8,0)</f>
        <v>3533810</v>
      </c>
      <c r="I346" s="234">
        <v>7310010010</v>
      </c>
      <c r="J346" s="370" t="str">
        <f t="shared" si="40"/>
        <v>7310010010</v>
      </c>
      <c r="K346" s="30" t="str">
        <f t="shared" si="41"/>
        <v>60401067310010010244</v>
      </c>
    </row>
    <row r="347" spans="1:11" s="109" customFormat="1">
      <c r="A347" s="232" t="s">
        <v>97</v>
      </c>
      <c r="B347" s="233" t="s">
        <v>75</v>
      </c>
      <c r="C347" s="234" t="s">
        <v>65</v>
      </c>
      <c r="D347" s="234" t="s">
        <v>2</v>
      </c>
      <c r="E347" s="234" t="s">
        <v>307</v>
      </c>
      <c r="F347" s="234" t="s">
        <v>118</v>
      </c>
      <c r="G347" s="235">
        <f>SUM(G348:G350)</f>
        <v>60470</v>
      </c>
      <c r="H347" s="235">
        <f>SUM(H348:H350)</f>
        <v>60470</v>
      </c>
      <c r="I347" s="234">
        <v>7310010010</v>
      </c>
      <c r="J347" s="370" t="str">
        <f t="shared" si="40"/>
        <v>7310010010</v>
      </c>
      <c r="K347" s="30" t="str">
        <f t="shared" si="41"/>
        <v>60401067310010010850</v>
      </c>
    </row>
    <row r="348" spans="1:11" s="109" customFormat="1">
      <c r="A348" s="232" t="s">
        <v>1036</v>
      </c>
      <c r="B348" s="233" t="s">
        <v>75</v>
      </c>
      <c r="C348" s="234" t="s">
        <v>65</v>
      </c>
      <c r="D348" s="234" t="s">
        <v>2</v>
      </c>
      <c r="E348" s="234" t="s">
        <v>307</v>
      </c>
      <c r="F348" s="234" t="s">
        <v>1061</v>
      </c>
      <c r="G348" s="235">
        <f>VLOOKUP(K348,'исх АС БЮДЖЕТ'!$A$10:$H$568,7,0)</f>
        <v>2000</v>
      </c>
      <c r="H348" s="235">
        <f>VLOOKUP(K348,'исх АС БЮДЖЕТ'!$A$10:$H$568,8,0)</f>
        <v>2000</v>
      </c>
      <c r="I348" s="234">
        <v>7310010010</v>
      </c>
      <c r="J348" s="370" t="str">
        <f t="shared" si="40"/>
        <v>7310010010</v>
      </c>
      <c r="K348" s="30" t="str">
        <f t="shared" si="41"/>
        <v>60401067310010010851</v>
      </c>
    </row>
    <row r="349" spans="1:11" s="109" customFormat="1">
      <c r="A349" s="232" t="s">
        <v>1037</v>
      </c>
      <c r="B349" s="233" t="s">
        <v>75</v>
      </c>
      <c r="C349" s="234" t="s">
        <v>65</v>
      </c>
      <c r="D349" s="234" t="s">
        <v>2</v>
      </c>
      <c r="E349" s="234" t="s">
        <v>307</v>
      </c>
      <c r="F349" s="234" t="s">
        <v>1062</v>
      </c>
      <c r="G349" s="235">
        <f>VLOOKUP(K349,'исх АС БЮДЖЕТ'!$A$10:$H$568,7,0)</f>
        <v>23470</v>
      </c>
      <c r="H349" s="235">
        <f>VLOOKUP(K349,'исх АС БЮДЖЕТ'!$A$10:$H$568,8,0)</f>
        <v>23470</v>
      </c>
      <c r="I349" s="234">
        <v>7310010010</v>
      </c>
      <c r="J349" s="370" t="str">
        <f t="shared" si="40"/>
        <v>7310010010</v>
      </c>
      <c r="K349" s="30" t="str">
        <f t="shared" si="41"/>
        <v>60401067310010010852</v>
      </c>
    </row>
    <row r="350" spans="1:11" s="109" customFormat="1">
      <c r="A350" s="232" t="s">
        <v>1038</v>
      </c>
      <c r="B350" s="233" t="s">
        <v>75</v>
      </c>
      <c r="C350" s="234" t="s">
        <v>65</v>
      </c>
      <c r="D350" s="234" t="s">
        <v>2</v>
      </c>
      <c r="E350" s="234" t="s">
        <v>307</v>
      </c>
      <c r="F350" s="234" t="s">
        <v>1066</v>
      </c>
      <c r="G350" s="235">
        <f>VLOOKUP(K350,'исх АС БЮДЖЕТ'!$A$10:$H$568,7,0)</f>
        <v>35000</v>
      </c>
      <c r="H350" s="235">
        <f>VLOOKUP(K350,'исх АС БЮДЖЕТ'!$A$10:$H$568,8,0)</f>
        <v>35000</v>
      </c>
      <c r="I350" s="234">
        <v>7310010010</v>
      </c>
      <c r="J350" s="370" t="str">
        <f t="shared" si="40"/>
        <v>7310010010</v>
      </c>
      <c r="K350" s="30" t="str">
        <f t="shared" si="41"/>
        <v>60401067310010010853</v>
      </c>
    </row>
    <row r="351" spans="1:11" s="109" customFormat="1" ht="25.5">
      <c r="A351" s="255" t="s">
        <v>126</v>
      </c>
      <c r="B351" s="233" t="s">
        <v>75</v>
      </c>
      <c r="C351" s="234" t="s">
        <v>65</v>
      </c>
      <c r="D351" s="234" t="s">
        <v>2</v>
      </c>
      <c r="E351" s="234" t="s">
        <v>308</v>
      </c>
      <c r="F351" s="234" t="s">
        <v>58</v>
      </c>
      <c r="G351" s="235">
        <f>G352</f>
        <v>39601075.280000001</v>
      </c>
      <c r="H351" s="235">
        <f>H352</f>
        <v>39601075.280000001</v>
      </c>
      <c r="I351" s="234">
        <v>7310010020</v>
      </c>
      <c r="J351" s="370" t="str">
        <f t="shared" si="40"/>
        <v>7310010020</v>
      </c>
      <c r="K351" s="30" t="str">
        <f t="shared" si="41"/>
        <v>60401067310010020000</v>
      </c>
    </row>
    <row r="352" spans="1:11" s="109" customFormat="1">
      <c r="A352" s="232" t="s">
        <v>107</v>
      </c>
      <c r="B352" s="233" t="s">
        <v>75</v>
      </c>
      <c r="C352" s="234" t="s">
        <v>65</v>
      </c>
      <c r="D352" s="234" t="s">
        <v>2</v>
      </c>
      <c r="E352" s="234" t="s">
        <v>308</v>
      </c>
      <c r="F352" s="234" t="s">
        <v>115</v>
      </c>
      <c r="G352" s="235">
        <f>SUM(G353:G354)</f>
        <v>39601075.280000001</v>
      </c>
      <c r="H352" s="235">
        <f>SUM(H353:H354)</f>
        <v>39601075.280000001</v>
      </c>
      <c r="I352" s="234">
        <v>7310010020</v>
      </c>
      <c r="J352" s="370" t="str">
        <f t="shared" si="40"/>
        <v>7310010020</v>
      </c>
      <c r="K352" s="30" t="str">
        <f t="shared" si="41"/>
        <v>60401067310010020120</v>
      </c>
    </row>
    <row r="353" spans="1:11" s="109" customFormat="1">
      <c r="A353" s="232" t="s">
        <v>936</v>
      </c>
      <c r="B353" s="233" t="s">
        <v>75</v>
      </c>
      <c r="C353" s="234" t="s">
        <v>65</v>
      </c>
      <c r="D353" s="234" t="s">
        <v>2</v>
      </c>
      <c r="E353" s="234" t="s">
        <v>308</v>
      </c>
      <c r="F353" s="234" t="s">
        <v>1063</v>
      </c>
      <c r="G353" s="235">
        <f>VLOOKUP(K353,'исх АС БЮДЖЕТ'!$A$10:$H$568,7,0)</f>
        <v>30415572</v>
      </c>
      <c r="H353" s="235">
        <f>VLOOKUP(K353,'исх АС БЮДЖЕТ'!$A$10:$H$568,8,0)</f>
        <v>30415572</v>
      </c>
      <c r="I353" s="234">
        <v>7310010020</v>
      </c>
      <c r="J353" s="370" t="str">
        <f t="shared" si="40"/>
        <v>7310010020</v>
      </c>
      <c r="K353" s="30" t="str">
        <f t="shared" si="41"/>
        <v>60401067310010020121</v>
      </c>
    </row>
    <row r="354" spans="1:11" s="109" customFormat="1" ht="38.25">
      <c r="A354" s="232" t="s">
        <v>939</v>
      </c>
      <c r="B354" s="233" t="s">
        <v>75</v>
      </c>
      <c r="C354" s="234" t="s">
        <v>65</v>
      </c>
      <c r="D354" s="234" t="s">
        <v>2</v>
      </c>
      <c r="E354" s="234" t="s">
        <v>308</v>
      </c>
      <c r="F354" s="234" t="s">
        <v>1060</v>
      </c>
      <c r="G354" s="235">
        <f>VLOOKUP(K354,'исх АС БЮДЖЕТ'!$A$10:$H$568,7,0)</f>
        <v>9185503.2799999993</v>
      </c>
      <c r="H354" s="235">
        <f>VLOOKUP(K354,'исх АС БЮДЖЕТ'!$A$10:$H$568,8,0)</f>
        <v>9185503.2799999993</v>
      </c>
      <c r="I354" s="234">
        <v>7310010020</v>
      </c>
      <c r="J354" s="370" t="str">
        <f t="shared" si="40"/>
        <v>7310010020</v>
      </c>
      <c r="K354" s="30" t="str">
        <f t="shared" si="41"/>
        <v>60401067310010020129</v>
      </c>
    </row>
    <row r="355" spans="1:11" s="109" customFormat="1">
      <c r="A355" s="228" t="s">
        <v>309</v>
      </c>
      <c r="B355" s="229" t="s">
        <v>75</v>
      </c>
      <c r="C355" s="230" t="s">
        <v>65</v>
      </c>
      <c r="D355" s="230" t="s">
        <v>78</v>
      </c>
      <c r="E355" s="230" t="s">
        <v>196</v>
      </c>
      <c r="F355" s="230" t="s">
        <v>310</v>
      </c>
      <c r="G355" s="231">
        <f t="shared" ref="G355:H359" si="45">G356</f>
        <v>12775540</v>
      </c>
      <c r="H355" s="231">
        <f t="shared" si="45"/>
        <v>12775540</v>
      </c>
      <c r="I355" s="230">
        <v>0</v>
      </c>
      <c r="J355" s="370" t="str">
        <f t="shared" si="40"/>
        <v>0000000000</v>
      </c>
      <c r="K355" s="30" t="str">
        <f t="shared" si="41"/>
        <v xml:space="preserve">60401110000000000000 </v>
      </c>
    </row>
    <row r="356" spans="1:11" s="109" customFormat="1" ht="25.5">
      <c r="A356" s="236" t="s">
        <v>743</v>
      </c>
      <c r="B356" s="233" t="s">
        <v>75</v>
      </c>
      <c r="C356" s="234" t="s">
        <v>65</v>
      </c>
      <c r="D356" s="234" t="s">
        <v>78</v>
      </c>
      <c r="E356" s="234" t="s">
        <v>311</v>
      </c>
      <c r="F356" s="234" t="s">
        <v>310</v>
      </c>
      <c r="G356" s="235">
        <f t="shared" si="45"/>
        <v>12775540</v>
      </c>
      <c r="H356" s="235">
        <f t="shared" si="45"/>
        <v>12775540</v>
      </c>
      <c r="I356" s="234">
        <v>1000000000</v>
      </c>
      <c r="J356" s="370" t="str">
        <f t="shared" si="40"/>
        <v>1000000000</v>
      </c>
      <c r="K356" s="30" t="str">
        <f t="shared" si="41"/>
        <v xml:space="preserve">60401111000000000000 </v>
      </c>
    </row>
    <row r="357" spans="1:11" s="109" customFormat="1" ht="25.5">
      <c r="A357" s="236" t="s">
        <v>744</v>
      </c>
      <c r="B357" s="233" t="s">
        <v>75</v>
      </c>
      <c r="C357" s="234" t="s">
        <v>65</v>
      </c>
      <c r="D357" s="234" t="s">
        <v>78</v>
      </c>
      <c r="E357" s="234" t="s">
        <v>312</v>
      </c>
      <c r="F357" s="234" t="s">
        <v>58</v>
      </c>
      <c r="G357" s="235">
        <f t="shared" si="45"/>
        <v>12775540</v>
      </c>
      <c r="H357" s="235">
        <f t="shared" si="45"/>
        <v>12775540</v>
      </c>
      <c r="I357" s="234" t="s">
        <v>1197</v>
      </c>
      <c r="J357" s="370" t="str">
        <f t="shared" si="40"/>
        <v>10Б0000000</v>
      </c>
      <c r="K357" s="30" t="str">
        <f t="shared" si="41"/>
        <v>604011110Б0000000000</v>
      </c>
    </row>
    <row r="358" spans="1:11" s="109" customFormat="1" ht="25.5">
      <c r="A358" s="236" t="s">
        <v>313</v>
      </c>
      <c r="B358" s="233" t="s">
        <v>75</v>
      </c>
      <c r="C358" s="234" t="s">
        <v>65</v>
      </c>
      <c r="D358" s="234" t="s">
        <v>78</v>
      </c>
      <c r="E358" s="234" t="s">
        <v>568</v>
      </c>
      <c r="F358" s="234" t="s">
        <v>58</v>
      </c>
      <c r="G358" s="235">
        <f t="shared" si="45"/>
        <v>12775540</v>
      </c>
      <c r="H358" s="235">
        <f t="shared" si="45"/>
        <v>12775540</v>
      </c>
      <c r="I358" s="234" t="s">
        <v>1198</v>
      </c>
      <c r="J358" s="370" t="str">
        <f t="shared" si="40"/>
        <v>10Б0100000</v>
      </c>
      <c r="K358" s="30" t="str">
        <f t="shared" si="41"/>
        <v>604011110Б0100000000</v>
      </c>
    </row>
    <row r="359" spans="1:11" s="109" customFormat="1">
      <c r="A359" s="232" t="s">
        <v>0</v>
      </c>
      <c r="B359" s="233" t="s">
        <v>75</v>
      </c>
      <c r="C359" s="234" t="s">
        <v>65</v>
      </c>
      <c r="D359" s="234" t="s">
        <v>78</v>
      </c>
      <c r="E359" s="234" t="s">
        <v>569</v>
      </c>
      <c r="F359" s="234" t="s">
        <v>58</v>
      </c>
      <c r="G359" s="235">
        <f t="shared" si="45"/>
        <v>12775540</v>
      </c>
      <c r="H359" s="235">
        <f t="shared" si="45"/>
        <v>12775540</v>
      </c>
      <c r="I359" s="234" t="s">
        <v>1199</v>
      </c>
      <c r="J359" s="370" t="str">
        <f t="shared" si="40"/>
        <v>10Б0120020</v>
      </c>
      <c r="K359" s="30" t="str">
        <f t="shared" si="41"/>
        <v>604011110Б0120020000</v>
      </c>
    </row>
    <row r="360" spans="1:11" s="109" customFormat="1">
      <c r="A360" s="232" t="s">
        <v>98</v>
      </c>
      <c r="B360" s="233" t="s">
        <v>75</v>
      </c>
      <c r="C360" s="234" t="s">
        <v>65</v>
      </c>
      <c r="D360" s="234" t="s">
        <v>78</v>
      </c>
      <c r="E360" s="234" t="s">
        <v>569</v>
      </c>
      <c r="F360" s="234" t="s">
        <v>102</v>
      </c>
      <c r="G360" s="235">
        <f>VLOOKUP(K360,'исх АС БЮДЖЕТ'!$A$10:$H$568,7,0)</f>
        <v>12775540</v>
      </c>
      <c r="H360" s="235">
        <f>VLOOKUP(K360,'исх АС БЮДЖЕТ'!$A$10:$H$568,8,0)</f>
        <v>12775540</v>
      </c>
      <c r="I360" s="234" t="s">
        <v>1199</v>
      </c>
      <c r="J360" s="370" t="str">
        <f t="shared" si="40"/>
        <v>10Б0120020</v>
      </c>
      <c r="K360" s="30" t="str">
        <f t="shared" si="41"/>
        <v>604011110Б0120020870</v>
      </c>
    </row>
    <row r="361" spans="1:11" s="109" customFormat="1">
      <c r="A361" s="228" t="s">
        <v>38</v>
      </c>
      <c r="B361" s="229" t="s">
        <v>75</v>
      </c>
      <c r="C361" s="230" t="s">
        <v>65</v>
      </c>
      <c r="D361" s="230" t="s">
        <v>84</v>
      </c>
      <c r="E361" s="230" t="s">
        <v>196</v>
      </c>
      <c r="F361" s="230" t="s">
        <v>58</v>
      </c>
      <c r="G361" s="231">
        <f>G368+G362</f>
        <v>22249210</v>
      </c>
      <c r="H361" s="231">
        <f>H368+H362</f>
        <v>28449210</v>
      </c>
      <c r="I361" s="230">
        <v>0</v>
      </c>
      <c r="J361" s="370" t="str">
        <f t="shared" si="40"/>
        <v>0000000000</v>
      </c>
      <c r="K361" s="30" t="str">
        <f t="shared" si="41"/>
        <v>60401130000000000000</v>
      </c>
    </row>
    <row r="362" spans="1:11" s="109" customFormat="1" ht="25.5">
      <c r="A362" s="236" t="s">
        <v>743</v>
      </c>
      <c r="B362" s="233" t="s">
        <v>75</v>
      </c>
      <c r="C362" s="234" t="s">
        <v>65</v>
      </c>
      <c r="D362" s="234" t="s">
        <v>84</v>
      </c>
      <c r="E362" s="234" t="s">
        <v>311</v>
      </c>
      <c r="F362" s="234" t="s">
        <v>58</v>
      </c>
      <c r="G362" s="235">
        <f t="shared" ref="G362:H365" si="46">G363</f>
        <v>3544420</v>
      </c>
      <c r="H362" s="235">
        <f t="shared" si="46"/>
        <v>9744420</v>
      </c>
      <c r="I362" s="234">
        <v>1000000000</v>
      </c>
      <c r="J362" s="370" t="str">
        <f t="shared" si="40"/>
        <v>1000000000</v>
      </c>
      <c r="K362" s="30" t="str">
        <f t="shared" si="41"/>
        <v>60401131000000000000</v>
      </c>
    </row>
    <row r="363" spans="1:11" s="109" customFormat="1" ht="25.5">
      <c r="A363" s="236" t="s">
        <v>744</v>
      </c>
      <c r="B363" s="233" t="s">
        <v>75</v>
      </c>
      <c r="C363" s="234" t="s">
        <v>65</v>
      </c>
      <c r="D363" s="234" t="s">
        <v>84</v>
      </c>
      <c r="E363" s="234" t="s">
        <v>312</v>
      </c>
      <c r="F363" s="234" t="s">
        <v>58</v>
      </c>
      <c r="G363" s="235">
        <f t="shared" si="46"/>
        <v>3544420</v>
      </c>
      <c r="H363" s="235">
        <f t="shared" si="46"/>
        <v>9744420</v>
      </c>
      <c r="I363" s="234" t="s">
        <v>1197</v>
      </c>
      <c r="J363" s="370" t="str">
        <f t="shared" si="40"/>
        <v>10Б0000000</v>
      </c>
      <c r="K363" s="30" t="str">
        <f t="shared" si="41"/>
        <v>604011310Б0000000000</v>
      </c>
    </row>
    <row r="364" spans="1:11" s="109" customFormat="1" ht="38.25">
      <c r="A364" s="236" t="s">
        <v>315</v>
      </c>
      <c r="B364" s="233" t="s">
        <v>75</v>
      </c>
      <c r="C364" s="234" t="s">
        <v>65</v>
      </c>
      <c r="D364" s="234" t="s">
        <v>84</v>
      </c>
      <c r="E364" s="234" t="s">
        <v>314</v>
      </c>
      <c r="F364" s="234" t="s">
        <v>58</v>
      </c>
      <c r="G364" s="235">
        <f t="shared" si="46"/>
        <v>3544420</v>
      </c>
      <c r="H364" s="235">
        <f t="shared" si="46"/>
        <v>9744420</v>
      </c>
      <c r="I364" s="234" t="s">
        <v>1200</v>
      </c>
      <c r="J364" s="370" t="str">
        <f t="shared" si="40"/>
        <v>10Б0200000</v>
      </c>
      <c r="K364" s="30" t="str">
        <f t="shared" si="41"/>
        <v>604011310Б0200000000</v>
      </c>
    </row>
    <row r="365" spans="1:11" s="109" customFormat="1">
      <c r="A365" s="232" t="s">
        <v>130</v>
      </c>
      <c r="B365" s="233" t="s">
        <v>75</v>
      </c>
      <c r="C365" s="234" t="s">
        <v>65</v>
      </c>
      <c r="D365" s="234" t="s">
        <v>84</v>
      </c>
      <c r="E365" s="234" t="s">
        <v>570</v>
      </c>
      <c r="F365" s="234" t="s">
        <v>58</v>
      </c>
      <c r="G365" s="235">
        <f t="shared" si="46"/>
        <v>3544420</v>
      </c>
      <c r="H365" s="235">
        <f t="shared" si="46"/>
        <v>9744420</v>
      </c>
      <c r="I365" s="234" t="s">
        <v>1201</v>
      </c>
      <c r="J365" s="370" t="str">
        <f t="shared" si="40"/>
        <v>10Б0220050</v>
      </c>
      <c r="K365" s="30" t="str">
        <f t="shared" si="41"/>
        <v>604011310Б0220050000</v>
      </c>
    </row>
    <row r="366" spans="1:11" s="109" customFormat="1">
      <c r="A366" s="232" t="s">
        <v>96</v>
      </c>
      <c r="B366" s="233" t="s">
        <v>75</v>
      </c>
      <c r="C366" s="234" t="s">
        <v>65</v>
      </c>
      <c r="D366" s="234" t="s">
        <v>84</v>
      </c>
      <c r="E366" s="234" t="s">
        <v>570</v>
      </c>
      <c r="F366" s="234" t="s">
        <v>131</v>
      </c>
      <c r="G366" s="235">
        <f>G367</f>
        <v>3544420</v>
      </c>
      <c r="H366" s="235">
        <f>H367</f>
        <v>9744420</v>
      </c>
      <c r="I366" s="234" t="s">
        <v>1201</v>
      </c>
      <c r="J366" s="370" t="str">
        <f t="shared" si="40"/>
        <v>10Б0220050</v>
      </c>
      <c r="K366" s="30" t="str">
        <f t="shared" si="41"/>
        <v>604011310Б0220050830</v>
      </c>
    </row>
    <row r="367" spans="1:11" s="110" customFormat="1" ht="25.5">
      <c r="A367" s="236" t="s">
        <v>1044</v>
      </c>
      <c r="B367" s="233" t="s">
        <v>75</v>
      </c>
      <c r="C367" s="234" t="s">
        <v>65</v>
      </c>
      <c r="D367" s="234" t="s">
        <v>84</v>
      </c>
      <c r="E367" s="234" t="s">
        <v>570</v>
      </c>
      <c r="F367" s="234" t="s">
        <v>1045</v>
      </c>
      <c r="G367" s="235">
        <f>VLOOKUP(K367,'исх АС БЮДЖЕТ'!$A$10:$H$568,7,0)</f>
        <v>3544420</v>
      </c>
      <c r="H367" s="235">
        <f>VLOOKUP(K367,'исх АС БЮДЖЕТ'!$A$10:$H$568,8,0)</f>
        <v>9744420</v>
      </c>
      <c r="I367" s="234" t="s">
        <v>1201</v>
      </c>
      <c r="J367" s="370" t="str">
        <f t="shared" si="40"/>
        <v>10Б0220050</v>
      </c>
      <c r="K367" s="30" t="str">
        <f t="shared" si="41"/>
        <v>604011310Б0220050831</v>
      </c>
    </row>
    <row r="368" spans="1:11" s="109" customFormat="1" ht="25.5">
      <c r="A368" s="232" t="s">
        <v>683</v>
      </c>
      <c r="B368" s="233" t="s">
        <v>75</v>
      </c>
      <c r="C368" s="234" t="s">
        <v>65</v>
      </c>
      <c r="D368" s="234" t="s">
        <v>84</v>
      </c>
      <c r="E368" s="234" t="s">
        <v>680</v>
      </c>
      <c r="F368" s="234" t="s">
        <v>58</v>
      </c>
      <c r="G368" s="235">
        <f>G369</f>
        <v>18704790</v>
      </c>
      <c r="H368" s="235">
        <f>H369</f>
        <v>18704790</v>
      </c>
      <c r="I368" s="234">
        <v>9800000000</v>
      </c>
      <c r="J368" s="370" t="str">
        <f t="shared" si="40"/>
        <v>9800000000</v>
      </c>
      <c r="K368" s="30" t="str">
        <f t="shared" si="41"/>
        <v>60401139800000000000</v>
      </c>
    </row>
    <row r="369" spans="1:11" s="109" customFormat="1">
      <c r="A369" s="232" t="s">
        <v>684</v>
      </c>
      <c r="B369" s="233" t="s">
        <v>75</v>
      </c>
      <c r="C369" s="234" t="s">
        <v>65</v>
      </c>
      <c r="D369" s="234" t="s">
        <v>84</v>
      </c>
      <c r="E369" s="234" t="s">
        <v>681</v>
      </c>
      <c r="F369" s="234" t="s">
        <v>58</v>
      </c>
      <c r="G369" s="235">
        <f>G370+G372</f>
        <v>18704790</v>
      </c>
      <c r="H369" s="235">
        <f>H370+H372</f>
        <v>18704790</v>
      </c>
      <c r="I369" s="234">
        <v>9810000000</v>
      </c>
      <c r="J369" s="370" t="str">
        <f t="shared" si="40"/>
        <v>9810000000</v>
      </c>
      <c r="K369" s="30" t="str">
        <f t="shared" si="41"/>
        <v>60401139810000000000</v>
      </c>
    </row>
    <row r="370" spans="1:11" s="109" customFormat="1" ht="25.5">
      <c r="A370" s="232" t="s">
        <v>602</v>
      </c>
      <c r="B370" s="233" t="s">
        <v>75</v>
      </c>
      <c r="C370" s="234" t="s">
        <v>65</v>
      </c>
      <c r="D370" s="234" t="s">
        <v>84</v>
      </c>
      <c r="E370" s="234" t="s">
        <v>685</v>
      </c>
      <c r="F370" s="234" t="s">
        <v>58</v>
      </c>
      <c r="G370" s="235">
        <f>G371</f>
        <v>2000000</v>
      </c>
      <c r="H370" s="235">
        <f>H371</f>
        <v>2000000</v>
      </c>
      <c r="I370" s="234">
        <v>9810010050</v>
      </c>
      <c r="J370" s="370" t="str">
        <f t="shared" si="40"/>
        <v>9810010050</v>
      </c>
      <c r="K370" s="30" t="str">
        <f t="shared" si="41"/>
        <v>60401139810010050000</v>
      </c>
    </row>
    <row r="371" spans="1:11" s="109" customFormat="1">
      <c r="A371" s="237" t="s">
        <v>99</v>
      </c>
      <c r="B371" s="233" t="s">
        <v>75</v>
      </c>
      <c r="C371" s="234" t="s">
        <v>65</v>
      </c>
      <c r="D371" s="234" t="s">
        <v>84</v>
      </c>
      <c r="E371" s="234" t="s">
        <v>685</v>
      </c>
      <c r="F371" s="234" t="s">
        <v>105</v>
      </c>
      <c r="G371" s="235">
        <f>VLOOKUP(K371,'исх АС БЮДЖЕТ'!$A$10:$H$568,7,0)</f>
        <v>2000000</v>
      </c>
      <c r="H371" s="235">
        <f>VLOOKUP(K371,'исх АС БЮДЖЕТ'!$A$10:$H$568,8,0)</f>
        <v>2000000</v>
      </c>
      <c r="I371" s="234">
        <v>9810010050</v>
      </c>
      <c r="J371" s="370" t="str">
        <f t="shared" si="40"/>
        <v>9810010050</v>
      </c>
      <c r="K371" s="30" t="str">
        <f t="shared" si="41"/>
        <v>60401139810010050880</v>
      </c>
    </row>
    <row r="372" spans="1:11" s="109" customFormat="1" ht="76.5">
      <c r="A372" s="256" t="s">
        <v>601</v>
      </c>
      <c r="B372" s="233" t="s">
        <v>75</v>
      </c>
      <c r="C372" s="234" t="s">
        <v>65</v>
      </c>
      <c r="D372" s="234" t="s">
        <v>84</v>
      </c>
      <c r="E372" s="234" t="s">
        <v>686</v>
      </c>
      <c r="F372" s="234" t="s">
        <v>58</v>
      </c>
      <c r="G372" s="235">
        <f>G373</f>
        <v>16704790</v>
      </c>
      <c r="H372" s="235">
        <f>H373</f>
        <v>16704790</v>
      </c>
      <c r="I372" s="234">
        <v>9810020750</v>
      </c>
      <c r="J372" s="370" t="str">
        <f t="shared" ref="J372:J432" si="47">TEXT(I372,"0000000000")</f>
        <v>9810020750</v>
      </c>
      <c r="K372" s="30" t="str">
        <f t="shared" ref="K372:K432" si="48">CONCATENATE(B372,C372,D372,J372,F372)</f>
        <v>60401139810020750000</v>
      </c>
    </row>
    <row r="373" spans="1:11" s="109" customFormat="1">
      <c r="A373" s="237" t="s">
        <v>99</v>
      </c>
      <c r="B373" s="233" t="s">
        <v>75</v>
      </c>
      <c r="C373" s="234" t="s">
        <v>65</v>
      </c>
      <c r="D373" s="234" t="s">
        <v>84</v>
      </c>
      <c r="E373" s="234" t="s">
        <v>686</v>
      </c>
      <c r="F373" s="234" t="s">
        <v>105</v>
      </c>
      <c r="G373" s="235">
        <f>VLOOKUP(K373,'исх АС БЮДЖЕТ'!$A$10:$H$568,7,0)</f>
        <v>16704790</v>
      </c>
      <c r="H373" s="235">
        <f>VLOOKUP(K373,'исх АС БЮДЖЕТ'!$A$10:$H$568,8,0)</f>
        <v>16704790</v>
      </c>
      <c r="I373" s="234">
        <v>9810020750</v>
      </c>
      <c r="J373" s="370" t="str">
        <f t="shared" si="47"/>
        <v>9810020750</v>
      </c>
      <c r="K373" s="30" t="str">
        <f t="shared" si="48"/>
        <v>60401139810020750880</v>
      </c>
    </row>
    <row r="374" spans="1:11" s="109" customFormat="1">
      <c r="A374" s="224" t="s">
        <v>85</v>
      </c>
      <c r="B374" s="225" t="s">
        <v>75</v>
      </c>
      <c r="C374" s="226" t="s">
        <v>84</v>
      </c>
      <c r="D374" s="226" t="s">
        <v>51</v>
      </c>
      <c r="E374" s="226" t="s">
        <v>196</v>
      </c>
      <c r="F374" s="226" t="s">
        <v>58</v>
      </c>
      <c r="G374" s="227">
        <f t="shared" ref="G374:H379" si="49">G375</f>
        <v>200042000</v>
      </c>
      <c r="H374" s="227">
        <f t="shared" si="49"/>
        <v>241728000</v>
      </c>
      <c r="I374" s="226">
        <v>0</v>
      </c>
      <c r="J374" s="370" t="str">
        <f t="shared" si="47"/>
        <v>0000000000</v>
      </c>
      <c r="K374" s="30" t="str">
        <f t="shared" si="48"/>
        <v>60413000000000000000</v>
      </c>
    </row>
    <row r="375" spans="1:11" s="109" customFormat="1">
      <c r="A375" s="228" t="s">
        <v>86</v>
      </c>
      <c r="B375" s="229" t="s">
        <v>75</v>
      </c>
      <c r="C375" s="230" t="s">
        <v>84</v>
      </c>
      <c r="D375" s="230" t="s">
        <v>65</v>
      </c>
      <c r="E375" s="230" t="s">
        <v>196</v>
      </c>
      <c r="F375" s="230" t="s">
        <v>58</v>
      </c>
      <c r="G375" s="231">
        <f t="shared" si="49"/>
        <v>200042000</v>
      </c>
      <c r="H375" s="231">
        <f t="shared" si="49"/>
        <v>241728000</v>
      </c>
      <c r="I375" s="230">
        <v>0</v>
      </c>
      <c r="J375" s="370" t="str">
        <f t="shared" si="47"/>
        <v>0000000000</v>
      </c>
      <c r="K375" s="30" t="str">
        <f t="shared" si="48"/>
        <v>60413010000000000000</v>
      </c>
    </row>
    <row r="376" spans="1:11" s="109" customFormat="1" ht="25.5">
      <c r="A376" s="236" t="s">
        <v>743</v>
      </c>
      <c r="B376" s="233" t="s">
        <v>75</v>
      </c>
      <c r="C376" s="234" t="s">
        <v>84</v>
      </c>
      <c r="D376" s="234" t="s">
        <v>65</v>
      </c>
      <c r="E376" s="234" t="s">
        <v>311</v>
      </c>
      <c r="F376" s="234" t="s">
        <v>58</v>
      </c>
      <c r="G376" s="235">
        <f t="shared" si="49"/>
        <v>200042000</v>
      </c>
      <c r="H376" s="235">
        <f t="shared" si="49"/>
        <v>241728000</v>
      </c>
      <c r="I376" s="234">
        <v>1000000000</v>
      </c>
      <c r="J376" s="370" t="str">
        <f t="shared" si="47"/>
        <v>1000000000</v>
      </c>
      <c r="K376" s="30" t="str">
        <f t="shared" si="48"/>
        <v>60413011000000000000</v>
      </c>
    </row>
    <row r="377" spans="1:11" s="109" customFormat="1" ht="25.5">
      <c r="A377" s="236" t="s">
        <v>744</v>
      </c>
      <c r="B377" s="233" t="s">
        <v>75</v>
      </c>
      <c r="C377" s="234" t="s">
        <v>84</v>
      </c>
      <c r="D377" s="234" t="s">
        <v>65</v>
      </c>
      <c r="E377" s="234" t="s">
        <v>312</v>
      </c>
      <c r="F377" s="234" t="s">
        <v>58</v>
      </c>
      <c r="G377" s="235">
        <f t="shared" si="49"/>
        <v>200042000</v>
      </c>
      <c r="H377" s="235">
        <f t="shared" si="49"/>
        <v>241728000</v>
      </c>
      <c r="I377" s="234" t="s">
        <v>1197</v>
      </c>
      <c r="J377" s="370" t="str">
        <f t="shared" si="47"/>
        <v>10Б0000000</v>
      </c>
      <c r="K377" s="30" t="str">
        <f t="shared" si="48"/>
        <v>604130110Б0000000000</v>
      </c>
    </row>
    <row r="378" spans="1:11" s="109" customFormat="1" ht="38.25">
      <c r="A378" s="236" t="s">
        <v>316</v>
      </c>
      <c r="B378" s="233" t="s">
        <v>75</v>
      </c>
      <c r="C378" s="234" t="s">
        <v>84</v>
      </c>
      <c r="D378" s="234" t="s">
        <v>65</v>
      </c>
      <c r="E378" s="234" t="s">
        <v>317</v>
      </c>
      <c r="F378" s="234" t="s">
        <v>58</v>
      </c>
      <c r="G378" s="235">
        <f t="shared" si="49"/>
        <v>200042000</v>
      </c>
      <c r="H378" s="235">
        <f t="shared" si="49"/>
        <v>241728000</v>
      </c>
      <c r="I378" s="234" t="s">
        <v>1202</v>
      </c>
      <c r="J378" s="370" t="str">
        <f t="shared" si="47"/>
        <v>10Б0300000</v>
      </c>
      <c r="K378" s="30" t="str">
        <f t="shared" si="48"/>
        <v>604130110Б0300000000</v>
      </c>
    </row>
    <row r="379" spans="1:11" s="109" customFormat="1">
      <c r="A379" s="236" t="s">
        <v>95</v>
      </c>
      <c r="B379" s="233" t="s">
        <v>75</v>
      </c>
      <c r="C379" s="234" t="s">
        <v>84</v>
      </c>
      <c r="D379" s="234" t="s">
        <v>65</v>
      </c>
      <c r="E379" s="234" t="s">
        <v>318</v>
      </c>
      <c r="F379" s="234" t="s">
        <v>58</v>
      </c>
      <c r="G379" s="235">
        <f t="shared" si="49"/>
        <v>200042000</v>
      </c>
      <c r="H379" s="235">
        <f t="shared" si="49"/>
        <v>241728000</v>
      </c>
      <c r="I379" s="234" t="s">
        <v>1203</v>
      </c>
      <c r="J379" s="370" t="str">
        <f t="shared" si="47"/>
        <v>10Б0320010</v>
      </c>
      <c r="K379" s="30" t="str">
        <f t="shared" si="48"/>
        <v>604130110Б0320010000</v>
      </c>
    </row>
    <row r="380" spans="1:11" s="109" customFormat="1">
      <c r="A380" s="236" t="s">
        <v>94</v>
      </c>
      <c r="B380" s="233" t="s">
        <v>75</v>
      </c>
      <c r="C380" s="234" t="s">
        <v>84</v>
      </c>
      <c r="D380" s="234" t="s">
        <v>65</v>
      </c>
      <c r="E380" s="234" t="s">
        <v>318</v>
      </c>
      <c r="F380" s="234" t="s">
        <v>132</v>
      </c>
      <c r="G380" s="235">
        <f>VLOOKUP(K380,'исх АС БЮДЖЕТ'!$A$10:$H$568,7,0)</f>
        <v>200042000</v>
      </c>
      <c r="H380" s="235">
        <f>VLOOKUP(K380,'исх АС БЮДЖЕТ'!$A$10:$H$568,8,0)</f>
        <v>241728000</v>
      </c>
      <c r="I380" s="234" t="s">
        <v>1203</v>
      </c>
      <c r="J380" s="370" t="str">
        <f t="shared" si="47"/>
        <v>10Б0320010</v>
      </c>
      <c r="K380" s="30" t="str">
        <f t="shared" si="48"/>
        <v>604130110Б0320010730</v>
      </c>
    </row>
    <row r="381" spans="1:11" s="109" customFormat="1">
      <c r="A381" s="236"/>
      <c r="B381" s="233"/>
      <c r="C381" s="234"/>
      <c r="D381" s="234"/>
      <c r="E381" s="234"/>
      <c r="F381" s="234"/>
      <c r="G381" s="235"/>
      <c r="H381" s="235"/>
      <c r="I381" s="234"/>
      <c r="J381" s="370"/>
      <c r="K381" s="30"/>
    </row>
    <row r="382" spans="1:11" s="3" customFormat="1">
      <c r="A382" s="219" t="s">
        <v>87</v>
      </c>
      <c r="B382" s="220" t="s">
        <v>68</v>
      </c>
      <c r="C382" s="221" t="s">
        <v>51</v>
      </c>
      <c r="D382" s="221" t="s">
        <v>51</v>
      </c>
      <c r="E382" s="221" t="s">
        <v>196</v>
      </c>
      <c r="F382" s="221" t="s">
        <v>58</v>
      </c>
      <c r="G382" s="222">
        <f>G383+G414+G406</f>
        <v>31515760</v>
      </c>
      <c r="H382" s="222">
        <f>H383+H414+H406</f>
        <v>31515760</v>
      </c>
      <c r="I382" s="221">
        <v>0</v>
      </c>
      <c r="J382" s="370" t="str">
        <f t="shared" si="47"/>
        <v>0000000000</v>
      </c>
      <c r="K382" s="30" t="str">
        <f t="shared" si="48"/>
        <v>60500000000000000000</v>
      </c>
    </row>
    <row r="383" spans="1:11" s="116" customFormat="1">
      <c r="A383" s="224" t="s">
        <v>64</v>
      </c>
      <c r="B383" s="225" t="s">
        <v>68</v>
      </c>
      <c r="C383" s="226" t="s">
        <v>65</v>
      </c>
      <c r="D383" s="226" t="s">
        <v>51</v>
      </c>
      <c r="E383" s="226" t="s">
        <v>196</v>
      </c>
      <c r="F383" s="226" t="s">
        <v>58</v>
      </c>
      <c r="G383" s="227">
        <f t="shared" ref="G383:H391" si="50">G384</f>
        <v>28278440</v>
      </c>
      <c r="H383" s="227">
        <f t="shared" si="50"/>
        <v>28278440</v>
      </c>
      <c r="I383" s="226">
        <v>0</v>
      </c>
      <c r="J383" s="370" t="str">
        <f t="shared" si="47"/>
        <v>0000000000</v>
      </c>
      <c r="K383" s="30" t="str">
        <f t="shared" si="48"/>
        <v>60501000000000000000</v>
      </c>
    </row>
    <row r="384" spans="1:11" s="4" customFormat="1">
      <c r="A384" s="228" t="s">
        <v>38</v>
      </c>
      <c r="B384" s="229" t="s">
        <v>68</v>
      </c>
      <c r="C384" s="230" t="s">
        <v>65</v>
      </c>
      <c r="D384" s="230" t="s">
        <v>84</v>
      </c>
      <c r="E384" s="230" t="s">
        <v>196</v>
      </c>
      <c r="F384" s="230" t="s">
        <v>58</v>
      </c>
      <c r="G384" s="231">
        <f>G391+G385</f>
        <v>28278440</v>
      </c>
      <c r="H384" s="231">
        <f>H391+H385</f>
        <v>28278440</v>
      </c>
      <c r="I384" s="230">
        <v>0</v>
      </c>
      <c r="J384" s="370" t="str">
        <f t="shared" si="47"/>
        <v>0000000000</v>
      </c>
      <c r="K384" s="30" t="str">
        <f t="shared" si="48"/>
        <v>60501130000000000000</v>
      </c>
    </row>
    <row r="385" spans="1:11" s="3" customFormat="1" ht="25.5">
      <c r="A385" s="232" t="s">
        <v>752</v>
      </c>
      <c r="B385" s="233" t="s">
        <v>68</v>
      </c>
      <c r="C385" s="234" t="s">
        <v>65</v>
      </c>
      <c r="D385" s="234" t="s">
        <v>84</v>
      </c>
      <c r="E385" s="234" t="s">
        <v>249</v>
      </c>
      <c r="F385" s="234" t="s">
        <v>58</v>
      </c>
      <c r="G385" s="235">
        <f t="shared" ref="G385:H388" si="51">G386</f>
        <v>6890</v>
      </c>
      <c r="H385" s="235">
        <f t="shared" si="51"/>
        <v>6890</v>
      </c>
      <c r="I385" s="234">
        <v>1500000000</v>
      </c>
      <c r="J385" s="370" t="str">
        <f t="shared" si="47"/>
        <v>1500000000</v>
      </c>
      <c r="K385" s="30" t="str">
        <f t="shared" si="48"/>
        <v>60501131500000000000</v>
      </c>
    </row>
    <row r="386" spans="1:11" s="3" customFormat="1">
      <c r="A386" s="232" t="s">
        <v>879</v>
      </c>
      <c r="B386" s="233" t="s">
        <v>68</v>
      </c>
      <c r="C386" s="234" t="s">
        <v>65</v>
      </c>
      <c r="D386" s="234" t="s">
        <v>84</v>
      </c>
      <c r="E386" s="234" t="s">
        <v>256</v>
      </c>
      <c r="F386" s="234" t="s">
        <v>58</v>
      </c>
      <c r="G386" s="235">
        <f t="shared" si="51"/>
        <v>6890</v>
      </c>
      <c r="H386" s="235">
        <f t="shared" si="51"/>
        <v>6890</v>
      </c>
      <c r="I386" s="234">
        <v>1530000000</v>
      </c>
      <c r="J386" s="370" t="str">
        <f t="shared" si="47"/>
        <v>1530000000</v>
      </c>
      <c r="K386" s="30" t="str">
        <f t="shared" si="48"/>
        <v>60501131530000000000</v>
      </c>
    </row>
    <row r="387" spans="1:11" s="3" customFormat="1">
      <c r="A387" s="232" t="s">
        <v>616</v>
      </c>
      <c r="B387" s="233" t="s">
        <v>68</v>
      </c>
      <c r="C387" s="234" t="s">
        <v>65</v>
      </c>
      <c r="D387" s="234" t="s">
        <v>84</v>
      </c>
      <c r="E387" s="234" t="s">
        <v>321</v>
      </c>
      <c r="F387" s="234" t="s">
        <v>58</v>
      </c>
      <c r="G387" s="235">
        <f t="shared" si="51"/>
        <v>6890</v>
      </c>
      <c r="H387" s="235">
        <f t="shared" si="51"/>
        <v>6890</v>
      </c>
      <c r="I387" s="234">
        <v>1530100000</v>
      </c>
      <c r="J387" s="370" t="str">
        <f t="shared" si="47"/>
        <v>1530100000</v>
      </c>
      <c r="K387" s="30" t="str">
        <f t="shared" si="48"/>
        <v>60501131530100000000</v>
      </c>
    </row>
    <row r="388" spans="1:11" s="3" customFormat="1" ht="25.5">
      <c r="A388" s="232" t="s">
        <v>133</v>
      </c>
      <c r="B388" s="233" t="s">
        <v>68</v>
      </c>
      <c r="C388" s="234" t="s">
        <v>65</v>
      </c>
      <c r="D388" s="234" t="s">
        <v>84</v>
      </c>
      <c r="E388" s="234" t="s">
        <v>322</v>
      </c>
      <c r="F388" s="234" t="s">
        <v>58</v>
      </c>
      <c r="G388" s="235">
        <f t="shared" si="51"/>
        <v>6890</v>
      </c>
      <c r="H388" s="235">
        <f t="shared" si="51"/>
        <v>6890</v>
      </c>
      <c r="I388" s="234">
        <v>1530120660</v>
      </c>
      <c r="J388" s="370" t="str">
        <f t="shared" si="47"/>
        <v>1530120660</v>
      </c>
      <c r="K388" s="30" t="str">
        <f t="shared" si="48"/>
        <v>60501131530120660000</v>
      </c>
    </row>
    <row r="389" spans="1:11" s="3" customFormat="1" ht="25.5">
      <c r="A389" s="232" t="s">
        <v>108</v>
      </c>
      <c r="B389" s="233" t="s">
        <v>68</v>
      </c>
      <c r="C389" s="234" t="s">
        <v>65</v>
      </c>
      <c r="D389" s="234" t="s">
        <v>84</v>
      </c>
      <c r="E389" s="234" t="s">
        <v>322</v>
      </c>
      <c r="F389" s="234" t="s">
        <v>116</v>
      </c>
      <c r="G389" s="235">
        <f>G390</f>
        <v>6890</v>
      </c>
      <c r="H389" s="235">
        <f>H390</f>
        <v>6890</v>
      </c>
      <c r="I389" s="234">
        <v>1530120660</v>
      </c>
      <c r="J389" s="370" t="str">
        <f t="shared" si="47"/>
        <v>1530120660</v>
      </c>
      <c r="K389" s="30" t="str">
        <f t="shared" si="48"/>
        <v>60501131530120660240</v>
      </c>
    </row>
    <row r="390" spans="1:11" s="4" customFormat="1" ht="25.5">
      <c r="A390" s="236" t="s">
        <v>973</v>
      </c>
      <c r="B390" s="233" t="s">
        <v>68</v>
      </c>
      <c r="C390" s="234" t="s">
        <v>65</v>
      </c>
      <c r="D390" s="234" t="s">
        <v>84</v>
      </c>
      <c r="E390" s="234" t="s">
        <v>322</v>
      </c>
      <c r="F390" s="234" t="s">
        <v>1043</v>
      </c>
      <c r="G390" s="235">
        <f>VLOOKUP(K390,'исх АС БЮДЖЕТ'!$A$10:$H$568,7,0)</f>
        <v>6890</v>
      </c>
      <c r="H390" s="235">
        <f>VLOOKUP(K390,'исх АС БЮДЖЕТ'!$A$10:$H$568,8,0)</f>
        <v>6890</v>
      </c>
      <c r="I390" s="234">
        <v>1530120660</v>
      </c>
      <c r="J390" s="370" t="str">
        <f t="shared" si="47"/>
        <v>1530120660</v>
      </c>
      <c r="K390" s="30" t="str">
        <f t="shared" si="48"/>
        <v>60501131530120660244</v>
      </c>
    </row>
    <row r="391" spans="1:11" s="3" customFormat="1" ht="25.5">
      <c r="A391" s="232" t="s">
        <v>582</v>
      </c>
      <c r="B391" s="233" t="s">
        <v>68</v>
      </c>
      <c r="C391" s="234" t="s">
        <v>65</v>
      </c>
      <c r="D391" s="234" t="s">
        <v>84</v>
      </c>
      <c r="E391" s="234" t="s">
        <v>323</v>
      </c>
      <c r="F391" s="234" t="s">
        <v>58</v>
      </c>
      <c r="G391" s="235">
        <f t="shared" si="50"/>
        <v>28271550</v>
      </c>
      <c r="H391" s="235">
        <f t="shared" si="50"/>
        <v>28271550</v>
      </c>
      <c r="I391" s="234">
        <v>7400000000</v>
      </c>
      <c r="J391" s="370" t="str">
        <f t="shared" si="47"/>
        <v>7400000000</v>
      </c>
      <c r="K391" s="30" t="str">
        <f t="shared" si="48"/>
        <v>60501137400000000000</v>
      </c>
    </row>
    <row r="392" spans="1:11" s="3" customFormat="1" ht="25.5">
      <c r="A392" s="232" t="s">
        <v>583</v>
      </c>
      <c r="B392" s="233" t="s">
        <v>68</v>
      </c>
      <c r="C392" s="234" t="s">
        <v>65</v>
      </c>
      <c r="D392" s="234" t="s">
        <v>84</v>
      </c>
      <c r="E392" s="234" t="s">
        <v>324</v>
      </c>
      <c r="F392" s="234" t="s">
        <v>58</v>
      </c>
      <c r="G392" s="235">
        <f>G393+G402</f>
        <v>28271550</v>
      </c>
      <c r="H392" s="235">
        <f>H393+H402</f>
        <v>28271550</v>
      </c>
      <c r="I392" s="234">
        <v>7410000000</v>
      </c>
      <c r="J392" s="370" t="str">
        <f t="shared" si="47"/>
        <v>7410000000</v>
      </c>
      <c r="K392" s="30" t="str">
        <f t="shared" si="48"/>
        <v>60501137410000000000</v>
      </c>
    </row>
    <row r="393" spans="1:11" s="3" customFormat="1" ht="25.5">
      <c r="A393" s="232" t="s">
        <v>114</v>
      </c>
      <c r="B393" s="233" t="s">
        <v>68</v>
      </c>
      <c r="C393" s="234" t="s">
        <v>65</v>
      </c>
      <c r="D393" s="234" t="s">
        <v>84</v>
      </c>
      <c r="E393" s="234" t="s">
        <v>325</v>
      </c>
      <c r="F393" s="234" t="s">
        <v>58</v>
      </c>
      <c r="G393" s="235">
        <f>G394+G397+G399</f>
        <v>3051510</v>
      </c>
      <c r="H393" s="235">
        <f>H394+H397+H399</f>
        <v>3051510</v>
      </c>
      <c r="I393" s="234">
        <v>7410010010</v>
      </c>
      <c r="J393" s="370" t="str">
        <f t="shared" si="47"/>
        <v>7410010010</v>
      </c>
      <c r="K393" s="30" t="str">
        <f t="shared" si="48"/>
        <v>60501137410010010000</v>
      </c>
    </row>
    <row r="394" spans="1:11" s="3" customFormat="1">
      <c r="A394" s="232" t="s">
        <v>107</v>
      </c>
      <c r="B394" s="233" t="s">
        <v>68</v>
      </c>
      <c r="C394" s="234" t="s">
        <v>65</v>
      </c>
      <c r="D394" s="234" t="s">
        <v>84</v>
      </c>
      <c r="E394" s="234" t="s">
        <v>325</v>
      </c>
      <c r="F394" s="234" t="s">
        <v>115</v>
      </c>
      <c r="G394" s="235">
        <f>SUM(G395:G396)</f>
        <v>757890</v>
      </c>
      <c r="H394" s="235">
        <f>SUM(H395:H396)</f>
        <v>757890</v>
      </c>
      <c r="I394" s="234">
        <v>7410010010</v>
      </c>
      <c r="J394" s="370" t="str">
        <f t="shared" si="47"/>
        <v>7410010010</v>
      </c>
      <c r="K394" s="30" t="str">
        <f t="shared" si="48"/>
        <v>60501137410010010120</v>
      </c>
    </row>
    <row r="395" spans="1:11" s="3" customFormat="1" ht="25.5">
      <c r="A395" s="232" t="s">
        <v>937</v>
      </c>
      <c r="B395" s="233" t="s">
        <v>68</v>
      </c>
      <c r="C395" s="234" t="s">
        <v>65</v>
      </c>
      <c r="D395" s="234" t="s">
        <v>84</v>
      </c>
      <c r="E395" s="234" t="s">
        <v>325</v>
      </c>
      <c r="F395" s="234" t="s">
        <v>1059</v>
      </c>
      <c r="G395" s="235">
        <f>VLOOKUP(K395,'исх АС БЮДЖЕТ'!$A$10:$H$568,7,0)</f>
        <v>585060</v>
      </c>
      <c r="H395" s="235">
        <f>VLOOKUP(K395,'исх АС БЮДЖЕТ'!$A$10:$H$568,8,0)</f>
        <v>585060</v>
      </c>
      <c r="I395" s="234">
        <v>7410010010</v>
      </c>
      <c r="J395" s="370" t="str">
        <f t="shared" si="47"/>
        <v>7410010010</v>
      </c>
      <c r="K395" s="30" t="str">
        <f t="shared" si="48"/>
        <v>60501137410010010122</v>
      </c>
    </row>
    <row r="396" spans="1:11" s="3" customFormat="1" ht="38.25">
      <c r="A396" s="232" t="s">
        <v>939</v>
      </c>
      <c r="B396" s="233" t="s">
        <v>68</v>
      </c>
      <c r="C396" s="234" t="s">
        <v>65</v>
      </c>
      <c r="D396" s="234" t="s">
        <v>84</v>
      </c>
      <c r="E396" s="234" t="s">
        <v>325</v>
      </c>
      <c r="F396" s="234" t="s">
        <v>1060</v>
      </c>
      <c r="G396" s="235">
        <f>VLOOKUP(K396,'исх АС БЮДЖЕТ'!$A$10:$H$568,7,0)</f>
        <v>172830</v>
      </c>
      <c r="H396" s="235">
        <f>VLOOKUP(K396,'исх АС БЮДЖЕТ'!$A$10:$H$568,8,0)</f>
        <v>172830</v>
      </c>
      <c r="I396" s="234">
        <v>7410010010</v>
      </c>
      <c r="J396" s="370" t="str">
        <f t="shared" si="47"/>
        <v>7410010010</v>
      </c>
      <c r="K396" s="30" t="str">
        <f t="shared" si="48"/>
        <v>60501137410010010129</v>
      </c>
    </row>
    <row r="397" spans="1:11" s="3" customFormat="1" ht="25.5">
      <c r="A397" s="232" t="s">
        <v>108</v>
      </c>
      <c r="B397" s="233" t="s">
        <v>68</v>
      </c>
      <c r="C397" s="234" t="s">
        <v>65</v>
      </c>
      <c r="D397" s="234" t="s">
        <v>84</v>
      </c>
      <c r="E397" s="234" t="s">
        <v>325</v>
      </c>
      <c r="F397" s="234" t="s">
        <v>116</v>
      </c>
      <c r="G397" s="235">
        <f>G398</f>
        <v>2273470</v>
      </c>
      <c r="H397" s="235">
        <f>H398</f>
        <v>2273470</v>
      </c>
      <c r="I397" s="234">
        <v>7410010010</v>
      </c>
      <c r="J397" s="370" t="str">
        <f t="shared" si="47"/>
        <v>7410010010</v>
      </c>
      <c r="K397" s="30" t="str">
        <f t="shared" si="48"/>
        <v>60501137410010010240</v>
      </c>
    </row>
    <row r="398" spans="1:11" s="4" customFormat="1" ht="25.5">
      <c r="A398" s="236" t="s">
        <v>973</v>
      </c>
      <c r="B398" s="233" t="s">
        <v>68</v>
      </c>
      <c r="C398" s="234" t="s">
        <v>65</v>
      </c>
      <c r="D398" s="234" t="s">
        <v>84</v>
      </c>
      <c r="E398" s="234" t="s">
        <v>325</v>
      </c>
      <c r="F398" s="234" t="s">
        <v>1043</v>
      </c>
      <c r="G398" s="235">
        <f>VLOOKUP(K398,'исх АС БЮДЖЕТ'!$A$10:$H$568,7,0)</f>
        <v>2273470</v>
      </c>
      <c r="H398" s="235">
        <f>VLOOKUP(K398,'исх АС БЮДЖЕТ'!$A$10:$H$568,8,0)</f>
        <v>2273470</v>
      </c>
      <c r="I398" s="234">
        <v>7410010010</v>
      </c>
      <c r="J398" s="370" t="str">
        <f t="shared" si="47"/>
        <v>7410010010</v>
      </c>
      <c r="K398" s="30" t="str">
        <f t="shared" si="48"/>
        <v>60501137410010010244</v>
      </c>
    </row>
    <row r="399" spans="1:11" s="3" customFormat="1">
      <c r="A399" s="232" t="s">
        <v>97</v>
      </c>
      <c r="B399" s="233" t="s">
        <v>68</v>
      </c>
      <c r="C399" s="234" t="s">
        <v>65</v>
      </c>
      <c r="D399" s="234" t="s">
        <v>84</v>
      </c>
      <c r="E399" s="234" t="s">
        <v>325</v>
      </c>
      <c r="F399" s="234" t="s">
        <v>118</v>
      </c>
      <c r="G399" s="235">
        <f>SUM(G400:G401)</f>
        <v>20150</v>
      </c>
      <c r="H399" s="235">
        <f>SUM(H400:H401)</f>
        <v>20150</v>
      </c>
      <c r="I399" s="234">
        <v>7410010010</v>
      </c>
      <c r="J399" s="370" t="str">
        <f t="shared" si="47"/>
        <v>7410010010</v>
      </c>
      <c r="K399" s="30" t="str">
        <f t="shared" si="48"/>
        <v>60501137410010010850</v>
      </c>
    </row>
    <row r="400" spans="1:11" s="4" customFormat="1">
      <c r="A400" s="236" t="s">
        <v>1036</v>
      </c>
      <c r="B400" s="233" t="s">
        <v>68</v>
      </c>
      <c r="C400" s="234" t="s">
        <v>65</v>
      </c>
      <c r="D400" s="234" t="s">
        <v>84</v>
      </c>
      <c r="E400" s="234" t="s">
        <v>325</v>
      </c>
      <c r="F400" s="234" t="s">
        <v>1061</v>
      </c>
      <c r="G400" s="235">
        <f>VLOOKUP(K400,'исх АС БЮДЖЕТ'!$A$10:$H$568,7,0)</f>
        <v>1500</v>
      </c>
      <c r="H400" s="235">
        <f>VLOOKUP(K400,'исх АС БЮДЖЕТ'!$A$10:$H$568,8,0)</f>
        <v>1500</v>
      </c>
      <c r="I400" s="234">
        <v>7410010010</v>
      </c>
      <c r="J400" s="370" t="str">
        <f t="shared" si="47"/>
        <v>7410010010</v>
      </c>
      <c r="K400" s="30" t="str">
        <f t="shared" si="48"/>
        <v>60501137410010010851</v>
      </c>
    </row>
    <row r="401" spans="1:11" s="4" customFormat="1">
      <c r="A401" s="236" t="s">
        <v>1037</v>
      </c>
      <c r="B401" s="233" t="s">
        <v>68</v>
      </c>
      <c r="C401" s="234" t="s">
        <v>65</v>
      </c>
      <c r="D401" s="234" t="s">
        <v>84</v>
      </c>
      <c r="E401" s="234" t="s">
        <v>325</v>
      </c>
      <c r="F401" s="234" t="s">
        <v>1062</v>
      </c>
      <c r="G401" s="235">
        <f>VLOOKUP(K401,'исх АС БЮДЖЕТ'!$A$10:$H$568,7,0)</f>
        <v>18650</v>
      </c>
      <c r="H401" s="235">
        <f>VLOOKUP(K401,'исх АС БЮДЖЕТ'!$A$10:$H$568,8,0)</f>
        <v>18650</v>
      </c>
      <c r="I401" s="234">
        <v>7410010010</v>
      </c>
      <c r="J401" s="370" t="str">
        <f t="shared" si="47"/>
        <v>7410010010</v>
      </c>
      <c r="K401" s="30" t="str">
        <f t="shared" si="48"/>
        <v>60501137410010010852</v>
      </c>
    </row>
    <row r="402" spans="1:11" s="3" customFormat="1" ht="25.5">
      <c r="A402" s="232" t="s">
        <v>126</v>
      </c>
      <c r="B402" s="233" t="s">
        <v>68</v>
      </c>
      <c r="C402" s="234" t="s">
        <v>65</v>
      </c>
      <c r="D402" s="234" t="s">
        <v>84</v>
      </c>
      <c r="E402" s="234" t="s">
        <v>326</v>
      </c>
      <c r="F402" s="234" t="s">
        <v>58</v>
      </c>
      <c r="G402" s="235">
        <f>G403</f>
        <v>25220040</v>
      </c>
      <c r="H402" s="235">
        <f>H403</f>
        <v>25220040</v>
      </c>
      <c r="I402" s="234">
        <v>7410010020</v>
      </c>
      <c r="J402" s="370" t="str">
        <f t="shared" si="47"/>
        <v>7410010020</v>
      </c>
      <c r="K402" s="30" t="str">
        <f t="shared" si="48"/>
        <v>60501137410010020000</v>
      </c>
    </row>
    <row r="403" spans="1:11" s="3" customFormat="1">
      <c r="A403" s="236" t="s">
        <v>107</v>
      </c>
      <c r="B403" s="233" t="s">
        <v>68</v>
      </c>
      <c r="C403" s="234" t="s">
        <v>65</v>
      </c>
      <c r="D403" s="234" t="s">
        <v>84</v>
      </c>
      <c r="E403" s="234" t="s">
        <v>326</v>
      </c>
      <c r="F403" s="234" t="s">
        <v>115</v>
      </c>
      <c r="G403" s="235">
        <f>SUM(G404:G405)</f>
        <v>25220040</v>
      </c>
      <c r="H403" s="235">
        <f>SUM(H404:H405)</f>
        <v>25220040</v>
      </c>
      <c r="I403" s="234">
        <v>7410010020</v>
      </c>
      <c r="J403" s="370" t="str">
        <f t="shared" si="47"/>
        <v>7410010020</v>
      </c>
      <c r="K403" s="30" t="str">
        <f t="shared" si="48"/>
        <v>60501137410010020120</v>
      </c>
    </row>
    <row r="404" spans="1:11" s="4" customFormat="1">
      <c r="A404" s="236" t="s">
        <v>936</v>
      </c>
      <c r="B404" s="233" t="s">
        <v>68</v>
      </c>
      <c r="C404" s="234" t="s">
        <v>65</v>
      </c>
      <c r="D404" s="234" t="s">
        <v>84</v>
      </c>
      <c r="E404" s="234" t="s">
        <v>326</v>
      </c>
      <c r="F404" s="234" t="s">
        <v>1063</v>
      </c>
      <c r="G404" s="235">
        <f>VLOOKUP(K404,'исх АС БЮДЖЕТ'!$A$10:$H$568,7,0)</f>
        <v>19370230</v>
      </c>
      <c r="H404" s="235">
        <f>VLOOKUP(K404,'исх АС БЮДЖЕТ'!$A$10:$H$568,8,0)</f>
        <v>19370230</v>
      </c>
      <c r="I404" s="234">
        <v>7410010020</v>
      </c>
      <c r="J404" s="370" t="str">
        <f t="shared" si="47"/>
        <v>7410010020</v>
      </c>
      <c r="K404" s="30" t="str">
        <f t="shared" si="48"/>
        <v>60501137410010020121</v>
      </c>
    </row>
    <row r="405" spans="1:11" s="4" customFormat="1" ht="38.25">
      <c r="A405" s="236" t="s">
        <v>939</v>
      </c>
      <c r="B405" s="233" t="s">
        <v>68</v>
      </c>
      <c r="C405" s="234" t="s">
        <v>65</v>
      </c>
      <c r="D405" s="234" t="s">
        <v>84</v>
      </c>
      <c r="E405" s="234" t="s">
        <v>326</v>
      </c>
      <c r="F405" s="234" t="s">
        <v>1060</v>
      </c>
      <c r="G405" s="235">
        <f>VLOOKUP(K405,'исх АС БЮДЖЕТ'!$A$10:$H$568,7,0)</f>
        <v>5849810</v>
      </c>
      <c r="H405" s="235">
        <f>VLOOKUP(K405,'исх АС БЮДЖЕТ'!$A$10:$H$568,8,0)</f>
        <v>5849810</v>
      </c>
      <c r="I405" s="234">
        <v>7410010020</v>
      </c>
      <c r="J405" s="370" t="str">
        <f t="shared" si="47"/>
        <v>7410010020</v>
      </c>
      <c r="K405" s="30" t="str">
        <f t="shared" si="48"/>
        <v>60501137410010020129</v>
      </c>
    </row>
    <row r="406" spans="1:11" s="3" customFormat="1">
      <c r="A406" s="224" t="s">
        <v>499</v>
      </c>
      <c r="B406" s="225" t="s">
        <v>68</v>
      </c>
      <c r="C406" s="226" t="s">
        <v>50</v>
      </c>
      <c r="D406" s="226" t="s">
        <v>51</v>
      </c>
      <c r="E406" s="226" t="s">
        <v>196</v>
      </c>
      <c r="F406" s="226" t="s">
        <v>58</v>
      </c>
      <c r="G406" s="227">
        <f t="shared" ref="G406:H410" si="52">G407</f>
        <v>987000</v>
      </c>
      <c r="H406" s="227">
        <f t="shared" si="52"/>
        <v>987000</v>
      </c>
      <c r="I406" s="226">
        <v>0</v>
      </c>
      <c r="J406" s="370" t="str">
        <f t="shared" si="47"/>
        <v>0000000000</v>
      </c>
      <c r="K406" s="30" t="str">
        <f t="shared" si="48"/>
        <v>60508000000000000000</v>
      </c>
    </row>
    <row r="407" spans="1:11" s="3" customFormat="1">
      <c r="A407" s="228" t="s">
        <v>27</v>
      </c>
      <c r="B407" s="229" t="s">
        <v>68</v>
      </c>
      <c r="C407" s="230" t="s">
        <v>50</v>
      </c>
      <c r="D407" s="230" t="s">
        <v>65</v>
      </c>
      <c r="E407" s="230" t="s">
        <v>196</v>
      </c>
      <c r="F407" s="230" t="s">
        <v>58</v>
      </c>
      <c r="G407" s="231">
        <f t="shared" si="52"/>
        <v>987000</v>
      </c>
      <c r="H407" s="231">
        <f t="shared" si="52"/>
        <v>987000</v>
      </c>
      <c r="I407" s="230">
        <v>0</v>
      </c>
      <c r="J407" s="370" t="str">
        <f t="shared" si="47"/>
        <v>0000000000</v>
      </c>
      <c r="K407" s="30" t="str">
        <f t="shared" si="48"/>
        <v>60508010000000000000</v>
      </c>
    </row>
    <row r="408" spans="1:11" s="3" customFormat="1">
      <c r="A408" s="232" t="s">
        <v>739</v>
      </c>
      <c r="B408" s="241" t="s">
        <v>68</v>
      </c>
      <c r="C408" s="242" t="s">
        <v>50</v>
      </c>
      <c r="D408" s="242" t="s">
        <v>65</v>
      </c>
      <c r="E408" s="242" t="s">
        <v>277</v>
      </c>
      <c r="F408" s="242" t="s">
        <v>58</v>
      </c>
      <c r="G408" s="243">
        <f t="shared" si="52"/>
        <v>987000</v>
      </c>
      <c r="H408" s="243">
        <f t="shared" si="52"/>
        <v>987000</v>
      </c>
      <c r="I408" s="242">
        <v>700000000</v>
      </c>
      <c r="J408" s="370" t="str">
        <f t="shared" si="47"/>
        <v>0700000000</v>
      </c>
      <c r="K408" s="30" t="str">
        <f t="shared" si="48"/>
        <v>60508010700000000000</v>
      </c>
    </row>
    <row r="409" spans="1:11" s="3" customFormat="1" ht="38.25">
      <c r="A409" s="232" t="s">
        <v>194</v>
      </c>
      <c r="B409" s="241" t="s">
        <v>68</v>
      </c>
      <c r="C409" s="242" t="s">
        <v>50</v>
      </c>
      <c r="D409" s="242" t="s">
        <v>65</v>
      </c>
      <c r="E409" s="242" t="s">
        <v>278</v>
      </c>
      <c r="F409" s="242" t="s">
        <v>58</v>
      </c>
      <c r="G409" s="243">
        <f t="shared" si="52"/>
        <v>987000</v>
      </c>
      <c r="H409" s="243">
        <f t="shared" si="52"/>
        <v>987000</v>
      </c>
      <c r="I409" s="242">
        <v>710000000</v>
      </c>
      <c r="J409" s="370" t="str">
        <f t="shared" si="47"/>
        <v>0710000000</v>
      </c>
      <c r="K409" s="30" t="str">
        <f t="shared" si="48"/>
        <v>60508010710000000000</v>
      </c>
    </row>
    <row r="410" spans="1:11" s="3" customFormat="1" ht="51">
      <c r="A410" s="232" t="s">
        <v>605</v>
      </c>
      <c r="B410" s="241" t="s">
        <v>68</v>
      </c>
      <c r="C410" s="242" t="s">
        <v>50</v>
      </c>
      <c r="D410" s="242" t="s">
        <v>65</v>
      </c>
      <c r="E410" s="242" t="s">
        <v>319</v>
      </c>
      <c r="F410" s="242" t="s">
        <v>58</v>
      </c>
      <c r="G410" s="243">
        <f t="shared" si="52"/>
        <v>987000</v>
      </c>
      <c r="H410" s="243">
        <f t="shared" si="52"/>
        <v>987000</v>
      </c>
      <c r="I410" s="242">
        <v>710100000</v>
      </c>
      <c r="J410" s="370" t="str">
        <f t="shared" si="47"/>
        <v>0710100000</v>
      </c>
      <c r="K410" s="30" t="str">
        <f t="shared" si="48"/>
        <v>60508010710100000000</v>
      </c>
    </row>
    <row r="411" spans="1:11" s="3" customFormat="1">
      <c r="A411" s="232" t="s">
        <v>161</v>
      </c>
      <c r="B411" s="241" t="s">
        <v>68</v>
      </c>
      <c r="C411" s="242" t="s">
        <v>50</v>
      </c>
      <c r="D411" s="242" t="s">
        <v>65</v>
      </c>
      <c r="E411" s="242" t="s">
        <v>320</v>
      </c>
      <c r="F411" s="242" t="s">
        <v>58</v>
      </c>
      <c r="G411" s="243">
        <f>G412</f>
        <v>987000</v>
      </c>
      <c r="H411" s="243">
        <f>H412</f>
        <v>987000</v>
      </c>
      <c r="I411" s="242">
        <v>710120060</v>
      </c>
      <c r="J411" s="370" t="str">
        <f t="shared" si="47"/>
        <v>0710120060</v>
      </c>
      <c r="K411" s="30" t="str">
        <f t="shared" si="48"/>
        <v>60508010710120060000</v>
      </c>
    </row>
    <row r="412" spans="1:11" s="3" customFormat="1" ht="25.5">
      <c r="A412" s="232" t="s">
        <v>108</v>
      </c>
      <c r="B412" s="241" t="s">
        <v>68</v>
      </c>
      <c r="C412" s="242" t="s">
        <v>50</v>
      </c>
      <c r="D412" s="242" t="s">
        <v>65</v>
      </c>
      <c r="E412" s="242" t="s">
        <v>320</v>
      </c>
      <c r="F412" s="242" t="s">
        <v>116</v>
      </c>
      <c r="G412" s="235">
        <f>G413</f>
        <v>987000</v>
      </c>
      <c r="H412" s="235">
        <f>H413</f>
        <v>987000</v>
      </c>
      <c r="I412" s="242">
        <v>710120060</v>
      </c>
      <c r="J412" s="370" t="str">
        <f t="shared" si="47"/>
        <v>0710120060</v>
      </c>
      <c r="K412" s="30" t="str">
        <f t="shared" si="48"/>
        <v>60508010710120060240</v>
      </c>
    </row>
    <row r="413" spans="1:11" s="4" customFormat="1" ht="25.5">
      <c r="A413" s="236" t="s">
        <v>973</v>
      </c>
      <c r="B413" s="241" t="s">
        <v>68</v>
      </c>
      <c r="C413" s="242" t="s">
        <v>50</v>
      </c>
      <c r="D413" s="242" t="s">
        <v>65</v>
      </c>
      <c r="E413" s="242" t="s">
        <v>320</v>
      </c>
      <c r="F413" s="242" t="s">
        <v>1043</v>
      </c>
      <c r="G413" s="235">
        <f>VLOOKUP(K413,'исх АС БЮДЖЕТ'!$A$10:$H$568,7,0)</f>
        <v>987000</v>
      </c>
      <c r="H413" s="235">
        <f>VLOOKUP(K413,'исх АС БЮДЖЕТ'!$A$10:$H$568,8,0)</f>
        <v>987000</v>
      </c>
      <c r="I413" s="242">
        <v>710120060</v>
      </c>
      <c r="J413" s="370" t="str">
        <f t="shared" si="47"/>
        <v>0710120060</v>
      </c>
      <c r="K413" s="30" t="str">
        <f t="shared" si="48"/>
        <v>60508010710120060244</v>
      </c>
    </row>
    <row r="414" spans="1:11" s="116" customFormat="1">
      <c r="A414" s="224" t="s">
        <v>49</v>
      </c>
      <c r="B414" s="225" t="s">
        <v>68</v>
      </c>
      <c r="C414" s="226" t="s">
        <v>14</v>
      </c>
      <c r="D414" s="226" t="s">
        <v>51</v>
      </c>
      <c r="E414" s="226" t="s">
        <v>196</v>
      </c>
      <c r="F414" s="226" t="s">
        <v>58</v>
      </c>
      <c r="G414" s="227">
        <f t="shared" ref="G414:H419" si="53">G415</f>
        <v>2250320</v>
      </c>
      <c r="H414" s="227">
        <f t="shared" si="53"/>
        <v>2250320</v>
      </c>
      <c r="I414" s="226">
        <v>0</v>
      </c>
      <c r="J414" s="370" t="str">
        <f t="shared" si="47"/>
        <v>0000000000</v>
      </c>
      <c r="K414" s="30" t="str">
        <f t="shared" si="48"/>
        <v>60510000000000000000</v>
      </c>
    </row>
    <row r="415" spans="1:11" s="4" customFormat="1">
      <c r="A415" s="228" t="s">
        <v>63</v>
      </c>
      <c r="B415" s="229" t="s">
        <v>68</v>
      </c>
      <c r="C415" s="230" t="s">
        <v>14</v>
      </c>
      <c r="D415" s="230" t="s">
        <v>53</v>
      </c>
      <c r="E415" s="230" t="s">
        <v>196</v>
      </c>
      <c r="F415" s="230" t="s">
        <v>58</v>
      </c>
      <c r="G415" s="231">
        <f t="shared" si="53"/>
        <v>2250320</v>
      </c>
      <c r="H415" s="231">
        <f t="shared" si="53"/>
        <v>2250320</v>
      </c>
      <c r="I415" s="230">
        <v>0</v>
      </c>
      <c r="J415" s="370" t="str">
        <f t="shared" si="47"/>
        <v>0000000000</v>
      </c>
      <c r="K415" s="30" t="str">
        <f t="shared" si="48"/>
        <v>60510030000000000000</v>
      </c>
    </row>
    <row r="416" spans="1:11" s="3" customFormat="1">
      <c r="A416" s="248" t="s">
        <v>727</v>
      </c>
      <c r="B416" s="233" t="s">
        <v>68</v>
      </c>
      <c r="C416" s="234" t="s">
        <v>14</v>
      </c>
      <c r="D416" s="234" t="s">
        <v>53</v>
      </c>
      <c r="E416" s="234" t="s">
        <v>327</v>
      </c>
      <c r="F416" s="234" t="s">
        <v>58</v>
      </c>
      <c r="G416" s="235">
        <f t="shared" si="53"/>
        <v>2250320</v>
      </c>
      <c r="H416" s="235">
        <f t="shared" si="53"/>
        <v>2250320</v>
      </c>
      <c r="I416" s="234">
        <v>300000000</v>
      </c>
      <c r="J416" s="370" t="str">
        <f t="shared" si="47"/>
        <v>0300000000</v>
      </c>
      <c r="K416" s="30" t="str">
        <f t="shared" si="48"/>
        <v>60510030300000000000</v>
      </c>
    </row>
    <row r="417" spans="1:11" s="3" customFormat="1" ht="38.25">
      <c r="A417" s="248" t="s">
        <v>842</v>
      </c>
      <c r="B417" s="233" t="s">
        <v>68</v>
      </c>
      <c r="C417" s="234" t="s">
        <v>14</v>
      </c>
      <c r="D417" s="234" t="s">
        <v>53</v>
      </c>
      <c r="E417" s="234" t="s">
        <v>328</v>
      </c>
      <c r="F417" s="234" t="s">
        <v>58</v>
      </c>
      <c r="G417" s="235">
        <f t="shared" si="53"/>
        <v>2250320</v>
      </c>
      <c r="H417" s="235">
        <f t="shared" si="53"/>
        <v>2250320</v>
      </c>
      <c r="I417" s="234">
        <v>320000000</v>
      </c>
      <c r="J417" s="370" t="str">
        <f t="shared" si="47"/>
        <v>0320000000</v>
      </c>
      <c r="K417" s="30" t="str">
        <f t="shared" si="48"/>
        <v>60510030320000000000</v>
      </c>
    </row>
    <row r="418" spans="1:11" s="3" customFormat="1" ht="25.5">
      <c r="A418" s="232" t="s">
        <v>635</v>
      </c>
      <c r="B418" s="233" t="s">
        <v>68</v>
      </c>
      <c r="C418" s="234" t="s">
        <v>14</v>
      </c>
      <c r="D418" s="234" t="s">
        <v>53</v>
      </c>
      <c r="E418" s="234" t="s">
        <v>560</v>
      </c>
      <c r="F418" s="234" t="s">
        <v>58</v>
      </c>
      <c r="G418" s="235">
        <f t="shared" si="53"/>
        <v>2250320</v>
      </c>
      <c r="H418" s="235">
        <f t="shared" si="53"/>
        <v>2250320</v>
      </c>
      <c r="I418" s="234">
        <v>320200000</v>
      </c>
      <c r="J418" s="370" t="str">
        <f t="shared" si="47"/>
        <v>0320200000</v>
      </c>
      <c r="K418" s="30" t="str">
        <f t="shared" si="48"/>
        <v>60510030320200000000</v>
      </c>
    </row>
    <row r="419" spans="1:11" s="3" customFormat="1" ht="25.5">
      <c r="A419" s="232" t="s">
        <v>329</v>
      </c>
      <c r="B419" s="233" t="s">
        <v>68</v>
      </c>
      <c r="C419" s="234" t="s">
        <v>14</v>
      </c>
      <c r="D419" s="234" t="s">
        <v>53</v>
      </c>
      <c r="E419" s="234" t="s">
        <v>330</v>
      </c>
      <c r="F419" s="234" t="s">
        <v>58</v>
      </c>
      <c r="G419" s="235">
        <f t="shared" si="53"/>
        <v>2250320</v>
      </c>
      <c r="H419" s="235">
        <f t="shared" si="53"/>
        <v>2250320</v>
      </c>
      <c r="I419" s="234">
        <v>320280240</v>
      </c>
      <c r="J419" s="370" t="str">
        <f t="shared" si="47"/>
        <v>0320280240</v>
      </c>
      <c r="K419" s="30" t="str">
        <f t="shared" si="48"/>
        <v>60510030320280240000</v>
      </c>
    </row>
    <row r="420" spans="1:11" s="3" customFormat="1" ht="38.25">
      <c r="A420" s="237" t="s">
        <v>561</v>
      </c>
      <c r="B420" s="233" t="s">
        <v>68</v>
      </c>
      <c r="C420" s="234" t="s">
        <v>14</v>
      </c>
      <c r="D420" s="234" t="s">
        <v>53</v>
      </c>
      <c r="E420" s="234" t="s">
        <v>330</v>
      </c>
      <c r="F420" s="234" t="s">
        <v>101</v>
      </c>
      <c r="G420" s="235">
        <f>G421</f>
        <v>2250320</v>
      </c>
      <c r="H420" s="235">
        <f>H421</f>
        <v>2250320</v>
      </c>
      <c r="I420" s="234">
        <v>320280240</v>
      </c>
      <c r="J420" s="370" t="str">
        <f t="shared" si="47"/>
        <v>0320280240</v>
      </c>
      <c r="K420" s="30" t="str">
        <f t="shared" si="48"/>
        <v>60510030320280240810</v>
      </c>
    </row>
    <row r="421" spans="1:11" s="3" customFormat="1" ht="38.25">
      <c r="A421" s="232" t="s">
        <v>1047</v>
      </c>
      <c r="B421" s="233" t="s">
        <v>68</v>
      </c>
      <c r="C421" s="234" t="s">
        <v>14</v>
      </c>
      <c r="D421" s="234" t="s">
        <v>53</v>
      </c>
      <c r="E421" s="234" t="s">
        <v>330</v>
      </c>
      <c r="F421" s="234" t="s">
        <v>1050</v>
      </c>
      <c r="G421" s="235">
        <f>VLOOKUP(K421,'исх АС БЮДЖЕТ'!$A$10:$H$568,7,0)</f>
        <v>2250320</v>
      </c>
      <c r="H421" s="235">
        <f>VLOOKUP(K421,'исх АС БЮДЖЕТ'!$A$10:$H$568,8,0)</f>
        <v>2250320</v>
      </c>
      <c r="I421" s="234">
        <v>320280240</v>
      </c>
      <c r="J421" s="370" t="str">
        <f t="shared" si="47"/>
        <v>0320280240</v>
      </c>
      <c r="K421" s="30" t="str">
        <f t="shared" si="48"/>
        <v>60510030320280240811</v>
      </c>
    </row>
    <row r="422" spans="1:11" s="3" customFormat="1">
      <c r="A422" s="232"/>
      <c r="B422" s="233"/>
      <c r="C422" s="234"/>
      <c r="D422" s="234"/>
      <c r="E422" s="234"/>
      <c r="F422" s="234"/>
      <c r="G422" s="235"/>
      <c r="H422" s="235"/>
      <c r="I422" s="234"/>
      <c r="J422" s="370"/>
      <c r="K422" s="30"/>
    </row>
    <row r="423" spans="1:11" s="30" customFormat="1">
      <c r="A423" s="219" t="s">
        <v>179</v>
      </c>
      <c r="B423" s="220" t="s">
        <v>69</v>
      </c>
      <c r="C423" s="221" t="s">
        <v>51</v>
      </c>
      <c r="D423" s="221" t="s">
        <v>51</v>
      </c>
      <c r="E423" s="221" t="s">
        <v>196</v>
      </c>
      <c r="F423" s="221" t="s">
        <v>58</v>
      </c>
      <c r="G423" s="222">
        <f>G424+G597</f>
        <v>3150695484.02</v>
      </c>
      <c r="H423" s="222">
        <f>H424+H597</f>
        <v>3301215197.2199998</v>
      </c>
      <c r="I423" s="221">
        <v>0</v>
      </c>
      <c r="J423" s="370" t="str">
        <f t="shared" si="47"/>
        <v>0000000000</v>
      </c>
      <c r="K423" s="30" t="str">
        <f t="shared" si="48"/>
        <v>60600000000000000000</v>
      </c>
    </row>
    <row r="424" spans="1:11" s="30" customFormat="1">
      <c r="A424" s="224" t="s">
        <v>70</v>
      </c>
      <c r="B424" s="225" t="s">
        <v>69</v>
      </c>
      <c r="C424" s="226" t="s">
        <v>71</v>
      </c>
      <c r="D424" s="226" t="s">
        <v>51</v>
      </c>
      <c r="E424" s="226" t="s">
        <v>196</v>
      </c>
      <c r="F424" s="226" t="s">
        <v>58</v>
      </c>
      <c r="G424" s="227">
        <f>G425+G459+G535+G551+G518</f>
        <v>3036224074.02</v>
      </c>
      <c r="H424" s="227">
        <f>H425+H459+H535+H551+H518</f>
        <v>3186743787.2199998</v>
      </c>
      <c r="I424" s="226">
        <v>0</v>
      </c>
      <c r="J424" s="370" t="str">
        <f t="shared" si="47"/>
        <v>0000000000</v>
      </c>
      <c r="K424" s="30" t="str">
        <f t="shared" si="48"/>
        <v>60607000000000000000</v>
      </c>
    </row>
    <row r="425" spans="1:11" s="30" customFormat="1">
      <c r="A425" s="228" t="s">
        <v>72</v>
      </c>
      <c r="B425" s="229" t="s">
        <v>69</v>
      </c>
      <c r="C425" s="230" t="s">
        <v>71</v>
      </c>
      <c r="D425" s="230" t="s">
        <v>65</v>
      </c>
      <c r="E425" s="230" t="s">
        <v>196</v>
      </c>
      <c r="F425" s="230" t="s">
        <v>58</v>
      </c>
      <c r="G425" s="231">
        <f>G426+G446+G454</f>
        <v>1327658392</v>
      </c>
      <c r="H425" s="231">
        <f>H426+H446+H454</f>
        <v>1391037632.1199999</v>
      </c>
      <c r="I425" s="230">
        <v>0</v>
      </c>
      <c r="J425" s="370" t="str">
        <f t="shared" si="47"/>
        <v>0000000000</v>
      </c>
      <c r="K425" s="30" t="str">
        <f t="shared" si="48"/>
        <v>60607010000000000000</v>
      </c>
    </row>
    <row r="426" spans="1:11" s="30" customFormat="1">
      <c r="A426" s="244" t="s">
        <v>723</v>
      </c>
      <c r="B426" s="233" t="s">
        <v>69</v>
      </c>
      <c r="C426" s="234" t="s">
        <v>71</v>
      </c>
      <c r="D426" s="234" t="s">
        <v>65</v>
      </c>
      <c r="E426" s="234" t="s">
        <v>331</v>
      </c>
      <c r="F426" s="234" t="s">
        <v>58</v>
      </c>
      <c r="G426" s="235">
        <f>G427</f>
        <v>1318685012</v>
      </c>
      <c r="H426" s="235">
        <f>H427</f>
        <v>1382064252.1199999</v>
      </c>
      <c r="I426" s="234">
        <v>100000000</v>
      </c>
      <c r="J426" s="370" t="str">
        <f t="shared" si="47"/>
        <v>0100000000</v>
      </c>
      <c r="K426" s="30" t="str">
        <f t="shared" si="48"/>
        <v>60607010100000000000</v>
      </c>
    </row>
    <row r="427" spans="1:11" s="30" customFormat="1" ht="25.5">
      <c r="A427" s="244" t="s">
        <v>860</v>
      </c>
      <c r="B427" s="233" t="s">
        <v>69</v>
      </c>
      <c r="C427" s="234" t="s">
        <v>71</v>
      </c>
      <c r="D427" s="234" t="s">
        <v>65</v>
      </c>
      <c r="E427" s="234" t="s">
        <v>332</v>
      </c>
      <c r="F427" s="234" t="s">
        <v>58</v>
      </c>
      <c r="G427" s="235">
        <f>G428+G442</f>
        <v>1318685012</v>
      </c>
      <c r="H427" s="235">
        <f>H428+H442</f>
        <v>1382064252.1199999</v>
      </c>
      <c r="I427" s="234">
        <v>110000000</v>
      </c>
      <c r="J427" s="370" t="str">
        <f t="shared" si="47"/>
        <v>0110000000</v>
      </c>
      <c r="K427" s="30" t="str">
        <f t="shared" si="48"/>
        <v>60607010110000000000</v>
      </c>
    </row>
    <row r="428" spans="1:11" s="30" customFormat="1" ht="25.5">
      <c r="A428" s="244" t="s">
        <v>607</v>
      </c>
      <c r="B428" s="233" t="s">
        <v>69</v>
      </c>
      <c r="C428" s="234" t="s">
        <v>71</v>
      </c>
      <c r="D428" s="234" t="s">
        <v>65</v>
      </c>
      <c r="E428" s="234" t="s">
        <v>333</v>
      </c>
      <c r="F428" s="234" t="s">
        <v>58</v>
      </c>
      <c r="G428" s="235">
        <f>G429+G435</f>
        <v>1305154352</v>
      </c>
      <c r="H428" s="235">
        <f>H429+H435</f>
        <v>1368533592.1199999</v>
      </c>
      <c r="I428" s="234">
        <v>110100000</v>
      </c>
      <c r="J428" s="370" t="str">
        <f t="shared" si="47"/>
        <v>0110100000</v>
      </c>
      <c r="K428" s="30" t="str">
        <f t="shared" si="48"/>
        <v>60607010110100000000</v>
      </c>
    </row>
    <row r="429" spans="1:11" s="30" customFormat="1">
      <c r="A429" s="244" t="s">
        <v>247</v>
      </c>
      <c r="B429" s="233" t="s">
        <v>69</v>
      </c>
      <c r="C429" s="234" t="s">
        <v>71</v>
      </c>
      <c r="D429" s="234" t="s">
        <v>65</v>
      </c>
      <c r="E429" s="234" t="s">
        <v>334</v>
      </c>
      <c r="F429" s="234" t="s">
        <v>58</v>
      </c>
      <c r="G429" s="235">
        <f>G430+G433</f>
        <v>691063420</v>
      </c>
      <c r="H429" s="235">
        <f>H430+H433</f>
        <v>691063420</v>
      </c>
      <c r="I429" s="234">
        <v>110111010</v>
      </c>
      <c r="J429" s="370" t="str">
        <f t="shared" si="47"/>
        <v>0110111010</v>
      </c>
      <c r="K429" s="30" t="str">
        <f t="shared" si="48"/>
        <v>60607010110111010000</v>
      </c>
    </row>
    <row r="430" spans="1:11" s="30" customFormat="1">
      <c r="A430" s="244" t="s">
        <v>92</v>
      </c>
      <c r="B430" s="233" t="s">
        <v>69</v>
      </c>
      <c r="C430" s="234" t="s">
        <v>71</v>
      </c>
      <c r="D430" s="234" t="s">
        <v>65</v>
      </c>
      <c r="E430" s="234" t="s">
        <v>334</v>
      </c>
      <c r="F430" s="234" t="s">
        <v>138</v>
      </c>
      <c r="G430" s="235">
        <f>SUM(G431:G432)</f>
        <v>661578070</v>
      </c>
      <c r="H430" s="235">
        <f>SUM(H431:H432)</f>
        <v>661578070</v>
      </c>
      <c r="I430" s="234">
        <v>110111010</v>
      </c>
      <c r="J430" s="370" t="str">
        <f t="shared" si="47"/>
        <v>0110111010</v>
      </c>
      <c r="K430" s="30" t="str">
        <f t="shared" si="48"/>
        <v>60607010110111010610</v>
      </c>
    </row>
    <row r="431" spans="1:11" s="83" customFormat="1" ht="38.25">
      <c r="A431" s="236" t="s">
        <v>1015</v>
      </c>
      <c r="B431" s="233" t="s">
        <v>69</v>
      </c>
      <c r="C431" s="234" t="s">
        <v>71</v>
      </c>
      <c r="D431" s="234" t="s">
        <v>65</v>
      </c>
      <c r="E431" s="234" t="s">
        <v>334</v>
      </c>
      <c r="F431" s="234" t="s">
        <v>67</v>
      </c>
      <c r="G431" s="235">
        <f>VLOOKUP(K431,'исх АС БЮДЖЕТ'!$A$10:$H$568,7,0)</f>
        <v>658216470</v>
      </c>
      <c r="H431" s="235">
        <f>VLOOKUP(K431,'исх АС БЮДЖЕТ'!$A$10:$H$568,8,0)</f>
        <v>658216470</v>
      </c>
      <c r="I431" s="234">
        <v>110111010</v>
      </c>
      <c r="J431" s="370" t="str">
        <f t="shared" si="47"/>
        <v>0110111010</v>
      </c>
      <c r="K431" s="30" t="str">
        <f t="shared" si="48"/>
        <v>60607010110111010611</v>
      </c>
    </row>
    <row r="432" spans="1:11" s="83" customFormat="1">
      <c r="A432" s="236" t="s">
        <v>1016</v>
      </c>
      <c r="B432" s="233" t="s">
        <v>69</v>
      </c>
      <c r="C432" s="234" t="s">
        <v>71</v>
      </c>
      <c r="D432" s="234" t="s">
        <v>65</v>
      </c>
      <c r="E432" s="234" t="s">
        <v>334</v>
      </c>
      <c r="F432" s="234" t="s">
        <v>1046</v>
      </c>
      <c r="G432" s="235">
        <f>VLOOKUP(K432,'исх АС БЮДЖЕТ'!$A$10:$H$568,7,0)</f>
        <v>3361600</v>
      </c>
      <c r="H432" s="235">
        <f>VLOOKUP(K432,'исх АС БЮДЖЕТ'!$A$10:$H$568,8,0)</f>
        <v>3361600</v>
      </c>
      <c r="I432" s="234">
        <v>110111010</v>
      </c>
      <c r="J432" s="370" t="str">
        <f t="shared" si="47"/>
        <v>0110111010</v>
      </c>
      <c r="K432" s="30" t="str">
        <f t="shared" si="48"/>
        <v>60607010110111010612</v>
      </c>
    </row>
    <row r="433" spans="1:11" s="30" customFormat="1">
      <c r="A433" s="244" t="s">
        <v>93</v>
      </c>
      <c r="B433" s="233" t="s">
        <v>69</v>
      </c>
      <c r="C433" s="234" t="s">
        <v>71</v>
      </c>
      <c r="D433" s="234" t="s">
        <v>65</v>
      </c>
      <c r="E433" s="234" t="s">
        <v>334</v>
      </c>
      <c r="F433" s="234" t="s">
        <v>20</v>
      </c>
      <c r="G433" s="235">
        <f>G434</f>
        <v>29485350</v>
      </c>
      <c r="H433" s="235">
        <f>H434</f>
        <v>29485350</v>
      </c>
      <c r="I433" s="234">
        <v>110111010</v>
      </c>
      <c r="J433" s="370" t="str">
        <f t="shared" ref="J433:J485" si="54">TEXT(I433,"0000000000")</f>
        <v>0110111010</v>
      </c>
      <c r="K433" s="30" t="str">
        <f t="shared" ref="K433:K485" si="55">CONCATENATE(B433,C433,D433,J433,F433)</f>
        <v>60607010110111010620</v>
      </c>
    </row>
    <row r="434" spans="1:11" s="83" customFormat="1" ht="38.25">
      <c r="A434" s="236" t="s">
        <v>1018</v>
      </c>
      <c r="B434" s="233" t="s">
        <v>69</v>
      </c>
      <c r="C434" s="234" t="s">
        <v>71</v>
      </c>
      <c r="D434" s="234" t="s">
        <v>65</v>
      </c>
      <c r="E434" s="234" t="s">
        <v>334</v>
      </c>
      <c r="F434" s="234" t="s">
        <v>16</v>
      </c>
      <c r="G434" s="235">
        <f>VLOOKUP(K434,'исх АС БЮДЖЕТ'!$A$10:$H$568,7,0)</f>
        <v>29485350</v>
      </c>
      <c r="H434" s="235">
        <f>VLOOKUP(K434,'исх АС БЮДЖЕТ'!$A$10:$H$568,8,0)</f>
        <v>29485350</v>
      </c>
      <c r="I434" s="234">
        <v>110111010</v>
      </c>
      <c r="J434" s="370" t="str">
        <f t="shared" si="54"/>
        <v>0110111010</v>
      </c>
      <c r="K434" s="30" t="str">
        <f t="shared" si="55"/>
        <v>60607010110111010621</v>
      </c>
    </row>
    <row r="435" spans="1:11" s="30" customFormat="1" ht="63.75">
      <c r="A435" s="232" t="s">
        <v>335</v>
      </c>
      <c r="B435" s="233" t="s">
        <v>69</v>
      </c>
      <c r="C435" s="234" t="s">
        <v>71</v>
      </c>
      <c r="D435" s="234" t="s">
        <v>65</v>
      </c>
      <c r="E435" s="234" t="s">
        <v>336</v>
      </c>
      <c r="F435" s="234" t="s">
        <v>58</v>
      </c>
      <c r="G435" s="235">
        <f>G436+G438+G440</f>
        <v>614090932</v>
      </c>
      <c r="H435" s="235">
        <f>H436+H438+H440</f>
        <v>677470172.12</v>
      </c>
      <c r="I435" s="234">
        <v>110177170</v>
      </c>
      <c r="J435" s="370" t="str">
        <f t="shared" si="54"/>
        <v>0110177170</v>
      </c>
      <c r="K435" s="30" t="str">
        <f t="shared" si="55"/>
        <v>60607010110177170000</v>
      </c>
    </row>
    <row r="436" spans="1:11" s="30" customFormat="1">
      <c r="A436" s="244" t="s">
        <v>92</v>
      </c>
      <c r="B436" s="233" t="s">
        <v>69</v>
      </c>
      <c r="C436" s="234" t="s">
        <v>71</v>
      </c>
      <c r="D436" s="234" t="s">
        <v>65</v>
      </c>
      <c r="E436" s="234" t="s">
        <v>336</v>
      </c>
      <c r="F436" s="234" t="s">
        <v>138</v>
      </c>
      <c r="G436" s="235">
        <f>G437</f>
        <v>581910822</v>
      </c>
      <c r="H436" s="235">
        <f>H437</f>
        <v>645290062.12</v>
      </c>
      <c r="I436" s="234">
        <v>110177170</v>
      </c>
      <c r="J436" s="370" t="str">
        <f t="shared" si="54"/>
        <v>0110177170</v>
      </c>
      <c r="K436" s="30" t="str">
        <f t="shared" si="55"/>
        <v>60607010110177170610</v>
      </c>
    </row>
    <row r="437" spans="1:11" s="83" customFormat="1" ht="38.25">
      <c r="A437" s="236" t="s">
        <v>1015</v>
      </c>
      <c r="B437" s="233" t="s">
        <v>69</v>
      </c>
      <c r="C437" s="234" t="s">
        <v>71</v>
      </c>
      <c r="D437" s="234" t="s">
        <v>65</v>
      </c>
      <c r="E437" s="234" t="s">
        <v>336</v>
      </c>
      <c r="F437" s="234" t="s">
        <v>67</v>
      </c>
      <c r="G437" s="235">
        <f>VLOOKUP(K437,'исх АС БЮДЖЕТ'!$A$10:$H$568,7,0)</f>
        <v>581910822</v>
      </c>
      <c r="H437" s="235">
        <f>VLOOKUP(K437,'исх АС БЮДЖЕТ'!$A$10:$H$568,8,0)</f>
        <v>645290062.12</v>
      </c>
      <c r="I437" s="234">
        <v>110177170</v>
      </c>
      <c r="J437" s="370" t="str">
        <f t="shared" si="54"/>
        <v>0110177170</v>
      </c>
      <c r="K437" s="30" t="str">
        <f t="shared" si="55"/>
        <v>60607010110177170611</v>
      </c>
    </row>
    <row r="438" spans="1:11" s="30" customFormat="1">
      <c r="A438" s="244" t="s">
        <v>93</v>
      </c>
      <c r="B438" s="233" t="s">
        <v>69</v>
      </c>
      <c r="C438" s="234" t="s">
        <v>71</v>
      </c>
      <c r="D438" s="234" t="s">
        <v>65</v>
      </c>
      <c r="E438" s="234" t="s">
        <v>336</v>
      </c>
      <c r="F438" s="234" t="s">
        <v>20</v>
      </c>
      <c r="G438" s="235">
        <f>G439</f>
        <v>27575850</v>
      </c>
      <c r="H438" s="235">
        <f>H439</f>
        <v>27575850</v>
      </c>
      <c r="I438" s="234">
        <v>110177170</v>
      </c>
      <c r="J438" s="370" t="str">
        <f t="shared" si="54"/>
        <v>0110177170</v>
      </c>
      <c r="K438" s="30" t="str">
        <f t="shared" si="55"/>
        <v>60607010110177170620</v>
      </c>
    </row>
    <row r="439" spans="1:11" s="83" customFormat="1" ht="38.25">
      <c r="A439" s="236" t="s">
        <v>1018</v>
      </c>
      <c r="B439" s="233" t="s">
        <v>69</v>
      </c>
      <c r="C439" s="234" t="s">
        <v>71</v>
      </c>
      <c r="D439" s="234" t="s">
        <v>65</v>
      </c>
      <c r="E439" s="234" t="s">
        <v>336</v>
      </c>
      <c r="F439" s="234" t="s">
        <v>16</v>
      </c>
      <c r="G439" s="235">
        <f>VLOOKUP(K439,'исх АС БЮДЖЕТ'!$A$10:$H$568,7,0)</f>
        <v>27575850</v>
      </c>
      <c r="H439" s="235">
        <f>VLOOKUP(K439,'исх АС БЮДЖЕТ'!$A$10:$H$568,8,0)</f>
        <v>27575850</v>
      </c>
      <c r="I439" s="234">
        <v>110177170</v>
      </c>
      <c r="J439" s="370" t="str">
        <f t="shared" si="54"/>
        <v>0110177170</v>
      </c>
      <c r="K439" s="30" t="str">
        <f t="shared" si="55"/>
        <v>60607010110177170621</v>
      </c>
    </row>
    <row r="440" spans="1:11" s="30" customFormat="1" ht="25.5">
      <c r="A440" s="232" t="s">
        <v>111</v>
      </c>
      <c r="B440" s="233" t="s">
        <v>69</v>
      </c>
      <c r="C440" s="234" t="s">
        <v>71</v>
      </c>
      <c r="D440" s="234" t="s">
        <v>65</v>
      </c>
      <c r="E440" s="234" t="s">
        <v>336</v>
      </c>
      <c r="F440" s="234" t="s">
        <v>104</v>
      </c>
      <c r="G440" s="235">
        <f>G441</f>
        <v>4604260</v>
      </c>
      <c r="H440" s="235">
        <f>H441</f>
        <v>4604260</v>
      </c>
      <c r="I440" s="234">
        <v>110177170</v>
      </c>
      <c r="J440" s="370" t="str">
        <f t="shared" si="54"/>
        <v>0110177170</v>
      </c>
      <c r="K440" s="30" t="str">
        <f t="shared" si="55"/>
        <v>60607010110177170630</v>
      </c>
    </row>
    <row r="441" spans="1:11" s="83" customFormat="1" ht="63.75">
      <c r="A441" s="236" t="s">
        <v>1048</v>
      </c>
      <c r="B441" s="233" t="s">
        <v>69</v>
      </c>
      <c r="C441" s="234" t="s">
        <v>71</v>
      </c>
      <c r="D441" s="234" t="s">
        <v>65</v>
      </c>
      <c r="E441" s="234" t="s">
        <v>336</v>
      </c>
      <c r="F441" s="234" t="s">
        <v>1055</v>
      </c>
      <c r="G441" s="235">
        <f>VLOOKUP(K441,'исх АС БЮДЖЕТ'!$A$10:$H$568,7,0)</f>
        <v>4604260</v>
      </c>
      <c r="H441" s="235">
        <f>VLOOKUP(K441,'исх АС БЮДЖЕТ'!$A$10:$H$568,8,0)</f>
        <v>4604260</v>
      </c>
      <c r="I441" s="234">
        <v>110177170</v>
      </c>
      <c r="J441" s="370" t="str">
        <f t="shared" si="54"/>
        <v>0110177170</v>
      </c>
      <c r="K441" s="30" t="str">
        <f t="shared" si="55"/>
        <v>60607010110177170632</v>
      </c>
    </row>
    <row r="442" spans="1:11" s="30" customFormat="1" ht="38.25">
      <c r="A442" s="232" t="s">
        <v>629</v>
      </c>
      <c r="B442" s="233" t="s">
        <v>69</v>
      </c>
      <c r="C442" s="234" t="s">
        <v>71</v>
      </c>
      <c r="D442" s="234" t="s">
        <v>65</v>
      </c>
      <c r="E442" s="234" t="s">
        <v>337</v>
      </c>
      <c r="F442" s="234" t="s">
        <v>58</v>
      </c>
      <c r="G442" s="235">
        <f t="shared" ref="G442:H444" si="56">G443</f>
        <v>13530660</v>
      </c>
      <c r="H442" s="235">
        <f t="shared" si="56"/>
        <v>13530660</v>
      </c>
      <c r="I442" s="234">
        <v>110600000</v>
      </c>
      <c r="J442" s="370" t="str">
        <f t="shared" si="54"/>
        <v>0110600000</v>
      </c>
      <c r="K442" s="30" t="str">
        <f t="shared" si="55"/>
        <v>60607010110600000000</v>
      </c>
    </row>
    <row r="443" spans="1:11" s="30" customFormat="1">
      <c r="A443" s="244" t="s">
        <v>247</v>
      </c>
      <c r="B443" s="233" t="s">
        <v>69</v>
      </c>
      <c r="C443" s="234" t="s">
        <v>71</v>
      </c>
      <c r="D443" s="234" t="s">
        <v>65</v>
      </c>
      <c r="E443" s="234" t="s">
        <v>338</v>
      </c>
      <c r="F443" s="234" t="s">
        <v>58</v>
      </c>
      <c r="G443" s="235">
        <f t="shared" si="56"/>
        <v>13530660</v>
      </c>
      <c r="H443" s="235">
        <f t="shared" si="56"/>
        <v>13530660</v>
      </c>
      <c r="I443" s="234">
        <v>110611010</v>
      </c>
      <c r="J443" s="370" t="str">
        <f t="shared" si="54"/>
        <v>0110611010</v>
      </c>
      <c r="K443" s="30" t="str">
        <f t="shared" si="55"/>
        <v>60607010110611010000</v>
      </c>
    </row>
    <row r="444" spans="1:11" s="30" customFormat="1">
      <c r="A444" s="244" t="s">
        <v>92</v>
      </c>
      <c r="B444" s="233" t="s">
        <v>69</v>
      </c>
      <c r="C444" s="234" t="s">
        <v>71</v>
      </c>
      <c r="D444" s="234" t="s">
        <v>65</v>
      </c>
      <c r="E444" s="234" t="s">
        <v>338</v>
      </c>
      <c r="F444" s="234" t="s">
        <v>138</v>
      </c>
      <c r="G444" s="235">
        <f t="shared" si="56"/>
        <v>13530660</v>
      </c>
      <c r="H444" s="235">
        <f t="shared" si="56"/>
        <v>13530660</v>
      </c>
      <c r="I444" s="234">
        <v>110611010</v>
      </c>
      <c r="J444" s="370" t="str">
        <f t="shared" si="54"/>
        <v>0110611010</v>
      </c>
      <c r="K444" s="30" t="str">
        <f t="shared" si="55"/>
        <v>60607010110611010610</v>
      </c>
    </row>
    <row r="445" spans="1:11" s="83" customFormat="1">
      <c r="A445" s="236" t="s">
        <v>1016</v>
      </c>
      <c r="B445" s="233" t="s">
        <v>69</v>
      </c>
      <c r="C445" s="234" t="s">
        <v>71</v>
      </c>
      <c r="D445" s="234" t="s">
        <v>65</v>
      </c>
      <c r="E445" s="234" t="s">
        <v>338</v>
      </c>
      <c r="F445" s="234" t="s">
        <v>1046</v>
      </c>
      <c r="G445" s="235">
        <f>VLOOKUP(K445,'исх АС БЮДЖЕТ'!$A$10:$H$568,7,0)</f>
        <v>13530660</v>
      </c>
      <c r="H445" s="235">
        <f>VLOOKUP(K445,'исх АС БЮДЖЕТ'!$A$10:$H$568,8,0)</f>
        <v>13530660</v>
      </c>
      <c r="I445" s="234">
        <v>110611010</v>
      </c>
      <c r="J445" s="370" t="str">
        <f t="shared" si="54"/>
        <v>0110611010</v>
      </c>
      <c r="K445" s="30" t="str">
        <f t="shared" si="55"/>
        <v>60607010110611010612</v>
      </c>
    </row>
    <row r="446" spans="1:11" s="30" customFormat="1" ht="51">
      <c r="A446" s="232" t="s">
        <v>756</v>
      </c>
      <c r="B446" s="233" t="s">
        <v>69</v>
      </c>
      <c r="C446" s="234" t="s">
        <v>71</v>
      </c>
      <c r="D446" s="234" t="s">
        <v>65</v>
      </c>
      <c r="E446" s="234" t="s">
        <v>339</v>
      </c>
      <c r="F446" s="234" t="s">
        <v>58</v>
      </c>
      <c r="G446" s="235">
        <f t="shared" ref="G446:H448" si="57">G447</f>
        <v>3895640</v>
      </c>
      <c r="H446" s="235">
        <f t="shared" si="57"/>
        <v>3895640</v>
      </c>
      <c r="I446" s="234">
        <v>1600000000</v>
      </c>
      <c r="J446" s="370" t="str">
        <f t="shared" si="54"/>
        <v>1600000000</v>
      </c>
      <c r="K446" s="30" t="str">
        <f t="shared" si="55"/>
        <v>60607011600000000000</v>
      </c>
    </row>
    <row r="447" spans="1:11" s="30" customFormat="1" ht="25.5">
      <c r="A447" s="232" t="s">
        <v>136</v>
      </c>
      <c r="B447" s="233" t="s">
        <v>69</v>
      </c>
      <c r="C447" s="234" t="s">
        <v>71</v>
      </c>
      <c r="D447" s="234" t="s">
        <v>65</v>
      </c>
      <c r="E447" s="234" t="s">
        <v>340</v>
      </c>
      <c r="F447" s="234" t="s">
        <v>58</v>
      </c>
      <c r="G447" s="235">
        <f t="shared" si="57"/>
        <v>3895640</v>
      </c>
      <c r="H447" s="235">
        <f t="shared" si="57"/>
        <v>3895640</v>
      </c>
      <c r="I447" s="234">
        <v>1620000000</v>
      </c>
      <c r="J447" s="370" t="str">
        <f t="shared" si="54"/>
        <v>1620000000</v>
      </c>
      <c r="K447" s="30" t="str">
        <f t="shared" si="55"/>
        <v>60607011620000000000</v>
      </c>
    </row>
    <row r="448" spans="1:11" s="30" customFormat="1" ht="25.5">
      <c r="A448" s="232" t="s">
        <v>667</v>
      </c>
      <c r="B448" s="233" t="s">
        <v>69</v>
      </c>
      <c r="C448" s="234" t="s">
        <v>71</v>
      </c>
      <c r="D448" s="234" t="s">
        <v>65</v>
      </c>
      <c r="E448" s="234" t="s">
        <v>609</v>
      </c>
      <c r="F448" s="234" t="s">
        <v>58</v>
      </c>
      <c r="G448" s="235">
        <f t="shared" si="57"/>
        <v>3895640</v>
      </c>
      <c r="H448" s="235">
        <f t="shared" si="57"/>
        <v>3895640</v>
      </c>
      <c r="I448" s="234">
        <v>1620200000</v>
      </c>
      <c r="J448" s="370" t="str">
        <f t="shared" si="54"/>
        <v>1620200000</v>
      </c>
      <c r="K448" s="30" t="str">
        <f t="shared" si="55"/>
        <v>60607011620200000000</v>
      </c>
    </row>
    <row r="449" spans="1:11" s="30" customFormat="1" ht="25.5">
      <c r="A449" s="232" t="s">
        <v>177</v>
      </c>
      <c r="B449" s="233" t="s">
        <v>69</v>
      </c>
      <c r="C449" s="234" t="s">
        <v>71</v>
      </c>
      <c r="D449" s="234" t="s">
        <v>65</v>
      </c>
      <c r="E449" s="234" t="s">
        <v>610</v>
      </c>
      <c r="F449" s="234" t="s">
        <v>58</v>
      </c>
      <c r="G449" s="235">
        <f>G450+G452</f>
        <v>3895640</v>
      </c>
      <c r="H449" s="235">
        <f>H450+H452</f>
        <v>3895640</v>
      </c>
      <c r="I449" s="234">
        <v>1620220550</v>
      </c>
      <c r="J449" s="370" t="str">
        <f t="shared" si="54"/>
        <v>1620220550</v>
      </c>
      <c r="K449" s="30" t="str">
        <f t="shared" si="55"/>
        <v>60607011620220550000</v>
      </c>
    </row>
    <row r="450" spans="1:11" s="30" customFormat="1">
      <c r="A450" s="244" t="s">
        <v>92</v>
      </c>
      <c r="B450" s="233" t="s">
        <v>69</v>
      </c>
      <c r="C450" s="234" t="s">
        <v>71</v>
      </c>
      <c r="D450" s="234" t="s">
        <v>65</v>
      </c>
      <c r="E450" s="234" t="s">
        <v>610</v>
      </c>
      <c r="F450" s="234" t="s">
        <v>138</v>
      </c>
      <c r="G450" s="235">
        <f>G451</f>
        <v>3797140</v>
      </c>
      <c r="H450" s="235">
        <f>H451</f>
        <v>3797140</v>
      </c>
      <c r="I450" s="234">
        <v>1620220550</v>
      </c>
      <c r="J450" s="370" t="str">
        <f t="shared" si="54"/>
        <v>1620220550</v>
      </c>
      <c r="K450" s="30" t="str">
        <f t="shared" si="55"/>
        <v>60607011620220550610</v>
      </c>
    </row>
    <row r="451" spans="1:11" s="83" customFormat="1">
      <c r="A451" s="236" t="s">
        <v>1016</v>
      </c>
      <c r="B451" s="233" t="s">
        <v>69</v>
      </c>
      <c r="C451" s="234" t="s">
        <v>71</v>
      </c>
      <c r="D451" s="234" t="s">
        <v>65</v>
      </c>
      <c r="E451" s="234" t="s">
        <v>610</v>
      </c>
      <c r="F451" s="234" t="s">
        <v>1046</v>
      </c>
      <c r="G451" s="235">
        <f>VLOOKUP(K451,'исх АС БЮДЖЕТ'!$A$10:$H$568,7,0)</f>
        <v>3797140</v>
      </c>
      <c r="H451" s="235">
        <f>VLOOKUP(K451,'исх АС БЮДЖЕТ'!$A$10:$H$568,8,0)</f>
        <v>3797140</v>
      </c>
      <c r="I451" s="234">
        <v>1620220550</v>
      </c>
      <c r="J451" s="370" t="str">
        <f t="shared" si="54"/>
        <v>1620220550</v>
      </c>
      <c r="K451" s="30" t="str">
        <f t="shared" si="55"/>
        <v>60607011620220550612</v>
      </c>
    </row>
    <row r="452" spans="1:11" s="30" customFormat="1">
      <c r="A452" s="244" t="s">
        <v>93</v>
      </c>
      <c r="B452" s="233" t="s">
        <v>69</v>
      </c>
      <c r="C452" s="234" t="s">
        <v>71</v>
      </c>
      <c r="D452" s="234" t="s">
        <v>65</v>
      </c>
      <c r="E452" s="234" t="s">
        <v>610</v>
      </c>
      <c r="F452" s="234" t="s">
        <v>20</v>
      </c>
      <c r="G452" s="235">
        <f>G453</f>
        <v>98500</v>
      </c>
      <c r="H452" s="235">
        <f>H453</f>
        <v>98500</v>
      </c>
      <c r="I452" s="234">
        <v>1620220550</v>
      </c>
      <c r="J452" s="370" t="str">
        <f t="shared" si="54"/>
        <v>1620220550</v>
      </c>
      <c r="K452" s="30" t="str">
        <f t="shared" si="55"/>
        <v>60607011620220550620</v>
      </c>
    </row>
    <row r="453" spans="1:11" s="83" customFormat="1">
      <c r="A453" s="236" t="s">
        <v>1019</v>
      </c>
      <c r="B453" s="233" t="s">
        <v>69</v>
      </c>
      <c r="C453" s="234" t="s">
        <v>71</v>
      </c>
      <c r="D453" s="234" t="s">
        <v>65</v>
      </c>
      <c r="E453" s="234" t="s">
        <v>610</v>
      </c>
      <c r="F453" s="234" t="s">
        <v>1054</v>
      </c>
      <c r="G453" s="235">
        <f>VLOOKUP(K453,'исх АС БЮДЖЕТ'!$A$10:$H$568,7,0)</f>
        <v>98500</v>
      </c>
      <c r="H453" s="235">
        <f>VLOOKUP(K453,'исх АС БЮДЖЕТ'!$A$10:$H$568,8,0)</f>
        <v>98500</v>
      </c>
      <c r="I453" s="234">
        <v>1620220550</v>
      </c>
      <c r="J453" s="370" t="str">
        <f t="shared" si="54"/>
        <v>1620220550</v>
      </c>
      <c r="K453" s="30" t="str">
        <f t="shared" si="55"/>
        <v>60607011620220550622</v>
      </c>
    </row>
    <row r="454" spans="1:11" s="83" customFormat="1" ht="25.5">
      <c r="A454" s="237" t="s">
        <v>758</v>
      </c>
      <c r="B454" s="233" t="s">
        <v>26</v>
      </c>
      <c r="C454" s="234" t="s">
        <v>71</v>
      </c>
      <c r="D454" s="234" t="s">
        <v>53</v>
      </c>
      <c r="E454" s="234" t="s">
        <v>343</v>
      </c>
      <c r="F454" s="234" t="s">
        <v>58</v>
      </c>
      <c r="G454" s="235">
        <f t="shared" ref="G454:H457" si="58">G455</f>
        <v>5077740</v>
      </c>
      <c r="H454" s="235">
        <f t="shared" si="58"/>
        <v>5077740</v>
      </c>
      <c r="I454" s="234"/>
      <c r="J454" s="370"/>
      <c r="K454" s="30"/>
    </row>
    <row r="455" spans="1:11" s="83" customFormat="1" ht="25.5">
      <c r="A455" s="232" t="s">
        <v>344</v>
      </c>
      <c r="B455" s="233" t="s">
        <v>26</v>
      </c>
      <c r="C455" s="234" t="s">
        <v>71</v>
      </c>
      <c r="D455" s="234" t="s">
        <v>53</v>
      </c>
      <c r="E455" s="234" t="s">
        <v>345</v>
      </c>
      <c r="F455" s="234" t="s">
        <v>58</v>
      </c>
      <c r="G455" s="235">
        <f t="shared" si="58"/>
        <v>5077740</v>
      </c>
      <c r="H455" s="235">
        <f t="shared" si="58"/>
        <v>5077740</v>
      </c>
      <c r="I455" s="234"/>
      <c r="J455" s="370"/>
      <c r="K455" s="30"/>
    </row>
    <row r="456" spans="1:11" s="83" customFormat="1" ht="25.5">
      <c r="A456" s="232" t="s">
        <v>174</v>
      </c>
      <c r="B456" s="233" t="s">
        <v>26</v>
      </c>
      <c r="C456" s="234" t="s">
        <v>71</v>
      </c>
      <c r="D456" s="234" t="s">
        <v>53</v>
      </c>
      <c r="E456" s="234" t="s">
        <v>346</v>
      </c>
      <c r="F456" s="234" t="s">
        <v>58</v>
      </c>
      <c r="G456" s="235">
        <f t="shared" si="58"/>
        <v>5077740</v>
      </c>
      <c r="H456" s="235">
        <f t="shared" si="58"/>
        <v>5077740</v>
      </c>
      <c r="I456" s="234"/>
      <c r="J456" s="370"/>
      <c r="K456" s="30"/>
    </row>
    <row r="457" spans="1:11" s="83" customFormat="1">
      <c r="A457" s="244" t="s">
        <v>92</v>
      </c>
      <c r="B457" s="233" t="s">
        <v>26</v>
      </c>
      <c r="C457" s="234" t="s">
        <v>71</v>
      </c>
      <c r="D457" s="234" t="s">
        <v>53</v>
      </c>
      <c r="E457" s="234" t="s">
        <v>346</v>
      </c>
      <c r="F457" s="234" t="s">
        <v>138</v>
      </c>
      <c r="G457" s="235">
        <f t="shared" si="58"/>
        <v>5077740</v>
      </c>
      <c r="H457" s="235">
        <f t="shared" si="58"/>
        <v>5077740</v>
      </c>
      <c r="I457" s="234"/>
      <c r="J457" s="370"/>
      <c r="K457" s="30"/>
    </row>
    <row r="458" spans="1:11" s="83" customFormat="1">
      <c r="A458" s="236" t="s">
        <v>1016</v>
      </c>
      <c r="B458" s="233" t="s">
        <v>26</v>
      </c>
      <c r="C458" s="234" t="s">
        <v>71</v>
      </c>
      <c r="D458" s="234" t="s">
        <v>53</v>
      </c>
      <c r="E458" s="234" t="s">
        <v>346</v>
      </c>
      <c r="F458" s="234" t="s">
        <v>1046</v>
      </c>
      <c r="G458" s="235">
        <f>'исх АС БЮДЖЕТ'!G151</f>
        <v>5077740</v>
      </c>
      <c r="H458" s="235">
        <f>'исх АС БЮДЖЕТ'!H151</f>
        <v>5077740</v>
      </c>
      <c r="I458" s="234"/>
      <c r="J458" s="370"/>
      <c r="K458" s="30"/>
    </row>
    <row r="459" spans="1:11" s="30" customFormat="1">
      <c r="A459" s="228" t="s">
        <v>61</v>
      </c>
      <c r="B459" s="229" t="s">
        <v>69</v>
      </c>
      <c r="C459" s="230" t="s">
        <v>71</v>
      </c>
      <c r="D459" s="230" t="s">
        <v>66</v>
      </c>
      <c r="E459" s="230" t="s">
        <v>196</v>
      </c>
      <c r="F459" s="230" t="s">
        <v>58</v>
      </c>
      <c r="G459" s="231">
        <f>G460+G493+G504+G512</f>
        <v>1476120722.02</v>
      </c>
      <c r="H459" s="231">
        <f>H460+H493+H504+H512</f>
        <v>1563261195.0999999</v>
      </c>
      <c r="I459" s="230">
        <v>0</v>
      </c>
      <c r="J459" s="370" t="str">
        <f t="shared" si="54"/>
        <v>0000000000</v>
      </c>
      <c r="K459" s="30" t="str">
        <f t="shared" si="55"/>
        <v>60607020000000000000</v>
      </c>
    </row>
    <row r="460" spans="1:11" s="30" customFormat="1">
      <c r="A460" s="244" t="s">
        <v>723</v>
      </c>
      <c r="B460" s="233" t="s">
        <v>69</v>
      </c>
      <c r="C460" s="234" t="s">
        <v>71</v>
      </c>
      <c r="D460" s="234" t="s">
        <v>66</v>
      </c>
      <c r="E460" s="234" t="s">
        <v>331</v>
      </c>
      <c r="F460" s="234" t="s">
        <v>58</v>
      </c>
      <c r="G460" s="235">
        <f>G461+G488</f>
        <v>1471240912.02</v>
      </c>
      <c r="H460" s="235">
        <f>H461+H488</f>
        <v>1558381385.0999999</v>
      </c>
      <c r="I460" s="234">
        <v>100000000</v>
      </c>
      <c r="J460" s="370" t="str">
        <f t="shared" si="54"/>
        <v>0100000000</v>
      </c>
      <c r="K460" s="30" t="str">
        <f t="shared" si="55"/>
        <v>60607020100000000000</v>
      </c>
    </row>
    <row r="461" spans="1:11" s="30" customFormat="1" ht="25.5">
      <c r="A461" s="244" t="s">
        <v>860</v>
      </c>
      <c r="B461" s="233" t="s">
        <v>69</v>
      </c>
      <c r="C461" s="234" t="s">
        <v>71</v>
      </c>
      <c r="D461" s="234" t="s">
        <v>66</v>
      </c>
      <c r="E461" s="234" t="s">
        <v>332</v>
      </c>
      <c r="F461" s="234" t="s">
        <v>58</v>
      </c>
      <c r="G461" s="235">
        <f>G462+G484</f>
        <v>1464421292.02</v>
      </c>
      <c r="H461" s="235">
        <f>H462+H484</f>
        <v>1558381385.0999999</v>
      </c>
      <c r="I461" s="234">
        <v>110000000</v>
      </c>
      <c r="J461" s="370" t="str">
        <f t="shared" si="54"/>
        <v>0110000000</v>
      </c>
      <c r="K461" s="30" t="str">
        <f t="shared" si="55"/>
        <v>60607020110000000000</v>
      </c>
    </row>
    <row r="462" spans="1:11" s="30" customFormat="1" ht="38.25">
      <c r="A462" s="244" t="s">
        <v>663</v>
      </c>
      <c r="B462" s="233" t="s">
        <v>69</v>
      </c>
      <c r="C462" s="234" t="s">
        <v>71</v>
      </c>
      <c r="D462" s="234" t="s">
        <v>66</v>
      </c>
      <c r="E462" s="234" t="s">
        <v>347</v>
      </c>
      <c r="F462" s="234" t="s">
        <v>58</v>
      </c>
      <c r="G462" s="235">
        <f>G463+G474</f>
        <v>1460421292.02</v>
      </c>
      <c r="H462" s="235">
        <f>H463+H474</f>
        <v>1554381385.0999999</v>
      </c>
      <c r="I462" s="234">
        <v>110200000</v>
      </c>
      <c r="J462" s="370" t="str">
        <f t="shared" si="54"/>
        <v>0110200000</v>
      </c>
      <c r="K462" s="30" t="str">
        <f t="shared" si="55"/>
        <v>60607020110200000000</v>
      </c>
    </row>
    <row r="463" spans="1:11" s="30" customFormat="1">
      <c r="A463" s="244" t="s">
        <v>247</v>
      </c>
      <c r="B463" s="233" t="s">
        <v>69</v>
      </c>
      <c r="C463" s="234" t="s">
        <v>71</v>
      </c>
      <c r="D463" s="234" t="s">
        <v>66</v>
      </c>
      <c r="E463" s="234" t="s">
        <v>348</v>
      </c>
      <c r="F463" s="234" t="s">
        <v>58</v>
      </c>
      <c r="G463" s="235">
        <f>G464+G467+G469+G472</f>
        <v>533711880</v>
      </c>
      <c r="H463" s="235">
        <f>H464+H467+H469+H472</f>
        <v>533711880</v>
      </c>
      <c r="I463" s="234">
        <v>110211010</v>
      </c>
      <c r="J463" s="370" t="str">
        <f t="shared" si="54"/>
        <v>0110211010</v>
      </c>
      <c r="K463" s="30" t="str">
        <f t="shared" si="55"/>
        <v>60607020110211010000</v>
      </c>
    </row>
    <row r="464" spans="1:11" s="30" customFormat="1">
      <c r="A464" s="244" t="s">
        <v>106</v>
      </c>
      <c r="B464" s="233" t="s">
        <v>69</v>
      </c>
      <c r="C464" s="234" t="s">
        <v>71</v>
      </c>
      <c r="D464" s="234" t="s">
        <v>66</v>
      </c>
      <c r="E464" s="234" t="s">
        <v>348</v>
      </c>
      <c r="F464" s="234" t="s">
        <v>121</v>
      </c>
      <c r="G464" s="235">
        <f>SUM(G465:G466)</f>
        <v>1601610</v>
      </c>
      <c r="H464" s="235">
        <f>SUM(H465:H466)</f>
        <v>1601610</v>
      </c>
      <c r="I464" s="234">
        <v>110211010</v>
      </c>
      <c r="J464" s="370" t="str">
        <f t="shared" si="54"/>
        <v>0110211010</v>
      </c>
      <c r="K464" s="30" t="str">
        <f t="shared" si="55"/>
        <v>60607020110211010110</v>
      </c>
    </row>
    <row r="465" spans="1:11" s="83" customFormat="1">
      <c r="A465" s="236" t="s">
        <v>932</v>
      </c>
      <c r="B465" s="233" t="s">
        <v>69</v>
      </c>
      <c r="C465" s="234" t="s">
        <v>71</v>
      </c>
      <c r="D465" s="234" t="s">
        <v>66</v>
      </c>
      <c r="E465" s="234" t="s">
        <v>348</v>
      </c>
      <c r="F465" s="234" t="s">
        <v>1056</v>
      </c>
      <c r="G465" s="235">
        <f>VLOOKUP(K465,'исх АС БЮДЖЕТ'!$A$10:$H$568,7,0)</f>
        <v>1229440</v>
      </c>
      <c r="H465" s="235">
        <f>VLOOKUP(K465,'исх АС БЮДЖЕТ'!$A$10:$H$568,8,0)</f>
        <v>1229440</v>
      </c>
      <c r="I465" s="234">
        <v>110211010</v>
      </c>
      <c r="J465" s="370" t="str">
        <f t="shared" si="54"/>
        <v>0110211010</v>
      </c>
      <c r="K465" s="30" t="str">
        <f t="shared" si="55"/>
        <v>60607020110211010111</v>
      </c>
    </row>
    <row r="466" spans="1:11" s="83" customFormat="1" ht="25.5">
      <c r="A466" s="236" t="s">
        <v>935</v>
      </c>
      <c r="B466" s="233" t="s">
        <v>69</v>
      </c>
      <c r="C466" s="234" t="s">
        <v>71</v>
      </c>
      <c r="D466" s="234" t="s">
        <v>66</v>
      </c>
      <c r="E466" s="234" t="s">
        <v>348</v>
      </c>
      <c r="F466" s="234" t="s">
        <v>1057</v>
      </c>
      <c r="G466" s="235">
        <f>VLOOKUP(K466,'исх АС БЮДЖЕТ'!$A$10:$H$568,7,0)</f>
        <v>372170</v>
      </c>
      <c r="H466" s="235">
        <f>VLOOKUP(K466,'исх АС БЮДЖЕТ'!$A$10:$H$568,8,0)</f>
        <v>372170</v>
      </c>
      <c r="I466" s="234">
        <v>110211010</v>
      </c>
      <c r="J466" s="370" t="str">
        <f t="shared" si="54"/>
        <v>0110211010</v>
      </c>
      <c r="K466" s="30" t="str">
        <f t="shared" si="55"/>
        <v>60607020110211010119</v>
      </c>
    </row>
    <row r="467" spans="1:11" s="30" customFormat="1" ht="25.5">
      <c r="A467" s="232" t="s">
        <v>108</v>
      </c>
      <c r="B467" s="233" t="s">
        <v>69</v>
      </c>
      <c r="C467" s="234" t="s">
        <v>71</v>
      </c>
      <c r="D467" s="234" t="s">
        <v>66</v>
      </c>
      <c r="E467" s="234" t="s">
        <v>348</v>
      </c>
      <c r="F467" s="234" t="s">
        <v>116</v>
      </c>
      <c r="G467" s="235">
        <f>G468</f>
        <v>70000</v>
      </c>
      <c r="H467" s="235">
        <f>H468</f>
        <v>70000</v>
      </c>
      <c r="I467" s="234">
        <v>110211010</v>
      </c>
      <c r="J467" s="370" t="str">
        <f t="shared" si="54"/>
        <v>0110211010</v>
      </c>
      <c r="K467" s="30" t="str">
        <f t="shared" si="55"/>
        <v>60607020110211010240</v>
      </c>
    </row>
    <row r="468" spans="1:11" s="83" customFormat="1" ht="25.5">
      <c r="A468" s="236" t="s">
        <v>973</v>
      </c>
      <c r="B468" s="233" t="s">
        <v>69</v>
      </c>
      <c r="C468" s="234" t="s">
        <v>71</v>
      </c>
      <c r="D468" s="234" t="s">
        <v>66</v>
      </c>
      <c r="E468" s="234" t="s">
        <v>348</v>
      </c>
      <c r="F468" s="234" t="s">
        <v>1043</v>
      </c>
      <c r="G468" s="235">
        <f>VLOOKUP(K468,'исх АС БЮДЖЕТ'!$A$10:$H$568,7,0)</f>
        <v>70000</v>
      </c>
      <c r="H468" s="235">
        <f>VLOOKUP(K468,'исх АС БЮДЖЕТ'!$A$10:$H$568,8,0)</f>
        <v>70000</v>
      </c>
      <c r="I468" s="234">
        <v>110211010</v>
      </c>
      <c r="J468" s="370" t="str">
        <f t="shared" si="54"/>
        <v>0110211010</v>
      </c>
      <c r="K468" s="30" t="str">
        <f t="shared" si="55"/>
        <v>60607020110211010244</v>
      </c>
    </row>
    <row r="469" spans="1:11" s="30" customFormat="1">
      <c r="A469" s="244" t="s">
        <v>92</v>
      </c>
      <c r="B469" s="233" t="s">
        <v>69</v>
      </c>
      <c r="C469" s="234" t="s">
        <v>71</v>
      </c>
      <c r="D469" s="234" t="s">
        <v>66</v>
      </c>
      <c r="E469" s="234" t="s">
        <v>348</v>
      </c>
      <c r="F469" s="234" t="s">
        <v>138</v>
      </c>
      <c r="G469" s="235">
        <f>SUM(G470:G471)</f>
        <v>493920400</v>
      </c>
      <c r="H469" s="235">
        <f>SUM(H470:H471)</f>
        <v>493920400</v>
      </c>
      <c r="I469" s="234">
        <v>110211010</v>
      </c>
      <c r="J469" s="370" t="str">
        <f t="shared" si="54"/>
        <v>0110211010</v>
      </c>
      <c r="K469" s="30" t="str">
        <f t="shared" si="55"/>
        <v>60607020110211010610</v>
      </c>
    </row>
    <row r="470" spans="1:11" s="83" customFormat="1" ht="38.25">
      <c r="A470" s="236" t="s">
        <v>1015</v>
      </c>
      <c r="B470" s="233" t="s">
        <v>69</v>
      </c>
      <c r="C470" s="234" t="s">
        <v>71</v>
      </c>
      <c r="D470" s="234" t="s">
        <v>66</v>
      </c>
      <c r="E470" s="234" t="s">
        <v>348</v>
      </c>
      <c r="F470" s="234" t="s">
        <v>67</v>
      </c>
      <c r="G470" s="235">
        <f>VLOOKUP(K470,'исх АС БЮДЖЕТ'!$A$10:$H$568,7,0)</f>
        <v>489922650</v>
      </c>
      <c r="H470" s="235">
        <f>VLOOKUP(K470,'исх АС БЮДЖЕТ'!$A$10:$H$568,8,0)</f>
        <v>489922650</v>
      </c>
      <c r="I470" s="234">
        <v>110211010</v>
      </c>
      <c r="J470" s="370" t="str">
        <f t="shared" si="54"/>
        <v>0110211010</v>
      </c>
      <c r="K470" s="30" t="str">
        <f t="shared" si="55"/>
        <v>60607020110211010611</v>
      </c>
    </row>
    <row r="471" spans="1:11" s="83" customFormat="1">
      <c r="A471" s="236" t="s">
        <v>1016</v>
      </c>
      <c r="B471" s="233" t="s">
        <v>69</v>
      </c>
      <c r="C471" s="234" t="s">
        <v>71</v>
      </c>
      <c r="D471" s="234" t="s">
        <v>66</v>
      </c>
      <c r="E471" s="234" t="s">
        <v>348</v>
      </c>
      <c r="F471" s="234" t="s">
        <v>1046</v>
      </c>
      <c r="G471" s="235">
        <f>VLOOKUP(K471,'исх АС БЮДЖЕТ'!$A$10:$H$568,7,0)</f>
        <v>3997750</v>
      </c>
      <c r="H471" s="235">
        <f>VLOOKUP(K471,'исх АС БЮДЖЕТ'!$A$10:$H$568,8,0)</f>
        <v>3997750</v>
      </c>
      <c r="I471" s="234">
        <v>110211010</v>
      </c>
      <c r="J471" s="370" t="str">
        <f t="shared" si="54"/>
        <v>0110211010</v>
      </c>
      <c r="K471" s="30" t="str">
        <f t="shared" si="55"/>
        <v>60607020110211010612</v>
      </c>
    </row>
    <row r="472" spans="1:11" s="30" customFormat="1">
      <c r="A472" s="244" t="s">
        <v>93</v>
      </c>
      <c r="B472" s="233" t="s">
        <v>69</v>
      </c>
      <c r="C472" s="234" t="s">
        <v>71</v>
      </c>
      <c r="D472" s="234" t="s">
        <v>66</v>
      </c>
      <c r="E472" s="234" t="s">
        <v>348</v>
      </c>
      <c r="F472" s="234" t="s">
        <v>20</v>
      </c>
      <c r="G472" s="235">
        <f>G473</f>
        <v>38119870</v>
      </c>
      <c r="H472" s="235">
        <f>H473</f>
        <v>38119870</v>
      </c>
      <c r="I472" s="234">
        <v>110211010</v>
      </c>
      <c r="J472" s="370" t="str">
        <f t="shared" si="54"/>
        <v>0110211010</v>
      </c>
      <c r="K472" s="30" t="str">
        <f t="shared" si="55"/>
        <v>60607020110211010620</v>
      </c>
    </row>
    <row r="473" spans="1:11" s="83" customFormat="1" ht="38.25">
      <c r="A473" s="236" t="s">
        <v>1018</v>
      </c>
      <c r="B473" s="233" t="s">
        <v>69</v>
      </c>
      <c r="C473" s="234" t="s">
        <v>71</v>
      </c>
      <c r="D473" s="234" t="s">
        <v>66</v>
      </c>
      <c r="E473" s="234" t="s">
        <v>348</v>
      </c>
      <c r="F473" s="234" t="s">
        <v>16</v>
      </c>
      <c r="G473" s="235">
        <f>VLOOKUP(K473,'исх АС БЮДЖЕТ'!$A$10:$H$568,7,0)</f>
        <v>38119870</v>
      </c>
      <c r="H473" s="235">
        <f>VLOOKUP(K473,'исх АС БЮДЖЕТ'!$A$10:$H$568,8,0)</f>
        <v>38119870</v>
      </c>
      <c r="I473" s="234">
        <v>110211010</v>
      </c>
      <c r="J473" s="370" t="str">
        <f t="shared" si="54"/>
        <v>0110211010</v>
      </c>
      <c r="K473" s="30" t="str">
        <f t="shared" si="55"/>
        <v>60607020110211010621</v>
      </c>
    </row>
    <row r="474" spans="1:11" s="30" customFormat="1" ht="89.25">
      <c r="A474" s="236" t="s">
        <v>349</v>
      </c>
      <c r="B474" s="233" t="s">
        <v>69</v>
      </c>
      <c r="C474" s="234" t="s">
        <v>71</v>
      </c>
      <c r="D474" s="234" t="s">
        <v>66</v>
      </c>
      <c r="E474" s="234" t="s">
        <v>350</v>
      </c>
      <c r="F474" s="234" t="s">
        <v>58</v>
      </c>
      <c r="G474" s="235">
        <f>G475+G478+G480+G482</f>
        <v>926709412.01999998</v>
      </c>
      <c r="H474" s="235">
        <f>H475+H478+H480+H482</f>
        <v>1020669505.1</v>
      </c>
      <c r="I474" s="234">
        <v>110277160</v>
      </c>
      <c r="J474" s="370" t="str">
        <f t="shared" si="54"/>
        <v>0110277160</v>
      </c>
      <c r="K474" s="30" t="str">
        <f t="shared" si="55"/>
        <v>60607020110277160000</v>
      </c>
    </row>
    <row r="475" spans="1:11" s="30" customFormat="1">
      <c r="A475" s="236" t="s">
        <v>106</v>
      </c>
      <c r="B475" s="233" t="s">
        <v>69</v>
      </c>
      <c r="C475" s="234" t="s">
        <v>71</v>
      </c>
      <c r="D475" s="234" t="s">
        <v>66</v>
      </c>
      <c r="E475" s="234" t="s">
        <v>350</v>
      </c>
      <c r="F475" s="234" t="s">
        <v>121</v>
      </c>
      <c r="G475" s="235">
        <f>SUM(G476:G477)</f>
        <v>11605660</v>
      </c>
      <c r="H475" s="235">
        <f>SUM(H476:H477)</f>
        <v>11605660</v>
      </c>
      <c r="I475" s="234">
        <v>110277160</v>
      </c>
      <c r="J475" s="370" t="str">
        <f t="shared" si="54"/>
        <v>0110277160</v>
      </c>
      <c r="K475" s="30" t="str">
        <f t="shared" si="55"/>
        <v>60607020110277160110</v>
      </c>
    </row>
    <row r="476" spans="1:11" s="83" customFormat="1">
      <c r="A476" s="236" t="s">
        <v>932</v>
      </c>
      <c r="B476" s="233" t="s">
        <v>69</v>
      </c>
      <c r="C476" s="234" t="s">
        <v>71</v>
      </c>
      <c r="D476" s="234" t="s">
        <v>66</v>
      </c>
      <c r="E476" s="234" t="s">
        <v>350</v>
      </c>
      <c r="F476" s="234" t="s">
        <v>1056</v>
      </c>
      <c r="G476" s="235">
        <f>VLOOKUP(K476,'исх АС БЮДЖЕТ'!$A$10:$H$568,7,0)</f>
        <v>8913720</v>
      </c>
      <c r="H476" s="235">
        <f>VLOOKUP(K476,'исх АС БЮДЖЕТ'!$A$10:$H$568,8,0)</f>
        <v>8913720</v>
      </c>
      <c r="I476" s="234">
        <v>110277160</v>
      </c>
      <c r="J476" s="370" t="str">
        <f t="shared" si="54"/>
        <v>0110277160</v>
      </c>
      <c r="K476" s="30" t="str">
        <f t="shared" si="55"/>
        <v>60607020110277160111</v>
      </c>
    </row>
    <row r="477" spans="1:11" s="83" customFormat="1" ht="25.5">
      <c r="A477" s="236" t="s">
        <v>935</v>
      </c>
      <c r="B477" s="233" t="s">
        <v>69</v>
      </c>
      <c r="C477" s="234" t="s">
        <v>71</v>
      </c>
      <c r="D477" s="234" t="s">
        <v>66</v>
      </c>
      <c r="E477" s="234" t="s">
        <v>350</v>
      </c>
      <c r="F477" s="234" t="s">
        <v>1057</v>
      </c>
      <c r="G477" s="235">
        <f>VLOOKUP(K477,'исх АС БЮДЖЕТ'!$A$10:$H$568,7,0)</f>
        <v>2691940</v>
      </c>
      <c r="H477" s="235">
        <f>VLOOKUP(K477,'исх АС БЮДЖЕТ'!$A$10:$H$568,8,0)</f>
        <v>2691940</v>
      </c>
      <c r="I477" s="234">
        <v>110277160</v>
      </c>
      <c r="J477" s="370" t="str">
        <f t="shared" si="54"/>
        <v>0110277160</v>
      </c>
      <c r="K477" s="30" t="str">
        <f t="shared" si="55"/>
        <v>60607020110277160119</v>
      </c>
    </row>
    <row r="478" spans="1:11" s="30" customFormat="1">
      <c r="A478" s="244" t="s">
        <v>92</v>
      </c>
      <c r="B478" s="233" t="s">
        <v>69</v>
      </c>
      <c r="C478" s="234" t="s">
        <v>71</v>
      </c>
      <c r="D478" s="234" t="s">
        <v>66</v>
      </c>
      <c r="E478" s="234" t="s">
        <v>350</v>
      </c>
      <c r="F478" s="234" t="s">
        <v>138</v>
      </c>
      <c r="G478" s="235">
        <f>G479</f>
        <v>812053312.01999998</v>
      </c>
      <c r="H478" s="235">
        <f>H479</f>
        <v>906013405.10000002</v>
      </c>
      <c r="I478" s="234">
        <v>110277160</v>
      </c>
      <c r="J478" s="370" t="str">
        <f t="shared" si="54"/>
        <v>0110277160</v>
      </c>
      <c r="K478" s="30" t="str">
        <f t="shared" si="55"/>
        <v>60607020110277160610</v>
      </c>
    </row>
    <row r="479" spans="1:11" s="83" customFormat="1" ht="38.25">
      <c r="A479" s="236" t="s">
        <v>1015</v>
      </c>
      <c r="B479" s="233" t="s">
        <v>69</v>
      </c>
      <c r="C479" s="234" t="s">
        <v>71</v>
      </c>
      <c r="D479" s="234" t="s">
        <v>66</v>
      </c>
      <c r="E479" s="234" t="s">
        <v>350</v>
      </c>
      <c r="F479" s="234" t="s">
        <v>67</v>
      </c>
      <c r="G479" s="235">
        <f>VLOOKUP(K479,'исх АС БЮДЖЕТ'!$A$10:$H$568,7,0)</f>
        <v>812053312.01999998</v>
      </c>
      <c r="H479" s="235">
        <f>VLOOKUP(K479,'исх АС БЮДЖЕТ'!$A$10:$H$568,8,0)</f>
        <v>906013405.10000002</v>
      </c>
      <c r="I479" s="234">
        <v>110277160</v>
      </c>
      <c r="J479" s="370" t="str">
        <f t="shared" si="54"/>
        <v>0110277160</v>
      </c>
      <c r="K479" s="30" t="str">
        <f t="shared" si="55"/>
        <v>60607020110277160611</v>
      </c>
    </row>
    <row r="480" spans="1:11" s="30" customFormat="1">
      <c r="A480" s="244" t="s">
        <v>93</v>
      </c>
      <c r="B480" s="233" t="s">
        <v>69</v>
      </c>
      <c r="C480" s="234" t="s">
        <v>71</v>
      </c>
      <c r="D480" s="234" t="s">
        <v>66</v>
      </c>
      <c r="E480" s="234" t="s">
        <v>350</v>
      </c>
      <c r="F480" s="234" t="s">
        <v>20</v>
      </c>
      <c r="G480" s="235">
        <f>G481</f>
        <v>98318600</v>
      </c>
      <c r="H480" s="235">
        <f>H481</f>
        <v>98318600</v>
      </c>
      <c r="I480" s="234">
        <v>110277160</v>
      </c>
      <c r="J480" s="370" t="str">
        <f t="shared" si="54"/>
        <v>0110277160</v>
      </c>
      <c r="K480" s="30" t="str">
        <f t="shared" si="55"/>
        <v>60607020110277160620</v>
      </c>
    </row>
    <row r="481" spans="1:11" s="83" customFormat="1" ht="38.25">
      <c r="A481" s="236" t="s">
        <v>1018</v>
      </c>
      <c r="B481" s="233" t="s">
        <v>69</v>
      </c>
      <c r="C481" s="234" t="s">
        <v>71</v>
      </c>
      <c r="D481" s="234" t="s">
        <v>66</v>
      </c>
      <c r="E481" s="234" t="s">
        <v>350</v>
      </c>
      <c r="F481" s="234" t="s">
        <v>16</v>
      </c>
      <c r="G481" s="235">
        <f>VLOOKUP(K481,'исх АС БЮДЖЕТ'!$A$10:$H$568,7,0)</f>
        <v>98318600</v>
      </c>
      <c r="H481" s="235">
        <f>VLOOKUP(K481,'исх АС БЮДЖЕТ'!$A$10:$H$568,8,0)</f>
        <v>98318600</v>
      </c>
      <c r="I481" s="234">
        <v>110277160</v>
      </c>
      <c r="J481" s="370" t="str">
        <f t="shared" si="54"/>
        <v>0110277160</v>
      </c>
      <c r="K481" s="30" t="str">
        <f t="shared" si="55"/>
        <v>60607020110277160621</v>
      </c>
    </row>
    <row r="482" spans="1:11" s="30" customFormat="1" ht="25.5">
      <c r="A482" s="232" t="s">
        <v>111</v>
      </c>
      <c r="B482" s="233" t="s">
        <v>69</v>
      </c>
      <c r="C482" s="234" t="s">
        <v>71</v>
      </c>
      <c r="D482" s="234" t="s">
        <v>66</v>
      </c>
      <c r="E482" s="234" t="s">
        <v>350</v>
      </c>
      <c r="F482" s="234" t="s">
        <v>104</v>
      </c>
      <c r="G482" s="235">
        <f>G483</f>
        <v>4731840</v>
      </c>
      <c r="H482" s="235">
        <f>H483</f>
        <v>4731840</v>
      </c>
      <c r="I482" s="234">
        <v>110277160</v>
      </c>
      <c r="J482" s="370" t="str">
        <f t="shared" si="54"/>
        <v>0110277160</v>
      </c>
      <c r="K482" s="30" t="str">
        <f t="shared" si="55"/>
        <v>60607020110277160630</v>
      </c>
    </row>
    <row r="483" spans="1:11" s="83" customFormat="1" ht="63.75">
      <c r="A483" s="236" t="s">
        <v>1048</v>
      </c>
      <c r="B483" s="233" t="s">
        <v>69</v>
      </c>
      <c r="C483" s="234" t="s">
        <v>71</v>
      </c>
      <c r="D483" s="234" t="s">
        <v>66</v>
      </c>
      <c r="E483" s="234" t="s">
        <v>350</v>
      </c>
      <c r="F483" s="234" t="s">
        <v>1055</v>
      </c>
      <c r="G483" s="235">
        <f>VLOOKUP(K483,'исх АС БЮДЖЕТ'!$A$10:$H$568,7,0)</f>
        <v>4731840</v>
      </c>
      <c r="H483" s="235">
        <f>VLOOKUP(K483,'исх АС БЮДЖЕТ'!$A$10:$H$568,8,0)</f>
        <v>4731840</v>
      </c>
      <c r="I483" s="234">
        <v>110277160</v>
      </c>
      <c r="J483" s="370" t="str">
        <f t="shared" si="54"/>
        <v>0110277160</v>
      </c>
      <c r="K483" s="30" t="str">
        <f t="shared" si="55"/>
        <v>60607020110277160632</v>
      </c>
    </row>
    <row r="484" spans="1:11" s="30" customFormat="1" ht="38.25">
      <c r="A484" s="232" t="s">
        <v>629</v>
      </c>
      <c r="B484" s="233" t="s">
        <v>69</v>
      </c>
      <c r="C484" s="234" t="s">
        <v>71</v>
      </c>
      <c r="D484" s="234" t="s">
        <v>66</v>
      </c>
      <c r="E484" s="234" t="s">
        <v>337</v>
      </c>
      <c r="F484" s="234" t="s">
        <v>58</v>
      </c>
      <c r="G484" s="235">
        <f t="shared" ref="G484:H485" si="59">G485</f>
        <v>4000000</v>
      </c>
      <c r="H484" s="235">
        <f t="shared" si="59"/>
        <v>4000000</v>
      </c>
      <c r="I484" s="234">
        <v>110600000</v>
      </c>
      <c r="J484" s="370" t="str">
        <f t="shared" si="54"/>
        <v>0110600000</v>
      </c>
      <c r="K484" s="30" t="str">
        <f t="shared" si="55"/>
        <v>60607020110600000000</v>
      </c>
    </row>
    <row r="485" spans="1:11" s="30" customFormat="1">
      <c r="A485" s="244" t="s">
        <v>247</v>
      </c>
      <c r="B485" s="233" t="s">
        <v>69</v>
      </c>
      <c r="C485" s="234" t="s">
        <v>71</v>
      </c>
      <c r="D485" s="234" t="s">
        <v>66</v>
      </c>
      <c r="E485" s="234" t="s">
        <v>338</v>
      </c>
      <c r="F485" s="234" t="s">
        <v>58</v>
      </c>
      <c r="G485" s="235">
        <f t="shared" si="59"/>
        <v>4000000</v>
      </c>
      <c r="H485" s="235">
        <f t="shared" si="59"/>
        <v>4000000</v>
      </c>
      <c r="I485" s="234">
        <v>110611010</v>
      </c>
      <c r="J485" s="370" t="str">
        <f t="shared" si="54"/>
        <v>0110611010</v>
      </c>
      <c r="K485" s="30" t="str">
        <f t="shared" si="55"/>
        <v>60607020110611010000</v>
      </c>
    </row>
    <row r="486" spans="1:11" s="30" customFormat="1">
      <c r="A486" s="244" t="s">
        <v>92</v>
      </c>
      <c r="B486" s="233" t="s">
        <v>69</v>
      </c>
      <c r="C486" s="234" t="s">
        <v>71</v>
      </c>
      <c r="D486" s="234" t="s">
        <v>66</v>
      </c>
      <c r="E486" s="234" t="s">
        <v>338</v>
      </c>
      <c r="F486" s="234" t="s">
        <v>138</v>
      </c>
      <c r="G486" s="235">
        <f>G487</f>
        <v>4000000</v>
      </c>
      <c r="H486" s="235">
        <f>H487</f>
        <v>4000000</v>
      </c>
      <c r="I486" s="234">
        <v>110611010</v>
      </c>
      <c r="J486" s="370" t="str">
        <f t="shared" ref="J486:J544" si="60">TEXT(I486,"0000000000")</f>
        <v>0110611010</v>
      </c>
      <c r="K486" s="30" t="str">
        <f t="shared" ref="K486:K544" si="61">CONCATENATE(B486,C486,D486,J486,F486)</f>
        <v>60607020110611010610</v>
      </c>
    </row>
    <row r="487" spans="1:11" s="83" customFormat="1">
      <c r="A487" s="236" t="s">
        <v>1016</v>
      </c>
      <c r="B487" s="233" t="s">
        <v>69</v>
      </c>
      <c r="C487" s="234" t="s">
        <v>71</v>
      </c>
      <c r="D487" s="234" t="s">
        <v>66</v>
      </c>
      <c r="E487" s="234" t="s">
        <v>338</v>
      </c>
      <c r="F487" s="234" t="s">
        <v>1046</v>
      </c>
      <c r="G487" s="235">
        <f>VLOOKUP(K487,'исх АС БЮДЖЕТ'!$A$10:$H$568,7,0)</f>
        <v>4000000</v>
      </c>
      <c r="H487" s="235">
        <f>VLOOKUP(K487,'исх АС БЮДЖЕТ'!$A$10:$H$568,8,0)</f>
        <v>4000000</v>
      </c>
      <c r="I487" s="234">
        <v>110611010</v>
      </c>
      <c r="J487" s="370" t="str">
        <f t="shared" si="60"/>
        <v>0110611010</v>
      </c>
      <c r="K487" s="30" t="str">
        <f t="shared" si="61"/>
        <v>60607020110611010612</v>
      </c>
    </row>
    <row r="488" spans="1:11" s="30" customFormat="1" ht="25.5">
      <c r="A488" s="244" t="s">
        <v>724</v>
      </c>
      <c r="B488" s="233" t="s">
        <v>69</v>
      </c>
      <c r="C488" s="234" t="s">
        <v>71</v>
      </c>
      <c r="D488" s="234" t="s">
        <v>66</v>
      </c>
      <c r="E488" s="234" t="s">
        <v>562</v>
      </c>
      <c r="F488" s="234" t="s">
        <v>58</v>
      </c>
      <c r="G488" s="235">
        <f t="shared" ref="G488:H491" si="62">G489</f>
        <v>6819620</v>
      </c>
      <c r="H488" s="235">
        <f t="shared" si="62"/>
        <v>0</v>
      </c>
      <c r="I488" s="234">
        <v>120000000</v>
      </c>
      <c r="J488" s="370" t="str">
        <f t="shared" si="60"/>
        <v>0120000000</v>
      </c>
      <c r="K488" s="30" t="str">
        <f t="shared" si="61"/>
        <v>60607020120000000000</v>
      </c>
    </row>
    <row r="489" spans="1:11" s="30" customFormat="1" ht="38.25">
      <c r="A489" s="244" t="s">
        <v>642</v>
      </c>
      <c r="B489" s="233" t="s">
        <v>69</v>
      </c>
      <c r="C489" s="234" t="s">
        <v>71</v>
      </c>
      <c r="D489" s="234" t="s">
        <v>66</v>
      </c>
      <c r="E489" s="234" t="s">
        <v>563</v>
      </c>
      <c r="F489" s="234" t="s">
        <v>58</v>
      </c>
      <c r="G489" s="235">
        <f t="shared" si="62"/>
        <v>6819620</v>
      </c>
      <c r="H489" s="235">
        <f t="shared" si="62"/>
        <v>0</v>
      </c>
      <c r="I489" s="234">
        <v>120100000</v>
      </c>
      <c r="J489" s="370" t="str">
        <f t="shared" si="60"/>
        <v>0120100000</v>
      </c>
      <c r="K489" s="30" t="str">
        <f t="shared" si="61"/>
        <v>60607020120100000000</v>
      </c>
    </row>
    <row r="490" spans="1:11" s="30" customFormat="1" ht="25.5">
      <c r="A490" s="244" t="s">
        <v>154</v>
      </c>
      <c r="B490" s="233" t="s">
        <v>69</v>
      </c>
      <c r="C490" s="234" t="s">
        <v>71</v>
      </c>
      <c r="D490" s="234" t="s">
        <v>66</v>
      </c>
      <c r="E490" s="234" t="s">
        <v>564</v>
      </c>
      <c r="F490" s="234" t="s">
        <v>58</v>
      </c>
      <c r="G490" s="235">
        <f t="shared" si="62"/>
        <v>6819620</v>
      </c>
      <c r="H490" s="235">
        <f t="shared" si="62"/>
        <v>0</v>
      </c>
      <c r="I490" s="234">
        <v>120140010</v>
      </c>
      <c r="J490" s="370" t="str">
        <f t="shared" si="60"/>
        <v>0120140010</v>
      </c>
      <c r="K490" s="30" t="str">
        <f t="shared" si="61"/>
        <v>60607020120140010000</v>
      </c>
    </row>
    <row r="491" spans="1:11" s="30" customFormat="1" ht="76.5">
      <c r="A491" s="244" t="s">
        <v>868</v>
      </c>
      <c r="B491" s="233" t="s">
        <v>69</v>
      </c>
      <c r="C491" s="234" t="s">
        <v>71</v>
      </c>
      <c r="D491" s="234" t="s">
        <v>66</v>
      </c>
      <c r="E491" s="234" t="s">
        <v>564</v>
      </c>
      <c r="F491" s="234" t="s">
        <v>848</v>
      </c>
      <c r="G491" s="235">
        <f t="shared" si="62"/>
        <v>6819620</v>
      </c>
      <c r="H491" s="235">
        <f t="shared" si="62"/>
        <v>0</v>
      </c>
      <c r="I491" s="234">
        <v>120140010</v>
      </c>
      <c r="J491" s="370" t="str">
        <f t="shared" si="60"/>
        <v>0120140010</v>
      </c>
      <c r="K491" s="30" t="str">
        <f t="shared" si="61"/>
        <v>60607020120140010460</v>
      </c>
    </row>
    <row r="492" spans="1:11" s="83" customFormat="1" ht="38.25">
      <c r="A492" s="236" t="s">
        <v>999</v>
      </c>
      <c r="B492" s="233" t="s">
        <v>69</v>
      </c>
      <c r="C492" s="234" t="s">
        <v>71</v>
      </c>
      <c r="D492" s="234" t="s">
        <v>66</v>
      </c>
      <c r="E492" s="234" t="s">
        <v>564</v>
      </c>
      <c r="F492" s="234" t="s">
        <v>1058</v>
      </c>
      <c r="G492" s="235">
        <f>VLOOKUP(K492,'исх АС БЮДЖЕТ'!$A$10:$H$568,7,0)</f>
        <v>6819620</v>
      </c>
      <c r="H492" s="235">
        <f>VLOOKUP(K492,'исх АС БЮДЖЕТ'!$A$10:$H$568,8,0)</f>
        <v>0</v>
      </c>
      <c r="I492" s="234">
        <v>120140010</v>
      </c>
      <c r="J492" s="370" t="str">
        <f t="shared" si="60"/>
        <v>0120140010</v>
      </c>
      <c r="K492" s="30" t="str">
        <f t="shared" si="61"/>
        <v>60607020120140010465</v>
      </c>
    </row>
    <row r="493" spans="1:11" s="30" customFormat="1" ht="25.5">
      <c r="A493" s="236" t="s">
        <v>752</v>
      </c>
      <c r="B493" s="233" t="s">
        <v>69</v>
      </c>
      <c r="C493" s="234" t="s">
        <v>71</v>
      </c>
      <c r="D493" s="234" t="s">
        <v>66</v>
      </c>
      <c r="E493" s="234" t="s">
        <v>249</v>
      </c>
      <c r="F493" s="234" t="s">
        <v>58</v>
      </c>
      <c r="G493" s="235">
        <f>G494+G499</f>
        <v>2011950</v>
      </c>
      <c r="H493" s="235">
        <f>H494+H499</f>
        <v>2011950</v>
      </c>
      <c r="I493" s="234">
        <v>1500000000</v>
      </c>
      <c r="J493" s="370" t="str">
        <f t="shared" si="60"/>
        <v>1500000000</v>
      </c>
      <c r="K493" s="30" t="str">
        <f t="shared" si="61"/>
        <v>60607021500000000000</v>
      </c>
    </row>
    <row r="494" spans="1:11" s="30" customFormat="1">
      <c r="A494" s="236" t="s">
        <v>754</v>
      </c>
      <c r="B494" s="233" t="s">
        <v>69</v>
      </c>
      <c r="C494" s="234" t="s">
        <v>71</v>
      </c>
      <c r="D494" s="234" t="s">
        <v>66</v>
      </c>
      <c r="E494" s="234" t="s">
        <v>251</v>
      </c>
      <c r="F494" s="234" t="s">
        <v>58</v>
      </c>
      <c r="G494" s="235">
        <f t="shared" ref="G494:H496" si="63">G495</f>
        <v>237150</v>
      </c>
      <c r="H494" s="235">
        <f t="shared" si="63"/>
        <v>237150</v>
      </c>
      <c r="I494" s="234">
        <v>1520000000</v>
      </c>
      <c r="J494" s="370" t="str">
        <f t="shared" si="60"/>
        <v>1520000000</v>
      </c>
      <c r="K494" s="30" t="str">
        <f t="shared" si="61"/>
        <v>60607021520000000000</v>
      </c>
    </row>
    <row r="495" spans="1:11" s="30" customFormat="1" ht="25.5">
      <c r="A495" s="236" t="s">
        <v>611</v>
      </c>
      <c r="B495" s="233" t="s">
        <v>69</v>
      </c>
      <c r="C495" s="234" t="s">
        <v>71</v>
      </c>
      <c r="D495" s="234" t="s">
        <v>66</v>
      </c>
      <c r="E495" s="234" t="s">
        <v>252</v>
      </c>
      <c r="F495" s="234" t="s">
        <v>58</v>
      </c>
      <c r="G495" s="235">
        <f t="shared" si="63"/>
        <v>237150</v>
      </c>
      <c r="H495" s="235">
        <f t="shared" si="63"/>
        <v>237150</v>
      </c>
      <c r="I495" s="234">
        <v>1520200000</v>
      </c>
      <c r="J495" s="370" t="str">
        <f t="shared" si="60"/>
        <v>1520200000</v>
      </c>
      <c r="K495" s="30" t="str">
        <f t="shared" si="61"/>
        <v>60607021520200000000</v>
      </c>
    </row>
    <row r="496" spans="1:11" s="30" customFormat="1" ht="38.25">
      <c r="A496" s="237" t="s">
        <v>873</v>
      </c>
      <c r="B496" s="233" t="s">
        <v>69</v>
      </c>
      <c r="C496" s="234" t="s">
        <v>71</v>
      </c>
      <c r="D496" s="234" t="s">
        <v>66</v>
      </c>
      <c r="E496" s="234" t="s">
        <v>253</v>
      </c>
      <c r="F496" s="234" t="s">
        <v>58</v>
      </c>
      <c r="G496" s="235">
        <f t="shared" si="63"/>
        <v>237150</v>
      </c>
      <c r="H496" s="235">
        <f t="shared" si="63"/>
        <v>237150</v>
      </c>
      <c r="I496" s="234">
        <v>1520220370</v>
      </c>
      <c r="J496" s="370" t="str">
        <f t="shared" si="60"/>
        <v>1520220370</v>
      </c>
      <c r="K496" s="30" t="str">
        <f t="shared" si="61"/>
        <v>60607021520220370000</v>
      </c>
    </row>
    <row r="497" spans="1:11" s="30" customFormat="1">
      <c r="A497" s="244" t="s">
        <v>92</v>
      </c>
      <c r="B497" s="233" t="s">
        <v>69</v>
      </c>
      <c r="C497" s="234" t="s">
        <v>71</v>
      </c>
      <c r="D497" s="234" t="s">
        <v>66</v>
      </c>
      <c r="E497" s="234" t="s">
        <v>253</v>
      </c>
      <c r="F497" s="234" t="s">
        <v>138</v>
      </c>
      <c r="G497" s="235">
        <f>G498</f>
        <v>237150</v>
      </c>
      <c r="H497" s="235">
        <f>H498</f>
        <v>237150</v>
      </c>
      <c r="I497" s="234">
        <v>1520220370</v>
      </c>
      <c r="J497" s="370" t="str">
        <f t="shared" si="60"/>
        <v>1520220370</v>
      </c>
      <c r="K497" s="30" t="str">
        <f t="shared" si="61"/>
        <v>60607021520220370610</v>
      </c>
    </row>
    <row r="498" spans="1:11" s="83" customFormat="1">
      <c r="A498" s="236" t="s">
        <v>1016</v>
      </c>
      <c r="B498" s="233" t="s">
        <v>69</v>
      </c>
      <c r="C498" s="234" t="s">
        <v>71</v>
      </c>
      <c r="D498" s="234" t="s">
        <v>66</v>
      </c>
      <c r="E498" s="234" t="s">
        <v>253</v>
      </c>
      <c r="F498" s="234" t="s">
        <v>1046</v>
      </c>
      <c r="G498" s="235">
        <f>VLOOKUP(K498,'исх АС БЮДЖЕТ'!$A$10:$H$568,7,0)</f>
        <v>237150</v>
      </c>
      <c r="H498" s="235">
        <f>VLOOKUP(K498,'исх АС БЮДЖЕТ'!$A$10:$H$568,8,0)</f>
        <v>237150</v>
      </c>
      <c r="I498" s="234">
        <v>1520220370</v>
      </c>
      <c r="J498" s="370" t="str">
        <f t="shared" si="60"/>
        <v>1520220370</v>
      </c>
      <c r="K498" s="30" t="str">
        <f t="shared" si="61"/>
        <v>60607021520220370612</v>
      </c>
    </row>
    <row r="499" spans="1:11" s="30" customFormat="1">
      <c r="A499" s="232" t="s">
        <v>755</v>
      </c>
      <c r="B499" s="233" t="s">
        <v>69</v>
      </c>
      <c r="C499" s="234" t="s">
        <v>71</v>
      </c>
      <c r="D499" s="234" t="s">
        <v>66</v>
      </c>
      <c r="E499" s="234" t="s">
        <v>256</v>
      </c>
      <c r="F499" s="234" t="s">
        <v>58</v>
      </c>
      <c r="G499" s="235">
        <f t="shared" ref="G499:H500" si="64">G500</f>
        <v>1774800</v>
      </c>
      <c r="H499" s="235">
        <f t="shared" si="64"/>
        <v>1774800</v>
      </c>
      <c r="I499" s="234">
        <v>1530000000</v>
      </c>
      <c r="J499" s="370" t="str">
        <f t="shared" si="60"/>
        <v>1530000000</v>
      </c>
      <c r="K499" s="30" t="str">
        <f t="shared" si="61"/>
        <v>60607021530000000000</v>
      </c>
    </row>
    <row r="500" spans="1:11" s="30" customFormat="1">
      <c r="A500" s="232" t="s">
        <v>616</v>
      </c>
      <c r="B500" s="233" t="s">
        <v>69</v>
      </c>
      <c r="C500" s="234" t="s">
        <v>71</v>
      </c>
      <c r="D500" s="234" t="s">
        <v>66</v>
      </c>
      <c r="E500" s="234" t="s">
        <v>321</v>
      </c>
      <c r="F500" s="234" t="s">
        <v>58</v>
      </c>
      <c r="G500" s="235">
        <f t="shared" si="64"/>
        <v>1774800</v>
      </c>
      <c r="H500" s="235">
        <f t="shared" si="64"/>
        <v>1774800</v>
      </c>
      <c r="I500" s="234">
        <v>1530100000</v>
      </c>
      <c r="J500" s="370" t="str">
        <f t="shared" si="60"/>
        <v>1530100000</v>
      </c>
      <c r="K500" s="30" t="str">
        <f t="shared" si="61"/>
        <v>60607021530100000000</v>
      </c>
    </row>
    <row r="501" spans="1:11" s="30" customFormat="1" ht="25.5">
      <c r="A501" s="232" t="s">
        <v>133</v>
      </c>
      <c r="B501" s="233" t="s">
        <v>69</v>
      </c>
      <c r="C501" s="234" t="s">
        <v>71</v>
      </c>
      <c r="D501" s="234" t="s">
        <v>66</v>
      </c>
      <c r="E501" s="234" t="s">
        <v>322</v>
      </c>
      <c r="F501" s="234" t="s">
        <v>58</v>
      </c>
      <c r="G501" s="235">
        <f>G502</f>
        <v>1774800</v>
      </c>
      <c r="H501" s="235">
        <f>H502</f>
        <v>1774800</v>
      </c>
      <c r="I501" s="234">
        <v>1530120660</v>
      </c>
      <c r="J501" s="370" t="str">
        <f t="shared" si="60"/>
        <v>1530120660</v>
      </c>
      <c r="K501" s="30" t="str">
        <f t="shared" si="61"/>
        <v>60607021530120660000</v>
      </c>
    </row>
    <row r="502" spans="1:11" s="30" customFormat="1">
      <c r="A502" s="244" t="s">
        <v>92</v>
      </c>
      <c r="B502" s="233" t="s">
        <v>69</v>
      </c>
      <c r="C502" s="234" t="s">
        <v>71</v>
      </c>
      <c r="D502" s="234" t="s">
        <v>66</v>
      </c>
      <c r="E502" s="234" t="s">
        <v>322</v>
      </c>
      <c r="F502" s="234" t="s">
        <v>138</v>
      </c>
      <c r="G502" s="235">
        <f>G503</f>
        <v>1774800</v>
      </c>
      <c r="H502" s="235">
        <f>H503</f>
        <v>1774800</v>
      </c>
      <c r="I502" s="234">
        <v>1530120660</v>
      </c>
      <c r="J502" s="370" t="str">
        <f t="shared" si="60"/>
        <v>1530120660</v>
      </c>
      <c r="K502" s="30" t="str">
        <f t="shared" si="61"/>
        <v>60607021530120660610</v>
      </c>
    </row>
    <row r="503" spans="1:11" s="83" customFormat="1">
      <c r="A503" s="236" t="s">
        <v>1016</v>
      </c>
      <c r="B503" s="233" t="s">
        <v>69</v>
      </c>
      <c r="C503" s="234" t="s">
        <v>71</v>
      </c>
      <c r="D503" s="234" t="s">
        <v>66</v>
      </c>
      <c r="E503" s="234" t="s">
        <v>322</v>
      </c>
      <c r="F503" s="234" t="s">
        <v>1046</v>
      </c>
      <c r="G503" s="235">
        <f>VLOOKUP(K503,'исх АС БЮДЖЕТ'!$A$10:$H$568,7,0)</f>
        <v>1774800</v>
      </c>
      <c r="H503" s="235">
        <f>VLOOKUP(K503,'исх АС БЮДЖЕТ'!$A$10:$H$568,8,0)</f>
        <v>1774800</v>
      </c>
      <c r="I503" s="234">
        <v>1530120660</v>
      </c>
      <c r="J503" s="370" t="str">
        <f t="shared" si="60"/>
        <v>1530120660</v>
      </c>
      <c r="K503" s="30" t="str">
        <f t="shared" si="61"/>
        <v>60607021530120660612</v>
      </c>
    </row>
    <row r="504" spans="1:11" s="30" customFormat="1" ht="51">
      <c r="A504" s="232" t="s">
        <v>756</v>
      </c>
      <c r="B504" s="233" t="s">
        <v>69</v>
      </c>
      <c r="C504" s="234" t="s">
        <v>71</v>
      </c>
      <c r="D504" s="234" t="s">
        <v>66</v>
      </c>
      <c r="E504" s="234" t="s">
        <v>339</v>
      </c>
      <c r="F504" s="234" t="s">
        <v>58</v>
      </c>
      <c r="G504" s="235">
        <f t="shared" ref="G504:H506" si="65">G505</f>
        <v>2776060</v>
      </c>
      <c r="H504" s="235">
        <f t="shared" si="65"/>
        <v>2776060</v>
      </c>
      <c r="I504" s="234">
        <v>1600000000</v>
      </c>
      <c r="J504" s="370" t="str">
        <f t="shared" si="60"/>
        <v>1600000000</v>
      </c>
      <c r="K504" s="30" t="str">
        <f t="shared" si="61"/>
        <v>60607021600000000000</v>
      </c>
    </row>
    <row r="505" spans="1:11" s="30" customFormat="1" ht="25.5">
      <c r="A505" s="232" t="s">
        <v>136</v>
      </c>
      <c r="B505" s="233" t="s">
        <v>69</v>
      </c>
      <c r="C505" s="234" t="s">
        <v>71</v>
      </c>
      <c r="D505" s="234" t="s">
        <v>66</v>
      </c>
      <c r="E505" s="234" t="s">
        <v>340</v>
      </c>
      <c r="F505" s="234" t="s">
        <v>58</v>
      </c>
      <c r="G505" s="235">
        <f t="shared" si="65"/>
        <v>2776060</v>
      </c>
      <c r="H505" s="235">
        <f t="shared" si="65"/>
        <v>2776060</v>
      </c>
      <c r="I505" s="234">
        <v>1620000000</v>
      </c>
      <c r="J505" s="370" t="str">
        <f t="shared" si="60"/>
        <v>1620000000</v>
      </c>
      <c r="K505" s="30" t="str">
        <f t="shared" si="61"/>
        <v>60607021620000000000</v>
      </c>
    </row>
    <row r="506" spans="1:11" s="30" customFormat="1" ht="25.5">
      <c r="A506" s="232" t="s">
        <v>667</v>
      </c>
      <c r="B506" s="233" t="s">
        <v>69</v>
      </c>
      <c r="C506" s="234" t="s">
        <v>71</v>
      </c>
      <c r="D506" s="234" t="s">
        <v>66</v>
      </c>
      <c r="E506" s="234" t="s">
        <v>609</v>
      </c>
      <c r="F506" s="234" t="s">
        <v>58</v>
      </c>
      <c r="G506" s="235">
        <f t="shared" si="65"/>
        <v>2776060</v>
      </c>
      <c r="H506" s="235">
        <f t="shared" si="65"/>
        <v>2776060</v>
      </c>
      <c r="I506" s="234">
        <v>1620200000</v>
      </c>
      <c r="J506" s="370" t="str">
        <f t="shared" si="60"/>
        <v>1620200000</v>
      </c>
      <c r="K506" s="30" t="str">
        <f t="shared" si="61"/>
        <v>60607021620200000000</v>
      </c>
    </row>
    <row r="507" spans="1:11" s="30" customFormat="1" ht="25.5">
      <c r="A507" s="232" t="s">
        <v>177</v>
      </c>
      <c r="B507" s="233" t="s">
        <v>69</v>
      </c>
      <c r="C507" s="234" t="s">
        <v>71</v>
      </c>
      <c r="D507" s="234" t="s">
        <v>66</v>
      </c>
      <c r="E507" s="234" t="s">
        <v>610</v>
      </c>
      <c r="F507" s="234" t="s">
        <v>58</v>
      </c>
      <c r="G507" s="235">
        <f>G508+G510</f>
        <v>2776060</v>
      </c>
      <c r="H507" s="235">
        <f>H508+H510</f>
        <v>2776060</v>
      </c>
      <c r="I507" s="234">
        <v>1620220550</v>
      </c>
      <c r="J507" s="370" t="str">
        <f t="shared" si="60"/>
        <v>1620220550</v>
      </c>
      <c r="K507" s="30" t="str">
        <f t="shared" si="61"/>
        <v>60607021620220550000</v>
      </c>
    </row>
    <row r="508" spans="1:11" s="30" customFormat="1">
      <c r="A508" s="244" t="s">
        <v>92</v>
      </c>
      <c r="B508" s="233" t="s">
        <v>69</v>
      </c>
      <c r="C508" s="234" t="s">
        <v>71</v>
      </c>
      <c r="D508" s="234" t="s">
        <v>66</v>
      </c>
      <c r="E508" s="234" t="s">
        <v>610</v>
      </c>
      <c r="F508" s="234" t="s">
        <v>138</v>
      </c>
      <c r="G508" s="235">
        <f>G509</f>
        <v>2627360</v>
      </c>
      <c r="H508" s="235">
        <f>H509</f>
        <v>2627360</v>
      </c>
      <c r="I508" s="234">
        <v>1620220550</v>
      </c>
      <c r="J508" s="370" t="str">
        <f t="shared" si="60"/>
        <v>1620220550</v>
      </c>
      <c r="K508" s="30" t="str">
        <f t="shared" si="61"/>
        <v>60607021620220550610</v>
      </c>
    </row>
    <row r="509" spans="1:11" s="83" customFormat="1">
      <c r="A509" s="236" t="s">
        <v>1016</v>
      </c>
      <c r="B509" s="233" t="s">
        <v>69</v>
      </c>
      <c r="C509" s="234" t="s">
        <v>71</v>
      </c>
      <c r="D509" s="234" t="s">
        <v>66</v>
      </c>
      <c r="E509" s="234" t="s">
        <v>610</v>
      </c>
      <c r="F509" s="234" t="s">
        <v>1046</v>
      </c>
      <c r="G509" s="235">
        <f>VLOOKUP(K509,'исх АС БЮДЖЕТ'!$A$10:$H$568,7,0)</f>
        <v>2627360</v>
      </c>
      <c r="H509" s="235">
        <f>VLOOKUP(K509,'исх АС БЮДЖЕТ'!$A$10:$H$568,8,0)</f>
        <v>2627360</v>
      </c>
      <c r="I509" s="234">
        <v>1620220550</v>
      </c>
      <c r="J509" s="370" t="str">
        <f t="shared" si="60"/>
        <v>1620220550</v>
      </c>
      <c r="K509" s="30" t="str">
        <f t="shared" si="61"/>
        <v>60607021620220550612</v>
      </c>
    </row>
    <row r="510" spans="1:11" s="30" customFormat="1">
      <c r="A510" s="244" t="s">
        <v>93</v>
      </c>
      <c r="B510" s="233" t="s">
        <v>69</v>
      </c>
      <c r="C510" s="234" t="s">
        <v>71</v>
      </c>
      <c r="D510" s="234" t="s">
        <v>66</v>
      </c>
      <c r="E510" s="234" t="s">
        <v>610</v>
      </c>
      <c r="F510" s="234" t="s">
        <v>20</v>
      </c>
      <c r="G510" s="235">
        <f>G511</f>
        <v>148700</v>
      </c>
      <c r="H510" s="235">
        <f>H511</f>
        <v>148700</v>
      </c>
      <c r="I510" s="234">
        <v>1620220550</v>
      </c>
      <c r="J510" s="370" t="str">
        <f t="shared" si="60"/>
        <v>1620220550</v>
      </c>
      <c r="K510" s="30" t="str">
        <f t="shared" si="61"/>
        <v>60607021620220550620</v>
      </c>
    </row>
    <row r="511" spans="1:11" s="83" customFormat="1">
      <c r="A511" s="236" t="s">
        <v>1019</v>
      </c>
      <c r="B511" s="233" t="s">
        <v>69</v>
      </c>
      <c r="C511" s="234" t="s">
        <v>71</v>
      </c>
      <c r="D511" s="234" t="s">
        <v>66</v>
      </c>
      <c r="E511" s="234" t="s">
        <v>610</v>
      </c>
      <c r="F511" s="234" t="s">
        <v>1054</v>
      </c>
      <c r="G511" s="235">
        <f>VLOOKUP(K511,'исх АС БЮДЖЕТ'!$A$10:$H$568,7,0)</f>
        <v>148700</v>
      </c>
      <c r="H511" s="235">
        <f>VLOOKUP(K511,'исх АС БЮДЖЕТ'!$A$10:$H$568,8,0)</f>
        <v>148700</v>
      </c>
      <c r="I511" s="234">
        <v>1620220550</v>
      </c>
      <c r="J511" s="370" t="str">
        <f t="shared" si="60"/>
        <v>1620220550</v>
      </c>
      <c r="K511" s="30" t="str">
        <f t="shared" si="61"/>
        <v>60607021620220550622</v>
      </c>
    </row>
    <row r="512" spans="1:11" s="30" customFormat="1">
      <c r="A512" s="244" t="s">
        <v>759</v>
      </c>
      <c r="B512" s="233" t="s">
        <v>69</v>
      </c>
      <c r="C512" s="234" t="s">
        <v>71</v>
      </c>
      <c r="D512" s="234" t="s">
        <v>66</v>
      </c>
      <c r="E512" s="234" t="s">
        <v>259</v>
      </c>
      <c r="F512" s="234" t="s">
        <v>58</v>
      </c>
      <c r="G512" s="235">
        <f t="shared" ref="G512:H515" si="66">G513</f>
        <v>91800</v>
      </c>
      <c r="H512" s="235">
        <f t="shared" si="66"/>
        <v>91800</v>
      </c>
      <c r="I512" s="234">
        <v>1800000000</v>
      </c>
      <c r="J512" s="370" t="str">
        <f t="shared" si="60"/>
        <v>1800000000</v>
      </c>
      <c r="K512" s="30" t="str">
        <f t="shared" si="61"/>
        <v>60607021800000000000</v>
      </c>
    </row>
    <row r="513" spans="1:11" s="30" customFormat="1" ht="25.5">
      <c r="A513" s="244" t="s">
        <v>760</v>
      </c>
      <c r="B513" s="233" t="s">
        <v>69</v>
      </c>
      <c r="C513" s="234" t="s">
        <v>71</v>
      </c>
      <c r="D513" s="234" t="s">
        <v>66</v>
      </c>
      <c r="E513" s="234" t="s">
        <v>260</v>
      </c>
      <c r="F513" s="234" t="s">
        <v>58</v>
      </c>
      <c r="G513" s="235">
        <f t="shared" si="66"/>
        <v>91800</v>
      </c>
      <c r="H513" s="235">
        <f t="shared" si="66"/>
        <v>91800</v>
      </c>
      <c r="I513" s="234" t="s">
        <v>1182</v>
      </c>
      <c r="J513" s="370" t="str">
        <f t="shared" si="60"/>
        <v>18Б0000000</v>
      </c>
      <c r="K513" s="30" t="str">
        <f t="shared" si="61"/>
        <v>606070218Б0000000000</v>
      </c>
    </row>
    <row r="514" spans="1:11" s="30" customFormat="1" ht="51">
      <c r="A514" s="232" t="s">
        <v>784</v>
      </c>
      <c r="B514" s="233" t="s">
        <v>69</v>
      </c>
      <c r="C514" s="234" t="s">
        <v>71</v>
      </c>
      <c r="D514" s="234" t="s">
        <v>66</v>
      </c>
      <c r="E514" s="234" t="s">
        <v>785</v>
      </c>
      <c r="F514" s="234" t="s">
        <v>58</v>
      </c>
      <c r="G514" s="235">
        <f t="shared" si="66"/>
        <v>91800</v>
      </c>
      <c r="H514" s="235">
        <f t="shared" si="66"/>
        <v>91800</v>
      </c>
      <c r="I514" s="234" t="s">
        <v>1205</v>
      </c>
      <c r="J514" s="370" t="str">
        <f t="shared" si="60"/>
        <v>18Б0200000</v>
      </c>
      <c r="K514" s="30" t="str">
        <f t="shared" si="61"/>
        <v>606070218Б0200000000</v>
      </c>
    </row>
    <row r="515" spans="1:11" s="30" customFormat="1" ht="25.5">
      <c r="A515" s="232" t="s">
        <v>786</v>
      </c>
      <c r="B515" s="233" t="s">
        <v>69</v>
      </c>
      <c r="C515" s="234" t="s">
        <v>71</v>
      </c>
      <c r="D515" s="234" t="s">
        <v>66</v>
      </c>
      <c r="E515" s="234" t="s">
        <v>787</v>
      </c>
      <c r="F515" s="234" t="s">
        <v>58</v>
      </c>
      <c r="G515" s="235">
        <f t="shared" si="66"/>
        <v>91800</v>
      </c>
      <c r="H515" s="235">
        <f t="shared" si="66"/>
        <v>91800</v>
      </c>
      <c r="I515" s="234" t="s">
        <v>1206</v>
      </c>
      <c r="J515" s="370" t="str">
        <f t="shared" si="60"/>
        <v>18Б0220360</v>
      </c>
      <c r="K515" s="30" t="str">
        <f t="shared" si="61"/>
        <v>606070218Б0220360000</v>
      </c>
    </row>
    <row r="516" spans="1:11" s="30" customFormat="1">
      <c r="A516" s="244" t="s">
        <v>92</v>
      </c>
      <c r="B516" s="233" t="s">
        <v>69</v>
      </c>
      <c r="C516" s="234" t="s">
        <v>71</v>
      </c>
      <c r="D516" s="234" t="s">
        <v>66</v>
      </c>
      <c r="E516" s="234" t="s">
        <v>787</v>
      </c>
      <c r="F516" s="234" t="s">
        <v>138</v>
      </c>
      <c r="G516" s="235">
        <f>G517</f>
        <v>91800</v>
      </c>
      <c r="H516" s="235">
        <f>H517</f>
        <v>91800</v>
      </c>
      <c r="I516" s="234" t="s">
        <v>1206</v>
      </c>
      <c r="J516" s="370" t="str">
        <f t="shared" si="60"/>
        <v>18Б0220360</v>
      </c>
      <c r="K516" s="30" t="str">
        <f t="shared" si="61"/>
        <v>606070218Б0220360610</v>
      </c>
    </row>
    <row r="517" spans="1:11" s="83" customFormat="1">
      <c r="A517" s="236" t="s">
        <v>1016</v>
      </c>
      <c r="B517" s="233" t="s">
        <v>69</v>
      </c>
      <c r="C517" s="234" t="s">
        <v>71</v>
      </c>
      <c r="D517" s="234" t="s">
        <v>66</v>
      </c>
      <c r="E517" s="234" t="s">
        <v>787</v>
      </c>
      <c r="F517" s="234" t="s">
        <v>1046</v>
      </c>
      <c r="G517" s="235">
        <f>VLOOKUP(K517,'исх АС БЮДЖЕТ'!$A$10:$H$568,7,0)</f>
        <v>91800</v>
      </c>
      <c r="H517" s="235">
        <f>VLOOKUP(K517,'исх АС БЮДЖЕТ'!$A$10:$H$568,8,0)</f>
        <v>91800</v>
      </c>
      <c r="I517" s="234" t="s">
        <v>1206</v>
      </c>
      <c r="J517" s="370" t="str">
        <f t="shared" si="60"/>
        <v>18Б0220360</v>
      </c>
      <c r="K517" s="30" t="str">
        <f t="shared" si="61"/>
        <v>606070218Б0220360612</v>
      </c>
    </row>
    <row r="518" spans="1:11" s="30" customFormat="1">
      <c r="A518" s="228" t="s">
        <v>779</v>
      </c>
      <c r="B518" s="229" t="s">
        <v>69</v>
      </c>
      <c r="C518" s="230" t="s">
        <v>71</v>
      </c>
      <c r="D518" s="230" t="s">
        <v>53</v>
      </c>
      <c r="E518" s="230" t="s">
        <v>196</v>
      </c>
      <c r="F518" s="230" t="s">
        <v>58</v>
      </c>
      <c r="G518" s="231">
        <f>G519+G527</f>
        <v>163923570</v>
      </c>
      <c r="H518" s="231">
        <f>H519+H527</f>
        <v>163923570</v>
      </c>
      <c r="I518" s="230">
        <v>0</v>
      </c>
      <c r="J518" s="370" t="str">
        <f t="shared" si="60"/>
        <v>0000000000</v>
      </c>
      <c r="K518" s="30" t="str">
        <f t="shared" si="61"/>
        <v>60607030000000000000</v>
      </c>
    </row>
    <row r="519" spans="1:11" s="30" customFormat="1">
      <c r="A519" s="244" t="s">
        <v>723</v>
      </c>
      <c r="B519" s="233" t="s">
        <v>69</v>
      </c>
      <c r="C519" s="234" t="s">
        <v>71</v>
      </c>
      <c r="D519" s="234" t="s">
        <v>53</v>
      </c>
      <c r="E519" s="234" t="s">
        <v>331</v>
      </c>
      <c r="F519" s="234" t="s">
        <v>58</v>
      </c>
      <c r="G519" s="235">
        <f t="shared" ref="G519:H521" si="67">G520</f>
        <v>163621070</v>
      </c>
      <c r="H519" s="235">
        <f t="shared" si="67"/>
        <v>163621070</v>
      </c>
      <c r="I519" s="234">
        <v>100000000</v>
      </c>
      <c r="J519" s="370" t="str">
        <f t="shared" si="60"/>
        <v>0100000000</v>
      </c>
      <c r="K519" s="30" t="str">
        <f t="shared" si="61"/>
        <v>60607030100000000000</v>
      </c>
    </row>
    <row r="520" spans="1:11" s="30" customFormat="1" ht="25.5">
      <c r="A520" s="244" t="s">
        <v>860</v>
      </c>
      <c r="B520" s="233" t="s">
        <v>69</v>
      </c>
      <c r="C520" s="234" t="s">
        <v>71</v>
      </c>
      <c r="D520" s="234" t="s">
        <v>53</v>
      </c>
      <c r="E520" s="234" t="s">
        <v>332</v>
      </c>
      <c r="F520" s="234" t="s">
        <v>58</v>
      </c>
      <c r="G520" s="235">
        <f t="shared" si="67"/>
        <v>163621070</v>
      </c>
      <c r="H520" s="235">
        <f t="shared" si="67"/>
        <v>163621070</v>
      </c>
      <c r="I520" s="234">
        <v>110000000</v>
      </c>
      <c r="J520" s="370" t="str">
        <f t="shared" si="60"/>
        <v>0110000000</v>
      </c>
      <c r="K520" s="30" t="str">
        <f t="shared" si="61"/>
        <v>60607030110000000000</v>
      </c>
    </row>
    <row r="521" spans="1:11" s="30" customFormat="1" ht="25.5">
      <c r="A521" s="237" t="s">
        <v>630</v>
      </c>
      <c r="B521" s="241" t="s">
        <v>69</v>
      </c>
      <c r="C521" s="242" t="s">
        <v>71</v>
      </c>
      <c r="D521" s="242" t="s">
        <v>53</v>
      </c>
      <c r="E521" s="242" t="s">
        <v>351</v>
      </c>
      <c r="F521" s="242" t="s">
        <v>58</v>
      </c>
      <c r="G521" s="243">
        <f t="shared" si="67"/>
        <v>163621070</v>
      </c>
      <c r="H521" s="243">
        <f t="shared" si="67"/>
        <v>163621070</v>
      </c>
      <c r="I521" s="242">
        <v>110300000</v>
      </c>
      <c r="J521" s="370" t="str">
        <f t="shared" si="60"/>
        <v>0110300000</v>
      </c>
      <c r="K521" s="30" t="str">
        <f t="shared" si="61"/>
        <v>60607030110300000000</v>
      </c>
    </row>
    <row r="522" spans="1:11" s="30" customFormat="1">
      <c r="A522" s="252" t="s">
        <v>247</v>
      </c>
      <c r="B522" s="241" t="s">
        <v>69</v>
      </c>
      <c r="C522" s="242" t="s">
        <v>71</v>
      </c>
      <c r="D522" s="242" t="s">
        <v>53</v>
      </c>
      <c r="E522" s="242" t="s">
        <v>352</v>
      </c>
      <c r="F522" s="242" t="s">
        <v>58</v>
      </c>
      <c r="G522" s="243">
        <f>G523+G525</f>
        <v>163621070</v>
      </c>
      <c r="H522" s="243">
        <f>H523+H525</f>
        <v>163621070</v>
      </c>
      <c r="I522" s="242">
        <v>110311010</v>
      </c>
      <c r="J522" s="370" t="str">
        <f t="shared" si="60"/>
        <v>0110311010</v>
      </c>
      <c r="K522" s="30" t="str">
        <f t="shared" si="61"/>
        <v>60607030110311010000</v>
      </c>
    </row>
    <row r="523" spans="1:11" s="30" customFormat="1">
      <c r="A523" s="252" t="s">
        <v>92</v>
      </c>
      <c r="B523" s="241" t="s">
        <v>69</v>
      </c>
      <c r="C523" s="242" t="s">
        <v>71</v>
      </c>
      <c r="D523" s="242" t="s">
        <v>53</v>
      </c>
      <c r="E523" s="242" t="s">
        <v>352</v>
      </c>
      <c r="F523" s="242" t="s">
        <v>138</v>
      </c>
      <c r="G523" s="235">
        <f>G524</f>
        <v>145858070</v>
      </c>
      <c r="H523" s="235">
        <f>H524</f>
        <v>145858070</v>
      </c>
      <c r="I523" s="242">
        <v>110311010</v>
      </c>
      <c r="J523" s="370" t="str">
        <f t="shared" si="60"/>
        <v>0110311010</v>
      </c>
      <c r="K523" s="30" t="str">
        <f t="shared" si="61"/>
        <v>60607030110311010610</v>
      </c>
    </row>
    <row r="524" spans="1:11" s="83" customFormat="1" ht="38.25">
      <c r="A524" s="236" t="s">
        <v>1015</v>
      </c>
      <c r="B524" s="241" t="s">
        <v>69</v>
      </c>
      <c r="C524" s="242" t="s">
        <v>71</v>
      </c>
      <c r="D524" s="242" t="s">
        <v>53</v>
      </c>
      <c r="E524" s="242" t="s">
        <v>352</v>
      </c>
      <c r="F524" s="242" t="s">
        <v>67</v>
      </c>
      <c r="G524" s="235">
        <f>VLOOKUP(K524,'исх АС БЮДЖЕТ'!$A$10:$H$568,7,0)</f>
        <v>145858070</v>
      </c>
      <c r="H524" s="235">
        <f>VLOOKUP(K524,'исх АС БЮДЖЕТ'!$A$10:$H$568,8,0)</f>
        <v>145858070</v>
      </c>
      <c r="I524" s="242">
        <v>110311010</v>
      </c>
      <c r="J524" s="370" t="str">
        <f t="shared" si="60"/>
        <v>0110311010</v>
      </c>
      <c r="K524" s="30" t="str">
        <f t="shared" si="61"/>
        <v>60607030110311010611</v>
      </c>
    </row>
    <row r="525" spans="1:11" s="30" customFormat="1">
      <c r="A525" s="252" t="s">
        <v>93</v>
      </c>
      <c r="B525" s="241" t="s">
        <v>69</v>
      </c>
      <c r="C525" s="242" t="s">
        <v>71</v>
      </c>
      <c r="D525" s="242" t="s">
        <v>53</v>
      </c>
      <c r="E525" s="242" t="s">
        <v>352</v>
      </c>
      <c r="F525" s="242" t="s">
        <v>20</v>
      </c>
      <c r="G525" s="235">
        <f>G526</f>
        <v>17763000</v>
      </c>
      <c r="H525" s="235">
        <f>H526</f>
        <v>17763000</v>
      </c>
      <c r="I525" s="242">
        <v>110311010</v>
      </c>
      <c r="J525" s="370" t="str">
        <f t="shared" si="60"/>
        <v>0110311010</v>
      </c>
      <c r="K525" s="30" t="str">
        <f t="shared" si="61"/>
        <v>60607030110311010620</v>
      </c>
    </row>
    <row r="526" spans="1:11" s="83" customFormat="1" ht="38.25">
      <c r="A526" s="236" t="s">
        <v>1018</v>
      </c>
      <c r="B526" s="241" t="s">
        <v>69</v>
      </c>
      <c r="C526" s="242" t="s">
        <v>71</v>
      </c>
      <c r="D526" s="242" t="s">
        <v>53</v>
      </c>
      <c r="E526" s="242" t="s">
        <v>352</v>
      </c>
      <c r="F526" s="242" t="s">
        <v>16</v>
      </c>
      <c r="G526" s="235">
        <f>VLOOKUP(K526,'исх АС БЮДЖЕТ'!$A$10:$H$568,7,0)</f>
        <v>17763000</v>
      </c>
      <c r="H526" s="235">
        <f>VLOOKUP(K526,'исх АС БЮДЖЕТ'!$A$10:$H$568,8,0)</f>
        <v>17763000</v>
      </c>
      <c r="I526" s="242">
        <v>110311010</v>
      </c>
      <c r="J526" s="370" t="str">
        <f t="shared" si="60"/>
        <v>0110311010</v>
      </c>
      <c r="K526" s="30" t="str">
        <f t="shared" si="61"/>
        <v>60607030110311010621</v>
      </c>
    </row>
    <row r="527" spans="1:11" s="30" customFormat="1" ht="51">
      <c r="A527" s="232" t="s">
        <v>756</v>
      </c>
      <c r="B527" s="233" t="s">
        <v>69</v>
      </c>
      <c r="C527" s="242" t="s">
        <v>71</v>
      </c>
      <c r="D527" s="242" t="s">
        <v>53</v>
      </c>
      <c r="E527" s="234" t="s">
        <v>339</v>
      </c>
      <c r="F527" s="234" t="s">
        <v>58</v>
      </c>
      <c r="G527" s="235">
        <f t="shared" ref="G527:H529" si="68">G528</f>
        <v>302500</v>
      </c>
      <c r="H527" s="235">
        <f t="shared" si="68"/>
        <v>302500</v>
      </c>
      <c r="I527" s="234">
        <v>1600000000</v>
      </c>
      <c r="J527" s="370" t="str">
        <f t="shared" si="60"/>
        <v>1600000000</v>
      </c>
      <c r="K527" s="30" t="str">
        <f t="shared" si="61"/>
        <v>60607031600000000000</v>
      </c>
    </row>
    <row r="528" spans="1:11" s="30" customFormat="1" ht="25.5">
      <c r="A528" s="232" t="s">
        <v>136</v>
      </c>
      <c r="B528" s="233" t="s">
        <v>69</v>
      </c>
      <c r="C528" s="242" t="s">
        <v>71</v>
      </c>
      <c r="D528" s="242" t="s">
        <v>53</v>
      </c>
      <c r="E528" s="234" t="s">
        <v>340</v>
      </c>
      <c r="F528" s="234" t="s">
        <v>58</v>
      </c>
      <c r="G528" s="235">
        <f t="shared" si="68"/>
        <v>302500</v>
      </c>
      <c r="H528" s="235">
        <f t="shared" si="68"/>
        <v>302500</v>
      </c>
      <c r="I528" s="234">
        <v>1620000000</v>
      </c>
      <c r="J528" s="370" t="str">
        <f t="shared" si="60"/>
        <v>1620000000</v>
      </c>
      <c r="K528" s="30" t="str">
        <f t="shared" si="61"/>
        <v>60607031620000000000</v>
      </c>
    </row>
    <row r="529" spans="1:11" s="30" customFormat="1" ht="25.5">
      <c r="A529" s="232" t="s">
        <v>667</v>
      </c>
      <c r="B529" s="233" t="s">
        <v>69</v>
      </c>
      <c r="C529" s="242" t="s">
        <v>71</v>
      </c>
      <c r="D529" s="242" t="s">
        <v>53</v>
      </c>
      <c r="E529" s="234" t="s">
        <v>609</v>
      </c>
      <c r="F529" s="234" t="s">
        <v>58</v>
      </c>
      <c r="G529" s="235">
        <f t="shared" si="68"/>
        <v>302500</v>
      </c>
      <c r="H529" s="235">
        <f t="shared" si="68"/>
        <v>302500</v>
      </c>
      <c r="I529" s="234">
        <v>1620200000</v>
      </c>
      <c r="J529" s="370" t="str">
        <f t="shared" si="60"/>
        <v>1620200000</v>
      </c>
      <c r="K529" s="30" t="str">
        <f t="shared" si="61"/>
        <v>60607031620200000000</v>
      </c>
    </row>
    <row r="530" spans="1:11" s="30" customFormat="1" ht="25.5">
      <c r="A530" s="232" t="s">
        <v>177</v>
      </c>
      <c r="B530" s="233" t="s">
        <v>69</v>
      </c>
      <c r="C530" s="242" t="s">
        <v>71</v>
      </c>
      <c r="D530" s="242" t="s">
        <v>53</v>
      </c>
      <c r="E530" s="234" t="s">
        <v>610</v>
      </c>
      <c r="F530" s="234" t="s">
        <v>58</v>
      </c>
      <c r="G530" s="235">
        <f>G531+G533</f>
        <v>302500</v>
      </c>
      <c r="H530" s="235">
        <f>H531+H533</f>
        <v>302500</v>
      </c>
      <c r="I530" s="234">
        <v>1620220550</v>
      </c>
      <c r="J530" s="370" t="str">
        <f t="shared" si="60"/>
        <v>1620220550</v>
      </c>
      <c r="K530" s="30" t="str">
        <f t="shared" si="61"/>
        <v>60607031620220550000</v>
      </c>
    </row>
    <row r="531" spans="1:11" s="30" customFormat="1">
      <c r="A531" s="252" t="s">
        <v>92</v>
      </c>
      <c r="B531" s="233" t="s">
        <v>69</v>
      </c>
      <c r="C531" s="242" t="s">
        <v>71</v>
      </c>
      <c r="D531" s="242" t="s">
        <v>53</v>
      </c>
      <c r="E531" s="234" t="s">
        <v>610</v>
      </c>
      <c r="F531" s="234" t="s">
        <v>138</v>
      </c>
      <c r="G531" s="235">
        <f>G532</f>
        <v>243900</v>
      </c>
      <c r="H531" s="235">
        <f>H532</f>
        <v>243900</v>
      </c>
      <c r="I531" s="234">
        <v>1620220550</v>
      </c>
      <c r="J531" s="370" t="str">
        <f t="shared" si="60"/>
        <v>1620220550</v>
      </c>
      <c r="K531" s="30" t="str">
        <f t="shared" si="61"/>
        <v>60607031620220550610</v>
      </c>
    </row>
    <row r="532" spans="1:11" s="83" customFormat="1">
      <c r="A532" s="236" t="s">
        <v>1016</v>
      </c>
      <c r="B532" s="233" t="s">
        <v>69</v>
      </c>
      <c r="C532" s="242" t="s">
        <v>71</v>
      </c>
      <c r="D532" s="242" t="s">
        <v>53</v>
      </c>
      <c r="E532" s="234" t="s">
        <v>610</v>
      </c>
      <c r="F532" s="234" t="s">
        <v>1046</v>
      </c>
      <c r="G532" s="235">
        <f>VLOOKUP(K532,'исх АС БЮДЖЕТ'!$A$10:$H$568,7,0)</f>
        <v>243900</v>
      </c>
      <c r="H532" s="235">
        <f>VLOOKUP(K532,'исх АС БЮДЖЕТ'!$A$10:$H$568,8,0)</f>
        <v>243900</v>
      </c>
      <c r="I532" s="234">
        <v>1620220550</v>
      </c>
      <c r="J532" s="370" t="str">
        <f t="shared" si="60"/>
        <v>1620220550</v>
      </c>
      <c r="K532" s="30" t="str">
        <f t="shared" si="61"/>
        <v>60607031620220550612</v>
      </c>
    </row>
    <row r="533" spans="1:11" s="30" customFormat="1">
      <c r="A533" s="244" t="s">
        <v>93</v>
      </c>
      <c r="B533" s="233" t="s">
        <v>69</v>
      </c>
      <c r="C533" s="242" t="s">
        <v>71</v>
      </c>
      <c r="D533" s="242" t="s">
        <v>53</v>
      </c>
      <c r="E533" s="234" t="s">
        <v>610</v>
      </c>
      <c r="F533" s="234" t="s">
        <v>20</v>
      </c>
      <c r="G533" s="235">
        <f>G534</f>
        <v>58600</v>
      </c>
      <c r="H533" s="235">
        <f>H534</f>
        <v>58600</v>
      </c>
      <c r="I533" s="234">
        <v>1620220550</v>
      </c>
      <c r="J533" s="370" t="str">
        <f t="shared" si="60"/>
        <v>1620220550</v>
      </c>
      <c r="K533" s="30" t="str">
        <f t="shared" si="61"/>
        <v>60607031620220550620</v>
      </c>
    </row>
    <row r="534" spans="1:11" s="83" customFormat="1">
      <c r="A534" s="236" t="s">
        <v>1019</v>
      </c>
      <c r="B534" s="233" t="s">
        <v>69</v>
      </c>
      <c r="C534" s="242" t="s">
        <v>71</v>
      </c>
      <c r="D534" s="242" t="s">
        <v>53</v>
      </c>
      <c r="E534" s="234" t="s">
        <v>610</v>
      </c>
      <c r="F534" s="234" t="s">
        <v>1054</v>
      </c>
      <c r="G534" s="235">
        <f>VLOOKUP(K534,'исх АС БЮДЖЕТ'!$A$10:$H$568,7,0)</f>
        <v>58600</v>
      </c>
      <c r="H534" s="235">
        <f>VLOOKUP(K534,'исх АС БЮДЖЕТ'!$A$10:$H$568,8,0)</f>
        <v>58600</v>
      </c>
      <c r="I534" s="234">
        <v>1620220550</v>
      </c>
      <c r="J534" s="370" t="str">
        <f t="shared" si="60"/>
        <v>1620220550</v>
      </c>
      <c r="K534" s="30" t="str">
        <f t="shared" si="61"/>
        <v>60607031620220550622</v>
      </c>
    </row>
    <row r="535" spans="1:11" s="30" customFormat="1">
      <c r="A535" s="228" t="s">
        <v>783</v>
      </c>
      <c r="B535" s="229" t="s">
        <v>69</v>
      </c>
      <c r="C535" s="230" t="s">
        <v>71</v>
      </c>
      <c r="D535" s="230" t="s">
        <v>71</v>
      </c>
      <c r="E535" s="230" t="s">
        <v>196</v>
      </c>
      <c r="F535" s="230" t="s">
        <v>58</v>
      </c>
      <c r="G535" s="231">
        <f>G536+G545</f>
        <v>24921810</v>
      </c>
      <c r="H535" s="231">
        <f>H536+H545</f>
        <v>24921810</v>
      </c>
      <c r="I535" s="230">
        <v>0</v>
      </c>
      <c r="J535" s="370" t="str">
        <f t="shared" si="60"/>
        <v>0000000000</v>
      </c>
      <c r="K535" s="30" t="str">
        <f t="shared" si="61"/>
        <v>60607070000000000000</v>
      </c>
    </row>
    <row r="536" spans="1:11" s="30" customFormat="1">
      <c r="A536" s="244" t="s">
        <v>723</v>
      </c>
      <c r="B536" s="233" t="s">
        <v>69</v>
      </c>
      <c r="C536" s="234" t="s">
        <v>71</v>
      </c>
      <c r="D536" s="234" t="s">
        <v>71</v>
      </c>
      <c r="E536" s="234" t="s">
        <v>331</v>
      </c>
      <c r="F536" s="234" t="s">
        <v>58</v>
      </c>
      <c r="G536" s="235">
        <f t="shared" ref="G536:H537" si="69">G537</f>
        <v>24876610</v>
      </c>
      <c r="H536" s="235">
        <f t="shared" si="69"/>
        <v>24876610</v>
      </c>
      <c r="I536" s="234">
        <v>100000000</v>
      </c>
      <c r="J536" s="370" t="str">
        <f t="shared" si="60"/>
        <v>0100000000</v>
      </c>
      <c r="K536" s="30" t="str">
        <f t="shared" si="61"/>
        <v>60607070100000000000</v>
      </c>
    </row>
    <row r="537" spans="1:11" s="30" customFormat="1" ht="25.5">
      <c r="A537" s="244" t="s">
        <v>860</v>
      </c>
      <c r="B537" s="233" t="s">
        <v>69</v>
      </c>
      <c r="C537" s="234" t="s">
        <v>71</v>
      </c>
      <c r="D537" s="234" t="s">
        <v>71</v>
      </c>
      <c r="E537" s="234" t="s">
        <v>332</v>
      </c>
      <c r="F537" s="234" t="s">
        <v>58</v>
      </c>
      <c r="G537" s="235">
        <f t="shared" si="69"/>
        <v>24876610</v>
      </c>
      <c r="H537" s="235">
        <f t="shared" si="69"/>
        <v>24876610</v>
      </c>
      <c r="I537" s="234">
        <v>110000000</v>
      </c>
      <c r="J537" s="370" t="str">
        <f t="shared" si="60"/>
        <v>0110000000</v>
      </c>
      <c r="K537" s="30" t="str">
        <f t="shared" si="61"/>
        <v>60607070110000000000</v>
      </c>
    </row>
    <row r="538" spans="1:11" s="30" customFormat="1">
      <c r="A538" s="244" t="s">
        <v>631</v>
      </c>
      <c r="B538" s="233" t="s">
        <v>69</v>
      </c>
      <c r="C538" s="234" t="s">
        <v>71</v>
      </c>
      <c r="D538" s="234" t="s">
        <v>71</v>
      </c>
      <c r="E538" s="234" t="s">
        <v>353</v>
      </c>
      <c r="F538" s="234" t="s">
        <v>58</v>
      </c>
      <c r="G538" s="235">
        <f>G539+G542</f>
        <v>24876610</v>
      </c>
      <c r="H538" s="235">
        <f>H539+H542</f>
        <v>24876610</v>
      </c>
      <c r="I538" s="234">
        <v>110400000</v>
      </c>
      <c r="J538" s="370" t="str">
        <f t="shared" si="60"/>
        <v>0110400000</v>
      </c>
      <c r="K538" s="30" t="str">
        <f t="shared" si="61"/>
        <v>60607070110400000000</v>
      </c>
    </row>
    <row r="539" spans="1:11" s="30" customFormat="1">
      <c r="A539" s="244" t="s">
        <v>247</v>
      </c>
      <c r="B539" s="233" t="s">
        <v>69</v>
      </c>
      <c r="C539" s="234" t="s">
        <v>71</v>
      </c>
      <c r="D539" s="234" t="s">
        <v>71</v>
      </c>
      <c r="E539" s="234" t="s">
        <v>354</v>
      </c>
      <c r="F539" s="234" t="s">
        <v>58</v>
      </c>
      <c r="G539" s="235">
        <f>G540</f>
        <v>7009240</v>
      </c>
      <c r="H539" s="235">
        <f>H540</f>
        <v>7009240</v>
      </c>
      <c r="I539" s="234">
        <v>110411010</v>
      </c>
      <c r="J539" s="370" t="str">
        <f t="shared" si="60"/>
        <v>0110411010</v>
      </c>
      <c r="K539" s="30" t="str">
        <f t="shared" si="61"/>
        <v>60607070110411010000</v>
      </c>
    </row>
    <row r="540" spans="1:11" s="30" customFormat="1">
      <c r="A540" s="244" t="s">
        <v>93</v>
      </c>
      <c r="B540" s="233" t="s">
        <v>69</v>
      </c>
      <c r="C540" s="234" t="s">
        <v>71</v>
      </c>
      <c r="D540" s="234" t="s">
        <v>71</v>
      </c>
      <c r="E540" s="234" t="s">
        <v>354</v>
      </c>
      <c r="F540" s="234" t="s">
        <v>20</v>
      </c>
      <c r="G540" s="235">
        <f>G541</f>
        <v>7009240</v>
      </c>
      <c r="H540" s="235">
        <f>H541</f>
        <v>7009240</v>
      </c>
      <c r="I540" s="234">
        <v>110411010</v>
      </c>
      <c r="J540" s="370" t="str">
        <f t="shared" si="60"/>
        <v>0110411010</v>
      </c>
      <c r="K540" s="30" t="str">
        <f t="shared" si="61"/>
        <v>60607070110411010620</v>
      </c>
    </row>
    <row r="541" spans="1:11" s="83" customFormat="1" ht="38.25">
      <c r="A541" s="236" t="s">
        <v>1018</v>
      </c>
      <c r="B541" s="233" t="s">
        <v>69</v>
      </c>
      <c r="C541" s="234" t="s">
        <v>71</v>
      </c>
      <c r="D541" s="234" t="s">
        <v>71</v>
      </c>
      <c r="E541" s="234" t="s">
        <v>354</v>
      </c>
      <c r="F541" s="234" t="s">
        <v>16</v>
      </c>
      <c r="G541" s="235">
        <f>VLOOKUP(K541,'исх АС БЮДЖЕТ'!$A$10:$H$568,7,0)</f>
        <v>7009240</v>
      </c>
      <c r="H541" s="235">
        <f>VLOOKUP(K541,'исх АС БЮДЖЕТ'!$A$10:$H$568,8,0)</f>
        <v>7009240</v>
      </c>
      <c r="I541" s="234">
        <v>110411010</v>
      </c>
      <c r="J541" s="370" t="str">
        <f t="shared" si="60"/>
        <v>0110411010</v>
      </c>
      <c r="K541" s="30" t="str">
        <f t="shared" si="61"/>
        <v>60607070110411010621</v>
      </c>
    </row>
    <row r="542" spans="1:11" s="30" customFormat="1">
      <c r="A542" s="232" t="s">
        <v>355</v>
      </c>
      <c r="B542" s="233" t="s">
        <v>69</v>
      </c>
      <c r="C542" s="234" t="s">
        <v>71</v>
      </c>
      <c r="D542" s="234" t="s">
        <v>71</v>
      </c>
      <c r="E542" s="234" t="s">
        <v>356</v>
      </c>
      <c r="F542" s="234" t="s">
        <v>58</v>
      </c>
      <c r="G542" s="235">
        <f>G543</f>
        <v>17867370</v>
      </c>
      <c r="H542" s="235">
        <f>H543</f>
        <v>17867370</v>
      </c>
      <c r="I542" s="234">
        <v>110420330</v>
      </c>
      <c r="J542" s="370" t="str">
        <f t="shared" si="60"/>
        <v>0110420330</v>
      </c>
      <c r="K542" s="30" t="str">
        <f t="shared" si="61"/>
        <v>60607070110420330000</v>
      </c>
    </row>
    <row r="543" spans="1:11" s="30" customFormat="1">
      <c r="A543" s="244" t="s">
        <v>92</v>
      </c>
      <c r="B543" s="233" t="s">
        <v>69</v>
      </c>
      <c r="C543" s="234" t="s">
        <v>71</v>
      </c>
      <c r="D543" s="234" t="s">
        <v>71</v>
      </c>
      <c r="E543" s="234" t="s">
        <v>356</v>
      </c>
      <c r="F543" s="234" t="s">
        <v>138</v>
      </c>
      <c r="G543" s="235">
        <f>G544</f>
        <v>17867370</v>
      </c>
      <c r="H543" s="235">
        <f>H544</f>
        <v>17867370</v>
      </c>
      <c r="I543" s="234">
        <v>110420330</v>
      </c>
      <c r="J543" s="370" t="str">
        <f t="shared" si="60"/>
        <v>0110420330</v>
      </c>
      <c r="K543" s="30" t="str">
        <f t="shared" si="61"/>
        <v>60607070110420330610</v>
      </c>
    </row>
    <row r="544" spans="1:11" s="83" customFormat="1">
      <c r="A544" s="236" t="s">
        <v>1016</v>
      </c>
      <c r="B544" s="233" t="s">
        <v>69</v>
      </c>
      <c r="C544" s="234" t="s">
        <v>71</v>
      </c>
      <c r="D544" s="234" t="s">
        <v>71</v>
      </c>
      <c r="E544" s="234" t="s">
        <v>356</v>
      </c>
      <c r="F544" s="234" t="s">
        <v>1046</v>
      </c>
      <c r="G544" s="235">
        <f>VLOOKUP(K544,'исх АС БЮДЖЕТ'!$A$10:$H$568,7,0)</f>
        <v>17867370</v>
      </c>
      <c r="H544" s="235">
        <f>VLOOKUP(K544,'исх АС БЮДЖЕТ'!$A$10:$H$568,8,0)</f>
        <v>17867370</v>
      </c>
      <c r="I544" s="234">
        <v>110420330</v>
      </c>
      <c r="J544" s="370" t="str">
        <f t="shared" si="60"/>
        <v>0110420330</v>
      </c>
      <c r="K544" s="30" t="str">
        <f t="shared" si="61"/>
        <v>60607070110420330612</v>
      </c>
    </row>
    <row r="545" spans="1:11" s="30" customFormat="1" ht="51">
      <c r="A545" s="232" t="s">
        <v>756</v>
      </c>
      <c r="B545" s="233" t="s">
        <v>69</v>
      </c>
      <c r="C545" s="234" t="s">
        <v>71</v>
      </c>
      <c r="D545" s="234" t="s">
        <v>71</v>
      </c>
      <c r="E545" s="234" t="s">
        <v>339</v>
      </c>
      <c r="F545" s="234" t="s">
        <v>58</v>
      </c>
      <c r="G545" s="235">
        <f t="shared" ref="G545:H548" si="70">G546</f>
        <v>45200</v>
      </c>
      <c r="H545" s="235">
        <f t="shared" si="70"/>
        <v>45200</v>
      </c>
      <c r="I545" s="234">
        <v>1600000000</v>
      </c>
      <c r="J545" s="370" t="str">
        <f t="shared" ref="J545:J599" si="71">TEXT(I545,"0000000000")</f>
        <v>1600000000</v>
      </c>
      <c r="K545" s="30" t="str">
        <f t="shared" ref="K545:K599" si="72">CONCATENATE(B545,C545,D545,J545,F545)</f>
        <v>60607071600000000000</v>
      </c>
    </row>
    <row r="546" spans="1:11" s="30" customFormat="1" ht="25.5">
      <c r="A546" s="232" t="s">
        <v>136</v>
      </c>
      <c r="B546" s="233" t="s">
        <v>69</v>
      </c>
      <c r="C546" s="234" t="s">
        <v>71</v>
      </c>
      <c r="D546" s="234" t="s">
        <v>71</v>
      </c>
      <c r="E546" s="234" t="s">
        <v>340</v>
      </c>
      <c r="F546" s="234" t="s">
        <v>58</v>
      </c>
      <c r="G546" s="235">
        <f t="shared" si="70"/>
        <v>45200</v>
      </c>
      <c r="H546" s="235">
        <f t="shared" si="70"/>
        <v>45200</v>
      </c>
      <c r="I546" s="234">
        <v>1620000000</v>
      </c>
      <c r="J546" s="370" t="str">
        <f t="shared" si="71"/>
        <v>1620000000</v>
      </c>
      <c r="K546" s="30" t="str">
        <f t="shared" si="72"/>
        <v>60607071620000000000</v>
      </c>
    </row>
    <row r="547" spans="1:11" s="30" customFormat="1" ht="25.5">
      <c r="A547" s="232" t="s">
        <v>667</v>
      </c>
      <c r="B547" s="233" t="s">
        <v>69</v>
      </c>
      <c r="C547" s="234" t="s">
        <v>71</v>
      </c>
      <c r="D547" s="234" t="s">
        <v>71</v>
      </c>
      <c r="E547" s="234" t="s">
        <v>609</v>
      </c>
      <c r="F547" s="234" t="s">
        <v>58</v>
      </c>
      <c r="G547" s="235">
        <f t="shared" si="70"/>
        <v>45200</v>
      </c>
      <c r="H547" s="235">
        <f t="shared" si="70"/>
        <v>45200</v>
      </c>
      <c r="I547" s="234">
        <v>1620200000</v>
      </c>
      <c r="J547" s="370" t="str">
        <f t="shared" si="71"/>
        <v>1620200000</v>
      </c>
      <c r="K547" s="30" t="str">
        <f t="shared" si="72"/>
        <v>60607071620200000000</v>
      </c>
    </row>
    <row r="548" spans="1:11" s="30" customFormat="1" ht="25.5">
      <c r="A548" s="232" t="s">
        <v>177</v>
      </c>
      <c r="B548" s="233" t="s">
        <v>69</v>
      </c>
      <c r="C548" s="234" t="s">
        <v>71</v>
      </c>
      <c r="D548" s="234" t="s">
        <v>71</v>
      </c>
      <c r="E548" s="234" t="s">
        <v>610</v>
      </c>
      <c r="F548" s="234" t="s">
        <v>58</v>
      </c>
      <c r="G548" s="235">
        <f t="shared" si="70"/>
        <v>45200</v>
      </c>
      <c r="H548" s="235">
        <f t="shared" si="70"/>
        <v>45200</v>
      </c>
      <c r="I548" s="234">
        <v>1620220550</v>
      </c>
      <c r="J548" s="370" t="str">
        <f t="shared" si="71"/>
        <v>1620220550</v>
      </c>
      <c r="K548" s="30" t="str">
        <f t="shared" si="72"/>
        <v>60607071620220550000</v>
      </c>
    </row>
    <row r="549" spans="1:11" s="30" customFormat="1">
      <c r="A549" s="244" t="s">
        <v>93</v>
      </c>
      <c r="B549" s="233" t="s">
        <v>69</v>
      </c>
      <c r="C549" s="234" t="s">
        <v>71</v>
      </c>
      <c r="D549" s="234" t="s">
        <v>71</v>
      </c>
      <c r="E549" s="234" t="s">
        <v>610</v>
      </c>
      <c r="F549" s="234" t="s">
        <v>20</v>
      </c>
      <c r="G549" s="235">
        <f>G550</f>
        <v>45200</v>
      </c>
      <c r="H549" s="235">
        <f>H550</f>
        <v>45200</v>
      </c>
      <c r="I549" s="234">
        <v>1620220550</v>
      </c>
      <c r="J549" s="370" t="str">
        <f t="shared" si="71"/>
        <v>1620220550</v>
      </c>
      <c r="K549" s="30" t="str">
        <f t="shared" si="72"/>
        <v>60607071620220550620</v>
      </c>
    </row>
    <row r="550" spans="1:11" s="83" customFormat="1">
      <c r="A550" s="236" t="s">
        <v>1019</v>
      </c>
      <c r="B550" s="233" t="s">
        <v>69</v>
      </c>
      <c r="C550" s="234" t="s">
        <v>71</v>
      </c>
      <c r="D550" s="234" t="s">
        <v>71</v>
      </c>
      <c r="E550" s="234" t="s">
        <v>610</v>
      </c>
      <c r="F550" s="234" t="s">
        <v>1054</v>
      </c>
      <c r="G550" s="235">
        <f>VLOOKUP(K550,'исх АС БЮДЖЕТ'!$A$10:$H$568,7,0)</f>
        <v>45200</v>
      </c>
      <c r="H550" s="235">
        <f>VLOOKUP(K550,'исх АС БЮДЖЕТ'!$A$10:$H$568,8,0)</f>
        <v>45200</v>
      </c>
      <c r="I550" s="234">
        <v>1620220550</v>
      </c>
      <c r="J550" s="370" t="str">
        <f t="shared" si="71"/>
        <v>1620220550</v>
      </c>
      <c r="K550" s="30" t="str">
        <f t="shared" si="72"/>
        <v>60607071620220550622</v>
      </c>
    </row>
    <row r="551" spans="1:11" s="30" customFormat="1">
      <c r="A551" s="228" t="s">
        <v>24</v>
      </c>
      <c r="B551" s="229" t="s">
        <v>69</v>
      </c>
      <c r="C551" s="230" t="s">
        <v>71</v>
      </c>
      <c r="D551" s="230" t="s">
        <v>25</v>
      </c>
      <c r="E551" s="230" t="s">
        <v>196</v>
      </c>
      <c r="F551" s="230" t="s">
        <v>58</v>
      </c>
      <c r="G551" s="231">
        <f>G552+G570+G576</f>
        <v>43599580</v>
      </c>
      <c r="H551" s="231">
        <f>H552+H570+H576</f>
        <v>43599580</v>
      </c>
      <c r="I551" s="230">
        <v>0</v>
      </c>
      <c r="J551" s="370" t="str">
        <f t="shared" si="71"/>
        <v>0000000000</v>
      </c>
      <c r="K551" s="30" t="str">
        <f t="shared" si="72"/>
        <v>60607090000000000000</v>
      </c>
    </row>
    <row r="552" spans="1:11" s="30" customFormat="1">
      <c r="A552" s="244" t="s">
        <v>723</v>
      </c>
      <c r="B552" s="233" t="s">
        <v>69</v>
      </c>
      <c r="C552" s="234" t="s">
        <v>71</v>
      </c>
      <c r="D552" s="234" t="s">
        <v>25</v>
      </c>
      <c r="E552" s="234" t="s">
        <v>331</v>
      </c>
      <c r="F552" s="234" t="s">
        <v>58</v>
      </c>
      <c r="G552" s="235">
        <f>G553</f>
        <v>17843770</v>
      </c>
      <c r="H552" s="235">
        <f>H553</f>
        <v>17843770</v>
      </c>
      <c r="I552" s="234">
        <v>100000000</v>
      </c>
      <c r="J552" s="370" t="str">
        <f t="shared" si="71"/>
        <v>0100000000</v>
      </c>
      <c r="K552" s="30" t="str">
        <f t="shared" si="72"/>
        <v>60607090100000000000</v>
      </c>
    </row>
    <row r="553" spans="1:11" s="30" customFormat="1" ht="25.5">
      <c r="A553" s="244" t="s">
        <v>860</v>
      </c>
      <c r="B553" s="233" t="s">
        <v>69</v>
      </c>
      <c r="C553" s="234" t="s">
        <v>71</v>
      </c>
      <c r="D553" s="234" t="s">
        <v>25</v>
      </c>
      <c r="E553" s="234" t="s">
        <v>332</v>
      </c>
      <c r="F553" s="234" t="s">
        <v>58</v>
      </c>
      <c r="G553" s="235">
        <f>G554+G558+G566</f>
        <v>17843770</v>
      </c>
      <c r="H553" s="235">
        <f>H554+H558+H566</f>
        <v>17843770</v>
      </c>
      <c r="I553" s="234">
        <v>110000000</v>
      </c>
      <c r="J553" s="370" t="str">
        <f t="shared" si="71"/>
        <v>0110000000</v>
      </c>
      <c r="K553" s="30" t="str">
        <f t="shared" si="72"/>
        <v>60607090110000000000</v>
      </c>
    </row>
    <row r="554" spans="1:11" s="30" customFormat="1" ht="25.5">
      <c r="A554" s="237" t="s">
        <v>630</v>
      </c>
      <c r="B554" s="241" t="s">
        <v>69</v>
      </c>
      <c r="C554" s="242" t="s">
        <v>71</v>
      </c>
      <c r="D554" s="242" t="s">
        <v>25</v>
      </c>
      <c r="E554" s="242" t="s">
        <v>351</v>
      </c>
      <c r="F554" s="242" t="s">
        <v>58</v>
      </c>
      <c r="G554" s="243">
        <f t="shared" ref="G554:H556" si="73">G555</f>
        <v>6769130</v>
      </c>
      <c r="H554" s="243">
        <f t="shared" si="73"/>
        <v>6769130</v>
      </c>
      <c r="I554" s="242">
        <v>110300000</v>
      </c>
      <c r="J554" s="370" t="str">
        <f t="shared" si="71"/>
        <v>0110300000</v>
      </c>
      <c r="K554" s="30" t="str">
        <f t="shared" si="72"/>
        <v>60607090110300000000</v>
      </c>
    </row>
    <row r="555" spans="1:11" s="30" customFormat="1">
      <c r="A555" s="252" t="s">
        <v>247</v>
      </c>
      <c r="B555" s="241" t="s">
        <v>69</v>
      </c>
      <c r="C555" s="242" t="s">
        <v>71</v>
      </c>
      <c r="D555" s="242" t="s">
        <v>25</v>
      </c>
      <c r="E555" s="242" t="s">
        <v>352</v>
      </c>
      <c r="F555" s="242" t="s">
        <v>58</v>
      </c>
      <c r="G555" s="243">
        <f t="shared" si="73"/>
        <v>6769130</v>
      </c>
      <c r="H555" s="243">
        <f t="shared" si="73"/>
        <v>6769130</v>
      </c>
      <c r="I555" s="242">
        <v>110311010</v>
      </c>
      <c r="J555" s="370" t="str">
        <f t="shared" si="71"/>
        <v>0110311010</v>
      </c>
      <c r="K555" s="30" t="str">
        <f t="shared" si="72"/>
        <v>60607090110311010000</v>
      </c>
    </row>
    <row r="556" spans="1:11" s="30" customFormat="1">
      <c r="A556" s="252" t="s">
        <v>92</v>
      </c>
      <c r="B556" s="241" t="s">
        <v>69</v>
      </c>
      <c r="C556" s="242" t="s">
        <v>71</v>
      </c>
      <c r="D556" s="242" t="s">
        <v>25</v>
      </c>
      <c r="E556" s="242" t="s">
        <v>352</v>
      </c>
      <c r="F556" s="242" t="s">
        <v>138</v>
      </c>
      <c r="G556" s="235">
        <f t="shared" si="73"/>
        <v>6769130</v>
      </c>
      <c r="H556" s="235">
        <f t="shared" si="73"/>
        <v>6769130</v>
      </c>
      <c r="I556" s="242">
        <v>110311010</v>
      </c>
      <c r="J556" s="370" t="str">
        <f t="shared" si="71"/>
        <v>0110311010</v>
      </c>
      <c r="K556" s="30" t="str">
        <f t="shared" si="72"/>
        <v>60607090110311010610</v>
      </c>
    </row>
    <row r="557" spans="1:11" s="83" customFormat="1" ht="38.25">
      <c r="A557" s="236" t="s">
        <v>1015</v>
      </c>
      <c r="B557" s="241" t="s">
        <v>69</v>
      </c>
      <c r="C557" s="242" t="s">
        <v>71</v>
      </c>
      <c r="D557" s="242" t="s">
        <v>25</v>
      </c>
      <c r="E557" s="242" t="s">
        <v>352</v>
      </c>
      <c r="F557" s="242" t="s">
        <v>67</v>
      </c>
      <c r="G557" s="235">
        <f>VLOOKUP(K557,'исх АС БЮДЖЕТ'!$A$10:$H$568,7,0)</f>
        <v>6769130</v>
      </c>
      <c r="H557" s="235">
        <f>VLOOKUP(K557,'исх АС БЮДЖЕТ'!$A$10:$H$568,8,0)</f>
        <v>6769130</v>
      </c>
      <c r="I557" s="242">
        <v>110311010</v>
      </c>
      <c r="J557" s="370" t="str">
        <f t="shared" si="71"/>
        <v>0110311010</v>
      </c>
      <c r="K557" s="30" t="str">
        <f t="shared" si="72"/>
        <v>60607090110311010611</v>
      </c>
    </row>
    <row r="558" spans="1:11" s="30" customFormat="1" ht="38.25">
      <c r="A558" s="244" t="s">
        <v>633</v>
      </c>
      <c r="B558" s="233" t="s">
        <v>69</v>
      </c>
      <c r="C558" s="234" t="s">
        <v>71</v>
      </c>
      <c r="D558" s="234" t="s">
        <v>25</v>
      </c>
      <c r="E558" s="234" t="s">
        <v>357</v>
      </c>
      <c r="F558" s="234" t="s">
        <v>58</v>
      </c>
      <c r="G558" s="235">
        <f>G559</f>
        <v>4128790</v>
      </c>
      <c r="H558" s="235">
        <f>H559</f>
        <v>4128790</v>
      </c>
      <c r="I558" s="234">
        <v>110500000</v>
      </c>
      <c r="J558" s="370" t="str">
        <f t="shared" si="71"/>
        <v>0110500000</v>
      </c>
      <c r="K558" s="30" t="str">
        <f t="shared" si="72"/>
        <v>60607090110500000000</v>
      </c>
    </row>
    <row r="559" spans="1:11" s="30" customFormat="1">
      <c r="A559" s="244" t="s">
        <v>139</v>
      </c>
      <c r="B559" s="233" t="s">
        <v>69</v>
      </c>
      <c r="C559" s="234" t="s">
        <v>71</v>
      </c>
      <c r="D559" s="234" t="s">
        <v>25</v>
      </c>
      <c r="E559" s="234" t="s">
        <v>632</v>
      </c>
      <c r="F559" s="234" t="s">
        <v>58</v>
      </c>
      <c r="G559" s="235">
        <f>G560+G562+G564</f>
        <v>4128790</v>
      </c>
      <c r="H559" s="235">
        <f>H560+H562+H564</f>
        <v>4128790</v>
      </c>
      <c r="I559" s="234">
        <v>110520240</v>
      </c>
      <c r="J559" s="370" t="str">
        <f t="shared" si="71"/>
        <v>0110520240</v>
      </c>
      <c r="K559" s="30" t="str">
        <f t="shared" si="72"/>
        <v>60607090110520240000</v>
      </c>
    </row>
    <row r="560" spans="1:11" s="30" customFormat="1" ht="25.5">
      <c r="A560" s="232" t="s">
        <v>108</v>
      </c>
      <c r="B560" s="233" t="s">
        <v>69</v>
      </c>
      <c r="C560" s="234" t="s">
        <v>71</v>
      </c>
      <c r="D560" s="234" t="s">
        <v>25</v>
      </c>
      <c r="E560" s="234" t="s">
        <v>632</v>
      </c>
      <c r="F560" s="234" t="s">
        <v>116</v>
      </c>
      <c r="G560" s="235">
        <f>G561</f>
        <v>200000</v>
      </c>
      <c r="H560" s="235">
        <f>H561</f>
        <v>200000</v>
      </c>
      <c r="I560" s="234">
        <v>110520240</v>
      </c>
      <c r="J560" s="370" t="str">
        <f t="shared" si="71"/>
        <v>0110520240</v>
      </c>
      <c r="K560" s="30" t="str">
        <f t="shared" si="72"/>
        <v>60607090110520240240</v>
      </c>
    </row>
    <row r="561" spans="1:11" s="83" customFormat="1" ht="25.5">
      <c r="A561" s="236" t="s">
        <v>973</v>
      </c>
      <c r="B561" s="233" t="s">
        <v>69</v>
      </c>
      <c r="C561" s="234" t="s">
        <v>71</v>
      </c>
      <c r="D561" s="234" t="s">
        <v>25</v>
      </c>
      <c r="E561" s="234" t="s">
        <v>632</v>
      </c>
      <c r="F561" s="234" t="s">
        <v>1043</v>
      </c>
      <c r="G561" s="235">
        <f>VLOOKUP(K561,'исх АС БЮДЖЕТ'!$A$10:$H$568,7,0)</f>
        <v>200000</v>
      </c>
      <c r="H561" s="235">
        <f>VLOOKUP(K561,'исх АС БЮДЖЕТ'!$A$10:$H$568,8,0)</f>
        <v>200000</v>
      </c>
      <c r="I561" s="234">
        <v>110520240</v>
      </c>
      <c r="J561" s="370" t="str">
        <f t="shared" si="71"/>
        <v>0110520240</v>
      </c>
      <c r="K561" s="30" t="str">
        <f t="shared" si="72"/>
        <v>60607090110520240244</v>
      </c>
    </row>
    <row r="562" spans="1:11" s="30" customFormat="1">
      <c r="A562" s="244" t="s">
        <v>92</v>
      </c>
      <c r="B562" s="233" t="s">
        <v>69</v>
      </c>
      <c r="C562" s="234" t="s">
        <v>71</v>
      </c>
      <c r="D562" s="234" t="s">
        <v>25</v>
      </c>
      <c r="E562" s="234" t="s">
        <v>632</v>
      </c>
      <c r="F562" s="234" t="s">
        <v>138</v>
      </c>
      <c r="G562" s="235">
        <f>G563</f>
        <v>3583500</v>
      </c>
      <c r="H562" s="235">
        <f>H563</f>
        <v>3583500</v>
      </c>
      <c r="I562" s="234">
        <v>110520240</v>
      </c>
      <c r="J562" s="370" t="str">
        <f t="shared" si="71"/>
        <v>0110520240</v>
      </c>
      <c r="K562" s="30" t="str">
        <f t="shared" si="72"/>
        <v>60607090110520240610</v>
      </c>
    </row>
    <row r="563" spans="1:11" s="83" customFormat="1">
      <c r="A563" s="236" t="s">
        <v>1016</v>
      </c>
      <c r="B563" s="233" t="s">
        <v>69</v>
      </c>
      <c r="C563" s="234" t="s">
        <v>71</v>
      </c>
      <c r="D563" s="234" t="s">
        <v>25</v>
      </c>
      <c r="E563" s="234" t="s">
        <v>632</v>
      </c>
      <c r="F563" s="234" t="s">
        <v>1046</v>
      </c>
      <c r="G563" s="235">
        <f>VLOOKUP(K563,'исх АС БЮДЖЕТ'!$A$10:$H$568,7,0)</f>
        <v>3583500</v>
      </c>
      <c r="H563" s="235">
        <f>VLOOKUP(K563,'исх АС БЮДЖЕТ'!$A$10:$H$568,8,0)</f>
        <v>3583500</v>
      </c>
      <c r="I563" s="234">
        <v>110520240</v>
      </c>
      <c r="J563" s="370" t="str">
        <f t="shared" si="71"/>
        <v>0110520240</v>
      </c>
      <c r="K563" s="30" t="str">
        <f t="shared" si="72"/>
        <v>60607090110520240612</v>
      </c>
    </row>
    <row r="564" spans="1:11" s="30" customFormat="1">
      <c r="A564" s="244" t="s">
        <v>93</v>
      </c>
      <c r="B564" s="233" t="s">
        <v>69</v>
      </c>
      <c r="C564" s="234" t="s">
        <v>71</v>
      </c>
      <c r="D564" s="234" t="s">
        <v>25</v>
      </c>
      <c r="E564" s="234" t="s">
        <v>632</v>
      </c>
      <c r="F564" s="234" t="s">
        <v>20</v>
      </c>
      <c r="G564" s="235">
        <f>G565</f>
        <v>345290</v>
      </c>
      <c r="H564" s="235">
        <f>H565</f>
        <v>345290</v>
      </c>
      <c r="I564" s="234">
        <v>110520240</v>
      </c>
      <c r="J564" s="370" t="str">
        <f t="shared" si="71"/>
        <v>0110520240</v>
      </c>
      <c r="K564" s="30" t="str">
        <f t="shared" si="72"/>
        <v>60607090110520240620</v>
      </c>
    </row>
    <row r="565" spans="1:11" s="83" customFormat="1">
      <c r="A565" s="236" t="s">
        <v>1019</v>
      </c>
      <c r="B565" s="233" t="s">
        <v>69</v>
      </c>
      <c r="C565" s="234" t="s">
        <v>71</v>
      </c>
      <c r="D565" s="234" t="s">
        <v>25</v>
      </c>
      <c r="E565" s="234" t="s">
        <v>632</v>
      </c>
      <c r="F565" s="234" t="s">
        <v>1054</v>
      </c>
      <c r="G565" s="235">
        <f>VLOOKUP(K565,'исх АС БЮДЖЕТ'!$A$10:$H$568,7,0)</f>
        <v>345290</v>
      </c>
      <c r="H565" s="235">
        <f>VLOOKUP(K565,'исх АС БЮДЖЕТ'!$A$10:$H$568,8,0)</f>
        <v>345290</v>
      </c>
      <c r="I565" s="234">
        <v>110520240</v>
      </c>
      <c r="J565" s="370" t="str">
        <f t="shared" si="71"/>
        <v>0110520240</v>
      </c>
      <c r="K565" s="30" t="str">
        <f t="shared" si="72"/>
        <v>60607090110520240622</v>
      </c>
    </row>
    <row r="566" spans="1:11" s="30" customFormat="1" ht="25.5">
      <c r="A566" s="237" t="s">
        <v>674</v>
      </c>
      <c r="B566" s="241" t="s">
        <v>69</v>
      </c>
      <c r="C566" s="242" t="s">
        <v>71</v>
      </c>
      <c r="D566" s="242" t="s">
        <v>25</v>
      </c>
      <c r="E566" s="242" t="s">
        <v>665</v>
      </c>
      <c r="F566" s="242" t="s">
        <v>58</v>
      </c>
      <c r="G566" s="243">
        <f>G567</f>
        <v>6945850</v>
      </c>
      <c r="H566" s="243">
        <f>H567</f>
        <v>6945850</v>
      </c>
      <c r="I566" s="242">
        <v>110800000</v>
      </c>
      <c r="J566" s="370" t="str">
        <f t="shared" si="71"/>
        <v>0110800000</v>
      </c>
      <c r="K566" s="30" t="str">
        <f t="shared" si="72"/>
        <v>60607090110800000000</v>
      </c>
    </row>
    <row r="567" spans="1:11" s="30" customFormat="1">
      <c r="A567" s="252" t="s">
        <v>247</v>
      </c>
      <c r="B567" s="241" t="s">
        <v>69</v>
      </c>
      <c r="C567" s="242" t="s">
        <v>71</v>
      </c>
      <c r="D567" s="242" t="s">
        <v>25</v>
      </c>
      <c r="E567" s="242" t="s">
        <v>666</v>
      </c>
      <c r="F567" s="242" t="s">
        <v>58</v>
      </c>
      <c r="G567" s="243">
        <f>SUM(G568:G568)</f>
        <v>6945850</v>
      </c>
      <c r="H567" s="243">
        <f>SUM(H568:H568)</f>
        <v>6945850</v>
      </c>
      <c r="I567" s="242">
        <v>110811010</v>
      </c>
      <c r="J567" s="370" t="str">
        <f t="shared" si="71"/>
        <v>0110811010</v>
      </c>
      <c r="K567" s="30" t="str">
        <f t="shared" si="72"/>
        <v>60607090110811010000</v>
      </c>
    </row>
    <row r="568" spans="1:11" s="30" customFormat="1">
      <c r="A568" s="252" t="s">
        <v>92</v>
      </c>
      <c r="B568" s="241" t="s">
        <v>69</v>
      </c>
      <c r="C568" s="242" t="s">
        <v>71</v>
      </c>
      <c r="D568" s="242" t="s">
        <v>25</v>
      </c>
      <c r="E568" s="242" t="s">
        <v>666</v>
      </c>
      <c r="F568" s="242" t="s">
        <v>138</v>
      </c>
      <c r="G568" s="235">
        <f>G569</f>
        <v>6945850</v>
      </c>
      <c r="H568" s="235">
        <f>H569</f>
        <v>6945850</v>
      </c>
      <c r="I568" s="242">
        <v>110811010</v>
      </c>
      <c r="J568" s="370" t="str">
        <f t="shared" si="71"/>
        <v>0110811010</v>
      </c>
      <c r="K568" s="30" t="str">
        <f t="shared" si="72"/>
        <v>60607090110811010610</v>
      </c>
    </row>
    <row r="569" spans="1:11" s="83" customFormat="1" ht="38.25">
      <c r="A569" s="236" t="s">
        <v>1015</v>
      </c>
      <c r="B569" s="241" t="s">
        <v>69</v>
      </c>
      <c r="C569" s="242" t="s">
        <v>71</v>
      </c>
      <c r="D569" s="242" t="s">
        <v>25</v>
      </c>
      <c r="E569" s="242" t="s">
        <v>666</v>
      </c>
      <c r="F569" s="242" t="s">
        <v>67</v>
      </c>
      <c r="G569" s="235">
        <f>VLOOKUP(K569,'исх АС БЮДЖЕТ'!$A$10:$H$568,7,0)</f>
        <v>6945850</v>
      </c>
      <c r="H569" s="235">
        <f>VLOOKUP(K569,'исх АС БЮДЖЕТ'!$A$10:$H$568,8,0)</f>
        <v>6945850</v>
      </c>
      <c r="I569" s="242">
        <v>110811010</v>
      </c>
      <c r="J569" s="370" t="str">
        <f t="shared" si="71"/>
        <v>0110811010</v>
      </c>
      <c r="K569" s="30" t="str">
        <f t="shared" si="72"/>
        <v>60607090110811010611</v>
      </c>
    </row>
    <row r="570" spans="1:11" s="30" customFormat="1" ht="51">
      <c r="A570" s="232" t="s">
        <v>756</v>
      </c>
      <c r="B570" s="233" t="s">
        <v>69</v>
      </c>
      <c r="C570" s="234" t="s">
        <v>71</v>
      </c>
      <c r="D570" s="234" t="s">
        <v>25</v>
      </c>
      <c r="E570" s="234" t="s">
        <v>339</v>
      </c>
      <c r="F570" s="234" t="s">
        <v>58</v>
      </c>
      <c r="G570" s="235">
        <f t="shared" ref="G570:H573" si="74">G571</f>
        <v>63000</v>
      </c>
      <c r="H570" s="235">
        <f t="shared" si="74"/>
        <v>63000</v>
      </c>
      <c r="I570" s="234">
        <v>1600000000</v>
      </c>
      <c r="J570" s="370" t="str">
        <f t="shared" si="71"/>
        <v>1600000000</v>
      </c>
      <c r="K570" s="30" t="str">
        <f t="shared" si="72"/>
        <v>60607091600000000000</v>
      </c>
    </row>
    <row r="571" spans="1:11" s="30" customFormat="1" ht="25.5">
      <c r="A571" s="232" t="s">
        <v>136</v>
      </c>
      <c r="B571" s="233" t="s">
        <v>69</v>
      </c>
      <c r="C571" s="234" t="s">
        <v>71</v>
      </c>
      <c r="D571" s="234" t="s">
        <v>25</v>
      </c>
      <c r="E571" s="234" t="s">
        <v>340</v>
      </c>
      <c r="F571" s="234" t="s">
        <v>58</v>
      </c>
      <c r="G571" s="235">
        <f t="shared" si="74"/>
        <v>63000</v>
      </c>
      <c r="H571" s="235">
        <f t="shared" si="74"/>
        <v>63000</v>
      </c>
      <c r="I571" s="234">
        <v>1620000000</v>
      </c>
      <c r="J571" s="370" t="str">
        <f t="shared" si="71"/>
        <v>1620000000</v>
      </c>
      <c r="K571" s="30" t="str">
        <f t="shared" si="72"/>
        <v>60607091620000000000</v>
      </c>
    </row>
    <row r="572" spans="1:11" s="30" customFormat="1" ht="25.5">
      <c r="A572" s="232" t="s">
        <v>667</v>
      </c>
      <c r="B572" s="233" t="s">
        <v>69</v>
      </c>
      <c r="C572" s="234" t="s">
        <v>71</v>
      </c>
      <c r="D572" s="234" t="s">
        <v>25</v>
      </c>
      <c r="E572" s="234" t="s">
        <v>609</v>
      </c>
      <c r="F572" s="234" t="s">
        <v>58</v>
      </c>
      <c r="G572" s="235">
        <f t="shared" si="74"/>
        <v>63000</v>
      </c>
      <c r="H572" s="235">
        <f t="shared" si="74"/>
        <v>63000</v>
      </c>
      <c r="I572" s="234">
        <v>1620200000</v>
      </c>
      <c r="J572" s="370" t="str">
        <f t="shared" si="71"/>
        <v>1620200000</v>
      </c>
      <c r="K572" s="30" t="str">
        <f t="shared" si="72"/>
        <v>60607091620200000000</v>
      </c>
    </row>
    <row r="573" spans="1:11" s="30" customFormat="1" ht="25.5">
      <c r="A573" s="232" t="s">
        <v>177</v>
      </c>
      <c r="B573" s="233" t="s">
        <v>69</v>
      </c>
      <c r="C573" s="234" t="s">
        <v>71</v>
      </c>
      <c r="D573" s="234" t="s">
        <v>25</v>
      </c>
      <c r="E573" s="234" t="s">
        <v>610</v>
      </c>
      <c r="F573" s="234" t="s">
        <v>58</v>
      </c>
      <c r="G573" s="235">
        <f t="shared" si="74"/>
        <v>63000</v>
      </c>
      <c r="H573" s="235">
        <f t="shared" si="74"/>
        <v>63000</v>
      </c>
      <c r="I573" s="234">
        <v>1620220550</v>
      </c>
      <c r="J573" s="370" t="str">
        <f t="shared" si="71"/>
        <v>1620220550</v>
      </c>
      <c r="K573" s="30" t="str">
        <f t="shared" si="72"/>
        <v>60607091620220550000</v>
      </c>
    </row>
    <row r="574" spans="1:11" s="30" customFormat="1">
      <c r="A574" s="244" t="s">
        <v>92</v>
      </c>
      <c r="B574" s="233" t="s">
        <v>69</v>
      </c>
      <c r="C574" s="234" t="s">
        <v>71</v>
      </c>
      <c r="D574" s="234" t="s">
        <v>25</v>
      </c>
      <c r="E574" s="234" t="s">
        <v>610</v>
      </c>
      <c r="F574" s="234" t="s">
        <v>138</v>
      </c>
      <c r="G574" s="235">
        <f>G575</f>
        <v>63000</v>
      </c>
      <c r="H574" s="235">
        <f>H575</f>
        <v>63000</v>
      </c>
      <c r="I574" s="234">
        <v>1620220550</v>
      </c>
      <c r="J574" s="370" t="str">
        <f t="shared" si="71"/>
        <v>1620220550</v>
      </c>
      <c r="K574" s="30" t="str">
        <f t="shared" si="72"/>
        <v>60607091620220550610</v>
      </c>
    </row>
    <row r="575" spans="1:11" s="83" customFormat="1">
      <c r="A575" s="236" t="s">
        <v>1016</v>
      </c>
      <c r="B575" s="233" t="s">
        <v>69</v>
      </c>
      <c r="C575" s="234" t="s">
        <v>71</v>
      </c>
      <c r="D575" s="234" t="s">
        <v>25</v>
      </c>
      <c r="E575" s="234" t="s">
        <v>610</v>
      </c>
      <c r="F575" s="234" t="s">
        <v>1046</v>
      </c>
      <c r="G575" s="235">
        <f>VLOOKUP(K575,'исх АС БЮДЖЕТ'!$A$10:$H$568,7,0)</f>
        <v>63000</v>
      </c>
      <c r="H575" s="235">
        <f>VLOOKUP(K575,'исх АС БЮДЖЕТ'!$A$10:$H$568,8,0)</f>
        <v>63000</v>
      </c>
      <c r="I575" s="234">
        <v>1620220550</v>
      </c>
      <c r="J575" s="370" t="str">
        <f t="shared" si="71"/>
        <v>1620220550</v>
      </c>
      <c r="K575" s="30" t="str">
        <f t="shared" si="72"/>
        <v>60607091620220550612</v>
      </c>
    </row>
    <row r="576" spans="1:11" s="30" customFormat="1" ht="25.5">
      <c r="A576" s="232" t="s">
        <v>183</v>
      </c>
      <c r="B576" s="233" t="s">
        <v>69</v>
      </c>
      <c r="C576" s="234" t="s">
        <v>71</v>
      </c>
      <c r="D576" s="234" t="s">
        <v>25</v>
      </c>
      <c r="E576" s="234" t="s">
        <v>358</v>
      </c>
      <c r="F576" s="234" t="s">
        <v>58</v>
      </c>
      <c r="G576" s="235">
        <f>G577</f>
        <v>25692810</v>
      </c>
      <c r="H576" s="235">
        <f>H577</f>
        <v>25692810</v>
      </c>
      <c r="I576" s="234">
        <v>7500000000</v>
      </c>
      <c r="J576" s="370" t="str">
        <f t="shared" si="71"/>
        <v>7500000000</v>
      </c>
      <c r="K576" s="30" t="str">
        <f t="shared" si="72"/>
        <v>60607097500000000000</v>
      </c>
    </row>
    <row r="577" spans="1:11" s="30" customFormat="1" ht="25.5">
      <c r="A577" s="232" t="s">
        <v>184</v>
      </c>
      <c r="B577" s="233" t="s">
        <v>69</v>
      </c>
      <c r="C577" s="234" t="s">
        <v>71</v>
      </c>
      <c r="D577" s="234" t="s">
        <v>25</v>
      </c>
      <c r="E577" s="234" t="s">
        <v>359</v>
      </c>
      <c r="F577" s="234" t="s">
        <v>58</v>
      </c>
      <c r="G577" s="235">
        <f>G578+G587+G591</f>
        <v>25692810</v>
      </c>
      <c r="H577" s="235">
        <f>H578+H587+H591</f>
        <v>25692810</v>
      </c>
      <c r="I577" s="234">
        <v>7510000000</v>
      </c>
      <c r="J577" s="370" t="str">
        <f t="shared" si="71"/>
        <v>7510000000</v>
      </c>
      <c r="K577" s="30" t="str">
        <f t="shared" si="72"/>
        <v>60607097510000000000</v>
      </c>
    </row>
    <row r="578" spans="1:11" s="30" customFormat="1" ht="25.5">
      <c r="A578" s="232" t="s">
        <v>114</v>
      </c>
      <c r="B578" s="233" t="s">
        <v>69</v>
      </c>
      <c r="C578" s="234" t="s">
        <v>71</v>
      </c>
      <c r="D578" s="234" t="s">
        <v>25</v>
      </c>
      <c r="E578" s="234" t="s">
        <v>360</v>
      </c>
      <c r="F578" s="234" t="s">
        <v>58</v>
      </c>
      <c r="G578" s="235">
        <f>G579+G582+G584</f>
        <v>2423810</v>
      </c>
      <c r="H578" s="235">
        <f>H579+H582+H584</f>
        <v>2423810</v>
      </c>
      <c r="I578" s="234">
        <v>7510010010</v>
      </c>
      <c r="J578" s="370" t="str">
        <f t="shared" si="71"/>
        <v>7510010010</v>
      </c>
      <c r="K578" s="30" t="str">
        <f t="shared" si="72"/>
        <v>60607097510010010000</v>
      </c>
    </row>
    <row r="579" spans="1:11" s="30" customFormat="1">
      <c r="A579" s="232" t="s">
        <v>362</v>
      </c>
      <c r="B579" s="233" t="s">
        <v>69</v>
      </c>
      <c r="C579" s="234" t="s">
        <v>71</v>
      </c>
      <c r="D579" s="234" t="s">
        <v>25</v>
      </c>
      <c r="E579" s="234" t="s">
        <v>360</v>
      </c>
      <c r="F579" s="234" t="s">
        <v>115</v>
      </c>
      <c r="G579" s="235">
        <f>SUM(G580:G581)</f>
        <v>680160</v>
      </c>
      <c r="H579" s="235">
        <f>SUM(H580:H581)</f>
        <v>680160</v>
      </c>
      <c r="I579" s="234">
        <v>7510010010</v>
      </c>
      <c r="J579" s="370" t="str">
        <f t="shared" si="71"/>
        <v>7510010010</v>
      </c>
      <c r="K579" s="30" t="str">
        <f t="shared" si="72"/>
        <v>60607097510010010120</v>
      </c>
    </row>
    <row r="580" spans="1:11" s="83" customFormat="1" ht="25.5">
      <c r="A580" s="236" t="s">
        <v>937</v>
      </c>
      <c r="B580" s="233" t="s">
        <v>69</v>
      </c>
      <c r="C580" s="234" t="s">
        <v>71</v>
      </c>
      <c r="D580" s="234" t="s">
        <v>25</v>
      </c>
      <c r="E580" s="234" t="s">
        <v>360</v>
      </c>
      <c r="F580" s="234" t="s">
        <v>1059</v>
      </c>
      <c r="G580" s="235">
        <f>VLOOKUP(K580,'исх АС БЮДЖЕТ'!$A$10:$H$568,7,0)</f>
        <v>522400</v>
      </c>
      <c r="H580" s="235">
        <f>VLOOKUP(K580,'исх АС БЮДЖЕТ'!$A$10:$H$568,8,0)</f>
        <v>522400</v>
      </c>
      <c r="I580" s="234">
        <v>7510010010</v>
      </c>
      <c r="J580" s="370" t="str">
        <f t="shared" si="71"/>
        <v>7510010010</v>
      </c>
      <c r="K580" s="30" t="str">
        <f t="shared" si="72"/>
        <v>60607097510010010122</v>
      </c>
    </row>
    <row r="581" spans="1:11" s="83" customFormat="1" ht="38.25">
      <c r="A581" s="236" t="s">
        <v>939</v>
      </c>
      <c r="B581" s="233" t="s">
        <v>69</v>
      </c>
      <c r="C581" s="234" t="s">
        <v>71</v>
      </c>
      <c r="D581" s="234" t="s">
        <v>25</v>
      </c>
      <c r="E581" s="234" t="s">
        <v>360</v>
      </c>
      <c r="F581" s="234" t="s">
        <v>1060</v>
      </c>
      <c r="G581" s="235">
        <f>VLOOKUP(K581,'исх АС БЮДЖЕТ'!$A$10:$H$568,7,0)</f>
        <v>157760</v>
      </c>
      <c r="H581" s="235">
        <f>VLOOKUP(K581,'исх АС БЮДЖЕТ'!$A$10:$H$568,8,0)</f>
        <v>157760</v>
      </c>
      <c r="I581" s="234">
        <v>7510010010</v>
      </c>
      <c r="J581" s="370" t="str">
        <f t="shared" si="71"/>
        <v>7510010010</v>
      </c>
      <c r="K581" s="30" t="str">
        <f t="shared" si="72"/>
        <v>60607097510010010129</v>
      </c>
    </row>
    <row r="582" spans="1:11" s="30" customFormat="1" ht="25.5">
      <c r="A582" s="232" t="s">
        <v>108</v>
      </c>
      <c r="B582" s="233" t="s">
        <v>69</v>
      </c>
      <c r="C582" s="234" t="s">
        <v>71</v>
      </c>
      <c r="D582" s="234" t="s">
        <v>25</v>
      </c>
      <c r="E582" s="234" t="s">
        <v>360</v>
      </c>
      <c r="F582" s="234" t="s">
        <v>116</v>
      </c>
      <c r="G582" s="235">
        <f>G583</f>
        <v>1701510</v>
      </c>
      <c r="H582" s="235">
        <f>H583</f>
        <v>1701510</v>
      </c>
      <c r="I582" s="234">
        <v>7510010010</v>
      </c>
      <c r="J582" s="370" t="str">
        <f t="shared" si="71"/>
        <v>7510010010</v>
      </c>
      <c r="K582" s="30" t="str">
        <f t="shared" si="72"/>
        <v>60607097510010010240</v>
      </c>
    </row>
    <row r="583" spans="1:11" s="83" customFormat="1" ht="25.5">
      <c r="A583" s="236" t="s">
        <v>973</v>
      </c>
      <c r="B583" s="233" t="s">
        <v>69</v>
      </c>
      <c r="C583" s="234" t="s">
        <v>71</v>
      </c>
      <c r="D583" s="234" t="s">
        <v>25</v>
      </c>
      <c r="E583" s="234" t="s">
        <v>360</v>
      </c>
      <c r="F583" s="234" t="s">
        <v>1043</v>
      </c>
      <c r="G583" s="235">
        <f>VLOOKUP(K583,'исх АС БЮДЖЕТ'!$A$10:$H$568,7,0)</f>
        <v>1701510</v>
      </c>
      <c r="H583" s="235">
        <f>VLOOKUP(K583,'исх АС БЮДЖЕТ'!$A$10:$H$568,8,0)</f>
        <v>1701510</v>
      </c>
      <c r="I583" s="234">
        <v>7510010010</v>
      </c>
      <c r="J583" s="370" t="str">
        <f t="shared" si="71"/>
        <v>7510010010</v>
      </c>
      <c r="K583" s="30" t="str">
        <f t="shared" si="72"/>
        <v>60607097510010010244</v>
      </c>
    </row>
    <row r="584" spans="1:11" s="30" customFormat="1">
      <c r="A584" s="232" t="s">
        <v>97</v>
      </c>
      <c r="B584" s="233" t="s">
        <v>69</v>
      </c>
      <c r="C584" s="234" t="s">
        <v>71</v>
      </c>
      <c r="D584" s="234" t="s">
        <v>25</v>
      </c>
      <c r="E584" s="234" t="s">
        <v>360</v>
      </c>
      <c r="F584" s="234" t="s">
        <v>118</v>
      </c>
      <c r="G584" s="235">
        <f>SUM(G585:G586)</f>
        <v>42140</v>
      </c>
      <c r="H584" s="235">
        <f>SUM(H585:H586)</f>
        <v>42140</v>
      </c>
      <c r="I584" s="234">
        <v>7510010010</v>
      </c>
      <c r="J584" s="370" t="str">
        <f t="shared" si="71"/>
        <v>7510010010</v>
      </c>
      <c r="K584" s="30" t="str">
        <f t="shared" si="72"/>
        <v>60607097510010010850</v>
      </c>
    </row>
    <row r="585" spans="1:11" s="83" customFormat="1">
      <c r="A585" s="236" t="s">
        <v>1036</v>
      </c>
      <c r="B585" s="233" t="s">
        <v>69</v>
      </c>
      <c r="C585" s="234" t="s">
        <v>71</v>
      </c>
      <c r="D585" s="234" t="s">
        <v>25</v>
      </c>
      <c r="E585" s="234" t="s">
        <v>360</v>
      </c>
      <c r="F585" s="234" t="s">
        <v>1061</v>
      </c>
      <c r="G585" s="235">
        <f>VLOOKUP(K585,'исх АС БЮДЖЕТ'!$A$10:$H$568,7,0)</f>
        <v>40240</v>
      </c>
      <c r="H585" s="235">
        <f>VLOOKUP(K585,'исх АС БЮДЖЕТ'!$A$10:$H$568,8,0)</f>
        <v>40240</v>
      </c>
      <c r="I585" s="234">
        <v>7510010010</v>
      </c>
      <c r="J585" s="370" t="str">
        <f t="shared" si="71"/>
        <v>7510010010</v>
      </c>
      <c r="K585" s="30" t="str">
        <f t="shared" si="72"/>
        <v>60607097510010010851</v>
      </c>
    </row>
    <row r="586" spans="1:11" s="83" customFormat="1">
      <c r="A586" s="236" t="s">
        <v>1037</v>
      </c>
      <c r="B586" s="233" t="s">
        <v>69</v>
      </c>
      <c r="C586" s="234" t="s">
        <v>71</v>
      </c>
      <c r="D586" s="234" t="s">
        <v>25</v>
      </c>
      <c r="E586" s="234" t="s">
        <v>360</v>
      </c>
      <c r="F586" s="234" t="s">
        <v>1062</v>
      </c>
      <c r="G586" s="235">
        <f>VLOOKUP(K586,'исх АС БЮДЖЕТ'!$A$10:$H$568,7,0)</f>
        <v>1900</v>
      </c>
      <c r="H586" s="235">
        <f>VLOOKUP(K586,'исх АС БЮДЖЕТ'!$A$10:$H$568,8,0)</f>
        <v>1900</v>
      </c>
      <c r="I586" s="234">
        <v>7510010010</v>
      </c>
      <c r="J586" s="370" t="str">
        <f t="shared" si="71"/>
        <v>7510010010</v>
      </c>
      <c r="K586" s="30" t="str">
        <f t="shared" si="72"/>
        <v>60607097510010010852</v>
      </c>
    </row>
    <row r="587" spans="1:11" s="30" customFormat="1" ht="25.5">
      <c r="A587" s="232" t="s">
        <v>126</v>
      </c>
      <c r="B587" s="233" t="s">
        <v>69</v>
      </c>
      <c r="C587" s="234" t="s">
        <v>71</v>
      </c>
      <c r="D587" s="234" t="s">
        <v>25</v>
      </c>
      <c r="E587" s="234" t="s">
        <v>361</v>
      </c>
      <c r="F587" s="234" t="s">
        <v>58</v>
      </c>
      <c r="G587" s="235">
        <f>G588</f>
        <v>21297580</v>
      </c>
      <c r="H587" s="235">
        <f>H588</f>
        <v>21297580</v>
      </c>
      <c r="I587" s="234">
        <v>7510010020</v>
      </c>
      <c r="J587" s="370" t="str">
        <f t="shared" si="71"/>
        <v>7510010020</v>
      </c>
      <c r="K587" s="30" t="str">
        <f t="shared" si="72"/>
        <v>60607097510010020000</v>
      </c>
    </row>
    <row r="588" spans="1:11" s="30" customFormat="1">
      <c r="A588" s="232" t="s">
        <v>362</v>
      </c>
      <c r="B588" s="233" t="s">
        <v>69</v>
      </c>
      <c r="C588" s="234" t="s">
        <v>71</v>
      </c>
      <c r="D588" s="234" t="s">
        <v>25</v>
      </c>
      <c r="E588" s="234" t="s">
        <v>361</v>
      </c>
      <c r="F588" s="234" t="s">
        <v>115</v>
      </c>
      <c r="G588" s="235">
        <f>SUM(G589:G590)</f>
        <v>21297580</v>
      </c>
      <c r="H588" s="235">
        <f>SUM(H589:H590)</f>
        <v>21297580</v>
      </c>
      <c r="I588" s="234">
        <v>7510010020</v>
      </c>
      <c r="J588" s="370" t="str">
        <f t="shared" si="71"/>
        <v>7510010020</v>
      </c>
      <c r="K588" s="30" t="str">
        <f t="shared" si="72"/>
        <v>60607097510010020120</v>
      </c>
    </row>
    <row r="589" spans="1:11" s="83" customFormat="1">
      <c r="A589" s="236" t="s">
        <v>936</v>
      </c>
      <c r="B589" s="233" t="s">
        <v>69</v>
      </c>
      <c r="C589" s="234" t="s">
        <v>71</v>
      </c>
      <c r="D589" s="234" t="s">
        <v>25</v>
      </c>
      <c r="E589" s="234" t="s">
        <v>361</v>
      </c>
      <c r="F589" s="234" t="s">
        <v>1063</v>
      </c>
      <c r="G589" s="235">
        <f>VLOOKUP(K589,'исх АС БЮДЖЕТ'!$A$10:$H$568,7,0)</f>
        <v>16357590</v>
      </c>
      <c r="H589" s="235">
        <f>VLOOKUP(K589,'исх АС БЮДЖЕТ'!$A$10:$H$568,8,0)</f>
        <v>16357590</v>
      </c>
      <c r="I589" s="234">
        <v>7510010020</v>
      </c>
      <c r="J589" s="370" t="str">
        <f t="shared" si="71"/>
        <v>7510010020</v>
      </c>
      <c r="K589" s="30" t="str">
        <f t="shared" si="72"/>
        <v>60607097510010020121</v>
      </c>
    </row>
    <row r="590" spans="1:11" s="83" customFormat="1" ht="38.25">
      <c r="A590" s="236" t="s">
        <v>939</v>
      </c>
      <c r="B590" s="233" t="s">
        <v>69</v>
      </c>
      <c r="C590" s="234" t="s">
        <v>71</v>
      </c>
      <c r="D590" s="234" t="s">
        <v>25</v>
      </c>
      <c r="E590" s="234" t="s">
        <v>361</v>
      </c>
      <c r="F590" s="234" t="s">
        <v>1060</v>
      </c>
      <c r="G590" s="235">
        <f>VLOOKUP(K590,'исх АС БЮДЖЕТ'!$A$10:$H$568,7,0)</f>
        <v>4939990</v>
      </c>
      <c r="H590" s="235">
        <f>VLOOKUP(K590,'исх АС БЮДЖЕТ'!$A$10:$H$568,8,0)</f>
        <v>4939990</v>
      </c>
      <c r="I590" s="234">
        <v>7510010020</v>
      </c>
      <c r="J590" s="370" t="str">
        <f t="shared" si="71"/>
        <v>7510010020</v>
      </c>
      <c r="K590" s="30" t="str">
        <f t="shared" si="72"/>
        <v>60607097510010020129</v>
      </c>
    </row>
    <row r="591" spans="1:11" s="30" customFormat="1" ht="38.25">
      <c r="A591" s="232" t="s">
        <v>598</v>
      </c>
      <c r="B591" s="233" t="s">
        <v>69</v>
      </c>
      <c r="C591" s="234" t="s">
        <v>71</v>
      </c>
      <c r="D591" s="234" t="s">
        <v>25</v>
      </c>
      <c r="E591" s="234" t="s">
        <v>363</v>
      </c>
      <c r="F591" s="234" t="s">
        <v>58</v>
      </c>
      <c r="G591" s="235">
        <f>G592</f>
        <v>1971420</v>
      </c>
      <c r="H591" s="235">
        <f>H592</f>
        <v>1971420</v>
      </c>
      <c r="I591" s="234">
        <v>7510076200</v>
      </c>
      <c r="J591" s="370" t="str">
        <f t="shared" si="71"/>
        <v>7510076200</v>
      </c>
      <c r="K591" s="30" t="str">
        <f t="shared" si="72"/>
        <v>60607097510076200000</v>
      </c>
    </row>
    <row r="592" spans="1:11" s="30" customFormat="1">
      <c r="A592" s="232" t="s">
        <v>362</v>
      </c>
      <c r="B592" s="233" t="s">
        <v>69</v>
      </c>
      <c r="C592" s="234" t="s">
        <v>71</v>
      </c>
      <c r="D592" s="234" t="s">
        <v>25</v>
      </c>
      <c r="E592" s="234" t="s">
        <v>363</v>
      </c>
      <c r="F592" s="234" t="s">
        <v>115</v>
      </c>
      <c r="G592" s="235">
        <f>SUM(G593:G595)</f>
        <v>1971420</v>
      </c>
      <c r="H592" s="235">
        <f>SUM(H593:H595)</f>
        <v>1971420</v>
      </c>
      <c r="I592" s="234">
        <v>7510076200</v>
      </c>
      <c r="J592" s="370" t="str">
        <f t="shared" si="71"/>
        <v>7510076200</v>
      </c>
      <c r="K592" s="30" t="str">
        <f t="shared" si="72"/>
        <v>60607097510076200120</v>
      </c>
    </row>
    <row r="593" spans="1:11" s="83" customFormat="1">
      <c r="A593" s="236" t="s">
        <v>936</v>
      </c>
      <c r="B593" s="233" t="s">
        <v>69</v>
      </c>
      <c r="C593" s="234" t="s">
        <v>71</v>
      </c>
      <c r="D593" s="234" t="s">
        <v>25</v>
      </c>
      <c r="E593" s="234" t="s">
        <v>363</v>
      </c>
      <c r="F593" s="234" t="s">
        <v>1063</v>
      </c>
      <c r="G593" s="235">
        <f>VLOOKUP(K593,'исх АС БЮДЖЕТ'!$A$10:$H$568,7,0)</f>
        <v>1449860</v>
      </c>
      <c r="H593" s="235">
        <f>VLOOKUP(K593,'исх АС БЮДЖЕТ'!$A$10:$H$568,8,0)</f>
        <v>1449860</v>
      </c>
      <c r="I593" s="234">
        <v>7510076200</v>
      </c>
      <c r="J593" s="370" t="str">
        <f t="shared" si="71"/>
        <v>7510076200</v>
      </c>
      <c r="K593" s="30" t="str">
        <f t="shared" si="72"/>
        <v>60607097510076200121</v>
      </c>
    </row>
    <row r="594" spans="1:11" s="83" customFormat="1" ht="25.5">
      <c r="A594" s="236" t="s">
        <v>937</v>
      </c>
      <c r="B594" s="233" t="s">
        <v>69</v>
      </c>
      <c r="C594" s="234" t="s">
        <v>71</v>
      </c>
      <c r="D594" s="234" t="s">
        <v>25</v>
      </c>
      <c r="E594" s="234" t="s">
        <v>363</v>
      </c>
      <c r="F594" s="234" t="s">
        <v>1059</v>
      </c>
      <c r="G594" s="235">
        <f>VLOOKUP(K594,'исх АС БЮДЖЕТ'!$A$10:$H$568,7,0)</f>
        <v>64430</v>
      </c>
      <c r="H594" s="235">
        <f>VLOOKUP(K594,'исх АС БЮДЖЕТ'!$A$10:$H$568,8,0)</f>
        <v>64430</v>
      </c>
      <c r="I594" s="234">
        <v>7510076200</v>
      </c>
      <c r="J594" s="370" t="str">
        <f t="shared" si="71"/>
        <v>7510076200</v>
      </c>
      <c r="K594" s="30" t="str">
        <f t="shared" si="72"/>
        <v>60607097510076200122</v>
      </c>
    </row>
    <row r="595" spans="1:11" s="83" customFormat="1" ht="38.25">
      <c r="A595" s="236" t="s">
        <v>939</v>
      </c>
      <c r="B595" s="233" t="s">
        <v>69</v>
      </c>
      <c r="C595" s="234" t="s">
        <v>71</v>
      </c>
      <c r="D595" s="234" t="s">
        <v>25</v>
      </c>
      <c r="E595" s="234" t="s">
        <v>363</v>
      </c>
      <c r="F595" s="234" t="s">
        <v>1060</v>
      </c>
      <c r="G595" s="235">
        <f>VLOOKUP(K595,'исх АС БЮДЖЕТ'!$A$10:$H$568,7,0)</f>
        <v>457130</v>
      </c>
      <c r="H595" s="235">
        <f>VLOOKUP(K595,'исх АС БЮДЖЕТ'!$A$10:$H$568,8,0)</f>
        <v>457130</v>
      </c>
      <c r="I595" s="234">
        <v>7510076200</v>
      </c>
      <c r="J595" s="370" t="str">
        <f t="shared" si="71"/>
        <v>7510076200</v>
      </c>
      <c r="K595" s="30" t="str">
        <f t="shared" si="72"/>
        <v>60607097510076200129</v>
      </c>
    </row>
    <row r="596" spans="1:11" s="30" customFormat="1">
      <c r="A596" s="224" t="s">
        <v>49</v>
      </c>
      <c r="B596" s="225" t="s">
        <v>69</v>
      </c>
      <c r="C596" s="226" t="s">
        <v>14</v>
      </c>
      <c r="D596" s="226" t="s">
        <v>51</v>
      </c>
      <c r="E596" s="226" t="s">
        <v>196</v>
      </c>
      <c r="F596" s="226" t="s">
        <v>58</v>
      </c>
      <c r="G596" s="227">
        <f t="shared" ref="G596:H598" si="75">G597</f>
        <v>114471410</v>
      </c>
      <c r="H596" s="227">
        <f t="shared" si="75"/>
        <v>114471410</v>
      </c>
      <c r="I596" s="226">
        <v>0</v>
      </c>
      <c r="J596" s="370" t="str">
        <f t="shared" si="71"/>
        <v>0000000000</v>
      </c>
      <c r="K596" s="30" t="str">
        <f t="shared" si="72"/>
        <v>60610000000000000000</v>
      </c>
    </row>
    <row r="597" spans="1:11" s="30" customFormat="1">
      <c r="A597" s="228" t="s">
        <v>22</v>
      </c>
      <c r="B597" s="229" t="s">
        <v>69</v>
      </c>
      <c r="C597" s="230" t="s">
        <v>14</v>
      </c>
      <c r="D597" s="230" t="s">
        <v>37</v>
      </c>
      <c r="E597" s="230" t="s">
        <v>196</v>
      </c>
      <c r="F597" s="230" t="s">
        <v>58</v>
      </c>
      <c r="G597" s="231">
        <f t="shared" si="75"/>
        <v>114471410</v>
      </c>
      <c r="H597" s="231">
        <f t="shared" si="75"/>
        <v>114471410</v>
      </c>
      <c r="I597" s="230">
        <v>0</v>
      </c>
      <c r="J597" s="370" t="str">
        <f t="shared" si="71"/>
        <v>0000000000</v>
      </c>
      <c r="K597" s="30" t="str">
        <f t="shared" si="72"/>
        <v>60610040000000000000</v>
      </c>
    </row>
    <row r="598" spans="1:11" s="30" customFormat="1">
      <c r="A598" s="244" t="s">
        <v>723</v>
      </c>
      <c r="B598" s="233" t="s">
        <v>69</v>
      </c>
      <c r="C598" s="234" t="s">
        <v>14</v>
      </c>
      <c r="D598" s="234" t="s">
        <v>37</v>
      </c>
      <c r="E598" s="234" t="s">
        <v>331</v>
      </c>
      <c r="F598" s="234" t="s">
        <v>58</v>
      </c>
      <c r="G598" s="235">
        <f t="shared" si="75"/>
        <v>114471410</v>
      </c>
      <c r="H598" s="235">
        <f t="shared" si="75"/>
        <v>114471410</v>
      </c>
      <c r="I598" s="234">
        <v>100000000</v>
      </c>
      <c r="J598" s="370" t="str">
        <f t="shared" si="71"/>
        <v>0100000000</v>
      </c>
      <c r="K598" s="30" t="str">
        <f t="shared" si="72"/>
        <v>60610040100000000000</v>
      </c>
    </row>
    <row r="599" spans="1:11" s="30" customFormat="1" ht="25.5">
      <c r="A599" s="244" t="s">
        <v>860</v>
      </c>
      <c r="B599" s="233" t="s">
        <v>69</v>
      </c>
      <c r="C599" s="234" t="s">
        <v>14</v>
      </c>
      <c r="D599" s="234" t="s">
        <v>37</v>
      </c>
      <c r="E599" s="234" t="s">
        <v>332</v>
      </c>
      <c r="F599" s="234" t="s">
        <v>58</v>
      </c>
      <c r="G599" s="235">
        <f>G600+G606</f>
        <v>114471410</v>
      </c>
      <c r="H599" s="235">
        <f>H600+H606</f>
        <v>114471410</v>
      </c>
      <c r="I599" s="234">
        <v>110000000</v>
      </c>
      <c r="J599" s="370" t="str">
        <f t="shared" si="71"/>
        <v>0110000000</v>
      </c>
      <c r="K599" s="30" t="str">
        <f t="shared" si="72"/>
        <v>60610040110000000000</v>
      </c>
    </row>
    <row r="600" spans="1:11" s="30" customFormat="1" ht="25.5">
      <c r="A600" s="244" t="s">
        <v>607</v>
      </c>
      <c r="B600" s="233" t="s">
        <v>69</v>
      </c>
      <c r="C600" s="234" t="s">
        <v>14</v>
      </c>
      <c r="D600" s="234" t="s">
        <v>37</v>
      </c>
      <c r="E600" s="234" t="s">
        <v>333</v>
      </c>
      <c r="F600" s="234" t="s">
        <v>58</v>
      </c>
      <c r="G600" s="235">
        <f>G601</f>
        <v>80815450</v>
      </c>
      <c r="H600" s="235">
        <f>H601</f>
        <v>80815450</v>
      </c>
      <c r="I600" s="234">
        <v>110100000</v>
      </c>
      <c r="J600" s="370" t="str">
        <f t="shared" ref="J600:J658" si="76">TEXT(I600,"0000000000")</f>
        <v>0110100000</v>
      </c>
      <c r="K600" s="30" t="str">
        <f t="shared" ref="K600:K658" si="77">CONCATENATE(B600,C600,D600,J600,F600)</f>
        <v>60610040110100000000</v>
      </c>
    </row>
    <row r="601" spans="1:11" s="30" customFormat="1" ht="38.25">
      <c r="A601" s="244" t="s">
        <v>364</v>
      </c>
      <c r="B601" s="233" t="s">
        <v>69</v>
      </c>
      <c r="C601" s="234" t="s">
        <v>14</v>
      </c>
      <c r="D601" s="234" t="s">
        <v>37</v>
      </c>
      <c r="E601" s="234" t="s">
        <v>365</v>
      </c>
      <c r="F601" s="234" t="s">
        <v>58</v>
      </c>
      <c r="G601" s="235">
        <f>G602+G604</f>
        <v>80815450</v>
      </c>
      <c r="H601" s="235">
        <f>H602+H604</f>
        <v>80815450</v>
      </c>
      <c r="I601" s="234">
        <v>110176140</v>
      </c>
      <c r="J601" s="370" t="str">
        <f t="shared" si="76"/>
        <v>0110176140</v>
      </c>
      <c r="K601" s="30" t="str">
        <f t="shared" si="77"/>
        <v>60610040110176140000</v>
      </c>
    </row>
    <row r="602" spans="1:11" s="30" customFormat="1" ht="25.5">
      <c r="A602" s="232" t="s">
        <v>108</v>
      </c>
      <c r="B602" s="233" t="s">
        <v>69</v>
      </c>
      <c r="C602" s="234" t="s">
        <v>14</v>
      </c>
      <c r="D602" s="234" t="s">
        <v>37</v>
      </c>
      <c r="E602" s="234" t="s">
        <v>365</v>
      </c>
      <c r="F602" s="234" t="s">
        <v>116</v>
      </c>
      <c r="G602" s="235">
        <f>G603</f>
        <v>1212230</v>
      </c>
      <c r="H602" s="235">
        <f>H603</f>
        <v>1212230</v>
      </c>
      <c r="I602" s="234">
        <v>110176140</v>
      </c>
      <c r="J602" s="370" t="str">
        <f t="shared" si="76"/>
        <v>0110176140</v>
      </c>
      <c r="K602" s="30" t="str">
        <f t="shared" si="77"/>
        <v>60610040110176140240</v>
      </c>
    </row>
    <row r="603" spans="1:11" s="83" customFormat="1" ht="25.5">
      <c r="A603" s="236" t="s">
        <v>973</v>
      </c>
      <c r="B603" s="233" t="s">
        <v>69</v>
      </c>
      <c r="C603" s="234" t="s">
        <v>14</v>
      </c>
      <c r="D603" s="234" t="s">
        <v>37</v>
      </c>
      <c r="E603" s="234" t="s">
        <v>365</v>
      </c>
      <c r="F603" s="234" t="s">
        <v>1043</v>
      </c>
      <c r="G603" s="235">
        <f>VLOOKUP(K603,'исх АС БЮДЖЕТ'!$A$10:$H$568,7,0)</f>
        <v>1212230</v>
      </c>
      <c r="H603" s="235">
        <f>VLOOKUP(K603,'исх АС БЮДЖЕТ'!$A$10:$H$568,8,0)</f>
        <v>1212230</v>
      </c>
      <c r="I603" s="234">
        <v>110176140</v>
      </c>
      <c r="J603" s="370" t="str">
        <f t="shared" si="76"/>
        <v>0110176140</v>
      </c>
      <c r="K603" s="30" t="str">
        <f t="shared" si="77"/>
        <v>60610040110176140244</v>
      </c>
    </row>
    <row r="604" spans="1:11" s="30" customFormat="1">
      <c r="A604" s="244" t="s">
        <v>109</v>
      </c>
      <c r="B604" s="233" t="s">
        <v>69</v>
      </c>
      <c r="C604" s="234" t="s">
        <v>14</v>
      </c>
      <c r="D604" s="234" t="s">
        <v>37</v>
      </c>
      <c r="E604" s="234" t="s">
        <v>365</v>
      </c>
      <c r="F604" s="234" t="s">
        <v>134</v>
      </c>
      <c r="G604" s="235">
        <f>G605</f>
        <v>79603220</v>
      </c>
      <c r="H604" s="235">
        <f>H605</f>
        <v>79603220</v>
      </c>
      <c r="I604" s="234">
        <v>110176140</v>
      </c>
      <c r="J604" s="370" t="str">
        <f t="shared" si="76"/>
        <v>0110176140</v>
      </c>
      <c r="K604" s="30" t="str">
        <f t="shared" si="77"/>
        <v>60610040110176140310</v>
      </c>
    </row>
    <row r="605" spans="1:11" s="83" customFormat="1" ht="25.5">
      <c r="A605" s="236" t="s">
        <v>978</v>
      </c>
      <c r="B605" s="233" t="s">
        <v>69</v>
      </c>
      <c r="C605" s="234" t="s">
        <v>14</v>
      </c>
      <c r="D605" s="234" t="s">
        <v>37</v>
      </c>
      <c r="E605" s="234" t="s">
        <v>365</v>
      </c>
      <c r="F605" s="234" t="s">
        <v>1064</v>
      </c>
      <c r="G605" s="235">
        <f>VLOOKUP(K605,'исх АС БЮДЖЕТ'!$A$10:$H$568,7,0)</f>
        <v>79603220</v>
      </c>
      <c r="H605" s="235">
        <f>VLOOKUP(K605,'исх АС БЮДЖЕТ'!$A$10:$H$568,8,0)</f>
        <v>79603220</v>
      </c>
      <c r="I605" s="234">
        <v>110176140</v>
      </c>
      <c r="J605" s="370" t="str">
        <f t="shared" si="76"/>
        <v>0110176140</v>
      </c>
      <c r="K605" s="30" t="str">
        <f t="shared" si="77"/>
        <v>60610040110176140313</v>
      </c>
    </row>
    <row r="606" spans="1:11" s="30" customFormat="1" ht="25.5">
      <c r="A606" s="244" t="s">
        <v>584</v>
      </c>
      <c r="B606" s="233" t="s">
        <v>69</v>
      </c>
      <c r="C606" s="234" t="s">
        <v>14</v>
      </c>
      <c r="D606" s="234" t="s">
        <v>37</v>
      </c>
      <c r="E606" s="234" t="s">
        <v>366</v>
      </c>
      <c r="F606" s="234" t="s">
        <v>58</v>
      </c>
      <c r="G606" s="235">
        <f>G607+G610+G613+G616</f>
        <v>33655960</v>
      </c>
      <c r="H606" s="235">
        <f>H607+H610+H613+H616</f>
        <v>33655960</v>
      </c>
      <c r="I606" s="234">
        <v>110700000</v>
      </c>
      <c r="J606" s="370" t="str">
        <f t="shared" si="76"/>
        <v>0110700000</v>
      </c>
      <c r="K606" s="30" t="str">
        <f t="shared" si="77"/>
        <v>60610040110700000000</v>
      </c>
    </row>
    <row r="607" spans="1:11" s="30" customFormat="1" ht="25.5">
      <c r="A607" s="244" t="s">
        <v>367</v>
      </c>
      <c r="B607" s="233" t="s">
        <v>69</v>
      </c>
      <c r="C607" s="234" t="s">
        <v>14</v>
      </c>
      <c r="D607" s="234" t="s">
        <v>37</v>
      </c>
      <c r="E607" s="234" t="s">
        <v>788</v>
      </c>
      <c r="F607" s="234" t="s">
        <v>58</v>
      </c>
      <c r="G607" s="235">
        <f>G608</f>
        <v>19526720</v>
      </c>
      <c r="H607" s="235">
        <f>H608</f>
        <v>19526720</v>
      </c>
      <c r="I607" s="234">
        <v>110778110</v>
      </c>
      <c r="J607" s="370" t="str">
        <f t="shared" si="76"/>
        <v>0110778110</v>
      </c>
      <c r="K607" s="30" t="str">
        <f t="shared" si="77"/>
        <v>60610040110778110000</v>
      </c>
    </row>
    <row r="608" spans="1:11" s="30" customFormat="1" ht="25.5">
      <c r="A608" s="244" t="s">
        <v>110</v>
      </c>
      <c r="B608" s="233" t="s">
        <v>69</v>
      </c>
      <c r="C608" s="234" t="s">
        <v>14</v>
      </c>
      <c r="D608" s="234" t="s">
        <v>37</v>
      </c>
      <c r="E608" s="234" t="s">
        <v>788</v>
      </c>
      <c r="F608" s="234" t="s">
        <v>117</v>
      </c>
      <c r="G608" s="235">
        <f>G609</f>
        <v>19526720</v>
      </c>
      <c r="H608" s="235">
        <f>H609</f>
        <v>19526720</v>
      </c>
      <c r="I608" s="234">
        <v>110778110</v>
      </c>
      <c r="J608" s="370" t="str">
        <f t="shared" si="76"/>
        <v>0110778110</v>
      </c>
      <c r="K608" s="30" t="str">
        <f t="shared" si="77"/>
        <v>60610040110778110320</v>
      </c>
    </row>
    <row r="609" spans="1:11" s="83" customFormat="1" ht="25.5">
      <c r="A609" s="236" t="s">
        <v>981</v>
      </c>
      <c r="B609" s="233" t="s">
        <v>69</v>
      </c>
      <c r="C609" s="234" t="s">
        <v>14</v>
      </c>
      <c r="D609" s="234" t="s">
        <v>37</v>
      </c>
      <c r="E609" s="234" t="s">
        <v>788</v>
      </c>
      <c r="F609" s="234" t="s">
        <v>1065</v>
      </c>
      <c r="G609" s="235">
        <f>VLOOKUP(K609,'исх АС БЮДЖЕТ'!$A$10:$H$568,7,0)</f>
        <v>19526720</v>
      </c>
      <c r="H609" s="235">
        <f>VLOOKUP(K609,'исх АС БЮДЖЕТ'!$A$10:$H$568,8,0)</f>
        <v>19526720</v>
      </c>
      <c r="I609" s="234">
        <v>110778110</v>
      </c>
      <c r="J609" s="370" t="str">
        <f t="shared" si="76"/>
        <v>0110778110</v>
      </c>
      <c r="K609" s="30" t="str">
        <f t="shared" si="77"/>
        <v>60610040110778110323</v>
      </c>
    </row>
    <row r="610" spans="1:11" s="30" customFormat="1" ht="38.25">
      <c r="A610" s="232" t="s">
        <v>594</v>
      </c>
      <c r="B610" s="233" t="s">
        <v>69</v>
      </c>
      <c r="C610" s="234" t="s">
        <v>14</v>
      </c>
      <c r="D610" s="234" t="s">
        <v>37</v>
      </c>
      <c r="E610" s="234" t="s">
        <v>789</v>
      </c>
      <c r="F610" s="234" t="s">
        <v>58</v>
      </c>
      <c r="G610" s="235">
        <f>G611</f>
        <v>1543310</v>
      </c>
      <c r="H610" s="235">
        <f>H611</f>
        <v>1543310</v>
      </c>
      <c r="I610" s="234">
        <v>110778120</v>
      </c>
      <c r="J610" s="370" t="str">
        <f t="shared" si="76"/>
        <v>0110778120</v>
      </c>
      <c r="K610" s="30" t="str">
        <f t="shared" si="77"/>
        <v>60610040110778120000</v>
      </c>
    </row>
    <row r="611" spans="1:11" s="30" customFormat="1" ht="25.5">
      <c r="A611" s="244" t="s">
        <v>110</v>
      </c>
      <c r="B611" s="233" t="s">
        <v>69</v>
      </c>
      <c r="C611" s="234" t="s">
        <v>14</v>
      </c>
      <c r="D611" s="234" t="s">
        <v>37</v>
      </c>
      <c r="E611" s="234" t="s">
        <v>789</v>
      </c>
      <c r="F611" s="234" t="s">
        <v>117</v>
      </c>
      <c r="G611" s="235">
        <f>G612</f>
        <v>1543310</v>
      </c>
      <c r="H611" s="235">
        <f>H612</f>
        <v>1543310</v>
      </c>
      <c r="I611" s="234">
        <v>110778120</v>
      </c>
      <c r="J611" s="370" t="str">
        <f t="shared" si="76"/>
        <v>0110778120</v>
      </c>
      <c r="K611" s="30" t="str">
        <f t="shared" si="77"/>
        <v>60610040110778120320</v>
      </c>
    </row>
    <row r="612" spans="1:11" s="83" customFormat="1" ht="25.5">
      <c r="A612" s="236" t="s">
        <v>981</v>
      </c>
      <c r="B612" s="233" t="s">
        <v>69</v>
      </c>
      <c r="C612" s="234" t="s">
        <v>14</v>
      </c>
      <c r="D612" s="234" t="s">
        <v>37</v>
      </c>
      <c r="E612" s="234" t="s">
        <v>789</v>
      </c>
      <c r="F612" s="234" t="s">
        <v>1065</v>
      </c>
      <c r="G612" s="235">
        <f>VLOOKUP(K612,'исх АС БЮДЖЕТ'!$A$10:$H$568,7,0)</f>
        <v>1543310</v>
      </c>
      <c r="H612" s="235">
        <f>VLOOKUP(K612,'исх АС БЮДЖЕТ'!$A$10:$H$568,8,0)</f>
        <v>1543310</v>
      </c>
      <c r="I612" s="234">
        <v>110778120</v>
      </c>
      <c r="J612" s="370" t="str">
        <f t="shared" si="76"/>
        <v>0110778120</v>
      </c>
      <c r="K612" s="30" t="str">
        <f t="shared" si="77"/>
        <v>60610040110778120323</v>
      </c>
    </row>
    <row r="613" spans="1:11" s="30" customFormat="1" ht="38.25">
      <c r="A613" s="232" t="s">
        <v>368</v>
      </c>
      <c r="B613" s="233" t="s">
        <v>69</v>
      </c>
      <c r="C613" s="234" t="s">
        <v>14</v>
      </c>
      <c r="D613" s="234" t="s">
        <v>37</v>
      </c>
      <c r="E613" s="234" t="s">
        <v>790</v>
      </c>
      <c r="F613" s="234" t="s">
        <v>58</v>
      </c>
      <c r="G613" s="235">
        <f>G614</f>
        <v>8310930</v>
      </c>
      <c r="H613" s="235">
        <f>H614</f>
        <v>8310930</v>
      </c>
      <c r="I613" s="234">
        <v>110778130</v>
      </c>
      <c r="J613" s="370" t="str">
        <f t="shared" si="76"/>
        <v>0110778130</v>
      </c>
      <c r="K613" s="30" t="str">
        <f t="shared" si="77"/>
        <v>60610040110778130000</v>
      </c>
    </row>
    <row r="614" spans="1:11" s="30" customFormat="1" ht="25.5">
      <c r="A614" s="244" t="s">
        <v>110</v>
      </c>
      <c r="B614" s="233" t="s">
        <v>69</v>
      </c>
      <c r="C614" s="234" t="s">
        <v>14</v>
      </c>
      <c r="D614" s="234" t="s">
        <v>37</v>
      </c>
      <c r="E614" s="234" t="s">
        <v>790</v>
      </c>
      <c r="F614" s="234" t="s">
        <v>117</v>
      </c>
      <c r="G614" s="235">
        <f>G615</f>
        <v>8310930</v>
      </c>
      <c r="H614" s="235">
        <f>H615</f>
        <v>8310930</v>
      </c>
      <c r="I614" s="234">
        <v>110778130</v>
      </c>
      <c r="J614" s="370" t="str">
        <f t="shared" si="76"/>
        <v>0110778130</v>
      </c>
      <c r="K614" s="30" t="str">
        <f t="shared" si="77"/>
        <v>60610040110778130320</v>
      </c>
    </row>
    <row r="615" spans="1:11" s="83" customFormat="1" ht="25.5">
      <c r="A615" s="236" t="s">
        <v>981</v>
      </c>
      <c r="B615" s="233" t="s">
        <v>69</v>
      </c>
      <c r="C615" s="234" t="s">
        <v>14</v>
      </c>
      <c r="D615" s="234" t="s">
        <v>37</v>
      </c>
      <c r="E615" s="234" t="s">
        <v>790</v>
      </c>
      <c r="F615" s="234" t="s">
        <v>1065</v>
      </c>
      <c r="G615" s="235">
        <f>VLOOKUP(K615,'исх АС БЮДЖЕТ'!$A$10:$H$568,7,0)</f>
        <v>8310930</v>
      </c>
      <c r="H615" s="235">
        <f>VLOOKUP(K615,'исх АС БЮДЖЕТ'!$A$10:$H$568,8,0)</f>
        <v>8310930</v>
      </c>
      <c r="I615" s="234">
        <v>110778130</v>
      </c>
      <c r="J615" s="370" t="str">
        <f t="shared" si="76"/>
        <v>0110778130</v>
      </c>
      <c r="K615" s="30" t="str">
        <f t="shared" si="77"/>
        <v>60610040110778130323</v>
      </c>
    </row>
    <row r="616" spans="1:11" s="30" customFormat="1">
      <c r="A616" s="232" t="s">
        <v>369</v>
      </c>
      <c r="B616" s="233" t="s">
        <v>69</v>
      </c>
      <c r="C616" s="234" t="s">
        <v>14</v>
      </c>
      <c r="D616" s="234" t="s">
        <v>37</v>
      </c>
      <c r="E616" s="234" t="s">
        <v>791</v>
      </c>
      <c r="F616" s="234" t="s">
        <v>58</v>
      </c>
      <c r="G616" s="235">
        <f>G617</f>
        <v>4275000</v>
      </c>
      <c r="H616" s="235">
        <f>H617</f>
        <v>4275000</v>
      </c>
      <c r="I616" s="234">
        <v>110778140</v>
      </c>
      <c r="J616" s="370" t="str">
        <f t="shared" si="76"/>
        <v>0110778140</v>
      </c>
      <c r="K616" s="30" t="str">
        <f t="shared" si="77"/>
        <v>60610040110778140000</v>
      </c>
    </row>
    <row r="617" spans="1:11" s="30" customFormat="1" ht="25.5">
      <c r="A617" s="244" t="s">
        <v>110</v>
      </c>
      <c r="B617" s="233" t="s">
        <v>69</v>
      </c>
      <c r="C617" s="234" t="s">
        <v>14</v>
      </c>
      <c r="D617" s="234" t="s">
        <v>37</v>
      </c>
      <c r="E617" s="234" t="s">
        <v>791</v>
      </c>
      <c r="F617" s="234" t="s">
        <v>117</v>
      </c>
      <c r="G617" s="235">
        <f>G618</f>
        <v>4275000</v>
      </c>
      <c r="H617" s="235">
        <f>H618</f>
        <v>4275000</v>
      </c>
      <c r="I617" s="234">
        <v>110778140</v>
      </c>
      <c r="J617" s="370" t="str">
        <f t="shared" si="76"/>
        <v>0110778140</v>
      </c>
      <c r="K617" s="30" t="str">
        <f t="shared" si="77"/>
        <v>60610040110778140320</v>
      </c>
    </row>
    <row r="618" spans="1:11" s="83" customFormat="1" ht="25.5">
      <c r="A618" s="236" t="s">
        <v>981</v>
      </c>
      <c r="B618" s="233" t="s">
        <v>69</v>
      </c>
      <c r="C618" s="234" t="s">
        <v>14</v>
      </c>
      <c r="D618" s="234" t="s">
        <v>37</v>
      </c>
      <c r="E618" s="234" t="s">
        <v>791</v>
      </c>
      <c r="F618" s="234" t="s">
        <v>1065</v>
      </c>
      <c r="G618" s="235">
        <f>VLOOKUP(K618,'исх АС БЮДЖЕТ'!$A$10:$H$568,7,0)</f>
        <v>4275000</v>
      </c>
      <c r="H618" s="235">
        <f>VLOOKUP(K618,'исх АС БЮДЖЕТ'!$A$10:$H$568,8,0)</f>
        <v>4275000</v>
      </c>
      <c r="I618" s="234">
        <v>110778140</v>
      </c>
      <c r="J618" s="370" t="str">
        <f t="shared" si="76"/>
        <v>0110778140</v>
      </c>
      <c r="K618" s="30" t="str">
        <f t="shared" si="77"/>
        <v>60610040110778140323</v>
      </c>
    </row>
    <row r="619" spans="1:11" s="83" customFormat="1">
      <c r="A619" s="236"/>
      <c r="B619" s="233"/>
      <c r="C619" s="234"/>
      <c r="D619" s="234"/>
      <c r="E619" s="234"/>
      <c r="F619" s="234"/>
      <c r="G619" s="235"/>
      <c r="H619" s="235"/>
      <c r="I619" s="234"/>
      <c r="J619" s="370"/>
      <c r="K619" s="30"/>
    </row>
    <row r="620" spans="1:11" s="3" customFormat="1">
      <c r="A620" s="219" t="s">
        <v>687</v>
      </c>
      <c r="B620" s="220" t="s">
        <v>26</v>
      </c>
      <c r="C620" s="221" t="s">
        <v>51</v>
      </c>
      <c r="D620" s="221" t="s">
        <v>51</v>
      </c>
      <c r="E620" s="221" t="s">
        <v>196</v>
      </c>
      <c r="F620" s="221" t="s">
        <v>58</v>
      </c>
      <c r="G620" s="222">
        <f>G621+G633+G715</f>
        <v>292915810</v>
      </c>
      <c r="H620" s="222">
        <f>H621+H633+H715</f>
        <v>292915810</v>
      </c>
      <c r="I620" s="221">
        <v>0</v>
      </c>
      <c r="J620" s="370" t="str">
        <f t="shared" si="76"/>
        <v>0000000000</v>
      </c>
      <c r="K620" s="30" t="str">
        <f t="shared" si="77"/>
        <v>60700000000000000000</v>
      </c>
    </row>
    <row r="621" spans="1:11" s="3" customFormat="1">
      <c r="A621" s="224" t="s">
        <v>64</v>
      </c>
      <c r="B621" s="225" t="s">
        <v>26</v>
      </c>
      <c r="C621" s="226" t="s">
        <v>65</v>
      </c>
      <c r="D621" s="226" t="s">
        <v>51</v>
      </c>
      <c r="E621" s="226" t="s">
        <v>196</v>
      </c>
      <c r="F621" s="226" t="s">
        <v>58</v>
      </c>
      <c r="G621" s="227">
        <f t="shared" ref="G621:H624" si="78">G622</f>
        <v>1386700</v>
      </c>
      <c r="H621" s="227">
        <f t="shared" si="78"/>
        <v>1386700</v>
      </c>
      <c r="I621" s="226">
        <v>0</v>
      </c>
      <c r="J621" s="370" t="str">
        <f t="shared" si="76"/>
        <v>0000000000</v>
      </c>
      <c r="K621" s="30" t="str">
        <f t="shared" si="77"/>
        <v>60701000000000000000</v>
      </c>
    </row>
    <row r="622" spans="1:11" s="3" customFormat="1">
      <c r="A622" s="228" t="s">
        <v>38</v>
      </c>
      <c r="B622" s="229" t="s">
        <v>26</v>
      </c>
      <c r="C622" s="230" t="s">
        <v>65</v>
      </c>
      <c r="D622" s="230" t="s">
        <v>84</v>
      </c>
      <c r="E622" s="230" t="s">
        <v>196</v>
      </c>
      <c r="F622" s="230" t="s">
        <v>58</v>
      </c>
      <c r="G622" s="231">
        <f t="shared" si="78"/>
        <v>1386700</v>
      </c>
      <c r="H622" s="231">
        <f t="shared" si="78"/>
        <v>1386700</v>
      </c>
      <c r="I622" s="230">
        <v>0</v>
      </c>
      <c r="J622" s="370" t="str">
        <f t="shared" si="76"/>
        <v>0000000000</v>
      </c>
      <c r="K622" s="30" t="str">
        <f t="shared" si="77"/>
        <v>60701130000000000000</v>
      </c>
    </row>
    <row r="623" spans="1:11" s="3" customFormat="1" ht="25.5">
      <c r="A623" s="232" t="s">
        <v>683</v>
      </c>
      <c r="B623" s="233" t="s">
        <v>26</v>
      </c>
      <c r="C623" s="234" t="s">
        <v>65</v>
      </c>
      <c r="D623" s="234" t="s">
        <v>84</v>
      </c>
      <c r="E623" s="234" t="s">
        <v>680</v>
      </c>
      <c r="F623" s="234" t="s">
        <v>58</v>
      </c>
      <c r="G623" s="235">
        <f t="shared" si="78"/>
        <v>1386700</v>
      </c>
      <c r="H623" s="235">
        <f t="shared" si="78"/>
        <v>1386700</v>
      </c>
      <c r="I623" s="234">
        <v>9800000000</v>
      </c>
      <c r="J623" s="370" t="str">
        <f t="shared" si="76"/>
        <v>9800000000</v>
      </c>
      <c r="K623" s="30" t="str">
        <f t="shared" si="77"/>
        <v>60701139800000000000</v>
      </c>
    </row>
    <row r="624" spans="1:11" s="3" customFormat="1">
      <c r="A624" s="232" t="s">
        <v>684</v>
      </c>
      <c r="B624" s="233" t="s">
        <v>26</v>
      </c>
      <c r="C624" s="234" t="s">
        <v>65</v>
      </c>
      <c r="D624" s="234" t="s">
        <v>84</v>
      </c>
      <c r="E624" s="234" t="s">
        <v>681</v>
      </c>
      <c r="F624" s="234" t="s">
        <v>58</v>
      </c>
      <c r="G624" s="235">
        <f t="shared" si="78"/>
        <v>1386700</v>
      </c>
      <c r="H624" s="235">
        <f t="shared" si="78"/>
        <v>1386700</v>
      </c>
      <c r="I624" s="234">
        <v>9810000000</v>
      </c>
      <c r="J624" s="370" t="str">
        <f t="shared" si="76"/>
        <v>9810000000</v>
      </c>
      <c r="K624" s="30" t="str">
        <f t="shared" si="77"/>
        <v>60701139810000000000</v>
      </c>
    </row>
    <row r="625" spans="1:11" s="3" customFormat="1">
      <c r="A625" s="232" t="s">
        <v>123</v>
      </c>
      <c r="B625" s="233" t="s">
        <v>26</v>
      </c>
      <c r="C625" s="234" t="s">
        <v>65</v>
      </c>
      <c r="D625" s="234" t="s">
        <v>84</v>
      </c>
      <c r="E625" s="234" t="s">
        <v>688</v>
      </c>
      <c r="F625" s="234" t="s">
        <v>58</v>
      </c>
      <c r="G625" s="235">
        <f>G626+G628+G629+G631</f>
        <v>1386700</v>
      </c>
      <c r="H625" s="235">
        <f>H626+H628+H629+H631</f>
        <v>1386700</v>
      </c>
      <c r="I625" s="234">
        <v>9810020110</v>
      </c>
      <c r="J625" s="370" t="str">
        <f t="shared" si="76"/>
        <v>9810020110</v>
      </c>
      <c r="K625" s="30" t="str">
        <f t="shared" si="77"/>
        <v>60701139810020110000</v>
      </c>
    </row>
    <row r="626" spans="1:11" s="3" customFormat="1" ht="25.5">
      <c r="A626" s="232" t="s">
        <v>108</v>
      </c>
      <c r="B626" s="233" t="s">
        <v>26</v>
      </c>
      <c r="C626" s="234" t="s">
        <v>65</v>
      </c>
      <c r="D626" s="234" t="s">
        <v>84</v>
      </c>
      <c r="E626" s="234" t="s">
        <v>688</v>
      </c>
      <c r="F626" s="234" t="s">
        <v>116</v>
      </c>
      <c r="G626" s="235">
        <f>G627</f>
        <v>1058300</v>
      </c>
      <c r="H626" s="235">
        <f>H627</f>
        <v>1058300</v>
      </c>
      <c r="I626" s="234">
        <v>9810020110</v>
      </c>
      <c r="J626" s="370" t="str">
        <f t="shared" si="76"/>
        <v>9810020110</v>
      </c>
      <c r="K626" s="30" t="str">
        <f t="shared" si="77"/>
        <v>60701139810020110240</v>
      </c>
    </row>
    <row r="627" spans="1:11" s="4" customFormat="1" ht="25.5">
      <c r="A627" s="236" t="s">
        <v>973</v>
      </c>
      <c r="B627" s="233" t="s">
        <v>26</v>
      </c>
      <c r="C627" s="234" t="s">
        <v>65</v>
      </c>
      <c r="D627" s="234" t="s">
        <v>84</v>
      </c>
      <c r="E627" s="234" t="s">
        <v>688</v>
      </c>
      <c r="F627" s="234" t="s">
        <v>1043</v>
      </c>
      <c r="G627" s="235">
        <f>VLOOKUP(K627,'исх АС БЮДЖЕТ'!$A$10:$H$568,7,0)</f>
        <v>1058300</v>
      </c>
      <c r="H627" s="235">
        <f>VLOOKUP(K627,'исх АС БЮДЖЕТ'!$A$10:$H$568,8,0)</f>
        <v>1058300</v>
      </c>
      <c r="I627" s="234">
        <v>9810020110</v>
      </c>
      <c r="J627" s="370" t="str">
        <f t="shared" si="76"/>
        <v>9810020110</v>
      </c>
      <c r="K627" s="30" t="str">
        <f t="shared" si="77"/>
        <v>60701139810020110244</v>
      </c>
    </row>
    <row r="628" spans="1:11" s="3" customFormat="1">
      <c r="A628" s="232" t="s">
        <v>91</v>
      </c>
      <c r="B628" s="233" t="s">
        <v>26</v>
      </c>
      <c r="C628" s="234" t="s">
        <v>65</v>
      </c>
      <c r="D628" s="234" t="s">
        <v>84</v>
      </c>
      <c r="E628" s="234" t="s">
        <v>688</v>
      </c>
      <c r="F628" s="234" t="s">
        <v>100</v>
      </c>
      <c r="G628" s="235">
        <f>VLOOKUP(K628,'исх АС БЮДЖЕТ'!$A$10:$H$568,7,0)</f>
        <v>26400</v>
      </c>
      <c r="H628" s="235">
        <f>VLOOKUP(K628,'исх АС БЮДЖЕТ'!$A$10:$H$568,8,0)</f>
        <v>26400</v>
      </c>
      <c r="I628" s="234">
        <v>9810020110</v>
      </c>
      <c r="J628" s="370" t="str">
        <f t="shared" si="76"/>
        <v>9810020110</v>
      </c>
      <c r="K628" s="30" t="str">
        <f t="shared" si="77"/>
        <v>60701139810020110360</v>
      </c>
    </row>
    <row r="629" spans="1:11" s="3" customFormat="1">
      <c r="A629" s="232" t="s">
        <v>97</v>
      </c>
      <c r="B629" s="233" t="s">
        <v>26</v>
      </c>
      <c r="C629" s="234" t="s">
        <v>65</v>
      </c>
      <c r="D629" s="234" t="s">
        <v>84</v>
      </c>
      <c r="E629" s="234" t="s">
        <v>688</v>
      </c>
      <c r="F629" s="234" t="s">
        <v>118</v>
      </c>
      <c r="G629" s="235">
        <f>G630</f>
        <v>42000</v>
      </c>
      <c r="H629" s="235">
        <f>H630</f>
        <v>42000</v>
      </c>
      <c r="I629" s="234">
        <v>9810020110</v>
      </c>
      <c r="J629" s="370" t="str">
        <f t="shared" si="76"/>
        <v>9810020110</v>
      </c>
      <c r="K629" s="30" t="str">
        <f t="shared" si="77"/>
        <v>60701139810020110850</v>
      </c>
    </row>
    <row r="630" spans="1:11" s="4" customFormat="1">
      <c r="A630" s="236" t="s">
        <v>1038</v>
      </c>
      <c r="B630" s="233" t="s">
        <v>26</v>
      </c>
      <c r="C630" s="234" t="s">
        <v>65</v>
      </c>
      <c r="D630" s="234" t="s">
        <v>84</v>
      </c>
      <c r="E630" s="234" t="s">
        <v>688</v>
      </c>
      <c r="F630" s="234" t="s">
        <v>1066</v>
      </c>
      <c r="G630" s="235">
        <f>VLOOKUP(K630,'исх АС БЮДЖЕТ'!$A$10:$H$568,7,0)</f>
        <v>42000</v>
      </c>
      <c r="H630" s="235">
        <f>VLOOKUP(K630,'исх АС БЮДЖЕТ'!$A$10:$H$568,8,0)</f>
        <v>42000</v>
      </c>
      <c r="I630" s="234">
        <v>9810020110</v>
      </c>
      <c r="J630" s="370" t="str">
        <f t="shared" si="76"/>
        <v>9810020110</v>
      </c>
      <c r="K630" s="30" t="str">
        <f t="shared" si="77"/>
        <v>60701139810020110853</v>
      </c>
    </row>
    <row r="631" spans="1:11" s="3" customFormat="1" ht="25.5">
      <c r="A631" s="232" t="s">
        <v>704</v>
      </c>
      <c r="B631" s="233" t="s">
        <v>26</v>
      </c>
      <c r="C631" s="234" t="s">
        <v>65</v>
      </c>
      <c r="D631" s="234" t="s">
        <v>84</v>
      </c>
      <c r="E631" s="234" t="s">
        <v>688</v>
      </c>
      <c r="F631" s="234" t="s">
        <v>703</v>
      </c>
      <c r="G631" s="235">
        <f>G632</f>
        <v>260000</v>
      </c>
      <c r="H631" s="235">
        <f>H632</f>
        <v>260000</v>
      </c>
      <c r="I631" s="234">
        <v>9810020110</v>
      </c>
      <c r="J631" s="370" t="str">
        <f t="shared" si="76"/>
        <v>9810020110</v>
      </c>
      <c r="K631" s="30" t="str">
        <f t="shared" si="77"/>
        <v>60701139810020110860</v>
      </c>
    </row>
    <row r="632" spans="1:11" s="4" customFormat="1">
      <c r="A632" s="236" t="s">
        <v>1041</v>
      </c>
      <c r="B632" s="233" t="s">
        <v>26</v>
      </c>
      <c r="C632" s="234" t="s">
        <v>65</v>
      </c>
      <c r="D632" s="234" t="s">
        <v>84</v>
      </c>
      <c r="E632" s="234" t="s">
        <v>688</v>
      </c>
      <c r="F632" s="234" t="s">
        <v>1067</v>
      </c>
      <c r="G632" s="235">
        <f>VLOOKUP(K632,'исх АС БЮДЖЕТ'!$A$10:$H$568,7,0)</f>
        <v>260000</v>
      </c>
      <c r="H632" s="235">
        <f>VLOOKUP(K632,'исх АС БЮДЖЕТ'!$A$10:$H$568,8,0)</f>
        <v>260000</v>
      </c>
      <c r="I632" s="234">
        <v>9810020110</v>
      </c>
      <c r="J632" s="370" t="str">
        <f t="shared" si="76"/>
        <v>9810020110</v>
      </c>
      <c r="K632" s="30" t="str">
        <f t="shared" si="77"/>
        <v>60701139810020110862</v>
      </c>
    </row>
    <row r="633" spans="1:11" s="3" customFormat="1">
      <c r="A633" s="224" t="s">
        <v>70</v>
      </c>
      <c r="B633" s="225" t="s">
        <v>26</v>
      </c>
      <c r="C633" s="226" t="s">
        <v>71</v>
      </c>
      <c r="D633" s="226" t="s">
        <v>51</v>
      </c>
      <c r="E633" s="226" t="s">
        <v>196</v>
      </c>
      <c r="F633" s="226" t="s">
        <v>58</v>
      </c>
      <c r="G633" s="227">
        <f>G634+G678</f>
        <v>126813010</v>
      </c>
      <c r="H633" s="227">
        <f>H634+H678</f>
        <v>129408970</v>
      </c>
      <c r="I633" s="226">
        <v>0</v>
      </c>
      <c r="J633" s="370" t="str">
        <f t="shared" si="76"/>
        <v>0000000000</v>
      </c>
      <c r="K633" s="30" t="str">
        <f t="shared" si="77"/>
        <v>60707000000000000000</v>
      </c>
    </row>
    <row r="634" spans="1:11" s="3" customFormat="1">
      <c r="A634" s="228" t="s">
        <v>779</v>
      </c>
      <c r="B634" s="229" t="s">
        <v>26</v>
      </c>
      <c r="C634" s="230" t="s">
        <v>71</v>
      </c>
      <c r="D634" s="230" t="s">
        <v>53</v>
      </c>
      <c r="E634" s="230" t="s">
        <v>196</v>
      </c>
      <c r="F634" s="230" t="s">
        <v>58</v>
      </c>
      <c r="G634" s="231">
        <f>G635+G664+G672</f>
        <v>120235310</v>
      </c>
      <c r="H634" s="231">
        <f>H635+H664+H672</f>
        <v>122831270</v>
      </c>
      <c r="I634" s="230">
        <v>0</v>
      </c>
      <c r="J634" s="370" t="str">
        <f t="shared" si="76"/>
        <v>0000000000</v>
      </c>
      <c r="K634" s="30" t="str">
        <f t="shared" si="77"/>
        <v>60707030000000000000</v>
      </c>
    </row>
    <row r="635" spans="1:11" s="3" customFormat="1">
      <c r="A635" s="232" t="s">
        <v>739</v>
      </c>
      <c r="B635" s="233" t="s">
        <v>26</v>
      </c>
      <c r="C635" s="234" t="s">
        <v>71</v>
      </c>
      <c r="D635" s="234" t="s">
        <v>53</v>
      </c>
      <c r="E635" s="234" t="s">
        <v>277</v>
      </c>
      <c r="F635" s="234" t="s">
        <v>58</v>
      </c>
      <c r="G635" s="235">
        <f>G636+G643</f>
        <v>118946430</v>
      </c>
      <c r="H635" s="235">
        <f>H636+H643</f>
        <v>121542390</v>
      </c>
      <c r="I635" s="234">
        <v>700000000</v>
      </c>
      <c r="J635" s="370" t="str">
        <f t="shared" si="76"/>
        <v>0700000000</v>
      </c>
      <c r="K635" s="30" t="str">
        <f t="shared" si="77"/>
        <v>60707030700000000000</v>
      </c>
    </row>
    <row r="636" spans="1:11" s="3" customFormat="1" ht="38.25">
      <c r="A636" s="232" t="s">
        <v>191</v>
      </c>
      <c r="B636" s="233" t="s">
        <v>26</v>
      </c>
      <c r="C636" s="234" t="s">
        <v>71</v>
      </c>
      <c r="D636" s="234" t="s">
        <v>53</v>
      </c>
      <c r="E636" s="234" t="s">
        <v>278</v>
      </c>
      <c r="F636" s="234" t="s">
        <v>58</v>
      </c>
      <c r="G636" s="235">
        <f t="shared" ref="G636:H637" si="79">G637</f>
        <v>412000</v>
      </c>
      <c r="H636" s="235">
        <f t="shared" si="79"/>
        <v>412000</v>
      </c>
      <c r="I636" s="234">
        <v>710000000</v>
      </c>
      <c r="J636" s="370" t="str">
        <f t="shared" si="76"/>
        <v>0710000000</v>
      </c>
      <c r="K636" s="30" t="str">
        <f t="shared" si="77"/>
        <v>60707030710000000000</v>
      </c>
    </row>
    <row r="637" spans="1:11" s="3" customFormat="1" ht="51">
      <c r="A637" s="232" t="s">
        <v>605</v>
      </c>
      <c r="B637" s="233" t="s">
        <v>26</v>
      </c>
      <c r="C637" s="234" t="s">
        <v>71</v>
      </c>
      <c r="D637" s="234" t="s">
        <v>53</v>
      </c>
      <c r="E637" s="234" t="s">
        <v>279</v>
      </c>
      <c r="F637" s="234" t="s">
        <v>58</v>
      </c>
      <c r="G637" s="235">
        <f t="shared" si="79"/>
        <v>412000</v>
      </c>
      <c r="H637" s="235">
        <f t="shared" si="79"/>
        <v>412000</v>
      </c>
      <c r="I637" s="234">
        <v>710100000</v>
      </c>
      <c r="J637" s="370" t="str">
        <f t="shared" si="76"/>
        <v>0710100000</v>
      </c>
      <c r="K637" s="30" t="str">
        <f t="shared" si="77"/>
        <v>60707030710100000000</v>
      </c>
    </row>
    <row r="638" spans="1:11" s="3" customFormat="1">
      <c r="A638" s="232" t="s">
        <v>161</v>
      </c>
      <c r="B638" s="233" t="s">
        <v>26</v>
      </c>
      <c r="C638" s="234" t="s">
        <v>71</v>
      </c>
      <c r="D638" s="234" t="s">
        <v>53</v>
      </c>
      <c r="E638" s="234" t="s">
        <v>320</v>
      </c>
      <c r="F638" s="234" t="s">
        <v>58</v>
      </c>
      <c r="G638" s="235">
        <f>G639+G641</f>
        <v>412000</v>
      </c>
      <c r="H638" s="235">
        <f>H639+H641</f>
        <v>412000</v>
      </c>
      <c r="I638" s="234">
        <v>710120060</v>
      </c>
      <c r="J638" s="370" t="str">
        <f t="shared" si="76"/>
        <v>0710120060</v>
      </c>
      <c r="K638" s="30" t="str">
        <f t="shared" si="77"/>
        <v>60707030710120060000</v>
      </c>
    </row>
    <row r="639" spans="1:11" s="3" customFormat="1">
      <c r="A639" s="244" t="s">
        <v>92</v>
      </c>
      <c r="B639" s="233" t="s">
        <v>26</v>
      </c>
      <c r="C639" s="234" t="s">
        <v>71</v>
      </c>
      <c r="D639" s="234" t="s">
        <v>53</v>
      </c>
      <c r="E639" s="234" t="s">
        <v>320</v>
      </c>
      <c r="F639" s="234" t="s">
        <v>138</v>
      </c>
      <c r="G639" s="235">
        <f>G640</f>
        <v>347000</v>
      </c>
      <c r="H639" s="235">
        <f>H640</f>
        <v>347000</v>
      </c>
      <c r="I639" s="234">
        <v>710120060</v>
      </c>
      <c r="J639" s="370" t="str">
        <f t="shared" si="76"/>
        <v>0710120060</v>
      </c>
      <c r="K639" s="30" t="str">
        <f t="shared" si="77"/>
        <v>60707030710120060610</v>
      </c>
    </row>
    <row r="640" spans="1:11" s="4" customFormat="1" ht="38.25">
      <c r="A640" s="236" t="s">
        <v>1015</v>
      </c>
      <c r="B640" s="233" t="s">
        <v>26</v>
      </c>
      <c r="C640" s="234" t="s">
        <v>71</v>
      </c>
      <c r="D640" s="234" t="s">
        <v>53</v>
      </c>
      <c r="E640" s="234" t="s">
        <v>320</v>
      </c>
      <c r="F640" s="234" t="s">
        <v>67</v>
      </c>
      <c r="G640" s="235">
        <f>VLOOKUP(K640,'исх АС БЮДЖЕТ'!$A$10:$H$568,7,0)</f>
        <v>347000</v>
      </c>
      <c r="H640" s="235">
        <f>VLOOKUP(K640,'исх АС БЮДЖЕТ'!$A$10:$H$568,8,0)</f>
        <v>347000</v>
      </c>
      <c r="I640" s="234">
        <v>710120060</v>
      </c>
      <c r="J640" s="370" t="str">
        <f t="shared" si="76"/>
        <v>0710120060</v>
      </c>
      <c r="K640" s="30" t="str">
        <f t="shared" si="77"/>
        <v>60707030710120060611</v>
      </c>
    </row>
    <row r="641" spans="1:11" s="3" customFormat="1">
      <c r="A641" s="252" t="s">
        <v>93</v>
      </c>
      <c r="B641" s="233" t="s">
        <v>26</v>
      </c>
      <c r="C641" s="234" t="s">
        <v>71</v>
      </c>
      <c r="D641" s="234" t="s">
        <v>53</v>
      </c>
      <c r="E641" s="234" t="s">
        <v>320</v>
      </c>
      <c r="F641" s="234" t="s">
        <v>20</v>
      </c>
      <c r="G641" s="235">
        <f>G642</f>
        <v>65000</v>
      </c>
      <c r="H641" s="235">
        <f>H642</f>
        <v>65000</v>
      </c>
      <c r="I641" s="234">
        <v>710120060</v>
      </c>
      <c r="J641" s="370" t="str">
        <f t="shared" si="76"/>
        <v>0710120060</v>
      </c>
      <c r="K641" s="30" t="str">
        <f t="shared" si="77"/>
        <v>60707030710120060620</v>
      </c>
    </row>
    <row r="642" spans="1:11" s="4" customFormat="1" ht="38.25">
      <c r="A642" s="236" t="s">
        <v>1018</v>
      </c>
      <c r="B642" s="233" t="s">
        <v>26</v>
      </c>
      <c r="C642" s="234" t="s">
        <v>71</v>
      </c>
      <c r="D642" s="234" t="s">
        <v>53</v>
      </c>
      <c r="E642" s="234" t="s">
        <v>320</v>
      </c>
      <c r="F642" s="234" t="s">
        <v>16</v>
      </c>
      <c r="G642" s="235">
        <f>VLOOKUP(K642,'исх АС БЮДЖЕТ'!$A$10:$H$568,7,0)</f>
        <v>65000</v>
      </c>
      <c r="H642" s="235">
        <f>VLOOKUP(K642,'исх АС БЮДЖЕТ'!$A$10:$H$568,8,0)</f>
        <v>65000</v>
      </c>
      <c r="I642" s="234">
        <v>710120060</v>
      </c>
      <c r="J642" s="370" t="str">
        <f t="shared" si="76"/>
        <v>0710120060</v>
      </c>
      <c r="K642" s="30" t="str">
        <f t="shared" si="77"/>
        <v>60707030710120060621</v>
      </c>
    </row>
    <row r="643" spans="1:11" s="3" customFormat="1">
      <c r="A643" s="232" t="s">
        <v>140</v>
      </c>
      <c r="B643" s="233" t="s">
        <v>26</v>
      </c>
      <c r="C643" s="234" t="s">
        <v>71</v>
      </c>
      <c r="D643" s="234" t="s">
        <v>53</v>
      </c>
      <c r="E643" s="234" t="s">
        <v>372</v>
      </c>
      <c r="F643" s="234" t="s">
        <v>58</v>
      </c>
      <c r="G643" s="235">
        <f>G644+G654+G658+G650</f>
        <v>118534430</v>
      </c>
      <c r="H643" s="235">
        <f>H644+H654+H658+H650</f>
        <v>121130390</v>
      </c>
      <c r="I643" s="234">
        <v>720000000</v>
      </c>
      <c r="J643" s="370" t="str">
        <f t="shared" si="76"/>
        <v>0720000000</v>
      </c>
      <c r="K643" s="30" t="str">
        <f t="shared" si="77"/>
        <v>60707030720000000000</v>
      </c>
    </row>
    <row r="644" spans="1:11" s="3" customFormat="1" ht="25.5">
      <c r="A644" s="232" t="s">
        <v>780</v>
      </c>
      <c r="B644" s="233" t="s">
        <v>26</v>
      </c>
      <c r="C644" s="234" t="s">
        <v>71</v>
      </c>
      <c r="D644" s="234" t="s">
        <v>53</v>
      </c>
      <c r="E644" s="234" t="s">
        <v>373</v>
      </c>
      <c r="F644" s="234" t="s">
        <v>58</v>
      </c>
      <c r="G644" s="235">
        <f>G645</f>
        <v>118166030</v>
      </c>
      <c r="H644" s="235">
        <f>H645</f>
        <v>118166030</v>
      </c>
      <c r="I644" s="234">
        <v>720100000</v>
      </c>
      <c r="J644" s="370" t="str">
        <f t="shared" si="76"/>
        <v>0720100000</v>
      </c>
      <c r="K644" s="30" t="str">
        <f t="shared" si="77"/>
        <v>60707030720100000000</v>
      </c>
    </row>
    <row r="645" spans="1:11" s="3" customFormat="1">
      <c r="A645" s="232" t="s">
        <v>247</v>
      </c>
      <c r="B645" s="233" t="s">
        <v>26</v>
      </c>
      <c r="C645" s="234" t="s">
        <v>71</v>
      </c>
      <c r="D645" s="234" t="s">
        <v>53</v>
      </c>
      <c r="E645" s="234" t="s">
        <v>374</v>
      </c>
      <c r="F645" s="234" t="s">
        <v>58</v>
      </c>
      <c r="G645" s="235">
        <f>G646+G648</f>
        <v>118166030</v>
      </c>
      <c r="H645" s="235">
        <f>H646+H648</f>
        <v>118166030</v>
      </c>
      <c r="I645" s="234">
        <v>720111010</v>
      </c>
      <c r="J645" s="370" t="str">
        <f t="shared" si="76"/>
        <v>0720111010</v>
      </c>
      <c r="K645" s="30" t="str">
        <f t="shared" si="77"/>
        <v>60707030720111010000</v>
      </c>
    </row>
    <row r="646" spans="1:11" s="3" customFormat="1">
      <c r="A646" s="244" t="s">
        <v>92</v>
      </c>
      <c r="B646" s="233" t="s">
        <v>26</v>
      </c>
      <c r="C646" s="234" t="s">
        <v>71</v>
      </c>
      <c r="D646" s="234" t="s">
        <v>53</v>
      </c>
      <c r="E646" s="234" t="s">
        <v>374</v>
      </c>
      <c r="F646" s="234" t="s">
        <v>138</v>
      </c>
      <c r="G646" s="235">
        <f>G647</f>
        <v>104835600</v>
      </c>
      <c r="H646" s="235">
        <f>H647</f>
        <v>104835600</v>
      </c>
      <c r="I646" s="234">
        <v>720111010</v>
      </c>
      <c r="J646" s="370" t="str">
        <f t="shared" si="76"/>
        <v>0720111010</v>
      </c>
      <c r="K646" s="30" t="str">
        <f t="shared" si="77"/>
        <v>60707030720111010610</v>
      </c>
    </row>
    <row r="647" spans="1:11" s="4" customFormat="1" ht="38.25">
      <c r="A647" s="236" t="s">
        <v>1015</v>
      </c>
      <c r="B647" s="233" t="s">
        <v>26</v>
      </c>
      <c r="C647" s="234" t="s">
        <v>71</v>
      </c>
      <c r="D647" s="234" t="s">
        <v>53</v>
      </c>
      <c r="E647" s="234" t="s">
        <v>374</v>
      </c>
      <c r="F647" s="234" t="s">
        <v>67</v>
      </c>
      <c r="G647" s="235">
        <f>VLOOKUP(K647,'исх АС БЮДЖЕТ'!$A$10:$H$568,7,0)</f>
        <v>104835600</v>
      </c>
      <c r="H647" s="235">
        <f>VLOOKUP(K647,'исх АС БЮДЖЕТ'!$A$10:$H$568,8,0)</f>
        <v>104835600</v>
      </c>
      <c r="I647" s="234">
        <v>720111010</v>
      </c>
      <c r="J647" s="370" t="str">
        <f t="shared" si="76"/>
        <v>0720111010</v>
      </c>
      <c r="K647" s="30" t="str">
        <f t="shared" si="77"/>
        <v>60707030720111010611</v>
      </c>
    </row>
    <row r="648" spans="1:11" s="30" customFormat="1">
      <c r="A648" s="244" t="s">
        <v>93</v>
      </c>
      <c r="B648" s="233" t="s">
        <v>26</v>
      </c>
      <c r="C648" s="234" t="s">
        <v>71</v>
      </c>
      <c r="D648" s="234" t="s">
        <v>53</v>
      </c>
      <c r="E648" s="234" t="s">
        <v>374</v>
      </c>
      <c r="F648" s="234" t="s">
        <v>20</v>
      </c>
      <c r="G648" s="235">
        <f>G649</f>
        <v>13330430</v>
      </c>
      <c r="H648" s="235">
        <f>H649</f>
        <v>13330430</v>
      </c>
      <c r="I648" s="234">
        <v>720111010</v>
      </c>
      <c r="J648" s="370" t="str">
        <f t="shared" si="76"/>
        <v>0720111010</v>
      </c>
      <c r="K648" s="30" t="str">
        <f t="shared" si="77"/>
        <v>60707030720111010620</v>
      </c>
    </row>
    <row r="649" spans="1:11" s="83" customFormat="1" ht="38.25">
      <c r="A649" s="236" t="s">
        <v>1018</v>
      </c>
      <c r="B649" s="233" t="s">
        <v>26</v>
      </c>
      <c r="C649" s="234" t="s">
        <v>71</v>
      </c>
      <c r="D649" s="234" t="s">
        <v>53</v>
      </c>
      <c r="E649" s="234" t="s">
        <v>374</v>
      </c>
      <c r="F649" s="234" t="s">
        <v>16</v>
      </c>
      <c r="G649" s="235">
        <f>VLOOKUP(K649,'исх АС БЮДЖЕТ'!$A$10:$H$568,7,0)</f>
        <v>13330430</v>
      </c>
      <c r="H649" s="235">
        <f>VLOOKUP(K649,'исх АС БЮДЖЕТ'!$A$10:$H$568,8,0)</f>
        <v>13330430</v>
      </c>
      <c r="I649" s="234">
        <v>720111010</v>
      </c>
      <c r="J649" s="370" t="str">
        <f t="shared" si="76"/>
        <v>0720111010</v>
      </c>
      <c r="K649" s="30" t="str">
        <f t="shared" si="77"/>
        <v>60707030720111010621</v>
      </c>
    </row>
    <row r="650" spans="1:11" s="83" customFormat="1" ht="38.25">
      <c r="A650" s="232" t="s">
        <v>621</v>
      </c>
      <c r="B650" s="233" t="s">
        <v>26</v>
      </c>
      <c r="C650" s="234" t="s">
        <v>71</v>
      </c>
      <c r="D650" s="234" t="s">
        <v>53</v>
      </c>
      <c r="E650" s="234" t="s">
        <v>375</v>
      </c>
      <c r="F650" s="234" t="s">
        <v>58</v>
      </c>
      <c r="G650" s="235">
        <f t="shared" ref="G650:H652" si="80">G651</f>
        <v>0</v>
      </c>
      <c r="H650" s="235">
        <f t="shared" si="80"/>
        <v>2595960</v>
      </c>
      <c r="I650" s="234">
        <v>720600000</v>
      </c>
      <c r="J650" s="370" t="str">
        <f t="shared" si="76"/>
        <v>0720600000</v>
      </c>
      <c r="K650" s="30" t="str">
        <f t="shared" si="77"/>
        <v>60707030720600000000</v>
      </c>
    </row>
    <row r="651" spans="1:11" s="83" customFormat="1" ht="25.5">
      <c r="A651" s="232" t="s">
        <v>162</v>
      </c>
      <c r="B651" s="233" t="s">
        <v>26</v>
      </c>
      <c r="C651" s="234" t="s">
        <v>71</v>
      </c>
      <c r="D651" s="234" t="s">
        <v>53</v>
      </c>
      <c r="E651" s="234" t="s">
        <v>376</v>
      </c>
      <c r="F651" s="234" t="s">
        <v>58</v>
      </c>
      <c r="G651" s="235">
        <f t="shared" si="80"/>
        <v>0</v>
      </c>
      <c r="H651" s="235">
        <f t="shared" si="80"/>
        <v>2595960</v>
      </c>
      <c r="I651" s="234">
        <v>720620400</v>
      </c>
      <c r="J651" s="370" t="str">
        <f t="shared" si="76"/>
        <v>0720620400</v>
      </c>
      <c r="K651" s="30" t="str">
        <f t="shared" si="77"/>
        <v>60707030720620400000</v>
      </c>
    </row>
    <row r="652" spans="1:11" s="83" customFormat="1">
      <c r="A652" s="244" t="s">
        <v>92</v>
      </c>
      <c r="B652" s="233" t="s">
        <v>26</v>
      </c>
      <c r="C652" s="234" t="s">
        <v>71</v>
      </c>
      <c r="D652" s="234" t="s">
        <v>53</v>
      </c>
      <c r="E652" s="234" t="s">
        <v>376</v>
      </c>
      <c r="F652" s="234" t="s">
        <v>138</v>
      </c>
      <c r="G652" s="235">
        <f t="shared" si="80"/>
        <v>0</v>
      </c>
      <c r="H652" s="235">
        <f t="shared" si="80"/>
        <v>2595960</v>
      </c>
      <c r="I652" s="234">
        <v>720620400</v>
      </c>
      <c r="J652" s="370" t="str">
        <f t="shared" si="76"/>
        <v>0720620400</v>
      </c>
      <c r="K652" s="30" t="str">
        <f t="shared" si="77"/>
        <v>60707030720620400610</v>
      </c>
    </row>
    <row r="653" spans="1:11" s="83" customFormat="1">
      <c r="A653" s="232" t="s">
        <v>1016</v>
      </c>
      <c r="B653" s="233" t="s">
        <v>26</v>
      </c>
      <c r="C653" s="234" t="s">
        <v>71</v>
      </c>
      <c r="D653" s="234" t="s">
        <v>53</v>
      </c>
      <c r="E653" s="234" t="s">
        <v>376</v>
      </c>
      <c r="F653" s="234" t="s">
        <v>1046</v>
      </c>
      <c r="G653" s="235">
        <f>VLOOKUP(K653,'исх АС БЮДЖЕТ'!$A$10:$H$568,7,0)</f>
        <v>0</v>
      </c>
      <c r="H653" s="235">
        <f>VLOOKUP(K653,'исх АС БЮДЖЕТ'!$A$10:$H$568,8,0)</f>
        <v>2595960</v>
      </c>
      <c r="I653" s="234">
        <v>720620400</v>
      </c>
      <c r="J653" s="370" t="str">
        <f t="shared" si="76"/>
        <v>0720620400</v>
      </c>
      <c r="K653" s="30" t="str">
        <f t="shared" si="77"/>
        <v>60707030720620400612</v>
      </c>
    </row>
    <row r="654" spans="1:11" s="3" customFormat="1" ht="63.75">
      <c r="A654" s="244" t="s">
        <v>850</v>
      </c>
      <c r="B654" s="233" t="s">
        <v>26</v>
      </c>
      <c r="C654" s="234" t="s">
        <v>71</v>
      </c>
      <c r="D654" s="234" t="s">
        <v>53</v>
      </c>
      <c r="E654" s="234" t="s">
        <v>622</v>
      </c>
      <c r="F654" s="234" t="s">
        <v>58</v>
      </c>
      <c r="G654" s="235">
        <f t="shared" ref="G654:H655" si="81">G655</f>
        <v>150000</v>
      </c>
      <c r="H654" s="235">
        <f t="shared" si="81"/>
        <v>150000</v>
      </c>
      <c r="I654" s="234">
        <v>720800000</v>
      </c>
      <c r="J654" s="370" t="str">
        <f t="shared" si="76"/>
        <v>0720800000</v>
      </c>
      <c r="K654" s="30" t="str">
        <f t="shared" si="77"/>
        <v>60707030720800000000</v>
      </c>
    </row>
    <row r="655" spans="1:11" s="3" customFormat="1" ht="63.75">
      <c r="A655" s="232" t="s">
        <v>853</v>
      </c>
      <c r="B655" s="233" t="s">
        <v>26</v>
      </c>
      <c r="C655" s="234" t="s">
        <v>71</v>
      </c>
      <c r="D655" s="234" t="s">
        <v>53</v>
      </c>
      <c r="E655" s="234" t="s">
        <v>623</v>
      </c>
      <c r="F655" s="234" t="s">
        <v>58</v>
      </c>
      <c r="G655" s="235">
        <f t="shared" si="81"/>
        <v>150000</v>
      </c>
      <c r="H655" s="235">
        <f t="shared" si="81"/>
        <v>150000</v>
      </c>
      <c r="I655" s="234">
        <v>720821230</v>
      </c>
      <c r="J655" s="370" t="str">
        <f t="shared" si="76"/>
        <v>0720821230</v>
      </c>
      <c r="K655" s="30" t="str">
        <f t="shared" si="77"/>
        <v>60707030720821230000</v>
      </c>
    </row>
    <row r="656" spans="1:11" s="3" customFormat="1">
      <c r="A656" s="244" t="s">
        <v>92</v>
      </c>
      <c r="B656" s="233" t="s">
        <v>26</v>
      </c>
      <c r="C656" s="234" t="s">
        <v>71</v>
      </c>
      <c r="D656" s="234" t="s">
        <v>53</v>
      </c>
      <c r="E656" s="234" t="s">
        <v>623</v>
      </c>
      <c r="F656" s="234" t="s">
        <v>138</v>
      </c>
      <c r="G656" s="235">
        <f>G657</f>
        <v>150000</v>
      </c>
      <c r="H656" s="235">
        <f>H657</f>
        <v>150000</v>
      </c>
      <c r="I656" s="234">
        <v>720821230</v>
      </c>
      <c r="J656" s="370" t="str">
        <f t="shared" si="76"/>
        <v>0720821230</v>
      </c>
      <c r="K656" s="30" t="str">
        <f t="shared" si="77"/>
        <v>60707030720821230610</v>
      </c>
    </row>
    <row r="657" spans="1:11" s="4" customFormat="1">
      <c r="A657" s="232" t="s">
        <v>1016</v>
      </c>
      <c r="B657" s="233" t="s">
        <v>26</v>
      </c>
      <c r="C657" s="234" t="s">
        <v>71</v>
      </c>
      <c r="D657" s="234" t="s">
        <v>53</v>
      </c>
      <c r="E657" s="234" t="s">
        <v>623</v>
      </c>
      <c r="F657" s="234" t="s">
        <v>1046</v>
      </c>
      <c r="G657" s="235">
        <f>VLOOKUP(K657,'исх АС БЮДЖЕТ'!$A$10:$H$568,7,0)</f>
        <v>150000</v>
      </c>
      <c r="H657" s="235">
        <f>VLOOKUP(K657,'исх АС БЮДЖЕТ'!$A$10:$H$568,8,0)</f>
        <v>150000</v>
      </c>
      <c r="I657" s="234">
        <v>720821230</v>
      </c>
      <c r="J657" s="370" t="str">
        <f t="shared" si="76"/>
        <v>0720821230</v>
      </c>
      <c r="K657" s="30" t="str">
        <f t="shared" si="77"/>
        <v>60707030720821230612</v>
      </c>
    </row>
    <row r="658" spans="1:11" s="3" customFormat="1" ht="25.5">
      <c r="A658" s="244" t="s">
        <v>854</v>
      </c>
      <c r="B658" s="233" t="s">
        <v>26</v>
      </c>
      <c r="C658" s="234" t="s">
        <v>71</v>
      </c>
      <c r="D658" s="234" t="s">
        <v>53</v>
      </c>
      <c r="E658" s="234" t="s">
        <v>624</v>
      </c>
      <c r="F658" s="234" t="s">
        <v>58</v>
      </c>
      <c r="G658" s="235">
        <f>G659</f>
        <v>218400</v>
      </c>
      <c r="H658" s="235">
        <f>H659</f>
        <v>218400</v>
      </c>
      <c r="I658" s="234">
        <v>720900000</v>
      </c>
      <c r="J658" s="370" t="str">
        <f t="shared" si="76"/>
        <v>0720900000</v>
      </c>
      <c r="K658" s="30" t="str">
        <f t="shared" si="77"/>
        <v>60707030720900000000</v>
      </c>
    </row>
    <row r="659" spans="1:11" s="3" customFormat="1" ht="25.5">
      <c r="A659" s="244" t="s">
        <v>855</v>
      </c>
      <c r="B659" s="233" t="s">
        <v>26</v>
      </c>
      <c r="C659" s="234" t="s">
        <v>71</v>
      </c>
      <c r="D659" s="234" t="s">
        <v>53</v>
      </c>
      <c r="E659" s="234" t="s">
        <v>690</v>
      </c>
      <c r="F659" s="234" t="s">
        <v>58</v>
      </c>
      <c r="G659" s="235">
        <f>G660+G662</f>
        <v>218400</v>
      </c>
      <c r="H659" s="235">
        <f>H660+H662</f>
        <v>218400</v>
      </c>
      <c r="I659" s="234">
        <v>720921280</v>
      </c>
      <c r="J659" s="370" t="str">
        <f t="shared" ref="J659:J716" si="82">TEXT(I659,"0000000000")</f>
        <v>0720921280</v>
      </c>
      <c r="K659" s="30" t="str">
        <f t="shared" ref="K659:K716" si="83">CONCATENATE(B659,C659,D659,J659,F659)</f>
        <v>60707030720921280000</v>
      </c>
    </row>
    <row r="660" spans="1:11" s="3" customFormat="1">
      <c r="A660" s="244" t="s">
        <v>92</v>
      </c>
      <c r="B660" s="233" t="s">
        <v>26</v>
      </c>
      <c r="C660" s="234" t="s">
        <v>71</v>
      </c>
      <c r="D660" s="234" t="s">
        <v>53</v>
      </c>
      <c r="E660" s="234" t="s">
        <v>690</v>
      </c>
      <c r="F660" s="234" t="s">
        <v>138</v>
      </c>
      <c r="G660" s="235">
        <f>G661</f>
        <v>163800</v>
      </c>
      <c r="H660" s="235">
        <f>H661</f>
        <v>163800</v>
      </c>
      <c r="I660" s="234">
        <v>720921280</v>
      </c>
      <c r="J660" s="370" t="str">
        <f t="shared" si="82"/>
        <v>0720921280</v>
      </c>
      <c r="K660" s="30" t="str">
        <f t="shared" si="83"/>
        <v>60707030720921280610</v>
      </c>
    </row>
    <row r="661" spans="1:11" s="4" customFormat="1">
      <c r="A661" s="232" t="s">
        <v>1016</v>
      </c>
      <c r="B661" s="233" t="s">
        <v>26</v>
      </c>
      <c r="C661" s="234" t="s">
        <v>71</v>
      </c>
      <c r="D661" s="234" t="s">
        <v>53</v>
      </c>
      <c r="E661" s="234" t="s">
        <v>690</v>
      </c>
      <c r="F661" s="234" t="s">
        <v>1046</v>
      </c>
      <c r="G661" s="235">
        <f>VLOOKUP(K661,'исх АС БЮДЖЕТ'!$A$10:$H$568,7,0)</f>
        <v>163800</v>
      </c>
      <c r="H661" s="235">
        <f>VLOOKUP(K661,'исх АС БЮДЖЕТ'!$A$10:$H$568,8,0)</f>
        <v>163800</v>
      </c>
      <c r="I661" s="234">
        <v>720921280</v>
      </c>
      <c r="J661" s="370" t="str">
        <f t="shared" si="82"/>
        <v>0720921280</v>
      </c>
      <c r="K661" s="30" t="str">
        <f t="shared" si="83"/>
        <v>60707030720921280612</v>
      </c>
    </row>
    <row r="662" spans="1:11" s="3" customFormat="1">
      <c r="A662" s="244" t="s">
        <v>93</v>
      </c>
      <c r="B662" s="233" t="s">
        <v>26</v>
      </c>
      <c r="C662" s="234" t="s">
        <v>71</v>
      </c>
      <c r="D662" s="234" t="s">
        <v>53</v>
      </c>
      <c r="E662" s="234" t="s">
        <v>690</v>
      </c>
      <c r="F662" s="234" t="s">
        <v>20</v>
      </c>
      <c r="G662" s="235">
        <f>G663</f>
        <v>54600</v>
      </c>
      <c r="H662" s="235">
        <f>H663</f>
        <v>54600</v>
      </c>
      <c r="I662" s="234">
        <v>720921280</v>
      </c>
      <c r="J662" s="370" t="str">
        <f t="shared" si="82"/>
        <v>0720921280</v>
      </c>
      <c r="K662" s="30" t="str">
        <f t="shared" si="83"/>
        <v>60707030720921280620</v>
      </c>
    </row>
    <row r="663" spans="1:11" s="4" customFormat="1">
      <c r="A663" s="236" t="s">
        <v>1019</v>
      </c>
      <c r="B663" s="233" t="s">
        <v>26</v>
      </c>
      <c r="C663" s="234" t="s">
        <v>71</v>
      </c>
      <c r="D663" s="234" t="s">
        <v>53</v>
      </c>
      <c r="E663" s="234" t="s">
        <v>690</v>
      </c>
      <c r="F663" s="234" t="s">
        <v>1054</v>
      </c>
      <c r="G663" s="235">
        <f>VLOOKUP(K663,'исх АС БЮДЖЕТ'!$A$10:$H$568,7,0)</f>
        <v>54600</v>
      </c>
      <c r="H663" s="235">
        <f>VLOOKUP(K663,'исх АС БЮДЖЕТ'!$A$10:$H$568,8,0)</f>
        <v>54600</v>
      </c>
      <c r="I663" s="234">
        <v>720921280</v>
      </c>
      <c r="J663" s="370" t="str">
        <f t="shared" si="82"/>
        <v>0720921280</v>
      </c>
      <c r="K663" s="30" t="str">
        <f t="shared" si="83"/>
        <v>60707030720921280622</v>
      </c>
    </row>
    <row r="664" spans="1:11" s="3" customFormat="1" ht="51">
      <c r="A664" s="232" t="s">
        <v>756</v>
      </c>
      <c r="B664" s="233" t="s">
        <v>26</v>
      </c>
      <c r="C664" s="234" t="s">
        <v>71</v>
      </c>
      <c r="D664" s="234" t="s">
        <v>53</v>
      </c>
      <c r="E664" s="234" t="s">
        <v>339</v>
      </c>
      <c r="F664" s="234" t="s">
        <v>58</v>
      </c>
      <c r="G664" s="235">
        <f t="shared" ref="G664:H666" si="84">G665</f>
        <v>392800</v>
      </c>
      <c r="H664" s="235">
        <f t="shared" si="84"/>
        <v>392800</v>
      </c>
      <c r="I664" s="234">
        <v>1600000000</v>
      </c>
      <c r="J664" s="370" t="str">
        <f t="shared" si="82"/>
        <v>1600000000</v>
      </c>
      <c r="K664" s="30" t="str">
        <f t="shared" si="83"/>
        <v>60707031600000000000</v>
      </c>
    </row>
    <row r="665" spans="1:11" s="3" customFormat="1" ht="25.5">
      <c r="A665" s="232" t="s">
        <v>136</v>
      </c>
      <c r="B665" s="233" t="s">
        <v>26</v>
      </c>
      <c r="C665" s="234" t="s">
        <v>71</v>
      </c>
      <c r="D665" s="234" t="s">
        <v>53</v>
      </c>
      <c r="E665" s="234" t="s">
        <v>340</v>
      </c>
      <c r="F665" s="234" t="s">
        <v>58</v>
      </c>
      <c r="G665" s="235">
        <f t="shared" si="84"/>
        <v>392800</v>
      </c>
      <c r="H665" s="235">
        <f t="shared" si="84"/>
        <v>392800</v>
      </c>
      <c r="I665" s="234">
        <v>1620000000</v>
      </c>
      <c r="J665" s="370" t="str">
        <f t="shared" si="82"/>
        <v>1620000000</v>
      </c>
      <c r="K665" s="30" t="str">
        <f t="shared" si="83"/>
        <v>60707031620000000000</v>
      </c>
    </row>
    <row r="666" spans="1:11" s="3" customFormat="1" ht="25.5">
      <c r="A666" s="232" t="s">
        <v>667</v>
      </c>
      <c r="B666" s="233" t="s">
        <v>26</v>
      </c>
      <c r="C666" s="234" t="s">
        <v>71</v>
      </c>
      <c r="D666" s="234" t="s">
        <v>53</v>
      </c>
      <c r="E666" s="234" t="s">
        <v>609</v>
      </c>
      <c r="F666" s="234" t="s">
        <v>58</v>
      </c>
      <c r="G666" s="235">
        <f t="shared" si="84"/>
        <v>392800</v>
      </c>
      <c r="H666" s="235">
        <f t="shared" si="84"/>
        <v>392800</v>
      </c>
      <c r="I666" s="234">
        <v>1620200000</v>
      </c>
      <c r="J666" s="370" t="str">
        <f t="shared" si="82"/>
        <v>1620200000</v>
      </c>
      <c r="K666" s="30" t="str">
        <f t="shared" si="83"/>
        <v>60707031620200000000</v>
      </c>
    </row>
    <row r="667" spans="1:11" s="3" customFormat="1" ht="25.5">
      <c r="A667" s="232" t="s">
        <v>177</v>
      </c>
      <c r="B667" s="233" t="s">
        <v>26</v>
      </c>
      <c r="C667" s="234" t="s">
        <v>71</v>
      </c>
      <c r="D667" s="234" t="s">
        <v>53</v>
      </c>
      <c r="E667" s="234" t="s">
        <v>610</v>
      </c>
      <c r="F667" s="234" t="s">
        <v>58</v>
      </c>
      <c r="G667" s="235">
        <f>G668+G670</f>
        <v>392800</v>
      </c>
      <c r="H667" s="235">
        <f>H668+H670</f>
        <v>392800</v>
      </c>
      <c r="I667" s="234">
        <v>1620220550</v>
      </c>
      <c r="J667" s="370" t="str">
        <f t="shared" si="82"/>
        <v>1620220550</v>
      </c>
      <c r="K667" s="30" t="str">
        <f t="shared" si="83"/>
        <v>60707031620220550000</v>
      </c>
    </row>
    <row r="668" spans="1:11" s="3" customFormat="1">
      <c r="A668" s="244" t="s">
        <v>92</v>
      </c>
      <c r="B668" s="233" t="s">
        <v>26</v>
      </c>
      <c r="C668" s="234" t="s">
        <v>71</v>
      </c>
      <c r="D668" s="234" t="s">
        <v>53</v>
      </c>
      <c r="E668" s="234" t="s">
        <v>610</v>
      </c>
      <c r="F668" s="234" t="s">
        <v>138</v>
      </c>
      <c r="G668" s="235">
        <f>G669</f>
        <v>344800</v>
      </c>
      <c r="H668" s="235">
        <f>H669</f>
        <v>344800</v>
      </c>
      <c r="I668" s="234">
        <v>1620220550</v>
      </c>
      <c r="J668" s="370" t="str">
        <f t="shared" si="82"/>
        <v>1620220550</v>
      </c>
      <c r="K668" s="30" t="str">
        <f t="shared" si="83"/>
        <v>60707031620220550610</v>
      </c>
    </row>
    <row r="669" spans="1:11" s="4" customFormat="1">
      <c r="A669" s="236" t="s">
        <v>1016</v>
      </c>
      <c r="B669" s="233" t="s">
        <v>26</v>
      </c>
      <c r="C669" s="234" t="s">
        <v>71</v>
      </c>
      <c r="D669" s="234" t="s">
        <v>53</v>
      </c>
      <c r="E669" s="234" t="s">
        <v>610</v>
      </c>
      <c r="F669" s="234" t="s">
        <v>1046</v>
      </c>
      <c r="G669" s="235">
        <f>VLOOKUP(K669,'исх АС БЮДЖЕТ'!$A$10:$H$568,7,0)</f>
        <v>344800</v>
      </c>
      <c r="H669" s="235">
        <f>VLOOKUP(K669,'исх АС БЮДЖЕТ'!$A$10:$H$568,8,0)</f>
        <v>344800</v>
      </c>
      <c r="I669" s="234">
        <v>1620220550</v>
      </c>
      <c r="J669" s="370" t="str">
        <f t="shared" si="82"/>
        <v>1620220550</v>
      </c>
      <c r="K669" s="30" t="str">
        <f t="shared" si="83"/>
        <v>60707031620220550612</v>
      </c>
    </row>
    <row r="670" spans="1:11" s="30" customFormat="1">
      <c r="A670" s="244" t="s">
        <v>93</v>
      </c>
      <c r="B670" s="233" t="s">
        <v>26</v>
      </c>
      <c r="C670" s="234" t="s">
        <v>71</v>
      </c>
      <c r="D670" s="234" t="s">
        <v>53</v>
      </c>
      <c r="E670" s="234" t="s">
        <v>610</v>
      </c>
      <c r="F670" s="234" t="s">
        <v>20</v>
      </c>
      <c r="G670" s="235">
        <f>G671</f>
        <v>48000</v>
      </c>
      <c r="H670" s="235">
        <f>H671</f>
        <v>48000</v>
      </c>
      <c r="I670" s="234">
        <v>1620220550</v>
      </c>
      <c r="J670" s="370" t="str">
        <f t="shared" si="82"/>
        <v>1620220550</v>
      </c>
      <c r="K670" s="30" t="str">
        <f t="shared" si="83"/>
        <v>60707031620220550620</v>
      </c>
    </row>
    <row r="671" spans="1:11" s="83" customFormat="1">
      <c r="A671" s="236" t="s">
        <v>1019</v>
      </c>
      <c r="B671" s="233" t="s">
        <v>26</v>
      </c>
      <c r="C671" s="234" t="s">
        <v>71</v>
      </c>
      <c r="D671" s="234" t="s">
        <v>53</v>
      </c>
      <c r="E671" s="234" t="s">
        <v>610</v>
      </c>
      <c r="F671" s="234" t="s">
        <v>1054</v>
      </c>
      <c r="G671" s="235">
        <f>VLOOKUP(K671,'исх АС БЮДЖЕТ'!$A$10:$H$568,7,0)</f>
        <v>48000</v>
      </c>
      <c r="H671" s="235">
        <f>VLOOKUP(K671,'исх АС БЮДЖЕТ'!$A$10:$H$568,8,0)</f>
        <v>48000</v>
      </c>
      <c r="I671" s="234">
        <v>1620220550</v>
      </c>
      <c r="J671" s="370" t="str">
        <f t="shared" si="82"/>
        <v>1620220550</v>
      </c>
      <c r="K671" s="30" t="str">
        <f t="shared" si="83"/>
        <v>60707031620220550622</v>
      </c>
    </row>
    <row r="672" spans="1:11" s="30" customFormat="1" ht="25.5">
      <c r="A672" s="232" t="s">
        <v>757</v>
      </c>
      <c r="B672" s="233" t="s">
        <v>26</v>
      </c>
      <c r="C672" s="234" t="s">
        <v>71</v>
      </c>
      <c r="D672" s="234" t="s">
        <v>53</v>
      </c>
      <c r="E672" s="234" t="s">
        <v>342</v>
      </c>
      <c r="F672" s="234" t="s">
        <v>58</v>
      </c>
      <c r="G672" s="235">
        <f t="shared" ref="G672:H675" si="85">G673</f>
        <v>896080</v>
      </c>
      <c r="H672" s="235">
        <f t="shared" si="85"/>
        <v>896080</v>
      </c>
      <c r="I672" s="234">
        <v>1700000000</v>
      </c>
      <c r="J672" s="370" t="str">
        <f t="shared" si="82"/>
        <v>1700000000</v>
      </c>
      <c r="K672" s="30" t="str">
        <f t="shared" si="83"/>
        <v>60707031700000000000</v>
      </c>
    </row>
    <row r="673" spans="1:11" s="30" customFormat="1" ht="25.5">
      <c r="A673" s="237" t="s">
        <v>758</v>
      </c>
      <c r="B673" s="233" t="s">
        <v>26</v>
      </c>
      <c r="C673" s="234" t="s">
        <v>71</v>
      </c>
      <c r="D673" s="234" t="s">
        <v>53</v>
      </c>
      <c r="E673" s="234" t="s">
        <v>343</v>
      </c>
      <c r="F673" s="234" t="s">
        <v>58</v>
      </c>
      <c r="G673" s="235">
        <f t="shared" si="85"/>
        <v>896080</v>
      </c>
      <c r="H673" s="235">
        <f t="shared" si="85"/>
        <v>896080</v>
      </c>
      <c r="I673" s="234" t="s">
        <v>1207</v>
      </c>
      <c r="J673" s="370" t="str">
        <f t="shared" si="82"/>
        <v>17Б0000000</v>
      </c>
      <c r="K673" s="30" t="str">
        <f t="shared" si="83"/>
        <v>607070317Б0000000000</v>
      </c>
    </row>
    <row r="674" spans="1:11" s="30" customFormat="1" ht="25.5">
      <c r="A674" s="232" t="s">
        <v>344</v>
      </c>
      <c r="B674" s="233" t="s">
        <v>26</v>
      </c>
      <c r="C674" s="234" t="s">
        <v>71</v>
      </c>
      <c r="D674" s="234" t="s">
        <v>53</v>
      </c>
      <c r="E674" s="234" t="s">
        <v>345</v>
      </c>
      <c r="F674" s="234" t="s">
        <v>58</v>
      </c>
      <c r="G674" s="235">
        <f t="shared" si="85"/>
        <v>896080</v>
      </c>
      <c r="H674" s="235">
        <f t="shared" si="85"/>
        <v>896080</v>
      </c>
      <c r="I674" s="234" t="s">
        <v>1208</v>
      </c>
      <c r="J674" s="370" t="str">
        <f t="shared" si="82"/>
        <v>17Б0100000</v>
      </c>
      <c r="K674" s="30" t="str">
        <f t="shared" si="83"/>
        <v>607070317Б0100000000</v>
      </c>
    </row>
    <row r="675" spans="1:11" s="30" customFormat="1" ht="25.5">
      <c r="A675" s="232" t="s">
        <v>174</v>
      </c>
      <c r="B675" s="233" t="s">
        <v>26</v>
      </c>
      <c r="C675" s="234" t="s">
        <v>71</v>
      </c>
      <c r="D675" s="234" t="s">
        <v>53</v>
      </c>
      <c r="E675" s="234" t="s">
        <v>346</v>
      </c>
      <c r="F675" s="234" t="s">
        <v>58</v>
      </c>
      <c r="G675" s="235">
        <f t="shared" si="85"/>
        <v>896080</v>
      </c>
      <c r="H675" s="235">
        <f t="shared" si="85"/>
        <v>896080</v>
      </c>
      <c r="I675" s="234" t="s">
        <v>1209</v>
      </c>
      <c r="J675" s="370" t="str">
        <f t="shared" si="82"/>
        <v>17Б0120490</v>
      </c>
      <c r="K675" s="30" t="str">
        <f t="shared" si="83"/>
        <v>607070317Б0120490000</v>
      </c>
    </row>
    <row r="676" spans="1:11" s="30" customFormat="1">
      <c r="A676" s="244" t="s">
        <v>93</v>
      </c>
      <c r="B676" s="233" t="s">
        <v>26</v>
      </c>
      <c r="C676" s="234" t="s">
        <v>71</v>
      </c>
      <c r="D676" s="234" t="s">
        <v>53</v>
      </c>
      <c r="E676" s="234" t="s">
        <v>346</v>
      </c>
      <c r="F676" s="234" t="s">
        <v>20</v>
      </c>
      <c r="G676" s="235">
        <f>G677</f>
        <v>896080</v>
      </c>
      <c r="H676" s="235">
        <f>H677</f>
        <v>896080</v>
      </c>
      <c r="I676" s="234" t="s">
        <v>1209</v>
      </c>
      <c r="J676" s="370" t="str">
        <f t="shared" si="82"/>
        <v>17Б0120490</v>
      </c>
      <c r="K676" s="30" t="str">
        <f t="shared" si="83"/>
        <v>607070317Б0120490620</v>
      </c>
    </row>
    <row r="677" spans="1:11" s="83" customFormat="1">
      <c r="A677" s="236" t="s">
        <v>1019</v>
      </c>
      <c r="B677" s="233" t="s">
        <v>26</v>
      </c>
      <c r="C677" s="234" t="s">
        <v>71</v>
      </c>
      <c r="D677" s="234" t="s">
        <v>53</v>
      </c>
      <c r="E677" s="234" t="s">
        <v>346</v>
      </c>
      <c r="F677" s="234" t="s">
        <v>1054</v>
      </c>
      <c r="G677" s="235">
        <f>VLOOKUP(K677,'исх АС БЮДЖЕТ'!$A$10:$H$568,7,0)</f>
        <v>896080</v>
      </c>
      <c r="H677" s="235">
        <f>VLOOKUP(K677,'исх АС БЮДЖЕТ'!$A$10:$H$568,8,0)</f>
        <v>896080</v>
      </c>
      <c r="I677" s="234" t="s">
        <v>1209</v>
      </c>
      <c r="J677" s="370" t="str">
        <f t="shared" si="82"/>
        <v>17Б0120490</v>
      </c>
      <c r="K677" s="30" t="str">
        <f t="shared" si="83"/>
        <v>607070317Б0120490622</v>
      </c>
    </row>
    <row r="678" spans="1:11" s="30" customFormat="1">
      <c r="A678" s="228" t="s">
        <v>783</v>
      </c>
      <c r="B678" s="229" t="s">
        <v>26</v>
      </c>
      <c r="C678" s="230" t="s">
        <v>71</v>
      </c>
      <c r="D678" s="230" t="s">
        <v>71</v>
      </c>
      <c r="E678" s="230" t="s">
        <v>196</v>
      </c>
      <c r="F678" s="230" t="s">
        <v>58</v>
      </c>
      <c r="G678" s="231">
        <f>G685+G679</f>
        <v>6577700</v>
      </c>
      <c r="H678" s="231">
        <f>H685+H679</f>
        <v>6577700</v>
      </c>
      <c r="I678" s="230">
        <v>0</v>
      </c>
      <c r="J678" s="370" t="str">
        <f t="shared" si="82"/>
        <v>0000000000</v>
      </c>
      <c r="K678" s="30" t="str">
        <f t="shared" si="83"/>
        <v>60707070000000000000</v>
      </c>
    </row>
    <row r="679" spans="1:11" s="30" customFormat="1" ht="38.25">
      <c r="A679" s="236" t="s">
        <v>722</v>
      </c>
      <c r="B679" s="233" t="s">
        <v>26</v>
      </c>
      <c r="C679" s="234" t="s">
        <v>71</v>
      </c>
      <c r="D679" s="234" t="s">
        <v>71</v>
      </c>
      <c r="E679" s="234" t="s">
        <v>300</v>
      </c>
      <c r="F679" s="234" t="s">
        <v>58</v>
      </c>
      <c r="G679" s="235">
        <f t="shared" ref="G679:H682" si="86">G680</f>
        <v>187500</v>
      </c>
      <c r="H679" s="235">
        <f t="shared" si="86"/>
        <v>187500</v>
      </c>
      <c r="I679" s="234">
        <v>400000000</v>
      </c>
      <c r="J679" s="370" t="str">
        <f t="shared" si="82"/>
        <v>0400000000</v>
      </c>
      <c r="K679" s="30" t="str">
        <f t="shared" si="83"/>
        <v>60707070400000000000</v>
      </c>
    </row>
    <row r="680" spans="1:11" s="30" customFormat="1">
      <c r="A680" s="236" t="s">
        <v>142</v>
      </c>
      <c r="B680" s="233" t="s">
        <v>26</v>
      </c>
      <c r="C680" s="234" t="s">
        <v>71</v>
      </c>
      <c r="D680" s="234" t="s">
        <v>71</v>
      </c>
      <c r="E680" s="234" t="s">
        <v>453</v>
      </c>
      <c r="F680" s="234" t="s">
        <v>58</v>
      </c>
      <c r="G680" s="235">
        <f t="shared" si="86"/>
        <v>187500</v>
      </c>
      <c r="H680" s="235">
        <f t="shared" si="86"/>
        <v>187500</v>
      </c>
      <c r="I680" s="234">
        <v>430000000</v>
      </c>
      <c r="J680" s="370" t="str">
        <f t="shared" si="82"/>
        <v>0430000000</v>
      </c>
      <c r="K680" s="30" t="str">
        <f t="shared" si="83"/>
        <v>60707070430000000000</v>
      </c>
    </row>
    <row r="681" spans="1:11" s="30" customFormat="1">
      <c r="A681" s="236" t="s">
        <v>454</v>
      </c>
      <c r="B681" s="233" t="s">
        <v>26</v>
      </c>
      <c r="C681" s="234" t="s">
        <v>71</v>
      </c>
      <c r="D681" s="234" t="s">
        <v>71</v>
      </c>
      <c r="E681" s="234" t="s">
        <v>645</v>
      </c>
      <c r="F681" s="234" t="s">
        <v>58</v>
      </c>
      <c r="G681" s="235">
        <f t="shared" si="86"/>
        <v>187500</v>
      </c>
      <c r="H681" s="235">
        <f t="shared" si="86"/>
        <v>187500</v>
      </c>
      <c r="I681" s="234">
        <v>430400000</v>
      </c>
      <c r="J681" s="370" t="str">
        <f t="shared" si="82"/>
        <v>0430400000</v>
      </c>
      <c r="K681" s="30" t="str">
        <f t="shared" si="83"/>
        <v>60707070430400000000</v>
      </c>
    </row>
    <row r="682" spans="1:11" s="30" customFormat="1">
      <c r="A682" s="236" t="s">
        <v>158</v>
      </c>
      <c r="B682" s="233" t="s">
        <v>26</v>
      </c>
      <c r="C682" s="234" t="s">
        <v>71</v>
      </c>
      <c r="D682" s="234" t="s">
        <v>71</v>
      </c>
      <c r="E682" s="234" t="s">
        <v>646</v>
      </c>
      <c r="F682" s="234" t="s">
        <v>58</v>
      </c>
      <c r="G682" s="235">
        <f t="shared" si="86"/>
        <v>187500</v>
      </c>
      <c r="H682" s="235">
        <f t="shared" si="86"/>
        <v>187500</v>
      </c>
      <c r="I682" s="234">
        <v>430420300</v>
      </c>
      <c r="J682" s="370" t="str">
        <f t="shared" si="82"/>
        <v>0430420300</v>
      </c>
      <c r="K682" s="30" t="str">
        <f t="shared" si="83"/>
        <v>60707070430420300000</v>
      </c>
    </row>
    <row r="683" spans="1:11" s="30" customFormat="1" ht="25.5">
      <c r="A683" s="232" t="s">
        <v>108</v>
      </c>
      <c r="B683" s="233" t="s">
        <v>26</v>
      </c>
      <c r="C683" s="234" t="s">
        <v>71</v>
      </c>
      <c r="D683" s="234" t="s">
        <v>71</v>
      </c>
      <c r="E683" s="234" t="s">
        <v>646</v>
      </c>
      <c r="F683" s="234" t="s">
        <v>116</v>
      </c>
      <c r="G683" s="235">
        <f>G684</f>
        <v>187500</v>
      </c>
      <c r="H683" s="235">
        <f>H684</f>
        <v>187500</v>
      </c>
      <c r="I683" s="234">
        <v>430420300</v>
      </c>
      <c r="J683" s="370" t="str">
        <f t="shared" si="82"/>
        <v>0430420300</v>
      </c>
      <c r="K683" s="30" t="str">
        <f t="shared" si="83"/>
        <v>60707070430420300240</v>
      </c>
    </row>
    <row r="684" spans="1:11" s="83" customFormat="1" ht="25.5">
      <c r="A684" s="236" t="s">
        <v>973</v>
      </c>
      <c r="B684" s="233" t="s">
        <v>26</v>
      </c>
      <c r="C684" s="234" t="s">
        <v>71</v>
      </c>
      <c r="D684" s="234" t="s">
        <v>71</v>
      </c>
      <c r="E684" s="234" t="s">
        <v>646</v>
      </c>
      <c r="F684" s="234" t="s">
        <v>1043</v>
      </c>
      <c r="G684" s="235">
        <f>VLOOKUP(K684,'исх АС БЮДЖЕТ'!$A$10:$H$568,7,0)</f>
        <v>187500</v>
      </c>
      <c r="H684" s="235">
        <f>VLOOKUP(K684,'исх АС БЮДЖЕТ'!$A$10:$H$568,8,0)</f>
        <v>187500</v>
      </c>
      <c r="I684" s="234">
        <v>430420300</v>
      </c>
      <c r="J684" s="370" t="str">
        <f t="shared" si="82"/>
        <v>0430420300</v>
      </c>
      <c r="K684" s="30" t="str">
        <f t="shared" si="83"/>
        <v>60707070430420300244</v>
      </c>
    </row>
    <row r="685" spans="1:11" s="30" customFormat="1">
      <c r="A685" s="255" t="s">
        <v>741</v>
      </c>
      <c r="B685" s="233" t="s">
        <v>26</v>
      </c>
      <c r="C685" s="234" t="s">
        <v>71</v>
      </c>
      <c r="D685" s="234" t="s">
        <v>71</v>
      </c>
      <c r="E685" s="234" t="s">
        <v>456</v>
      </c>
      <c r="F685" s="234" t="s">
        <v>58</v>
      </c>
      <c r="G685" s="235">
        <f>G686</f>
        <v>6390200</v>
      </c>
      <c r="H685" s="235">
        <f>H686</f>
        <v>6390200</v>
      </c>
      <c r="I685" s="234">
        <v>900000000</v>
      </c>
      <c r="J685" s="370" t="str">
        <f t="shared" si="82"/>
        <v>0900000000</v>
      </c>
      <c r="K685" s="30" t="str">
        <f t="shared" si="83"/>
        <v>60707070900000000000</v>
      </c>
    </row>
    <row r="686" spans="1:11" s="30" customFormat="1" ht="25.5">
      <c r="A686" s="255" t="s">
        <v>742</v>
      </c>
      <c r="B686" s="233" t="s">
        <v>26</v>
      </c>
      <c r="C686" s="234" t="s">
        <v>71</v>
      </c>
      <c r="D686" s="234" t="s">
        <v>71</v>
      </c>
      <c r="E686" s="234" t="s">
        <v>457</v>
      </c>
      <c r="F686" s="234" t="s">
        <v>58</v>
      </c>
      <c r="G686" s="235">
        <f>G687+G691+G699+G703+G707+G711</f>
        <v>6390200</v>
      </c>
      <c r="H686" s="235">
        <f>H687+H691+H699+H703+H707+H711</f>
        <v>6390200</v>
      </c>
      <c r="I686" s="234" t="s">
        <v>1210</v>
      </c>
      <c r="J686" s="370" t="str">
        <f t="shared" si="82"/>
        <v>09Б0000000</v>
      </c>
      <c r="K686" s="30" t="str">
        <f t="shared" si="83"/>
        <v>607070709Б0000000000</v>
      </c>
    </row>
    <row r="687" spans="1:11" s="30" customFormat="1" ht="25.5">
      <c r="A687" s="236" t="s">
        <v>458</v>
      </c>
      <c r="B687" s="233" t="s">
        <v>26</v>
      </c>
      <c r="C687" s="234" t="s">
        <v>71</v>
      </c>
      <c r="D687" s="234" t="s">
        <v>71</v>
      </c>
      <c r="E687" s="234" t="s">
        <v>459</v>
      </c>
      <c r="F687" s="234" t="s">
        <v>58</v>
      </c>
      <c r="G687" s="235">
        <f t="shared" ref="G687:H688" si="87">G688</f>
        <v>779000</v>
      </c>
      <c r="H687" s="235">
        <f t="shared" si="87"/>
        <v>779000</v>
      </c>
      <c r="I687" s="234" t="s">
        <v>1211</v>
      </c>
      <c r="J687" s="370" t="str">
        <f t="shared" si="82"/>
        <v>09Б0100000</v>
      </c>
      <c r="K687" s="30" t="str">
        <f t="shared" si="83"/>
        <v>607070709Б0100000000</v>
      </c>
    </row>
    <row r="688" spans="1:11" s="30" customFormat="1" ht="38.25">
      <c r="A688" s="232" t="s">
        <v>164</v>
      </c>
      <c r="B688" s="233" t="s">
        <v>26</v>
      </c>
      <c r="C688" s="234" t="s">
        <v>71</v>
      </c>
      <c r="D688" s="234" t="s">
        <v>71</v>
      </c>
      <c r="E688" s="234" t="s">
        <v>460</v>
      </c>
      <c r="F688" s="234" t="s">
        <v>58</v>
      </c>
      <c r="G688" s="235">
        <f t="shared" si="87"/>
        <v>779000</v>
      </c>
      <c r="H688" s="235">
        <f t="shared" si="87"/>
        <v>779000</v>
      </c>
      <c r="I688" s="234" t="s">
        <v>1212</v>
      </c>
      <c r="J688" s="370" t="str">
        <f t="shared" si="82"/>
        <v>09Б0120460</v>
      </c>
      <c r="K688" s="30" t="str">
        <f t="shared" si="83"/>
        <v>607070709Б0120460000</v>
      </c>
    </row>
    <row r="689" spans="1:11" s="30" customFormat="1">
      <c r="A689" s="244" t="s">
        <v>92</v>
      </c>
      <c r="B689" s="233" t="s">
        <v>26</v>
      </c>
      <c r="C689" s="234" t="s">
        <v>71</v>
      </c>
      <c r="D689" s="234" t="s">
        <v>71</v>
      </c>
      <c r="E689" s="234" t="s">
        <v>460</v>
      </c>
      <c r="F689" s="234" t="s">
        <v>138</v>
      </c>
      <c r="G689" s="235">
        <f>G690</f>
        <v>779000</v>
      </c>
      <c r="H689" s="235">
        <f>H690</f>
        <v>779000</v>
      </c>
      <c r="I689" s="234" t="s">
        <v>1212</v>
      </c>
      <c r="J689" s="370" t="str">
        <f t="shared" si="82"/>
        <v>09Б0120460</v>
      </c>
      <c r="K689" s="30" t="str">
        <f t="shared" si="83"/>
        <v>607070709Б0120460610</v>
      </c>
    </row>
    <row r="690" spans="1:11" s="83" customFormat="1" ht="38.25">
      <c r="A690" s="236" t="s">
        <v>1015</v>
      </c>
      <c r="B690" s="233" t="s">
        <v>26</v>
      </c>
      <c r="C690" s="234" t="s">
        <v>71</v>
      </c>
      <c r="D690" s="234" t="s">
        <v>71</v>
      </c>
      <c r="E690" s="234" t="s">
        <v>460</v>
      </c>
      <c r="F690" s="234" t="s">
        <v>67</v>
      </c>
      <c r="G690" s="235">
        <f>VLOOKUP(K690,'исх АС БЮДЖЕТ'!$A$10:$H$568,7,0)</f>
        <v>779000</v>
      </c>
      <c r="H690" s="235">
        <f>VLOOKUP(K690,'исх АС БЮДЖЕТ'!$A$10:$H$568,8,0)</f>
        <v>779000</v>
      </c>
      <c r="I690" s="234" t="s">
        <v>1212</v>
      </c>
      <c r="J690" s="370" t="str">
        <f t="shared" si="82"/>
        <v>09Б0120460</v>
      </c>
      <c r="K690" s="30" t="str">
        <f t="shared" si="83"/>
        <v>607070709Б0120460611</v>
      </c>
    </row>
    <row r="691" spans="1:11" s="30" customFormat="1" ht="25.5">
      <c r="A691" s="236" t="s">
        <v>461</v>
      </c>
      <c r="B691" s="233" t="s">
        <v>26</v>
      </c>
      <c r="C691" s="234" t="s">
        <v>71</v>
      </c>
      <c r="D691" s="234" t="s">
        <v>71</v>
      </c>
      <c r="E691" s="234" t="s">
        <v>567</v>
      </c>
      <c r="F691" s="234" t="s">
        <v>58</v>
      </c>
      <c r="G691" s="235">
        <f>G692</f>
        <v>2340000</v>
      </c>
      <c r="H691" s="235">
        <f>H692</f>
        <v>2340000</v>
      </c>
      <c r="I691" s="234" t="s">
        <v>1213</v>
      </c>
      <c r="J691" s="370" t="str">
        <f t="shared" si="82"/>
        <v>09Б0200000</v>
      </c>
      <c r="K691" s="30" t="str">
        <f t="shared" si="83"/>
        <v>607070709Б0200000000</v>
      </c>
    </row>
    <row r="692" spans="1:11" s="30" customFormat="1" ht="38.25">
      <c r="A692" s="232" t="s">
        <v>164</v>
      </c>
      <c r="B692" s="233" t="s">
        <v>26</v>
      </c>
      <c r="C692" s="234" t="s">
        <v>71</v>
      </c>
      <c r="D692" s="234" t="s">
        <v>71</v>
      </c>
      <c r="E692" s="234" t="s">
        <v>462</v>
      </c>
      <c r="F692" s="234" t="s">
        <v>58</v>
      </c>
      <c r="G692" s="235">
        <f>G693+G697+G696+G695</f>
        <v>2340000</v>
      </c>
      <c r="H692" s="235">
        <f>H693+H697+H696+H695</f>
        <v>2340000</v>
      </c>
      <c r="I692" s="234" t="s">
        <v>1214</v>
      </c>
      <c r="J692" s="370" t="str">
        <f t="shared" si="82"/>
        <v>09Б0220460</v>
      </c>
      <c r="K692" s="30" t="str">
        <f t="shared" si="83"/>
        <v>607070709Б0220460000</v>
      </c>
    </row>
    <row r="693" spans="1:11" s="30" customFormat="1" ht="25.5">
      <c r="A693" s="232" t="s">
        <v>108</v>
      </c>
      <c r="B693" s="233" t="s">
        <v>26</v>
      </c>
      <c r="C693" s="234" t="s">
        <v>71</v>
      </c>
      <c r="D693" s="234" t="s">
        <v>71</v>
      </c>
      <c r="E693" s="234" t="s">
        <v>462</v>
      </c>
      <c r="F693" s="234" t="s">
        <v>116</v>
      </c>
      <c r="G693" s="235">
        <f>G694</f>
        <v>549500</v>
      </c>
      <c r="H693" s="235">
        <f>H694</f>
        <v>549500</v>
      </c>
      <c r="I693" s="234" t="s">
        <v>1214</v>
      </c>
      <c r="J693" s="370" t="str">
        <f t="shared" si="82"/>
        <v>09Б0220460</v>
      </c>
      <c r="K693" s="30" t="str">
        <f t="shared" si="83"/>
        <v>607070709Б0220460240</v>
      </c>
    </row>
    <row r="694" spans="1:11" s="83" customFormat="1" ht="25.5">
      <c r="A694" s="236" t="s">
        <v>973</v>
      </c>
      <c r="B694" s="233" t="s">
        <v>26</v>
      </c>
      <c r="C694" s="234" t="s">
        <v>71</v>
      </c>
      <c r="D694" s="234" t="s">
        <v>71</v>
      </c>
      <c r="E694" s="234" t="s">
        <v>462</v>
      </c>
      <c r="F694" s="234" t="s">
        <v>1043</v>
      </c>
      <c r="G694" s="235">
        <f>VLOOKUP(K694,'исх АС БЮДЖЕТ'!$A$10:$H$568,7,0)</f>
        <v>549500</v>
      </c>
      <c r="H694" s="235">
        <f>VLOOKUP(K694,'исх АС БЮДЖЕТ'!$A$10:$H$568,8,0)</f>
        <v>549500</v>
      </c>
      <c r="I694" s="234" t="s">
        <v>1214</v>
      </c>
      <c r="J694" s="370" t="str">
        <f t="shared" si="82"/>
        <v>09Б0220460</v>
      </c>
      <c r="K694" s="30" t="str">
        <f t="shared" si="83"/>
        <v>607070709Б0220460244</v>
      </c>
    </row>
    <row r="695" spans="1:11" s="30" customFormat="1">
      <c r="A695" s="232" t="s">
        <v>89</v>
      </c>
      <c r="B695" s="233" t="s">
        <v>26</v>
      </c>
      <c r="C695" s="234" t="s">
        <v>71</v>
      </c>
      <c r="D695" s="234" t="s">
        <v>71</v>
      </c>
      <c r="E695" s="234" t="s">
        <v>462</v>
      </c>
      <c r="F695" s="234" t="s">
        <v>182</v>
      </c>
      <c r="G695" s="235">
        <f>VLOOKUP(K695,'исх АС БЮДЖЕТ'!$A$10:$H$568,7,0)</f>
        <v>600500</v>
      </c>
      <c r="H695" s="235">
        <f>VLOOKUP(K695,'исх АС БЮДЖЕТ'!$A$10:$H$568,8,0)</f>
        <v>600500</v>
      </c>
      <c r="I695" s="234" t="s">
        <v>1214</v>
      </c>
      <c r="J695" s="370" t="str">
        <f t="shared" si="82"/>
        <v>09Б0220460</v>
      </c>
      <c r="K695" s="30" t="str">
        <f t="shared" si="83"/>
        <v>607070709Б0220460340</v>
      </c>
    </row>
    <row r="696" spans="1:11" s="30" customFormat="1">
      <c r="A696" s="232" t="s">
        <v>90</v>
      </c>
      <c r="B696" s="233" t="s">
        <v>26</v>
      </c>
      <c r="C696" s="234" t="s">
        <v>71</v>
      </c>
      <c r="D696" s="234" t="s">
        <v>71</v>
      </c>
      <c r="E696" s="234" t="s">
        <v>462</v>
      </c>
      <c r="F696" s="234" t="s">
        <v>181</v>
      </c>
      <c r="G696" s="235">
        <f>VLOOKUP(K696,'исх АС БЮДЖЕТ'!$A$10:$H$568,7,0)</f>
        <v>60000</v>
      </c>
      <c r="H696" s="235">
        <f>VLOOKUP(K696,'исх АС БЮДЖЕТ'!$A$10:$H$568,8,0)</f>
        <v>60000</v>
      </c>
      <c r="I696" s="234" t="s">
        <v>1214</v>
      </c>
      <c r="J696" s="370" t="str">
        <f t="shared" si="82"/>
        <v>09Б0220460</v>
      </c>
      <c r="K696" s="30" t="str">
        <f t="shared" si="83"/>
        <v>607070709Б0220460350</v>
      </c>
    </row>
    <row r="697" spans="1:11" s="30" customFormat="1">
      <c r="A697" s="244" t="s">
        <v>92</v>
      </c>
      <c r="B697" s="233" t="s">
        <v>26</v>
      </c>
      <c r="C697" s="234" t="s">
        <v>71</v>
      </c>
      <c r="D697" s="234" t="s">
        <v>71</v>
      </c>
      <c r="E697" s="234" t="s">
        <v>462</v>
      </c>
      <c r="F697" s="234" t="s">
        <v>138</v>
      </c>
      <c r="G697" s="235">
        <f>G698</f>
        <v>1130000</v>
      </c>
      <c r="H697" s="235">
        <f>H698</f>
        <v>1130000</v>
      </c>
      <c r="I697" s="234" t="s">
        <v>1214</v>
      </c>
      <c r="J697" s="370" t="str">
        <f t="shared" si="82"/>
        <v>09Б0220460</v>
      </c>
      <c r="K697" s="30" t="str">
        <f t="shared" si="83"/>
        <v>607070709Б0220460610</v>
      </c>
    </row>
    <row r="698" spans="1:11" s="83" customFormat="1" ht="38.25">
      <c r="A698" s="236" t="s">
        <v>1015</v>
      </c>
      <c r="B698" s="233" t="s">
        <v>26</v>
      </c>
      <c r="C698" s="234" t="s">
        <v>71</v>
      </c>
      <c r="D698" s="234" t="s">
        <v>71</v>
      </c>
      <c r="E698" s="234" t="s">
        <v>462</v>
      </c>
      <c r="F698" s="234" t="s">
        <v>67</v>
      </c>
      <c r="G698" s="235">
        <f>VLOOKUP(K698,'исх АС БЮДЖЕТ'!$A$10:$H$568,7,0)</f>
        <v>1130000</v>
      </c>
      <c r="H698" s="235">
        <f>VLOOKUP(K698,'исх АС БЮДЖЕТ'!$A$10:$H$568,8,0)</f>
        <v>1130000</v>
      </c>
      <c r="I698" s="234" t="s">
        <v>1214</v>
      </c>
      <c r="J698" s="370" t="str">
        <f t="shared" si="82"/>
        <v>09Б0220460</v>
      </c>
      <c r="K698" s="30" t="str">
        <f t="shared" si="83"/>
        <v>607070709Б0220460611</v>
      </c>
    </row>
    <row r="699" spans="1:11" s="30" customFormat="1" ht="25.5">
      <c r="A699" s="236" t="s">
        <v>463</v>
      </c>
      <c r="B699" s="233" t="s">
        <v>26</v>
      </c>
      <c r="C699" s="234" t="s">
        <v>71</v>
      </c>
      <c r="D699" s="234" t="s">
        <v>71</v>
      </c>
      <c r="E699" s="234" t="s">
        <v>464</v>
      </c>
      <c r="F699" s="234" t="s">
        <v>58</v>
      </c>
      <c r="G699" s="235">
        <f t="shared" ref="G699:H700" si="88">G700</f>
        <v>180000</v>
      </c>
      <c r="H699" s="235">
        <f t="shared" si="88"/>
        <v>180000</v>
      </c>
      <c r="I699" s="234" t="s">
        <v>1215</v>
      </c>
      <c r="J699" s="370" t="str">
        <f t="shared" si="82"/>
        <v>09Б0300000</v>
      </c>
      <c r="K699" s="30" t="str">
        <f t="shared" si="83"/>
        <v>607070709Б0300000000</v>
      </c>
    </row>
    <row r="700" spans="1:11" s="30" customFormat="1" ht="38.25">
      <c r="A700" s="232" t="s">
        <v>164</v>
      </c>
      <c r="B700" s="233" t="s">
        <v>26</v>
      </c>
      <c r="C700" s="234" t="s">
        <v>71</v>
      </c>
      <c r="D700" s="234" t="s">
        <v>71</v>
      </c>
      <c r="E700" s="234" t="s">
        <v>465</v>
      </c>
      <c r="F700" s="234" t="s">
        <v>58</v>
      </c>
      <c r="G700" s="235">
        <f t="shared" si="88"/>
        <v>180000</v>
      </c>
      <c r="H700" s="235">
        <f t="shared" si="88"/>
        <v>180000</v>
      </c>
      <c r="I700" s="234" t="s">
        <v>1216</v>
      </c>
      <c r="J700" s="370" t="str">
        <f t="shared" si="82"/>
        <v>09Б0320460</v>
      </c>
      <c r="K700" s="30" t="str">
        <f t="shared" si="83"/>
        <v>607070709Б0320460000</v>
      </c>
    </row>
    <row r="701" spans="1:11" s="30" customFormat="1">
      <c r="A701" s="244" t="s">
        <v>92</v>
      </c>
      <c r="B701" s="233" t="s">
        <v>26</v>
      </c>
      <c r="C701" s="234" t="s">
        <v>71</v>
      </c>
      <c r="D701" s="234" t="s">
        <v>71</v>
      </c>
      <c r="E701" s="234" t="s">
        <v>465</v>
      </c>
      <c r="F701" s="234" t="s">
        <v>138</v>
      </c>
      <c r="G701" s="235">
        <f>G702</f>
        <v>180000</v>
      </c>
      <c r="H701" s="235">
        <f>H702</f>
        <v>180000</v>
      </c>
      <c r="I701" s="234" t="s">
        <v>1216</v>
      </c>
      <c r="J701" s="370" t="str">
        <f t="shared" si="82"/>
        <v>09Б0320460</v>
      </c>
      <c r="K701" s="30" t="str">
        <f t="shared" si="83"/>
        <v>607070709Б0320460610</v>
      </c>
    </row>
    <row r="702" spans="1:11" s="83" customFormat="1" ht="38.25">
      <c r="A702" s="236" t="s">
        <v>1015</v>
      </c>
      <c r="B702" s="233" t="s">
        <v>26</v>
      </c>
      <c r="C702" s="234" t="s">
        <v>71</v>
      </c>
      <c r="D702" s="234" t="s">
        <v>71</v>
      </c>
      <c r="E702" s="234" t="s">
        <v>465</v>
      </c>
      <c r="F702" s="234" t="s">
        <v>67</v>
      </c>
      <c r="G702" s="235">
        <f>VLOOKUP(K702,'исх АС БЮДЖЕТ'!$A$10:$H$568,7,0)</f>
        <v>180000</v>
      </c>
      <c r="H702" s="235">
        <f>VLOOKUP(K702,'исх АС БЮДЖЕТ'!$A$10:$H$568,8,0)</f>
        <v>180000</v>
      </c>
      <c r="I702" s="234" t="s">
        <v>1216</v>
      </c>
      <c r="J702" s="370" t="str">
        <f t="shared" si="82"/>
        <v>09Б0320460</v>
      </c>
      <c r="K702" s="30" t="str">
        <f t="shared" si="83"/>
        <v>607070709Б0320460611</v>
      </c>
    </row>
    <row r="703" spans="1:11" s="30" customFormat="1" ht="25.5">
      <c r="A703" s="236" t="s">
        <v>466</v>
      </c>
      <c r="B703" s="233" t="s">
        <v>26</v>
      </c>
      <c r="C703" s="234" t="s">
        <v>71</v>
      </c>
      <c r="D703" s="234" t="s">
        <v>71</v>
      </c>
      <c r="E703" s="234" t="s">
        <v>467</v>
      </c>
      <c r="F703" s="234" t="s">
        <v>58</v>
      </c>
      <c r="G703" s="235">
        <f t="shared" ref="G703:H704" si="89">G704</f>
        <v>310000</v>
      </c>
      <c r="H703" s="235">
        <f t="shared" si="89"/>
        <v>310000</v>
      </c>
      <c r="I703" s="234" t="s">
        <v>1217</v>
      </c>
      <c r="J703" s="370" t="str">
        <f t="shared" si="82"/>
        <v>09Б0400000</v>
      </c>
      <c r="K703" s="30" t="str">
        <f t="shared" si="83"/>
        <v>607070709Б0400000000</v>
      </c>
    </row>
    <row r="704" spans="1:11" s="30" customFormat="1" ht="38.25">
      <c r="A704" s="232" t="s">
        <v>164</v>
      </c>
      <c r="B704" s="233" t="s">
        <v>26</v>
      </c>
      <c r="C704" s="234" t="s">
        <v>71</v>
      </c>
      <c r="D704" s="234" t="s">
        <v>71</v>
      </c>
      <c r="E704" s="234" t="s">
        <v>468</v>
      </c>
      <c r="F704" s="234" t="s">
        <v>58</v>
      </c>
      <c r="G704" s="235">
        <f t="shared" si="89"/>
        <v>310000</v>
      </c>
      <c r="H704" s="235">
        <f t="shared" si="89"/>
        <v>310000</v>
      </c>
      <c r="I704" s="234" t="s">
        <v>1218</v>
      </c>
      <c r="J704" s="370" t="str">
        <f t="shared" si="82"/>
        <v>09Б0420460</v>
      </c>
      <c r="K704" s="30" t="str">
        <f t="shared" si="83"/>
        <v>607070709Б0420460000</v>
      </c>
    </row>
    <row r="705" spans="1:11" s="30" customFormat="1">
      <c r="A705" s="244" t="s">
        <v>92</v>
      </c>
      <c r="B705" s="233" t="s">
        <v>26</v>
      </c>
      <c r="C705" s="234" t="s">
        <v>71</v>
      </c>
      <c r="D705" s="234" t="s">
        <v>71</v>
      </c>
      <c r="E705" s="234" t="s">
        <v>468</v>
      </c>
      <c r="F705" s="234" t="s">
        <v>138</v>
      </c>
      <c r="G705" s="235">
        <f>G706</f>
        <v>310000</v>
      </c>
      <c r="H705" s="235">
        <f>H706</f>
        <v>310000</v>
      </c>
      <c r="I705" s="234" t="s">
        <v>1218</v>
      </c>
      <c r="J705" s="370" t="str">
        <f t="shared" si="82"/>
        <v>09Б0420460</v>
      </c>
      <c r="K705" s="30" t="str">
        <f t="shared" si="83"/>
        <v>607070709Б0420460610</v>
      </c>
    </row>
    <row r="706" spans="1:11" s="83" customFormat="1" ht="38.25">
      <c r="A706" s="236" t="s">
        <v>1015</v>
      </c>
      <c r="B706" s="233" t="s">
        <v>26</v>
      </c>
      <c r="C706" s="234" t="s">
        <v>71</v>
      </c>
      <c r="D706" s="234" t="s">
        <v>71</v>
      </c>
      <c r="E706" s="234" t="s">
        <v>468</v>
      </c>
      <c r="F706" s="234" t="s">
        <v>67</v>
      </c>
      <c r="G706" s="235">
        <f>VLOOKUP(K706,'исх АС БЮДЖЕТ'!$A$10:$H$568,7,0)</f>
        <v>310000</v>
      </c>
      <c r="H706" s="235">
        <f>VLOOKUP(K706,'исх АС БЮДЖЕТ'!$A$10:$H$568,8,0)</f>
        <v>310000</v>
      </c>
      <c r="I706" s="234" t="s">
        <v>1218</v>
      </c>
      <c r="J706" s="370" t="str">
        <f t="shared" si="82"/>
        <v>09Б0420460</v>
      </c>
      <c r="K706" s="30" t="str">
        <f t="shared" si="83"/>
        <v>607070709Б0420460611</v>
      </c>
    </row>
    <row r="707" spans="1:11" s="30" customFormat="1" ht="25.5">
      <c r="A707" s="236" t="s">
        <v>469</v>
      </c>
      <c r="B707" s="233" t="s">
        <v>26</v>
      </c>
      <c r="C707" s="234" t="s">
        <v>71</v>
      </c>
      <c r="D707" s="234" t="s">
        <v>71</v>
      </c>
      <c r="E707" s="234" t="s">
        <v>470</v>
      </c>
      <c r="F707" s="234" t="s">
        <v>58</v>
      </c>
      <c r="G707" s="235">
        <f t="shared" ref="G707:H708" si="90">G708</f>
        <v>25540</v>
      </c>
      <c r="H707" s="235">
        <f t="shared" si="90"/>
        <v>25540</v>
      </c>
      <c r="I707" s="234" t="s">
        <v>1219</v>
      </c>
      <c r="J707" s="370" t="str">
        <f t="shared" si="82"/>
        <v>09Б0500000</v>
      </c>
      <c r="K707" s="30" t="str">
        <f t="shared" si="83"/>
        <v>607070709Б0500000000</v>
      </c>
    </row>
    <row r="708" spans="1:11" s="30" customFormat="1" ht="38.25">
      <c r="A708" s="232" t="s">
        <v>164</v>
      </c>
      <c r="B708" s="233" t="s">
        <v>26</v>
      </c>
      <c r="C708" s="234" t="s">
        <v>71</v>
      </c>
      <c r="D708" s="234" t="s">
        <v>71</v>
      </c>
      <c r="E708" s="234" t="s">
        <v>471</v>
      </c>
      <c r="F708" s="234" t="s">
        <v>58</v>
      </c>
      <c r="G708" s="235">
        <f t="shared" si="90"/>
        <v>25540</v>
      </c>
      <c r="H708" s="235">
        <f t="shared" si="90"/>
        <v>25540</v>
      </c>
      <c r="I708" s="234" t="s">
        <v>1220</v>
      </c>
      <c r="J708" s="370" t="str">
        <f t="shared" si="82"/>
        <v>09Б0520460</v>
      </c>
      <c r="K708" s="30" t="str">
        <f t="shared" si="83"/>
        <v>607070709Б0520460000</v>
      </c>
    </row>
    <row r="709" spans="1:11" s="30" customFormat="1">
      <c r="A709" s="244" t="s">
        <v>92</v>
      </c>
      <c r="B709" s="233" t="s">
        <v>26</v>
      </c>
      <c r="C709" s="234" t="s">
        <v>71</v>
      </c>
      <c r="D709" s="234" t="s">
        <v>71</v>
      </c>
      <c r="E709" s="234" t="s">
        <v>471</v>
      </c>
      <c r="F709" s="234" t="s">
        <v>138</v>
      </c>
      <c r="G709" s="235">
        <f>G710</f>
        <v>25540</v>
      </c>
      <c r="H709" s="235">
        <f>H710</f>
        <v>25540</v>
      </c>
      <c r="I709" s="234" t="s">
        <v>1220</v>
      </c>
      <c r="J709" s="370" t="str">
        <f t="shared" si="82"/>
        <v>09Б0520460</v>
      </c>
      <c r="K709" s="30" t="str">
        <f t="shared" si="83"/>
        <v>607070709Б0520460610</v>
      </c>
    </row>
    <row r="710" spans="1:11" s="83" customFormat="1" ht="38.25">
      <c r="A710" s="236" t="s">
        <v>1015</v>
      </c>
      <c r="B710" s="233" t="s">
        <v>26</v>
      </c>
      <c r="C710" s="234" t="s">
        <v>71</v>
      </c>
      <c r="D710" s="234" t="s">
        <v>71</v>
      </c>
      <c r="E710" s="234" t="s">
        <v>471</v>
      </c>
      <c r="F710" s="234" t="s">
        <v>67</v>
      </c>
      <c r="G710" s="235">
        <f>VLOOKUP(K710,'исх АС БЮДЖЕТ'!$A$10:$H$568,7,0)</f>
        <v>25540</v>
      </c>
      <c r="H710" s="235">
        <f>VLOOKUP(K710,'исх АС БЮДЖЕТ'!$A$10:$H$568,8,0)</f>
        <v>25540</v>
      </c>
      <c r="I710" s="234" t="s">
        <v>1220</v>
      </c>
      <c r="J710" s="370" t="str">
        <f t="shared" si="82"/>
        <v>09Б0520460</v>
      </c>
      <c r="K710" s="30" t="str">
        <f t="shared" si="83"/>
        <v>607070709Б0520460611</v>
      </c>
    </row>
    <row r="711" spans="1:11" s="30" customFormat="1" ht="25.5">
      <c r="A711" s="236" t="s">
        <v>472</v>
      </c>
      <c r="B711" s="233" t="s">
        <v>26</v>
      </c>
      <c r="C711" s="234" t="s">
        <v>71</v>
      </c>
      <c r="D711" s="234" t="s">
        <v>71</v>
      </c>
      <c r="E711" s="234" t="s">
        <v>473</v>
      </c>
      <c r="F711" s="234" t="s">
        <v>58</v>
      </c>
      <c r="G711" s="235">
        <f t="shared" ref="G711:H712" si="91">G712</f>
        <v>2755660</v>
      </c>
      <c r="H711" s="235">
        <f t="shared" si="91"/>
        <v>2755660</v>
      </c>
      <c r="I711" s="234" t="s">
        <v>1221</v>
      </c>
      <c r="J711" s="370" t="str">
        <f t="shared" si="82"/>
        <v>09Б0600000</v>
      </c>
      <c r="K711" s="30" t="str">
        <f t="shared" si="83"/>
        <v>607070709Б0600000000</v>
      </c>
    </row>
    <row r="712" spans="1:11" s="30" customFormat="1">
      <c r="A712" s="236" t="s">
        <v>247</v>
      </c>
      <c r="B712" s="233" t="s">
        <v>26</v>
      </c>
      <c r="C712" s="234" t="s">
        <v>71</v>
      </c>
      <c r="D712" s="234" t="s">
        <v>71</v>
      </c>
      <c r="E712" s="234" t="s">
        <v>474</v>
      </c>
      <c r="F712" s="234" t="s">
        <v>58</v>
      </c>
      <c r="G712" s="235">
        <f t="shared" si="91"/>
        <v>2755660</v>
      </c>
      <c r="H712" s="235">
        <f t="shared" si="91"/>
        <v>2755660</v>
      </c>
      <c r="I712" s="234" t="s">
        <v>1222</v>
      </c>
      <c r="J712" s="370" t="str">
        <f t="shared" si="82"/>
        <v>09Б0611010</v>
      </c>
      <c r="K712" s="30" t="str">
        <f t="shared" si="83"/>
        <v>607070709Б0611010000</v>
      </c>
    </row>
    <row r="713" spans="1:11" s="30" customFormat="1">
      <c r="A713" s="244" t="s">
        <v>92</v>
      </c>
      <c r="B713" s="233" t="s">
        <v>26</v>
      </c>
      <c r="C713" s="234" t="s">
        <v>71</v>
      </c>
      <c r="D713" s="234" t="s">
        <v>71</v>
      </c>
      <c r="E713" s="234" t="s">
        <v>474</v>
      </c>
      <c r="F713" s="234" t="s">
        <v>138</v>
      </c>
      <c r="G713" s="235">
        <f>G714</f>
        <v>2755660</v>
      </c>
      <c r="H713" s="235">
        <f>H714</f>
        <v>2755660</v>
      </c>
      <c r="I713" s="234" t="s">
        <v>1222</v>
      </c>
      <c r="J713" s="370" t="str">
        <f t="shared" si="82"/>
        <v>09Б0611010</v>
      </c>
      <c r="K713" s="30" t="str">
        <f t="shared" si="83"/>
        <v>607070709Б0611010610</v>
      </c>
    </row>
    <row r="714" spans="1:11" s="83" customFormat="1" ht="38.25">
      <c r="A714" s="236" t="s">
        <v>1015</v>
      </c>
      <c r="B714" s="233" t="s">
        <v>26</v>
      </c>
      <c r="C714" s="234" t="s">
        <v>71</v>
      </c>
      <c r="D714" s="234" t="s">
        <v>71</v>
      </c>
      <c r="E714" s="234" t="s">
        <v>474</v>
      </c>
      <c r="F714" s="234" t="s">
        <v>67</v>
      </c>
      <c r="G714" s="235">
        <f>VLOOKUP(K714,'исх АС БЮДЖЕТ'!$A$10:$H$568,7,0)</f>
        <v>2755660</v>
      </c>
      <c r="H714" s="235">
        <f>VLOOKUP(K714,'исх АС БЮДЖЕТ'!$A$10:$H$568,8,0)</f>
        <v>2755660</v>
      </c>
      <c r="I714" s="234" t="s">
        <v>1222</v>
      </c>
      <c r="J714" s="370" t="str">
        <f t="shared" si="82"/>
        <v>09Б0611010</v>
      </c>
      <c r="K714" s="30" t="str">
        <f t="shared" si="83"/>
        <v>607070709Б0611010611</v>
      </c>
    </row>
    <row r="715" spans="1:11" s="3" customFormat="1">
      <c r="A715" s="224" t="s">
        <v>83</v>
      </c>
      <c r="B715" s="225" t="s">
        <v>26</v>
      </c>
      <c r="C715" s="226" t="s">
        <v>50</v>
      </c>
      <c r="D715" s="226" t="s">
        <v>51</v>
      </c>
      <c r="E715" s="226" t="s">
        <v>196</v>
      </c>
      <c r="F715" s="226" t="s">
        <v>58</v>
      </c>
      <c r="G715" s="227">
        <f>G716+G773</f>
        <v>164716100</v>
      </c>
      <c r="H715" s="227">
        <f>H716+H773</f>
        <v>162120140</v>
      </c>
      <c r="I715" s="226">
        <v>0</v>
      </c>
      <c r="J715" s="370" t="str">
        <f t="shared" si="82"/>
        <v>0000000000</v>
      </c>
      <c r="K715" s="30" t="str">
        <f t="shared" si="83"/>
        <v>60708000000000000000</v>
      </c>
    </row>
    <row r="716" spans="1:11" s="3" customFormat="1">
      <c r="A716" s="228" t="s">
        <v>27</v>
      </c>
      <c r="B716" s="229" t="s">
        <v>26</v>
      </c>
      <c r="C716" s="230" t="s">
        <v>50</v>
      </c>
      <c r="D716" s="230" t="s">
        <v>65</v>
      </c>
      <c r="E716" s="230" t="s">
        <v>196</v>
      </c>
      <c r="F716" s="230" t="s">
        <v>58</v>
      </c>
      <c r="G716" s="231">
        <f>G717+G767+G761</f>
        <v>151105640</v>
      </c>
      <c r="H716" s="231">
        <f>H717+H767+H761</f>
        <v>148509680</v>
      </c>
      <c r="I716" s="230">
        <v>0</v>
      </c>
      <c r="J716" s="370" t="str">
        <f t="shared" si="82"/>
        <v>0000000000</v>
      </c>
      <c r="K716" s="30" t="str">
        <f t="shared" si="83"/>
        <v>60708010000000000000</v>
      </c>
    </row>
    <row r="717" spans="1:11" s="3" customFormat="1">
      <c r="A717" s="232" t="s">
        <v>739</v>
      </c>
      <c r="B717" s="233" t="s">
        <v>26</v>
      </c>
      <c r="C717" s="234" t="s">
        <v>50</v>
      </c>
      <c r="D717" s="234" t="s">
        <v>65</v>
      </c>
      <c r="E717" s="234" t="s">
        <v>277</v>
      </c>
      <c r="F717" s="234" t="s">
        <v>58</v>
      </c>
      <c r="G717" s="235">
        <f>G718+G725</f>
        <v>150481290</v>
      </c>
      <c r="H717" s="235">
        <f>H718+H725</f>
        <v>147885330</v>
      </c>
      <c r="I717" s="234">
        <v>700000000</v>
      </c>
      <c r="J717" s="370" t="str">
        <f t="shared" ref="J717:J772" si="92">TEXT(I717,"0000000000")</f>
        <v>0700000000</v>
      </c>
      <c r="K717" s="30" t="str">
        <f t="shared" ref="K717:K772" si="93">CONCATENATE(B717,C717,D717,J717,F717)</f>
        <v>60708010700000000000</v>
      </c>
    </row>
    <row r="718" spans="1:11" s="3" customFormat="1" ht="38.25">
      <c r="A718" s="232" t="s">
        <v>191</v>
      </c>
      <c r="B718" s="233" t="s">
        <v>26</v>
      </c>
      <c r="C718" s="234" t="s">
        <v>50</v>
      </c>
      <c r="D718" s="234" t="s">
        <v>65</v>
      </c>
      <c r="E718" s="234" t="s">
        <v>278</v>
      </c>
      <c r="F718" s="234" t="s">
        <v>58</v>
      </c>
      <c r="G718" s="235">
        <f t="shared" ref="G718:H719" si="94">G719</f>
        <v>4973000</v>
      </c>
      <c r="H718" s="235">
        <f t="shared" si="94"/>
        <v>4973000</v>
      </c>
      <c r="I718" s="234">
        <v>710000000</v>
      </c>
      <c r="J718" s="370" t="str">
        <f t="shared" si="92"/>
        <v>0710000000</v>
      </c>
      <c r="K718" s="30" t="str">
        <f t="shared" si="93"/>
        <v>60708010710000000000</v>
      </c>
    </row>
    <row r="719" spans="1:11" s="3" customFormat="1" ht="51">
      <c r="A719" s="232" t="s">
        <v>605</v>
      </c>
      <c r="B719" s="233" t="s">
        <v>26</v>
      </c>
      <c r="C719" s="234" t="s">
        <v>50</v>
      </c>
      <c r="D719" s="234" t="s">
        <v>65</v>
      </c>
      <c r="E719" s="234" t="s">
        <v>279</v>
      </c>
      <c r="F719" s="234" t="s">
        <v>58</v>
      </c>
      <c r="G719" s="235">
        <f t="shared" si="94"/>
        <v>4973000</v>
      </c>
      <c r="H719" s="235">
        <f t="shared" si="94"/>
        <v>4973000</v>
      </c>
      <c r="I719" s="234">
        <v>710100000</v>
      </c>
      <c r="J719" s="370" t="str">
        <f t="shared" si="92"/>
        <v>0710100000</v>
      </c>
      <c r="K719" s="30" t="str">
        <f t="shared" si="93"/>
        <v>60708010710100000000</v>
      </c>
    </row>
    <row r="720" spans="1:11" s="3" customFormat="1">
      <c r="A720" s="232" t="s">
        <v>161</v>
      </c>
      <c r="B720" s="233" t="s">
        <v>26</v>
      </c>
      <c r="C720" s="234" t="s">
        <v>50</v>
      </c>
      <c r="D720" s="234" t="s">
        <v>65</v>
      </c>
      <c r="E720" s="234" t="s">
        <v>320</v>
      </c>
      <c r="F720" s="234" t="s">
        <v>58</v>
      </c>
      <c r="G720" s="235">
        <f>G721+G723</f>
        <v>4973000</v>
      </c>
      <c r="H720" s="235">
        <f>H721+H723</f>
        <v>4973000</v>
      </c>
      <c r="I720" s="234">
        <v>710120060</v>
      </c>
      <c r="J720" s="370" t="str">
        <f t="shared" si="92"/>
        <v>0710120060</v>
      </c>
      <c r="K720" s="30" t="str">
        <f t="shared" si="93"/>
        <v>60708010710120060000</v>
      </c>
    </row>
    <row r="721" spans="1:11" s="3" customFormat="1">
      <c r="A721" s="244" t="s">
        <v>92</v>
      </c>
      <c r="B721" s="233" t="s">
        <v>26</v>
      </c>
      <c r="C721" s="234" t="s">
        <v>50</v>
      </c>
      <c r="D721" s="234" t="s">
        <v>65</v>
      </c>
      <c r="E721" s="234" t="s">
        <v>320</v>
      </c>
      <c r="F721" s="234" t="s">
        <v>138</v>
      </c>
      <c r="G721" s="235">
        <f>G722</f>
        <v>3642500</v>
      </c>
      <c r="H721" s="235">
        <f>H722</f>
        <v>3642500</v>
      </c>
      <c r="I721" s="234">
        <v>710120060</v>
      </c>
      <c r="J721" s="370" t="str">
        <f t="shared" si="92"/>
        <v>0710120060</v>
      </c>
      <c r="K721" s="30" t="str">
        <f t="shared" si="93"/>
        <v>60708010710120060610</v>
      </c>
    </row>
    <row r="722" spans="1:11" s="4" customFormat="1" ht="38.25">
      <c r="A722" s="236" t="s">
        <v>1015</v>
      </c>
      <c r="B722" s="233" t="s">
        <v>26</v>
      </c>
      <c r="C722" s="234" t="s">
        <v>50</v>
      </c>
      <c r="D722" s="234" t="s">
        <v>65</v>
      </c>
      <c r="E722" s="234" t="s">
        <v>320</v>
      </c>
      <c r="F722" s="234" t="s">
        <v>67</v>
      </c>
      <c r="G722" s="235">
        <f>VLOOKUP(K722,'исх АС БЮДЖЕТ'!$A$10:$H$568,7,0)</f>
        <v>3642500</v>
      </c>
      <c r="H722" s="235">
        <f>VLOOKUP(K722,'исх АС БЮДЖЕТ'!$A$10:$H$568,8,0)</f>
        <v>3642500</v>
      </c>
      <c r="I722" s="234">
        <v>710120060</v>
      </c>
      <c r="J722" s="370" t="str">
        <f t="shared" si="92"/>
        <v>0710120060</v>
      </c>
      <c r="K722" s="30" t="str">
        <f t="shared" si="93"/>
        <v>60708010710120060611</v>
      </c>
    </row>
    <row r="723" spans="1:11" s="3" customFormat="1">
      <c r="A723" s="244" t="s">
        <v>93</v>
      </c>
      <c r="B723" s="233" t="s">
        <v>26</v>
      </c>
      <c r="C723" s="234" t="s">
        <v>50</v>
      </c>
      <c r="D723" s="234" t="s">
        <v>65</v>
      </c>
      <c r="E723" s="234" t="s">
        <v>320</v>
      </c>
      <c r="F723" s="234" t="s">
        <v>20</v>
      </c>
      <c r="G723" s="235">
        <f>G724</f>
        <v>1330500</v>
      </c>
      <c r="H723" s="235">
        <f>H724</f>
        <v>1330500</v>
      </c>
      <c r="I723" s="234">
        <v>710120060</v>
      </c>
      <c r="J723" s="370" t="str">
        <f t="shared" si="92"/>
        <v>0710120060</v>
      </c>
      <c r="K723" s="30" t="str">
        <f t="shared" si="93"/>
        <v>60708010710120060620</v>
      </c>
    </row>
    <row r="724" spans="1:11" s="4" customFormat="1" ht="38.25">
      <c r="A724" s="236" t="s">
        <v>1018</v>
      </c>
      <c r="B724" s="233" t="s">
        <v>26</v>
      </c>
      <c r="C724" s="234" t="s">
        <v>50</v>
      </c>
      <c r="D724" s="234" t="s">
        <v>65</v>
      </c>
      <c r="E724" s="234" t="s">
        <v>320</v>
      </c>
      <c r="F724" s="234" t="s">
        <v>16</v>
      </c>
      <c r="G724" s="235">
        <f>VLOOKUP(K724,'исх АС БЮДЖЕТ'!$A$10:$H$568,7,0)</f>
        <v>1330500</v>
      </c>
      <c r="H724" s="235">
        <f>VLOOKUP(K724,'исх АС БЮДЖЕТ'!$A$10:$H$568,8,0)</f>
        <v>1330500</v>
      </c>
      <c r="I724" s="234">
        <v>710120060</v>
      </c>
      <c r="J724" s="370" t="str">
        <f t="shared" si="92"/>
        <v>0710120060</v>
      </c>
      <c r="K724" s="30" t="str">
        <f t="shared" si="93"/>
        <v>60708010710120060621</v>
      </c>
    </row>
    <row r="725" spans="1:11" s="3" customFormat="1">
      <c r="A725" s="232" t="s">
        <v>140</v>
      </c>
      <c r="B725" s="233" t="s">
        <v>26</v>
      </c>
      <c r="C725" s="234" t="s">
        <v>50</v>
      </c>
      <c r="D725" s="234" t="s">
        <v>65</v>
      </c>
      <c r="E725" s="234" t="s">
        <v>372</v>
      </c>
      <c r="F725" s="234" t="s">
        <v>58</v>
      </c>
      <c r="G725" s="235">
        <f>G726+G732+G736+G743+G753+G757+G749</f>
        <v>145508290</v>
      </c>
      <c r="H725" s="235">
        <f>H726+H732+H736+H743+H753+H757+H749</f>
        <v>142912330</v>
      </c>
      <c r="I725" s="234">
        <v>720000000</v>
      </c>
      <c r="J725" s="370" t="str">
        <f t="shared" si="92"/>
        <v>0720000000</v>
      </c>
      <c r="K725" s="30" t="str">
        <f t="shared" si="93"/>
        <v>60708010720000000000</v>
      </c>
    </row>
    <row r="726" spans="1:11" s="3" customFormat="1" ht="25.5">
      <c r="A726" s="232" t="s">
        <v>377</v>
      </c>
      <c r="B726" s="233" t="s">
        <v>26</v>
      </c>
      <c r="C726" s="234" t="s">
        <v>50</v>
      </c>
      <c r="D726" s="234" t="s">
        <v>65</v>
      </c>
      <c r="E726" s="234" t="s">
        <v>378</v>
      </c>
      <c r="F726" s="234" t="s">
        <v>58</v>
      </c>
      <c r="G726" s="235">
        <f>G727</f>
        <v>50566200</v>
      </c>
      <c r="H726" s="235">
        <f>H727</f>
        <v>50566200</v>
      </c>
      <c r="I726" s="234">
        <v>720200000</v>
      </c>
      <c r="J726" s="370" t="str">
        <f t="shared" si="92"/>
        <v>0720200000</v>
      </c>
      <c r="K726" s="30" t="str">
        <f t="shared" si="93"/>
        <v>60708010720200000000</v>
      </c>
    </row>
    <row r="727" spans="1:11" s="3" customFormat="1">
      <c r="A727" s="232" t="s">
        <v>247</v>
      </c>
      <c r="B727" s="233" t="s">
        <v>26</v>
      </c>
      <c r="C727" s="234" t="s">
        <v>50</v>
      </c>
      <c r="D727" s="234" t="s">
        <v>65</v>
      </c>
      <c r="E727" s="234" t="s">
        <v>379</v>
      </c>
      <c r="F727" s="234" t="s">
        <v>58</v>
      </c>
      <c r="G727" s="235">
        <f>G728+G730</f>
        <v>50566200</v>
      </c>
      <c r="H727" s="235">
        <f>H728+H730</f>
        <v>50566200</v>
      </c>
      <c r="I727" s="234">
        <v>720211010</v>
      </c>
      <c r="J727" s="370" t="str">
        <f t="shared" si="92"/>
        <v>0720211010</v>
      </c>
      <c r="K727" s="30" t="str">
        <f t="shared" si="93"/>
        <v>60708010720211010000</v>
      </c>
    </row>
    <row r="728" spans="1:11" s="3" customFormat="1">
      <c r="A728" s="244" t="s">
        <v>92</v>
      </c>
      <c r="B728" s="233" t="s">
        <v>26</v>
      </c>
      <c r="C728" s="234" t="s">
        <v>50</v>
      </c>
      <c r="D728" s="234" t="s">
        <v>65</v>
      </c>
      <c r="E728" s="234" t="s">
        <v>379</v>
      </c>
      <c r="F728" s="234" t="s">
        <v>138</v>
      </c>
      <c r="G728" s="235">
        <f>G729</f>
        <v>32804000</v>
      </c>
      <c r="H728" s="235">
        <f>H729</f>
        <v>32804000</v>
      </c>
      <c r="I728" s="234">
        <v>720211010</v>
      </c>
      <c r="J728" s="370" t="str">
        <f t="shared" si="92"/>
        <v>0720211010</v>
      </c>
      <c r="K728" s="30" t="str">
        <f t="shared" si="93"/>
        <v>60708010720211010610</v>
      </c>
    </row>
    <row r="729" spans="1:11" s="4" customFormat="1" ht="38.25">
      <c r="A729" s="236" t="s">
        <v>1015</v>
      </c>
      <c r="B729" s="233" t="s">
        <v>26</v>
      </c>
      <c r="C729" s="234" t="s">
        <v>50</v>
      </c>
      <c r="D729" s="234" t="s">
        <v>65</v>
      </c>
      <c r="E729" s="234" t="s">
        <v>379</v>
      </c>
      <c r="F729" s="234" t="s">
        <v>67</v>
      </c>
      <c r="G729" s="235">
        <f>VLOOKUP(K729,'исх АС БЮДЖЕТ'!$A$10:$H$568,7,0)</f>
        <v>32804000</v>
      </c>
      <c r="H729" s="235">
        <f>VLOOKUP(K729,'исх АС БЮДЖЕТ'!$A$10:$H$568,8,0)</f>
        <v>32804000</v>
      </c>
      <c r="I729" s="234">
        <v>720211010</v>
      </c>
      <c r="J729" s="370" t="str">
        <f t="shared" si="92"/>
        <v>0720211010</v>
      </c>
      <c r="K729" s="30" t="str">
        <f t="shared" si="93"/>
        <v>60708010720211010611</v>
      </c>
    </row>
    <row r="730" spans="1:11" s="3" customFormat="1">
      <c r="A730" s="244" t="s">
        <v>93</v>
      </c>
      <c r="B730" s="233" t="s">
        <v>26</v>
      </c>
      <c r="C730" s="234" t="s">
        <v>50</v>
      </c>
      <c r="D730" s="234" t="s">
        <v>65</v>
      </c>
      <c r="E730" s="234" t="s">
        <v>379</v>
      </c>
      <c r="F730" s="234" t="s">
        <v>20</v>
      </c>
      <c r="G730" s="235">
        <f>G731</f>
        <v>17762200</v>
      </c>
      <c r="H730" s="235">
        <f>H731</f>
        <v>17762200</v>
      </c>
      <c r="I730" s="234">
        <v>720211010</v>
      </c>
      <c r="J730" s="370" t="str">
        <f t="shared" si="92"/>
        <v>0720211010</v>
      </c>
      <c r="K730" s="30" t="str">
        <f t="shared" si="93"/>
        <v>60708010720211010620</v>
      </c>
    </row>
    <row r="731" spans="1:11" s="4" customFormat="1" ht="38.25">
      <c r="A731" s="236" t="s">
        <v>1018</v>
      </c>
      <c r="B731" s="233" t="s">
        <v>26</v>
      </c>
      <c r="C731" s="234" t="s">
        <v>50</v>
      </c>
      <c r="D731" s="234" t="s">
        <v>65</v>
      </c>
      <c r="E731" s="234" t="s">
        <v>379</v>
      </c>
      <c r="F731" s="234" t="s">
        <v>16</v>
      </c>
      <c r="G731" s="235">
        <f>VLOOKUP(K731,'исх АС БЮДЖЕТ'!$A$10:$H$568,7,0)</f>
        <v>17762200</v>
      </c>
      <c r="H731" s="235">
        <f>VLOOKUP(K731,'исх АС БЮДЖЕТ'!$A$10:$H$568,8,0)</f>
        <v>17762200</v>
      </c>
      <c r="I731" s="234">
        <v>720211010</v>
      </c>
      <c r="J731" s="370" t="str">
        <f t="shared" si="92"/>
        <v>0720211010</v>
      </c>
      <c r="K731" s="30" t="str">
        <f t="shared" si="93"/>
        <v>60708010720211010621</v>
      </c>
    </row>
    <row r="732" spans="1:11" s="3" customFormat="1" ht="25.5">
      <c r="A732" s="232" t="s">
        <v>380</v>
      </c>
      <c r="B732" s="233" t="s">
        <v>26</v>
      </c>
      <c r="C732" s="234" t="s">
        <v>50</v>
      </c>
      <c r="D732" s="234" t="s">
        <v>65</v>
      </c>
      <c r="E732" s="234" t="s">
        <v>381</v>
      </c>
      <c r="F732" s="234" t="s">
        <v>58</v>
      </c>
      <c r="G732" s="235">
        <f t="shared" ref="G732:H733" si="95">G733</f>
        <v>3102840</v>
      </c>
      <c r="H732" s="235">
        <f t="shared" si="95"/>
        <v>3102840</v>
      </c>
      <c r="I732" s="234">
        <v>720300000</v>
      </c>
      <c r="J732" s="370" t="str">
        <f t="shared" si="92"/>
        <v>0720300000</v>
      </c>
      <c r="K732" s="30" t="str">
        <f t="shared" si="93"/>
        <v>60708010720300000000</v>
      </c>
    </row>
    <row r="733" spans="1:11" s="3" customFormat="1">
      <c r="A733" s="232" t="s">
        <v>247</v>
      </c>
      <c r="B733" s="233" t="s">
        <v>26</v>
      </c>
      <c r="C733" s="234" t="s">
        <v>50</v>
      </c>
      <c r="D733" s="234" t="s">
        <v>65</v>
      </c>
      <c r="E733" s="234" t="s">
        <v>382</v>
      </c>
      <c r="F733" s="234" t="s">
        <v>58</v>
      </c>
      <c r="G733" s="235">
        <f t="shared" si="95"/>
        <v>3102840</v>
      </c>
      <c r="H733" s="235">
        <f t="shared" si="95"/>
        <v>3102840</v>
      </c>
      <c r="I733" s="234">
        <v>720311010</v>
      </c>
      <c r="J733" s="370" t="str">
        <f t="shared" si="92"/>
        <v>0720311010</v>
      </c>
      <c r="K733" s="30" t="str">
        <f t="shared" si="93"/>
        <v>60708010720311010000</v>
      </c>
    </row>
    <row r="734" spans="1:11" s="3" customFormat="1">
      <c r="A734" s="244" t="s">
        <v>92</v>
      </c>
      <c r="B734" s="233" t="s">
        <v>26</v>
      </c>
      <c r="C734" s="234" t="s">
        <v>50</v>
      </c>
      <c r="D734" s="234" t="s">
        <v>65</v>
      </c>
      <c r="E734" s="234" t="s">
        <v>382</v>
      </c>
      <c r="F734" s="234" t="s">
        <v>138</v>
      </c>
      <c r="G734" s="235">
        <f>G735</f>
        <v>3102840</v>
      </c>
      <c r="H734" s="235">
        <f>H735</f>
        <v>3102840</v>
      </c>
      <c r="I734" s="234">
        <v>720311010</v>
      </c>
      <c r="J734" s="370" t="str">
        <f t="shared" si="92"/>
        <v>0720311010</v>
      </c>
      <c r="K734" s="30" t="str">
        <f t="shared" si="93"/>
        <v>60708010720311010610</v>
      </c>
    </row>
    <row r="735" spans="1:11" s="4" customFormat="1" ht="38.25">
      <c r="A735" s="236" t="s">
        <v>1015</v>
      </c>
      <c r="B735" s="233" t="s">
        <v>26</v>
      </c>
      <c r="C735" s="234" t="s">
        <v>50</v>
      </c>
      <c r="D735" s="234" t="s">
        <v>65</v>
      </c>
      <c r="E735" s="234" t="s">
        <v>382</v>
      </c>
      <c r="F735" s="234" t="s">
        <v>67</v>
      </c>
      <c r="G735" s="235">
        <f>VLOOKUP(K735,'исх АС БЮДЖЕТ'!$A$10:$H$568,7,0)</f>
        <v>3102840</v>
      </c>
      <c r="H735" s="235">
        <f>VLOOKUP(K735,'исх АС БЮДЖЕТ'!$A$10:$H$568,8,0)</f>
        <v>3102840</v>
      </c>
      <c r="I735" s="234">
        <v>720311010</v>
      </c>
      <c r="J735" s="370" t="str">
        <f t="shared" si="92"/>
        <v>0720311010</v>
      </c>
      <c r="K735" s="30" t="str">
        <f t="shared" si="93"/>
        <v>60708010720311010611</v>
      </c>
    </row>
    <row r="736" spans="1:11" s="3" customFormat="1" ht="25.5">
      <c r="A736" s="232" t="s">
        <v>383</v>
      </c>
      <c r="B736" s="233" t="s">
        <v>26</v>
      </c>
      <c r="C736" s="234" t="s">
        <v>50</v>
      </c>
      <c r="D736" s="234" t="s">
        <v>65</v>
      </c>
      <c r="E736" s="234" t="s">
        <v>384</v>
      </c>
      <c r="F736" s="234" t="s">
        <v>58</v>
      </c>
      <c r="G736" s="235">
        <f>G737+G740</f>
        <v>39490990</v>
      </c>
      <c r="H736" s="235">
        <f>H737+H740</f>
        <v>39490990</v>
      </c>
      <c r="I736" s="234">
        <v>720400000</v>
      </c>
      <c r="J736" s="370" t="str">
        <f t="shared" si="92"/>
        <v>0720400000</v>
      </c>
      <c r="K736" s="30" t="str">
        <f t="shared" si="93"/>
        <v>60708010720400000000</v>
      </c>
    </row>
    <row r="737" spans="1:11" s="3" customFormat="1">
      <c r="A737" s="232" t="s">
        <v>247</v>
      </c>
      <c r="B737" s="233" t="s">
        <v>26</v>
      </c>
      <c r="C737" s="234" t="s">
        <v>50</v>
      </c>
      <c r="D737" s="234" t="s">
        <v>65</v>
      </c>
      <c r="E737" s="234" t="s">
        <v>385</v>
      </c>
      <c r="F737" s="234" t="s">
        <v>58</v>
      </c>
      <c r="G737" s="235">
        <f>G738</f>
        <v>38890990</v>
      </c>
      <c r="H737" s="235">
        <f>H738</f>
        <v>38890990</v>
      </c>
      <c r="I737" s="234">
        <v>720411010</v>
      </c>
      <c r="J737" s="370" t="str">
        <f t="shared" si="92"/>
        <v>0720411010</v>
      </c>
      <c r="K737" s="30" t="str">
        <f t="shared" si="93"/>
        <v>60708010720411010000</v>
      </c>
    </row>
    <row r="738" spans="1:11" s="3" customFormat="1">
      <c r="A738" s="244" t="s">
        <v>92</v>
      </c>
      <c r="B738" s="233" t="s">
        <v>26</v>
      </c>
      <c r="C738" s="234" t="s">
        <v>50</v>
      </c>
      <c r="D738" s="234" t="s">
        <v>65</v>
      </c>
      <c r="E738" s="234" t="s">
        <v>385</v>
      </c>
      <c r="F738" s="234" t="s">
        <v>138</v>
      </c>
      <c r="G738" s="235">
        <f>G739</f>
        <v>38890990</v>
      </c>
      <c r="H738" s="235">
        <f>H739</f>
        <v>38890990</v>
      </c>
      <c r="I738" s="234">
        <v>720411010</v>
      </c>
      <c r="J738" s="370" t="str">
        <f t="shared" si="92"/>
        <v>0720411010</v>
      </c>
      <c r="K738" s="30" t="str">
        <f t="shared" si="93"/>
        <v>60708010720411010610</v>
      </c>
    </row>
    <row r="739" spans="1:11" s="4" customFormat="1" ht="38.25">
      <c r="A739" s="236" t="s">
        <v>1015</v>
      </c>
      <c r="B739" s="233" t="s">
        <v>26</v>
      </c>
      <c r="C739" s="234" t="s">
        <v>50</v>
      </c>
      <c r="D739" s="234" t="s">
        <v>65</v>
      </c>
      <c r="E739" s="234" t="s">
        <v>385</v>
      </c>
      <c r="F739" s="234" t="s">
        <v>67</v>
      </c>
      <c r="G739" s="235">
        <f>VLOOKUP(K739,'исх АС БЮДЖЕТ'!$A$10:$H$568,7,0)</f>
        <v>38890990</v>
      </c>
      <c r="H739" s="235">
        <f>VLOOKUP(K739,'исх АС БЮДЖЕТ'!$A$10:$H$568,8,0)</f>
        <v>38890990</v>
      </c>
      <c r="I739" s="234">
        <v>720411010</v>
      </c>
      <c r="J739" s="370" t="str">
        <f t="shared" si="92"/>
        <v>0720411010</v>
      </c>
      <c r="K739" s="30" t="str">
        <f t="shared" si="93"/>
        <v>60708010720411010611</v>
      </c>
    </row>
    <row r="740" spans="1:11" s="3" customFormat="1" ht="25.5">
      <c r="A740" s="244" t="s">
        <v>919</v>
      </c>
      <c r="B740" s="233" t="s">
        <v>26</v>
      </c>
      <c r="C740" s="234" t="s">
        <v>50</v>
      </c>
      <c r="D740" s="234" t="s">
        <v>65</v>
      </c>
      <c r="E740" s="234" t="s">
        <v>918</v>
      </c>
      <c r="F740" s="234" t="s">
        <v>58</v>
      </c>
      <c r="G740" s="235">
        <f>G741</f>
        <v>600000</v>
      </c>
      <c r="H740" s="235">
        <f>H741</f>
        <v>600000</v>
      </c>
      <c r="I740" s="234" t="s">
        <v>1224</v>
      </c>
      <c r="J740" s="370" t="str">
        <f t="shared" si="92"/>
        <v>07204L5194</v>
      </c>
      <c r="K740" s="30" t="str">
        <f t="shared" si="93"/>
        <v>607080107204L5194000</v>
      </c>
    </row>
    <row r="741" spans="1:11" s="3" customFormat="1">
      <c r="A741" s="244" t="s">
        <v>92</v>
      </c>
      <c r="B741" s="233" t="s">
        <v>26</v>
      </c>
      <c r="C741" s="234" t="s">
        <v>50</v>
      </c>
      <c r="D741" s="234" t="s">
        <v>65</v>
      </c>
      <c r="E741" s="234" t="s">
        <v>918</v>
      </c>
      <c r="F741" s="234" t="s">
        <v>138</v>
      </c>
      <c r="G741" s="235">
        <f>G742</f>
        <v>600000</v>
      </c>
      <c r="H741" s="235">
        <f>H742</f>
        <v>600000</v>
      </c>
      <c r="I741" s="234" t="s">
        <v>1224</v>
      </c>
      <c r="J741" s="370" t="str">
        <f t="shared" si="92"/>
        <v>07204L5194</v>
      </c>
      <c r="K741" s="30" t="str">
        <f t="shared" si="93"/>
        <v>607080107204L5194610</v>
      </c>
    </row>
    <row r="742" spans="1:11" s="4" customFormat="1" ht="38.25">
      <c r="A742" s="236" t="s">
        <v>1015</v>
      </c>
      <c r="B742" s="233" t="s">
        <v>26</v>
      </c>
      <c r="C742" s="234" t="s">
        <v>50</v>
      </c>
      <c r="D742" s="234" t="s">
        <v>65</v>
      </c>
      <c r="E742" s="234" t="s">
        <v>918</v>
      </c>
      <c r="F742" s="234" t="s">
        <v>67</v>
      </c>
      <c r="G742" s="235">
        <f>VLOOKUP(K742,'исх АС БЮДЖЕТ'!$A$10:$H$568,7,0)</f>
        <v>600000</v>
      </c>
      <c r="H742" s="235">
        <f>VLOOKUP(K742,'исх АС БЮДЖЕТ'!$A$10:$H$568,8,0)</f>
        <v>600000</v>
      </c>
      <c r="I742" s="234" t="s">
        <v>1224</v>
      </c>
      <c r="J742" s="370" t="str">
        <f t="shared" si="92"/>
        <v>07204L5194</v>
      </c>
      <c r="K742" s="30" t="str">
        <f t="shared" si="93"/>
        <v>607080107204L5194611</v>
      </c>
    </row>
    <row r="743" spans="1:11" s="3" customFormat="1" ht="25.5">
      <c r="A743" s="232" t="s">
        <v>386</v>
      </c>
      <c r="B743" s="233" t="s">
        <v>26</v>
      </c>
      <c r="C743" s="234" t="s">
        <v>50</v>
      </c>
      <c r="D743" s="234" t="s">
        <v>65</v>
      </c>
      <c r="E743" s="234" t="s">
        <v>387</v>
      </c>
      <c r="F743" s="234" t="s">
        <v>58</v>
      </c>
      <c r="G743" s="235">
        <f>G744</f>
        <v>48784700</v>
      </c>
      <c r="H743" s="235">
        <f>H744</f>
        <v>48784700</v>
      </c>
      <c r="I743" s="234">
        <v>720500000</v>
      </c>
      <c r="J743" s="370" t="str">
        <f t="shared" si="92"/>
        <v>0720500000</v>
      </c>
      <c r="K743" s="30" t="str">
        <f t="shared" si="93"/>
        <v>60708010720500000000</v>
      </c>
    </row>
    <row r="744" spans="1:11" s="3" customFormat="1">
      <c r="A744" s="232" t="s">
        <v>247</v>
      </c>
      <c r="B744" s="233" t="s">
        <v>26</v>
      </c>
      <c r="C744" s="234" t="s">
        <v>50</v>
      </c>
      <c r="D744" s="234" t="s">
        <v>65</v>
      </c>
      <c r="E744" s="234" t="s">
        <v>388</v>
      </c>
      <c r="F744" s="234" t="s">
        <v>58</v>
      </c>
      <c r="G744" s="235">
        <f>G745+G747</f>
        <v>48784700</v>
      </c>
      <c r="H744" s="235">
        <f>H745+H747</f>
        <v>48784700</v>
      </c>
      <c r="I744" s="234">
        <v>720511010</v>
      </c>
      <c r="J744" s="370" t="str">
        <f t="shared" si="92"/>
        <v>0720511010</v>
      </c>
      <c r="K744" s="30" t="str">
        <f t="shared" si="93"/>
        <v>60708010720511010000</v>
      </c>
    </row>
    <row r="745" spans="1:11" s="3" customFormat="1">
      <c r="A745" s="244" t="s">
        <v>92</v>
      </c>
      <c r="B745" s="233" t="s">
        <v>26</v>
      </c>
      <c r="C745" s="234" t="s">
        <v>50</v>
      </c>
      <c r="D745" s="234" t="s">
        <v>65</v>
      </c>
      <c r="E745" s="234" t="s">
        <v>388</v>
      </c>
      <c r="F745" s="234" t="s">
        <v>138</v>
      </c>
      <c r="G745" s="235">
        <f>G746</f>
        <v>40616040</v>
      </c>
      <c r="H745" s="235">
        <f>H746</f>
        <v>40616040</v>
      </c>
      <c r="I745" s="234">
        <v>720511010</v>
      </c>
      <c r="J745" s="370" t="str">
        <f t="shared" si="92"/>
        <v>0720511010</v>
      </c>
      <c r="K745" s="30" t="str">
        <f t="shared" si="93"/>
        <v>60708010720511010610</v>
      </c>
    </row>
    <row r="746" spans="1:11" s="4" customFormat="1" ht="38.25">
      <c r="A746" s="236" t="s">
        <v>1015</v>
      </c>
      <c r="B746" s="233" t="s">
        <v>26</v>
      </c>
      <c r="C746" s="234" t="s">
        <v>50</v>
      </c>
      <c r="D746" s="234" t="s">
        <v>65</v>
      </c>
      <c r="E746" s="234" t="s">
        <v>388</v>
      </c>
      <c r="F746" s="234" t="s">
        <v>67</v>
      </c>
      <c r="G746" s="235">
        <f>VLOOKUP(K746,'исх АС БЮДЖЕТ'!$A$10:$H$568,7,0)</f>
        <v>40616040</v>
      </c>
      <c r="H746" s="235">
        <f>VLOOKUP(K746,'исх АС БЮДЖЕТ'!$A$10:$H$568,8,0)</f>
        <v>40616040</v>
      </c>
      <c r="I746" s="234">
        <v>720511010</v>
      </c>
      <c r="J746" s="370" t="str">
        <f t="shared" si="92"/>
        <v>0720511010</v>
      </c>
      <c r="K746" s="30" t="str">
        <f t="shared" si="93"/>
        <v>60708010720511010611</v>
      </c>
    </row>
    <row r="747" spans="1:11" s="3" customFormat="1">
      <c r="A747" s="244" t="s">
        <v>93</v>
      </c>
      <c r="B747" s="233" t="s">
        <v>26</v>
      </c>
      <c r="C747" s="234" t="s">
        <v>50</v>
      </c>
      <c r="D747" s="234" t="s">
        <v>65</v>
      </c>
      <c r="E747" s="234" t="s">
        <v>388</v>
      </c>
      <c r="F747" s="234" t="s">
        <v>20</v>
      </c>
      <c r="G747" s="235">
        <f>G748</f>
        <v>8168660</v>
      </c>
      <c r="H747" s="235">
        <f>H748</f>
        <v>8168660</v>
      </c>
      <c r="I747" s="234">
        <v>720511010</v>
      </c>
      <c r="J747" s="370" t="str">
        <f t="shared" si="92"/>
        <v>0720511010</v>
      </c>
      <c r="K747" s="30" t="str">
        <f t="shared" si="93"/>
        <v>60708010720511010620</v>
      </c>
    </row>
    <row r="748" spans="1:11" s="4" customFormat="1" ht="38.25">
      <c r="A748" s="236" t="s">
        <v>1018</v>
      </c>
      <c r="B748" s="233" t="s">
        <v>26</v>
      </c>
      <c r="C748" s="234" t="s">
        <v>50</v>
      </c>
      <c r="D748" s="234" t="s">
        <v>65</v>
      </c>
      <c r="E748" s="234" t="s">
        <v>388</v>
      </c>
      <c r="F748" s="234" t="s">
        <v>16</v>
      </c>
      <c r="G748" s="235">
        <f>VLOOKUP(K748,'исх АС БЮДЖЕТ'!$A$10:$H$568,7,0)</f>
        <v>8168660</v>
      </c>
      <c r="H748" s="235">
        <f>VLOOKUP(K748,'исх АС БЮДЖЕТ'!$A$10:$H$568,8,0)</f>
        <v>8168660</v>
      </c>
      <c r="I748" s="234">
        <v>720511010</v>
      </c>
      <c r="J748" s="370" t="str">
        <f t="shared" si="92"/>
        <v>0720511010</v>
      </c>
      <c r="K748" s="30" t="str">
        <f t="shared" si="93"/>
        <v>60708010720511010621</v>
      </c>
    </row>
    <row r="749" spans="1:11" s="4" customFormat="1" ht="38.25">
      <c r="A749" s="232" t="s">
        <v>621</v>
      </c>
      <c r="B749" s="233" t="s">
        <v>26</v>
      </c>
      <c r="C749" s="234" t="s">
        <v>50</v>
      </c>
      <c r="D749" s="234" t="s">
        <v>65</v>
      </c>
      <c r="E749" s="234" t="s">
        <v>375</v>
      </c>
      <c r="F749" s="234" t="s">
        <v>58</v>
      </c>
      <c r="G749" s="235">
        <f t="shared" ref="G749:H751" si="96">G750</f>
        <v>2595960</v>
      </c>
      <c r="H749" s="235">
        <f t="shared" si="96"/>
        <v>0</v>
      </c>
      <c r="I749" s="234"/>
      <c r="J749" s="370"/>
      <c r="K749" s="30"/>
    </row>
    <row r="750" spans="1:11" s="4" customFormat="1" ht="25.5">
      <c r="A750" s="232" t="s">
        <v>162</v>
      </c>
      <c r="B750" s="233" t="s">
        <v>26</v>
      </c>
      <c r="C750" s="234" t="s">
        <v>50</v>
      </c>
      <c r="D750" s="234" t="s">
        <v>65</v>
      </c>
      <c r="E750" s="234" t="s">
        <v>376</v>
      </c>
      <c r="F750" s="234" t="s">
        <v>58</v>
      </c>
      <c r="G750" s="235">
        <f t="shared" si="96"/>
        <v>2595960</v>
      </c>
      <c r="H750" s="235">
        <f t="shared" si="96"/>
        <v>0</v>
      </c>
      <c r="I750" s="234"/>
      <c r="J750" s="370"/>
      <c r="K750" s="30"/>
    </row>
    <row r="751" spans="1:11" s="4" customFormat="1">
      <c r="A751" s="244" t="s">
        <v>92</v>
      </c>
      <c r="B751" s="233" t="s">
        <v>26</v>
      </c>
      <c r="C751" s="234" t="s">
        <v>50</v>
      </c>
      <c r="D751" s="234" t="s">
        <v>65</v>
      </c>
      <c r="E751" s="234" t="s">
        <v>376</v>
      </c>
      <c r="F751" s="234" t="s">
        <v>138</v>
      </c>
      <c r="G751" s="235">
        <f t="shared" si="96"/>
        <v>2595960</v>
      </c>
      <c r="H751" s="235">
        <f t="shared" si="96"/>
        <v>0</v>
      </c>
      <c r="I751" s="234"/>
      <c r="J751" s="370"/>
      <c r="K751" s="30"/>
    </row>
    <row r="752" spans="1:11" s="4" customFormat="1">
      <c r="A752" s="236" t="s">
        <v>1016</v>
      </c>
      <c r="B752" s="233" t="s">
        <v>26</v>
      </c>
      <c r="C752" s="234" t="s">
        <v>50</v>
      </c>
      <c r="D752" s="234" t="s">
        <v>65</v>
      </c>
      <c r="E752" s="234" t="s">
        <v>376</v>
      </c>
      <c r="F752" s="234" t="s">
        <v>1046</v>
      </c>
      <c r="G752" s="235">
        <v>2595960</v>
      </c>
      <c r="H752" s="235">
        <f>K752</f>
        <v>0</v>
      </c>
      <c r="I752" s="234"/>
      <c r="J752" s="370"/>
      <c r="K752" s="30"/>
    </row>
    <row r="753" spans="1:11" s="3" customFormat="1" ht="63.75">
      <c r="A753" s="244" t="s">
        <v>850</v>
      </c>
      <c r="B753" s="233" t="s">
        <v>26</v>
      </c>
      <c r="C753" s="234" t="s">
        <v>50</v>
      </c>
      <c r="D753" s="234" t="s">
        <v>65</v>
      </c>
      <c r="E753" s="234" t="s">
        <v>622</v>
      </c>
      <c r="F753" s="234" t="s">
        <v>58</v>
      </c>
      <c r="G753" s="235">
        <f t="shared" ref="G753:H754" si="97">G754</f>
        <v>150000</v>
      </c>
      <c r="H753" s="235">
        <f t="shared" si="97"/>
        <v>150000</v>
      </c>
      <c r="I753" s="234">
        <v>720800000</v>
      </c>
      <c r="J753" s="370" t="str">
        <f t="shared" si="92"/>
        <v>0720800000</v>
      </c>
      <c r="K753" s="30" t="str">
        <f t="shared" si="93"/>
        <v>60708010720800000000</v>
      </c>
    </row>
    <row r="754" spans="1:11" s="3" customFormat="1" ht="63.75">
      <c r="A754" s="232" t="s">
        <v>853</v>
      </c>
      <c r="B754" s="233" t="s">
        <v>26</v>
      </c>
      <c r="C754" s="234" t="s">
        <v>50</v>
      </c>
      <c r="D754" s="234" t="s">
        <v>65</v>
      </c>
      <c r="E754" s="234" t="s">
        <v>623</v>
      </c>
      <c r="F754" s="234" t="s">
        <v>58</v>
      </c>
      <c r="G754" s="235">
        <f t="shared" si="97"/>
        <v>150000</v>
      </c>
      <c r="H754" s="235">
        <f t="shared" si="97"/>
        <v>150000</v>
      </c>
      <c r="I754" s="234">
        <v>720821230</v>
      </c>
      <c r="J754" s="370" t="str">
        <f t="shared" si="92"/>
        <v>0720821230</v>
      </c>
      <c r="K754" s="30" t="str">
        <f t="shared" si="93"/>
        <v>60708010720821230000</v>
      </c>
    </row>
    <row r="755" spans="1:11" s="3" customFormat="1">
      <c r="A755" s="244" t="s">
        <v>92</v>
      </c>
      <c r="B755" s="233" t="s">
        <v>26</v>
      </c>
      <c r="C755" s="234" t="s">
        <v>50</v>
      </c>
      <c r="D755" s="234" t="s">
        <v>65</v>
      </c>
      <c r="E755" s="234" t="s">
        <v>623</v>
      </c>
      <c r="F755" s="234" t="s">
        <v>138</v>
      </c>
      <c r="G755" s="235">
        <f>G756</f>
        <v>150000</v>
      </c>
      <c r="H755" s="235">
        <f>H756</f>
        <v>150000</v>
      </c>
      <c r="I755" s="234">
        <v>720821230</v>
      </c>
      <c r="J755" s="370" t="str">
        <f t="shared" si="92"/>
        <v>0720821230</v>
      </c>
      <c r="K755" s="30" t="str">
        <f t="shared" si="93"/>
        <v>60708010720821230610</v>
      </c>
    </row>
    <row r="756" spans="1:11" s="4" customFormat="1">
      <c r="A756" s="236" t="s">
        <v>1016</v>
      </c>
      <c r="B756" s="233" t="s">
        <v>26</v>
      </c>
      <c r="C756" s="234" t="s">
        <v>50</v>
      </c>
      <c r="D756" s="234" t="s">
        <v>65</v>
      </c>
      <c r="E756" s="234" t="s">
        <v>623</v>
      </c>
      <c r="F756" s="234" t="s">
        <v>1046</v>
      </c>
      <c r="G756" s="235">
        <f>VLOOKUP(K756,'исх АС БЮДЖЕТ'!$A$10:$H$568,7,0)</f>
        <v>150000</v>
      </c>
      <c r="H756" s="235">
        <f>VLOOKUP(K756,'исх АС БЮДЖЕТ'!$A$10:$H$568,8,0)</f>
        <v>150000</v>
      </c>
      <c r="I756" s="234">
        <v>720821230</v>
      </c>
      <c r="J756" s="370" t="str">
        <f t="shared" si="92"/>
        <v>0720821230</v>
      </c>
      <c r="K756" s="30" t="str">
        <f t="shared" si="93"/>
        <v>60708010720821230612</v>
      </c>
    </row>
    <row r="757" spans="1:11" s="3" customFormat="1" ht="25.5">
      <c r="A757" s="244" t="s">
        <v>854</v>
      </c>
      <c r="B757" s="233" t="s">
        <v>26</v>
      </c>
      <c r="C757" s="234" t="s">
        <v>50</v>
      </c>
      <c r="D757" s="234" t="s">
        <v>65</v>
      </c>
      <c r="E757" s="234" t="s">
        <v>624</v>
      </c>
      <c r="F757" s="234" t="s">
        <v>58</v>
      </c>
      <c r="G757" s="235">
        <f t="shared" ref="G757:H758" si="98">G758</f>
        <v>817600</v>
      </c>
      <c r="H757" s="235">
        <f t="shared" si="98"/>
        <v>817600</v>
      </c>
      <c r="I757" s="234">
        <v>720900000</v>
      </c>
      <c r="J757" s="370" t="str">
        <f t="shared" si="92"/>
        <v>0720900000</v>
      </c>
      <c r="K757" s="30" t="str">
        <f t="shared" si="93"/>
        <v>60708010720900000000</v>
      </c>
    </row>
    <row r="758" spans="1:11" s="3" customFormat="1" ht="25.5">
      <c r="A758" s="244" t="s">
        <v>855</v>
      </c>
      <c r="B758" s="233" t="s">
        <v>26</v>
      </c>
      <c r="C758" s="234" t="s">
        <v>50</v>
      </c>
      <c r="D758" s="234" t="s">
        <v>65</v>
      </c>
      <c r="E758" s="234" t="s">
        <v>690</v>
      </c>
      <c r="F758" s="234" t="s">
        <v>58</v>
      </c>
      <c r="G758" s="235">
        <f t="shared" si="98"/>
        <v>817600</v>
      </c>
      <c r="H758" s="235">
        <f t="shared" si="98"/>
        <v>817600</v>
      </c>
      <c r="I758" s="234">
        <v>720921280</v>
      </c>
      <c r="J758" s="370" t="str">
        <f t="shared" si="92"/>
        <v>0720921280</v>
      </c>
      <c r="K758" s="30" t="str">
        <f t="shared" si="93"/>
        <v>60708010720921280000</v>
      </c>
    </row>
    <row r="759" spans="1:11" s="3" customFormat="1">
      <c r="A759" s="244" t="s">
        <v>92</v>
      </c>
      <c r="B759" s="233" t="s">
        <v>26</v>
      </c>
      <c r="C759" s="234" t="s">
        <v>50</v>
      </c>
      <c r="D759" s="234" t="s">
        <v>65</v>
      </c>
      <c r="E759" s="234" t="s">
        <v>690</v>
      </c>
      <c r="F759" s="234" t="s">
        <v>138</v>
      </c>
      <c r="G759" s="235">
        <f>G760</f>
        <v>817600</v>
      </c>
      <c r="H759" s="235">
        <f>H760</f>
        <v>817600</v>
      </c>
      <c r="I759" s="234">
        <v>720921280</v>
      </c>
      <c r="J759" s="370" t="str">
        <f t="shared" si="92"/>
        <v>0720921280</v>
      </c>
      <c r="K759" s="30" t="str">
        <f t="shared" si="93"/>
        <v>60708010720921280610</v>
      </c>
    </row>
    <row r="760" spans="1:11" s="4" customFormat="1">
      <c r="A760" s="236" t="s">
        <v>1016</v>
      </c>
      <c r="B760" s="233" t="s">
        <v>26</v>
      </c>
      <c r="C760" s="234" t="s">
        <v>50</v>
      </c>
      <c r="D760" s="234" t="s">
        <v>65</v>
      </c>
      <c r="E760" s="234" t="s">
        <v>690</v>
      </c>
      <c r="F760" s="234" t="s">
        <v>1046</v>
      </c>
      <c r="G760" s="235">
        <f>VLOOKUP(K760,'исх АС БЮДЖЕТ'!$A$10:$H$568,7,0)</f>
        <v>817600</v>
      </c>
      <c r="H760" s="235">
        <f>VLOOKUP(K760,'исх АС БЮДЖЕТ'!$A$10:$H$568,8,0)</f>
        <v>817600</v>
      </c>
      <c r="I760" s="234">
        <v>720921280</v>
      </c>
      <c r="J760" s="370" t="str">
        <f t="shared" si="92"/>
        <v>0720921280</v>
      </c>
      <c r="K760" s="30" t="str">
        <f t="shared" si="93"/>
        <v>60708010720921280612</v>
      </c>
    </row>
    <row r="761" spans="1:11" s="3" customFormat="1" ht="25.5">
      <c r="A761" s="236" t="s">
        <v>752</v>
      </c>
      <c r="B761" s="233" t="s">
        <v>26</v>
      </c>
      <c r="C761" s="234" t="s">
        <v>50</v>
      </c>
      <c r="D761" s="234" t="s">
        <v>65</v>
      </c>
      <c r="E761" s="241" t="s">
        <v>249</v>
      </c>
      <c r="F761" s="241" t="s">
        <v>58</v>
      </c>
      <c r="G761" s="247">
        <f t="shared" ref="G761:H763" si="99">G762</f>
        <v>76500</v>
      </c>
      <c r="H761" s="247">
        <f t="shared" si="99"/>
        <v>76500</v>
      </c>
      <c r="I761" s="241">
        <v>1500000000</v>
      </c>
      <c r="J761" s="370" t="str">
        <f t="shared" si="92"/>
        <v>1500000000</v>
      </c>
      <c r="K761" s="30" t="str">
        <f t="shared" si="93"/>
        <v>60708011500000000000</v>
      </c>
    </row>
    <row r="762" spans="1:11" s="3" customFormat="1">
      <c r="A762" s="232" t="s">
        <v>753</v>
      </c>
      <c r="B762" s="233" t="s">
        <v>26</v>
      </c>
      <c r="C762" s="234" t="s">
        <v>50</v>
      </c>
      <c r="D762" s="234" t="s">
        <v>65</v>
      </c>
      <c r="E762" s="241" t="s">
        <v>250</v>
      </c>
      <c r="F762" s="241" t="s">
        <v>58</v>
      </c>
      <c r="G762" s="247">
        <f t="shared" si="99"/>
        <v>76500</v>
      </c>
      <c r="H762" s="247">
        <f t="shared" si="99"/>
        <v>76500</v>
      </c>
      <c r="I762" s="241">
        <v>1510000000</v>
      </c>
      <c r="J762" s="370" t="str">
        <f t="shared" si="92"/>
        <v>1510000000</v>
      </c>
      <c r="K762" s="30" t="str">
        <f t="shared" si="93"/>
        <v>60708011510000000000</v>
      </c>
    </row>
    <row r="763" spans="1:11" s="3" customFormat="1" ht="38.25">
      <c r="A763" s="237" t="s">
        <v>880</v>
      </c>
      <c r="B763" s="233" t="s">
        <v>26</v>
      </c>
      <c r="C763" s="234" t="s">
        <v>50</v>
      </c>
      <c r="D763" s="234" t="s">
        <v>65</v>
      </c>
      <c r="E763" s="241" t="s">
        <v>538</v>
      </c>
      <c r="F763" s="241" t="s">
        <v>58</v>
      </c>
      <c r="G763" s="247">
        <f t="shared" si="99"/>
        <v>76500</v>
      </c>
      <c r="H763" s="247">
        <f t="shared" si="99"/>
        <v>76500</v>
      </c>
      <c r="I763" s="241">
        <v>1510100000</v>
      </c>
      <c r="J763" s="370" t="str">
        <f t="shared" si="92"/>
        <v>1510100000</v>
      </c>
      <c r="K763" s="30" t="str">
        <f t="shared" si="93"/>
        <v>60708011510100000000</v>
      </c>
    </row>
    <row r="764" spans="1:11" s="3" customFormat="1" ht="25.5">
      <c r="A764" s="237" t="s">
        <v>122</v>
      </c>
      <c r="B764" s="233" t="s">
        <v>26</v>
      </c>
      <c r="C764" s="234" t="s">
        <v>50</v>
      </c>
      <c r="D764" s="234" t="s">
        <v>65</v>
      </c>
      <c r="E764" s="241" t="s">
        <v>539</v>
      </c>
      <c r="F764" s="241" t="s">
        <v>58</v>
      </c>
      <c r="G764" s="247">
        <f>SUM(G765:G765)</f>
        <v>76500</v>
      </c>
      <c r="H764" s="247">
        <f>SUM(H765:H765)</f>
        <v>76500</v>
      </c>
      <c r="I764" s="241">
        <v>1510120350</v>
      </c>
      <c r="J764" s="370" t="str">
        <f t="shared" si="92"/>
        <v>1510120350</v>
      </c>
      <c r="K764" s="30" t="str">
        <f t="shared" si="93"/>
        <v>60708011510120350000</v>
      </c>
    </row>
    <row r="765" spans="1:11" s="3" customFormat="1">
      <c r="A765" s="244" t="s">
        <v>92</v>
      </c>
      <c r="B765" s="233" t="s">
        <v>26</v>
      </c>
      <c r="C765" s="234" t="s">
        <v>50</v>
      </c>
      <c r="D765" s="234" t="s">
        <v>65</v>
      </c>
      <c r="E765" s="241" t="s">
        <v>539</v>
      </c>
      <c r="F765" s="241" t="s">
        <v>138</v>
      </c>
      <c r="G765" s="235">
        <f>G766</f>
        <v>76500</v>
      </c>
      <c r="H765" s="235">
        <f>H766</f>
        <v>76500</v>
      </c>
      <c r="I765" s="241">
        <v>1510120350</v>
      </c>
      <c r="J765" s="370" t="str">
        <f t="shared" si="92"/>
        <v>1510120350</v>
      </c>
      <c r="K765" s="30" t="str">
        <f t="shared" si="93"/>
        <v>60708011510120350610</v>
      </c>
    </row>
    <row r="766" spans="1:11" s="4" customFormat="1">
      <c r="A766" s="236" t="s">
        <v>1016</v>
      </c>
      <c r="B766" s="233" t="s">
        <v>26</v>
      </c>
      <c r="C766" s="234" t="s">
        <v>50</v>
      </c>
      <c r="D766" s="234" t="s">
        <v>65</v>
      </c>
      <c r="E766" s="241" t="s">
        <v>539</v>
      </c>
      <c r="F766" s="241" t="s">
        <v>1046</v>
      </c>
      <c r="G766" s="235">
        <f>VLOOKUP(K766,'исх АС БЮДЖЕТ'!$A$10:$H$568,7,0)</f>
        <v>76500</v>
      </c>
      <c r="H766" s="235">
        <f>VLOOKUP(K766,'исх АС БЮДЖЕТ'!$A$10:$H$568,8,0)</f>
        <v>76500</v>
      </c>
      <c r="I766" s="241">
        <v>1510120350</v>
      </c>
      <c r="J766" s="370" t="str">
        <f t="shared" si="92"/>
        <v>1510120350</v>
      </c>
      <c r="K766" s="30" t="str">
        <f t="shared" si="93"/>
        <v>60708011510120350612</v>
      </c>
    </row>
    <row r="767" spans="1:11" s="3" customFormat="1" ht="51">
      <c r="A767" s="232" t="s">
        <v>756</v>
      </c>
      <c r="B767" s="233" t="s">
        <v>26</v>
      </c>
      <c r="C767" s="234" t="s">
        <v>50</v>
      </c>
      <c r="D767" s="234" t="s">
        <v>65</v>
      </c>
      <c r="E767" s="234" t="s">
        <v>339</v>
      </c>
      <c r="F767" s="234" t="s">
        <v>58</v>
      </c>
      <c r="G767" s="235">
        <f t="shared" ref="G767:H770" si="100">G768</f>
        <v>547850</v>
      </c>
      <c r="H767" s="235">
        <f t="shared" si="100"/>
        <v>547850</v>
      </c>
      <c r="I767" s="234">
        <v>1600000000</v>
      </c>
      <c r="J767" s="370" t="str">
        <f t="shared" si="92"/>
        <v>1600000000</v>
      </c>
      <c r="K767" s="30" t="str">
        <f t="shared" si="93"/>
        <v>60708011600000000000</v>
      </c>
    </row>
    <row r="768" spans="1:11" s="3" customFormat="1" ht="25.5">
      <c r="A768" s="232" t="s">
        <v>136</v>
      </c>
      <c r="B768" s="233" t="s">
        <v>26</v>
      </c>
      <c r="C768" s="234" t="s">
        <v>50</v>
      </c>
      <c r="D768" s="234" t="s">
        <v>65</v>
      </c>
      <c r="E768" s="234" t="s">
        <v>340</v>
      </c>
      <c r="F768" s="234" t="s">
        <v>58</v>
      </c>
      <c r="G768" s="235">
        <f t="shared" si="100"/>
        <v>547850</v>
      </c>
      <c r="H768" s="235">
        <f t="shared" si="100"/>
        <v>547850</v>
      </c>
      <c r="I768" s="234">
        <v>1620000000</v>
      </c>
      <c r="J768" s="370" t="str">
        <f t="shared" si="92"/>
        <v>1620000000</v>
      </c>
      <c r="K768" s="30" t="str">
        <f t="shared" si="93"/>
        <v>60708011620000000000</v>
      </c>
    </row>
    <row r="769" spans="1:11" s="3" customFormat="1" ht="25.5">
      <c r="A769" s="232" t="s">
        <v>667</v>
      </c>
      <c r="B769" s="233" t="s">
        <v>26</v>
      </c>
      <c r="C769" s="234" t="s">
        <v>50</v>
      </c>
      <c r="D769" s="234" t="s">
        <v>65</v>
      </c>
      <c r="E769" s="234" t="s">
        <v>609</v>
      </c>
      <c r="F769" s="234" t="s">
        <v>58</v>
      </c>
      <c r="G769" s="235">
        <f t="shared" si="100"/>
        <v>547850</v>
      </c>
      <c r="H769" s="235">
        <f t="shared" si="100"/>
        <v>547850</v>
      </c>
      <c r="I769" s="234">
        <v>1620200000</v>
      </c>
      <c r="J769" s="370" t="str">
        <f t="shared" si="92"/>
        <v>1620200000</v>
      </c>
      <c r="K769" s="30" t="str">
        <f t="shared" si="93"/>
        <v>60708011620200000000</v>
      </c>
    </row>
    <row r="770" spans="1:11" s="3" customFormat="1" ht="25.5">
      <c r="A770" s="232" t="s">
        <v>177</v>
      </c>
      <c r="B770" s="233" t="s">
        <v>26</v>
      </c>
      <c r="C770" s="234" t="s">
        <v>50</v>
      </c>
      <c r="D770" s="234" t="s">
        <v>65</v>
      </c>
      <c r="E770" s="234" t="s">
        <v>610</v>
      </c>
      <c r="F770" s="234" t="s">
        <v>58</v>
      </c>
      <c r="G770" s="235">
        <f t="shared" si="100"/>
        <v>547850</v>
      </c>
      <c r="H770" s="235">
        <f t="shared" si="100"/>
        <v>547850</v>
      </c>
      <c r="I770" s="234">
        <v>1620220550</v>
      </c>
      <c r="J770" s="370" t="str">
        <f t="shared" si="92"/>
        <v>1620220550</v>
      </c>
      <c r="K770" s="30" t="str">
        <f t="shared" si="93"/>
        <v>60708011620220550000</v>
      </c>
    </row>
    <row r="771" spans="1:11" s="3" customFormat="1">
      <c r="A771" s="244" t="s">
        <v>92</v>
      </c>
      <c r="B771" s="233" t="s">
        <v>26</v>
      </c>
      <c r="C771" s="234" t="s">
        <v>50</v>
      </c>
      <c r="D771" s="234" t="s">
        <v>65</v>
      </c>
      <c r="E771" s="234" t="s">
        <v>610</v>
      </c>
      <c r="F771" s="234" t="s">
        <v>138</v>
      </c>
      <c r="G771" s="235">
        <f>G772</f>
        <v>547850</v>
      </c>
      <c r="H771" s="235">
        <f>H772</f>
        <v>547850</v>
      </c>
      <c r="I771" s="234">
        <v>1620220550</v>
      </c>
      <c r="J771" s="370" t="str">
        <f t="shared" si="92"/>
        <v>1620220550</v>
      </c>
      <c r="K771" s="30" t="str">
        <f t="shared" si="93"/>
        <v>60708011620220550610</v>
      </c>
    </row>
    <row r="772" spans="1:11" s="4" customFormat="1">
      <c r="A772" s="236" t="s">
        <v>1016</v>
      </c>
      <c r="B772" s="233" t="s">
        <v>26</v>
      </c>
      <c r="C772" s="234" t="s">
        <v>50</v>
      </c>
      <c r="D772" s="234" t="s">
        <v>65</v>
      </c>
      <c r="E772" s="234" t="s">
        <v>610</v>
      </c>
      <c r="F772" s="234" t="s">
        <v>1046</v>
      </c>
      <c r="G772" s="235">
        <f>VLOOKUP(K772,'исх АС БЮДЖЕТ'!$A$10:$H$568,7,0)</f>
        <v>547850</v>
      </c>
      <c r="H772" s="235">
        <f>VLOOKUP(K772,'исх АС БЮДЖЕТ'!$A$10:$H$568,8,0)</f>
        <v>547850</v>
      </c>
      <c r="I772" s="234">
        <v>1620220550</v>
      </c>
      <c r="J772" s="370" t="str">
        <f t="shared" si="92"/>
        <v>1620220550</v>
      </c>
      <c r="K772" s="30" t="str">
        <f t="shared" si="93"/>
        <v>60708011620220550612</v>
      </c>
    </row>
    <row r="773" spans="1:11" s="3" customFormat="1">
      <c r="A773" s="228" t="s">
        <v>676</v>
      </c>
      <c r="B773" s="229" t="s">
        <v>26</v>
      </c>
      <c r="C773" s="230" t="s">
        <v>50</v>
      </c>
      <c r="D773" s="230" t="s">
        <v>37</v>
      </c>
      <c r="E773" s="230" t="s">
        <v>196</v>
      </c>
      <c r="F773" s="230" t="s">
        <v>58</v>
      </c>
      <c r="G773" s="231">
        <f>G774</f>
        <v>13610460</v>
      </c>
      <c r="H773" s="231">
        <f>H774</f>
        <v>13610460</v>
      </c>
      <c r="I773" s="230">
        <v>0</v>
      </c>
      <c r="J773" s="370" t="str">
        <f t="shared" ref="J773:J828" si="101">TEXT(I773,"0000000000")</f>
        <v>0000000000</v>
      </c>
      <c r="K773" s="30" t="str">
        <f t="shared" ref="K773:K828" si="102">CONCATENATE(B773,C773,D773,J773,F773)</f>
        <v>60708040000000000000</v>
      </c>
    </row>
    <row r="774" spans="1:11" s="3" customFormat="1" ht="25.5">
      <c r="A774" s="232" t="s">
        <v>695</v>
      </c>
      <c r="B774" s="233" t="s">
        <v>26</v>
      </c>
      <c r="C774" s="234" t="s">
        <v>50</v>
      </c>
      <c r="D774" s="234" t="s">
        <v>37</v>
      </c>
      <c r="E774" s="234" t="s">
        <v>370</v>
      </c>
      <c r="F774" s="234" t="s">
        <v>58</v>
      </c>
      <c r="G774" s="235">
        <f>G775+G789</f>
        <v>13610460</v>
      </c>
      <c r="H774" s="235">
        <f>H775+H789</f>
        <v>13610460</v>
      </c>
      <c r="I774" s="234">
        <v>7600000000</v>
      </c>
      <c r="J774" s="370" t="str">
        <f t="shared" si="101"/>
        <v>7600000000</v>
      </c>
      <c r="K774" s="30" t="str">
        <f t="shared" si="102"/>
        <v>60708047600000000000</v>
      </c>
    </row>
    <row r="775" spans="1:11" s="3" customFormat="1" ht="25.5">
      <c r="A775" s="232" t="s">
        <v>696</v>
      </c>
      <c r="B775" s="233" t="s">
        <v>26</v>
      </c>
      <c r="C775" s="234" t="s">
        <v>50</v>
      </c>
      <c r="D775" s="234" t="s">
        <v>37</v>
      </c>
      <c r="E775" s="234" t="s">
        <v>389</v>
      </c>
      <c r="F775" s="234" t="s">
        <v>58</v>
      </c>
      <c r="G775" s="235">
        <f>G776+G785</f>
        <v>13450460</v>
      </c>
      <c r="H775" s="235">
        <f>H776+H785</f>
        <v>13450460</v>
      </c>
      <c r="I775" s="234">
        <v>7610000000</v>
      </c>
      <c r="J775" s="370" t="str">
        <f t="shared" si="101"/>
        <v>7610000000</v>
      </c>
      <c r="K775" s="30" t="str">
        <f t="shared" si="102"/>
        <v>60708047610000000000</v>
      </c>
    </row>
    <row r="776" spans="1:11" s="3" customFormat="1" ht="25.5">
      <c r="A776" s="232" t="s">
        <v>114</v>
      </c>
      <c r="B776" s="233" t="s">
        <v>26</v>
      </c>
      <c r="C776" s="234" t="s">
        <v>50</v>
      </c>
      <c r="D776" s="234" t="s">
        <v>37</v>
      </c>
      <c r="E776" s="234" t="s">
        <v>390</v>
      </c>
      <c r="F776" s="234" t="s">
        <v>58</v>
      </c>
      <c r="G776" s="235">
        <f>G777+G780+G782</f>
        <v>1480340</v>
      </c>
      <c r="H776" s="235">
        <f>H777+H780+H782</f>
        <v>1480340</v>
      </c>
      <c r="I776" s="234">
        <v>7610010010</v>
      </c>
      <c r="J776" s="370" t="str">
        <f t="shared" si="101"/>
        <v>7610010010</v>
      </c>
      <c r="K776" s="30" t="str">
        <f t="shared" si="102"/>
        <v>60708047610010010000</v>
      </c>
    </row>
    <row r="777" spans="1:11" s="3" customFormat="1">
      <c r="A777" s="236" t="s">
        <v>107</v>
      </c>
      <c r="B777" s="233" t="s">
        <v>26</v>
      </c>
      <c r="C777" s="234" t="s">
        <v>50</v>
      </c>
      <c r="D777" s="234" t="s">
        <v>37</v>
      </c>
      <c r="E777" s="234" t="s">
        <v>390</v>
      </c>
      <c r="F777" s="234" t="s">
        <v>115</v>
      </c>
      <c r="G777" s="235">
        <f>SUM(G778:G779)</f>
        <v>357330</v>
      </c>
      <c r="H777" s="235">
        <f>SUM(H778:H779)</f>
        <v>357330</v>
      </c>
      <c r="I777" s="234">
        <v>7610010010</v>
      </c>
      <c r="J777" s="370" t="str">
        <f t="shared" si="101"/>
        <v>7610010010</v>
      </c>
      <c r="K777" s="30" t="str">
        <f t="shared" si="102"/>
        <v>60708047610010010120</v>
      </c>
    </row>
    <row r="778" spans="1:11" s="4" customFormat="1" ht="25.5">
      <c r="A778" s="236" t="s">
        <v>937</v>
      </c>
      <c r="B778" s="233" t="s">
        <v>26</v>
      </c>
      <c r="C778" s="234" t="s">
        <v>50</v>
      </c>
      <c r="D778" s="234" t="s">
        <v>37</v>
      </c>
      <c r="E778" s="234" t="s">
        <v>390</v>
      </c>
      <c r="F778" s="234" t="s">
        <v>1059</v>
      </c>
      <c r="G778" s="235">
        <f>VLOOKUP(K778,'исх АС БЮДЖЕТ'!$A$10:$H$568,7,0)</f>
        <v>274450</v>
      </c>
      <c r="H778" s="235">
        <f>VLOOKUP(K778,'исх АС БЮДЖЕТ'!$A$10:$H$568,8,0)</f>
        <v>274450</v>
      </c>
      <c r="I778" s="234">
        <v>7610010010</v>
      </c>
      <c r="J778" s="370" t="str">
        <f t="shared" si="101"/>
        <v>7610010010</v>
      </c>
      <c r="K778" s="30" t="str">
        <f t="shared" si="102"/>
        <v>60708047610010010122</v>
      </c>
    </row>
    <row r="779" spans="1:11" s="4" customFormat="1" ht="38.25">
      <c r="A779" s="236" t="s">
        <v>939</v>
      </c>
      <c r="B779" s="233" t="s">
        <v>26</v>
      </c>
      <c r="C779" s="234" t="s">
        <v>50</v>
      </c>
      <c r="D779" s="234" t="s">
        <v>37</v>
      </c>
      <c r="E779" s="234" t="s">
        <v>390</v>
      </c>
      <c r="F779" s="234" t="s">
        <v>1060</v>
      </c>
      <c r="G779" s="235">
        <f>VLOOKUP(K779,'исх АС БЮДЖЕТ'!$A$10:$H$568,7,0)</f>
        <v>82880</v>
      </c>
      <c r="H779" s="235">
        <f>VLOOKUP(K779,'исх АС БЮДЖЕТ'!$A$10:$H$568,8,0)</f>
        <v>82880</v>
      </c>
      <c r="I779" s="234">
        <v>7610010010</v>
      </c>
      <c r="J779" s="370" t="str">
        <f t="shared" si="101"/>
        <v>7610010010</v>
      </c>
      <c r="K779" s="30" t="str">
        <f t="shared" si="102"/>
        <v>60708047610010010129</v>
      </c>
    </row>
    <row r="780" spans="1:11" s="3" customFormat="1" ht="25.5">
      <c r="A780" s="232" t="s">
        <v>108</v>
      </c>
      <c r="B780" s="233" t="s">
        <v>26</v>
      </c>
      <c r="C780" s="234" t="s">
        <v>50</v>
      </c>
      <c r="D780" s="234" t="s">
        <v>37</v>
      </c>
      <c r="E780" s="234" t="s">
        <v>390</v>
      </c>
      <c r="F780" s="234" t="s">
        <v>116</v>
      </c>
      <c r="G780" s="235">
        <f>G781</f>
        <v>941810</v>
      </c>
      <c r="H780" s="235">
        <f>H781</f>
        <v>941810</v>
      </c>
      <c r="I780" s="234">
        <v>7610010010</v>
      </c>
      <c r="J780" s="370" t="str">
        <f t="shared" si="101"/>
        <v>7610010010</v>
      </c>
      <c r="K780" s="30" t="str">
        <f t="shared" si="102"/>
        <v>60708047610010010240</v>
      </c>
    </row>
    <row r="781" spans="1:11" s="4" customFormat="1" ht="25.5">
      <c r="A781" s="236" t="s">
        <v>973</v>
      </c>
      <c r="B781" s="233" t="s">
        <v>26</v>
      </c>
      <c r="C781" s="234" t="s">
        <v>50</v>
      </c>
      <c r="D781" s="234" t="s">
        <v>37</v>
      </c>
      <c r="E781" s="234" t="s">
        <v>390</v>
      </c>
      <c r="F781" s="234" t="s">
        <v>1043</v>
      </c>
      <c r="G781" s="235">
        <f>VLOOKUP(K781,'исх АС БЮДЖЕТ'!$A$10:$H$568,7,0)</f>
        <v>941810</v>
      </c>
      <c r="H781" s="235">
        <f>VLOOKUP(K781,'исх АС БЮДЖЕТ'!$A$10:$H$568,8,0)</f>
        <v>941810</v>
      </c>
      <c r="I781" s="234">
        <v>7610010010</v>
      </c>
      <c r="J781" s="370" t="str">
        <f t="shared" si="101"/>
        <v>7610010010</v>
      </c>
      <c r="K781" s="30" t="str">
        <f t="shared" si="102"/>
        <v>60708047610010010244</v>
      </c>
    </row>
    <row r="782" spans="1:11" s="3" customFormat="1">
      <c r="A782" s="232" t="s">
        <v>97</v>
      </c>
      <c r="B782" s="233" t="s">
        <v>26</v>
      </c>
      <c r="C782" s="234" t="s">
        <v>50</v>
      </c>
      <c r="D782" s="234" t="s">
        <v>37</v>
      </c>
      <c r="E782" s="234" t="s">
        <v>390</v>
      </c>
      <c r="F782" s="234" t="s">
        <v>118</v>
      </c>
      <c r="G782" s="235">
        <f>SUM(G783:G784)</f>
        <v>181200</v>
      </c>
      <c r="H782" s="235">
        <f>SUM(H783:H784)</f>
        <v>181200</v>
      </c>
      <c r="I782" s="234">
        <v>7610010010</v>
      </c>
      <c r="J782" s="370" t="str">
        <f t="shared" si="101"/>
        <v>7610010010</v>
      </c>
      <c r="K782" s="30" t="str">
        <f t="shared" si="102"/>
        <v>60708047610010010850</v>
      </c>
    </row>
    <row r="783" spans="1:11" s="4" customFormat="1">
      <c r="A783" s="236" t="s">
        <v>1036</v>
      </c>
      <c r="B783" s="233" t="s">
        <v>26</v>
      </c>
      <c r="C783" s="234" t="s">
        <v>50</v>
      </c>
      <c r="D783" s="234" t="s">
        <v>37</v>
      </c>
      <c r="E783" s="234" t="s">
        <v>390</v>
      </c>
      <c r="F783" s="234" t="s">
        <v>1061</v>
      </c>
      <c r="G783" s="235">
        <f>VLOOKUP(K783,'исх АС БЮДЖЕТ'!$A$10:$H$568,7,0)</f>
        <v>174200</v>
      </c>
      <c r="H783" s="235">
        <f>VLOOKUP(K783,'исх АС БЮДЖЕТ'!$A$10:$H$568,8,0)</f>
        <v>174200</v>
      </c>
      <c r="I783" s="234">
        <v>7610010010</v>
      </c>
      <c r="J783" s="370" t="str">
        <f t="shared" si="101"/>
        <v>7610010010</v>
      </c>
      <c r="K783" s="30" t="str">
        <f t="shared" si="102"/>
        <v>60708047610010010851</v>
      </c>
    </row>
    <row r="784" spans="1:11" s="4" customFormat="1">
      <c r="A784" s="236" t="s">
        <v>1037</v>
      </c>
      <c r="B784" s="233" t="s">
        <v>26</v>
      </c>
      <c r="C784" s="234" t="s">
        <v>50</v>
      </c>
      <c r="D784" s="234" t="s">
        <v>37</v>
      </c>
      <c r="E784" s="234" t="s">
        <v>390</v>
      </c>
      <c r="F784" s="234" t="s">
        <v>1062</v>
      </c>
      <c r="G784" s="235">
        <f>VLOOKUP(K784,'исх АС БЮДЖЕТ'!$A$10:$H$568,7,0)</f>
        <v>7000</v>
      </c>
      <c r="H784" s="235">
        <f>VLOOKUP(K784,'исх АС БЮДЖЕТ'!$A$10:$H$568,8,0)</f>
        <v>7000</v>
      </c>
      <c r="I784" s="234">
        <v>7610010010</v>
      </c>
      <c r="J784" s="370" t="str">
        <f t="shared" si="101"/>
        <v>7610010010</v>
      </c>
      <c r="K784" s="30" t="str">
        <f t="shared" si="102"/>
        <v>60708047610010010852</v>
      </c>
    </row>
    <row r="785" spans="1:11" s="3" customFormat="1" ht="25.5">
      <c r="A785" s="232" t="s">
        <v>126</v>
      </c>
      <c r="B785" s="233" t="s">
        <v>26</v>
      </c>
      <c r="C785" s="234" t="s">
        <v>50</v>
      </c>
      <c r="D785" s="234" t="s">
        <v>37</v>
      </c>
      <c r="E785" s="234" t="s">
        <v>391</v>
      </c>
      <c r="F785" s="234" t="s">
        <v>58</v>
      </c>
      <c r="G785" s="235">
        <f>G786</f>
        <v>11970120</v>
      </c>
      <c r="H785" s="235">
        <f>H786</f>
        <v>11970120</v>
      </c>
      <c r="I785" s="234">
        <v>7610010020</v>
      </c>
      <c r="J785" s="370" t="str">
        <f t="shared" si="101"/>
        <v>7610010020</v>
      </c>
      <c r="K785" s="30" t="str">
        <f t="shared" si="102"/>
        <v>60708047610010020000</v>
      </c>
    </row>
    <row r="786" spans="1:11" s="3" customFormat="1">
      <c r="A786" s="236" t="s">
        <v>107</v>
      </c>
      <c r="B786" s="233" t="s">
        <v>26</v>
      </c>
      <c r="C786" s="234" t="s">
        <v>50</v>
      </c>
      <c r="D786" s="234" t="s">
        <v>37</v>
      </c>
      <c r="E786" s="234" t="s">
        <v>391</v>
      </c>
      <c r="F786" s="234" t="s">
        <v>115</v>
      </c>
      <c r="G786" s="235">
        <f>SUM(G787:G788)</f>
        <v>11970120</v>
      </c>
      <c r="H786" s="235">
        <f>SUM(H787:H788)</f>
        <v>11970120</v>
      </c>
      <c r="I786" s="234">
        <v>7610010020</v>
      </c>
      <c r="J786" s="370" t="str">
        <f t="shared" si="101"/>
        <v>7610010020</v>
      </c>
      <c r="K786" s="30" t="str">
        <f t="shared" si="102"/>
        <v>60708047610010020120</v>
      </c>
    </row>
    <row r="787" spans="1:11" s="4" customFormat="1">
      <c r="A787" s="236" t="s">
        <v>936</v>
      </c>
      <c r="B787" s="233" t="s">
        <v>26</v>
      </c>
      <c r="C787" s="234" t="s">
        <v>50</v>
      </c>
      <c r="D787" s="234" t="s">
        <v>37</v>
      </c>
      <c r="E787" s="234" t="s">
        <v>391</v>
      </c>
      <c r="F787" s="234" t="s">
        <v>1063</v>
      </c>
      <c r="G787" s="235">
        <f>VLOOKUP(K787,'исх АС БЮДЖЕТ'!$A$10:$H$568,7,0)</f>
        <v>9193640</v>
      </c>
      <c r="H787" s="235">
        <f>VLOOKUP(K787,'исх АС БЮДЖЕТ'!$A$10:$H$568,8,0)</f>
        <v>9193640</v>
      </c>
      <c r="I787" s="234">
        <v>7610010020</v>
      </c>
      <c r="J787" s="370" t="str">
        <f t="shared" si="101"/>
        <v>7610010020</v>
      </c>
      <c r="K787" s="30" t="str">
        <f t="shared" si="102"/>
        <v>60708047610010020121</v>
      </c>
    </row>
    <row r="788" spans="1:11" s="4" customFormat="1" ht="38.25">
      <c r="A788" s="236" t="s">
        <v>939</v>
      </c>
      <c r="B788" s="233" t="s">
        <v>26</v>
      </c>
      <c r="C788" s="234" t="s">
        <v>50</v>
      </c>
      <c r="D788" s="234" t="s">
        <v>37</v>
      </c>
      <c r="E788" s="234" t="s">
        <v>391</v>
      </c>
      <c r="F788" s="234" t="s">
        <v>1060</v>
      </c>
      <c r="G788" s="235">
        <f>VLOOKUP(K788,'исх АС БЮДЖЕТ'!$A$10:$H$568,7,0)</f>
        <v>2776480</v>
      </c>
      <c r="H788" s="235">
        <f>VLOOKUP(K788,'исх АС БЮДЖЕТ'!$A$10:$H$568,8,0)</f>
        <v>2776480</v>
      </c>
      <c r="I788" s="234">
        <v>7610010020</v>
      </c>
      <c r="J788" s="370" t="str">
        <f t="shared" si="101"/>
        <v>7610010020</v>
      </c>
      <c r="K788" s="30" t="str">
        <f t="shared" si="102"/>
        <v>60708047610010020129</v>
      </c>
    </row>
    <row r="789" spans="1:11" s="3" customFormat="1">
      <c r="A789" s="236" t="s">
        <v>175</v>
      </c>
      <c r="B789" s="233" t="s">
        <v>26</v>
      </c>
      <c r="C789" s="234" t="s">
        <v>50</v>
      </c>
      <c r="D789" s="234" t="s">
        <v>37</v>
      </c>
      <c r="E789" s="234" t="s">
        <v>371</v>
      </c>
      <c r="F789" s="234" t="s">
        <v>58</v>
      </c>
      <c r="G789" s="235">
        <f t="shared" ref="G789:H790" si="103">G790</f>
        <v>160000</v>
      </c>
      <c r="H789" s="235">
        <f t="shared" si="103"/>
        <v>160000</v>
      </c>
      <c r="I789" s="234">
        <v>7620000000</v>
      </c>
      <c r="J789" s="370" t="str">
        <f t="shared" si="101"/>
        <v>7620000000</v>
      </c>
      <c r="K789" s="30" t="str">
        <f t="shared" si="102"/>
        <v>60708047620000000000</v>
      </c>
    </row>
    <row r="790" spans="1:11" s="3" customFormat="1" ht="25.5">
      <c r="A790" s="232" t="s">
        <v>697</v>
      </c>
      <c r="B790" s="233" t="s">
        <v>26</v>
      </c>
      <c r="C790" s="234" t="s">
        <v>50</v>
      </c>
      <c r="D790" s="234" t="s">
        <v>37</v>
      </c>
      <c r="E790" s="234" t="s">
        <v>689</v>
      </c>
      <c r="F790" s="234" t="s">
        <v>58</v>
      </c>
      <c r="G790" s="235">
        <f t="shared" si="103"/>
        <v>160000</v>
      </c>
      <c r="H790" s="235">
        <f t="shared" si="103"/>
        <v>160000</v>
      </c>
      <c r="I790" s="234">
        <v>7620020250</v>
      </c>
      <c r="J790" s="370" t="str">
        <f t="shared" si="101"/>
        <v>7620020250</v>
      </c>
      <c r="K790" s="30" t="str">
        <f t="shared" si="102"/>
        <v>60708047620020250000</v>
      </c>
    </row>
    <row r="791" spans="1:11" s="3" customFormat="1" ht="25.5">
      <c r="A791" s="232" t="s">
        <v>108</v>
      </c>
      <c r="B791" s="233" t="s">
        <v>26</v>
      </c>
      <c r="C791" s="234" t="s">
        <v>50</v>
      </c>
      <c r="D791" s="234" t="s">
        <v>37</v>
      </c>
      <c r="E791" s="234" t="s">
        <v>689</v>
      </c>
      <c r="F791" s="234" t="s">
        <v>116</v>
      </c>
      <c r="G791" s="235">
        <f>G792</f>
        <v>160000</v>
      </c>
      <c r="H791" s="235">
        <f>H792</f>
        <v>160000</v>
      </c>
      <c r="I791" s="234">
        <v>7620020250</v>
      </c>
      <c r="J791" s="370" t="str">
        <f t="shared" si="101"/>
        <v>7620020250</v>
      </c>
      <c r="K791" s="30" t="str">
        <f t="shared" si="102"/>
        <v>60708047620020250240</v>
      </c>
    </row>
    <row r="792" spans="1:11" s="4" customFormat="1" ht="25.5">
      <c r="A792" s="236" t="s">
        <v>973</v>
      </c>
      <c r="B792" s="233" t="s">
        <v>26</v>
      </c>
      <c r="C792" s="234" t="s">
        <v>50</v>
      </c>
      <c r="D792" s="234" t="s">
        <v>37</v>
      </c>
      <c r="E792" s="234" t="s">
        <v>689</v>
      </c>
      <c r="F792" s="234" t="s">
        <v>1043</v>
      </c>
      <c r="G792" s="235">
        <f>VLOOKUP(K792,'исх АС БЮДЖЕТ'!$A$10:$H$568,7,0)</f>
        <v>160000</v>
      </c>
      <c r="H792" s="235">
        <f>VLOOKUP(K792,'исх АС БЮДЖЕТ'!$A$10:$H$568,8,0)</f>
        <v>160000</v>
      </c>
      <c r="I792" s="234">
        <v>7620020250</v>
      </c>
      <c r="J792" s="370" t="str">
        <f t="shared" si="101"/>
        <v>7620020250</v>
      </c>
      <c r="K792" s="30" t="str">
        <f t="shared" si="102"/>
        <v>60708047620020250244</v>
      </c>
    </row>
    <row r="793" spans="1:11" s="4" customFormat="1">
      <c r="A793" s="236"/>
      <c r="B793" s="233"/>
      <c r="C793" s="234"/>
      <c r="D793" s="234"/>
      <c r="E793" s="234"/>
      <c r="F793" s="234"/>
      <c r="G793" s="235"/>
      <c r="H793" s="235"/>
      <c r="I793" s="234"/>
      <c r="J793" s="370"/>
      <c r="K793" s="30"/>
    </row>
    <row r="794" spans="1:11" s="259" customFormat="1" ht="34.5" customHeight="1">
      <c r="A794" s="219" t="s">
        <v>178</v>
      </c>
      <c r="B794" s="220" t="s">
        <v>62</v>
      </c>
      <c r="C794" s="221" t="s">
        <v>51</v>
      </c>
      <c r="D794" s="221" t="s">
        <v>51</v>
      </c>
      <c r="E794" s="221" t="s">
        <v>196</v>
      </c>
      <c r="F794" s="221" t="s">
        <v>58</v>
      </c>
      <c r="G794" s="258">
        <f>G803+G795</f>
        <v>1645296266.3499999</v>
      </c>
      <c r="H794" s="258">
        <f>H803+H795</f>
        <v>1801648696.3499999</v>
      </c>
      <c r="I794" s="221">
        <v>0</v>
      </c>
      <c r="J794" s="370" t="str">
        <f t="shared" si="101"/>
        <v>0000000000</v>
      </c>
      <c r="K794" s="30" t="str">
        <f t="shared" si="102"/>
        <v>60900000000000000000</v>
      </c>
    </row>
    <row r="795" spans="1:11" s="109" customFormat="1">
      <c r="A795" s="224" t="s">
        <v>64</v>
      </c>
      <c r="B795" s="225" t="s">
        <v>62</v>
      </c>
      <c r="C795" s="226" t="s">
        <v>65</v>
      </c>
      <c r="D795" s="226" t="s">
        <v>51</v>
      </c>
      <c r="E795" s="226" t="s">
        <v>196</v>
      </c>
      <c r="F795" s="226" t="s">
        <v>58</v>
      </c>
      <c r="G795" s="227">
        <f t="shared" ref="G795:H800" si="104">G796</f>
        <v>6590</v>
      </c>
      <c r="H795" s="227">
        <f t="shared" si="104"/>
        <v>6590</v>
      </c>
      <c r="I795" s="226">
        <v>0</v>
      </c>
      <c r="J795" s="370" t="str">
        <f t="shared" si="101"/>
        <v>0000000000</v>
      </c>
      <c r="K795" s="30" t="str">
        <f t="shared" si="102"/>
        <v>60901000000000000000</v>
      </c>
    </row>
    <row r="796" spans="1:11" s="109" customFormat="1">
      <c r="A796" s="228" t="s">
        <v>38</v>
      </c>
      <c r="B796" s="229" t="s">
        <v>62</v>
      </c>
      <c r="C796" s="230" t="s">
        <v>65</v>
      </c>
      <c r="D796" s="230" t="s">
        <v>84</v>
      </c>
      <c r="E796" s="230" t="s">
        <v>196</v>
      </c>
      <c r="F796" s="230" t="s">
        <v>58</v>
      </c>
      <c r="G796" s="231">
        <f>G797</f>
        <v>6590</v>
      </c>
      <c r="H796" s="231">
        <f>H797</f>
        <v>6590</v>
      </c>
      <c r="I796" s="230">
        <v>0</v>
      </c>
      <c r="J796" s="370" t="str">
        <f t="shared" si="101"/>
        <v>0000000000</v>
      </c>
      <c r="K796" s="30" t="str">
        <f t="shared" si="102"/>
        <v>60901130000000000000</v>
      </c>
    </row>
    <row r="797" spans="1:11" s="109" customFormat="1" ht="38.25">
      <c r="A797" s="244" t="s">
        <v>745</v>
      </c>
      <c r="B797" s="233" t="s">
        <v>62</v>
      </c>
      <c r="C797" s="234" t="s">
        <v>65</v>
      </c>
      <c r="D797" s="234" t="s">
        <v>84</v>
      </c>
      <c r="E797" s="234" t="s">
        <v>280</v>
      </c>
      <c r="F797" s="234" t="s">
        <v>58</v>
      </c>
      <c r="G797" s="235">
        <f t="shared" si="104"/>
        <v>6590</v>
      </c>
      <c r="H797" s="235">
        <f t="shared" si="104"/>
        <v>6590</v>
      </c>
      <c r="I797" s="234">
        <v>1100000000</v>
      </c>
      <c r="J797" s="370" t="str">
        <f t="shared" si="101"/>
        <v>1100000000</v>
      </c>
      <c r="K797" s="30" t="str">
        <f t="shared" si="102"/>
        <v>60901131100000000000</v>
      </c>
    </row>
    <row r="798" spans="1:11" s="109" customFormat="1" ht="38.25">
      <c r="A798" s="244" t="s">
        <v>746</v>
      </c>
      <c r="B798" s="233" t="s">
        <v>62</v>
      </c>
      <c r="C798" s="234" t="s">
        <v>65</v>
      </c>
      <c r="D798" s="234" t="s">
        <v>84</v>
      </c>
      <c r="E798" s="234" t="s">
        <v>281</v>
      </c>
      <c r="F798" s="234" t="s">
        <v>58</v>
      </c>
      <c r="G798" s="235">
        <f t="shared" si="104"/>
        <v>6590</v>
      </c>
      <c r="H798" s="235">
        <f t="shared" si="104"/>
        <v>6590</v>
      </c>
      <c r="I798" s="234" t="s">
        <v>1185</v>
      </c>
      <c r="J798" s="370" t="str">
        <f t="shared" si="101"/>
        <v>11Б0000000</v>
      </c>
      <c r="K798" s="30" t="str">
        <f t="shared" si="102"/>
        <v>609011311Б0000000000</v>
      </c>
    </row>
    <row r="799" spans="1:11" s="109" customFormat="1" ht="25.5">
      <c r="A799" s="232" t="s">
        <v>282</v>
      </c>
      <c r="B799" s="233" t="s">
        <v>62</v>
      </c>
      <c r="C799" s="234" t="s">
        <v>65</v>
      </c>
      <c r="D799" s="234" t="s">
        <v>84</v>
      </c>
      <c r="E799" s="234" t="s">
        <v>283</v>
      </c>
      <c r="F799" s="234" t="s">
        <v>58</v>
      </c>
      <c r="G799" s="235">
        <f t="shared" si="104"/>
        <v>6590</v>
      </c>
      <c r="H799" s="235">
        <f t="shared" si="104"/>
        <v>6590</v>
      </c>
      <c r="I799" s="234" t="s">
        <v>1186</v>
      </c>
      <c r="J799" s="370" t="str">
        <f t="shared" si="101"/>
        <v>11Б0100000</v>
      </c>
      <c r="K799" s="30" t="str">
        <f t="shared" si="102"/>
        <v>609011311Б0100000000</v>
      </c>
    </row>
    <row r="800" spans="1:11" s="259" customFormat="1" ht="25.5">
      <c r="A800" s="232" t="s">
        <v>859</v>
      </c>
      <c r="B800" s="233" t="s">
        <v>62</v>
      </c>
      <c r="C800" s="234" t="s">
        <v>65</v>
      </c>
      <c r="D800" s="234" t="s">
        <v>84</v>
      </c>
      <c r="E800" s="234" t="s">
        <v>858</v>
      </c>
      <c r="F800" s="234" t="s">
        <v>58</v>
      </c>
      <c r="G800" s="235">
        <f t="shared" si="104"/>
        <v>6590</v>
      </c>
      <c r="H800" s="235">
        <f t="shared" si="104"/>
        <v>6590</v>
      </c>
      <c r="I800" s="234" t="s">
        <v>1189</v>
      </c>
      <c r="J800" s="370" t="str">
        <f t="shared" si="101"/>
        <v>11Б0121120</v>
      </c>
      <c r="K800" s="30" t="str">
        <f t="shared" si="102"/>
        <v>609011311Б0121120000</v>
      </c>
    </row>
    <row r="801" spans="1:11" s="259" customFormat="1" ht="25.5">
      <c r="A801" s="232" t="s">
        <v>108</v>
      </c>
      <c r="B801" s="233" t="s">
        <v>62</v>
      </c>
      <c r="C801" s="234" t="s">
        <v>65</v>
      </c>
      <c r="D801" s="234" t="s">
        <v>84</v>
      </c>
      <c r="E801" s="234" t="s">
        <v>858</v>
      </c>
      <c r="F801" s="234" t="s">
        <v>116</v>
      </c>
      <c r="G801" s="235">
        <f>G802</f>
        <v>6590</v>
      </c>
      <c r="H801" s="235">
        <f>H802</f>
        <v>6590</v>
      </c>
      <c r="I801" s="234" t="s">
        <v>1189</v>
      </c>
      <c r="J801" s="370" t="str">
        <f t="shared" si="101"/>
        <v>11Б0121120</v>
      </c>
      <c r="K801" s="30" t="str">
        <f t="shared" si="102"/>
        <v>609011311Б0121120240</v>
      </c>
    </row>
    <row r="802" spans="1:11" s="260" customFormat="1" ht="25.5">
      <c r="A802" s="236" t="s">
        <v>973</v>
      </c>
      <c r="B802" s="233" t="s">
        <v>62</v>
      </c>
      <c r="C802" s="234" t="s">
        <v>65</v>
      </c>
      <c r="D802" s="234" t="s">
        <v>84</v>
      </c>
      <c r="E802" s="234" t="s">
        <v>858</v>
      </c>
      <c r="F802" s="234" t="s">
        <v>1043</v>
      </c>
      <c r="G802" s="235">
        <f>VLOOKUP(K802,'исх АС БЮДЖЕТ'!$A$10:$H$568,7,0)</f>
        <v>6590</v>
      </c>
      <c r="H802" s="235">
        <f>VLOOKUP(K802,'исх АС БЮДЖЕТ'!$A$10:$H$568,8,0)</f>
        <v>6590</v>
      </c>
      <c r="I802" s="234" t="s">
        <v>1189</v>
      </c>
      <c r="J802" s="370" t="str">
        <f t="shared" si="101"/>
        <v>11Б0121120</v>
      </c>
      <c r="K802" s="30" t="str">
        <f t="shared" si="102"/>
        <v>609011311Б0121120244</v>
      </c>
    </row>
    <row r="803" spans="1:11" s="30" customFormat="1">
      <c r="A803" s="224" t="s">
        <v>49</v>
      </c>
      <c r="B803" s="225" t="s">
        <v>62</v>
      </c>
      <c r="C803" s="226" t="s">
        <v>14</v>
      </c>
      <c r="D803" s="226" t="s">
        <v>51</v>
      </c>
      <c r="E803" s="226" t="s">
        <v>196</v>
      </c>
      <c r="F803" s="226" t="s">
        <v>58</v>
      </c>
      <c r="G803" s="227">
        <f>G804+G937+G947</f>
        <v>1645289676.3499999</v>
      </c>
      <c r="H803" s="227">
        <f>H804+H937+H947</f>
        <v>1801642106.3499999</v>
      </c>
      <c r="I803" s="226">
        <v>0</v>
      </c>
      <c r="J803" s="370" t="str">
        <f t="shared" si="101"/>
        <v>0000000000</v>
      </c>
      <c r="K803" s="30" t="str">
        <f t="shared" si="102"/>
        <v>60910000000000000000</v>
      </c>
    </row>
    <row r="804" spans="1:11" s="30" customFormat="1">
      <c r="A804" s="228" t="s">
        <v>63</v>
      </c>
      <c r="B804" s="229" t="s">
        <v>62</v>
      </c>
      <c r="C804" s="230" t="s">
        <v>14</v>
      </c>
      <c r="D804" s="230" t="s">
        <v>53</v>
      </c>
      <c r="E804" s="230" t="s">
        <v>196</v>
      </c>
      <c r="F804" s="230" t="s">
        <v>58</v>
      </c>
      <c r="G804" s="231">
        <f>G805</f>
        <v>1453291780</v>
      </c>
      <c r="H804" s="231">
        <f>H805</f>
        <v>1609572210</v>
      </c>
      <c r="I804" s="230">
        <v>0</v>
      </c>
      <c r="J804" s="370" t="str">
        <f t="shared" si="101"/>
        <v>0000000000</v>
      </c>
      <c r="K804" s="30" t="str">
        <f t="shared" si="102"/>
        <v>60910030000000000000</v>
      </c>
    </row>
    <row r="805" spans="1:11" s="30" customFormat="1">
      <c r="A805" s="248" t="s">
        <v>727</v>
      </c>
      <c r="B805" s="233" t="s">
        <v>62</v>
      </c>
      <c r="C805" s="234" t="s">
        <v>14</v>
      </c>
      <c r="D805" s="234" t="s">
        <v>53</v>
      </c>
      <c r="E805" s="234" t="s">
        <v>327</v>
      </c>
      <c r="F805" s="234" t="s">
        <v>58</v>
      </c>
      <c r="G805" s="235">
        <f>G806+G886+G932</f>
        <v>1453291780</v>
      </c>
      <c r="H805" s="235">
        <f>H806+H886+H932</f>
        <v>1609572210</v>
      </c>
      <c r="I805" s="234">
        <v>300000000</v>
      </c>
      <c r="J805" s="370" t="str">
        <f t="shared" si="101"/>
        <v>0300000000</v>
      </c>
      <c r="K805" s="30" t="str">
        <f t="shared" si="102"/>
        <v>60910030300000000000</v>
      </c>
    </row>
    <row r="806" spans="1:11" s="30" customFormat="1" ht="25.5">
      <c r="A806" s="262" t="s">
        <v>728</v>
      </c>
      <c r="B806" s="233" t="s">
        <v>62</v>
      </c>
      <c r="C806" s="234" t="s">
        <v>14</v>
      </c>
      <c r="D806" s="234" t="s">
        <v>53</v>
      </c>
      <c r="E806" s="234" t="s">
        <v>392</v>
      </c>
      <c r="F806" s="234" t="s">
        <v>58</v>
      </c>
      <c r="G806" s="235">
        <f>G807+G864</f>
        <v>1431232370</v>
      </c>
      <c r="H806" s="235">
        <f>H807+H864</f>
        <v>1587512800</v>
      </c>
      <c r="I806" s="234">
        <v>310000000</v>
      </c>
      <c r="J806" s="370" t="str">
        <f t="shared" si="101"/>
        <v>0310000000</v>
      </c>
      <c r="K806" s="30" t="str">
        <f t="shared" si="102"/>
        <v>60910030310000000000</v>
      </c>
    </row>
    <row r="807" spans="1:11" s="30" customFormat="1" ht="25.5">
      <c r="A807" s="263" t="s">
        <v>393</v>
      </c>
      <c r="B807" s="233" t="s">
        <v>62</v>
      </c>
      <c r="C807" s="234" t="s">
        <v>14</v>
      </c>
      <c r="D807" s="234" t="s">
        <v>53</v>
      </c>
      <c r="E807" s="234" t="s">
        <v>394</v>
      </c>
      <c r="F807" s="234" t="s">
        <v>58</v>
      </c>
      <c r="G807" s="235">
        <f>G808+G813+G821+G826+G829+G834+G839+G844+G849+G854+G859</f>
        <v>1120001490</v>
      </c>
      <c r="H807" s="235">
        <f>H808+H813+H821+H826+H829+H834+H839+H844+H849+H854+H859</f>
        <v>1252406710</v>
      </c>
      <c r="I807" s="234">
        <v>310100000</v>
      </c>
      <c r="J807" s="370" t="str">
        <f t="shared" si="101"/>
        <v>0310100000</v>
      </c>
      <c r="K807" s="30" t="str">
        <f t="shared" si="102"/>
        <v>60910030310100000000</v>
      </c>
    </row>
    <row r="808" spans="1:11" s="30" customFormat="1" ht="25.5">
      <c r="A808" s="248" t="s">
        <v>593</v>
      </c>
      <c r="B808" s="233" t="s">
        <v>62</v>
      </c>
      <c r="C808" s="234" t="s">
        <v>14</v>
      </c>
      <c r="D808" s="234" t="s">
        <v>53</v>
      </c>
      <c r="E808" s="234" t="s">
        <v>395</v>
      </c>
      <c r="F808" s="234" t="s">
        <v>58</v>
      </c>
      <c r="G808" s="235">
        <f>G809+G811</f>
        <v>15553000</v>
      </c>
      <c r="H808" s="235">
        <f>H809+H811</f>
        <v>15553000</v>
      </c>
      <c r="I808" s="234">
        <v>310152200</v>
      </c>
      <c r="J808" s="370" t="str">
        <f t="shared" si="101"/>
        <v>0310152200</v>
      </c>
      <c r="K808" s="30" t="str">
        <f t="shared" si="102"/>
        <v>60910030310152200000</v>
      </c>
    </row>
    <row r="809" spans="1:11" s="30" customFormat="1" ht="25.5">
      <c r="A809" s="232" t="s">
        <v>108</v>
      </c>
      <c r="B809" s="233" t="s">
        <v>62</v>
      </c>
      <c r="C809" s="234" t="s">
        <v>14</v>
      </c>
      <c r="D809" s="234" t="s">
        <v>53</v>
      </c>
      <c r="E809" s="234" t="s">
        <v>395</v>
      </c>
      <c r="F809" s="234" t="s">
        <v>116</v>
      </c>
      <c r="G809" s="235">
        <f>G810</f>
        <v>229840</v>
      </c>
      <c r="H809" s="235">
        <f>H810</f>
        <v>229840</v>
      </c>
      <c r="I809" s="234">
        <v>310152200</v>
      </c>
      <c r="J809" s="370" t="str">
        <f t="shared" si="101"/>
        <v>0310152200</v>
      </c>
      <c r="K809" s="30" t="str">
        <f t="shared" si="102"/>
        <v>60910030310152200240</v>
      </c>
    </row>
    <row r="810" spans="1:11" s="83" customFormat="1" ht="25.5">
      <c r="A810" s="236" t="s">
        <v>973</v>
      </c>
      <c r="B810" s="233" t="s">
        <v>62</v>
      </c>
      <c r="C810" s="234" t="s">
        <v>14</v>
      </c>
      <c r="D810" s="234" t="s">
        <v>53</v>
      </c>
      <c r="E810" s="234" t="s">
        <v>395</v>
      </c>
      <c r="F810" s="234" t="s">
        <v>1043</v>
      </c>
      <c r="G810" s="235">
        <f>VLOOKUP(K810,'исх АС БЮДЖЕТ'!$A$10:$H$568,7,0)</f>
        <v>229840</v>
      </c>
      <c r="H810" s="235">
        <f>VLOOKUP(K810,'исх АС БЮДЖЕТ'!$A$10:$H$568,8,0)</f>
        <v>229840</v>
      </c>
      <c r="I810" s="234">
        <v>310152200</v>
      </c>
      <c r="J810" s="370" t="str">
        <f t="shared" si="101"/>
        <v>0310152200</v>
      </c>
      <c r="K810" s="30" t="str">
        <f t="shared" si="102"/>
        <v>60910030310152200244</v>
      </c>
    </row>
    <row r="811" spans="1:11" s="30" customFormat="1">
      <c r="A811" s="244" t="s">
        <v>109</v>
      </c>
      <c r="B811" s="233" t="s">
        <v>62</v>
      </c>
      <c r="C811" s="234" t="s">
        <v>14</v>
      </c>
      <c r="D811" s="234" t="s">
        <v>53</v>
      </c>
      <c r="E811" s="234" t="s">
        <v>395</v>
      </c>
      <c r="F811" s="234" t="s">
        <v>134</v>
      </c>
      <c r="G811" s="235">
        <f>G812</f>
        <v>15323160</v>
      </c>
      <c r="H811" s="235">
        <f>H812</f>
        <v>15323160</v>
      </c>
      <c r="I811" s="234">
        <v>310152200</v>
      </c>
      <c r="J811" s="370" t="str">
        <f t="shared" si="101"/>
        <v>0310152200</v>
      </c>
      <c r="K811" s="30" t="str">
        <f t="shared" si="102"/>
        <v>60910030310152200310</v>
      </c>
    </row>
    <row r="812" spans="1:11" s="83" customFormat="1" ht="25.5">
      <c r="A812" s="236" t="s">
        <v>978</v>
      </c>
      <c r="B812" s="233" t="s">
        <v>62</v>
      </c>
      <c r="C812" s="234" t="s">
        <v>14</v>
      </c>
      <c r="D812" s="234" t="s">
        <v>53</v>
      </c>
      <c r="E812" s="234" t="s">
        <v>395</v>
      </c>
      <c r="F812" s="234" t="s">
        <v>1064</v>
      </c>
      <c r="G812" s="235">
        <f>VLOOKUP(K812,'исх АС БЮДЖЕТ'!$A$10:$H$568,7,0)</f>
        <v>15323160</v>
      </c>
      <c r="H812" s="235">
        <f>VLOOKUP(K812,'исх АС БЮДЖЕТ'!$A$10:$H$568,8,0)</f>
        <v>15323160</v>
      </c>
      <c r="I812" s="234">
        <v>310152200</v>
      </c>
      <c r="J812" s="370" t="str">
        <f t="shared" si="101"/>
        <v>0310152200</v>
      </c>
      <c r="K812" s="30" t="str">
        <f t="shared" si="102"/>
        <v>60910030310152200313</v>
      </c>
    </row>
    <row r="813" spans="1:11" s="30" customFormat="1" ht="25.5">
      <c r="A813" s="248" t="s">
        <v>396</v>
      </c>
      <c r="B813" s="233" t="s">
        <v>62</v>
      </c>
      <c r="C813" s="234" t="s">
        <v>14</v>
      </c>
      <c r="D813" s="234" t="s">
        <v>53</v>
      </c>
      <c r="E813" s="234" t="s">
        <v>397</v>
      </c>
      <c r="F813" s="234" t="s">
        <v>58</v>
      </c>
      <c r="G813" s="235">
        <f>G814+G817+G819</f>
        <v>340355020</v>
      </c>
      <c r="H813" s="235">
        <f>H814+H817+H819</f>
        <v>340145820</v>
      </c>
      <c r="I813" s="234">
        <v>310152500</v>
      </c>
      <c r="J813" s="370" t="str">
        <f t="shared" si="101"/>
        <v>0310152500</v>
      </c>
      <c r="K813" s="30" t="str">
        <f t="shared" si="102"/>
        <v>60910030310152500000</v>
      </c>
    </row>
    <row r="814" spans="1:11" s="30" customFormat="1">
      <c r="A814" s="236" t="s">
        <v>107</v>
      </c>
      <c r="B814" s="233" t="s">
        <v>62</v>
      </c>
      <c r="C814" s="234" t="s">
        <v>14</v>
      </c>
      <c r="D814" s="234" t="s">
        <v>53</v>
      </c>
      <c r="E814" s="234" t="s">
        <v>397</v>
      </c>
      <c r="F814" s="234" t="s">
        <v>115</v>
      </c>
      <c r="G814" s="235">
        <f>SUM(G815:G816)</f>
        <v>1654900</v>
      </c>
      <c r="H814" s="235">
        <f>SUM(H815:H816)</f>
        <v>1654900</v>
      </c>
      <c r="I814" s="234">
        <v>310152500</v>
      </c>
      <c r="J814" s="370" t="str">
        <f t="shared" si="101"/>
        <v>0310152500</v>
      </c>
      <c r="K814" s="30" t="str">
        <f t="shared" si="102"/>
        <v>60910030310152500120</v>
      </c>
    </row>
    <row r="815" spans="1:11" s="83" customFormat="1">
      <c r="A815" s="236" t="s">
        <v>936</v>
      </c>
      <c r="B815" s="233" t="s">
        <v>62</v>
      </c>
      <c r="C815" s="234" t="s">
        <v>14</v>
      </c>
      <c r="D815" s="234" t="s">
        <v>53</v>
      </c>
      <c r="E815" s="234" t="s">
        <v>397</v>
      </c>
      <c r="F815" s="234" t="s">
        <v>1063</v>
      </c>
      <c r="G815" s="235">
        <f>VLOOKUP(K815,'исх АС БЮДЖЕТ'!$A$10:$H$568,7,0)</f>
        <v>1300000</v>
      </c>
      <c r="H815" s="235">
        <f>VLOOKUP(K815,'исх АС БЮДЖЕТ'!$A$10:$H$568,8,0)</f>
        <v>1300000</v>
      </c>
      <c r="I815" s="234">
        <v>310152500</v>
      </c>
      <c r="J815" s="370" t="str">
        <f t="shared" si="101"/>
        <v>0310152500</v>
      </c>
      <c r="K815" s="30" t="str">
        <f t="shared" si="102"/>
        <v>60910030310152500121</v>
      </c>
    </row>
    <row r="816" spans="1:11" s="83" customFormat="1" ht="38.25">
      <c r="A816" s="236" t="s">
        <v>939</v>
      </c>
      <c r="B816" s="233" t="s">
        <v>62</v>
      </c>
      <c r="C816" s="234" t="s">
        <v>14</v>
      </c>
      <c r="D816" s="234" t="s">
        <v>53</v>
      </c>
      <c r="E816" s="234" t="s">
        <v>397</v>
      </c>
      <c r="F816" s="234" t="s">
        <v>1060</v>
      </c>
      <c r="G816" s="235">
        <f>VLOOKUP(K816,'исх АС БЮДЖЕТ'!$A$10:$H$568,7,0)</f>
        <v>354900</v>
      </c>
      <c r="H816" s="235">
        <f>VLOOKUP(K816,'исх АС БЮДЖЕТ'!$A$10:$H$568,8,0)</f>
        <v>354900</v>
      </c>
      <c r="I816" s="234">
        <v>310152500</v>
      </c>
      <c r="J816" s="370" t="str">
        <f t="shared" si="101"/>
        <v>0310152500</v>
      </c>
      <c r="K816" s="30" t="str">
        <f t="shared" si="102"/>
        <v>60910030310152500129</v>
      </c>
    </row>
    <row r="817" spans="1:11" s="30" customFormat="1" ht="25.5">
      <c r="A817" s="232" t="s">
        <v>108</v>
      </c>
      <c r="B817" s="233" t="s">
        <v>62</v>
      </c>
      <c r="C817" s="234" t="s">
        <v>14</v>
      </c>
      <c r="D817" s="234" t="s">
        <v>53</v>
      </c>
      <c r="E817" s="234" t="s">
        <v>397</v>
      </c>
      <c r="F817" s="234" t="s">
        <v>116</v>
      </c>
      <c r="G817" s="235">
        <f>G818</f>
        <v>3374920</v>
      </c>
      <c r="H817" s="235">
        <f>H818</f>
        <v>3371900</v>
      </c>
      <c r="I817" s="234">
        <v>310152500</v>
      </c>
      <c r="J817" s="370" t="str">
        <f t="shared" si="101"/>
        <v>0310152500</v>
      </c>
      <c r="K817" s="30" t="str">
        <f t="shared" si="102"/>
        <v>60910030310152500240</v>
      </c>
    </row>
    <row r="818" spans="1:11" s="83" customFormat="1" ht="25.5">
      <c r="A818" s="236" t="s">
        <v>973</v>
      </c>
      <c r="B818" s="233" t="s">
        <v>62</v>
      </c>
      <c r="C818" s="234" t="s">
        <v>14</v>
      </c>
      <c r="D818" s="234" t="s">
        <v>53</v>
      </c>
      <c r="E818" s="234" t="s">
        <v>397</v>
      </c>
      <c r="F818" s="234" t="s">
        <v>1043</v>
      </c>
      <c r="G818" s="235">
        <f>VLOOKUP(K818,'исх АС БЮДЖЕТ'!$A$10:$H$568,7,0)</f>
        <v>3374920</v>
      </c>
      <c r="H818" s="235">
        <f>VLOOKUP(K818,'исх АС БЮДЖЕТ'!$A$10:$H$568,8,0)</f>
        <v>3371900</v>
      </c>
      <c r="I818" s="234">
        <v>310152500</v>
      </c>
      <c r="J818" s="370" t="str">
        <f t="shared" si="101"/>
        <v>0310152500</v>
      </c>
      <c r="K818" s="30" t="str">
        <f t="shared" si="102"/>
        <v>60910030310152500244</v>
      </c>
    </row>
    <row r="819" spans="1:11" s="30" customFormat="1">
      <c r="A819" s="244" t="s">
        <v>109</v>
      </c>
      <c r="B819" s="233" t="s">
        <v>62</v>
      </c>
      <c r="C819" s="234" t="s">
        <v>14</v>
      </c>
      <c r="D819" s="234" t="s">
        <v>53</v>
      </c>
      <c r="E819" s="234" t="s">
        <v>397</v>
      </c>
      <c r="F819" s="234" t="s">
        <v>134</v>
      </c>
      <c r="G819" s="235">
        <f>G820</f>
        <v>335325200</v>
      </c>
      <c r="H819" s="235">
        <f>H820</f>
        <v>335119020</v>
      </c>
      <c r="I819" s="234">
        <v>310152500</v>
      </c>
      <c r="J819" s="370" t="str">
        <f t="shared" si="101"/>
        <v>0310152500</v>
      </c>
      <c r="K819" s="30" t="str">
        <f t="shared" si="102"/>
        <v>60910030310152500310</v>
      </c>
    </row>
    <row r="820" spans="1:11" s="83" customFormat="1" ht="25.5">
      <c r="A820" s="236" t="s">
        <v>978</v>
      </c>
      <c r="B820" s="233" t="s">
        <v>62</v>
      </c>
      <c r="C820" s="234" t="s">
        <v>14</v>
      </c>
      <c r="D820" s="234" t="s">
        <v>53</v>
      </c>
      <c r="E820" s="234" t="s">
        <v>397</v>
      </c>
      <c r="F820" s="234" t="s">
        <v>1064</v>
      </c>
      <c r="G820" s="235">
        <f>VLOOKUP(K820,'исх АС БЮДЖЕТ'!$A$10:$H$568,7,0)</f>
        <v>335325200</v>
      </c>
      <c r="H820" s="235">
        <f>VLOOKUP(K820,'исх АС БЮДЖЕТ'!$A$10:$H$568,8,0)</f>
        <v>335119020</v>
      </c>
      <c r="I820" s="234">
        <v>310152500</v>
      </c>
      <c r="J820" s="370" t="str">
        <f t="shared" si="101"/>
        <v>0310152500</v>
      </c>
      <c r="K820" s="30" t="str">
        <f t="shared" si="102"/>
        <v>60910030310152500313</v>
      </c>
    </row>
    <row r="821" spans="1:11" s="30" customFormat="1" ht="89.25">
      <c r="A821" s="310" t="s">
        <v>887</v>
      </c>
      <c r="B821" s="233" t="s">
        <v>62</v>
      </c>
      <c r="C821" s="234" t="s">
        <v>14</v>
      </c>
      <c r="D821" s="234" t="s">
        <v>53</v>
      </c>
      <c r="E821" s="234" t="s">
        <v>398</v>
      </c>
      <c r="F821" s="234" t="s">
        <v>58</v>
      </c>
      <c r="G821" s="235">
        <f>G822+G824</f>
        <v>120000</v>
      </c>
      <c r="H821" s="235">
        <f>H822+H824</f>
        <v>120000</v>
      </c>
      <c r="I821" s="234">
        <v>310152800</v>
      </c>
      <c r="J821" s="370" t="str">
        <f t="shared" si="101"/>
        <v>0310152800</v>
      </c>
      <c r="K821" s="30" t="str">
        <f t="shared" si="102"/>
        <v>60910030310152800000</v>
      </c>
    </row>
    <row r="822" spans="1:11" s="30" customFormat="1" ht="25.5">
      <c r="A822" s="232" t="s">
        <v>108</v>
      </c>
      <c r="B822" s="233" t="s">
        <v>62</v>
      </c>
      <c r="C822" s="234" t="s">
        <v>14</v>
      </c>
      <c r="D822" s="234" t="s">
        <v>53</v>
      </c>
      <c r="E822" s="234" t="s">
        <v>398</v>
      </c>
      <c r="F822" s="234" t="s">
        <v>116</v>
      </c>
      <c r="G822" s="235">
        <f>G823</f>
        <v>1590</v>
      </c>
      <c r="H822" s="235">
        <f>H823</f>
        <v>1590</v>
      </c>
      <c r="I822" s="234">
        <v>310152800</v>
      </c>
      <c r="J822" s="370" t="str">
        <f t="shared" si="101"/>
        <v>0310152800</v>
      </c>
      <c r="K822" s="30" t="str">
        <f t="shared" si="102"/>
        <v>60910030310152800240</v>
      </c>
    </row>
    <row r="823" spans="1:11" s="83" customFormat="1" ht="25.5">
      <c r="A823" s="236" t="s">
        <v>973</v>
      </c>
      <c r="B823" s="233" t="s">
        <v>62</v>
      </c>
      <c r="C823" s="234" t="s">
        <v>14</v>
      </c>
      <c r="D823" s="234" t="s">
        <v>53</v>
      </c>
      <c r="E823" s="234" t="s">
        <v>398</v>
      </c>
      <c r="F823" s="234" t="s">
        <v>1043</v>
      </c>
      <c r="G823" s="235">
        <f>VLOOKUP(K823,'исх АС БЮДЖЕТ'!$A$10:$H$568,7,0)</f>
        <v>1590</v>
      </c>
      <c r="H823" s="235">
        <f>VLOOKUP(K823,'исх АС БЮДЖЕТ'!$A$10:$H$568,8,0)</f>
        <v>1590</v>
      </c>
      <c r="I823" s="234">
        <v>310152800</v>
      </c>
      <c r="J823" s="370" t="str">
        <f t="shared" si="101"/>
        <v>0310152800</v>
      </c>
      <c r="K823" s="30" t="str">
        <f t="shared" si="102"/>
        <v>60910030310152800244</v>
      </c>
    </row>
    <row r="824" spans="1:11" s="30" customFormat="1">
      <c r="A824" s="244" t="s">
        <v>109</v>
      </c>
      <c r="B824" s="233" t="s">
        <v>62</v>
      </c>
      <c r="C824" s="234" t="s">
        <v>14</v>
      </c>
      <c r="D824" s="234" t="s">
        <v>53</v>
      </c>
      <c r="E824" s="234" t="s">
        <v>398</v>
      </c>
      <c r="F824" s="234" t="s">
        <v>134</v>
      </c>
      <c r="G824" s="235">
        <f>G825</f>
        <v>118410</v>
      </c>
      <c r="H824" s="235">
        <f>H825</f>
        <v>118410</v>
      </c>
      <c r="I824" s="234">
        <v>310152800</v>
      </c>
      <c r="J824" s="370" t="str">
        <f t="shared" si="101"/>
        <v>0310152800</v>
      </c>
      <c r="K824" s="30" t="str">
        <f t="shared" si="102"/>
        <v>60910030310152800310</v>
      </c>
    </row>
    <row r="825" spans="1:11" s="83" customFormat="1" ht="25.5">
      <c r="A825" s="236" t="s">
        <v>978</v>
      </c>
      <c r="B825" s="233" t="s">
        <v>62</v>
      </c>
      <c r="C825" s="234" t="s">
        <v>14</v>
      </c>
      <c r="D825" s="234" t="s">
        <v>53</v>
      </c>
      <c r="E825" s="234" t="s">
        <v>398</v>
      </c>
      <c r="F825" s="234" t="s">
        <v>1064</v>
      </c>
      <c r="G825" s="235">
        <f>VLOOKUP(K825,'исх АС БЮДЖЕТ'!$A$10:$H$568,7,0)</f>
        <v>118410</v>
      </c>
      <c r="H825" s="235">
        <f>VLOOKUP(K825,'исх АС БЮДЖЕТ'!$A$10:$H$568,8,0)</f>
        <v>118410</v>
      </c>
      <c r="I825" s="234">
        <v>310152800</v>
      </c>
      <c r="J825" s="370" t="str">
        <f t="shared" si="101"/>
        <v>0310152800</v>
      </c>
      <c r="K825" s="30" t="str">
        <f t="shared" si="102"/>
        <v>60910030310152800313</v>
      </c>
    </row>
    <row r="826" spans="1:11" s="30" customFormat="1" ht="25.5">
      <c r="A826" s="266" t="s">
        <v>401</v>
      </c>
      <c r="B826" s="233" t="s">
        <v>62</v>
      </c>
      <c r="C826" s="234" t="s">
        <v>14</v>
      </c>
      <c r="D826" s="234" t="s">
        <v>53</v>
      </c>
      <c r="E826" s="234" t="s">
        <v>402</v>
      </c>
      <c r="F826" s="234" t="s">
        <v>58</v>
      </c>
      <c r="G826" s="235">
        <f>G827</f>
        <v>7891750</v>
      </c>
      <c r="H826" s="235">
        <f>H827</f>
        <v>7891750</v>
      </c>
      <c r="I826" s="234">
        <v>310176240</v>
      </c>
      <c r="J826" s="370" t="str">
        <f t="shared" si="101"/>
        <v>0310176240</v>
      </c>
      <c r="K826" s="30" t="str">
        <f t="shared" si="102"/>
        <v>60910030310176240000</v>
      </c>
    </row>
    <row r="827" spans="1:11" s="30" customFormat="1">
      <c r="A827" s="244" t="s">
        <v>109</v>
      </c>
      <c r="B827" s="233" t="s">
        <v>62</v>
      </c>
      <c r="C827" s="234" t="s">
        <v>14</v>
      </c>
      <c r="D827" s="234" t="s">
        <v>53</v>
      </c>
      <c r="E827" s="234" t="s">
        <v>402</v>
      </c>
      <c r="F827" s="234" t="s">
        <v>134</v>
      </c>
      <c r="G827" s="235">
        <f>G828</f>
        <v>7891750</v>
      </c>
      <c r="H827" s="235">
        <f>H828</f>
        <v>7891750</v>
      </c>
      <c r="I827" s="234">
        <v>310176240</v>
      </c>
      <c r="J827" s="370" t="str">
        <f t="shared" si="101"/>
        <v>0310176240</v>
      </c>
      <c r="K827" s="30" t="str">
        <f t="shared" si="102"/>
        <v>60910030310176240310</v>
      </c>
    </row>
    <row r="828" spans="1:11" s="83" customFormat="1" ht="25.5">
      <c r="A828" s="236" t="s">
        <v>978</v>
      </c>
      <c r="B828" s="233" t="s">
        <v>62</v>
      </c>
      <c r="C828" s="234" t="s">
        <v>14</v>
      </c>
      <c r="D828" s="234" t="s">
        <v>53</v>
      </c>
      <c r="E828" s="234" t="s">
        <v>402</v>
      </c>
      <c r="F828" s="234" t="s">
        <v>1064</v>
      </c>
      <c r="G828" s="235">
        <f>VLOOKUP(K828,'исх АС БЮДЖЕТ'!$A$10:$H$568,7,0)</f>
        <v>7891750</v>
      </c>
      <c r="H828" s="235">
        <f>VLOOKUP(K828,'исх АС БЮДЖЕТ'!$A$10:$H$568,8,0)</f>
        <v>7891750</v>
      </c>
      <c r="I828" s="234">
        <v>310176240</v>
      </c>
      <c r="J828" s="370" t="str">
        <f t="shared" si="101"/>
        <v>0310176240</v>
      </c>
      <c r="K828" s="30" t="str">
        <f t="shared" si="102"/>
        <v>60910030310176240313</v>
      </c>
    </row>
    <row r="829" spans="1:11" s="30" customFormat="1" ht="63.75">
      <c r="A829" s="266" t="s">
        <v>668</v>
      </c>
      <c r="B829" s="233" t="s">
        <v>62</v>
      </c>
      <c r="C829" s="234" t="s">
        <v>14</v>
      </c>
      <c r="D829" s="234" t="s">
        <v>53</v>
      </c>
      <c r="E829" s="234" t="s">
        <v>792</v>
      </c>
      <c r="F829" s="234" t="s">
        <v>58</v>
      </c>
      <c r="G829" s="235">
        <f>G830+G832</f>
        <v>301865380</v>
      </c>
      <c r="H829" s="235">
        <f>H830+H832</f>
        <v>350298340</v>
      </c>
      <c r="I829" s="234">
        <v>310178210</v>
      </c>
      <c r="J829" s="370" t="str">
        <f t="shared" ref="J829:J892" si="105">TEXT(I829,"0000000000")</f>
        <v>0310178210</v>
      </c>
      <c r="K829" s="30" t="str">
        <f t="shared" ref="K829:K892" si="106">CONCATENATE(B829,C829,D829,J829,F829)</f>
        <v>60910030310178210000</v>
      </c>
    </row>
    <row r="830" spans="1:11" s="30" customFormat="1" ht="25.5">
      <c r="A830" s="232" t="s">
        <v>108</v>
      </c>
      <c r="B830" s="233" t="s">
        <v>62</v>
      </c>
      <c r="C830" s="234" t="s">
        <v>14</v>
      </c>
      <c r="D830" s="234" t="s">
        <v>53</v>
      </c>
      <c r="E830" s="234" t="s">
        <v>792</v>
      </c>
      <c r="F830" s="234" t="s">
        <v>116</v>
      </c>
      <c r="G830" s="235">
        <f>G831</f>
        <v>4594000</v>
      </c>
      <c r="H830" s="235">
        <f>H831</f>
        <v>5332000</v>
      </c>
      <c r="I830" s="234">
        <v>310178210</v>
      </c>
      <c r="J830" s="370" t="str">
        <f t="shared" si="105"/>
        <v>0310178210</v>
      </c>
      <c r="K830" s="30" t="str">
        <f t="shared" si="106"/>
        <v>60910030310178210240</v>
      </c>
    </row>
    <row r="831" spans="1:11" s="83" customFormat="1" ht="25.5">
      <c r="A831" s="236" t="s">
        <v>973</v>
      </c>
      <c r="B831" s="233" t="s">
        <v>62</v>
      </c>
      <c r="C831" s="234" t="s">
        <v>14</v>
      </c>
      <c r="D831" s="234" t="s">
        <v>53</v>
      </c>
      <c r="E831" s="234" t="s">
        <v>792</v>
      </c>
      <c r="F831" s="234" t="s">
        <v>1043</v>
      </c>
      <c r="G831" s="235">
        <f>VLOOKUP(K831,'исх АС БЮДЖЕТ'!$A$10:$H$568,7,0)</f>
        <v>4594000</v>
      </c>
      <c r="H831" s="235">
        <f>VLOOKUP(K831,'исх АС БЮДЖЕТ'!$A$10:$H$568,8,0)</f>
        <v>5332000</v>
      </c>
      <c r="I831" s="234">
        <v>310178210</v>
      </c>
      <c r="J831" s="370" t="str">
        <f t="shared" si="105"/>
        <v>0310178210</v>
      </c>
      <c r="K831" s="30" t="str">
        <f t="shared" si="106"/>
        <v>60910030310178210244</v>
      </c>
    </row>
    <row r="832" spans="1:11" s="30" customFormat="1">
      <c r="A832" s="244" t="s">
        <v>109</v>
      </c>
      <c r="B832" s="233" t="s">
        <v>62</v>
      </c>
      <c r="C832" s="234" t="s">
        <v>14</v>
      </c>
      <c r="D832" s="234" t="s">
        <v>53</v>
      </c>
      <c r="E832" s="234" t="s">
        <v>792</v>
      </c>
      <c r="F832" s="234" t="s">
        <v>134</v>
      </c>
      <c r="G832" s="235">
        <f>G833</f>
        <v>297271380</v>
      </c>
      <c r="H832" s="235">
        <f>H833</f>
        <v>344966340</v>
      </c>
      <c r="I832" s="234">
        <v>310178210</v>
      </c>
      <c r="J832" s="370" t="str">
        <f t="shared" si="105"/>
        <v>0310178210</v>
      </c>
      <c r="K832" s="30" t="str">
        <f t="shared" si="106"/>
        <v>60910030310178210310</v>
      </c>
    </row>
    <row r="833" spans="1:11" s="83" customFormat="1" ht="25.5">
      <c r="A833" s="236" t="s">
        <v>978</v>
      </c>
      <c r="B833" s="233" t="s">
        <v>62</v>
      </c>
      <c r="C833" s="234" t="s">
        <v>14</v>
      </c>
      <c r="D833" s="234" t="s">
        <v>53</v>
      </c>
      <c r="E833" s="234" t="s">
        <v>792</v>
      </c>
      <c r="F833" s="234" t="s">
        <v>1064</v>
      </c>
      <c r="G833" s="235">
        <f>VLOOKUP(K833,'исх АС БЮДЖЕТ'!$A$10:$H$568,7,0)</f>
        <v>297271380</v>
      </c>
      <c r="H833" s="235">
        <f>VLOOKUP(K833,'исх АС БЮДЖЕТ'!$A$10:$H$568,8,0)</f>
        <v>344966340</v>
      </c>
      <c r="I833" s="234">
        <v>310178210</v>
      </c>
      <c r="J833" s="370" t="str">
        <f t="shared" si="105"/>
        <v>0310178210</v>
      </c>
      <c r="K833" s="30" t="str">
        <f t="shared" si="106"/>
        <v>60910030310178210313</v>
      </c>
    </row>
    <row r="834" spans="1:11" s="30" customFormat="1" ht="25.5">
      <c r="A834" s="244" t="s">
        <v>399</v>
      </c>
      <c r="B834" s="233" t="s">
        <v>62</v>
      </c>
      <c r="C834" s="234" t="s">
        <v>14</v>
      </c>
      <c r="D834" s="234" t="s">
        <v>53</v>
      </c>
      <c r="E834" s="234" t="s">
        <v>793</v>
      </c>
      <c r="F834" s="234" t="s">
        <v>58</v>
      </c>
      <c r="G834" s="235">
        <f>G835+G837</f>
        <v>209812870</v>
      </c>
      <c r="H834" s="235">
        <f>H835+H837</f>
        <v>246535940</v>
      </c>
      <c r="I834" s="234">
        <v>310178220</v>
      </c>
      <c r="J834" s="370" t="str">
        <f t="shared" si="105"/>
        <v>0310178220</v>
      </c>
      <c r="K834" s="30" t="str">
        <f t="shared" si="106"/>
        <v>60910030310178220000</v>
      </c>
    </row>
    <row r="835" spans="1:11" s="30" customFormat="1" ht="25.5">
      <c r="A835" s="244" t="s">
        <v>108</v>
      </c>
      <c r="B835" s="233" t="s">
        <v>62</v>
      </c>
      <c r="C835" s="234" t="s">
        <v>14</v>
      </c>
      <c r="D835" s="234" t="s">
        <v>53</v>
      </c>
      <c r="E835" s="234" t="s">
        <v>793</v>
      </c>
      <c r="F835" s="234" t="s">
        <v>116</v>
      </c>
      <c r="G835" s="235">
        <f>G836</f>
        <v>2885000</v>
      </c>
      <c r="H835" s="235">
        <f>H836</f>
        <v>3390000</v>
      </c>
      <c r="I835" s="234">
        <v>310178220</v>
      </c>
      <c r="J835" s="370" t="str">
        <f t="shared" si="105"/>
        <v>0310178220</v>
      </c>
      <c r="K835" s="30" t="str">
        <f t="shared" si="106"/>
        <v>60910030310178220240</v>
      </c>
    </row>
    <row r="836" spans="1:11" s="83" customFormat="1" ht="25.5">
      <c r="A836" s="236" t="s">
        <v>973</v>
      </c>
      <c r="B836" s="233" t="s">
        <v>62</v>
      </c>
      <c r="C836" s="234" t="s">
        <v>14</v>
      </c>
      <c r="D836" s="234" t="s">
        <v>53</v>
      </c>
      <c r="E836" s="234" t="s">
        <v>793</v>
      </c>
      <c r="F836" s="234" t="s">
        <v>1043</v>
      </c>
      <c r="G836" s="235">
        <f>VLOOKUP(K836,'исх АС БЮДЖЕТ'!$A$10:$H$568,7,0)</f>
        <v>2885000</v>
      </c>
      <c r="H836" s="235">
        <f>VLOOKUP(K836,'исх АС БЮДЖЕТ'!$A$10:$H$568,8,0)</f>
        <v>3390000</v>
      </c>
      <c r="I836" s="234">
        <v>310178220</v>
      </c>
      <c r="J836" s="370" t="str">
        <f t="shared" si="105"/>
        <v>0310178220</v>
      </c>
      <c r="K836" s="30" t="str">
        <f t="shared" si="106"/>
        <v>60910030310178220244</v>
      </c>
    </row>
    <row r="837" spans="1:11" s="30" customFormat="1">
      <c r="A837" s="244" t="s">
        <v>109</v>
      </c>
      <c r="B837" s="233" t="s">
        <v>62</v>
      </c>
      <c r="C837" s="234" t="s">
        <v>14</v>
      </c>
      <c r="D837" s="234" t="s">
        <v>53</v>
      </c>
      <c r="E837" s="234" t="s">
        <v>793</v>
      </c>
      <c r="F837" s="234" t="s">
        <v>134</v>
      </c>
      <c r="G837" s="235">
        <f>G838</f>
        <v>206927870</v>
      </c>
      <c r="H837" s="235">
        <f>H838</f>
        <v>243145940</v>
      </c>
      <c r="I837" s="234">
        <v>310178220</v>
      </c>
      <c r="J837" s="370" t="str">
        <f t="shared" si="105"/>
        <v>0310178220</v>
      </c>
      <c r="K837" s="30" t="str">
        <f t="shared" si="106"/>
        <v>60910030310178220310</v>
      </c>
    </row>
    <row r="838" spans="1:11" s="83" customFormat="1" ht="25.5">
      <c r="A838" s="236" t="s">
        <v>978</v>
      </c>
      <c r="B838" s="233" t="s">
        <v>62</v>
      </c>
      <c r="C838" s="234" t="s">
        <v>14</v>
      </c>
      <c r="D838" s="234" t="s">
        <v>53</v>
      </c>
      <c r="E838" s="234" t="s">
        <v>793</v>
      </c>
      <c r="F838" s="234" t="s">
        <v>1064</v>
      </c>
      <c r="G838" s="235">
        <f>VLOOKUP(K838,'исх АС БЮДЖЕТ'!$A$10:$H$568,7,0)</f>
        <v>206927870</v>
      </c>
      <c r="H838" s="235">
        <f>VLOOKUP(K838,'исх АС БЮДЖЕТ'!$A$10:$H$568,8,0)</f>
        <v>243145940</v>
      </c>
      <c r="I838" s="234">
        <v>310178220</v>
      </c>
      <c r="J838" s="370" t="str">
        <f t="shared" si="105"/>
        <v>0310178220</v>
      </c>
      <c r="K838" s="30" t="str">
        <f t="shared" si="106"/>
        <v>60910030310178220313</v>
      </c>
    </row>
    <row r="839" spans="1:11" s="30" customFormat="1" ht="25.5">
      <c r="A839" s="266" t="s">
        <v>400</v>
      </c>
      <c r="B839" s="233" t="s">
        <v>62</v>
      </c>
      <c r="C839" s="234" t="s">
        <v>14</v>
      </c>
      <c r="D839" s="234" t="s">
        <v>53</v>
      </c>
      <c r="E839" s="234" t="s">
        <v>794</v>
      </c>
      <c r="F839" s="234" t="s">
        <v>58</v>
      </c>
      <c r="G839" s="235">
        <f>G840+G842</f>
        <v>5754930</v>
      </c>
      <c r="H839" s="235">
        <f>H840+H842</f>
        <v>5589550</v>
      </c>
      <c r="I839" s="234">
        <v>310178230</v>
      </c>
      <c r="J839" s="370" t="str">
        <f t="shared" si="105"/>
        <v>0310178230</v>
      </c>
      <c r="K839" s="30" t="str">
        <f t="shared" si="106"/>
        <v>60910030310178230000</v>
      </c>
    </row>
    <row r="840" spans="1:11" s="30" customFormat="1" ht="25.5">
      <c r="A840" s="232" t="s">
        <v>108</v>
      </c>
      <c r="B840" s="233" t="s">
        <v>62</v>
      </c>
      <c r="C840" s="234" t="s">
        <v>14</v>
      </c>
      <c r="D840" s="234" t="s">
        <v>53</v>
      </c>
      <c r="E840" s="234" t="s">
        <v>794</v>
      </c>
      <c r="F840" s="234" t="s">
        <v>116</v>
      </c>
      <c r="G840" s="235">
        <f>G841</f>
        <v>89200</v>
      </c>
      <c r="H840" s="235">
        <f>H841</f>
        <v>86640</v>
      </c>
      <c r="I840" s="234">
        <v>310178230</v>
      </c>
      <c r="J840" s="370" t="str">
        <f t="shared" si="105"/>
        <v>0310178230</v>
      </c>
      <c r="K840" s="30" t="str">
        <f t="shared" si="106"/>
        <v>60910030310178230240</v>
      </c>
    </row>
    <row r="841" spans="1:11" s="83" customFormat="1" ht="25.5">
      <c r="A841" s="236" t="s">
        <v>973</v>
      </c>
      <c r="B841" s="233" t="s">
        <v>62</v>
      </c>
      <c r="C841" s="234" t="s">
        <v>14</v>
      </c>
      <c r="D841" s="234" t="s">
        <v>53</v>
      </c>
      <c r="E841" s="234" t="s">
        <v>794</v>
      </c>
      <c r="F841" s="234" t="s">
        <v>1043</v>
      </c>
      <c r="G841" s="235">
        <f>VLOOKUP(K841,'исх АС БЮДЖЕТ'!$A$10:$H$568,7,0)</f>
        <v>89200</v>
      </c>
      <c r="H841" s="235">
        <f>VLOOKUP(K841,'исх АС БЮДЖЕТ'!$A$10:$H$568,8,0)</f>
        <v>86640</v>
      </c>
      <c r="I841" s="234">
        <v>310178230</v>
      </c>
      <c r="J841" s="370" t="str">
        <f t="shared" si="105"/>
        <v>0310178230</v>
      </c>
      <c r="K841" s="30" t="str">
        <f t="shared" si="106"/>
        <v>60910030310178230244</v>
      </c>
    </row>
    <row r="842" spans="1:11" s="30" customFormat="1">
      <c r="A842" s="244" t="s">
        <v>109</v>
      </c>
      <c r="B842" s="233" t="s">
        <v>62</v>
      </c>
      <c r="C842" s="234" t="s">
        <v>14</v>
      </c>
      <c r="D842" s="234" t="s">
        <v>53</v>
      </c>
      <c r="E842" s="234" t="s">
        <v>794</v>
      </c>
      <c r="F842" s="234" t="s">
        <v>134</v>
      </c>
      <c r="G842" s="235">
        <f>G843</f>
        <v>5665730</v>
      </c>
      <c r="H842" s="235">
        <f>H843</f>
        <v>5502910</v>
      </c>
      <c r="I842" s="234">
        <v>310178230</v>
      </c>
      <c r="J842" s="370" t="str">
        <f t="shared" si="105"/>
        <v>0310178230</v>
      </c>
      <c r="K842" s="30" t="str">
        <f t="shared" si="106"/>
        <v>60910030310178230310</v>
      </c>
    </row>
    <row r="843" spans="1:11" s="83" customFormat="1" ht="25.5">
      <c r="A843" s="236" t="s">
        <v>978</v>
      </c>
      <c r="B843" s="233" t="s">
        <v>62</v>
      </c>
      <c r="C843" s="234" t="s">
        <v>14</v>
      </c>
      <c r="D843" s="234" t="s">
        <v>53</v>
      </c>
      <c r="E843" s="234" t="s">
        <v>794</v>
      </c>
      <c r="F843" s="234" t="s">
        <v>1064</v>
      </c>
      <c r="G843" s="235">
        <f>VLOOKUP(K843,'исх АС БЮДЖЕТ'!$A$10:$H$568,7,0)</f>
        <v>5665730</v>
      </c>
      <c r="H843" s="235">
        <f>VLOOKUP(K843,'исх АС БЮДЖЕТ'!$A$10:$H$568,8,0)</f>
        <v>5502910</v>
      </c>
      <c r="I843" s="234">
        <v>310178230</v>
      </c>
      <c r="J843" s="370" t="str">
        <f t="shared" si="105"/>
        <v>0310178230</v>
      </c>
      <c r="K843" s="30" t="str">
        <f t="shared" si="106"/>
        <v>60910030310178230313</v>
      </c>
    </row>
    <row r="844" spans="1:11" s="30" customFormat="1" ht="25.5">
      <c r="A844" s="266" t="s">
        <v>404</v>
      </c>
      <c r="B844" s="233" t="s">
        <v>62</v>
      </c>
      <c r="C844" s="234" t="s">
        <v>14</v>
      </c>
      <c r="D844" s="234" t="s">
        <v>53</v>
      </c>
      <c r="E844" s="234" t="s">
        <v>795</v>
      </c>
      <c r="F844" s="234" t="s">
        <v>58</v>
      </c>
      <c r="G844" s="235">
        <f>G845+G847</f>
        <v>196880</v>
      </c>
      <c r="H844" s="235">
        <f>H845+H847</f>
        <v>196880</v>
      </c>
      <c r="I844" s="234">
        <v>310178240</v>
      </c>
      <c r="J844" s="370" t="str">
        <f t="shared" si="105"/>
        <v>0310178240</v>
      </c>
      <c r="K844" s="30" t="str">
        <f t="shared" si="106"/>
        <v>60910030310178240000</v>
      </c>
    </row>
    <row r="845" spans="1:11" s="30" customFormat="1" ht="25.5">
      <c r="A845" s="232" t="s">
        <v>108</v>
      </c>
      <c r="B845" s="233" t="s">
        <v>62</v>
      </c>
      <c r="C845" s="234" t="s">
        <v>14</v>
      </c>
      <c r="D845" s="234" t="s">
        <v>53</v>
      </c>
      <c r="E845" s="234" t="s">
        <v>795</v>
      </c>
      <c r="F845" s="234" t="s">
        <v>116</v>
      </c>
      <c r="G845" s="235">
        <f>G846</f>
        <v>1060</v>
      </c>
      <c r="H845" s="235">
        <f>H846</f>
        <v>1060</v>
      </c>
      <c r="I845" s="234">
        <v>310178240</v>
      </c>
      <c r="J845" s="370" t="str">
        <f t="shared" si="105"/>
        <v>0310178240</v>
      </c>
      <c r="K845" s="30" t="str">
        <f t="shared" si="106"/>
        <v>60910030310178240240</v>
      </c>
    </row>
    <row r="846" spans="1:11" s="83" customFormat="1" ht="25.5">
      <c r="A846" s="236" t="s">
        <v>973</v>
      </c>
      <c r="B846" s="233" t="s">
        <v>62</v>
      </c>
      <c r="C846" s="234" t="s">
        <v>14</v>
      </c>
      <c r="D846" s="234" t="s">
        <v>53</v>
      </c>
      <c r="E846" s="234" t="s">
        <v>795</v>
      </c>
      <c r="F846" s="234" t="s">
        <v>1043</v>
      </c>
      <c r="G846" s="235">
        <f>VLOOKUP(K846,'исх АС БЮДЖЕТ'!$A$10:$H$568,7,0)</f>
        <v>1060</v>
      </c>
      <c r="H846" s="235">
        <f>VLOOKUP(K846,'исх АС БЮДЖЕТ'!$A$10:$H$568,8,0)</f>
        <v>1060</v>
      </c>
      <c r="I846" s="234">
        <v>310178240</v>
      </c>
      <c r="J846" s="370" t="str">
        <f t="shared" si="105"/>
        <v>0310178240</v>
      </c>
      <c r="K846" s="30" t="str">
        <f t="shared" si="106"/>
        <v>60910030310178240244</v>
      </c>
    </row>
    <row r="847" spans="1:11" s="30" customFormat="1">
      <c r="A847" s="244" t="s">
        <v>109</v>
      </c>
      <c r="B847" s="233" t="s">
        <v>62</v>
      </c>
      <c r="C847" s="234" t="s">
        <v>14</v>
      </c>
      <c r="D847" s="234" t="s">
        <v>53</v>
      </c>
      <c r="E847" s="234" t="s">
        <v>795</v>
      </c>
      <c r="F847" s="234" t="s">
        <v>134</v>
      </c>
      <c r="G847" s="235">
        <f>G848</f>
        <v>195820</v>
      </c>
      <c r="H847" s="235">
        <f>H848</f>
        <v>195820</v>
      </c>
      <c r="I847" s="234">
        <v>310178240</v>
      </c>
      <c r="J847" s="370" t="str">
        <f t="shared" si="105"/>
        <v>0310178240</v>
      </c>
      <c r="K847" s="30" t="str">
        <f t="shared" si="106"/>
        <v>60910030310178240310</v>
      </c>
    </row>
    <row r="848" spans="1:11" s="83" customFormat="1" ht="25.5">
      <c r="A848" s="236" t="s">
        <v>978</v>
      </c>
      <c r="B848" s="233" t="s">
        <v>62</v>
      </c>
      <c r="C848" s="234" t="s">
        <v>14</v>
      </c>
      <c r="D848" s="234" t="s">
        <v>53</v>
      </c>
      <c r="E848" s="234" t="s">
        <v>795</v>
      </c>
      <c r="F848" s="234" t="s">
        <v>1064</v>
      </c>
      <c r="G848" s="235">
        <f>VLOOKUP(K848,'исх АС БЮДЖЕТ'!$A$10:$H$568,7,0)</f>
        <v>195820</v>
      </c>
      <c r="H848" s="235">
        <f>VLOOKUP(K848,'исх АС БЮДЖЕТ'!$A$10:$H$568,8,0)</f>
        <v>195820</v>
      </c>
      <c r="I848" s="234">
        <v>310178240</v>
      </c>
      <c r="J848" s="370" t="str">
        <f t="shared" si="105"/>
        <v>0310178240</v>
      </c>
      <c r="K848" s="30" t="str">
        <f t="shared" si="106"/>
        <v>60910030310178240313</v>
      </c>
    </row>
    <row r="849" spans="1:11" s="30" customFormat="1">
      <c r="A849" s="266" t="s">
        <v>405</v>
      </c>
      <c r="B849" s="233" t="s">
        <v>62</v>
      </c>
      <c r="C849" s="234" t="s">
        <v>14</v>
      </c>
      <c r="D849" s="234" t="s">
        <v>53</v>
      </c>
      <c r="E849" s="234" t="s">
        <v>796</v>
      </c>
      <c r="F849" s="234" t="s">
        <v>58</v>
      </c>
      <c r="G849" s="235">
        <f>G850+G852</f>
        <v>556400</v>
      </c>
      <c r="H849" s="235">
        <f>H850+H852</f>
        <v>556400</v>
      </c>
      <c r="I849" s="234">
        <v>310178250</v>
      </c>
      <c r="J849" s="370" t="str">
        <f t="shared" si="105"/>
        <v>0310178250</v>
      </c>
      <c r="K849" s="30" t="str">
        <f t="shared" si="106"/>
        <v>60910030310178250000</v>
      </c>
    </row>
    <row r="850" spans="1:11" s="30" customFormat="1" ht="25.5">
      <c r="A850" s="232" t="s">
        <v>108</v>
      </c>
      <c r="B850" s="233" t="s">
        <v>62</v>
      </c>
      <c r="C850" s="234" t="s">
        <v>14</v>
      </c>
      <c r="D850" s="234" t="s">
        <v>53</v>
      </c>
      <c r="E850" s="234" t="s">
        <v>796</v>
      </c>
      <c r="F850" s="234" t="s">
        <v>116</v>
      </c>
      <c r="G850" s="235">
        <f>G851</f>
        <v>7410</v>
      </c>
      <c r="H850" s="235">
        <f>H851</f>
        <v>7410</v>
      </c>
      <c r="I850" s="234">
        <v>310178250</v>
      </c>
      <c r="J850" s="370" t="str">
        <f t="shared" si="105"/>
        <v>0310178250</v>
      </c>
      <c r="K850" s="30" t="str">
        <f t="shared" si="106"/>
        <v>60910030310178250240</v>
      </c>
    </row>
    <row r="851" spans="1:11" s="83" customFormat="1" ht="25.5">
      <c r="A851" s="236" t="s">
        <v>973</v>
      </c>
      <c r="B851" s="233" t="s">
        <v>62</v>
      </c>
      <c r="C851" s="234" t="s">
        <v>14</v>
      </c>
      <c r="D851" s="234" t="s">
        <v>53</v>
      </c>
      <c r="E851" s="234" t="s">
        <v>796</v>
      </c>
      <c r="F851" s="234" t="s">
        <v>1043</v>
      </c>
      <c r="G851" s="235">
        <f>VLOOKUP(K851,'исх АС БЮДЖЕТ'!$A$10:$H$568,7,0)</f>
        <v>7410</v>
      </c>
      <c r="H851" s="235">
        <f>VLOOKUP(K851,'исх АС БЮДЖЕТ'!$A$10:$H$568,8,0)</f>
        <v>7410</v>
      </c>
      <c r="I851" s="234">
        <v>310178250</v>
      </c>
      <c r="J851" s="370" t="str">
        <f t="shared" si="105"/>
        <v>0310178250</v>
      </c>
      <c r="K851" s="30" t="str">
        <f t="shared" si="106"/>
        <v>60910030310178250244</v>
      </c>
    </row>
    <row r="852" spans="1:11" s="30" customFormat="1">
      <c r="A852" s="244" t="s">
        <v>109</v>
      </c>
      <c r="B852" s="233" t="s">
        <v>62</v>
      </c>
      <c r="C852" s="234" t="s">
        <v>14</v>
      </c>
      <c r="D852" s="234" t="s">
        <v>53</v>
      </c>
      <c r="E852" s="234" t="s">
        <v>796</v>
      </c>
      <c r="F852" s="234" t="s">
        <v>134</v>
      </c>
      <c r="G852" s="235">
        <f>G853</f>
        <v>548990</v>
      </c>
      <c r="H852" s="235">
        <f>H853</f>
        <v>548990</v>
      </c>
      <c r="I852" s="234">
        <v>310178250</v>
      </c>
      <c r="J852" s="370" t="str">
        <f t="shared" si="105"/>
        <v>0310178250</v>
      </c>
      <c r="K852" s="30" t="str">
        <f t="shared" si="106"/>
        <v>60910030310178250310</v>
      </c>
    </row>
    <row r="853" spans="1:11" s="83" customFormat="1" ht="25.5">
      <c r="A853" s="236" t="s">
        <v>978</v>
      </c>
      <c r="B853" s="233" t="s">
        <v>62</v>
      </c>
      <c r="C853" s="234" t="s">
        <v>14</v>
      </c>
      <c r="D853" s="234" t="s">
        <v>53</v>
      </c>
      <c r="E853" s="234" t="s">
        <v>796</v>
      </c>
      <c r="F853" s="234" t="s">
        <v>1064</v>
      </c>
      <c r="G853" s="235">
        <f>VLOOKUP(K853,'исх АС БЮДЖЕТ'!$A$10:$H$568,7,0)</f>
        <v>548990</v>
      </c>
      <c r="H853" s="235">
        <f>VLOOKUP(K853,'исх АС БЮДЖЕТ'!$A$10:$H$568,8,0)</f>
        <v>548990</v>
      </c>
      <c r="I853" s="234">
        <v>310178250</v>
      </c>
      <c r="J853" s="370" t="str">
        <f t="shared" si="105"/>
        <v>0310178250</v>
      </c>
      <c r="K853" s="30" t="str">
        <f t="shared" si="106"/>
        <v>60910030310178250313</v>
      </c>
    </row>
    <row r="854" spans="1:11" s="30" customFormat="1" ht="25.5">
      <c r="A854" s="266" t="s">
        <v>403</v>
      </c>
      <c r="B854" s="233" t="s">
        <v>62</v>
      </c>
      <c r="C854" s="234" t="s">
        <v>14</v>
      </c>
      <c r="D854" s="234" t="s">
        <v>53</v>
      </c>
      <c r="E854" s="234" t="s">
        <v>797</v>
      </c>
      <c r="F854" s="234" t="s">
        <v>58</v>
      </c>
      <c r="G854" s="235">
        <f>G855+G857</f>
        <v>232516030</v>
      </c>
      <c r="H854" s="235">
        <f>H855+H857</f>
        <v>280139800</v>
      </c>
      <c r="I854" s="234">
        <v>310178260</v>
      </c>
      <c r="J854" s="370" t="str">
        <f t="shared" si="105"/>
        <v>0310178260</v>
      </c>
      <c r="K854" s="30" t="str">
        <f t="shared" si="106"/>
        <v>60910030310178260000</v>
      </c>
    </row>
    <row r="855" spans="1:11" s="30" customFormat="1" ht="25.5">
      <c r="A855" s="232" t="s">
        <v>108</v>
      </c>
      <c r="B855" s="233" t="s">
        <v>62</v>
      </c>
      <c r="C855" s="234" t="s">
        <v>14</v>
      </c>
      <c r="D855" s="234" t="s">
        <v>53</v>
      </c>
      <c r="E855" s="234" t="s">
        <v>797</v>
      </c>
      <c r="F855" s="234" t="s">
        <v>116</v>
      </c>
      <c r="G855" s="235">
        <f>G856</f>
        <v>3092360</v>
      </c>
      <c r="H855" s="235">
        <f>H856</f>
        <v>3726000</v>
      </c>
      <c r="I855" s="234">
        <v>310178260</v>
      </c>
      <c r="J855" s="370" t="str">
        <f t="shared" si="105"/>
        <v>0310178260</v>
      </c>
      <c r="K855" s="30" t="str">
        <f t="shared" si="106"/>
        <v>60910030310178260240</v>
      </c>
    </row>
    <row r="856" spans="1:11" s="83" customFormat="1" ht="25.5">
      <c r="A856" s="236" t="s">
        <v>973</v>
      </c>
      <c r="B856" s="233" t="s">
        <v>62</v>
      </c>
      <c r="C856" s="234" t="s">
        <v>14</v>
      </c>
      <c r="D856" s="234" t="s">
        <v>53</v>
      </c>
      <c r="E856" s="234" t="s">
        <v>797</v>
      </c>
      <c r="F856" s="234" t="s">
        <v>1043</v>
      </c>
      <c r="G856" s="235">
        <f>VLOOKUP(K856,'исх АС БЮДЖЕТ'!$A$10:$H$568,7,0)</f>
        <v>3092360</v>
      </c>
      <c r="H856" s="235">
        <f>VLOOKUP(K856,'исх АС БЮДЖЕТ'!$A$10:$H$568,8,0)</f>
        <v>3726000</v>
      </c>
      <c r="I856" s="234">
        <v>310178260</v>
      </c>
      <c r="J856" s="370" t="str">
        <f t="shared" si="105"/>
        <v>0310178260</v>
      </c>
      <c r="K856" s="30" t="str">
        <f t="shared" si="106"/>
        <v>60910030310178260244</v>
      </c>
    </row>
    <row r="857" spans="1:11" s="30" customFormat="1">
      <c r="A857" s="244" t="s">
        <v>109</v>
      </c>
      <c r="B857" s="233" t="s">
        <v>62</v>
      </c>
      <c r="C857" s="234" t="s">
        <v>14</v>
      </c>
      <c r="D857" s="234" t="s">
        <v>53</v>
      </c>
      <c r="E857" s="234" t="s">
        <v>797</v>
      </c>
      <c r="F857" s="234" t="s">
        <v>134</v>
      </c>
      <c r="G857" s="235">
        <f>G858</f>
        <v>229423670</v>
      </c>
      <c r="H857" s="235">
        <f>H858</f>
        <v>276413800</v>
      </c>
      <c r="I857" s="234">
        <v>310178260</v>
      </c>
      <c r="J857" s="370" t="str">
        <f t="shared" si="105"/>
        <v>0310178260</v>
      </c>
      <c r="K857" s="30" t="str">
        <f t="shared" si="106"/>
        <v>60910030310178260310</v>
      </c>
    </row>
    <row r="858" spans="1:11" s="83" customFormat="1" ht="25.5">
      <c r="A858" s="236" t="s">
        <v>978</v>
      </c>
      <c r="B858" s="233" t="s">
        <v>62</v>
      </c>
      <c r="C858" s="234" t="s">
        <v>14</v>
      </c>
      <c r="D858" s="234" t="s">
        <v>53</v>
      </c>
      <c r="E858" s="234" t="s">
        <v>797</v>
      </c>
      <c r="F858" s="234" t="s">
        <v>1064</v>
      </c>
      <c r="G858" s="235">
        <f>VLOOKUP(K858,'исх АС БЮДЖЕТ'!$A$10:$H$568,7,0)</f>
        <v>229423670</v>
      </c>
      <c r="H858" s="235">
        <f>VLOOKUP(K858,'исх АС БЮДЖЕТ'!$A$10:$H$568,8,0)</f>
        <v>276413800</v>
      </c>
      <c r="I858" s="234">
        <v>310178260</v>
      </c>
      <c r="J858" s="370" t="str">
        <f t="shared" si="105"/>
        <v>0310178260</v>
      </c>
      <c r="K858" s="30" t="str">
        <f t="shared" si="106"/>
        <v>60910030310178260313</v>
      </c>
    </row>
    <row r="859" spans="1:11" s="83" customFormat="1" ht="25.5">
      <c r="A859" s="232" t="s">
        <v>693</v>
      </c>
      <c r="B859" s="233" t="s">
        <v>62</v>
      </c>
      <c r="C859" s="234" t="s">
        <v>14</v>
      </c>
      <c r="D859" s="234" t="s">
        <v>53</v>
      </c>
      <c r="E859" s="234" t="s">
        <v>1501</v>
      </c>
      <c r="F859" s="234" t="s">
        <v>58</v>
      </c>
      <c r="G859" s="235">
        <f>G860+G862</f>
        <v>5379230</v>
      </c>
      <c r="H859" s="235">
        <f>H860+H862</f>
        <v>5379230</v>
      </c>
      <c r="I859" s="234"/>
      <c r="J859" s="370"/>
      <c r="K859" s="30"/>
    </row>
    <row r="860" spans="1:11" s="83" customFormat="1" ht="25.5">
      <c r="A860" s="236" t="s">
        <v>108</v>
      </c>
      <c r="B860" s="233" t="s">
        <v>62</v>
      </c>
      <c r="C860" s="234" t="s">
        <v>14</v>
      </c>
      <c r="D860" s="234" t="s">
        <v>53</v>
      </c>
      <c r="E860" s="234" t="s">
        <v>1501</v>
      </c>
      <c r="F860" s="234" t="s">
        <v>116</v>
      </c>
      <c r="G860" s="235">
        <f>G861</f>
        <v>61000</v>
      </c>
      <c r="H860" s="235">
        <f>H861</f>
        <v>61000</v>
      </c>
      <c r="I860" s="234"/>
      <c r="J860" s="370"/>
      <c r="K860" s="30"/>
    </row>
    <row r="861" spans="1:11" s="83" customFormat="1" ht="25.5">
      <c r="A861" s="232" t="s">
        <v>973</v>
      </c>
      <c r="B861" s="233" t="s">
        <v>62</v>
      </c>
      <c r="C861" s="234" t="s">
        <v>14</v>
      </c>
      <c r="D861" s="234" t="s">
        <v>53</v>
      </c>
      <c r="E861" s="234" t="s">
        <v>1501</v>
      </c>
      <c r="F861" s="234" t="s">
        <v>1043</v>
      </c>
      <c r="G861" s="235">
        <f>'исх АС БЮДЖЕТ'!G292</f>
        <v>61000</v>
      </c>
      <c r="H861" s="235">
        <f>'исх АС БЮДЖЕТ'!H292</f>
        <v>61000</v>
      </c>
      <c r="I861" s="234"/>
      <c r="J861" s="370"/>
      <c r="K861" s="30"/>
    </row>
    <row r="862" spans="1:11" s="83" customFormat="1">
      <c r="A862" s="236" t="s">
        <v>109</v>
      </c>
      <c r="B862" s="233" t="s">
        <v>62</v>
      </c>
      <c r="C862" s="234" t="s">
        <v>14</v>
      </c>
      <c r="D862" s="234" t="s">
        <v>53</v>
      </c>
      <c r="E862" s="234" t="s">
        <v>1501</v>
      </c>
      <c r="F862" s="234" t="s">
        <v>134</v>
      </c>
      <c r="G862" s="235">
        <f>G863</f>
        <v>5318230</v>
      </c>
      <c r="H862" s="235">
        <f>H863</f>
        <v>5318230</v>
      </c>
      <c r="I862" s="234"/>
      <c r="J862" s="370"/>
      <c r="K862" s="30"/>
    </row>
    <row r="863" spans="1:11" s="83" customFormat="1" ht="25.5">
      <c r="A863" s="236" t="s">
        <v>978</v>
      </c>
      <c r="B863" s="233" t="s">
        <v>62</v>
      </c>
      <c r="C863" s="234" t="s">
        <v>14</v>
      </c>
      <c r="D863" s="234" t="s">
        <v>53</v>
      </c>
      <c r="E863" s="234" t="s">
        <v>1501</v>
      </c>
      <c r="F863" s="234" t="s">
        <v>1064</v>
      </c>
      <c r="G863" s="235">
        <f>'исх АС БЮДЖЕТ'!G293</f>
        <v>5318230</v>
      </c>
      <c r="H863" s="235">
        <f>'исх АС БЮДЖЕТ'!H293</f>
        <v>5318230</v>
      </c>
      <c r="I863" s="234"/>
      <c r="J863" s="370"/>
      <c r="K863" s="30"/>
    </row>
    <row r="864" spans="1:11" s="30" customFormat="1" ht="25.5">
      <c r="A864" s="263" t="s">
        <v>406</v>
      </c>
      <c r="B864" s="233" t="s">
        <v>62</v>
      </c>
      <c r="C864" s="234" t="s">
        <v>14</v>
      </c>
      <c r="D864" s="234" t="s">
        <v>53</v>
      </c>
      <c r="E864" s="234" t="s">
        <v>407</v>
      </c>
      <c r="F864" s="234" t="s">
        <v>58</v>
      </c>
      <c r="G864" s="235">
        <f>G865+G873+G881+G868+G876</f>
        <v>311230880</v>
      </c>
      <c r="H864" s="235">
        <f>H865+H873+H881+H868+H876</f>
        <v>335106090</v>
      </c>
      <c r="I864" s="234">
        <v>310200000</v>
      </c>
      <c r="J864" s="370" t="str">
        <f t="shared" si="105"/>
        <v>0310200000</v>
      </c>
      <c r="K864" s="30" t="str">
        <f t="shared" si="106"/>
        <v>60910030310200000000</v>
      </c>
    </row>
    <row r="865" spans="1:11" s="30" customFormat="1" ht="51">
      <c r="A865" s="266" t="s">
        <v>408</v>
      </c>
      <c r="B865" s="233" t="s">
        <v>62</v>
      </c>
      <c r="C865" s="234" t="s">
        <v>14</v>
      </c>
      <c r="D865" s="234" t="s">
        <v>53</v>
      </c>
      <c r="E865" s="234" t="s">
        <v>409</v>
      </c>
      <c r="F865" s="234" t="s">
        <v>58</v>
      </c>
      <c r="G865" s="235">
        <f>G866</f>
        <v>168938600</v>
      </c>
      <c r="H865" s="235">
        <f>H866</f>
        <v>169829300</v>
      </c>
      <c r="I865" s="234">
        <v>310253800</v>
      </c>
      <c r="J865" s="370" t="str">
        <f t="shared" si="105"/>
        <v>0310253800</v>
      </c>
      <c r="K865" s="30" t="str">
        <f t="shared" si="106"/>
        <v>60910030310253800000</v>
      </c>
    </row>
    <row r="866" spans="1:11" s="30" customFormat="1">
      <c r="A866" s="244" t="s">
        <v>109</v>
      </c>
      <c r="B866" s="233" t="s">
        <v>62</v>
      </c>
      <c r="C866" s="234" t="s">
        <v>14</v>
      </c>
      <c r="D866" s="234" t="s">
        <v>53</v>
      </c>
      <c r="E866" s="234" t="s">
        <v>409</v>
      </c>
      <c r="F866" s="234" t="s">
        <v>134</v>
      </c>
      <c r="G866" s="235">
        <f>G867</f>
        <v>168938600</v>
      </c>
      <c r="H866" s="235">
        <f>H867</f>
        <v>169829300</v>
      </c>
      <c r="I866" s="234">
        <v>310253800</v>
      </c>
      <c r="J866" s="370" t="str">
        <f t="shared" si="105"/>
        <v>0310253800</v>
      </c>
      <c r="K866" s="30" t="str">
        <f t="shared" si="106"/>
        <v>60910030310253800310</v>
      </c>
    </row>
    <row r="867" spans="1:11" s="83" customFormat="1" ht="25.5">
      <c r="A867" s="236" t="s">
        <v>978</v>
      </c>
      <c r="B867" s="233" t="s">
        <v>62</v>
      </c>
      <c r="C867" s="234" t="s">
        <v>14</v>
      </c>
      <c r="D867" s="234" t="s">
        <v>53</v>
      </c>
      <c r="E867" s="234" t="s">
        <v>409</v>
      </c>
      <c r="F867" s="234" t="s">
        <v>1064</v>
      </c>
      <c r="G867" s="235">
        <f>VLOOKUP(K867,'исх АС БЮДЖЕТ'!$A$10:$H$568,7,0)</f>
        <v>168938600</v>
      </c>
      <c r="H867" s="235">
        <f>VLOOKUP(K867,'исх АС БЮДЖЕТ'!$A$10:$H$568,8,0)</f>
        <v>169829300</v>
      </c>
      <c r="I867" s="234">
        <v>310253800</v>
      </c>
      <c r="J867" s="370" t="str">
        <f t="shared" si="105"/>
        <v>0310253800</v>
      </c>
      <c r="K867" s="30" t="str">
        <f t="shared" si="106"/>
        <v>60910030310253800313</v>
      </c>
    </row>
    <row r="868" spans="1:11" s="30" customFormat="1">
      <c r="A868" s="266" t="s">
        <v>410</v>
      </c>
      <c r="B868" s="233" t="s">
        <v>62</v>
      </c>
      <c r="C868" s="234" t="s">
        <v>14</v>
      </c>
      <c r="D868" s="234" t="s">
        <v>53</v>
      </c>
      <c r="E868" s="234" t="s">
        <v>411</v>
      </c>
      <c r="F868" s="234" t="s">
        <v>58</v>
      </c>
      <c r="G868" s="235">
        <f>G869+G871</f>
        <v>389830</v>
      </c>
      <c r="H868" s="235">
        <f>H869+H871</f>
        <v>389830</v>
      </c>
      <c r="I868" s="234">
        <v>310276260</v>
      </c>
      <c r="J868" s="370" t="str">
        <f t="shared" si="105"/>
        <v>0310276260</v>
      </c>
      <c r="K868" s="30" t="str">
        <f t="shared" si="106"/>
        <v>60910030310276260000</v>
      </c>
    </row>
    <row r="869" spans="1:11" s="30" customFormat="1" ht="25.5">
      <c r="A869" s="232" t="s">
        <v>108</v>
      </c>
      <c r="B869" s="233" t="s">
        <v>62</v>
      </c>
      <c r="C869" s="234" t="s">
        <v>14</v>
      </c>
      <c r="D869" s="234" t="s">
        <v>53</v>
      </c>
      <c r="E869" s="234" t="s">
        <v>411</v>
      </c>
      <c r="F869" s="234" t="s">
        <v>116</v>
      </c>
      <c r="G869" s="235">
        <f>G870</f>
        <v>5760</v>
      </c>
      <c r="H869" s="235">
        <f>H870</f>
        <v>5760</v>
      </c>
      <c r="I869" s="234">
        <v>310276260</v>
      </c>
      <c r="J869" s="370" t="str">
        <f t="shared" si="105"/>
        <v>0310276260</v>
      </c>
      <c r="K869" s="30" t="str">
        <f t="shared" si="106"/>
        <v>60910030310276260240</v>
      </c>
    </row>
    <row r="870" spans="1:11" s="83" customFormat="1" ht="25.5">
      <c r="A870" s="236" t="s">
        <v>973</v>
      </c>
      <c r="B870" s="233" t="s">
        <v>62</v>
      </c>
      <c r="C870" s="234" t="s">
        <v>14</v>
      </c>
      <c r="D870" s="234" t="s">
        <v>53</v>
      </c>
      <c r="E870" s="234" t="s">
        <v>411</v>
      </c>
      <c r="F870" s="234" t="s">
        <v>1043</v>
      </c>
      <c r="G870" s="235">
        <f>VLOOKUP(K870,'исх АС БЮДЖЕТ'!$A$10:$H$568,7,0)</f>
        <v>5760</v>
      </c>
      <c r="H870" s="235">
        <f>VLOOKUP(K870,'исх АС БЮДЖЕТ'!$A$10:$H$568,8,0)</f>
        <v>5760</v>
      </c>
      <c r="I870" s="234">
        <v>310276260</v>
      </c>
      <c r="J870" s="370" t="str">
        <f t="shared" si="105"/>
        <v>0310276260</v>
      </c>
      <c r="K870" s="30" t="str">
        <f t="shared" si="106"/>
        <v>60910030310276260244</v>
      </c>
    </row>
    <row r="871" spans="1:11" s="30" customFormat="1">
      <c r="A871" s="244" t="s">
        <v>109</v>
      </c>
      <c r="B871" s="233" t="s">
        <v>62</v>
      </c>
      <c r="C871" s="234" t="s">
        <v>14</v>
      </c>
      <c r="D871" s="234" t="s">
        <v>53</v>
      </c>
      <c r="E871" s="234" t="s">
        <v>411</v>
      </c>
      <c r="F871" s="234" t="s">
        <v>134</v>
      </c>
      <c r="G871" s="235">
        <f>G872</f>
        <v>384070</v>
      </c>
      <c r="H871" s="235">
        <f>H872</f>
        <v>384070</v>
      </c>
      <c r="I871" s="234">
        <v>310276260</v>
      </c>
      <c r="J871" s="370" t="str">
        <f t="shared" si="105"/>
        <v>0310276260</v>
      </c>
      <c r="K871" s="30" t="str">
        <f t="shared" si="106"/>
        <v>60910030310276260310</v>
      </c>
    </row>
    <row r="872" spans="1:11" s="83" customFormat="1" ht="25.5">
      <c r="A872" s="236" t="s">
        <v>978</v>
      </c>
      <c r="B872" s="233" t="s">
        <v>62</v>
      </c>
      <c r="C872" s="234" t="s">
        <v>14</v>
      </c>
      <c r="D872" s="234" t="s">
        <v>53</v>
      </c>
      <c r="E872" s="234" t="s">
        <v>411</v>
      </c>
      <c r="F872" s="234" t="s">
        <v>1064</v>
      </c>
      <c r="G872" s="235">
        <f>VLOOKUP(K872,'исх АС БЮДЖЕТ'!$A$10:$H$568,7,0)</f>
        <v>384070</v>
      </c>
      <c r="H872" s="235">
        <f>VLOOKUP(K872,'исх АС БЮДЖЕТ'!$A$10:$H$568,8,0)</f>
        <v>384070</v>
      </c>
      <c r="I872" s="234">
        <v>310276260</v>
      </c>
      <c r="J872" s="370" t="str">
        <f t="shared" si="105"/>
        <v>0310276260</v>
      </c>
      <c r="K872" s="30" t="str">
        <f t="shared" si="106"/>
        <v>60910030310276260313</v>
      </c>
    </row>
    <row r="873" spans="1:11" s="30" customFormat="1">
      <c r="A873" s="266" t="s">
        <v>412</v>
      </c>
      <c r="B873" s="233" t="s">
        <v>62</v>
      </c>
      <c r="C873" s="234" t="s">
        <v>14</v>
      </c>
      <c r="D873" s="234" t="s">
        <v>53</v>
      </c>
      <c r="E873" s="234" t="s">
        <v>413</v>
      </c>
      <c r="F873" s="234" t="s">
        <v>58</v>
      </c>
      <c r="G873" s="235">
        <f>G874</f>
        <v>93066000</v>
      </c>
      <c r="H873" s="235">
        <f>H874</f>
        <v>107715280</v>
      </c>
      <c r="I873" s="234">
        <v>310276270</v>
      </c>
      <c r="J873" s="370" t="str">
        <f t="shared" si="105"/>
        <v>0310276270</v>
      </c>
      <c r="K873" s="30" t="str">
        <f t="shared" si="106"/>
        <v>60910030310276270000</v>
      </c>
    </row>
    <row r="874" spans="1:11" s="30" customFormat="1">
      <c r="A874" s="244" t="s">
        <v>109</v>
      </c>
      <c r="B874" s="233" t="s">
        <v>62</v>
      </c>
      <c r="C874" s="234" t="s">
        <v>14</v>
      </c>
      <c r="D874" s="234" t="s">
        <v>53</v>
      </c>
      <c r="E874" s="234" t="s">
        <v>413</v>
      </c>
      <c r="F874" s="234" t="s">
        <v>134</v>
      </c>
      <c r="G874" s="235">
        <f>G875</f>
        <v>93066000</v>
      </c>
      <c r="H874" s="235">
        <f>H875</f>
        <v>107715280</v>
      </c>
      <c r="I874" s="234">
        <v>310276270</v>
      </c>
      <c r="J874" s="370" t="str">
        <f t="shared" si="105"/>
        <v>0310276270</v>
      </c>
      <c r="K874" s="30" t="str">
        <f t="shared" si="106"/>
        <v>60910030310276270310</v>
      </c>
    </row>
    <row r="875" spans="1:11" s="83" customFormat="1" ht="25.5">
      <c r="A875" s="236" t="s">
        <v>978</v>
      </c>
      <c r="B875" s="233" t="s">
        <v>62</v>
      </c>
      <c r="C875" s="234" t="s">
        <v>14</v>
      </c>
      <c r="D875" s="234" t="s">
        <v>53</v>
      </c>
      <c r="E875" s="234" t="s">
        <v>413</v>
      </c>
      <c r="F875" s="234" t="s">
        <v>1064</v>
      </c>
      <c r="G875" s="235">
        <f>VLOOKUP(K875,'исх АС БЮДЖЕТ'!$A$10:$H$568,7,0)</f>
        <v>93066000</v>
      </c>
      <c r="H875" s="235">
        <f>VLOOKUP(K875,'исх АС БЮДЖЕТ'!$A$10:$H$568,8,0)</f>
        <v>107715280</v>
      </c>
      <c r="I875" s="234">
        <v>310276270</v>
      </c>
      <c r="J875" s="370" t="str">
        <f t="shared" si="105"/>
        <v>0310276270</v>
      </c>
      <c r="K875" s="30" t="str">
        <f t="shared" si="106"/>
        <v>60910030310276270313</v>
      </c>
    </row>
    <row r="876" spans="1:11" s="30" customFormat="1" ht="51">
      <c r="A876" s="267" t="s">
        <v>673</v>
      </c>
      <c r="B876" s="241" t="s">
        <v>62</v>
      </c>
      <c r="C876" s="242" t="s">
        <v>14</v>
      </c>
      <c r="D876" s="242" t="s">
        <v>53</v>
      </c>
      <c r="E876" s="242" t="s">
        <v>672</v>
      </c>
      <c r="F876" s="242" t="s">
        <v>58</v>
      </c>
      <c r="G876" s="235">
        <f>G879+G877</f>
        <v>2524000</v>
      </c>
      <c r="H876" s="235">
        <f>H879+H877</f>
        <v>2524000</v>
      </c>
      <c r="I876" s="242">
        <v>310277190</v>
      </c>
      <c r="J876" s="370" t="str">
        <f t="shared" si="105"/>
        <v>0310277190</v>
      </c>
      <c r="K876" s="30" t="str">
        <f t="shared" si="106"/>
        <v>60910030310277190000</v>
      </c>
    </row>
    <row r="877" spans="1:11" s="30" customFormat="1" ht="25.5">
      <c r="A877" s="232" t="s">
        <v>108</v>
      </c>
      <c r="B877" s="241" t="s">
        <v>62</v>
      </c>
      <c r="C877" s="242" t="s">
        <v>14</v>
      </c>
      <c r="D877" s="242" t="s">
        <v>53</v>
      </c>
      <c r="E877" s="242" t="s">
        <v>672</v>
      </c>
      <c r="F877" s="242" t="s">
        <v>116</v>
      </c>
      <c r="G877" s="235">
        <f>G878</f>
        <v>25000</v>
      </c>
      <c r="H877" s="235">
        <f>H878</f>
        <v>25000</v>
      </c>
      <c r="I877" s="242">
        <v>310277190</v>
      </c>
      <c r="J877" s="370" t="str">
        <f t="shared" si="105"/>
        <v>0310277190</v>
      </c>
      <c r="K877" s="30" t="str">
        <f t="shared" si="106"/>
        <v>60910030310277190240</v>
      </c>
    </row>
    <row r="878" spans="1:11" s="83" customFormat="1" ht="25.5">
      <c r="A878" s="236" t="s">
        <v>973</v>
      </c>
      <c r="B878" s="241" t="s">
        <v>62</v>
      </c>
      <c r="C878" s="242" t="s">
        <v>14</v>
      </c>
      <c r="D878" s="242" t="s">
        <v>53</v>
      </c>
      <c r="E878" s="242" t="s">
        <v>672</v>
      </c>
      <c r="F878" s="242" t="s">
        <v>1043</v>
      </c>
      <c r="G878" s="235">
        <f>VLOOKUP(K878,'исх АС БЮДЖЕТ'!$A$10:$H$568,7,0)</f>
        <v>25000</v>
      </c>
      <c r="H878" s="235">
        <f>VLOOKUP(K878,'исх АС БЮДЖЕТ'!$A$10:$H$568,8,0)</f>
        <v>25000</v>
      </c>
      <c r="I878" s="242">
        <v>310277190</v>
      </c>
      <c r="J878" s="370" t="str">
        <f t="shared" si="105"/>
        <v>0310277190</v>
      </c>
      <c r="K878" s="30" t="str">
        <f t="shared" si="106"/>
        <v>60910030310277190244</v>
      </c>
    </row>
    <row r="879" spans="1:11" s="30" customFormat="1">
      <c r="A879" s="252" t="s">
        <v>109</v>
      </c>
      <c r="B879" s="241" t="s">
        <v>62</v>
      </c>
      <c r="C879" s="242" t="s">
        <v>14</v>
      </c>
      <c r="D879" s="242" t="s">
        <v>53</v>
      </c>
      <c r="E879" s="242" t="s">
        <v>672</v>
      </c>
      <c r="F879" s="242" t="s">
        <v>134</v>
      </c>
      <c r="G879" s="235">
        <f>G880</f>
        <v>2499000</v>
      </c>
      <c r="H879" s="235">
        <f>H880</f>
        <v>2499000</v>
      </c>
      <c r="I879" s="242">
        <v>310277190</v>
      </c>
      <c r="J879" s="370" t="str">
        <f t="shared" si="105"/>
        <v>0310277190</v>
      </c>
      <c r="K879" s="30" t="str">
        <f t="shared" si="106"/>
        <v>60910030310277190310</v>
      </c>
    </row>
    <row r="880" spans="1:11" s="83" customFormat="1" ht="25.5">
      <c r="A880" s="236" t="s">
        <v>978</v>
      </c>
      <c r="B880" s="241" t="s">
        <v>62</v>
      </c>
      <c r="C880" s="242" t="s">
        <v>14</v>
      </c>
      <c r="D880" s="242" t="s">
        <v>53</v>
      </c>
      <c r="E880" s="242" t="s">
        <v>672</v>
      </c>
      <c r="F880" s="242" t="s">
        <v>1064</v>
      </c>
      <c r="G880" s="235">
        <f>VLOOKUP(K880,'исх АС БЮДЖЕТ'!$A$10:$H$568,7,0)</f>
        <v>2499000</v>
      </c>
      <c r="H880" s="235">
        <f>VLOOKUP(K880,'исх АС БЮДЖЕТ'!$A$10:$H$568,8,0)</f>
        <v>2499000</v>
      </c>
      <c r="I880" s="242">
        <v>310277190</v>
      </c>
      <c r="J880" s="370" t="str">
        <f t="shared" si="105"/>
        <v>0310277190</v>
      </c>
      <c r="K880" s="30" t="str">
        <f t="shared" si="106"/>
        <v>60910030310277190313</v>
      </c>
    </row>
    <row r="881" spans="1:11" s="30" customFormat="1" ht="25.5">
      <c r="A881" s="267" t="s">
        <v>675</v>
      </c>
      <c r="B881" s="233" t="s">
        <v>62</v>
      </c>
      <c r="C881" s="234" t="s">
        <v>14</v>
      </c>
      <c r="D881" s="234" t="s">
        <v>53</v>
      </c>
      <c r="E881" s="234" t="s">
        <v>799</v>
      </c>
      <c r="F881" s="234" t="s">
        <v>58</v>
      </c>
      <c r="G881" s="235">
        <f>G882+G884</f>
        <v>46312450</v>
      </c>
      <c r="H881" s="235">
        <f>H882+H884</f>
        <v>54647680</v>
      </c>
      <c r="I881" s="234">
        <v>310278280</v>
      </c>
      <c r="J881" s="370" t="str">
        <f t="shared" si="105"/>
        <v>0310278280</v>
      </c>
      <c r="K881" s="30" t="str">
        <f t="shared" si="106"/>
        <v>60910030310278280000</v>
      </c>
    </row>
    <row r="882" spans="1:11" s="30" customFormat="1" ht="25.5">
      <c r="A882" s="232" t="s">
        <v>108</v>
      </c>
      <c r="B882" s="233" t="s">
        <v>62</v>
      </c>
      <c r="C882" s="234" t="s">
        <v>14</v>
      </c>
      <c r="D882" s="234" t="s">
        <v>53</v>
      </c>
      <c r="E882" s="234" t="s">
        <v>799</v>
      </c>
      <c r="F882" s="234" t="s">
        <v>116</v>
      </c>
      <c r="G882" s="235">
        <f>G883</f>
        <v>571760</v>
      </c>
      <c r="H882" s="235">
        <f>H883</f>
        <v>674660</v>
      </c>
      <c r="I882" s="234">
        <v>310278280</v>
      </c>
      <c r="J882" s="370" t="str">
        <f t="shared" si="105"/>
        <v>0310278280</v>
      </c>
      <c r="K882" s="30" t="str">
        <f t="shared" si="106"/>
        <v>60910030310278280240</v>
      </c>
    </row>
    <row r="883" spans="1:11" s="83" customFormat="1" ht="25.5">
      <c r="A883" s="236" t="s">
        <v>973</v>
      </c>
      <c r="B883" s="233" t="s">
        <v>62</v>
      </c>
      <c r="C883" s="234" t="s">
        <v>14</v>
      </c>
      <c r="D883" s="234" t="s">
        <v>53</v>
      </c>
      <c r="E883" s="234" t="s">
        <v>799</v>
      </c>
      <c r="F883" s="234" t="s">
        <v>1043</v>
      </c>
      <c r="G883" s="235">
        <f>VLOOKUP(K883,'исх АС БЮДЖЕТ'!$A$10:$H$568,7,0)</f>
        <v>571760</v>
      </c>
      <c r="H883" s="235">
        <f>VLOOKUP(K883,'исх АС БЮДЖЕТ'!$A$10:$H$568,8,0)</f>
        <v>674660</v>
      </c>
      <c r="I883" s="234">
        <v>310278280</v>
      </c>
      <c r="J883" s="370" t="str">
        <f t="shared" si="105"/>
        <v>0310278280</v>
      </c>
      <c r="K883" s="30" t="str">
        <f t="shared" si="106"/>
        <v>60910030310278280244</v>
      </c>
    </row>
    <row r="884" spans="1:11" s="30" customFormat="1">
      <c r="A884" s="244" t="s">
        <v>109</v>
      </c>
      <c r="B884" s="233" t="s">
        <v>62</v>
      </c>
      <c r="C884" s="234" t="s">
        <v>14</v>
      </c>
      <c r="D884" s="234" t="s">
        <v>53</v>
      </c>
      <c r="E884" s="234" t="s">
        <v>799</v>
      </c>
      <c r="F884" s="234" t="s">
        <v>134</v>
      </c>
      <c r="G884" s="235">
        <f>G885</f>
        <v>45740690</v>
      </c>
      <c r="H884" s="235">
        <f>H885</f>
        <v>53973020</v>
      </c>
      <c r="I884" s="234">
        <v>310278280</v>
      </c>
      <c r="J884" s="370" t="str">
        <f t="shared" si="105"/>
        <v>0310278280</v>
      </c>
      <c r="K884" s="30" t="str">
        <f t="shared" si="106"/>
        <v>60910030310278280310</v>
      </c>
    </row>
    <row r="885" spans="1:11" s="83" customFormat="1" ht="25.5">
      <c r="A885" s="236" t="s">
        <v>978</v>
      </c>
      <c r="B885" s="233" t="s">
        <v>62</v>
      </c>
      <c r="C885" s="234" t="s">
        <v>14</v>
      </c>
      <c r="D885" s="234" t="s">
        <v>53</v>
      </c>
      <c r="E885" s="234" t="s">
        <v>799</v>
      </c>
      <c r="F885" s="234" t="s">
        <v>1064</v>
      </c>
      <c r="G885" s="235">
        <f>VLOOKUP(K885,'исх АС БЮДЖЕТ'!$A$10:$H$568,7,0)</f>
        <v>45740690</v>
      </c>
      <c r="H885" s="235">
        <f>VLOOKUP(K885,'исх АС БЮДЖЕТ'!$A$10:$H$568,8,0)</f>
        <v>53973020</v>
      </c>
      <c r="I885" s="234">
        <v>310278280</v>
      </c>
      <c r="J885" s="370" t="str">
        <f t="shared" si="105"/>
        <v>0310278280</v>
      </c>
      <c r="K885" s="30" t="str">
        <f t="shared" si="106"/>
        <v>60910030310278280313</v>
      </c>
    </row>
    <row r="886" spans="1:11" s="30" customFormat="1" ht="38.25">
      <c r="A886" s="244" t="s">
        <v>842</v>
      </c>
      <c r="B886" s="233" t="s">
        <v>62</v>
      </c>
      <c r="C886" s="234" t="s">
        <v>14</v>
      </c>
      <c r="D886" s="234" t="s">
        <v>53</v>
      </c>
      <c r="E886" s="234" t="s">
        <v>414</v>
      </c>
      <c r="F886" s="234" t="s">
        <v>58</v>
      </c>
      <c r="G886" s="235">
        <f>G887+G918+G924+G928</f>
        <v>20320410</v>
      </c>
      <c r="H886" s="235">
        <f>H887+H918+H924+H928</f>
        <v>20320410</v>
      </c>
      <c r="I886" s="234">
        <v>320000000</v>
      </c>
      <c r="J886" s="370" t="str">
        <f t="shared" si="105"/>
        <v>0320000000</v>
      </c>
      <c r="K886" s="30" t="str">
        <f t="shared" si="106"/>
        <v>60910030320000000000</v>
      </c>
    </row>
    <row r="887" spans="1:11" s="30" customFormat="1" ht="25.5">
      <c r="A887" s="263" t="s">
        <v>636</v>
      </c>
      <c r="B887" s="233" t="s">
        <v>62</v>
      </c>
      <c r="C887" s="234" t="s">
        <v>14</v>
      </c>
      <c r="D887" s="234" t="s">
        <v>53</v>
      </c>
      <c r="E887" s="234" t="s">
        <v>415</v>
      </c>
      <c r="F887" s="234" t="s">
        <v>58</v>
      </c>
      <c r="G887" s="235">
        <f>G888+G891+G894+G897+G900+G903+G906+G909+G912+G915</f>
        <v>18575740</v>
      </c>
      <c r="H887" s="235">
        <f>H888+H891+H894+H897+H900+H903+H906+H909+H912+H915</f>
        <v>18575740</v>
      </c>
      <c r="I887" s="234">
        <v>320100000</v>
      </c>
      <c r="J887" s="370" t="str">
        <f t="shared" si="105"/>
        <v>0320100000</v>
      </c>
      <c r="K887" s="30" t="str">
        <f t="shared" si="106"/>
        <v>60910030320100000000</v>
      </c>
    </row>
    <row r="888" spans="1:11" s="30" customFormat="1" ht="38.25">
      <c r="A888" s="266" t="s">
        <v>416</v>
      </c>
      <c r="B888" s="233" t="s">
        <v>62</v>
      </c>
      <c r="C888" s="234" t="s">
        <v>14</v>
      </c>
      <c r="D888" s="234" t="s">
        <v>53</v>
      </c>
      <c r="E888" s="234" t="s">
        <v>417</v>
      </c>
      <c r="F888" s="234" t="s">
        <v>58</v>
      </c>
      <c r="G888" s="235">
        <f>G889</f>
        <v>6350000</v>
      </c>
      <c r="H888" s="235">
        <f>H889</f>
        <v>6350000</v>
      </c>
      <c r="I888" s="234">
        <v>320180030</v>
      </c>
      <c r="J888" s="370" t="str">
        <f t="shared" si="105"/>
        <v>0320180030</v>
      </c>
      <c r="K888" s="30" t="str">
        <f t="shared" si="106"/>
        <v>60910030320180030000</v>
      </c>
    </row>
    <row r="889" spans="1:11" s="30" customFormat="1">
      <c r="A889" s="244" t="s">
        <v>109</v>
      </c>
      <c r="B889" s="233" t="s">
        <v>62</v>
      </c>
      <c r="C889" s="234" t="s">
        <v>14</v>
      </c>
      <c r="D889" s="234" t="s">
        <v>53</v>
      </c>
      <c r="E889" s="234" t="s">
        <v>417</v>
      </c>
      <c r="F889" s="234" t="s">
        <v>134</v>
      </c>
      <c r="G889" s="235">
        <f>G890</f>
        <v>6350000</v>
      </c>
      <c r="H889" s="235">
        <f>H890</f>
        <v>6350000</v>
      </c>
      <c r="I889" s="234">
        <v>320180030</v>
      </c>
      <c r="J889" s="370" t="str">
        <f t="shared" si="105"/>
        <v>0320180030</v>
      </c>
      <c r="K889" s="30" t="str">
        <f t="shared" si="106"/>
        <v>60910030320180030310</v>
      </c>
    </row>
    <row r="890" spans="1:11" s="83" customFormat="1" ht="25.5">
      <c r="A890" s="236" t="s">
        <v>978</v>
      </c>
      <c r="B890" s="233" t="s">
        <v>62</v>
      </c>
      <c r="C890" s="234" t="s">
        <v>14</v>
      </c>
      <c r="D890" s="234" t="s">
        <v>53</v>
      </c>
      <c r="E890" s="234" t="s">
        <v>417</v>
      </c>
      <c r="F890" s="234" t="s">
        <v>1064</v>
      </c>
      <c r="G890" s="235">
        <f>VLOOKUP(K890,'исх АС БЮДЖЕТ'!$A$10:$H$568,7,0)</f>
        <v>6350000</v>
      </c>
      <c r="H890" s="235">
        <f>VLOOKUP(K890,'исх АС БЮДЖЕТ'!$A$10:$H$568,8,0)</f>
        <v>6350000</v>
      </c>
      <c r="I890" s="234">
        <v>320180030</v>
      </c>
      <c r="J890" s="370" t="str">
        <f t="shared" si="105"/>
        <v>0320180030</v>
      </c>
      <c r="K890" s="30" t="str">
        <f t="shared" si="106"/>
        <v>60910030320180030313</v>
      </c>
    </row>
    <row r="891" spans="1:11" s="30" customFormat="1" ht="38.25">
      <c r="A891" s="266" t="s">
        <v>418</v>
      </c>
      <c r="B891" s="233" t="s">
        <v>62</v>
      </c>
      <c r="C891" s="234" t="s">
        <v>14</v>
      </c>
      <c r="D891" s="234" t="s">
        <v>53</v>
      </c>
      <c r="E891" s="234" t="s">
        <v>419</v>
      </c>
      <c r="F891" s="234" t="s">
        <v>58</v>
      </c>
      <c r="G891" s="235">
        <f>G892</f>
        <v>694280</v>
      </c>
      <c r="H891" s="235">
        <f>H892</f>
        <v>694280</v>
      </c>
      <c r="I891" s="234">
        <v>320180070</v>
      </c>
      <c r="J891" s="370" t="str">
        <f t="shared" si="105"/>
        <v>0320180070</v>
      </c>
      <c r="K891" s="30" t="str">
        <f t="shared" si="106"/>
        <v>60910030320180070000</v>
      </c>
    </row>
    <row r="892" spans="1:11" s="30" customFormat="1">
      <c r="A892" s="244" t="s">
        <v>109</v>
      </c>
      <c r="B892" s="233" t="s">
        <v>62</v>
      </c>
      <c r="C892" s="234" t="s">
        <v>14</v>
      </c>
      <c r="D892" s="234" t="s">
        <v>53</v>
      </c>
      <c r="E892" s="234" t="s">
        <v>419</v>
      </c>
      <c r="F892" s="234" t="s">
        <v>134</v>
      </c>
      <c r="G892" s="235">
        <f>G893</f>
        <v>694280</v>
      </c>
      <c r="H892" s="235">
        <f>H893</f>
        <v>694280</v>
      </c>
      <c r="I892" s="234">
        <v>320180070</v>
      </c>
      <c r="J892" s="370" t="str">
        <f t="shared" si="105"/>
        <v>0320180070</v>
      </c>
      <c r="K892" s="30" t="str">
        <f t="shared" si="106"/>
        <v>60910030320180070310</v>
      </c>
    </row>
    <row r="893" spans="1:11" s="83" customFormat="1" ht="25.5">
      <c r="A893" s="236" t="s">
        <v>978</v>
      </c>
      <c r="B893" s="233" t="s">
        <v>62</v>
      </c>
      <c r="C893" s="234" t="s">
        <v>14</v>
      </c>
      <c r="D893" s="234" t="s">
        <v>53</v>
      </c>
      <c r="E893" s="234" t="s">
        <v>419</v>
      </c>
      <c r="F893" s="234" t="s">
        <v>1064</v>
      </c>
      <c r="G893" s="235">
        <f>VLOOKUP(K893,'исх АС БЮДЖЕТ'!$A$10:$H$568,7,0)</f>
        <v>694280</v>
      </c>
      <c r="H893" s="235">
        <f>VLOOKUP(K893,'исх АС БЮДЖЕТ'!$A$10:$H$568,8,0)</f>
        <v>694280</v>
      </c>
      <c r="I893" s="234">
        <v>320180070</v>
      </c>
      <c r="J893" s="370" t="str">
        <f t="shared" ref="J893:J948" si="107">TEXT(I893,"0000000000")</f>
        <v>0320180070</v>
      </c>
      <c r="K893" s="30" t="str">
        <f t="shared" ref="K893:K948" si="108">CONCATENATE(B893,C893,D893,J893,F893)</f>
        <v>60910030320180070313</v>
      </c>
    </row>
    <row r="894" spans="1:11" s="30" customFormat="1" ht="25.5">
      <c r="A894" s="266" t="s">
        <v>420</v>
      </c>
      <c r="B894" s="233" t="s">
        <v>62</v>
      </c>
      <c r="C894" s="234" t="s">
        <v>14</v>
      </c>
      <c r="D894" s="234" t="s">
        <v>53</v>
      </c>
      <c r="E894" s="234" t="s">
        <v>421</v>
      </c>
      <c r="F894" s="234" t="s">
        <v>58</v>
      </c>
      <c r="G894" s="235">
        <f>G895</f>
        <v>5718000</v>
      </c>
      <c r="H894" s="235">
        <f>H895</f>
        <v>5718000</v>
      </c>
      <c r="I894" s="234">
        <v>320180100</v>
      </c>
      <c r="J894" s="370" t="str">
        <f t="shared" si="107"/>
        <v>0320180100</v>
      </c>
      <c r="K894" s="30" t="str">
        <f t="shared" si="108"/>
        <v>60910030320180100000</v>
      </c>
    </row>
    <row r="895" spans="1:11" s="30" customFormat="1">
      <c r="A895" s="244" t="s">
        <v>109</v>
      </c>
      <c r="B895" s="233" t="s">
        <v>62</v>
      </c>
      <c r="C895" s="234" t="s">
        <v>14</v>
      </c>
      <c r="D895" s="234" t="s">
        <v>53</v>
      </c>
      <c r="E895" s="234" t="s">
        <v>421</v>
      </c>
      <c r="F895" s="234" t="s">
        <v>134</v>
      </c>
      <c r="G895" s="235">
        <f>G896</f>
        <v>5718000</v>
      </c>
      <c r="H895" s="235">
        <f>H896</f>
        <v>5718000</v>
      </c>
      <c r="I895" s="234">
        <v>320180100</v>
      </c>
      <c r="J895" s="370" t="str">
        <f t="shared" si="107"/>
        <v>0320180100</v>
      </c>
      <c r="K895" s="30" t="str">
        <f t="shared" si="108"/>
        <v>60910030320180100310</v>
      </c>
    </row>
    <row r="896" spans="1:11" s="83" customFormat="1" ht="25.5">
      <c r="A896" s="236" t="s">
        <v>978</v>
      </c>
      <c r="B896" s="233" t="s">
        <v>62</v>
      </c>
      <c r="C896" s="234" t="s">
        <v>14</v>
      </c>
      <c r="D896" s="234" t="s">
        <v>53</v>
      </c>
      <c r="E896" s="234" t="s">
        <v>421</v>
      </c>
      <c r="F896" s="234" t="s">
        <v>1064</v>
      </c>
      <c r="G896" s="235">
        <f>VLOOKUP(K896,'исх АС БЮДЖЕТ'!$A$10:$H$568,7,0)</f>
        <v>5718000</v>
      </c>
      <c r="H896" s="235">
        <f>VLOOKUP(K896,'исх АС БЮДЖЕТ'!$A$10:$H$568,8,0)</f>
        <v>5718000</v>
      </c>
      <c r="I896" s="234">
        <v>320180100</v>
      </c>
      <c r="J896" s="370" t="str">
        <f t="shared" si="107"/>
        <v>0320180100</v>
      </c>
      <c r="K896" s="30" t="str">
        <f t="shared" si="108"/>
        <v>60910030320180100313</v>
      </c>
    </row>
    <row r="897" spans="1:11" s="30" customFormat="1" ht="25.5">
      <c r="A897" s="266" t="s">
        <v>422</v>
      </c>
      <c r="B897" s="233" t="s">
        <v>62</v>
      </c>
      <c r="C897" s="234" t="s">
        <v>14</v>
      </c>
      <c r="D897" s="234" t="s">
        <v>53</v>
      </c>
      <c r="E897" s="234" t="s">
        <v>423</v>
      </c>
      <c r="F897" s="234" t="s">
        <v>58</v>
      </c>
      <c r="G897" s="235">
        <f>G898</f>
        <v>1080000</v>
      </c>
      <c r="H897" s="235">
        <f>H898</f>
        <v>1080000</v>
      </c>
      <c r="I897" s="234">
        <v>320180110</v>
      </c>
      <c r="J897" s="370" t="str">
        <f t="shared" si="107"/>
        <v>0320180110</v>
      </c>
      <c r="K897" s="30" t="str">
        <f t="shared" si="108"/>
        <v>60910030320180110000</v>
      </c>
    </row>
    <row r="898" spans="1:11" s="30" customFormat="1">
      <c r="A898" s="244" t="s">
        <v>109</v>
      </c>
      <c r="B898" s="233" t="s">
        <v>62</v>
      </c>
      <c r="C898" s="234" t="s">
        <v>14</v>
      </c>
      <c r="D898" s="234" t="s">
        <v>53</v>
      </c>
      <c r="E898" s="234" t="s">
        <v>423</v>
      </c>
      <c r="F898" s="234" t="s">
        <v>134</v>
      </c>
      <c r="G898" s="235">
        <f>G899</f>
        <v>1080000</v>
      </c>
      <c r="H898" s="235">
        <f>H899</f>
        <v>1080000</v>
      </c>
      <c r="I898" s="234">
        <v>320180110</v>
      </c>
      <c r="J898" s="370" t="str">
        <f t="shared" si="107"/>
        <v>0320180110</v>
      </c>
      <c r="K898" s="30" t="str">
        <f t="shared" si="108"/>
        <v>60910030320180110310</v>
      </c>
    </row>
    <row r="899" spans="1:11" s="83" customFormat="1" ht="25.5">
      <c r="A899" s="236" t="s">
        <v>978</v>
      </c>
      <c r="B899" s="233" t="s">
        <v>62</v>
      </c>
      <c r="C899" s="234" t="s">
        <v>14</v>
      </c>
      <c r="D899" s="234" t="s">
        <v>53</v>
      </c>
      <c r="E899" s="234" t="s">
        <v>423</v>
      </c>
      <c r="F899" s="234" t="s">
        <v>1064</v>
      </c>
      <c r="G899" s="235">
        <f>VLOOKUP(K899,'исх АС БЮДЖЕТ'!$A$10:$H$568,7,0)</f>
        <v>1080000</v>
      </c>
      <c r="H899" s="235">
        <f>VLOOKUP(K899,'исх АС БЮДЖЕТ'!$A$10:$H$568,8,0)</f>
        <v>1080000</v>
      </c>
      <c r="I899" s="234">
        <v>320180110</v>
      </c>
      <c r="J899" s="370" t="str">
        <f t="shared" si="107"/>
        <v>0320180110</v>
      </c>
      <c r="K899" s="30" t="str">
        <f t="shared" si="108"/>
        <v>60910030320180110313</v>
      </c>
    </row>
    <row r="900" spans="1:11" s="30" customFormat="1" ht="89.25">
      <c r="A900" s="266" t="s">
        <v>424</v>
      </c>
      <c r="B900" s="233" t="s">
        <v>62</v>
      </c>
      <c r="C900" s="234" t="s">
        <v>14</v>
      </c>
      <c r="D900" s="234" t="s">
        <v>53</v>
      </c>
      <c r="E900" s="234" t="s">
        <v>425</v>
      </c>
      <c r="F900" s="234" t="s">
        <v>58</v>
      </c>
      <c r="G900" s="235">
        <f>G901</f>
        <v>1025460</v>
      </c>
      <c r="H900" s="235">
        <f>H901</f>
        <v>1025460</v>
      </c>
      <c r="I900" s="234">
        <v>320180120</v>
      </c>
      <c r="J900" s="370" t="str">
        <f t="shared" si="107"/>
        <v>0320180120</v>
      </c>
      <c r="K900" s="30" t="str">
        <f t="shared" si="108"/>
        <v>60910030320180120000</v>
      </c>
    </row>
    <row r="901" spans="1:11" s="30" customFormat="1">
      <c r="A901" s="244" t="s">
        <v>109</v>
      </c>
      <c r="B901" s="233" t="s">
        <v>62</v>
      </c>
      <c r="C901" s="234" t="s">
        <v>14</v>
      </c>
      <c r="D901" s="234" t="s">
        <v>53</v>
      </c>
      <c r="E901" s="234" t="s">
        <v>425</v>
      </c>
      <c r="F901" s="234" t="s">
        <v>134</v>
      </c>
      <c r="G901" s="235">
        <f>G902</f>
        <v>1025460</v>
      </c>
      <c r="H901" s="235">
        <f>H902</f>
        <v>1025460</v>
      </c>
      <c r="I901" s="234">
        <v>320180120</v>
      </c>
      <c r="J901" s="370" t="str">
        <f t="shared" si="107"/>
        <v>0320180120</v>
      </c>
      <c r="K901" s="30" t="str">
        <f t="shared" si="108"/>
        <v>60910030320180120310</v>
      </c>
    </row>
    <row r="902" spans="1:11" s="83" customFormat="1" ht="25.5">
      <c r="A902" s="236" t="s">
        <v>978</v>
      </c>
      <c r="B902" s="233" t="s">
        <v>62</v>
      </c>
      <c r="C902" s="234" t="s">
        <v>14</v>
      </c>
      <c r="D902" s="234" t="s">
        <v>53</v>
      </c>
      <c r="E902" s="234" t="s">
        <v>425</v>
      </c>
      <c r="F902" s="234" t="s">
        <v>1064</v>
      </c>
      <c r="G902" s="235">
        <f>VLOOKUP(K902,'исх АС БЮДЖЕТ'!$A$10:$H$568,7,0)</f>
        <v>1025460</v>
      </c>
      <c r="H902" s="235">
        <f>VLOOKUP(K902,'исх АС БЮДЖЕТ'!$A$10:$H$568,8,0)</f>
        <v>1025460</v>
      </c>
      <c r="I902" s="234">
        <v>320180120</v>
      </c>
      <c r="J902" s="370" t="str">
        <f t="shared" si="107"/>
        <v>0320180120</v>
      </c>
      <c r="K902" s="30" t="str">
        <f t="shared" si="108"/>
        <v>60910030320180120313</v>
      </c>
    </row>
    <row r="903" spans="1:11" s="30" customFormat="1" ht="25.5">
      <c r="A903" s="266" t="s">
        <v>426</v>
      </c>
      <c r="B903" s="233" t="s">
        <v>62</v>
      </c>
      <c r="C903" s="234" t="s">
        <v>14</v>
      </c>
      <c r="D903" s="234" t="s">
        <v>53</v>
      </c>
      <c r="E903" s="234" t="s">
        <v>427</v>
      </c>
      <c r="F903" s="234" t="s">
        <v>58</v>
      </c>
      <c r="G903" s="235">
        <f>G904</f>
        <v>714000</v>
      </c>
      <c r="H903" s="235">
        <f>H904</f>
        <v>714000</v>
      </c>
      <c r="I903" s="234">
        <v>320180140</v>
      </c>
      <c r="J903" s="370" t="str">
        <f t="shared" si="107"/>
        <v>0320180140</v>
      </c>
      <c r="K903" s="30" t="str">
        <f t="shared" si="108"/>
        <v>60910030320180140000</v>
      </c>
    </row>
    <row r="904" spans="1:11" s="30" customFormat="1">
      <c r="A904" s="244" t="s">
        <v>109</v>
      </c>
      <c r="B904" s="233" t="s">
        <v>62</v>
      </c>
      <c r="C904" s="234" t="s">
        <v>14</v>
      </c>
      <c r="D904" s="234" t="s">
        <v>53</v>
      </c>
      <c r="E904" s="234" t="s">
        <v>427</v>
      </c>
      <c r="F904" s="234" t="s">
        <v>134</v>
      </c>
      <c r="G904" s="235">
        <f>G905</f>
        <v>714000</v>
      </c>
      <c r="H904" s="235">
        <f>H905</f>
        <v>714000</v>
      </c>
      <c r="I904" s="234">
        <v>320180140</v>
      </c>
      <c r="J904" s="370" t="str">
        <f t="shared" si="107"/>
        <v>0320180140</v>
      </c>
      <c r="K904" s="30" t="str">
        <f t="shared" si="108"/>
        <v>60910030320180140310</v>
      </c>
    </row>
    <row r="905" spans="1:11" s="83" customFormat="1" ht="25.5">
      <c r="A905" s="236" t="s">
        <v>978</v>
      </c>
      <c r="B905" s="233" t="s">
        <v>62</v>
      </c>
      <c r="C905" s="234" t="s">
        <v>14</v>
      </c>
      <c r="D905" s="234" t="s">
        <v>53</v>
      </c>
      <c r="E905" s="234" t="s">
        <v>427</v>
      </c>
      <c r="F905" s="234" t="s">
        <v>1064</v>
      </c>
      <c r="G905" s="235">
        <f>VLOOKUP(K905,'исх АС БЮДЖЕТ'!$A$10:$H$568,7,0)</f>
        <v>714000</v>
      </c>
      <c r="H905" s="235">
        <f>VLOOKUP(K905,'исх АС БЮДЖЕТ'!$A$10:$H$568,8,0)</f>
        <v>714000</v>
      </c>
      <c r="I905" s="234">
        <v>320180140</v>
      </c>
      <c r="J905" s="370" t="str">
        <f t="shared" si="107"/>
        <v>0320180140</v>
      </c>
      <c r="K905" s="30" t="str">
        <f t="shared" si="108"/>
        <v>60910030320180140313</v>
      </c>
    </row>
    <row r="906" spans="1:11" s="30" customFormat="1" ht="25.5">
      <c r="A906" s="266" t="s">
        <v>430</v>
      </c>
      <c r="B906" s="233" t="s">
        <v>62</v>
      </c>
      <c r="C906" s="234" t="s">
        <v>14</v>
      </c>
      <c r="D906" s="234" t="s">
        <v>53</v>
      </c>
      <c r="E906" s="234" t="s">
        <v>431</v>
      </c>
      <c r="F906" s="234" t="s">
        <v>58</v>
      </c>
      <c r="G906" s="235">
        <f>G907</f>
        <v>1000000</v>
      </c>
      <c r="H906" s="235">
        <f>H907</f>
        <v>1000000</v>
      </c>
      <c r="I906" s="234">
        <v>320180160</v>
      </c>
      <c r="J906" s="370" t="str">
        <f t="shared" si="107"/>
        <v>0320180160</v>
      </c>
      <c r="K906" s="30" t="str">
        <f t="shared" si="108"/>
        <v>60910030320180160000</v>
      </c>
    </row>
    <row r="907" spans="1:11" s="30" customFormat="1">
      <c r="A907" s="244" t="s">
        <v>109</v>
      </c>
      <c r="B907" s="233" t="s">
        <v>62</v>
      </c>
      <c r="C907" s="234" t="s">
        <v>14</v>
      </c>
      <c r="D907" s="234" t="s">
        <v>53</v>
      </c>
      <c r="E907" s="234" t="s">
        <v>431</v>
      </c>
      <c r="F907" s="234" t="s">
        <v>134</v>
      </c>
      <c r="G907" s="235">
        <f>G908</f>
        <v>1000000</v>
      </c>
      <c r="H907" s="235">
        <f>H908</f>
        <v>1000000</v>
      </c>
      <c r="I907" s="234">
        <v>320180160</v>
      </c>
      <c r="J907" s="370" t="str">
        <f t="shared" si="107"/>
        <v>0320180160</v>
      </c>
      <c r="K907" s="30" t="str">
        <f t="shared" si="108"/>
        <v>60910030320180160310</v>
      </c>
    </row>
    <row r="908" spans="1:11" s="83" customFormat="1" ht="25.5">
      <c r="A908" s="236" t="s">
        <v>978</v>
      </c>
      <c r="B908" s="233" t="s">
        <v>62</v>
      </c>
      <c r="C908" s="234" t="s">
        <v>14</v>
      </c>
      <c r="D908" s="234" t="s">
        <v>53</v>
      </c>
      <c r="E908" s="234" t="s">
        <v>431</v>
      </c>
      <c r="F908" s="234" t="s">
        <v>1064</v>
      </c>
      <c r="G908" s="235">
        <f>VLOOKUP(K908,'исх АС БЮДЖЕТ'!$A$10:$H$568,7,0)</f>
        <v>1000000</v>
      </c>
      <c r="H908" s="235">
        <f>VLOOKUP(K908,'исх АС БЮДЖЕТ'!$A$10:$H$568,8,0)</f>
        <v>1000000</v>
      </c>
      <c r="I908" s="234">
        <v>320180160</v>
      </c>
      <c r="J908" s="370" t="str">
        <f t="shared" si="107"/>
        <v>0320180160</v>
      </c>
      <c r="K908" s="30" t="str">
        <f t="shared" si="108"/>
        <v>60910030320180160313</v>
      </c>
    </row>
    <row r="909" spans="1:11" s="30" customFormat="1">
      <c r="A909" s="266" t="s">
        <v>432</v>
      </c>
      <c r="B909" s="233" t="s">
        <v>62</v>
      </c>
      <c r="C909" s="234" t="s">
        <v>14</v>
      </c>
      <c r="D909" s="234" t="s">
        <v>53</v>
      </c>
      <c r="E909" s="234" t="s">
        <v>433</v>
      </c>
      <c r="F909" s="234" t="s">
        <v>58</v>
      </c>
      <c r="G909" s="235">
        <f>G910</f>
        <v>1854000</v>
      </c>
      <c r="H909" s="235">
        <f>H910</f>
        <v>1854000</v>
      </c>
      <c r="I909" s="234">
        <v>320180180</v>
      </c>
      <c r="J909" s="370" t="str">
        <f t="shared" si="107"/>
        <v>0320180180</v>
      </c>
      <c r="K909" s="30" t="str">
        <f t="shared" si="108"/>
        <v>60910030320180180000</v>
      </c>
    </row>
    <row r="910" spans="1:11" s="30" customFormat="1">
      <c r="A910" s="244" t="s">
        <v>109</v>
      </c>
      <c r="B910" s="233" t="s">
        <v>62</v>
      </c>
      <c r="C910" s="234" t="s">
        <v>14</v>
      </c>
      <c r="D910" s="234" t="s">
        <v>53</v>
      </c>
      <c r="E910" s="234" t="s">
        <v>433</v>
      </c>
      <c r="F910" s="234" t="s">
        <v>134</v>
      </c>
      <c r="G910" s="235">
        <f>G911</f>
        <v>1854000</v>
      </c>
      <c r="H910" s="235">
        <f>H911</f>
        <v>1854000</v>
      </c>
      <c r="I910" s="234">
        <v>320180180</v>
      </c>
      <c r="J910" s="370" t="str">
        <f t="shared" si="107"/>
        <v>0320180180</v>
      </c>
      <c r="K910" s="30" t="str">
        <f t="shared" si="108"/>
        <v>60910030320180180310</v>
      </c>
    </row>
    <row r="911" spans="1:11" s="83" customFormat="1" ht="25.5">
      <c r="A911" s="236" t="s">
        <v>978</v>
      </c>
      <c r="B911" s="233" t="s">
        <v>62</v>
      </c>
      <c r="C911" s="234" t="s">
        <v>14</v>
      </c>
      <c r="D911" s="234" t="s">
        <v>53</v>
      </c>
      <c r="E911" s="234" t="s">
        <v>433</v>
      </c>
      <c r="F911" s="234" t="s">
        <v>1064</v>
      </c>
      <c r="G911" s="235">
        <f>VLOOKUP(K911,'исх АС БЮДЖЕТ'!$A$10:$H$568,7,0)</f>
        <v>1854000</v>
      </c>
      <c r="H911" s="235">
        <f>VLOOKUP(K911,'исх АС БЮДЖЕТ'!$A$10:$H$568,8,0)</f>
        <v>1854000</v>
      </c>
      <c r="I911" s="234">
        <v>320180180</v>
      </c>
      <c r="J911" s="370" t="str">
        <f t="shared" si="107"/>
        <v>0320180180</v>
      </c>
      <c r="K911" s="30" t="str">
        <f t="shared" si="108"/>
        <v>60910030320180180313</v>
      </c>
    </row>
    <row r="912" spans="1:11" s="30" customFormat="1" ht="25.5">
      <c r="A912" s="266" t="s">
        <v>434</v>
      </c>
      <c r="B912" s="233" t="s">
        <v>62</v>
      </c>
      <c r="C912" s="234" t="s">
        <v>14</v>
      </c>
      <c r="D912" s="234" t="s">
        <v>53</v>
      </c>
      <c r="E912" s="234" t="s">
        <v>435</v>
      </c>
      <c r="F912" s="234" t="s">
        <v>58</v>
      </c>
      <c r="G912" s="235">
        <f>G913</f>
        <v>40000</v>
      </c>
      <c r="H912" s="235">
        <f>H913</f>
        <v>40000</v>
      </c>
      <c r="I912" s="234">
        <v>320180190</v>
      </c>
      <c r="J912" s="370" t="str">
        <f t="shared" si="107"/>
        <v>0320180190</v>
      </c>
      <c r="K912" s="30" t="str">
        <f t="shared" si="108"/>
        <v>60910030320180190000</v>
      </c>
    </row>
    <row r="913" spans="1:11" s="30" customFormat="1">
      <c r="A913" s="244" t="s">
        <v>109</v>
      </c>
      <c r="B913" s="233" t="s">
        <v>62</v>
      </c>
      <c r="C913" s="234" t="s">
        <v>14</v>
      </c>
      <c r="D913" s="234" t="s">
        <v>53</v>
      </c>
      <c r="E913" s="234" t="s">
        <v>435</v>
      </c>
      <c r="F913" s="234" t="s">
        <v>134</v>
      </c>
      <c r="G913" s="235">
        <f>G914</f>
        <v>40000</v>
      </c>
      <c r="H913" s="235">
        <f>H914</f>
        <v>40000</v>
      </c>
      <c r="I913" s="234">
        <v>320180190</v>
      </c>
      <c r="J913" s="370" t="str">
        <f t="shared" si="107"/>
        <v>0320180190</v>
      </c>
      <c r="K913" s="30" t="str">
        <f t="shared" si="108"/>
        <v>60910030320180190310</v>
      </c>
    </row>
    <row r="914" spans="1:11" s="83" customFormat="1" ht="25.5">
      <c r="A914" s="236" t="s">
        <v>978</v>
      </c>
      <c r="B914" s="233" t="s">
        <v>62</v>
      </c>
      <c r="C914" s="234" t="s">
        <v>14</v>
      </c>
      <c r="D914" s="234" t="s">
        <v>53</v>
      </c>
      <c r="E914" s="234" t="s">
        <v>435</v>
      </c>
      <c r="F914" s="234" t="s">
        <v>1064</v>
      </c>
      <c r="G914" s="235">
        <f>VLOOKUP(K914,'исх АС БЮДЖЕТ'!$A$10:$H$568,7,0)</f>
        <v>40000</v>
      </c>
      <c r="H914" s="235">
        <f>VLOOKUP(K914,'исх АС БЮДЖЕТ'!$A$10:$H$568,8,0)</f>
        <v>40000</v>
      </c>
      <c r="I914" s="234">
        <v>320180190</v>
      </c>
      <c r="J914" s="370" t="str">
        <f t="shared" si="107"/>
        <v>0320180190</v>
      </c>
      <c r="K914" s="30" t="str">
        <f t="shared" si="108"/>
        <v>60910030320180190313</v>
      </c>
    </row>
    <row r="915" spans="1:11" s="30" customFormat="1" ht="38.25">
      <c r="A915" s="266" t="s">
        <v>804</v>
      </c>
      <c r="B915" s="233" t="s">
        <v>62</v>
      </c>
      <c r="C915" s="234" t="s">
        <v>14</v>
      </c>
      <c r="D915" s="234" t="s">
        <v>53</v>
      </c>
      <c r="E915" s="234" t="s">
        <v>436</v>
      </c>
      <c r="F915" s="234" t="s">
        <v>58</v>
      </c>
      <c r="G915" s="235">
        <f>G916</f>
        <v>100000</v>
      </c>
      <c r="H915" s="235">
        <f>H916</f>
        <v>100000</v>
      </c>
      <c r="I915" s="234">
        <v>320180210</v>
      </c>
      <c r="J915" s="370" t="str">
        <f t="shared" si="107"/>
        <v>0320180210</v>
      </c>
      <c r="K915" s="30" t="str">
        <f t="shared" si="108"/>
        <v>60910030320180210000</v>
      </c>
    </row>
    <row r="916" spans="1:11" s="30" customFormat="1">
      <c r="A916" s="244" t="s">
        <v>109</v>
      </c>
      <c r="B916" s="233" t="s">
        <v>62</v>
      </c>
      <c r="C916" s="234" t="s">
        <v>14</v>
      </c>
      <c r="D916" s="234" t="s">
        <v>53</v>
      </c>
      <c r="E916" s="234" t="s">
        <v>436</v>
      </c>
      <c r="F916" s="234" t="s">
        <v>134</v>
      </c>
      <c r="G916" s="235">
        <f>G917</f>
        <v>100000</v>
      </c>
      <c r="H916" s="235">
        <f>H917</f>
        <v>100000</v>
      </c>
      <c r="I916" s="234">
        <v>320180210</v>
      </c>
      <c r="J916" s="370" t="str">
        <f t="shared" si="107"/>
        <v>0320180210</v>
      </c>
      <c r="K916" s="30" t="str">
        <f t="shared" si="108"/>
        <v>60910030320180210310</v>
      </c>
    </row>
    <row r="917" spans="1:11" s="83" customFormat="1" ht="25.5">
      <c r="A917" s="236" t="s">
        <v>978</v>
      </c>
      <c r="B917" s="233" t="s">
        <v>62</v>
      </c>
      <c r="C917" s="234" t="s">
        <v>14</v>
      </c>
      <c r="D917" s="234" t="s">
        <v>53</v>
      </c>
      <c r="E917" s="234" t="s">
        <v>436</v>
      </c>
      <c r="F917" s="234" t="s">
        <v>1064</v>
      </c>
      <c r="G917" s="235">
        <f>VLOOKUP(K917,'исх АС БЮДЖЕТ'!$A$10:$H$568,7,0)</f>
        <v>100000</v>
      </c>
      <c r="H917" s="235">
        <f>VLOOKUP(K917,'исх АС БЮДЖЕТ'!$A$10:$H$568,8,0)</f>
        <v>100000</v>
      </c>
      <c r="I917" s="234">
        <v>320180210</v>
      </c>
      <c r="J917" s="370" t="str">
        <f t="shared" si="107"/>
        <v>0320180210</v>
      </c>
      <c r="K917" s="30" t="str">
        <f t="shared" si="108"/>
        <v>60910030320180210313</v>
      </c>
    </row>
    <row r="918" spans="1:11" s="30" customFormat="1">
      <c r="A918" s="266" t="s">
        <v>800</v>
      </c>
      <c r="B918" s="233" t="s">
        <v>62</v>
      </c>
      <c r="C918" s="234" t="s">
        <v>14</v>
      </c>
      <c r="D918" s="234" t="s">
        <v>53</v>
      </c>
      <c r="E918" s="234" t="s">
        <v>801</v>
      </c>
      <c r="F918" s="234" t="s">
        <v>58</v>
      </c>
      <c r="G918" s="235">
        <f>G919</f>
        <v>1158980</v>
      </c>
      <c r="H918" s="235">
        <f>H919</f>
        <v>1158980</v>
      </c>
      <c r="I918" s="234">
        <v>320500000</v>
      </c>
      <c r="J918" s="370" t="str">
        <f t="shared" si="107"/>
        <v>0320500000</v>
      </c>
      <c r="K918" s="30" t="str">
        <f t="shared" si="108"/>
        <v>60910030320500000000</v>
      </c>
    </row>
    <row r="919" spans="1:11" s="30" customFormat="1" ht="25.5">
      <c r="A919" s="248" t="s">
        <v>192</v>
      </c>
      <c r="B919" s="233" t="s">
        <v>62</v>
      </c>
      <c r="C919" s="234" t="s">
        <v>14</v>
      </c>
      <c r="D919" s="234" t="s">
        <v>53</v>
      </c>
      <c r="E919" s="234" t="s">
        <v>802</v>
      </c>
      <c r="F919" s="234" t="s">
        <v>58</v>
      </c>
      <c r="G919" s="235">
        <f>G920+G922</f>
        <v>1158980</v>
      </c>
      <c r="H919" s="235">
        <f>H920+H922</f>
        <v>1158980</v>
      </c>
      <c r="I919" s="234">
        <v>320520500</v>
      </c>
      <c r="J919" s="370" t="str">
        <f t="shared" si="107"/>
        <v>0320520500</v>
      </c>
      <c r="K919" s="30" t="str">
        <f t="shared" si="108"/>
        <v>60910030320520500000</v>
      </c>
    </row>
    <row r="920" spans="1:11" s="30" customFormat="1" ht="25.5">
      <c r="A920" s="232" t="s">
        <v>108</v>
      </c>
      <c r="B920" s="233" t="s">
        <v>62</v>
      </c>
      <c r="C920" s="234" t="s">
        <v>14</v>
      </c>
      <c r="D920" s="234" t="s">
        <v>53</v>
      </c>
      <c r="E920" s="234" t="s">
        <v>802</v>
      </c>
      <c r="F920" s="234" t="s">
        <v>116</v>
      </c>
      <c r="G920" s="235">
        <f>G921</f>
        <v>1077980</v>
      </c>
      <c r="H920" s="235">
        <f>H921</f>
        <v>1077980</v>
      </c>
      <c r="I920" s="234">
        <v>320520500</v>
      </c>
      <c r="J920" s="370" t="str">
        <f t="shared" si="107"/>
        <v>0320520500</v>
      </c>
      <c r="K920" s="30" t="str">
        <f t="shared" si="108"/>
        <v>60910030320520500240</v>
      </c>
    </row>
    <row r="921" spans="1:11" s="83" customFormat="1" ht="25.5">
      <c r="A921" s="236" t="s">
        <v>973</v>
      </c>
      <c r="B921" s="233" t="s">
        <v>62</v>
      </c>
      <c r="C921" s="234" t="s">
        <v>14</v>
      </c>
      <c r="D921" s="234" t="s">
        <v>53</v>
      </c>
      <c r="E921" s="234" t="s">
        <v>802</v>
      </c>
      <c r="F921" s="234" t="s">
        <v>1043</v>
      </c>
      <c r="G921" s="235">
        <f>VLOOKUP(K921,'исх АС БЮДЖЕТ'!$A$10:$H$568,7,0)</f>
        <v>1077980</v>
      </c>
      <c r="H921" s="235">
        <f>VLOOKUP(K921,'исх АС БЮДЖЕТ'!$A$10:$H$568,8,0)</f>
        <v>1077980</v>
      </c>
      <c r="I921" s="234">
        <v>320520500</v>
      </c>
      <c r="J921" s="370" t="str">
        <f t="shared" si="107"/>
        <v>0320520500</v>
      </c>
      <c r="K921" s="30" t="str">
        <f t="shared" si="108"/>
        <v>60910030320520500244</v>
      </c>
    </row>
    <row r="922" spans="1:11" s="30" customFormat="1" ht="25.5">
      <c r="A922" s="244" t="s">
        <v>110</v>
      </c>
      <c r="B922" s="233" t="s">
        <v>62</v>
      </c>
      <c r="C922" s="234" t="s">
        <v>14</v>
      </c>
      <c r="D922" s="234" t="s">
        <v>53</v>
      </c>
      <c r="E922" s="234" t="s">
        <v>802</v>
      </c>
      <c r="F922" s="234" t="s">
        <v>117</v>
      </c>
      <c r="G922" s="235">
        <f>G923</f>
        <v>81000</v>
      </c>
      <c r="H922" s="235">
        <f>H923</f>
        <v>81000</v>
      </c>
      <c r="I922" s="234">
        <v>320520500</v>
      </c>
      <c r="J922" s="370" t="str">
        <f t="shared" si="107"/>
        <v>0320520500</v>
      </c>
      <c r="K922" s="30" t="str">
        <f t="shared" si="108"/>
        <v>60910030320520500320</v>
      </c>
    </row>
    <row r="923" spans="1:11" s="83" customFormat="1" ht="25.5">
      <c r="A923" s="236" t="s">
        <v>981</v>
      </c>
      <c r="B923" s="233" t="s">
        <v>62</v>
      </c>
      <c r="C923" s="234" t="s">
        <v>14</v>
      </c>
      <c r="D923" s="234" t="s">
        <v>53</v>
      </c>
      <c r="E923" s="234" t="s">
        <v>802</v>
      </c>
      <c r="F923" s="234" t="s">
        <v>1065</v>
      </c>
      <c r="G923" s="235">
        <f>VLOOKUP(K923,'исх АС БЮДЖЕТ'!$A$10:$H$568,7,0)</f>
        <v>81000</v>
      </c>
      <c r="H923" s="235">
        <f>VLOOKUP(K923,'исх АС БЮДЖЕТ'!$A$10:$H$568,8,0)</f>
        <v>81000</v>
      </c>
      <c r="I923" s="234">
        <v>320520500</v>
      </c>
      <c r="J923" s="370" t="str">
        <f t="shared" si="107"/>
        <v>0320520500</v>
      </c>
      <c r="K923" s="30" t="str">
        <f t="shared" si="108"/>
        <v>60910030320520500323</v>
      </c>
    </row>
    <row r="924" spans="1:11" s="30" customFormat="1" ht="25.5">
      <c r="A924" s="266" t="s">
        <v>803</v>
      </c>
      <c r="B924" s="233" t="s">
        <v>62</v>
      </c>
      <c r="C924" s="234" t="s">
        <v>14</v>
      </c>
      <c r="D924" s="234" t="s">
        <v>53</v>
      </c>
      <c r="E924" s="234" t="s">
        <v>805</v>
      </c>
      <c r="F924" s="234" t="s">
        <v>58</v>
      </c>
      <c r="G924" s="235">
        <f t="shared" ref="G924:H926" si="109">G925</f>
        <v>251000</v>
      </c>
      <c r="H924" s="235">
        <f t="shared" si="109"/>
        <v>251000</v>
      </c>
      <c r="I924" s="234">
        <v>320600000</v>
      </c>
      <c r="J924" s="370" t="str">
        <f t="shared" si="107"/>
        <v>0320600000</v>
      </c>
      <c r="K924" s="30" t="str">
        <f t="shared" si="108"/>
        <v>60910030320600000000</v>
      </c>
    </row>
    <row r="925" spans="1:11" s="30" customFormat="1" ht="38.25">
      <c r="A925" s="248" t="s">
        <v>881</v>
      </c>
      <c r="B925" s="233" t="s">
        <v>62</v>
      </c>
      <c r="C925" s="234" t="s">
        <v>14</v>
      </c>
      <c r="D925" s="234" t="s">
        <v>53</v>
      </c>
      <c r="E925" s="234" t="s">
        <v>806</v>
      </c>
      <c r="F925" s="234" t="s">
        <v>58</v>
      </c>
      <c r="G925" s="235">
        <f t="shared" si="109"/>
        <v>251000</v>
      </c>
      <c r="H925" s="235">
        <f t="shared" si="109"/>
        <v>251000</v>
      </c>
      <c r="I925" s="234">
        <v>320620520</v>
      </c>
      <c r="J925" s="370" t="str">
        <f t="shared" si="107"/>
        <v>0320620520</v>
      </c>
      <c r="K925" s="30" t="str">
        <f t="shared" si="108"/>
        <v>60910030320620520000</v>
      </c>
    </row>
    <row r="926" spans="1:11" s="30" customFormat="1" ht="25.5">
      <c r="A926" s="232" t="s">
        <v>108</v>
      </c>
      <c r="B926" s="233" t="s">
        <v>62</v>
      </c>
      <c r="C926" s="234" t="s">
        <v>14</v>
      </c>
      <c r="D926" s="234" t="s">
        <v>53</v>
      </c>
      <c r="E926" s="234" t="s">
        <v>806</v>
      </c>
      <c r="F926" s="234" t="s">
        <v>116</v>
      </c>
      <c r="G926" s="235">
        <f t="shared" si="109"/>
        <v>251000</v>
      </c>
      <c r="H926" s="235">
        <f t="shared" si="109"/>
        <v>251000</v>
      </c>
      <c r="I926" s="234">
        <v>320620520</v>
      </c>
      <c r="J926" s="370" t="str">
        <f t="shared" si="107"/>
        <v>0320620520</v>
      </c>
      <c r="K926" s="30" t="str">
        <f t="shared" si="108"/>
        <v>60910030320620520240</v>
      </c>
    </row>
    <row r="927" spans="1:11" s="83" customFormat="1" ht="25.5">
      <c r="A927" s="236" t="s">
        <v>973</v>
      </c>
      <c r="B927" s="233" t="s">
        <v>62</v>
      </c>
      <c r="C927" s="234" t="s">
        <v>14</v>
      </c>
      <c r="D927" s="234" t="s">
        <v>53</v>
      </c>
      <c r="E927" s="234" t="s">
        <v>806</v>
      </c>
      <c r="F927" s="234" t="s">
        <v>1043</v>
      </c>
      <c r="G927" s="235">
        <f>VLOOKUP(K927,'исх АС БЮДЖЕТ'!$A$10:$H$568,7,0)</f>
        <v>251000</v>
      </c>
      <c r="H927" s="235">
        <f>VLOOKUP(K927,'исх АС БЮДЖЕТ'!$A$10:$H$568,8,0)</f>
        <v>251000</v>
      </c>
      <c r="I927" s="234">
        <v>320620520</v>
      </c>
      <c r="J927" s="370" t="str">
        <f t="shared" si="107"/>
        <v>0320620520</v>
      </c>
      <c r="K927" s="30" t="str">
        <f t="shared" si="108"/>
        <v>60910030320620520244</v>
      </c>
    </row>
    <row r="928" spans="1:11" s="30" customFormat="1" ht="25.5">
      <c r="A928" s="232" t="s">
        <v>843</v>
      </c>
      <c r="B928" s="233" t="s">
        <v>62</v>
      </c>
      <c r="C928" s="234" t="s">
        <v>14</v>
      </c>
      <c r="D928" s="234" t="s">
        <v>53</v>
      </c>
      <c r="E928" s="234" t="s">
        <v>807</v>
      </c>
      <c r="F928" s="234" t="s">
        <v>58</v>
      </c>
      <c r="G928" s="235">
        <f>G929</f>
        <v>334690</v>
      </c>
      <c r="H928" s="235">
        <f>H929</f>
        <v>334690</v>
      </c>
      <c r="I928" s="234">
        <v>320800000</v>
      </c>
      <c r="J928" s="370" t="str">
        <f t="shared" si="107"/>
        <v>0320800000</v>
      </c>
      <c r="K928" s="30" t="str">
        <f t="shared" si="108"/>
        <v>60910030320800000000</v>
      </c>
    </row>
    <row r="929" spans="1:11" s="30" customFormat="1">
      <c r="A929" s="248" t="s">
        <v>882</v>
      </c>
      <c r="B929" s="233" t="s">
        <v>62</v>
      </c>
      <c r="C929" s="234" t="s">
        <v>14</v>
      </c>
      <c r="D929" s="234" t="s">
        <v>53</v>
      </c>
      <c r="E929" s="234" t="s">
        <v>808</v>
      </c>
      <c r="F929" s="234" t="s">
        <v>58</v>
      </c>
      <c r="G929" s="235">
        <f t="shared" ref="G929:H929" si="110">G930</f>
        <v>334690</v>
      </c>
      <c r="H929" s="235">
        <f t="shared" si="110"/>
        <v>334690</v>
      </c>
      <c r="I929" s="234">
        <v>320820510</v>
      </c>
      <c r="J929" s="370" t="str">
        <f t="shared" si="107"/>
        <v>0320820510</v>
      </c>
      <c r="K929" s="30" t="str">
        <f t="shared" si="108"/>
        <v>60910030320820510000</v>
      </c>
    </row>
    <row r="930" spans="1:11" s="30" customFormat="1" ht="25.5">
      <c r="A930" s="232" t="s">
        <v>108</v>
      </c>
      <c r="B930" s="233" t="s">
        <v>62</v>
      </c>
      <c r="C930" s="234" t="s">
        <v>14</v>
      </c>
      <c r="D930" s="234" t="s">
        <v>53</v>
      </c>
      <c r="E930" s="234" t="s">
        <v>808</v>
      </c>
      <c r="F930" s="234" t="s">
        <v>116</v>
      </c>
      <c r="G930" s="235">
        <f>G931</f>
        <v>334690</v>
      </c>
      <c r="H930" s="235">
        <f>H931</f>
        <v>334690</v>
      </c>
      <c r="I930" s="234">
        <v>320820510</v>
      </c>
      <c r="J930" s="370" t="str">
        <f t="shared" si="107"/>
        <v>0320820510</v>
      </c>
      <c r="K930" s="30" t="str">
        <f t="shared" si="108"/>
        <v>60910030320820510240</v>
      </c>
    </row>
    <row r="931" spans="1:11" s="83" customFormat="1" ht="25.5">
      <c r="A931" s="236" t="s">
        <v>973</v>
      </c>
      <c r="B931" s="233" t="s">
        <v>62</v>
      </c>
      <c r="C931" s="234" t="s">
        <v>14</v>
      </c>
      <c r="D931" s="234" t="s">
        <v>53</v>
      </c>
      <c r="E931" s="234" t="s">
        <v>808</v>
      </c>
      <c r="F931" s="234" t="s">
        <v>1043</v>
      </c>
      <c r="G931" s="235">
        <f>VLOOKUP(K931,'исх АС БЮДЖЕТ'!$A$10:$H$568,7,0)</f>
        <v>334690</v>
      </c>
      <c r="H931" s="235">
        <f>VLOOKUP(K931,'исх АС БЮДЖЕТ'!$A$10:$H$568,8,0)</f>
        <v>334690</v>
      </c>
      <c r="I931" s="234">
        <v>320820510</v>
      </c>
      <c r="J931" s="370" t="str">
        <f t="shared" si="107"/>
        <v>0320820510</v>
      </c>
      <c r="K931" s="30" t="str">
        <f t="shared" si="108"/>
        <v>60910030320820510244</v>
      </c>
    </row>
    <row r="932" spans="1:11" s="30" customFormat="1">
      <c r="A932" s="248" t="s">
        <v>145</v>
      </c>
      <c r="B932" s="233" t="s">
        <v>62</v>
      </c>
      <c r="C932" s="234" t="s">
        <v>14</v>
      </c>
      <c r="D932" s="234" t="s">
        <v>53</v>
      </c>
      <c r="E932" s="234" t="s">
        <v>437</v>
      </c>
      <c r="F932" s="234" t="s">
        <v>58</v>
      </c>
      <c r="G932" s="235">
        <f t="shared" ref="G932:H934" si="111">G933</f>
        <v>1739000</v>
      </c>
      <c r="H932" s="235">
        <f t="shared" si="111"/>
        <v>1739000</v>
      </c>
      <c r="I932" s="234">
        <v>330000000</v>
      </c>
      <c r="J932" s="370" t="str">
        <f t="shared" si="107"/>
        <v>0330000000</v>
      </c>
      <c r="K932" s="30" t="str">
        <f t="shared" si="108"/>
        <v>60910030330000000000</v>
      </c>
    </row>
    <row r="933" spans="1:11" s="30" customFormat="1" ht="25.5">
      <c r="A933" s="262" t="s">
        <v>439</v>
      </c>
      <c r="B933" s="233" t="s">
        <v>62</v>
      </c>
      <c r="C933" s="234" t="s">
        <v>14</v>
      </c>
      <c r="D933" s="234" t="s">
        <v>53</v>
      </c>
      <c r="E933" s="234" t="s">
        <v>438</v>
      </c>
      <c r="F933" s="234" t="s">
        <v>58</v>
      </c>
      <c r="G933" s="235">
        <f t="shared" si="111"/>
        <v>1739000</v>
      </c>
      <c r="H933" s="235">
        <f t="shared" si="111"/>
        <v>1739000</v>
      </c>
      <c r="I933" s="234">
        <v>330100000</v>
      </c>
      <c r="J933" s="370" t="str">
        <f t="shared" si="107"/>
        <v>0330100000</v>
      </c>
      <c r="K933" s="30" t="str">
        <f t="shared" si="108"/>
        <v>60910030330100000000</v>
      </c>
    </row>
    <row r="934" spans="1:11" s="30" customFormat="1" ht="25.5">
      <c r="A934" s="248" t="s">
        <v>157</v>
      </c>
      <c r="B934" s="233" t="s">
        <v>62</v>
      </c>
      <c r="C934" s="234" t="s">
        <v>14</v>
      </c>
      <c r="D934" s="234" t="s">
        <v>53</v>
      </c>
      <c r="E934" s="234" t="s">
        <v>767</v>
      </c>
      <c r="F934" s="234" t="s">
        <v>58</v>
      </c>
      <c r="G934" s="235">
        <f t="shared" si="111"/>
        <v>1739000</v>
      </c>
      <c r="H934" s="235">
        <f t="shared" si="111"/>
        <v>1739000</v>
      </c>
      <c r="I934" s="234">
        <v>330120530</v>
      </c>
      <c r="J934" s="370" t="str">
        <f t="shared" si="107"/>
        <v>0330120530</v>
      </c>
      <c r="K934" s="30" t="str">
        <f t="shared" si="108"/>
        <v>60910030330120530000</v>
      </c>
    </row>
    <row r="935" spans="1:11" s="30" customFormat="1" ht="25.5">
      <c r="A935" s="244" t="s">
        <v>110</v>
      </c>
      <c r="B935" s="233" t="s">
        <v>62</v>
      </c>
      <c r="C935" s="234" t="s">
        <v>14</v>
      </c>
      <c r="D935" s="234" t="s">
        <v>53</v>
      </c>
      <c r="E935" s="234" t="s">
        <v>767</v>
      </c>
      <c r="F935" s="234" t="s">
        <v>117</v>
      </c>
      <c r="G935" s="235">
        <f>G936</f>
        <v>1739000</v>
      </c>
      <c r="H935" s="235">
        <f>H936</f>
        <v>1739000</v>
      </c>
      <c r="I935" s="234">
        <v>330120530</v>
      </c>
      <c r="J935" s="370" t="str">
        <f t="shared" si="107"/>
        <v>0330120530</v>
      </c>
      <c r="K935" s="30" t="str">
        <f t="shared" si="108"/>
        <v>60910030330120530320</v>
      </c>
    </row>
    <row r="936" spans="1:11" s="83" customFormat="1" ht="25.5">
      <c r="A936" s="236" t="s">
        <v>981</v>
      </c>
      <c r="B936" s="233" t="s">
        <v>62</v>
      </c>
      <c r="C936" s="234" t="s">
        <v>14</v>
      </c>
      <c r="D936" s="234" t="s">
        <v>53</v>
      </c>
      <c r="E936" s="234" t="s">
        <v>767</v>
      </c>
      <c r="F936" s="234" t="s">
        <v>1065</v>
      </c>
      <c r="G936" s="235">
        <f>VLOOKUP(K936,'исх АС БЮДЖЕТ'!$A$10:$H$568,7,0)</f>
        <v>1739000</v>
      </c>
      <c r="H936" s="235">
        <f>VLOOKUP(K936,'исх АС БЮДЖЕТ'!$A$10:$H$568,8,0)</f>
        <v>1739000</v>
      </c>
      <c r="I936" s="234">
        <v>330120530</v>
      </c>
      <c r="J936" s="370" t="str">
        <f t="shared" si="107"/>
        <v>0330120530</v>
      </c>
      <c r="K936" s="30" t="str">
        <f t="shared" si="108"/>
        <v>60910030330120530323</v>
      </c>
    </row>
    <row r="937" spans="1:11" s="269" customFormat="1">
      <c r="A937" s="228" t="s">
        <v>22</v>
      </c>
      <c r="B937" s="229" t="s">
        <v>62</v>
      </c>
      <c r="C937" s="230" t="s">
        <v>14</v>
      </c>
      <c r="D937" s="230" t="s">
        <v>37</v>
      </c>
      <c r="E937" s="230" t="s">
        <v>196</v>
      </c>
      <c r="F937" s="230" t="s">
        <v>58</v>
      </c>
      <c r="G937" s="364">
        <f t="shared" ref="G937:H939" si="112">G938</f>
        <v>128007240</v>
      </c>
      <c r="H937" s="364">
        <f t="shared" si="112"/>
        <v>128079240</v>
      </c>
      <c r="I937" s="230">
        <v>0</v>
      </c>
      <c r="J937" s="370" t="str">
        <f t="shared" si="107"/>
        <v>0000000000</v>
      </c>
      <c r="K937" s="30" t="str">
        <f t="shared" si="108"/>
        <v>60910040000000000000</v>
      </c>
    </row>
    <row r="938" spans="1:11" s="269" customFormat="1">
      <c r="A938" s="248" t="s">
        <v>727</v>
      </c>
      <c r="B938" s="233" t="s">
        <v>62</v>
      </c>
      <c r="C938" s="234" t="s">
        <v>14</v>
      </c>
      <c r="D938" s="234" t="s">
        <v>37</v>
      </c>
      <c r="E938" s="234" t="s">
        <v>327</v>
      </c>
      <c r="F938" s="234" t="s">
        <v>58</v>
      </c>
      <c r="G938" s="235">
        <f t="shared" si="112"/>
        <v>128007240</v>
      </c>
      <c r="H938" s="235">
        <f t="shared" si="112"/>
        <v>128079240</v>
      </c>
      <c r="I938" s="234">
        <v>300000000</v>
      </c>
      <c r="J938" s="370" t="str">
        <f t="shared" si="107"/>
        <v>0300000000</v>
      </c>
      <c r="K938" s="30" t="str">
        <f t="shared" si="108"/>
        <v>60910040300000000000</v>
      </c>
    </row>
    <row r="939" spans="1:11" s="269" customFormat="1" ht="25.5">
      <c r="A939" s="262" t="s">
        <v>728</v>
      </c>
      <c r="B939" s="233" t="s">
        <v>62</v>
      </c>
      <c r="C939" s="234" t="s">
        <v>14</v>
      </c>
      <c r="D939" s="234" t="s">
        <v>37</v>
      </c>
      <c r="E939" s="234" t="s">
        <v>392</v>
      </c>
      <c r="F939" s="234" t="s">
        <v>58</v>
      </c>
      <c r="G939" s="235">
        <f t="shared" si="112"/>
        <v>128007240</v>
      </c>
      <c r="H939" s="235">
        <f t="shared" si="112"/>
        <v>128079240</v>
      </c>
      <c r="I939" s="234">
        <v>310000000</v>
      </c>
      <c r="J939" s="370" t="str">
        <f t="shared" si="107"/>
        <v>0310000000</v>
      </c>
      <c r="K939" s="30" t="str">
        <f t="shared" si="108"/>
        <v>60910040310000000000</v>
      </c>
    </row>
    <row r="940" spans="1:11" s="30" customFormat="1" ht="25.5">
      <c r="A940" s="263" t="s">
        <v>406</v>
      </c>
      <c r="B940" s="233" t="s">
        <v>62</v>
      </c>
      <c r="C940" s="234" t="s">
        <v>14</v>
      </c>
      <c r="D940" s="234" t="s">
        <v>37</v>
      </c>
      <c r="E940" s="234" t="s">
        <v>407</v>
      </c>
      <c r="F940" s="234" t="s">
        <v>58</v>
      </c>
      <c r="G940" s="235">
        <f>G941+G944</f>
        <v>128007240</v>
      </c>
      <c r="H940" s="235">
        <f>H941+H944</f>
        <v>128079240</v>
      </c>
      <c r="I940" s="234">
        <v>310200000</v>
      </c>
      <c r="J940" s="370" t="str">
        <f t="shared" si="107"/>
        <v>0310200000</v>
      </c>
      <c r="K940" s="30" t="str">
        <f t="shared" si="108"/>
        <v>60910040310200000000</v>
      </c>
    </row>
    <row r="941" spans="1:11" s="30" customFormat="1" ht="38.25">
      <c r="A941" s="266" t="s">
        <v>920</v>
      </c>
      <c r="B941" s="233" t="s">
        <v>62</v>
      </c>
      <c r="C941" s="234" t="s">
        <v>14</v>
      </c>
      <c r="D941" s="234" t="s">
        <v>37</v>
      </c>
      <c r="E941" s="234" t="s">
        <v>440</v>
      </c>
      <c r="F941" s="234" t="s">
        <v>58</v>
      </c>
      <c r="G941" s="235">
        <f>G942</f>
        <v>126215740</v>
      </c>
      <c r="H941" s="235">
        <f>H942</f>
        <v>126215740</v>
      </c>
      <c r="I941" s="234" t="s">
        <v>1225</v>
      </c>
      <c r="J941" s="370" t="str">
        <f t="shared" si="107"/>
        <v>03102R0840</v>
      </c>
      <c r="K941" s="30" t="str">
        <f t="shared" si="108"/>
        <v>609100403102R0840000</v>
      </c>
    </row>
    <row r="942" spans="1:11" s="30" customFormat="1">
      <c r="A942" s="244" t="s">
        <v>109</v>
      </c>
      <c r="B942" s="233" t="s">
        <v>62</v>
      </c>
      <c r="C942" s="234" t="s">
        <v>14</v>
      </c>
      <c r="D942" s="234" t="s">
        <v>37</v>
      </c>
      <c r="E942" s="234" t="s">
        <v>440</v>
      </c>
      <c r="F942" s="234" t="s">
        <v>134</v>
      </c>
      <c r="G942" s="235">
        <f>G943</f>
        <v>126215740</v>
      </c>
      <c r="H942" s="235">
        <f>H943</f>
        <v>126215740</v>
      </c>
      <c r="I942" s="234" t="s">
        <v>1225</v>
      </c>
      <c r="J942" s="370" t="str">
        <f t="shared" si="107"/>
        <v>03102R0840</v>
      </c>
      <c r="K942" s="30" t="str">
        <f t="shared" si="108"/>
        <v>609100403102R0840310</v>
      </c>
    </row>
    <row r="943" spans="1:11" s="83" customFormat="1" ht="25.5">
      <c r="A943" s="236" t="s">
        <v>978</v>
      </c>
      <c r="B943" s="233" t="s">
        <v>62</v>
      </c>
      <c r="C943" s="234" t="s">
        <v>14</v>
      </c>
      <c r="D943" s="234" t="s">
        <v>37</v>
      </c>
      <c r="E943" s="234" t="s">
        <v>440</v>
      </c>
      <c r="F943" s="234" t="s">
        <v>1064</v>
      </c>
      <c r="G943" s="235">
        <f>VLOOKUP(K943,'исх АС БЮДЖЕТ'!$A$10:$H$568,7,0)</f>
        <v>126215740</v>
      </c>
      <c r="H943" s="235">
        <f>VLOOKUP(K943,'исх АС БЮДЖЕТ'!$A$10:$H$568,8,0)</f>
        <v>126215740</v>
      </c>
      <c r="I943" s="234" t="s">
        <v>1225</v>
      </c>
      <c r="J943" s="370" t="str">
        <f t="shared" si="107"/>
        <v>03102R0840</v>
      </c>
      <c r="K943" s="30" t="str">
        <f t="shared" si="108"/>
        <v>609100403102R0840313</v>
      </c>
    </row>
    <row r="944" spans="1:11" s="30" customFormat="1" ht="38.25">
      <c r="A944" s="266" t="s">
        <v>441</v>
      </c>
      <c r="B944" s="233" t="s">
        <v>62</v>
      </c>
      <c r="C944" s="234" t="s">
        <v>14</v>
      </c>
      <c r="D944" s="234" t="s">
        <v>37</v>
      </c>
      <c r="E944" s="234" t="s">
        <v>442</v>
      </c>
      <c r="F944" s="234" t="s">
        <v>58</v>
      </c>
      <c r="G944" s="235">
        <f>G945</f>
        <v>1791500</v>
      </c>
      <c r="H944" s="235">
        <f>H945</f>
        <v>1863500</v>
      </c>
      <c r="I944" s="234">
        <v>310252700</v>
      </c>
      <c r="J944" s="370" t="str">
        <f t="shared" si="107"/>
        <v>0310252700</v>
      </c>
      <c r="K944" s="30" t="str">
        <f t="shared" si="108"/>
        <v>60910040310252700000</v>
      </c>
    </row>
    <row r="945" spans="1:11" s="30" customFormat="1">
      <c r="A945" s="244" t="s">
        <v>109</v>
      </c>
      <c r="B945" s="233" t="s">
        <v>62</v>
      </c>
      <c r="C945" s="234" t="s">
        <v>14</v>
      </c>
      <c r="D945" s="234" t="s">
        <v>37</v>
      </c>
      <c r="E945" s="234" t="s">
        <v>442</v>
      </c>
      <c r="F945" s="234" t="s">
        <v>134</v>
      </c>
      <c r="G945" s="235">
        <f>G946</f>
        <v>1791500</v>
      </c>
      <c r="H945" s="235">
        <f>H946</f>
        <v>1863500</v>
      </c>
      <c r="I945" s="234">
        <v>310252700</v>
      </c>
      <c r="J945" s="370" t="str">
        <f t="shared" si="107"/>
        <v>0310252700</v>
      </c>
      <c r="K945" s="30" t="str">
        <f t="shared" si="108"/>
        <v>60910040310252700310</v>
      </c>
    </row>
    <row r="946" spans="1:11" s="83" customFormat="1" ht="25.5">
      <c r="A946" s="236" t="s">
        <v>978</v>
      </c>
      <c r="B946" s="233" t="s">
        <v>62</v>
      </c>
      <c r="C946" s="234" t="s">
        <v>14</v>
      </c>
      <c r="D946" s="234" t="s">
        <v>37</v>
      </c>
      <c r="E946" s="234" t="s">
        <v>442</v>
      </c>
      <c r="F946" s="234" t="s">
        <v>1064</v>
      </c>
      <c r="G946" s="235">
        <f>VLOOKUP(K946,'исх АС БЮДЖЕТ'!$A$10:$H$568,7,0)</f>
        <v>1791500</v>
      </c>
      <c r="H946" s="235">
        <f>VLOOKUP(K946,'исх АС БЮДЖЕТ'!$A$10:$H$568,8,0)</f>
        <v>1863500</v>
      </c>
      <c r="I946" s="234">
        <v>310252700</v>
      </c>
      <c r="J946" s="370" t="str">
        <f t="shared" si="107"/>
        <v>0310252700</v>
      </c>
      <c r="K946" s="30" t="str">
        <f t="shared" si="108"/>
        <v>60910040310252700313</v>
      </c>
    </row>
    <row r="947" spans="1:11" s="270" customFormat="1">
      <c r="A947" s="228" t="s">
        <v>36</v>
      </c>
      <c r="B947" s="229" t="s">
        <v>62</v>
      </c>
      <c r="C947" s="230" t="s">
        <v>14</v>
      </c>
      <c r="D947" s="230" t="s">
        <v>2</v>
      </c>
      <c r="E947" s="230" t="s">
        <v>196</v>
      </c>
      <c r="F947" s="230" t="s">
        <v>58</v>
      </c>
      <c r="G947" s="364">
        <f>G948+G965</f>
        <v>63990656.350000001</v>
      </c>
      <c r="H947" s="364">
        <f>H948+H965</f>
        <v>63990656.350000001</v>
      </c>
      <c r="I947" s="230">
        <v>0</v>
      </c>
      <c r="J947" s="370" t="str">
        <f t="shared" si="107"/>
        <v>0000000000</v>
      </c>
      <c r="K947" s="30" t="str">
        <f t="shared" si="108"/>
        <v>60910060000000000000</v>
      </c>
    </row>
    <row r="948" spans="1:11" s="30" customFormat="1">
      <c r="A948" s="248" t="s">
        <v>727</v>
      </c>
      <c r="B948" s="233" t="s">
        <v>62</v>
      </c>
      <c r="C948" s="234" t="s">
        <v>14</v>
      </c>
      <c r="D948" s="234" t="s">
        <v>2</v>
      </c>
      <c r="E948" s="234" t="s">
        <v>327</v>
      </c>
      <c r="F948" s="234" t="s">
        <v>58</v>
      </c>
      <c r="G948" s="235">
        <f>G949+G954</f>
        <v>2135400</v>
      </c>
      <c r="H948" s="235">
        <f>H949+H954</f>
        <v>2135400</v>
      </c>
      <c r="I948" s="234">
        <v>300000000</v>
      </c>
      <c r="J948" s="370" t="str">
        <f t="shared" si="107"/>
        <v>0300000000</v>
      </c>
      <c r="K948" s="30" t="str">
        <f t="shared" si="108"/>
        <v>60910060300000000000</v>
      </c>
    </row>
    <row r="949" spans="1:11" s="30" customFormat="1" ht="38.25">
      <c r="A949" s="248" t="s">
        <v>842</v>
      </c>
      <c r="B949" s="233" t="s">
        <v>62</v>
      </c>
      <c r="C949" s="234" t="s">
        <v>14</v>
      </c>
      <c r="D949" s="234" t="s">
        <v>2</v>
      </c>
      <c r="E949" s="234" t="s">
        <v>328</v>
      </c>
      <c r="F949" s="234" t="s">
        <v>58</v>
      </c>
      <c r="G949" s="235">
        <f t="shared" ref="G949:H951" si="113">G950</f>
        <v>1160510</v>
      </c>
      <c r="H949" s="235">
        <f t="shared" si="113"/>
        <v>1160510</v>
      </c>
      <c r="I949" s="234">
        <v>320000000</v>
      </c>
      <c r="J949" s="370" t="str">
        <f t="shared" ref="J949:J1004" si="114">TEXT(I949,"0000000000")</f>
        <v>0320000000</v>
      </c>
      <c r="K949" s="30" t="str">
        <f t="shared" ref="K949:K1004" si="115">CONCATENATE(B949,C949,D949,J949,F949)</f>
        <v>60910060320000000000</v>
      </c>
    </row>
    <row r="950" spans="1:11" s="30" customFormat="1" ht="25.5">
      <c r="A950" s="248" t="s">
        <v>811</v>
      </c>
      <c r="B950" s="233" t="s">
        <v>62</v>
      </c>
      <c r="C950" s="234" t="s">
        <v>14</v>
      </c>
      <c r="D950" s="234" t="s">
        <v>2</v>
      </c>
      <c r="E950" s="234" t="s">
        <v>809</v>
      </c>
      <c r="F950" s="234" t="s">
        <v>58</v>
      </c>
      <c r="G950" s="235">
        <f t="shared" si="113"/>
        <v>1160510</v>
      </c>
      <c r="H950" s="235">
        <f t="shared" si="113"/>
        <v>1160510</v>
      </c>
      <c r="I950" s="234">
        <v>320700000</v>
      </c>
      <c r="J950" s="370" t="str">
        <f t="shared" si="114"/>
        <v>0320700000</v>
      </c>
      <c r="K950" s="30" t="str">
        <f t="shared" si="115"/>
        <v>60910060320700000000</v>
      </c>
    </row>
    <row r="951" spans="1:11" s="30" customFormat="1">
      <c r="A951" s="248" t="s">
        <v>595</v>
      </c>
      <c r="B951" s="233" t="s">
        <v>62</v>
      </c>
      <c r="C951" s="234" t="s">
        <v>14</v>
      </c>
      <c r="D951" s="234" t="s">
        <v>2</v>
      </c>
      <c r="E951" s="234" t="s">
        <v>810</v>
      </c>
      <c r="F951" s="234" t="s">
        <v>58</v>
      </c>
      <c r="G951" s="235">
        <f t="shared" si="113"/>
        <v>1160510</v>
      </c>
      <c r="H951" s="235">
        <f t="shared" si="113"/>
        <v>1160510</v>
      </c>
      <c r="I951" s="234">
        <v>320760040</v>
      </c>
      <c r="J951" s="370" t="str">
        <f t="shared" si="114"/>
        <v>0320760040</v>
      </c>
      <c r="K951" s="30" t="str">
        <f t="shared" si="115"/>
        <v>60910060320760040000</v>
      </c>
    </row>
    <row r="952" spans="1:11" s="30" customFormat="1" ht="25.5">
      <c r="A952" s="248" t="s">
        <v>111</v>
      </c>
      <c r="B952" s="233" t="s">
        <v>62</v>
      </c>
      <c r="C952" s="234" t="s">
        <v>14</v>
      </c>
      <c r="D952" s="234" t="s">
        <v>2</v>
      </c>
      <c r="E952" s="234" t="s">
        <v>810</v>
      </c>
      <c r="F952" s="234" t="s">
        <v>104</v>
      </c>
      <c r="G952" s="235">
        <f>G953</f>
        <v>1160510</v>
      </c>
      <c r="H952" s="235">
        <f>H953</f>
        <v>1160510</v>
      </c>
      <c r="I952" s="234">
        <v>320760040</v>
      </c>
      <c r="J952" s="370" t="str">
        <f t="shared" si="114"/>
        <v>0320760040</v>
      </c>
      <c r="K952" s="30" t="str">
        <f t="shared" si="115"/>
        <v>60910060320760040630</v>
      </c>
    </row>
    <row r="953" spans="1:11" s="83" customFormat="1" ht="63.75">
      <c r="A953" s="236" t="s">
        <v>1048</v>
      </c>
      <c r="B953" s="233" t="s">
        <v>62</v>
      </c>
      <c r="C953" s="234" t="s">
        <v>14</v>
      </c>
      <c r="D953" s="234" t="s">
        <v>2</v>
      </c>
      <c r="E953" s="234" t="s">
        <v>810</v>
      </c>
      <c r="F953" s="234" t="s">
        <v>1055</v>
      </c>
      <c r="G953" s="235">
        <f>VLOOKUP(K953,'исх АС БЮДЖЕТ'!$A$10:$H$568,7,0)</f>
        <v>1160510</v>
      </c>
      <c r="H953" s="235">
        <f>VLOOKUP(K953,'исх АС БЮДЖЕТ'!$A$10:$H$568,8,0)</f>
        <v>1160510</v>
      </c>
      <c r="I953" s="234">
        <v>320760040</v>
      </c>
      <c r="J953" s="370" t="str">
        <f t="shared" si="114"/>
        <v>0320760040</v>
      </c>
      <c r="K953" s="30" t="str">
        <f t="shared" si="115"/>
        <v>60910060320760040632</v>
      </c>
    </row>
    <row r="954" spans="1:11" s="30" customFormat="1">
      <c r="A954" s="248" t="s">
        <v>145</v>
      </c>
      <c r="B954" s="233" t="s">
        <v>62</v>
      </c>
      <c r="C954" s="234" t="s">
        <v>14</v>
      </c>
      <c r="D954" s="234" t="s">
        <v>2</v>
      </c>
      <c r="E954" s="234" t="s">
        <v>437</v>
      </c>
      <c r="F954" s="234" t="s">
        <v>58</v>
      </c>
      <c r="G954" s="235">
        <f>G955</f>
        <v>974890</v>
      </c>
      <c r="H954" s="235">
        <f>H955</f>
        <v>974890</v>
      </c>
      <c r="I954" s="234">
        <v>330000000</v>
      </c>
      <c r="J954" s="370" t="str">
        <f t="shared" si="114"/>
        <v>0330000000</v>
      </c>
      <c r="K954" s="30" t="str">
        <f t="shared" si="115"/>
        <v>60910060330000000000</v>
      </c>
    </row>
    <row r="955" spans="1:11" s="30" customFormat="1" ht="25.5">
      <c r="A955" s="248" t="s">
        <v>439</v>
      </c>
      <c r="B955" s="233" t="s">
        <v>62</v>
      </c>
      <c r="C955" s="234" t="s">
        <v>14</v>
      </c>
      <c r="D955" s="234" t="s">
        <v>2</v>
      </c>
      <c r="E955" s="234" t="s">
        <v>438</v>
      </c>
      <c r="F955" s="234" t="s">
        <v>58</v>
      </c>
      <c r="G955" s="235">
        <f>G956+G962</f>
        <v>974890</v>
      </c>
      <c r="H955" s="235">
        <f>H956+H962</f>
        <v>974890</v>
      </c>
      <c r="I955" s="234">
        <v>330100000</v>
      </c>
      <c r="J955" s="370" t="str">
        <f t="shared" si="114"/>
        <v>0330100000</v>
      </c>
      <c r="K955" s="30" t="str">
        <f t="shared" si="115"/>
        <v>60910060330100000000</v>
      </c>
    </row>
    <row r="956" spans="1:11" s="30" customFormat="1" ht="25.5">
      <c r="A956" s="248" t="s">
        <v>157</v>
      </c>
      <c r="B956" s="233" t="s">
        <v>62</v>
      </c>
      <c r="C956" s="234" t="s">
        <v>14</v>
      </c>
      <c r="D956" s="234" t="s">
        <v>2</v>
      </c>
      <c r="E956" s="234" t="s">
        <v>767</v>
      </c>
      <c r="F956" s="234" t="s">
        <v>58</v>
      </c>
      <c r="G956" s="235">
        <f>G957+G959</f>
        <v>98960</v>
      </c>
      <c r="H956" s="235">
        <f>H957+H959</f>
        <v>98960</v>
      </c>
      <c r="I956" s="234">
        <v>330120530</v>
      </c>
      <c r="J956" s="370" t="str">
        <f t="shared" si="114"/>
        <v>0330120530</v>
      </c>
      <c r="K956" s="30" t="str">
        <f t="shared" si="115"/>
        <v>60910060330120530000</v>
      </c>
    </row>
    <row r="957" spans="1:11" s="30" customFormat="1" ht="25.5">
      <c r="A957" s="232" t="s">
        <v>108</v>
      </c>
      <c r="B957" s="233" t="s">
        <v>62</v>
      </c>
      <c r="C957" s="234" t="s">
        <v>14</v>
      </c>
      <c r="D957" s="234" t="s">
        <v>2</v>
      </c>
      <c r="E957" s="234" t="s">
        <v>767</v>
      </c>
      <c r="F957" s="234" t="s">
        <v>116</v>
      </c>
      <c r="G957" s="235">
        <f>G958</f>
        <v>71690</v>
      </c>
      <c r="H957" s="235">
        <f>H958</f>
        <v>71690</v>
      </c>
      <c r="I957" s="234">
        <v>330120530</v>
      </c>
      <c r="J957" s="370" t="str">
        <f t="shared" si="114"/>
        <v>0330120530</v>
      </c>
      <c r="K957" s="30" t="str">
        <f t="shared" si="115"/>
        <v>60910060330120530240</v>
      </c>
    </row>
    <row r="958" spans="1:11" s="83" customFormat="1" ht="25.5">
      <c r="A958" s="236" t="s">
        <v>973</v>
      </c>
      <c r="B958" s="233" t="s">
        <v>62</v>
      </c>
      <c r="C958" s="234" t="s">
        <v>14</v>
      </c>
      <c r="D958" s="234" t="s">
        <v>2</v>
      </c>
      <c r="E958" s="234" t="s">
        <v>767</v>
      </c>
      <c r="F958" s="234" t="s">
        <v>1043</v>
      </c>
      <c r="G958" s="235">
        <f>VLOOKUP(K958,'исх АС БЮДЖЕТ'!$A$10:$H$568,7,0)</f>
        <v>71690</v>
      </c>
      <c r="H958" s="235">
        <f>VLOOKUP(K958,'исх АС БЮДЖЕТ'!$A$10:$H$568,8,0)</f>
        <v>71690</v>
      </c>
      <c r="I958" s="234">
        <v>330120530</v>
      </c>
      <c r="J958" s="370" t="str">
        <f t="shared" si="114"/>
        <v>0330120530</v>
      </c>
      <c r="K958" s="30" t="str">
        <f t="shared" si="115"/>
        <v>60910060330120530244</v>
      </c>
    </row>
    <row r="959" spans="1:11" s="30" customFormat="1">
      <c r="A959" s="232" t="s">
        <v>97</v>
      </c>
      <c r="B959" s="233" t="s">
        <v>62</v>
      </c>
      <c r="C959" s="234" t="s">
        <v>14</v>
      </c>
      <c r="D959" s="234" t="s">
        <v>2</v>
      </c>
      <c r="E959" s="234" t="s">
        <v>767</v>
      </c>
      <c r="F959" s="234" t="s">
        <v>118</v>
      </c>
      <c r="G959" s="235">
        <f>SUM(G960:G961)</f>
        <v>27270</v>
      </c>
      <c r="H959" s="235">
        <f>SUM(H960:H961)</f>
        <v>27270</v>
      </c>
      <c r="I959" s="234">
        <v>330120530</v>
      </c>
      <c r="J959" s="370" t="str">
        <f t="shared" si="114"/>
        <v>0330120530</v>
      </c>
      <c r="K959" s="30" t="str">
        <f t="shared" si="115"/>
        <v>60910060330120530850</v>
      </c>
    </row>
    <row r="960" spans="1:11" s="83" customFormat="1">
      <c r="A960" s="236" t="s">
        <v>1036</v>
      </c>
      <c r="B960" s="233" t="s">
        <v>62</v>
      </c>
      <c r="C960" s="234" t="s">
        <v>14</v>
      </c>
      <c r="D960" s="234" t="s">
        <v>2</v>
      </c>
      <c r="E960" s="234" t="s">
        <v>767</v>
      </c>
      <c r="F960" s="234" t="s">
        <v>1061</v>
      </c>
      <c r="G960" s="235">
        <f>VLOOKUP(K960,'исх АС БЮДЖЕТ'!$A$10:$H$568,7,0)</f>
        <v>25100</v>
      </c>
      <c r="H960" s="235">
        <f>VLOOKUP(K960,'исх АС БЮДЖЕТ'!$A$10:$H$568,8,0)</f>
        <v>25100</v>
      </c>
      <c r="I960" s="234">
        <v>330120530</v>
      </c>
      <c r="J960" s="370" t="str">
        <f t="shared" si="114"/>
        <v>0330120530</v>
      </c>
      <c r="K960" s="30" t="str">
        <f t="shared" si="115"/>
        <v>60910060330120530851</v>
      </c>
    </row>
    <row r="961" spans="1:11" s="83" customFormat="1">
      <c r="A961" s="236" t="s">
        <v>1037</v>
      </c>
      <c r="B961" s="233" t="s">
        <v>62</v>
      </c>
      <c r="C961" s="234" t="s">
        <v>14</v>
      </c>
      <c r="D961" s="234" t="s">
        <v>2</v>
      </c>
      <c r="E961" s="234" t="s">
        <v>767</v>
      </c>
      <c r="F961" s="234" t="s">
        <v>1062</v>
      </c>
      <c r="G961" s="235">
        <f>VLOOKUP(K961,'исх АС БЮДЖЕТ'!$A$10:$H$568,7,0)</f>
        <v>2170</v>
      </c>
      <c r="H961" s="235">
        <f>VLOOKUP(K961,'исх АС БЮДЖЕТ'!$A$10:$H$568,8,0)</f>
        <v>2170</v>
      </c>
      <c r="I961" s="234">
        <v>330120530</v>
      </c>
      <c r="J961" s="370" t="str">
        <f t="shared" si="114"/>
        <v>0330120530</v>
      </c>
      <c r="K961" s="30" t="str">
        <f t="shared" si="115"/>
        <v>60910060330120530852</v>
      </c>
    </row>
    <row r="962" spans="1:11" s="30" customFormat="1" ht="25.5">
      <c r="A962" s="248" t="s">
        <v>706</v>
      </c>
      <c r="B962" s="233" t="s">
        <v>62</v>
      </c>
      <c r="C962" s="234" t="s">
        <v>14</v>
      </c>
      <c r="D962" s="234" t="s">
        <v>2</v>
      </c>
      <c r="E962" s="234" t="s">
        <v>766</v>
      </c>
      <c r="F962" s="234" t="s">
        <v>58</v>
      </c>
      <c r="G962" s="235">
        <f>G963</f>
        <v>875930</v>
      </c>
      <c r="H962" s="235">
        <f>H963</f>
        <v>875930</v>
      </c>
      <c r="I962" s="234" t="s">
        <v>1223</v>
      </c>
      <c r="J962" s="370" t="str">
        <f t="shared" si="114"/>
        <v>03301L0270</v>
      </c>
      <c r="K962" s="30" t="str">
        <f t="shared" si="115"/>
        <v>609100603301L0270000</v>
      </c>
    </row>
    <row r="963" spans="1:11" s="30" customFormat="1" ht="25.5">
      <c r="A963" s="248" t="s">
        <v>108</v>
      </c>
      <c r="B963" s="233" t="s">
        <v>62</v>
      </c>
      <c r="C963" s="234" t="s">
        <v>14</v>
      </c>
      <c r="D963" s="234" t="s">
        <v>2</v>
      </c>
      <c r="E963" s="234" t="s">
        <v>766</v>
      </c>
      <c r="F963" s="234" t="s">
        <v>116</v>
      </c>
      <c r="G963" s="235">
        <f>G964</f>
        <v>875930</v>
      </c>
      <c r="H963" s="235">
        <f>H964</f>
        <v>875930</v>
      </c>
      <c r="I963" s="234" t="s">
        <v>1223</v>
      </c>
      <c r="J963" s="370" t="str">
        <f t="shared" si="114"/>
        <v>03301L0270</v>
      </c>
      <c r="K963" s="30" t="str">
        <f t="shared" si="115"/>
        <v>609100603301L0270240</v>
      </c>
    </row>
    <row r="964" spans="1:11" s="83" customFormat="1" ht="25.5">
      <c r="A964" s="236" t="s">
        <v>973</v>
      </c>
      <c r="B964" s="233" t="s">
        <v>62</v>
      </c>
      <c r="C964" s="234" t="s">
        <v>14</v>
      </c>
      <c r="D964" s="234" t="s">
        <v>2</v>
      </c>
      <c r="E964" s="234" t="s">
        <v>766</v>
      </c>
      <c r="F964" s="234" t="s">
        <v>1043</v>
      </c>
      <c r="G964" s="235">
        <f>VLOOKUP(K964,'исх АС БЮДЖЕТ'!$A$10:$H$568,7,0)</f>
        <v>875930</v>
      </c>
      <c r="H964" s="235">
        <f>VLOOKUP(K964,'исх АС БЮДЖЕТ'!$A$10:$H$568,8,0)</f>
        <v>875930</v>
      </c>
      <c r="I964" s="234" t="s">
        <v>1223</v>
      </c>
      <c r="J964" s="370" t="str">
        <f t="shared" si="114"/>
        <v>03301L0270</v>
      </c>
      <c r="K964" s="30" t="str">
        <f t="shared" si="115"/>
        <v>609100603301L0270244</v>
      </c>
    </row>
    <row r="965" spans="1:11" s="30" customFormat="1" ht="25.5">
      <c r="A965" s="262" t="s">
        <v>186</v>
      </c>
      <c r="B965" s="233" t="s">
        <v>62</v>
      </c>
      <c r="C965" s="234" t="s">
        <v>14</v>
      </c>
      <c r="D965" s="234" t="s">
        <v>2</v>
      </c>
      <c r="E965" s="233" t="s">
        <v>443</v>
      </c>
      <c r="F965" s="234" t="s">
        <v>58</v>
      </c>
      <c r="G965" s="235">
        <f>G966</f>
        <v>61855256.350000001</v>
      </c>
      <c r="H965" s="235">
        <f>H966</f>
        <v>61855256.350000001</v>
      </c>
      <c r="I965" s="233">
        <v>7700000000</v>
      </c>
      <c r="J965" s="370" t="str">
        <f t="shared" si="114"/>
        <v>7700000000</v>
      </c>
      <c r="K965" s="30" t="str">
        <f t="shared" si="115"/>
        <v>60910067700000000000</v>
      </c>
    </row>
    <row r="966" spans="1:11" s="30" customFormat="1" ht="25.5">
      <c r="A966" s="262" t="s">
        <v>189</v>
      </c>
      <c r="B966" s="233" t="s">
        <v>62</v>
      </c>
      <c r="C966" s="234" t="s">
        <v>14</v>
      </c>
      <c r="D966" s="234" t="s">
        <v>2</v>
      </c>
      <c r="E966" s="233" t="s">
        <v>444</v>
      </c>
      <c r="F966" s="234" t="s">
        <v>58</v>
      </c>
      <c r="G966" s="235">
        <f>G967+G975+G979+G984</f>
        <v>61855256.350000001</v>
      </c>
      <c r="H966" s="235">
        <f>H967+H975+H979+H984</f>
        <v>61855256.350000001</v>
      </c>
      <c r="I966" s="233">
        <v>7710000000</v>
      </c>
      <c r="J966" s="370" t="str">
        <f t="shared" si="114"/>
        <v>7710000000</v>
      </c>
      <c r="K966" s="30" t="str">
        <f t="shared" si="115"/>
        <v>60910067710000000000</v>
      </c>
    </row>
    <row r="967" spans="1:11" s="30" customFormat="1" ht="25.5">
      <c r="A967" s="271" t="s">
        <v>114</v>
      </c>
      <c r="B967" s="233" t="s">
        <v>62</v>
      </c>
      <c r="C967" s="234" t="s">
        <v>14</v>
      </c>
      <c r="D967" s="234" t="s">
        <v>2</v>
      </c>
      <c r="E967" s="272" t="s">
        <v>445</v>
      </c>
      <c r="F967" s="234" t="s">
        <v>58</v>
      </c>
      <c r="G967" s="235">
        <f>G968+G971+G973</f>
        <v>856030</v>
      </c>
      <c r="H967" s="235">
        <f>H968+H971+H973</f>
        <v>856030</v>
      </c>
      <c r="I967" s="272">
        <v>7710010010</v>
      </c>
      <c r="J967" s="370" t="str">
        <f t="shared" si="114"/>
        <v>7710010010</v>
      </c>
      <c r="K967" s="30" t="str">
        <f t="shared" si="115"/>
        <v>60910067710010010000</v>
      </c>
    </row>
    <row r="968" spans="1:11" s="30" customFormat="1">
      <c r="A968" s="232" t="s">
        <v>107</v>
      </c>
      <c r="B968" s="233" t="s">
        <v>62</v>
      </c>
      <c r="C968" s="234" t="s">
        <v>14</v>
      </c>
      <c r="D968" s="234" t="s">
        <v>2</v>
      </c>
      <c r="E968" s="272" t="s">
        <v>445</v>
      </c>
      <c r="F968" s="234" t="s">
        <v>115</v>
      </c>
      <c r="G968" s="235">
        <f>SUM(G969:G970)</f>
        <v>132960</v>
      </c>
      <c r="H968" s="235">
        <f>SUM(H969:H970)</f>
        <v>132960</v>
      </c>
      <c r="I968" s="272">
        <v>7710010010</v>
      </c>
      <c r="J968" s="370" t="str">
        <f t="shared" si="114"/>
        <v>7710010010</v>
      </c>
      <c r="K968" s="30" t="str">
        <f t="shared" si="115"/>
        <v>60910067710010010120</v>
      </c>
    </row>
    <row r="969" spans="1:11" s="30" customFormat="1" ht="25.5">
      <c r="A969" s="232" t="s">
        <v>937</v>
      </c>
      <c r="B969" s="233" t="s">
        <v>62</v>
      </c>
      <c r="C969" s="234" t="s">
        <v>14</v>
      </c>
      <c r="D969" s="234" t="s">
        <v>2</v>
      </c>
      <c r="E969" s="272" t="s">
        <v>445</v>
      </c>
      <c r="F969" s="234" t="s">
        <v>1059</v>
      </c>
      <c r="G969" s="235">
        <f>VLOOKUP(K969,'исх АС БЮДЖЕТ'!$A$10:$H$568,7,0)</f>
        <v>102120</v>
      </c>
      <c r="H969" s="235">
        <f>VLOOKUP(K969,'исх АС БЮДЖЕТ'!$A$10:$H$568,8,0)</f>
        <v>102120</v>
      </c>
      <c r="I969" s="272">
        <v>7710010010</v>
      </c>
      <c r="J969" s="370" t="str">
        <f t="shared" si="114"/>
        <v>7710010010</v>
      </c>
      <c r="K969" s="30" t="str">
        <f t="shared" si="115"/>
        <v>60910067710010010122</v>
      </c>
    </row>
    <row r="970" spans="1:11" s="30" customFormat="1" ht="38.25">
      <c r="A970" s="232" t="s">
        <v>939</v>
      </c>
      <c r="B970" s="233" t="s">
        <v>62</v>
      </c>
      <c r="C970" s="234" t="s">
        <v>14</v>
      </c>
      <c r="D970" s="234" t="s">
        <v>2</v>
      </c>
      <c r="E970" s="272" t="s">
        <v>445</v>
      </c>
      <c r="F970" s="234" t="s">
        <v>1060</v>
      </c>
      <c r="G970" s="235">
        <f>VLOOKUP(K970,'исх АС БЮДЖЕТ'!$A$10:$H$568,7,0)</f>
        <v>30840</v>
      </c>
      <c r="H970" s="235">
        <f>VLOOKUP(K970,'исх АС БЮДЖЕТ'!$A$10:$H$568,8,0)</f>
        <v>30840</v>
      </c>
      <c r="I970" s="272">
        <v>7710010010</v>
      </c>
      <c r="J970" s="370" t="str">
        <f t="shared" si="114"/>
        <v>7710010010</v>
      </c>
      <c r="K970" s="30" t="str">
        <f t="shared" si="115"/>
        <v>60910067710010010129</v>
      </c>
    </row>
    <row r="971" spans="1:11" s="30" customFormat="1" ht="25.5">
      <c r="A971" s="232" t="s">
        <v>108</v>
      </c>
      <c r="B971" s="233" t="s">
        <v>62</v>
      </c>
      <c r="C971" s="234" t="s">
        <v>14</v>
      </c>
      <c r="D971" s="234" t="s">
        <v>2</v>
      </c>
      <c r="E971" s="272" t="s">
        <v>445</v>
      </c>
      <c r="F971" s="234" t="s">
        <v>116</v>
      </c>
      <c r="G971" s="235">
        <f>G972</f>
        <v>713070</v>
      </c>
      <c r="H971" s="235">
        <f>H972</f>
        <v>713070</v>
      </c>
      <c r="I971" s="272">
        <v>7710010010</v>
      </c>
      <c r="J971" s="370" t="str">
        <f t="shared" si="114"/>
        <v>7710010010</v>
      </c>
      <c r="K971" s="30" t="str">
        <f t="shared" si="115"/>
        <v>60910067710010010240</v>
      </c>
    </row>
    <row r="972" spans="1:11" s="83" customFormat="1" ht="25.5">
      <c r="A972" s="236" t="s">
        <v>973</v>
      </c>
      <c r="B972" s="233" t="s">
        <v>62</v>
      </c>
      <c r="C972" s="234" t="s">
        <v>14</v>
      </c>
      <c r="D972" s="234" t="s">
        <v>2</v>
      </c>
      <c r="E972" s="272" t="s">
        <v>445</v>
      </c>
      <c r="F972" s="234" t="s">
        <v>1043</v>
      </c>
      <c r="G972" s="235">
        <f>VLOOKUP(K972,'исх АС БЮДЖЕТ'!$A$10:$H$568,7,0)</f>
        <v>713070</v>
      </c>
      <c r="H972" s="235">
        <f>VLOOKUP(K972,'исх АС БЮДЖЕТ'!$A$10:$H$568,8,0)</f>
        <v>713070</v>
      </c>
      <c r="I972" s="272">
        <v>7710010010</v>
      </c>
      <c r="J972" s="370" t="str">
        <f t="shared" si="114"/>
        <v>7710010010</v>
      </c>
      <c r="K972" s="30" t="str">
        <f t="shared" si="115"/>
        <v>60910067710010010244</v>
      </c>
    </row>
    <row r="973" spans="1:11" s="30" customFormat="1">
      <c r="A973" s="232" t="s">
        <v>97</v>
      </c>
      <c r="B973" s="233" t="s">
        <v>62</v>
      </c>
      <c r="C973" s="234" t="s">
        <v>14</v>
      </c>
      <c r="D973" s="234" t="s">
        <v>2</v>
      </c>
      <c r="E973" s="272" t="s">
        <v>445</v>
      </c>
      <c r="F973" s="234" t="s">
        <v>118</v>
      </c>
      <c r="G973" s="235">
        <f>G974</f>
        <v>10000</v>
      </c>
      <c r="H973" s="235">
        <f>H974</f>
        <v>10000</v>
      </c>
      <c r="I973" s="272">
        <v>7710010010</v>
      </c>
      <c r="J973" s="370" t="str">
        <f t="shared" si="114"/>
        <v>7710010010</v>
      </c>
      <c r="K973" s="30" t="str">
        <f t="shared" si="115"/>
        <v>60910067710010010850</v>
      </c>
    </row>
    <row r="974" spans="1:11" s="30" customFormat="1">
      <c r="A974" s="232" t="s">
        <v>1037</v>
      </c>
      <c r="B974" s="233" t="s">
        <v>62</v>
      </c>
      <c r="C974" s="234" t="s">
        <v>14</v>
      </c>
      <c r="D974" s="234" t="s">
        <v>2</v>
      </c>
      <c r="E974" s="272" t="s">
        <v>445</v>
      </c>
      <c r="F974" s="234" t="s">
        <v>1062</v>
      </c>
      <c r="G974" s="235">
        <f>VLOOKUP(K974,'исх АС БЮДЖЕТ'!$A$10:$H$568,7,0)</f>
        <v>10000</v>
      </c>
      <c r="H974" s="235">
        <f>VLOOKUP(K974,'исх АС БЮДЖЕТ'!$A$10:$H$568,8,0)</f>
        <v>10000</v>
      </c>
      <c r="I974" s="272">
        <v>7710010010</v>
      </c>
      <c r="J974" s="370" t="str">
        <f t="shared" si="114"/>
        <v>7710010010</v>
      </c>
      <c r="K974" s="30" t="str">
        <f t="shared" si="115"/>
        <v>60910067710010010852</v>
      </c>
    </row>
    <row r="975" spans="1:11" s="30" customFormat="1" ht="25.5">
      <c r="A975" s="271" t="s">
        <v>126</v>
      </c>
      <c r="B975" s="233" t="s">
        <v>62</v>
      </c>
      <c r="C975" s="234" t="s">
        <v>14</v>
      </c>
      <c r="D975" s="234" t="s">
        <v>2</v>
      </c>
      <c r="E975" s="272" t="s">
        <v>446</v>
      </c>
      <c r="F975" s="234" t="s">
        <v>58</v>
      </c>
      <c r="G975" s="235">
        <f>G976</f>
        <v>6126950</v>
      </c>
      <c r="H975" s="235">
        <f>H976</f>
        <v>6126950</v>
      </c>
      <c r="I975" s="272">
        <v>7710010020</v>
      </c>
      <c r="J975" s="370" t="str">
        <f t="shared" si="114"/>
        <v>7710010020</v>
      </c>
      <c r="K975" s="30" t="str">
        <f t="shared" si="115"/>
        <v>60910067710010020000</v>
      </c>
    </row>
    <row r="976" spans="1:11" s="30" customFormat="1">
      <c r="A976" s="232" t="s">
        <v>107</v>
      </c>
      <c r="B976" s="233" t="s">
        <v>62</v>
      </c>
      <c r="C976" s="234" t="s">
        <v>14</v>
      </c>
      <c r="D976" s="234" t="s">
        <v>2</v>
      </c>
      <c r="E976" s="272" t="s">
        <v>446</v>
      </c>
      <c r="F976" s="234" t="s">
        <v>115</v>
      </c>
      <c r="G976" s="235">
        <f>SUM(G977:G978)</f>
        <v>6126950</v>
      </c>
      <c r="H976" s="235">
        <f>SUM(H977:H978)</f>
        <v>6126950</v>
      </c>
      <c r="I976" s="272">
        <v>7710010020</v>
      </c>
      <c r="J976" s="370" t="str">
        <f t="shared" si="114"/>
        <v>7710010020</v>
      </c>
      <c r="K976" s="30" t="str">
        <f t="shared" si="115"/>
        <v>60910067710010020120</v>
      </c>
    </row>
    <row r="977" spans="1:11" s="30" customFormat="1">
      <c r="A977" s="232" t="s">
        <v>936</v>
      </c>
      <c r="B977" s="233" t="s">
        <v>62</v>
      </c>
      <c r="C977" s="234" t="s">
        <v>14</v>
      </c>
      <c r="D977" s="234" t="s">
        <v>2</v>
      </c>
      <c r="E977" s="272" t="s">
        <v>446</v>
      </c>
      <c r="F977" s="234" t="s">
        <v>1063</v>
      </c>
      <c r="G977" s="235">
        <f>VLOOKUP(K977,'исх АС БЮДЖЕТ'!$A$10:$H$568,7,0)</f>
        <v>4705800</v>
      </c>
      <c r="H977" s="235">
        <f>VLOOKUP(K977,'исх АС БЮДЖЕТ'!$A$10:$H$568,8,0)</f>
        <v>4705800</v>
      </c>
      <c r="I977" s="272">
        <v>7710010020</v>
      </c>
      <c r="J977" s="370" t="str">
        <f t="shared" si="114"/>
        <v>7710010020</v>
      </c>
      <c r="K977" s="30" t="str">
        <f t="shared" si="115"/>
        <v>60910067710010020121</v>
      </c>
    </row>
    <row r="978" spans="1:11" s="30" customFormat="1" ht="38.25">
      <c r="A978" s="232" t="s">
        <v>939</v>
      </c>
      <c r="B978" s="233" t="s">
        <v>62</v>
      </c>
      <c r="C978" s="234" t="s">
        <v>14</v>
      </c>
      <c r="D978" s="234" t="s">
        <v>2</v>
      </c>
      <c r="E978" s="272" t="s">
        <v>446</v>
      </c>
      <c r="F978" s="234" t="s">
        <v>1060</v>
      </c>
      <c r="G978" s="235">
        <f>VLOOKUP(K978,'исх АС БЮДЖЕТ'!$A$10:$H$568,7,0)</f>
        <v>1421150</v>
      </c>
      <c r="H978" s="235">
        <f>VLOOKUP(K978,'исх АС БЮДЖЕТ'!$A$10:$H$568,8,0)</f>
        <v>1421150</v>
      </c>
      <c r="I978" s="272">
        <v>7710010020</v>
      </c>
      <c r="J978" s="370" t="str">
        <f t="shared" si="114"/>
        <v>7710010020</v>
      </c>
      <c r="K978" s="30" t="str">
        <f t="shared" si="115"/>
        <v>60910067710010020129</v>
      </c>
    </row>
    <row r="979" spans="1:11" s="30" customFormat="1" ht="38.25">
      <c r="A979" s="271" t="s">
        <v>599</v>
      </c>
      <c r="B979" s="233" t="s">
        <v>62</v>
      </c>
      <c r="C979" s="234" t="s">
        <v>14</v>
      </c>
      <c r="D979" s="234" t="s">
        <v>2</v>
      </c>
      <c r="E979" s="272" t="s">
        <v>447</v>
      </c>
      <c r="F979" s="234" t="s">
        <v>58</v>
      </c>
      <c r="G979" s="235">
        <f>G980</f>
        <v>1452286.35</v>
      </c>
      <c r="H979" s="235">
        <f>H980</f>
        <v>1452286.35</v>
      </c>
      <c r="I979" s="272">
        <v>7710076100</v>
      </c>
      <c r="J979" s="370" t="str">
        <f t="shared" si="114"/>
        <v>7710076100</v>
      </c>
      <c r="K979" s="30" t="str">
        <f t="shared" si="115"/>
        <v>60910067710076100000</v>
      </c>
    </row>
    <row r="980" spans="1:11" s="30" customFormat="1">
      <c r="A980" s="232" t="s">
        <v>107</v>
      </c>
      <c r="B980" s="233" t="s">
        <v>62</v>
      </c>
      <c r="C980" s="234" t="s">
        <v>14</v>
      </c>
      <c r="D980" s="234" t="s">
        <v>2</v>
      </c>
      <c r="E980" s="272" t="s">
        <v>447</v>
      </c>
      <c r="F980" s="234" t="s">
        <v>115</v>
      </c>
      <c r="G980" s="235">
        <f>SUM(G981:G983)</f>
        <v>1452286.35</v>
      </c>
      <c r="H980" s="235">
        <f>SUM(H981:H983)</f>
        <v>1452286.35</v>
      </c>
      <c r="I980" s="272">
        <v>7710076100</v>
      </c>
      <c r="J980" s="370" t="str">
        <f t="shared" si="114"/>
        <v>7710076100</v>
      </c>
      <c r="K980" s="30" t="str">
        <f t="shared" si="115"/>
        <v>60910067710076100120</v>
      </c>
    </row>
    <row r="981" spans="1:11" s="30" customFormat="1">
      <c r="A981" s="232" t="s">
        <v>936</v>
      </c>
      <c r="B981" s="233" t="s">
        <v>62</v>
      </c>
      <c r="C981" s="234" t="s">
        <v>14</v>
      </c>
      <c r="D981" s="234" t="s">
        <v>2</v>
      </c>
      <c r="E981" s="272" t="s">
        <v>447</v>
      </c>
      <c r="F981" s="234" t="s">
        <v>1063</v>
      </c>
      <c r="G981" s="235">
        <f>VLOOKUP(K981,'исх АС БЮДЖЕТ'!$A$10:$H$568,7,0)</f>
        <v>1077130</v>
      </c>
      <c r="H981" s="235">
        <f>VLOOKUP(K981,'исх АС БЮДЖЕТ'!$A$10:$H$568,8,0)</f>
        <v>1077130</v>
      </c>
      <c r="I981" s="272">
        <v>7710076100</v>
      </c>
      <c r="J981" s="370" t="str">
        <f t="shared" si="114"/>
        <v>7710076100</v>
      </c>
      <c r="K981" s="30" t="str">
        <f t="shared" si="115"/>
        <v>60910067710076100121</v>
      </c>
    </row>
    <row r="982" spans="1:11" s="30" customFormat="1" ht="25.5">
      <c r="A982" s="232" t="s">
        <v>937</v>
      </c>
      <c r="B982" s="233" t="s">
        <v>62</v>
      </c>
      <c r="C982" s="234" t="s">
        <v>14</v>
      </c>
      <c r="D982" s="234" t="s">
        <v>2</v>
      </c>
      <c r="E982" s="272" t="s">
        <v>447</v>
      </c>
      <c r="F982" s="234" t="s">
        <v>1059</v>
      </c>
      <c r="G982" s="235">
        <f>VLOOKUP(K982,'исх АС БЮДЖЕТ'!$A$10:$H$568,7,0)</f>
        <v>38295</v>
      </c>
      <c r="H982" s="235">
        <f>VLOOKUP(K982,'исх АС БЮДЖЕТ'!$A$10:$H$568,8,0)</f>
        <v>38295</v>
      </c>
      <c r="I982" s="272">
        <v>7710076100</v>
      </c>
      <c r="J982" s="370" t="str">
        <f t="shared" si="114"/>
        <v>7710076100</v>
      </c>
      <c r="K982" s="30" t="str">
        <f t="shared" si="115"/>
        <v>60910067710076100122</v>
      </c>
    </row>
    <row r="983" spans="1:11" s="30" customFormat="1" ht="38.25">
      <c r="A983" s="232" t="s">
        <v>939</v>
      </c>
      <c r="B983" s="233" t="s">
        <v>62</v>
      </c>
      <c r="C983" s="234" t="s">
        <v>14</v>
      </c>
      <c r="D983" s="234" t="s">
        <v>2</v>
      </c>
      <c r="E983" s="272" t="s">
        <v>447</v>
      </c>
      <c r="F983" s="234" t="s">
        <v>1060</v>
      </c>
      <c r="G983" s="235">
        <f>VLOOKUP(K983,'исх АС БЮДЖЕТ'!$A$10:$H$568,7,0)</f>
        <v>336861.35</v>
      </c>
      <c r="H983" s="235">
        <f>VLOOKUP(K983,'исх АС БЮДЖЕТ'!$A$10:$H$568,8,0)</f>
        <v>336861.35</v>
      </c>
      <c r="I983" s="272">
        <v>7710076100</v>
      </c>
      <c r="J983" s="370" t="str">
        <f t="shared" si="114"/>
        <v>7710076100</v>
      </c>
      <c r="K983" s="30" t="str">
        <f t="shared" si="115"/>
        <v>60910067710076100129</v>
      </c>
    </row>
    <row r="984" spans="1:11" s="30" customFormat="1" ht="38.25">
      <c r="A984" s="271" t="s">
        <v>600</v>
      </c>
      <c r="B984" s="233" t="s">
        <v>62</v>
      </c>
      <c r="C984" s="234" t="s">
        <v>14</v>
      </c>
      <c r="D984" s="234" t="s">
        <v>2</v>
      </c>
      <c r="E984" s="272" t="s">
        <v>448</v>
      </c>
      <c r="F984" s="234" t="s">
        <v>58</v>
      </c>
      <c r="G984" s="235">
        <f>G985+G989+G991</f>
        <v>53419990</v>
      </c>
      <c r="H984" s="235">
        <f>H985+H989+H991</f>
        <v>53419990</v>
      </c>
      <c r="I984" s="272">
        <v>7710076210</v>
      </c>
      <c r="J984" s="370" t="str">
        <f t="shared" si="114"/>
        <v>7710076210</v>
      </c>
      <c r="K984" s="30" t="str">
        <f t="shared" si="115"/>
        <v>60910067710076210000</v>
      </c>
    </row>
    <row r="985" spans="1:11" s="30" customFormat="1">
      <c r="A985" s="232" t="s">
        <v>107</v>
      </c>
      <c r="B985" s="233" t="s">
        <v>62</v>
      </c>
      <c r="C985" s="234" t="s">
        <v>14</v>
      </c>
      <c r="D985" s="234" t="s">
        <v>2</v>
      </c>
      <c r="E985" s="272" t="s">
        <v>448</v>
      </c>
      <c r="F985" s="234" t="s">
        <v>115</v>
      </c>
      <c r="G985" s="235">
        <f>SUM(G986:G988)</f>
        <v>51830190</v>
      </c>
      <c r="H985" s="235">
        <f>SUM(H986:H988)</f>
        <v>51830190</v>
      </c>
      <c r="I985" s="272">
        <v>7710076210</v>
      </c>
      <c r="J985" s="370" t="str">
        <f t="shared" si="114"/>
        <v>7710076210</v>
      </c>
      <c r="K985" s="30" t="str">
        <f t="shared" si="115"/>
        <v>60910067710076210120</v>
      </c>
    </row>
    <row r="986" spans="1:11" s="30" customFormat="1">
      <c r="A986" s="232" t="s">
        <v>936</v>
      </c>
      <c r="B986" s="233" t="s">
        <v>62</v>
      </c>
      <c r="C986" s="234" t="s">
        <v>14</v>
      </c>
      <c r="D986" s="234" t="s">
        <v>2</v>
      </c>
      <c r="E986" s="272" t="s">
        <v>448</v>
      </c>
      <c r="F986" s="234" t="s">
        <v>1063</v>
      </c>
      <c r="G986" s="235">
        <f>VLOOKUP(K986,'исх АС БЮДЖЕТ'!$A$10:$H$568,7,0)</f>
        <v>38700000</v>
      </c>
      <c r="H986" s="235">
        <f>VLOOKUP(K986,'исх АС БЮДЖЕТ'!$A$10:$H$568,8,0)</f>
        <v>38700000</v>
      </c>
      <c r="I986" s="272">
        <v>7710076210</v>
      </c>
      <c r="J986" s="370" t="str">
        <f t="shared" si="114"/>
        <v>7710076210</v>
      </c>
      <c r="K986" s="30" t="str">
        <f t="shared" si="115"/>
        <v>60910067710076210121</v>
      </c>
    </row>
    <row r="987" spans="1:11" s="30" customFormat="1" ht="25.5">
      <c r="A987" s="232" t="s">
        <v>937</v>
      </c>
      <c r="B987" s="233" t="s">
        <v>62</v>
      </c>
      <c r="C987" s="234" t="s">
        <v>14</v>
      </c>
      <c r="D987" s="234" t="s">
        <v>2</v>
      </c>
      <c r="E987" s="272" t="s">
        <v>448</v>
      </c>
      <c r="F987" s="234" t="s">
        <v>1059</v>
      </c>
      <c r="G987" s="235">
        <f>VLOOKUP(K987,'исх АС БЮДЖЕТ'!$A$10:$H$568,7,0)</f>
        <v>1404150</v>
      </c>
      <c r="H987" s="235">
        <f>VLOOKUP(K987,'исх АС БЮДЖЕТ'!$A$10:$H$568,8,0)</f>
        <v>1404150</v>
      </c>
      <c r="I987" s="272">
        <v>7710076210</v>
      </c>
      <c r="J987" s="370" t="str">
        <f t="shared" si="114"/>
        <v>7710076210</v>
      </c>
      <c r="K987" s="30" t="str">
        <f t="shared" si="115"/>
        <v>60910067710076210122</v>
      </c>
    </row>
    <row r="988" spans="1:11" s="30" customFormat="1" ht="38.25">
      <c r="A988" s="232" t="s">
        <v>939</v>
      </c>
      <c r="B988" s="233" t="s">
        <v>62</v>
      </c>
      <c r="C988" s="234" t="s">
        <v>14</v>
      </c>
      <c r="D988" s="234" t="s">
        <v>2</v>
      </c>
      <c r="E988" s="272" t="s">
        <v>448</v>
      </c>
      <c r="F988" s="234" t="s">
        <v>1060</v>
      </c>
      <c r="G988" s="235">
        <f>VLOOKUP(K988,'исх АС БЮДЖЕТ'!$A$10:$H$568,7,0)</f>
        <v>11726040</v>
      </c>
      <c r="H988" s="235">
        <f>VLOOKUP(K988,'исх АС БЮДЖЕТ'!$A$10:$H$568,8,0)</f>
        <v>11726040</v>
      </c>
      <c r="I988" s="272">
        <v>7710076210</v>
      </c>
      <c r="J988" s="370" t="str">
        <f t="shared" si="114"/>
        <v>7710076210</v>
      </c>
      <c r="K988" s="30" t="str">
        <f t="shared" si="115"/>
        <v>60910067710076210129</v>
      </c>
    </row>
    <row r="989" spans="1:11" s="30" customFormat="1" ht="25.5">
      <c r="A989" s="232" t="s">
        <v>108</v>
      </c>
      <c r="B989" s="233" t="s">
        <v>62</v>
      </c>
      <c r="C989" s="234" t="s">
        <v>14</v>
      </c>
      <c r="D989" s="234" t="s">
        <v>2</v>
      </c>
      <c r="E989" s="272" t="s">
        <v>448</v>
      </c>
      <c r="F989" s="234" t="s">
        <v>116</v>
      </c>
      <c r="G989" s="235">
        <f>G990</f>
        <v>1479800</v>
      </c>
      <c r="H989" s="235">
        <f>H990</f>
        <v>1479800</v>
      </c>
      <c r="I989" s="272">
        <v>7710076210</v>
      </c>
      <c r="J989" s="370" t="str">
        <f t="shared" si="114"/>
        <v>7710076210</v>
      </c>
      <c r="K989" s="30" t="str">
        <f t="shared" si="115"/>
        <v>60910067710076210240</v>
      </c>
    </row>
    <row r="990" spans="1:11" s="83" customFormat="1" ht="25.5">
      <c r="A990" s="236" t="s">
        <v>973</v>
      </c>
      <c r="B990" s="233" t="s">
        <v>62</v>
      </c>
      <c r="C990" s="234" t="s">
        <v>14</v>
      </c>
      <c r="D990" s="234" t="s">
        <v>2</v>
      </c>
      <c r="E990" s="272" t="s">
        <v>448</v>
      </c>
      <c r="F990" s="234" t="s">
        <v>1043</v>
      </c>
      <c r="G990" s="235">
        <f>VLOOKUP(K990,'исх АС БЮДЖЕТ'!$A$10:$H$568,7,0)</f>
        <v>1479800</v>
      </c>
      <c r="H990" s="235">
        <f>VLOOKUP(K990,'исх АС БЮДЖЕТ'!$A$10:$H$568,8,0)</f>
        <v>1479800</v>
      </c>
      <c r="I990" s="272">
        <v>7710076210</v>
      </c>
      <c r="J990" s="370" t="str">
        <f t="shared" si="114"/>
        <v>7710076210</v>
      </c>
      <c r="K990" s="30" t="str">
        <f t="shared" si="115"/>
        <v>60910067710076210244</v>
      </c>
    </row>
    <row r="991" spans="1:11" s="30" customFormat="1">
      <c r="A991" s="232" t="s">
        <v>97</v>
      </c>
      <c r="B991" s="233" t="s">
        <v>62</v>
      </c>
      <c r="C991" s="234" t="s">
        <v>14</v>
      </c>
      <c r="D991" s="234" t="s">
        <v>2</v>
      </c>
      <c r="E991" s="272" t="s">
        <v>448</v>
      </c>
      <c r="F991" s="234" t="s">
        <v>118</v>
      </c>
      <c r="G991" s="235">
        <f>SUM(G992:G993)</f>
        <v>110000</v>
      </c>
      <c r="H991" s="235">
        <f>SUM(H992:H993)</f>
        <v>110000</v>
      </c>
      <c r="I991" s="272">
        <v>7710076210</v>
      </c>
      <c r="J991" s="370" t="str">
        <f t="shared" si="114"/>
        <v>7710076210</v>
      </c>
      <c r="K991" s="30" t="str">
        <f t="shared" si="115"/>
        <v>60910067710076210850</v>
      </c>
    </row>
    <row r="992" spans="1:11" s="30" customFormat="1">
      <c r="A992" s="232" t="s">
        <v>1036</v>
      </c>
      <c r="B992" s="233" t="s">
        <v>62</v>
      </c>
      <c r="C992" s="234" t="s">
        <v>14</v>
      </c>
      <c r="D992" s="234" t="s">
        <v>2</v>
      </c>
      <c r="E992" s="272" t="s">
        <v>448</v>
      </c>
      <c r="F992" s="234" t="s">
        <v>1061</v>
      </c>
      <c r="G992" s="235">
        <f>VLOOKUP(K992,'исх АС БЮДЖЕТ'!$A$10:$H$568,7,0)</f>
        <v>100000</v>
      </c>
      <c r="H992" s="235">
        <f>VLOOKUP(K992,'исх АС БЮДЖЕТ'!$A$10:$H$568,8,0)</f>
        <v>100000</v>
      </c>
      <c r="I992" s="272">
        <v>7710076210</v>
      </c>
      <c r="J992" s="370" t="str">
        <f t="shared" si="114"/>
        <v>7710076210</v>
      </c>
      <c r="K992" s="30" t="str">
        <f t="shared" si="115"/>
        <v>60910067710076210851</v>
      </c>
    </row>
    <row r="993" spans="1:11" s="30" customFormat="1">
      <c r="A993" s="232" t="s">
        <v>1037</v>
      </c>
      <c r="B993" s="233" t="s">
        <v>62</v>
      </c>
      <c r="C993" s="234" t="s">
        <v>14</v>
      </c>
      <c r="D993" s="234" t="s">
        <v>2</v>
      </c>
      <c r="E993" s="272" t="s">
        <v>448</v>
      </c>
      <c r="F993" s="234" t="s">
        <v>1062</v>
      </c>
      <c r="G993" s="235">
        <f>VLOOKUP(K993,'исх АС БЮДЖЕТ'!$A$10:$H$568,7,0)</f>
        <v>10000</v>
      </c>
      <c r="H993" s="235">
        <f>VLOOKUP(K993,'исх АС БЮДЖЕТ'!$A$10:$H$568,8,0)</f>
        <v>10000</v>
      </c>
      <c r="I993" s="272">
        <v>7710076210</v>
      </c>
      <c r="J993" s="370" t="str">
        <f t="shared" si="114"/>
        <v>7710076210</v>
      </c>
      <c r="K993" s="30" t="str">
        <f t="shared" si="115"/>
        <v>60910067710076210852</v>
      </c>
    </row>
    <row r="994" spans="1:11" s="30" customFormat="1">
      <c r="A994" s="232"/>
      <c r="B994" s="233"/>
      <c r="C994" s="234"/>
      <c r="D994" s="234"/>
      <c r="E994" s="272"/>
      <c r="F994" s="234"/>
      <c r="G994" s="235"/>
      <c r="H994" s="235"/>
      <c r="I994" s="272"/>
      <c r="J994" s="370"/>
    </row>
    <row r="995" spans="1:11" s="3" customFormat="1">
      <c r="A995" s="219" t="s">
        <v>694</v>
      </c>
      <c r="B995" s="220" t="s">
        <v>67</v>
      </c>
      <c r="C995" s="221" t="s">
        <v>51</v>
      </c>
      <c r="D995" s="221" t="s">
        <v>51</v>
      </c>
      <c r="E995" s="221" t="s">
        <v>196</v>
      </c>
      <c r="F995" s="221" t="s">
        <v>58</v>
      </c>
      <c r="G995" s="222">
        <f>G996+G1010</f>
        <v>172467660</v>
      </c>
      <c r="H995" s="222">
        <f>H996+H1010</f>
        <v>172467660</v>
      </c>
      <c r="I995" s="221">
        <v>0</v>
      </c>
      <c r="J995" s="370" t="str">
        <f t="shared" si="114"/>
        <v>0000000000</v>
      </c>
      <c r="K995" s="30" t="str">
        <f t="shared" si="115"/>
        <v>61100000000000000000</v>
      </c>
    </row>
    <row r="996" spans="1:11" s="3" customFormat="1">
      <c r="A996" s="224" t="s">
        <v>70</v>
      </c>
      <c r="B996" s="225" t="s">
        <v>67</v>
      </c>
      <c r="C996" s="226" t="s">
        <v>71</v>
      </c>
      <c r="D996" s="226" t="s">
        <v>51</v>
      </c>
      <c r="E996" s="226" t="s">
        <v>196</v>
      </c>
      <c r="F996" s="226" t="s">
        <v>58</v>
      </c>
      <c r="G996" s="227">
        <f>G997</f>
        <v>147969660</v>
      </c>
      <c r="H996" s="227">
        <f>H997</f>
        <v>147969660</v>
      </c>
      <c r="I996" s="226">
        <v>0</v>
      </c>
      <c r="J996" s="370" t="str">
        <f t="shared" si="114"/>
        <v>0000000000</v>
      </c>
      <c r="K996" s="30" t="str">
        <f t="shared" si="115"/>
        <v>61107000000000000000</v>
      </c>
    </row>
    <row r="997" spans="1:11" s="3" customFormat="1">
      <c r="A997" s="228" t="s">
        <v>779</v>
      </c>
      <c r="B997" s="229" t="s">
        <v>67</v>
      </c>
      <c r="C997" s="230" t="s">
        <v>71</v>
      </c>
      <c r="D997" s="230" t="s">
        <v>53</v>
      </c>
      <c r="E997" s="230" t="s">
        <v>196</v>
      </c>
      <c r="F997" s="230" t="s">
        <v>58</v>
      </c>
      <c r="G997" s="231">
        <f>G998+G1004</f>
        <v>147969660</v>
      </c>
      <c r="H997" s="231">
        <f>H998+H1004</f>
        <v>147969660</v>
      </c>
      <c r="I997" s="230">
        <v>0</v>
      </c>
      <c r="J997" s="370" t="str">
        <f t="shared" si="114"/>
        <v>0000000000</v>
      </c>
      <c r="K997" s="30" t="str">
        <f t="shared" si="115"/>
        <v>61107030000000000000</v>
      </c>
    </row>
    <row r="998" spans="1:11" s="3" customFormat="1" ht="25.5">
      <c r="A998" s="232" t="s">
        <v>740</v>
      </c>
      <c r="B998" s="233" t="s">
        <v>67</v>
      </c>
      <c r="C998" s="234" t="s">
        <v>71</v>
      </c>
      <c r="D998" s="234" t="s">
        <v>53</v>
      </c>
      <c r="E998" s="234" t="s">
        <v>449</v>
      </c>
      <c r="F998" s="234" t="s">
        <v>58</v>
      </c>
      <c r="G998" s="235">
        <f t="shared" ref="G998:H999" si="116">G999</f>
        <v>147736110</v>
      </c>
      <c r="H998" s="235">
        <f t="shared" si="116"/>
        <v>147736110</v>
      </c>
      <c r="I998" s="234">
        <v>800000000</v>
      </c>
      <c r="J998" s="370" t="str">
        <f t="shared" si="114"/>
        <v>0800000000</v>
      </c>
      <c r="K998" s="30" t="str">
        <f t="shared" si="115"/>
        <v>61107030800000000000</v>
      </c>
    </row>
    <row r="999" spans="1:11" s="3" customFormat="1" ht="38.25">
      <c r="A999" s="232" t="s">
        <v>141</v>
      </c>
      <c r="B999" s="233" t="s">
        <v>67</v>
      </c>
      <c r="C999" s="234" t="s">
        <v>71</v>
      </c>
      <c r="D999" s="234" t="s">
        <v>53</v>
      </c>
      <c r="E999" s="234" t="s">
        <v>450</v>
      </c>
      <c r="F999" s="234" t="s">
        <v>58</v>
      </c>
      <c r="G999" s="235">
        <f t="shared" si="116"/>
        <v>147736110</v>
      </c>
      <c r="H999" s="235">
        <f t="shared" si="116"/>
        <v>147736110</v>
      </c>
      <c r="I999" s="234">
        <v>810000000</v>
      </c>
      <c r="J999" s="370" t="str">
        <f t="shared" si="114"/>
        <v>0810000000</v>
      </c>
      <c r="K999" s="30" t="str">
        <f t="shared" si="115"/>
        <v>61107030810000000000</v>
      </c>
    </row>
    <row r="1000" spans="1:11" s="3" customFormat="1" ht="38.25">
      <c r="A1000" s="232" t="s">
        <v>587</v>
      </c>
      <c r="B1000" s="233" t="s">
        <v>67</v>
      </c>
      <c r="C1000" s="234" t="s">
        <v>71</v>
      </c>
      <c r="D1000" s="234" t="s">
        <v>53</v>
      </c>
      <c r="E1000" s="234" t="s">
        <v>451</v>
      </c>
      <c r="F1000" s="234" t="s">
        <v>58</v>
      </c>
      <c r="G1000" s="235">
        <f t="shared" ref="G1000:H1002" si="117">G1001</f>
        <v>147736110</v>
      </c>
      <c r="H1000" s="235">
        <f t="shared" si="117"/>
        <v>147736110</v>
      </c>
      <c r="I1000" s="234">
        <v>810100000</v>
      </c>
      <c r="J1000" s="370" t="str">
        <f t="shared" si="114"/>
        <v>0810100000</v>
      </c>
      <c r="K1000" s="30" t="str">
        <f t="shared" si="115"/>
        <v>61107030810100000000</v>
      </c>
    </row>
    <row r="1001" spans="1:11" s="3" customFormat="1">
      <c r="A1001" s="236" t="s">
        <v>247</v>
      </c>
      <c r="B1001" s="233" t="s">
        <v>67</v>
      </c>
      <c r="C1001" s="234" t="s">
        <v>71</v>
      </c>
      <c r="D1001" s="234" t="s">
        <v>53</v>
      </c>
      <c r="E1001" s="234" t="s">
        <v>452</v>
      </c>
      <c r="F1001" s="234" t="s">
        <v>58</v>
      </c>
      <c r="G1001" s="235">
        <f t="shared" si="117"/>
        <v>147736110</v>
      </c>
      <c r="H1001" s="235">
        <f t="shared" si="117"/>
        <v>147736110</v>
      </c>
      <c r="I1001" s="234">
        <v>810111010</v>
      </c>
      <c r="J1001" s="370" t="str">
        <f t="shared" si="114"/>
        <v>0810111010</v>
      </c>
      <c r="K1001" s="30" t="str">
        <f t="shared" si="115"/>
        <v>61107030810111010000</v>
      </c>
    </row>
    <row r="1002" spans="1:11" s="3" customFormat="1">
      <c r="A1002" s="244" t="s">
        <v>92</v>
      </c>
      <c r="B1002" s="233" t="s">
        <v>67</v>
      </c>
      <c r="C1002" s="234" t="s">
        <v>71</v>
      </c>
      <c r="D1002" s="234" t="s">
        <v>53</v>
      </c>
      <c r="E1002" s="234" t="s">
        <v>452</v>
      </c>
      <c r="F1002" s="234" t="s">
        <v>138</v>
      </c>
      <c r="G1002" s="235">
        <f t="shared" si="117"/>
        <v>147736110</v>
      </c>
      <c r="H1002" s="235">
        <f t="shared" si="117"/>
        <v>147736110</v>
      </c>
      <c r="I1002" s="234">
        <v>810111010</v>
      </c>
      <c r="J1002" s="370" t="str">
        <f t="shared" si="114"/>
        <v>0810111010</v>
      </c>
      <c r="K1002" s="30" t="str">
        <f t="shared" si="115"/>
        <v>61107030810111010610</v>
      </c>
    </row>
    <row r="1003" spans="1:11" s="4" customFormat="1" ht="38.25">
      <c r="A1003" s="236" t="s">
        <v>1015</v>
      </c>
      <c r="B1003" s="233" t="s">
        <v>67</v>
      </c>
      <c r="C1003" s="234" t="s">
        <v>71</v>
      </c>
      <c r="D1003" s="234" t="s">
        <v>53</v>
      </c>
      <c r="E1003" s="234" t="s">
        <v>452</v>
      </c>
      <c r="F1003" s="234" t="s">
        <v>67</v>
      </c>
      <c r="G1003" s="235">
        <f>VLOOKUP(K1003,'исх АС БЮДЖЕТ'!$A$10:$H$568,7,0)</f>
        <v>147736110</v>
      </c>
      <c r="H1003" s="235">
        <f>VLOOKUP(K1003,'исх АС БЮДЖЕТ'!$A$10:$H$568,8,0)</f>
        <v>147736110</v>
      </c>
      <c r="I1003" s="234">
        <v>810111010</v>
      </c>
      <c r="J1003" s="370" t="str">
        <f t="shared" si="114"/>
        <v>0810111010</v>
      </c>
      <c r="K1003" s="30" t="str">
        <f t="shared" si="115"/>
        <v>61107030810111010611</v>
      </c>
    </row>
    <row r="1004" spans="1:11" s="3" customFormat="1" ht="51">
      <c r="A1004" s="232" t="s">
        <v>756</v>
      </c>
      <c r="B1004" s="233" t="s">
        <v>67</v>
      </c>
      <c r="C1004" s="234" t="s">
        <v>71</v>
      </c>
      <c r="D1004" s="234" t="s">
        <v>53</v>
      </c>
      <c r="E1004" s="234" t="s">
        <v>339</v>
      </c>
      <c r="F1004" s="234" t="s">
        <v>58</v>
      </c>
      <c r="G1004" s="235">
        <f t="shared" ref="G1004:H1007" si="118">G1005</f>
        <v>233550</v>
      </c>
      <c r="H1004" s="235">
        <f t="shared" si="118"/>
        <v>233550</v>
      </c>
      <c r="I1004" s="234">
        <v>1600000000</v>
      </c>
      <c r="J1004" s="370" t="str">
        <f t="shared" si="114"/>
        <v>1600000000</v>
      </c>
      <c r="K1004" s="30" t="str">
        <f t="shared" si="115"/>
        <v>61107031600000000000</v>
      </c>
    </row>
    <row r="1005" spans="1:11" s="3" customFormat="1" ht="25.5">
      <c r="A1005" s="232" t="s">
        <v>136</v>
      </c>
      <c r="B1005" s="233" t="s">
        <v>67</v>
      </c>
      <c r="C1005" s="234" t="s">
        <v>71</v>
      </c>
      <c r="D1005" s="234" t="s">
        <v>53</v>
      </c>
      <c r="E1005" s="234" t="s">
        <v>340</v>
      </c>
      <c r="F1005" s="234" t="s">
        <v>58</v>
      </c>
      <c r="G1005" s="235">
        <f t="shared" si="118"/>
        <v>233550</v>
      </c>
      <c r="H1005" s="235">
        <f t="shared" si="118"/>
        <v>233550</v>
      </c>
      <c r="I1005" s="234">
        <v>1620000000</v>
      </c>
      <c r="J1005" s="370" t="str">
        <f t="shared" ref="J1005:J1049" si="119">TEXT(I1005,"0000000000")</f>
        <v>1620000000</v>
      </c>
      <c r="K1005" s="30" t="str">
        <f t="shared" ref="K1005:K1049" si="120">CONCATENATE(B1005,C1005,D1005,J1005,F1005)</f>
        <v>61107031620000000000</v>
      </c>
    </row>
    <row r="1006" spans="1:11" s="3" customFormat="1" ht="25.5">
      <c r="A1006" s="232" t="s">
        <v>667</v>
      </c>
      <c r="B1006" s="233" t="s">
        <v>67</v>
      </c>
      <c r="C1006" s="234" t="s">
        <v>71</v>
      </c>
      <c r="D1006" s="234" t="s">
        <v>53</v>
      </c>
      <c r="E1006" s="234" t="s">
        <v>609</v>
      </c>
      <c r="F1006" s="234" t="s">
        <v>58</v>
      </c>
      <c r="G1006" s="235">
        <f t="shared" si="118"/>
        <v>233550</v>
      </c>
      <c r="H1006" s="235">
        <f t="shared" si="118"/>
        <v>233550</v>
      </c>
      <c r="I1006" s="234">
        <v>1620200000</v>
      </c>
      <c r="J1006" s="370" t="str">
        <f t="shared" si="119"/>
        <v>1620200000</v>
      </c>
      <c r="K1006" s="30" t="str">
        <f t="shared" si="120"/>
        <v>61107031620200000000</v>
      </c>
    </row>
    <row r="1007" spans="1:11" s="3" customFormat="1" ht="25.5">
      <c r="A1007" s="232" t="s">
        <v>177</v>
      </c>
      <c r="B1007" s="233" t="s">
        <v>67</v>
      </c>
      <c r="C1007" s="234" t="s">
        <v>71</v>
      </c>
      <c r="D1007" s="234" t="s">
        <v>53</v>
      </c>
      <c r="E1007" s="234" t="s">
        <v>610</v>
      </c>
      <c r="F1007" s="234" t="s">
        <v>58</v>
      </c>
      <c r="G1007" s="235">
        <f t="shared" si="118"/>
        <v>233550</v>
      </c>
      <c r="H1007" s="235">
        <f t="shared" si="118"/>
        <v>233550</v>
      </c>
      <c r="I1007" s="234">
        <v>1620220550</v>
      </c>
      <c r="J1007" s="370" t="str">
        <f t="shared" si="119"/>
        <v>1620220550</v>
      </c>
      <c r="K1007" s="30" t="str">
        <f t="shared" si="120"/>
        <v>61107031620220550000</v>
      </c>
    </row>
    <row r="1008" spans="1:11" s="3" customFormat="1">
      <c r="A1008" s="244" t="s">
        <v>92</v>
      </c>
      <c r="B1008" s="233" t="s">
        <v>67</v>
      </c>
      <c r="C1008" s="234" t="s">
        <v>71</v>
      </c>
      <c r="D1008" s="234" t="s">
        <v>53</v>
      </c>
      <c r="E1008" s="234" t="s">
        <v>610</v>
      </c>
      <c r="F1008" s="234" t="s">
        <v>138</v>
      </c>
      <c r="G1008" s="235">
        <f>G1009</f>
        <v>233550</v>
      </c>
      <c r="H1008" s="235">
        <f>H1009</f>
        <v>233550</v>
      </c>
      <c r="I1008" s="234">
        <v>1620220550</v>
      </c>
      <c r="J1008" s="370" t="str">
        <f t="shared" si="119"/>
        <v>1620220550</v>
      </c>
      <c r="K1008" s="30" t="str">
        <f t="shared" si="120"/>
        <v>61107031620220550610</v>
      </c>
    </row>
    <row r="1009" spans="1:11" s="4" customFormat="1">
      <c r="A1009" s="236" t="s">
        <v>1016</v>
      </c>
      <c r="B1009" s="233" t="s">
        <v>67</v>
      </c>
      <c r="C1009" s="234" t="s">
        <v>71</v>
      </c>
      <c r="D1009" s="234" t="s">
        <v>53</v>
      </c>
      <c r="E1009" s="234" t="s">
        <v>610</v>
      </c>
      <c r="F1009" s="234" t="s">
        <v>1046</v>
      </c>
      <c r="G1009" s="235">
        <f>VLOOKUP(K1009,'исх АС БЮДЖЕТ'!$A$10:$H$568,7,0)</f>
        <v>233550</v>
      </c>
      <c r="H1009" s="235">
        <f>VLOOKUP(K1009,'исх АС БЮДЖЕТ'!$A$10:$H$568,8,0)</f>
        <v>233550</v>
      </c>
      <c r="I1009" s="234">
        <v>1620220550</v>
      </c>
      <c r="J1009" s="370" t="str">
        <f t="shared" si="119"/>
        <v>1620220550</v>
      </c>
      <c r="K1009" s="30" t="str">
        <f t="shared" si="120"/>
        <v>61107031620220550612</v>
      </c>
    </row>
    <row r="1010" spans="1:11" s="3" customFormat="1">
      <c r="A1010" s="224" t="s">
        <v>39</v>
      </c>
      <c r="B1010" s="225" t="s">
        <v>67</v>
      </c>
      <c r="C1010" s="226" t="s">
        <v>78</v>
      </c>
      <c r="D1010" s="226" t="s">
        <v>51</v>
      </c>
      <c r="E1010" s="226" t="s">
        <v>196</v>
      </c>
      <c r="F1010" s="226" t="s">
        <v>58</v>
      </c>
      <c r="G1010" s="227">
        <f>G1011+G1018+G1040</f>
        <v>24498000</v>
      </c>
      <c r="H1010" s="227">
        <f>H1011+H1018+H1040</f>
        <v>24498000</v>
      </c>
      <c r="I1010" s="226">
        <v>0</v>
      </c>
      <c r="J1010" s="370" t="str">
        <f t="shared" si="119"/>
        <v>0000000000</v>
      </c>
      <c r="K1010" s="30" t="str">
        <f t="shared" si="120"/>
        <v>61111000000000000000</v>
      </c>
    </row>
    <row r="1011" spans="1:11" s="3" customFormat="1">
      <c r="A1011" s="228" t="s">
        <v>79</v>
      </c>
      <c r="B1011" s="229" t="s">
        <v>67</v>
      </c>
      <c r="C1011" s="230" t="s">
        <v>78</v>
      </c>
      <c r="D1011" s="230" t="s">
        <v>65</v>
      </c>
      <c r="E1011" s="230" t="s">
        <v>196</v>
      </c>
      <c r="F1011" s="230" t="s">
        <v>58</v>
      </c>
      <c r="G1011" s="231">
        <f t="shared" ref="G1011:H1015" si="121">G1012</f>
        <v>2977180</v>
      </c>
      <c r="H1011" s="231">
        <f t="shared" si="121"/>
        <v>2977180</v>
      </c>
      <c r="I1011" s="230">
        <v>0</v>
      </c>
      <c r="J1011" s="370" t="str">
        <f t="shared" si="119"/>
        <v>0000000000</v>
      </c>
      <c r="K1011" s="30" t="str">
        <f t="shared" si="120"/>
        <v>61111010000000000000</v>
      </c>
    </row>
    <row r="1012" spans="1:11" s="3" customFormat="1" ht="25.5">
      <c r="A1012" s="232" t="s">
        <v>740</v>
      </c>
      <c r="B1012" s="233" t="s">
        <v>67</v>
      </c>
      <c r="C1012" s="234" t="s">
        <v>78</v>
      </c>
      <c r="D1012" s="234" t="s">
        <v>65</v>
      </c>
      <c r="E1012" s="234" t="s">
        <v>449</v>
      </c>
      <c r="F1012" s="234" t="s">
        <v>58</v>
      </c>
      <c r="G1012" s="235">
        <f t="shared" si="121"/>
        <v>2977180</v>
      </c>
      <c r="H1012" s="235">
        <f t="shared" si="121"/>
        <v>2977180</v>
      </c>
      <c r="I1012" s="234">
        <v>800000000</v>
      </c>
      <c r="J1012" s="370" t="str">
        <f t="shared" si="119"/>
        <v>0800000000</v>
      </c>
      <c r="K1012" s="30" t="str">
        <f t="shared" si="120"/>
        <v>61111010800000000000</v>
      </c>
    </row>
    <row r="1013" spans="1:11" s="3" customFormat="1" ht="38.25">
      <c r="A1013" s="232" t="s">
        <v>141</v>
      </c>
      <c r="B1013" s="233" t="s">
        <v>67</v>
      </c>
      <c r="C1013" s="234" t="s">
        <v>78</v>
      </c>
      <c r="D1013" s="234" t="s">
        <v>65</v>
      </c>
      <c r="E1013" s="234" t="s">
        <v>450</v>
      </c>
      <c r="F1013" s="234" t="s">
        <v>58</v>
      </c>
      <c r="G1013" s="235">
        <f>G1014</f>
        <v>2977180</v>
      </c>
      <c r="H1013" s="235">
        <f>H1014</f>
        <v>2977180</v>
      </c>
      <c r="I1013" s="234">
        <v>810000000</v>
      </c>
      <c r="J1013" s="370" t="str">
        <f t="shared" si="119"/>
        <v>0810000000</v>
      </c>
      <c r="K1013" s="30" t="str">
        <f t="shared" si="120"/>
        <v>61111010810000000000</v>
      </c>
    </row>
    <row r="1014" spans="1:11" s="3" customFormat="1" ht="25.5">
      <c r="A1014" s="237" t="s">
        <v>475</v>
      </c>
      <c r="B1014" s="241" t="s">
        <v>67</v>
      </c>
      <c r="C1014" s="242" t="s">
        <v>78</v>
      </c>
      <c r="D1014" s="242" t="s">
        <v>65</v>
      </c>
      <c r="E1014" s="242" t="s">
        <v>476</v>
      </c>
      <c r="F1014" s="242" t="s">
        <v>58</v>
      </c>
      <c r="G1014" s="243">
        <f>G1015</f>
        <v>2977180</v>
      </c>
      <c r="H1014" s="243">
        <f>H1015</f>
        <v>2977180</v>
      </c>
      <c r="I1014" s="242">
        <v>810200000</v>
      </c>
      <c r="J1014" s="370" t="str">
        <f t="shared" si="119"/>
        <v>0810200000</v>
      </c>
      <c r="K1014" s="30" t="str">
        <f t="shared" si="120"/>
        <v>61111010810200000000</v>
      </c>
    </row>
    <row r="1015" spans="1:11" s="3" customFormat="1">
      <c r="A1015" s="236" t="s">
        <v>247</v>
      </c>
      <c r="B1015" s="241" t="s">
        <v>67</v>
      </c>
      <c r="C1015" s="242" t="s">
        <v>78</v>
      </c>
      <c r="D1015" s="242" t="s">
        <v>65</v>
      </c>
      <c r="E1015" s="242" t="s">
        <v>477</v>
      </c>
      <c r="F1015" s="242" t="s">
        <v>58</v>
      </c>
      <c r="G1015" s="243">
        <f t="shared" si="121"/>
        <v>2977180</v>
      </c>
      <c r="H1015" s="243">
        <f t="shared" si="121"/>
        <v>2977180</v>
      </c>
      <c r="I1015" s="242">
        <v>810211010</v>
      </c>
      <c r="J1015" s="370" t="str">
        <f t="shared" si="119"/>
        <v>0810211010</v>
      </c>
      <c r="K1015" s="30" t="str">
        <f t="shared" si="120"/>
        <v>61111010810211010000</v>
      </c>
    </row>
    <row r="1016" spans="1:11" s="3" customFormat="1">
      <c r="A1016" s="244" t="s">
        <v>92</v>
      </c>
      <c r="B1016" s="241" t="s">
        <v>67</v>
      </c>
      <c r="C1016" s="242" t="s">
        <v>78</v>
      </c>
      <c r="D1016" s="242" t="s">
        <v>65</v>
      </c>
      <c r="E1016" s="242" t="s">
        <v>477</v>
      </c>
      <c r="F1016" s="242" t="s">
        <v>138</v>
      </c>
      <c r="G1016" s="235">
        <f>G1017</f>
        <v>2977180</v>
      </c>
      <c r="H1016" s="235">
        <f>H1017</f>
        <v>2977180</v>
      </c>
      <c r="I1016" s="242">
        <v>810211010</v>
      </c>
      <c r="J1016" s="370" t="str">
        <f t="shared" si="119"/>
        <v>0810211010</v>
      </c>
      <c r="K1016" s="30" t="str">
        <f t="shared" si="120"/>
        <v>61111010810211010610</v>
      </c>
    </row>
    <row r="1017" spans="1:11" s="4" customFormat="1" ht="38.25">
      <c r="A1017" s="236" t="s">
        <v>1015</v>
      </c>
      <c r="B1017" s="241" t="s">
        <v>67</v>
      </c>
      <c r="C1017" s="242" t="s">
        <v>78</v>
      </c>
      <c r="D1017" s="242" t="s">
        <v>65</v>
      </c>
      <c r="E1017" s="242" t="s">
        <v>477</v>
      </c>
      <c r="F1017" s="242" t="s">
        <v>67</v>
      </c>
      <c r="G1017" s="235">
        <f>VLOOKUP(K1017,'исх АС БЮДЖЕТ'!$A$10:$H$568,7,0)</f>
        <v>2977180</v>
      </c>
      <c r="H1017" s="235">
        <f>VLOOKUP(K1017,'исх АС БЮДЖЕТ'!$A$10:$H$568,8,0)</f>
        <v>2977180</v>
      </c>
      <c r="I1017" s="242">
        <v>810211010</v>
      </c>
      <c r="J1017" s="370" t="str">
        <f t="shared" si="119"/>
        <v>0810211010</v>
      </c>
      <c r="K1017" s="30" t="str">
        <f t="shared" si="120"/>
        <v>61111010810211010611</v>
      </c>
    </row>
    <row r="1018" spans="1:11" s="3" customFormat="1">
      <c r="A1018" s="228" t="s">
        <v>80</v>
      </c>
      <c r="B1018" s="229" t="s">
        <v>67</v>
      </c>
      <c r="C1018" s="230" t="s">
        <v>78</v>
      </c>
      <c r="D1018" s="230" t="s">
        <v>66</v>
      </c>
      <c r="E1018" s="230" t="s">
        <v>196</v>
      </c>
      <c r="F1018" s="230" t="s">
        <v>58</v>
      </c>
      <c r="G1018" s="231">
        <f>G1019+G1025</f>
        <v>11728590</v>
      </c>
      <c r="H1018" s="231">
        <f>H1019+H1025</f>
        <v>11728590</v>
      </c>
      <c r="I1018" s="230">
        <v>0</v>
      </c>
      <c r="J1018" s="370" t="str">
        <f t="shared" si="119"/>
        <v>0000000000</v>
      </c>
      <c r="K1018" s="30" t="str">
        <f t="shared" si="120"/>
        <v>61111020000000000000</v>
      </c>
    </row>
    <row r="1019" spans="1:11" s="3" customFormat="1" ht="25.5">
      <c r="A1019" s="232" t="s">
        <v>740</v>
      </c>
      <c r="B1019" s="233" t="s">
        <v>67</v>
      </c>
      <c r="C1019" s="234" t="s">
        <v>78</v>
      </c>
      <c r="D1019" s="234" t="s">
        <v>66</v>
      </c>
      <c r="E1019" s="234" t="s">
        <v>449</v>
      </c>
      <c r="F1019" s="234" t="s">
        <v>58</v>
      </c>
      <c r="G1019" s="235">
        <f t="shared" ref="G1019:H1020" si="122">G1020</f>
        <v>7386090</v>
      </c>
      <c r="H1019" s="235">
        <f t="shared" si="122"/>
        <v>7386090</v>
      </c>
      <c r="I1019" s="234">
        <v>800000000</v>
      </c>
      <c r="J1019" s="370" t="str">
        <f t="shared" si="119"/>
        <v>0800000000</v>
      </c>
      <c r="K1019" s="30" t="str">
        <f t="shared" si="120"/>
        <v>61111020800000000000</v>
      </c>
    </row>
    <row r="1020" spans="1:11" s="3" customFormat="1" ht="38.25">
      <c r="A1020" s="232" t="s">
        <v>141</v>
      </c>
      <c r="B1020" s="233" t="s">
        <v>67</v>
      </c>
      <c r="C1020" s="234" t="s">
        <v>78</v>
      </c>
      <c r="D1020" s="234" t="s">
        <v>66</v>
      </c>
      <c r="E1020" s="234" t="s">
        <v>450</v>
      </c>
      <c r="F1020" s="234" t="s">
        <v>58</v>
      </c>
      <c r="G1020" s="235">
        <f t="shared" si="122"/>
        <v>7386090</v>
      </c>
      <c r="H1020" s="235">
        <f t="shared" si="122"/>
        <v>7386090</v>
      </c>
      <c r="I1020" s="234">
        <v>810000000</v>
      </c>
      <c r="J1020" s="370" t="str">
        <f t="shared" si="119"/>
        <v>0810000000</v>
      </c>
      <c r="K1020" s="30" t="str">
        <f t="shared" si="120"/>
        <v>61111020810000000000</v>
      </c>
    </row>
    <row r="1021" spans="1:11" s="3" customFormat="1" ht="51">
      <c r="A1021" s="232" t="s">
        <v>884</v>
      </c>
      <c r="B1021" s="233" t="s">
        <v>67</v>
      </c>
      <c r="C1021" s="234" t="s">
        <v>78</v>
      </c>
      <c r="D1021" s="234" t="s">
        <v>66</v>
      </c>
      <c r="E1021" s="234" t="s">
        <v>812</v>
      </c>
      <c r="F1021" s="234" t="s">
        <v>58</v>
      </c>
      <c r="G1021" s="235">
        <f>G1022</f>
        <v>7386090</v>
      </c>
      <c r="H1021" s="235">
        <f>H1022</f>
        <v>7386090</v>
      </c>
      <c r="I1021" s="234">
        <v>810300000</v>
      </c>
      <c r="J1021" s="370" t="str">
        <f t="shared" si="119"/>
        <v>0810300000</v>
      </c>
      <c r="K1021" s="30" t="str">
        <f t="shared" si="120"/>
        <v>61111020810300000000</v>
      </c>
    </row>
    <row r="1022" spans="1:11" s="3" customFormat="1">
      <c r="A1022" s="236" t="s">
        <v>247</v>
      </c>
      <c r="B1022" s="241" t="s">
        <v>67</v>
      </c>
      <c r="C1022" s="234" t="s">
        <v>78</v>
      </c>
      <c r="D1022" s="234" t="s">
        <v>66</v>
      </c>
      <c r="E1022" s="242" t="s">
        <v>813</v>
      </c>
      <c r="F1022" s="242" t="s">
        <v>58</v>
      </c>
      <c r="G1022" s="243">
        <f t="shared" ref="G1022:H1022" si="123">G1023</f>
        <v>7386090</v>
      </c>
      <c r="H1022" s="243">
        <f t="shared" si="123"/>
        <v>7386090</v>
      </c>
      <c r="I1022" s="242">
        <v>810311010</v>
      </c>
      <c r="J1022" s="370" t="str">
        <f t="shared" si="119"/>
        <v>0810311010</v>
      </c>
      <c r="K1022" s="30" t="str">
        <f t="shared" si="120"/>
        <v>61111020810311010000</v>
      </c>
    </row>
    <row r="1023" spans="1:11" s="3" customFormat="1">
      <c r="A1023" s="244" t="s">
        <v>92</v>
      </c>
      <c r="B1023" s="241" t="s">
        <v>67</v>
      </c>
      <c r="C1023" s="234" t="s">
        <v>78</v>
      </c>
      <c r="D1023" s="234" t="s">
        <v>66</v>
      </c>
      <c r="E1023" s="242" t="s">
        <v>813</v>
      </c>
      <c r="F1023" s="242" t="s">
        <v>138</v>
      </c>
      <c r="G1023" s="235">
        <f>G1024</f>
        <v>7386090</v>
      </c>
      <c r="H1023" s="235">
        <f>H1024</f>
        <v>7386090</v>
      </c>
      <c r="I1023" s="242">
        <v>810311010</v>
      </c>
      <c r="J1023" s="370" t="str">
        <f t="shared" si="119"/>
        <v>0810311010</v>
      </c>
      <c r="K1023" s="30" t="str">
        <f t="shared" si="120"/>
        <v>61111020810311010610</v>
      </c>
    </row>
    <row r="1024" spans="1:11" s="4" customFormat="1" ht="38.25">
      <c r="A1024" s="236" t="s">
        <v>1015</v>
      </c>
      <c r="B1024" s="241" t="s">
        <v>67</v>
      </c>
      <c r="C1024" s="234" t="s">
        <v>78</v>
      </c>
      <c r="D1024" s="234" t="s">
        <v>66</v>
      </c>
      <c r="E1024" s="242" t="s">
        <v>813</v>
      </c>
      <c r="F1024" s="242" t="s">
        <v>67</v>
      </c>
      <c r="G1024" s="235">
        <f>VLOOKUP(K1024,'исх АС БЮДЖЕТ'!$A$10:$H$568,7,0)</f>
        <v>7386090</v>
      </c>
      <c r="H1024" s="235">
        <f>VLOOKUP(K1024,'исх АС БЮДЖЕТ'!$A$10:$H$568,8,0)</f>
        <v>7386090</v>
      </c>
      <c r="I1024" s="242">
        <v>810311010</v>
      </c>
      <c r="J1024" s="370" t="str">
        <f t="shared" si="119"/>
        <v>0810311010</v>
      </c>
      <c r="K1024" s="30" t="str">
        <f t="shared" si="120"/>
        <v>61111020810311010611</v>
      </c>
    </row>
    <row r="1025" spans="1:11" s="3" customFormat="1" ht="25.5">
      <c r="A1025" s="232" t="s">
        <v>883</v>
      </c>
      <c r="B1025" s="233" t="s">
        <v>67</v>
      </c>
      <c r="C1025" s="234" t="s">
        <v>78</v>
      </c>
      <c r="D1025" s="234" t="s">
        <v>66</v>
      </c>
      <c r="E1025" s="234" t="s">
        <v>478</v>
      </c>
      <c r="F1025" s="234" t="s">
        <v>58</v>
      </c>
      <c r="G1025" s="235">
        <f>G1026+G1032+G1036</f>
        <v>4342500</v>
      </c>
      <c r="H1025" s="235">
        <f>H1026+H1032+H1036</f>
        <v>4342500</v>
      </c>
      <c r="I1025" s="234">
        <v>820000000</v>
      </c>
      <c r="J1025" s="370" t="str">
        <f t="shared" si="119"/>
        <v>0820000000</v>
      </c>
      <c r="K1025" s="30" t="str">
        <f t="shared" si="120"/>
        <v>61111020820000000000</v>
      </c>
    </row>
    <row r="1026" spans="1:11" s="3" customFormat="1" ht="25.5">
      <c r="A1026" s="232" t="s">
        <v>619</v>
      </c>
      <c r="B1026" s="233" t="s">
        <v>67</v>
      </c>
      <c r="C1026" s="234" t="s">
        <v>78</v>
      </c>
      <c r="D1026" s="234" t="s">
        <v>66</v>
      </c>
      <c r="E1026" s="234" t="s">
        <v>479</v>
      </c>
      <c r="F1026" s="234" t="s">
        <v>58</v>
      </c>
      <c r="G1026" s="235">
        <f>G1027</f>
        <v>4275000</v>
      </c>
      <c r="H1026" s="235">
        <f>H1027</f>
        <v>4275000</v>
      </c>
      <c r="I1026" s="234">
        <v>820100000</v>
      </c>
      <c r="J1026" s="370" t="str">
        <f t="shared" si="119"/>
        <v>0820100000</v>
      </c>
      <c r="K1026" s="30" t="str">
        <f t="shared" si="120"/>
        <v>61111020820100000000</v>
      </c>
    </row>
    <row r="1027" spans="1:11" s="3" customFormat="1" ht="25.5">
      <c r="A1027" s="232" t="s">
        <v>163</v>
      </c>
      <c r="B1027" s="233" t="s">
        <v>67</v>
      </c>
      <c r="C1027" s="234" t="s">
        <v>78</v>
      </c>
      <c r="D1027" s="234" t="s">
        <v>66</v>
      </c>
      <c r="E1027" s="234" t="s">
        <v>480</v>
      </c>
      <c r="F1027" s="234" t="s">
        <v>58</v>
      </c>
      <c r="G1027" s="235">
        <f>G1030+G1028</f>
        <v>4275000</v>
      </c>
      <c r="H1027" s="235">
        <f>H1030+H1028</f>
        <v>4275000</v>
      </c>
      <c r="I1027" s="234">
        <v>820120420</v>
      </c>
      <c r="J1027" s="370" t="str">
        <f t="shared" si="119"/>
        <v>0820120420</v>
      </c>
      <c r="K1027" s="30" t="str">
        <f t="shared" si="120"/>
        <v>61111020820120420000</v>
      </c>
    </row>
    <row r="1028" spans="1:11" s="3" customFormat="1">
      <c r="A1028" s="232" t="s">
        <v>106</v>
      </c>
      <c r="B1028" s="233" t="s">
        <v>67</v>
      </c>
      <c r="C1028" s="234" t="s">
        <v>78</v>
      </c>
      <c r="D1028" s="234" t="s">
        <v>66</v>
      </c>
      <c r="E1028" s="234" t="s">
        <v>480</v>
      </c>
      <c r="F1028" s="234" t="s">
        <v>121</v>
      </c>
      <c r="G1028" s="235">
        <f>G1029</f>
        <v>2577000</v>
      </c>
      <c r="H1028" s="235">
        <f>H1029</f>
        <v>2577000</v>
      </c>
      <c r="I1028" s="234">
        <v>820120420</v>
      </c>
      <c r="J1028" s="370" t="str">
        <f t="shared" si="119"/>
        <v>0820120420</v>
      </c>
      <c r="K1028" s="30" t="str">
        <f t="shared" si="120"/>
        <v>61111020820120420110</v>
      </c>
    </row>
    <row r="1029" spans="1:11" s="4" customFormat="1" ht="25.5">
      <c r="A1029" s="236" t="s">
        <v>934</v>
      </c>
      <c r="B1029" s="233" t="s">
        <v>67</v>
      </c>
      <c r="C1029" s="234" t="s">
        <v>78</v>
      </c>
      <c r="D1029" s="234" t="s">
        <v>66</v>
      </c>
      <c r="E1029" s="234" t="s">
        <v>480</v>
      </c>
      <c r="F1029" s="234" t="s">
        <v>1071</v>
      </c>
      <c r="G1029" s="235">
        <f>VLOOKUP(K1029,'исх АС БЮДЖЕТ'!$A$10:$H$568,7,0)</f>
        <v>2577000</v>
      </c>
      <c r="H1029" s="235">
        <f>VLOOKUP(K1029,'исх АС БЮДЖЕТ'!$A$10:$H$568,8,0)</f>
        <v>2577000</v>
      </c>
      <c r="I1029" s="234">
        <v>820120420</v>
      </c>
      <c r="J1029" s="370" t="str">
        <f t="shared" si="119"/>
        <v>0820120420</v>
      </c>
      <c r="K1029" s="30" t="str">
        <f t="shared" si="120"/>
        <v>61111020820120420113</v>
      </c>
    </row>
    <row r="1030" spans="1:11" s="3" customFormat="1" ht="25.5">
      <c r="A1030" s="232" t="s">
        <v>108</v>
      </c>
      <c r="B1030" s="233" t="s">
        <v>67</v>
      </c>
      <c r="C1030" s="234" t="s">
        <v>78</v>
      </c>
      <c r="D1030" s="234" t="s">
        <v>66</v>
      </c>
      <c r="E1030" s="234" t="s">
        <v>480</v>
      </c>
      <c r="F1030" s="234" t="s">
        <v>116</v>
      </c>
      <c r="G1030" s="235">
        <f>G1031</f>
        <v>1698000</v>
      </c>
      <c r="H1030" s="235">
        <f>H1031</f>
        <v>1698000</v>
      </c>
      <c r="I1030" s="234">
        <v>820120420</v>
      </c>
      <c r="J1030" s="370" t="str">
        <f t="shared" si="119"/>
        <v>0820120420</v>
      </c>
      <c r="K1030" s="30" t="str">
        <f t="shared" si="120"/>
        <v>61111020820120420240</v>
      </c>
    </row>
    <row r="1031" spans="1:11" s="4" customFormat="1" ht="25.5">
      <c r="A1031" s="236" t="s">
        <v>973</v>
      </c>
      <c r="B1031" s="233" t="s">
        <v>67</v>
      </c>
      <c r="C1031" s="234" t="s">
        <v>78</v>
      </c>
      <c r="D1031" s="234" t="s">
        <v>66</v>
      </c>
      <c r="E1031" s="234" t="s">
        <v>480</v>
      </c>
      <c r="F1031" s="234" t="s">
        <v>1043</v>
      </c>
      <c r="G1031" s="235">
        <f>VLOOKUP(K1031,'исх АС БЮДЖЕТ'!$A$10:$H$568,7,0)</f>
        <v>1698000</v>
      </c>
      <c r="H1031" s="235">
        <f>VLOOKUP(K1031,'исх АС БЮДЖЕТ'!$A$10:$H$568,8,0)</f>
        <v>1698000</v>
      </c>
      <c r="I1031" s="234">
        <v>820120420</v>
      </c>
      <c r="J1031" s="370" t="str">
        <f t="shared" si="119"/>
        <v>0820120420</v>
      </c>
      <c r="K1031" s="30" t="str">
        <f t="shared" si="120"/>
        <v>61111020820120420244</v>
      </c>
    </row>
    <row r="1032" spans="1:11" s="3" customFormat="1" ht="25.5">
      <c r="A1032" s="252" t="s">
        <v>814</v>
      </c>
      <c r="B1032" s="233" t="s">
        <v>67</v>
      </c>
      <c r="C1032" s="234" t="s">
        <v>78</v>
      </c>
      <c r="D1032" s="234" t="s">
        <v>66</v>
      </c>
      <c r="E1032" s="234" t="s">
        <v>815</v>
      </c>
      <c r="F1032" s="234" t="s">
        <v>58</v>
      </c>
      <c r="G1032" s="235">
        <f t="shared" ref="G1032:H1034" si="124">G1033</f>
        <v>11250</v>
      </c>
      <c r="H1032" s="235">
        <f t="shared" si="124"/>
        <v>11250</v>
      </c>
      <c r="I1032" s="234">
        <v>820200000</v>
      </c>
      <c r="J1032" s="370" t="str">
        <f t="shared" si="119"/>
        <v>0820200000</v>
      </c>
      <c r="K1032" s="30" t="str">
        <f t="shared" si="120"/>
        <v>61111020820200000000</v>
      </c>
    </row>
    <row r="1033" spans="1:11" s="3" customFormat="1">
      <c r="A1033" s="236" t="s">
        <v>885</v>
      </c>
      <c r="B1033" s="233" t="s">
        <v>67</v>
      </c>
      <c r="C1033" s="234" t="s">
        <v>78</v>
      </c>
      <c r="D1033" s="234" t="s">
        <v>66</v>
      </c>
      <c r="E1033" s="234" t="s">
        <v>816</v>
      </c>
      <c r="F1033" s="234" t="s">
        <v>58</v>
      </c>
      <c r="G1033" s="235">
        <f t="shared" si="124"/>
        <v>11250</v>
      </c>
      <c r="H1033" s="235">
        <f t="shared" si="124"/>
        <v>11250</v>
      </c>
      <c r="I1033" s="234">
        <v>820220440</v>
      </c>
      <c r="J1033" s="370" t="str">
        <f t="shared" si="119"/>
        <v>0820220440</v>
      </c>
      <c r="K1033" s="30" t="str">
        <f t="shared" si="120"/>
        <v>61111020820220440000</v>
      </c>
    </row>
    <row r="1034" spans="1:11" s="3" customFormat="1" ht="25.5">
      <c r="A1034" s="232" t="s">
        <v>108</v>
      </c>
      <c r="B1034" s="233" t="s">
        <v>67</v>
      </c>
      <c r="C1034" s="234" t="s">
        <v>78</v>
      </c>
      <c r="D1034" s="234" t="s">
        <v>66</v>
      </c>
      <c r="E1034" s="234" t="s">
        <v>816</v>
      </c>
      <c r="F1034" s="234" t="s">
        <v>116</v>
      </c>
      <c r="G1034" s="235">
        <f t="shared" si="124"/>
        <v>11250</v>
      </c>
      <c r="H1034" s="235">
        <f t="shared" si="124"/>
        <v>11250</v>
      </c>
      <c r="I1034" s="234">
        <v>820220440</v>
      </c>
      <c r="J1034" s="370" t="str">
        <f t="shared" si="119"/>
        <v>0820220440</v>
      </c>
      <c r="K1034" s="30" t="str">
        <f t="shared" si="120"/>
        <v>61111020820220440240</v>
      </c>
    </row>
    <row r="1035" spans="1:11" s="4" customFormat="1" ht="25.5">
      <c r="A1035" s="236" t="s">
        <v>973</v>
      </c>
      <c r="B1035" s="233" t="s">
        <v>67</v>
      </c>
      <c r="C1035" s="234" t="s">
        <v>78</v>
      </c>
      <c r="D1035" s="234" t="s">
        <v>66</v>
      </c>
      <c r="E1035" s="234" t="s">
        <v>816</v>
      </c>
      <c r="F1035" s="234" t="s">
        <v>1043</v>
      </c>
      <c r="G1035" s="235">
        <f>VLOOKUP(K1035,'исх АС БЮДЖЕТ'!$A$10:$H$568,7,0)</f>
        <v>11250</v>
      </c>
      <c r="H1035" s="235">
        <f>VLOOKUP(K1035,'исх АС БЮДЖЕТ'!$A$10:$H$568,8,0)</f>
        <v>11250</v>
      </c>
      <c r="I1035" s="234">
        <v>820220440</v>
      </c>
      <c r="J1035" s="370" t="str">
        <f t="shared" si="119"/>
        <v>0820220440</v>
      </c>
      <c r="K1035" s="30" t="str">
        <f t="shared" si="120"/>
        <v>61111020820220440244</v>
      </c>
    </row>
    <row r="1036" spans="1:11" s="3" customFormat="1" ht="25.5">
      <c r="A1036" s="252" t="s">
        <v>817</v>
      </c>
      <c r="B1036" s="233" t="s">
        <v>67</v>
      </c>
      <c r="C1036" s="234" t="s">
        <v>78</v>
      </c>
      <c r="D1036" s="234" t="s">
        <v>66</v>
      </c>
      <c r="E1036" s="234" t="s">
        <v>818</v>
      </c>
      <c r="F1036" s="234" t="s">
        <v>58</v>
      </c>
      <c r="G1036" s="235">
        <f t="shared" ref="G1036:H1036" si="125">G1037</f>
        <v>56250</v>
      </c>
      <c r="H1036" s="235">
        <f t="shared" si="125"/>
        <v>56250</v>
      </c>
      <c r="I1036" s="234">
        <v>820300000</v>
      </c>
      <c r="J1036" s="370" t="str">
        <f t="shared" si="119"/>
        <v>0820300000</v>
      </c>
      <c r="K1036" s="30" t="str">
        <f t="shared" si="120"/>
        <v>61111020820300000000</v>
      </c>
    </row>
    <row r="1037" spans="1:11" s="3" customFormat="1" ht="25.5">
      <c r="A1037" s="236" t="s">
        <v>886</v>
      </c>
      <c r="B1037" s="233" t="s">
        <v>67</v>
      </c>
      <c r="C1037" s="234" t="s">
        <v>78</v>
      </c>
      <c r="D1037" s="234" t="s">
        <v>66</v>
      </c>
      <c r="E1037" s="234" t="s">
        <v>908</v>
      </c>
      <c r="F1037" s="234" t="s">
        <v>58</v>
      </c>
      <c r="G1037" s="235">
        <f>G1038</f>
        <v>56250</v>
      </c>
      <c r="H1037" s="235">
        <f>H1038</f>
        <v>56250</v>
      </c>
      <c r="I1037" s="234">
        <v>820321060</v>
      </c>
      <c r="J1037" s="370" t="str">
        <f t="shared" si="119"/>
        <v>0820321060</v>
      </c>
      <c r="K1037" s="30" t="str">
        <f t="shared" si="120"/>
        <v>61111020820321060000</v>
      </c>
    </row>
    <row r="1038" spans="1:11" s="3" customFormat="1" ht="25.5">
      <c r="A1038" s="232" t="s">
        <v>108</v>
      </c>
      <c r="B1038" s="233" t="s">
        <v>67</v>
      </c>
      <c r="C1038" s="234" t="s">
        <v>78</v>
      </c>
      <c r="D1038" s="234" t="s">
        <v>66</v>
      </c>
      <c r="E1038" s="234" t="s">
        <v>908</v>
      </c>
      <c r="F1038" s="234" t="s">
        <v>116</v>
      </c>
      <c r="G1038" s="235">
        <f>G1039</f>
        <v>56250</v>
      </c>
      <c r="H1038" s="235">
        <f>H1039</f>
        <v>56250</v>
      </c>
      <c r="I1038" s="234">
        <v>820321060</v>
      </c>
      <c r="J1038" s="370" t="str">
        <f t="shared" si="119"/>
        <v>0820321060</v>
      </c>
      <c r="K1038" s="30" t="str">
        <f t="shared" si="120"/>
        <v>61111020820321060240</v>
      </c>
    </row>
    <row r="1039" spans="1:11" s="4" customFormat="1" ht="25.5">
      <c r="A1039" s="236" t="s">
        <v>973</v>
      </c>
      <c r="B1039" s="233" t="s">
        <v>67</v>
      </c>
      <c r="C1039" s="234" t="s">
        <v>78</v>
      </c>
      <c r="D1039" s="234" t="s">
        <v>66</v>
      </c>
      <c r="E1039" s="234" t="s">
        <v>908</v>
      </c>
      <c r="F1039" s="234" t="s">
        <v>1043</v>
      </c>
      <c r="G1039" s="235">
        <f>VLOOKUP(K1039,'исх АС БЮДЖЕТ'!$A$10:$H$568,7,0)</f>
        <v>56250</v>
      </c>
      <c r="H1039" s="235">
        <f>VLOOKUP(K1039,'исх АС БЮДЖЕТ'!$A$10:$H$568,8,0)</f>
        <v>56250</v>
      </c>
      <c r="I1039" s="234">
        <v>820321060</v>
      </c>
      <c r="J1039" s="370" t="str">
        <f t="shared" si="119"/>
        <v>0820321060</v>
      </c>
      <c r="K1039" s="30" t="str">
        <f t="shared" si="120"/>
        <v>61111020820321060244</v>
      </c>
    </row>
    <row r="1040" spans="1:11" s="3" customFormat="1">
      <c r="A1040" s="228" t="s">
        <v>82</v>
      </c>
      <c r="B1040" s="229" t="s">
        <v>67</v>
      </c>
      <c r="C1040" s="230" t="s">
        <v>78</v>
      </c>
      <c r="D1040" s="230" t="s">
        <v>8</v>
      </c>
      <c r="E1040" s="230" t="s">
        <v>196</v>
      </c>
      <c r="F1040" s="230" t="s">
        <v>58</v>
      </c>
      <c r="G1040" s="231">
        <f t="shared" ref="G1040:H1041" si="126">G1041</f>
        <v>9792230</v>
      </c>
      <c r="H1040" s="231">
        <f t="shared" si="126"/>
        <v>9792230</v>
      </c>
      <c r="I1040" s="230">
        <v>0</v>
      </c>
      <c r="J1040" s="370" t="str">
        <f t="shared" si="119"/>
        <v>0000000000</v>
      </c>
      <c r="K1040" s="30" t="str">
        <f t="shared" si="120"/>
        <v>61111050000000000000</v>
      </c>
    </row>
    <row r="1041" spans="1:11" s="3" customFormat="1" ht="25.5">
      <c r="A1041" s="232" t="s">
        <v>698</v>
      </c>
      <c r="B1041" s="233" t="s">
        <v>67</v>
      </c>
      <c r="C1041" s="234" t="s">
        <v>78</v>
      </c>
      <c r="D1041" s="234" t="s">
        <v>8</v>
      </c>
      <c r="E1041" s="234" t="s">
        <v>481</v>
      </c>
      <c r="F1041" s="234" t="s">
        <v>58</v>
      </c>
      <c r="G1041" s="235">
        <f t="shared" si="126"/>
        <v>9792230</v>
      </c>
      <c r="H1041" s="235">
        <f t="shared" si="126"/>
        <v>9792230</v>
      </c>
      <c r="I1041" s="234">
        <v>7800000000</v>
      </c>
      <c r="J1041" s="370" t="str">
        <f t="shared" si="119"/>
        <v>7800000000</v>
      </c>
      <c r="K1041" s="30" t="str">
        <f t="shared" si="120"/>
        <v>61111057800000000000</v>
      </c>
    </row>
    <row r="1042" spans="1:11" s="3" customFormat="1" ht="25.5">
      <c r="A1042" s="232" t="s">
        <v>699</v>
      </c>
      <c r="B1042" s="233" t="s">
        <v>67</v>
      </c>
      <c r="C1042" s="234" t="s">
        <v>78</v>
      </c>
      <c r="D1042" s="234" t="s">
        <v>8</v>
      </c>
      <c r="E1042" s="234" t="s">
        <v>482</v>
      </c>
      <c r="F1042" s="234" t="s">
        <v>58</v>
      </c>
      <c r="G1042" s="235">
        <f>G1043+G1052</f>
        <v>9792230</v>
      </c>
      <c r="H1042" s="235">
        <f>H1043+H1052</f>
        <v>9792230</v>
      </c>
      <c r="I1042" s="234">
        <v>7810000000</v>
      </c>
      <c r="J1042" s="370" t="str">
        <f t="shared" si="119"/>
        <v>7810000000</v>
      </c>
      <c r="K1042" s="30" t="str">
        <f t="shared" si="120"/>
        <v>61111057810000000000</v>
      </c>
    </row>
    <row r="1043" spans="1:11" s="3" customFormat="1" ht="25.5">
      <c r="A1043" s="232" t="s">
        <v>114</v>
      </c>
      <c r="B1043" s="233" t="s">
        <v>67</v>
      </c>
      <c r="C1043" s="234" t="s">
        <v>78</v>
      </c>
      <c r="D1043" s="234" t="s">
        <v>8</v>
      </c>
      <c r="E1043" s="234" t="s">
        <v>483</v>
      </c>
      <c r="F1043" s="234" t="s">
        <v>58</v>
      </c>
      <c r="G1043" s="235">
        <f>G1044+G1047+G1049</f>
        <v>1028750</v>
      </c>
      <c r="H1043" s="235">
        <f>H1044+H1047+H1049</f>
        <v>1028750</v>
      </c>
      <c r="I1043" s="234">
        <v>7810010010</v>
      </c>
      <c r="J1043" s="370" t="str">
        <f t="shared" si="119"/>
        <v>7810010010</v>
      </c>
      <c r="K1043" s="30" t="str">
        <f t="shared" si="120"/>
        <v>61111057810010010000</v>
      </c>
    </row>
    <row r="1044" spans="1:11" s="3" customFormat="1">
      <c r="A1044" s="236" t="s">
        <v>107</v>
      </c>
      <c r="B1044" s="233" t="s">
        <v>67</v>
      </c>
      <c r="C1044" s="234" t="s">
        <v>78</v>
      </c>
      <c r="D1044" s="234" t="s">
        <v>8</v>
      </c>
      <c r="E1044" s="234" t="s">
        <v>483</v>
      </c>
      <c r="F1044" s="234" t="s">
        <v>115</v>
      </c>
      <c r="G1044" s="235">
        <f>SUM(G1045:G1046)</f>
        <v>235450</v>
      </c>
      <c r="H1044" s="235">
        <f>SUM(H1045:H1046)</f>
        <v>235450</v>
      </c>
      <c r="I1044" s="234">
        <v>7810010010</v>
      </c>
      <c r="J1044" s="370" t="str">
        <f t="shared" si="119"/>
        <v>7810010010</v>
      </c>
      <c r="K1044" s="30" t="str">
        <f t="shared" si="120"/>
        <v>61111057810010010120</v>
      </c>
    </row>
    <row r="1045" spans="1:11" s="3" customFormat="1" ht="25.5">
      <c r="A1045" s="232" t="s">
        <v>937</v>
      </c>
      <c r="B1045" s="233" t="s">
        <v>67</v>
      </c>
      <c r="C1045" s="234" t="s">
        <v>78</v>
      </c>
      <c r="D1045" s="234" t="s">
        <v>8</v>
      </c>
      <c r="E1045" s="234" t="s">
        <v>483</v>
      </c>
      <c r="F1045" s="234" t="s">
        <v>1059</v>
      </c>
      <c r="G1045" s="235">
        <f>VLOOKUP(K1045,'исх АС БЮДЖЕТ'!$A$10:$H$568,7,0)</f>
        <v>180840</v>
      </c>
      <c r="H1045" s="235">
        <f>VLOOKUP(K1045,'исх АС БЮДЖЕТ'!$A$10:$H$568,8,0)</f>
        <v>180840</v>
      </c>
      <c r="I1045" s="234">
        <v>7810010010</v>
      </c>
      <c r="J1045" s="370" t="str">
        <f t="shared" si="119"/>
        <v>7810010010</v>
      </c>
      <c r="K1045" s="30" t="str">
        <f t="shared" si="120"/>
        <v>61111057810010010122</v>
      </c>
    </row>
    <row r="1046" spans="1:11" s="3" customFormat="1" ht="38.25">
      <c r="A1046" s="232" t="s">
        <v>939</v>
      </c>
      <c r="B1046" s="233" t="s">
        <v>67</v>
      </c>
      <c r="C1046" s="234" t="s">
        <v>78</v>
      </c>
      <c r="D1046" s="234" t="s">
        <v>8</v>
      </c>
      <c r="E1046" s="234" t="s">
        <v>483</v>
      </c>
      <c r="F1046" s="234" t="s">
        <v>1060</v>
      </c>
      <c r="G1046" s="235">
        <f>VLOOKUP(K1046,'исх АС БЮДЖЕТ'!$A$10:$H$568,7,0)</f>
        <v>54610</v>
      </c>
      <c r="H1046" s="235">
        <f>VLOOKUP(K1046,'исх АС БЮДЖЕТ'!$A$10:$H$568,8,0)</f>
        <v>54610</v>
      </c>
      <c r="I1046" s="234">
        <v>7810010010</v>
      </c>
      <c r="J1046" s="370" t="str">
        <f t="shared" si="119"/>
        <v>7810010010</v>
      </c>
      <c r="K1046" s="30" t="str">
        <f t="shared" si="120"/>
        <v>61111057810010010129</v>
      </c>
    </row>
    <row r="1047" spans="1:11" s="3" customFormat="1" ht="25.5">
      <c r="A1047" s="232" t="s">
        <v>108</v>
      </c>
      <c r="B1047" s="233" t="s">
        <v>67</v>
      </c>
      <c r="C1047" s="234" t="s">
        <v>78</v>
      </c>
      <c r="D1047" s="234" t="s">
        <v>8</v>
      </c>
      <c r="E1047" s="234" t="s">
        <v>483</v>
      </c>
      <c r="F1047" s="234" t="s">
        <v>116</v>
      </c>
      <c r="G1047" s="235">
        <f>G1048</f>
        <v>786300</v>
      </c>
      <c r="H1047" s="235">
        <f>H1048</f>
        <v>786300</v>
      </c>
      <c r="I1047" s="234">
        <v>7810010010</v>
      </c>
      <c r="J1047" s="370" t="str">
        <f t="shared" si="119"/>
        <v>7810010010</v>
      </c>
      <c r="K1047" s="30" t="str">
        <f t="shared" si="120"/>
        <v>61111057810010010240</v>
      </c>
    </row>
    <row r="1048" spans="1:11" s="4" customFormat="1" ht="25.5">
      <c r="A1048" s="236" t="s">
        <v>973</v>
      </c>
      <c r="B1048" s="233" t="s">
        <v>67</v>
      </c>
      <c r="C1048" s="234" t="s">
        <v>78</v>
      </c>
      <c r="D1048" s="234" t="s">
        <v>8</v>
      </c>
      <c r="E1048" s="234" t="s">
        <v>483</v>
      </c>
      <c r="F1048" s="234" t="s">
        <v>1043</v>
      </c>
      <c r="G1048" s="235">
        <f>VLOOKUP(K1048,'исх АС БЮДЖЕТ'!$A$10:$H$568,7,0)</f>
        <v>786300</v>
      </c>
      <c r="H1048" s="235">
        <f>VLOOKUP(K1048,'исх АС БЮДЖЕТ'!$A$10:$H$568,8,0)</f>
        <v>786300</v>
      </c>
      <c r="I1048" s="234">
        <v>7810010010</v>
      </c>
      <c r="J1048" s="370" t="str">
        <f t="shared" si="119"/>
        <v>7810010010</v>
      </c>
      <c r="K1048" s="30" t="str">
        <f t="shared" si="120"/>
        <v>61111057810010010244</v>
      </c>
    </row>
    <row r="1049" spans="1:11" s="3" customFormat="1">
      <c r="A1049" s="232" t="s">
        <v>97</v>
      </c>
      <c r="B1049" s="233" t="s">
        <v>67</v>
      </c>
      <c r="C1049" s="234" t="s">
        <v>78</v>
      </c>
      <c r="D1049" s="234" t="s">
        <v>8</v>
      </c>
      <c r="E1049" s="234" t="s">
        <v>483</v>
      </c>
      <c r="F1049" s="234" t="s">
        <v>118</v>
      </c>
      <c r="G1049" s="235">
        <f>SUM(G1050:G1051)</f>
        <v>7000</v>
      </c>
      <c r="H1049" s="235">
        <f>SUM(H1050:H1051)</f>
        <v>7000</v>
      </c>
      <c r="I1049" s="234">
        <v>7810010010</v>
      </c>
      <c r="J1049" s="370" t="str">
        <f t="shared" si="119"/>
        <v>7810010010</v>
      </c>
      <c r="K1049" s="30" t="str">
        <f t="shared" si="120"/>
        <v>61111057810010010850</v>
      </c>
    </row>
    <row r="1050" spans="1:11" s="3" customFormat="1">
      <c r="A1050" s="232" t="s">
        <v>1036</v>
      </c>
      <c r="B1050" s="233" t="s">
        <v>67</v>
      </c>
      <c r="C1050" s="234" t="s">
        <v>78</v>
      </c>
      <c r="D1050" s="234" t="s">
        <v>8</v>
      </c>
      <c r="E1050" s="234" t="s">
        <v>483</v>
      </c>
      <c r="F1050" s="234" t="s">
        <v>1061</v>
      </c>
      <c r="G1050" s="235">
        <f>VLOOKUP(K1050,'исх АС БЮДЖЕТ'!$A$10:$H$568,7,0)</f>
        <v>2000</v>
      </c>
      <c r="H1050" s="235">
        <f>VLOOKUP(K1050,'исх АС БЮДЖЕТ'!$A$10:$H$568,8,0)</f>
        <v>2000</v>
      </c>
      <c r="I1050" s="234">
        <v>7810010010</v>
      </c>
      <c r="J1050" s="370" t="str">
        <f t="shared" ref="J1050:J1105" si="127">TEXT(I1050,"0000000000")</f>
        <v>7810010010</v>
      </c>
      <c r="K1050" s="30" t="str">
        <f t="shared" ref="K1050:K1105" si="128">CONCATENATE(B1050,C1050,D1050,J1050,F1050)</f>
        <v>61111057810010010851</v>
      </c>
    </row>
    <row r="1051" spans="1:11" s="3" customFormat="1">
      <c r="A1051" s="236" t="s">
        <v>1037</v>
      </c>
      <c r="B1051" s="233" t="s">
        <v>67</v>
      </c>
      <c r="C1051" s="234" t="s">
        <v>78</v>
      </c>
      <c r="D1051" s="234" t="s">
        <v>8</v>
      </c>
      <c r="E1051" s="234" t="s">
        <v>483</v>
      </c>
      <c r="F1051" s="234" t="s">
        <v>1062</v>
      </c>
      <c r="G1051" s="235">
        <f>'исх АС БЮДЖЕТ'!G359</f>
        <v>5000</v>
      </c>
      <c r="H1051" s="235">
        <f>'исх АС БЮДЖЕТ'!H359</f>
        <v>5000</v>
      </c>
      <c r="I1051" s="234"/>
      <c r="J1051" s="370"/>
      <c r="K1051" s="30"/>
    </row>
    <row r="1052" spans="1:11" s="3" customFormat="1" ht="25.5">
      <c r="A1052" s="232" t="s">
        <v>126</v>
      </c>
      <c r="B1052" s="233" t="s">
        <v>67</v>
      </c>
      <c r="C1052" s="234" t="s">
        <v>78</v>
      </c>
      <c r="D1052" s="234" t="s">
        <v>8</v>
      </c>
      <c r="E1052" s="234" t="s">
        <v>484</v>
      </c>
      <c r="F1052" s="234" t="s">
        <v>58</v>
      </c>
      <c r="G1052" s="235">
        <f>G1053</f>
        <v>8763480</v>
      </c>
      <c r="H1052" s="235">
        <f>H1053</f>
        <v>8763480</v>
      </c>
      <c r="I1052" s="234">
        <v>7810010020</v>
      </c>
      <c r="J1052" s="370" t="str">
        <f t="shared" si="127"/>
        <v>7810010020</v>
      </c>
      <c r="K1052" s="30" t="str">
        <f t="shared" si="128"/>
        <v>61111057810010020000</v>
      </c>
    </row>
    <row r="1053" spans="1:11" s="3" customFormat="1">
      <c r="A1053" s="232" t="s">
        <v>107</v>
      </c>
      <c r="B1053" s="233" t="s">
        <v>67</v>
      </c>
      <c r="C1053" s="234" t="s">
        <v>78</v>
      </c>
      <c r="D1053" s="234" t="s">
        <v>8</v>
      </c>
      <c r="E1053" s="234" t="s">
        <v>484</v>
      </c>
      <c r="F1053" s="234" t="s">
        <v>115</v>
      </c>
      <c r="G1053" s="235">
        <f>SUM(G1054:G1055)</f>
        <v>8763480</v>
      </c>
      <c r="H1053" s="235">
        <f>SUM(H1054:H1055)</f>
        <v>8763480</v>
      </c>
      <c r="I1053" s="234">
        <v>7810010020</v>
      </c>
      <c r="J1053" s="370" t="str">
        <f t="shared" si="127"/>
        <v>7810010020</v>
      </c>
      <c r="K1053" s="30" t="str">
        <f t="shared" si="128"/>
        <v>61111057810010020120</v>
      </c>
    </row>
    <row r="1054" spans="1:11" s="3" customFormat="1">
      <c r="A1054" s="232" t="s">
        <v>936</v>
      </c>
      <c r="B1054" s="233" t="s">
        <v>67</v>
      </c>
      <c r="C1054" s="234" t="s">
        <v>78</v>
      </c>
      <c r="D1054" s="234" t="s">
        <v>8</v>
      </c>
      <c r="E1054" s="234" t="s">
        <v>484</v>
      </c>
      <c r="F1054" s="234" t="s">
        <v>1063</v>
      </c>
      <c r="G1054" s="235">
        <f>VLOOKUP(K1054,'исх АС БЮДЖЕТ'!$A$10:$H$568,7,0)</f>
        <v>6730780</v>
      </c>
      <c r="H1054" s="235">
        <f>VLOOKUP(K1054,'исх АС БЮДЖЕТ'!$A$10:$H$568,8,0)</f>
        <v>6730780</v>
      </c>
      <c r="I1054" s="234">
        <v>7810010020</v>
      </c>
      <c r="J1054" s="370" t="str">
        <f t="shared" si="127"/>
        <v>7810010020</v>
      </c>
      <c r="K1054" s="30" t="str">
        <f t="shared" si="128"/>
        <v>61111057810010020121</v>
      </c>
    </row>
    <row r="1055" spans="1:11" s="3" customFormat="1" ht="38.25">
      <c r="A1055" s="232" t="s">
        <v>939</v>
      </c>
      <c r="B1055" s="233" t="s">
        <v>67</v>
      </c>
      <c r="C1055" s="234" t="s">
        <v>78</v>
      </c>
      <c r="D1055" s="234" t="s">
        <v>8</v>
      </c>
      <c r="E1055" s="234" t="s">
        <v>484</v>
      </c>
      <c r="F1055" s="234" t="s">
        <v>1060</v>
      </c>
      <c r="G1055" s="235">
        <f>VLOOKUP(K1055,'исх АС БЮДЖЕТ'!$A$10:$H$568,7,0)</f>
        <v>2032700</v>
      </c>
      <c r="H1055" s="235">
        <f>VLOOKUP(K1055,'исх АС БЮДЖЕТ'!$A$10:$H$568,8,0)</f>
        <v>2032700</v>
      </c>
      <c r="I1055" s="234">
        <v>7810010020</v>
      </c>
      <c r="J1055" s="370" t="str">
        <f t="shared" si="127"/>
        <v>7810010020</v>
      </c>
      <c r="K1055" s="30" t="str">
        <f t="shared" si="128"/>
        <v>61111057810010020129</v>
      </c>
    </row>
    <row r="1056" spans="1:11" s="3" customFormat="1">
      <c r="A1056" s="232"/>
      <c r="B1056" s="233"/>
      <c r="C1056" s="234"/>
      <c r="D1056" s="234"/>
      <c r="E1056" s="234"/>
      <c r="F1056" s="234"/>
      <c r="G1056" s="235"/>
      <c r="H1056" s="235"/>
      <c r="I1056" s="234"/>
      <c r="J1056" s="370"/>
      <c r="K1056" s="30"/>
    </row>
    <row r="1057" spans="1:11" s="3" customFormat="1">
      <c r="A1057" s="219" t="s">
        <v>4</v>
      </c>
      <c r="B1057" s="220" t="s">
        <v>5</v>
      </c>
      <c r="C1057" s="221" t="s">
        <v>51</v>
      </c>
      <c r="D1057" s="221" t="s">
        <v>51</v>
      </c>
      <c r="E1057" s="221" t="s">
        <v>196</v>
      </c>
      <c r="F1057" s="221" t="s">
        <v>58</v>
      </c>
      <c r="G1057" s="222">
        <f>G1058+G1095+G1106+G1128</f>
        <v>116143740</v>
      </c>
      <c r="H1057" s="222">
        <f>H1058+H1095+H1106+H1128</f>
        <v>116143740</v>
      </c>
      <c r="I1057" s="221">
        <v>0</v>
      </c>
      <c r="J1057" s="370" t="str">
        <f t="shared" si="127"/>
        <v>0000000000</v>
      </c>
      <c r="K1057" s="30" t="str">
        <f t="shared" si="128"/>
        <v>61700000000000000000</v>
      </c>
    </row>
    <row r="1058" spans="1:11" s="3" customFormat="1">
      <c r="A1058" s="224" t="s">
        <v>64</v>
      </c>
      <c r="B1058" s="225" t="s">
        <v>5</v>
      </c>
      <c r="C1058" s="226" t="s">
        <v>65</v>
      </c>
      <c r="D1058" s="226" t="s">
        <v>51</v>
      </c>
      <c r="E1058" s="226" t="s">
        <v>196</v>
      </c>
      <c r="F1058" s="226" t="s">
        <v>58</v>
      </c>
      <c r="G1058" s="227">
        <f>G1059+G1085</f>
        <v>32713680</v>
      </c>
      <c r="H1058" s="227">
        <f>H1059+H1085</f>
        <v>32713680</v>
      </c>
      <c r="I1058" s="226">
        <v>0</v>
      </c>
      <c r="J1058" s="370" t="str">
        <f t="shared" si="127"/>
        <v>0000000000</v>
      </c>
      <c r="K1058" s="30" t="str">
        <f t="shared" si="128"/>
        <v>61701000000000000000</v>
      </c>
    </row>
    <row r="1059" spans="1:11" s="3" customFormat="1" ht="38.25">
      <c r="A1059" s="228" t="s">
        <v>31</v>
      </c>
      <c r="B1059" s="229" t="s">
        <v>5</v>
      </c>
      <c r="C1059" s="230" t="s">
        <v>65</v>
      </c>
      <c r="D1059" s="230" t="s">
        <v>37</v>
      </c>
      <c r="E1059" s="230" t="s">
        <v>196</v>
      </c>
      <c r="F1059" s="230" t="s">
        <v>58</v>
      </c>
      <c r="G1059" s="231">
        <f t="shared" ref="G1059:H1060" si="129">G1060</f>
        <v>32323480</v>
      </c>
      <c r="H1059" s="231">
        <f t="shared" si="129"/>
        <v>32323480</v>
      </c>
      <c r="I1059" s="230">
        <v>0</v>
      </c>
      <c r="J1059" s="370" t="str">
        <f t="shared" si="127"/>
        <v>0000000000</v>
      </c>
      <c r="K1059" s="30" t="str">
        <f t="shared" si="128"/>
        <v>61701040000000000000</v>
      </c>
    </row>
    <row r="1060" spans="1:11" s="3" customFormat="1">
      <c r="A1060" s="252" t="s">
        <v>146</v>
      </c>
      <c r="B1060" s="241" t="s">
        <v>5</v>
      </c>
      <c r="C1060" s="242" t="s">
        <v>65</v>
      </c>
      <c r="D1060" s="242" t="s">
        <v>37</v>
      </c>
      <c r="E1060" s="242" t="s">
        <v>485</v>
      </c>
      <c r="F1060" s="242" t="s">
        <v>58</v>
      </c>
      <c r="G1060" s="243">
        <f t="shared" si="129"/>
        <v>32323480</v>
      </c>
      <c r="H1060" s="243">
        <f t="shared" si="129"/>
        <v>32323480</v>
      </c>
      <c r="I1060" s="242">
        <v>8000000000</v>
      </c>
      <c r="J1060" s="370" t="str">
        <f t="shared" si="127"/>
        <v>8000000000</v>
      </c>
      <c r="K1060" s="30" t="str">
        <f t="shared" si="128"/>
        <v>61701048000000000000</v>
      </c>
    </row>
    <row r="1061" spans="1:11" s="3" customFormat="1" ht="25.5">
      <c r="A1061" s="252" t="s">
        <v>147</v>
      </c>
      <c r="B1061" s="241" t="s">
        <v>5</v>
      </c>
      <c r="C1061" s="242" t="s">
        <v>65</v>
      </c>
      <c r="D1061" s="242" t="s">
        <v>37</v>
      </c>
      <c r="E1061" s="242" t="s">
        <v>486</v>
      </c>
      <c r="F1061" s="242" t="s">
        <v>58</v>
      </c>
      <c r="G1061" s="243">
        <f>G1062+G1071+G1075+G1082</f>
        <v>32323480</v>
      </c>
      <c r="H1061" s="243">
        <f>H1062+H1071+H1075+H1082</f>
        <v>32323480</v>
      </c>
      <c r="I1061" s="242">
        <v>8010000000</v>
      </c>
      <c r="J1061" s="370" t="str">
        <f t="shared" si="127"/>
        <v>8010000000</v>
      </c>
      <c r="K1061" s="30" t="str">
        <f t="shared" si="128"/>
        <v>61701048010000000000</v>
      </c>
    </row>
    <row r="1062" spans="1:11" s="3" customFormat="1" ht="25.5">
      <c r="A1062" s="232" t="s">
        <v>114</v>
      </c>
      <c r="B1062" s="241" t="s">
        <v>5</v>
      </c>
      <c r="C1062" s="242" t="s">
        <v>65</v>
      </c>
      <c r="D1062" s="242" t="s">
        <v>37</v>
      </c>
      <c r="E1062" s="242" t="s">
        <v>487</v>
      </c>
      <c r="F1062" s="242" t="s">
        <v>58</v>
      </c>
      <c r="G1062" s="243">
        <f>G1063+G1066+G1068</f>
        <v>3538210</v>
      </c>
      <c r="H1062" s="243">
        <f>H1063+H1066+H1068</f>
        <v>3538210</v>
      </c>
      <c r="I1062" s="242">
        <v>8010010010</v>
      </c>
      <c r="J1062" s="370" t="str">
        <f t="shared" si="127"/>
        <v>8010010010</v>
      </c>
      <c r="K1062" s="30" t="str">
        <f t="shared" si="128"/>
        <v>61701048010010010000</v>
      </c>
    </row>
    <row r="1063" spans="1:11" s="3" customFormat="1">
      <c r="A1063" s="236" t="s">
        <v>107</v>
      </c>
      <c r="B1063" s="241" t="s">
        <v>5</v>
      </c>
      <c r="C1063" s="242" t="s">
        <v>65</v>
      </c>
      <c r="D1063" s="242" t="s">
        <v>37</v>
      </c>
      <c r="E1063" s="242" t="s">
        <v>487</v>
      </c>
      <c r="F1063" s="242" t="s">
        <v>115</v>
      </c>
      <c r="G1063" s="243">
        <f>SUM(G1064:G1065)</f>
        <v>620460</v>
      </c>
      <c r="H1063" s="243">
        <f>SUM(H1064:H1065)</f>
        <v>620460</v>
      </c>
      <c r="I1063" s="242">
        <v>8010010010</v>
      </c>
      <c r="J1063" s="370" t="str">
        <f t="shared" si="127"/>
        <v>8010010010</v>
      </c>
      <c r="K1063" s="30" t="str">
        <f t="shared" si="128"/>
        <v>61701048010010010120</v>
      </c>
    </row>
    <row r="1064" spans="1:11" s="3" customFormat="1" ht="25.5">
      <c r="A1064" s="232" t="s">
        <v>937</v>
      </c>
      <c r="B1064" s="233" t="s">
        <v>5</v>
      </c>
      <c r="C1064" s="234" t="s">
        <v>65</v>
      </c>
      <c r="D1064" s="234" t="s">
        <v>37</v>
      </c>
      <c r="E1064" s="234" t="s">
        <v>487</v>
      </c>
      <c r="F1064" s="234" t="s">
        <v>1059</v>
      </c>
      <c r="G1064" s="235">
        <f>VLOOKUP(K1064,'исх АС БЮДЖЕТ'!$A$10:$H$568,7,0)</f>
        <v>476560</v>
      </c>
      <c r="H1064" s="235">
        <f>VLOOKUP(K1064,'исх АС БЮДЖЕТ'!$A$10:$H$568,8,0)</f>
        <v>476560</v>
      </c>
      <c r="I1064" s="234">
        <v>8010010010</v>
      </c>
      <c r="J1064" s="370" t="str">
        <f t="shared" si="127"/>
        <v>8010010010</v>
      </c>
      <c r="K1064" s="30" t="str">
        <f t="shared" si="128"/>
        <v>61701048010010010122</v>
      </c>
    </row>
    <row r="1065" spans="1:11" s="3" customFormat="1" ht="38.25">
      <c r="A1065" s="232" t="s">
        <v>939</v>
      </c>
      <c r="B1065" s="233" t="s">
        <v>5</v>
      </c>
      <c r="C1065" s="234" t="s">
        <v>65</v>
      </c>
      <c r="D1065" s="234" t="s">
        <v>37</v>
      </c>
      <c r="E1065" s="234" t="s">
        <v>487</v>
      </c>
      <c r="F1065" s="234" t="s">
        <v>1060</v>
      </c>
      <c r="G1065" s="235">
        <f>VLOOKUP(K1065,'исх АС БЮДЖЕТ'!$A$10:$H$568,7,0)</f>
        <v>143900</v>
      </c>
      <c r="H1065" s="235">
        <f>VLOOKUP(K1065,'исх АС БЮДЖЕТ'!$A$10:$H$568,8,0)</f>
        <v>143900</v>
      </c>
      <c r="I1065" s="234">
        <v>8010010010</v>
      </c>
      <c r="J1065" s="370" t="str">
        <f t="shared" si="127"/>
        <v>8010010010</v>
      </c>
      <c r="K1065" s="30" t="str">
        <f t="shared" si="128"/>
        <v>61701048010010010129</v>
      </c>
    </row>
    <row r="1066" spans="1:11" s="3" customFormat="1" ht="25.5">
      <c r="A1066" s="232" t="s">
        <v>108</v>
      </c>
      <c r="B1066" s="241" t="s">
        <v>5</v>
      </c>
      <c r="C1066" s="242" t="s">
        <v>65</v>
      </c>
      <c r="D1066" s="242" t="s">
        <v>37</v>
      </c>
      <c r="E1066" s="242" t="s">
        <v>487</v>
      </c>
      <c r="F1066" s="242" t="s">
        <v>116</v>
      </c>
      <c r="G1066" s="243">
        <f>G1067</f>
        <v>2820750</v>
      </c>
      <c r="H1066" s="243">
        <f>H1067</f>
        <v>2820750</v>
      </c>
      <c r="I1066" s="242">
        <v>8010010010</v>
      </c>
      <c r="J1066" s="370" t="str">
        <f t="shared" si="127"/>
        <v>8010010010</v>
      </c>
      <c r="K1066" s="30" t="str">
        <f t="shared" si="128"/>
        <v>61701048010010010240</v>
      </c>
    </row>
    <row r="1067" spans="1:11" s="4" customFormat="1" ht="25.5">
      <c r="A1067" s="236" t="s">
        <v>973</v>
      </c>
      <c r="B1067" s="241" t="s">
        <v>5</v>
      </c>
      <c r="C1067" s="242" t="s">
        <v>65</v>
      </c>
      <c r="D1067" s="242" t="s">
        <v>37</v>
      </c>
      <c r="E1067" s="242" t="s">
        <v>487</v>
      </c>
      <c r="F1067" s="242" t="s">
        <v>1043</v>
      </c>
      <c r="G1067" s="235">
        <f>VLOOKUP(K1067,'исх АС БЮДЖЕТ'!$A$10:$H$568,7,0)</f>
        <v>2820750</v>
      </c>
      <c r="H1067" s="235">
        <f>VLOOKUP(K1067,'исх АС БЮДЖЕТ'!$A$10:$H$568,8,0)</f>
        <v>2820750</v>
      </c>
      <c r="I1067" s="242">
        <v>8010010010</v>
      </c>
      <c r="J1067" s="370" t="str">
        <f t="shared" si="127"/>
        <v>8010010010</v>
      </c>
      <c r="K1067" s="30" t="str">
        <f t="shared" si="128"/>
        <v>61701048010010010244</v>
      </c>
    </row>
    <row r="1068" spans="1:11" s="3" customFormat="1">
      <c r="A1068" s="232" t="s">
        <v>97</v>
      </c>
      <c r="B1068" s="233" t="s">
        <v>5</v>
      </c>
      <c r="C1068" s="234" t="s">
        <v>65</v>
      </c>
      <c r="D1068" s="234" t="s">
        <v>37</v>
      </c>
      <c r="E1068" s="234" t="s">
        <v>487</v>
      </c>
      <c r="F1068" s="234" t="s">
        <v>118</v>
      </c>
      <c r="G1068" s="235">
        <f>SUM(G1069:G1070)</f>
        <v>97000</v>
      </c>
      <c r="H1068" s="235">
        <f>SUM(H1069:H1070)</f>
        <v>97000</v>
      </c>
      <c r="I1068" s="234">
        <v>8010010010</v>
      </c>
      <c r="J1068" s="370" t="str">
        <f t="shared" si="127"/>
        <v>8010010010</v>
      </c>
      <c r="K1068" s="30" t="str">
        <f t="shared" si="128"/>
        <v>61701048010010010850</v>
      </c>
    </row>
    <row r="1069" spans="1:11" s="3" customFormat="1">
      <c r="A1069" s="232" t="s">
        <v>1036</v>
      </c>
      <c r="B1069" s="233" t="s">
        <v>5</v>
      </c>
      <c r="C1069" s="234" t="s">
        <v>65</v>
      </c>
      <c r="D1069" s="234" t="s">
        <v>37</v>
      </c>
      <c r="E1069" s="234" t="s">
        <v>487</v>
      </c>
      <c r="F1069" s="234" t="s">
        <v>1061</v>
      </c>
      <c r="G1069" s="235">
        <f>VLOOKUP(K1069,'исх АС БЮДЖЕТ'!$A$10:$H$568,7,0)</f>
        <v>77000</v>
      </c>
      <c r="H1069" s="235">
        <f>VLOOKUP(K1069,'исх АС БЮДЖЕТ'!$A$10:$H$568,8,0)</f>
        <v>77000</v>
      </c>
      <c r="I1069" s="234">
        <v>8010010010</v>
      </c>
      <c r="J1069" s="370" t="str">
        <f t="shared" si="127"/>
        <v>8010010010</v>
      </c>
      <c r="K1069" s="30" t="str">
        <f t="shared" si="128"/>
        <v>61701048010010010851</v>
      </c>
    </row>
    <row r="1070" spans="1:11" s="3" customFormat="1">
      <c r="A1070" s="232" t="s">
        <v>1037</v>
      </c>
      <c r="B1070" s="233" t="s">
        <v>5</v>
      </c>
      <c r="C1070" s="234" t="s">
        <v>65</v>
      </c>
      <c r="D1070" s="234" t="s">
        <v>37</v>
      </c>
      <c r="E1070" s="234" t="s">
        <v>487</v>
      </c>
      <c r="F1070" s="234" t="s">
        <v>1062</v>
      </c>
      <c r="G1070" s="235">
        <f>VLOOKUP(K1070,'исх АС БЮДЖЕТ'!$A$10:$H$568,7,0)</f>
        <v>20000</v>
      </c>
      <c r="H1070" s="235">
        <f>VLOOKUP(K1070,'исх АС БЮДЖЕТ'!$A$10:$H$568,8,0)</f>
        <v>20000</v>
      </c>
      <c r="I1070" s="234">
        <v>8010010010</v>
      </c>
      <c r="J1070" s="370" t="str">
        <f t="shared" si="127"/>
        <v>8010010010</v>
      </c>
      <c r="K1070" s="30" t="str">
        <f t="shared" si="128"/>
        <v>61701048010010010852</v>
      </c>
    </row>
    <row r="1071" spans="1:11" s="3" customFormat="1" ht="25.5">
      <c r="A1071" s="232" t="s">
        <v>126</v>
      </c>
      <c r="B1071" s="233" t="s">
        <v>5</v>
      </c>
      <c r="C1071" s="234" t="s">
        <v>65</v>
      </c>
      <c r="D1071" s="234" t="s">
        <v>37</v>
      </c>
      <c r="E1071" s="234" t="s">
        <v>488</v>
      </c>
      <c r="F1071" s="234" t="s">
        <v>58</v>
      </c>
      <c r="G1071" s="235">
        <f>G1072</f>
        <v>27685780</v>
      </c>
      <c r="H1071" s="235">
        <f>H1072</f>
        <v>27685780</v>
      </c>
      <c r="I1071" s="234">
        <v>8010010020</v>
      </c>
      <c r="J1071" s="370" t="str">
        <f t="shared" si="127"/>
        <v>8010010020</v>
      </c>
      <c r="K1071" s="30" t="str">
        <f t="shared" si="128"/>
        <v>61701048010010020000</v>
      </c>
    </row>
    <row r="1072" spans="1:11" s="3" customFormat="1">
      <c r="A1072" s="232" t="s">
        <v>107</v>
      </c>
      <c r="B1072" s="233" t="s">
        <v>5</v>
      </c>
      <c r="C1072" s="234" t="s">
        <v>65</v>
      </c>
      <c r="D1072" s="234" t="s">
        <v>37</v>
      </c>
      <c r="E1072" s="234" t="s">
        <v>488</v>
      </c>
      <c r="F1072" s="234" t="s">
        <v>115</v>
      </c>
      <c r="G1072" s="235">
        <f>SUM(G1073:G1074)</f>
        <v>27685780</v>
      </c>
      <c r="H1072" s="235">
        <f>SUM(H1073:H1074)</f>
        <v>27685780</v>
      </c>
      <c r="I1072" s="234">
        <v>8010010020</v>
      </c>
      <c r="J1072" s="370" t="str">
        <f t="shared" si="127"/>
        <v>8010010020</v>
      </c>
      <c r="K1072" s="30" t="str">
        <f t="shared" si="128"/>
        <v>61701048010010020120</v>
      </c>
    </row>
    <row r="1073" spans="1:11" s="3" customFormat="1">
      <c r="A1073" s="232" t="s">
        <v>936</v>
      </c>
      <c r="B1073" s="233" t="s">
        <v>5</v>
      </c>
      <c r="C1073" s="234" t="s">
        <v>65</v>
      </c>
      <c r="D1073" s="234" t="s">
        <v>37</v>
      </c>
      <c r="E1073" s="234" t="s">
        <v>488</v>
      </c>
      <c r="F1073" s="234" t="s">
        <v>1063</v>
      </c>
      <c r="G1073" s="235">
        <f>VLOOKUP(K1073,'исх АС БЮДЖЕТ'!$A$10:$H$568,7,0)</f>
        <v>21264040</v>
      </c>
      <c r="H1073" s="235">
        <f>VLOOKUP(K1073,'исх АС БЮДЖЕТ'!$A$10:$H$568,8,0)</f>
        <v>21264040</v>
      </c>
      <c r="I1073" s="234">
        <v>8010010020</v>
      </c>
      <c r="J1073" s="370" t="str">
        <f t="shared" si="127"/>
        <v>8010010020</v>
      </c>
      <c r="K1073" s="30" t="str">
        <f t="shared" si="128"/>
        <v>61701048010010020121</v>
      </c>
    </row>
    <row r="1074" spans="1:11" s="3" customFormat="1" ht="38.25">
      <c r="A1074" s="232" t="s">
        <v>939</v>
      </c>
      <c r="B1074" s="233" t="s">
        <v>5</v>
      </c>
      <c r="C1074" s="234" t="s">
        <v>65</v>
      </c>
      <c r="D1074" s="234" t="s">
        <v>37</v>
      </c>
      <c r="E1074" s="234" t="s">
        <v>488</v>
      </c>
      <c r="F1074" s="234" t="s">
        <v>1060</v>
      </c>
      <c r="G1074" s="235">
        <f>VLOOKUP(K1074,'исх АС БЮДЖЕТ'!$A$10:$H$568,7,0)</f>
        <v>6421740</v>
      </c>
      <c r="H1074" s="235">
        <f>VLOOKUP(K1074,'исх АС БЮДЖЕТ'!$A$10:$H$568,8,0)</f>
        <v>6421740</v>
      </c>
      <c r="I1074" s="234">
        <v>8010010020</v>
      </c>
      <c r="J1074" s="370" t="str">
        <f t="shared" si="127"/>
        <v>8010010020</v>
      </c>
      <c r="K1074" s="30" t="str">
        <f t="shared" si="128"/>
        <v>61701048010010020129</v>
      </c>
    </row>
    <row r="1075" spans="1:11" s="3" customFormat="1" ht="38.25">
      <c r="A1075" s="266" t="s">
        <v>598</v>
      </c>
      <c r="B1075" s="233" t="s">
        <v>5</v>
      </c>
      <c r="C1075" s="234" t="s">
        <v>65</v>
      </c>
      <c r="D1075" s="234" t="s">
        <v>37</v>
      </c>
      <c r="E1075" s="234" t="s">
        <v>489</v>
      </c>
      <c r="F1075" s="234" t="s">
        <v>58</v>
      </c>
      <c r="G1075" s="235">
        <f>G1076+G1080</f>
        <v>1047750</v>
      </c>
      <c r="H1075" s="235">
        <f>H1076+H1080</f>
        <v>1047750</v>
      </c>
      <c r="I1075" s="234">
        <v>8010076200</v>
      </c>
      <c r="J1075" s="370" t="str">
        <f t="shared" si="127"/>
        <v>8010076200</v>
      </c>
      <c r="K1075" s="30" t="str">
        <f t="shared" si="128"/>
        <v>61701048010076200000</v>
      </c>
    </row>
    <row r="1076" spans="1:11" s="3" customFormat="1">
      <c r="A1076" s="232" t="s">
        <v>107</v>
      </c>
      <c r="B1076" s="233" t="s">
        <v>5</v>
      </c>
      <c r="C1076" s="234" t="s">
        <v>65</v>
      </c>
      <c r="D1076" s="234" t="s">
        <v>37</v>
      </c>
      <c r="E1076" s="234" t="s">
        <v>489</v>
      </c>
      <c r="F1076" s="234" t="s">
        <v>115</v>
      </c>
      <c r="G1076" s="235">
        <f>SUM(G1077:G1079)</f>
        <v>989330</v>
      </c>
      <c r="H1076" s="235">
        <f>SUM(H1077:H1079)</f>
        <v>989330</v>
      </c>
      <c r="I1076" s="234">
        <v>8010076200</v>
      </c>
      <c r="J1076" s="370" t="str">
        <f t="shared" si="127"/>
        <v>8010076200</v>
      </c>
      <c r="K1076" s="30" t="str">
        <f t="shared" si="128"/>
        <v>61701048010076200120</v>
      </c>
    </row>
    <row r="1077" spans="1:11" s="3" customFormat="1">
      <c r="A1077" s="232" t="s">
        <v>936</v>
      </c>
      <c r="B1077" s="233" t="s">
        <v>5</v>
      </c>
      <c r="C1077" s="234" t="s">
        <v>65</v>
      </c>
      <c r="D1077" s="234" t="s">
        <v>37</v>
      </c>
      <c r="E1077" s="234" t="s">
        <v>489</v>
      </c>
      <c r="F1077" s="234" t="s">
        <v>1063</v>
      </c>
      <c r="G1077" s="235">
        <f>VLOOKUP(K1077,'исх АС БЮДЖЕТ'!$A$10:$H$568,7,0)</f>
        <v>721560</v>
      </c>
      <c r="H1077" s="235">
        <f>VLOOKUP(K1077,'исх АС БЮДЖЕТ'!$A$10:$H$568,8,0)</f>
        <v>721560</v>
      </c>
      <c r="I1077" s="234">
        <v>8010076200</v>
      </c>
      <c r="J1077" s="370" t="str">
        <f t="shared" si="127"/>
        <v>8010076200</v>
      </c>
      <c r="K1077" s="30" t="str">
        <f t="shared" si="128"/>
        <v>61701048010076200121</v>
      </c>
    </row>
    <row r="1078" spans="1:11" s="3" customFormat="1" ht="25.5">
      <c r="A1078" s="236" t="s">
        <v>937</v>
      </c>
      <c r="B1078" s="233" t="s">
        <v>5</v>
      </c>
      <c r="C1078" s="234" t="s">
        <v>65</v>
      </c>
      <c r="D1078" s="234" t="s">
        <v>37</v>
      </c>
      <c r="E1078" s="234" t="s">
        <v>489</v>
      </c>
      <c r="F1078" s="234" t="s">
        <v>1059</v>
      </c>
      <c r="G1078" s="235">
        <f>VLOOKUP(K1078,'исх АС БЮДЖЕТ'!$A$10:$H$568,7,0)</f>
        <v>38300</v>
      </c>
      <c r="H1078" s="235">
        <f>VLOOKUP(K1078,'исх АС БЮДЖЕТ'!$A$10:$H$568,8,0)</f>
        <v>38300</v>
      </c>
      <c r="I1078" s="234">
        <v>8010076200</v>
      </c>
      <c r="J1078" s="370" t="str">
        <f t="shared" si="127"/>
        <v>8010076200</v>
      </c>
      <c r="K1078" s="30" t="str">
        <f t="shared" si="128"/>
        <v>61701048010076200122</v>
      </c>
    </row>
    <row r="1079" spans="1:11" s="3" customFormat="1" ht="38.25">
      <c r="A1079" s="232" t="s">
        <v>939</v>
      </c>
      <c r="B1079" s="233" t="s">
        <v>5</v>
      </c>
      <c r="C1079" s="234" t="s">
        <v>65</v>
      </c>
      <c r="D1079" s="234" t="s">
        <v>37</v>
      </c>
      <c r="E1079" s="234" t="s">
        <v>489</v>
      </c>
      <c r="F1079" s="234" t="s">
        <v>1060</v>
      </c>
      <c r="G1079" s="235">
        <f>VLOOKUP(K1079,'исх АС БЮДЖЕТ'!$A$10:$H$568,7,0)</f>
        <v>229470</v>
      </c>
      <c r="H1079" s="235">
        <f>VLOOKUP(K1079,'исх АС БЮДЖЕТ'!$A$10:$H$568,8,0)</f>
        <v>229470</v>
      </c>
      <c r="I1079" s="234">
        <v>8010076200</v>
      </c>
      <c r="J1079" s="370" t="str">
        <f t="shared" si="127"/>
        <v>8010076200</v>
      </c>
      <c r="K1079" s="30" t="str">
        <f t="shared" si="128"/>
        <v>61701048010076200129</v>
      </c>
    </row>
    <row r="1080" spans="1:11" s="3" customFormat="1" ht="25.5">
      <c r="A1080" s="232" t="s">
        <v>108</v>
      </c>
      <c r="B1080" s="233" t="s">
        <v>5</v>
      </c>
      <c r="C1080" s="234" t="s">
        <v>65</v>
      </c>
      <c r="D1080" s="234" t="s">
        <v>37</v>
      </c>
      <c r="E1080" s="234" t="s">
        <v>489</v>
      </c>
      <c r="F1080" s="234" t="s">
        <v>116</v>
      </c>
      <c r="G1080" s="235">
        <f>G1081</f>
        <v>58420</v>
      </c>
      <c r="H1080" s="235">
        <f>H1081</f>
        <v>58420</v>
      </c>
      <c r="I1080" s="234">
        <v>8010076200</v>
      </c>
      <c r="J1080" s="370" t="str">
        <f t="shared" si="127"/>
        <v>8010076200</v>
      </c>
      <c r="K1080" s="30" t="str">
        <f t="shared" si="128"/>
        <v>61701048010076200240</v>
      </c>
    </row>
    <row r="1081" spans="1:11" s="4" customFormat="1" ht="25.5">
      <c r="A1081" s="236" t="s">
        <v>973</v>
      </c>
      <c r="B1081" s="233" t="s">
        <v>5</v>
      </c>
      <c r="C1081" s="234" t="s">
        <v>65</v>
      </c>
      <c r="D1081" s="234" t="s">
        <v>37</v>
      </c>
      <c r="E1081" s="234" t="s">
        <v>489</v>
      </c>
      <c r="F1081" s="234" t="s">
        <v>1043</v>
      </c>
      <c r="G1081" s="235">
        <f>VLOOKUP(K1081,'исх АС БЮДЖЕТ'!$A$10:$H$568,7,0)</f>
        <v>58420</v>
      </c>
      <c r="H1081" s="235">
        <f>VLOOKUP(K1081,'исх АС БЮДЖЕТ'!$A$10:$H$568,8,0)</f>
        <v>58420</v>
      </c>
      <c r="I1081" s="234">
        <v>8010076200</v>
      </c>
      <c r="J1081" s="370" t="str">
        <f t="shared" si="127"/>
        <v>8010076200</v>
      </c>
      <c r="K1081" s="30" t="str">
        <f t="shared" si="128"/>
        <v>61701048010076200244</v>
      </c>
    </row>
    <row r="1082" spans="1:11" s="3" customFormat="1" ht="38.25">
      <c r="A1082" s="237" t="s">
        <v>870</v>
      </c>
      <c r="B1082" s="241" t="s">
        <v>5</v>
      </c>
      <c r="C1082" s="242" t="s">
        <v>65</v>
      </c>
      <c r="D1082" s="242" t="s">
        <v>37</v>
      </c>
      <c r="E1082" s="242" t="s">
        <v>490</v>
      </c>
      <c r="F1082" s="242" t="s">
        <v>58</v>
      </c>
      <c r="G1082" s="243">
        <f>G1083</f>
        <v>51740</v>
      </c>
      <c r="H1082" s="243">
        <f>H1083</f>
        <v>51740</v>
      </c>
      <c r="I1082" s="242">
        <v>8010076360</v>
      </c>
      <c r="J1082" s="370" t="str">
        <f t="shared" si="127"/>
        <v>8010076360</v>
      </c>
      <c r="K1082" s="30" t="str">
        <f t="shared" si="128"/>
        <v>61701048010076360000</v>
      </c>
    </row>
    <row r="1083" spans="1:11" s="3" customFormat="1" ht="25.5">
      <c r="A1083" s="232" t="s">
        <v>108</v>
      </c>
      <c r="B1083" s="241" t="s">
        <v>5</v>
      </c>
      <c r="C1083" s="242" t="s">
        <v>65</v>
      </c>
      <c r="D1083" s="242" t="s">
        <v>37</v>
      </c>
      <c r="E1083" s="242" t="s">
        <v>490</v>
      </c>
      <c r="F1083" s="242" t="s">
        <v>116</v>
      </c>
      <c r="G1083" s="243">
        <f>G1084</f>
        <v>51740</v>
      </c>
      <c r="H1083" s="243">
        <f>H1084</f>
        <v>51740</v>
      </c>
      <c r="I1083" s="242">
        <v>8010076360</v>
      </c>
      <c r="J1083" s="370" t="str">
        <f t="shared" si="127"/>
        <v>8010076360</v>
      </c>
      <c r="K1083" s="30" t="str">
        <f t="shared" si="128"/>
        <v>61701048010076360240</v>
      </c>
    </row>
    <row r="1084" spans="1:11" s="4" customFormat="1" ht="25.5">
      <c r="A1084" s="236" t="s">
        <v>973</v>
      </c>
      <c r="B1084" s="241" t="s">
        <v>5</v>
      </c>
      <c r="C1084" s="242" t="s">
        <v>65</v>
      </c>
      <c r="D1084" s="242" t="s">
        <v>37</v>
      </c>
      <c r="E1084" s="242" t="s">
        <v>490</v>
      </c>
      <c r="F1084" s="242" t="s">
        <v>1043</v>
      </c>
      <c r="G1084" s="235">
        <f>VLOOKUP(K1084,'исх АС БЮДЖЕТ'!$A$10:$H$568,7,0)</f>
        <v>51740</v>
      </c>
      <c r="H1084" s="235">
        <f>VLOOKUP(K1084,'исх АС БЮДЖЕТ'!$A$10:$H$568,8,0)</f>
        <v>51740</v>
      </c>
      <c r="I1084" s="242">
        <v>8010076360</v>
      </c>
      <c r="J1084" s="370" t="str">
        <f t="shared" si="127"/>
        <v>8010076360</v>
      </c>
      <c r="K1084" s="30" t="str">
        <f t="shared" si="128"/>
        <v>61701048010076360244</v>
      </c>
    </row>
    <row r="1085" spans="1:11" s="3" customFormat="1">
      <c r="A1085" s="228" t="s">
        <v>38</v>
      </c>
      <c r="B1085" s="229" t="s">
        <v>5</v>
      </c>
      <c r="C1085" s="230" t="s">
        <v>65</v>
      </c>
      <c r="D1085" s="230" t="s">
        <v>84</v>
      </c>
      <c r="E1085" s="230" t="s">
        <v>196</v>
      </c>
      <c r="F1085" s="230" t="s">
        <v>58</v>
      </c>
      <c r="G1085" s="231">
        <f>G1086</f>
        <v>390200</v>
      </c>
      <c r="H1085" s="231">
        <f>H1086</f>
        <v>390200</v>
      </c>
      <c r="I1085" s="230">
        <v>0</v>
      </c>
      <c r="J1085" s="370" t="str">
        <f t="shared" si="127"/>
        <v>0000000000</v>
      </c>
      <c r="K1085" s="30" t="str">
        <f t="shared" si="128"/>
        <v>61701130000000000000</v>
      </c>
    </row>
    <row r="1086" spans="1:11" s="3" customFormat="1" ht="38.25">
      <c r="A1086" s="244" t="s">
        <v>745</v>
      </c>
      <c r="B1086" s="241" t="s">
        <v>5</v>
      </c>
      <c r="C1086" s="242" t="s">
        <v>65</v>
      </c>
      <c r="D1086" s="242" t="s">
        <v>84</v>
      </c>
      <c r="E1086" s="242" t="s">
        <v>280</v>
      </c>
      <c r="F1086" s="242" t="s">
        <v>58</v>
      </c>
      <c r="G1086" s="243">
        <f t="shared" ref="G1086:H1089" si="130">G1087</f>
        <v>390200</v>
      </c>
      <c r="H1086" s="243">
        <f t="shared" si="130"/>
        <v>390200</v>
      </c>
      <c r="I1086" s="242">
        <v>1100000000</v>
      </c>
      <c r="J1086" s="370" t="str">
        <f t="shared" si="127"/>
        <v>1100000000</v>
      </c>
      <c r="K1086" s="30" t="str">
        <f t="shared" si="128"/>
        <v>61701131100000000000</v>
      </c>
    </row>
    <row r="1087" spans="1:11" s="3" customFormat="1" ht="38.25">
      <c r="A1087" s="244" t="s">
        <v>746</v>
      </c>
      <c r="B1087" s="233" t="s">
        <v>5</v>
      </c>
      <c r="C1087" s="242" t="s">
        <v>65</v>
      </c>
      <c r="D1087" s="242" t="s">
        <v>84</v>
      </c>
      <c r="E1087" s="242" t="s">
        <v>281</v>
      </c>
      <c r="F1087" s="242" t="s">
        <v>58</v>
      </c>
      <c r="G1087" s="243">
        <f t="shared" si="130"/>
        <v>390200</v>
      </c>
      <c r="H1087" s="243">
        <f t="shared" si="130"/>
        <v>390200</v>
      </c>
      <c r="I1087" s="242" t="s">
        <v>1185</v>
      </c>
      <c r="J1087" s="370" t="str">
        <f t="shared" si="127"/>
        <v>11Б0000000</v>
      </c>
      <c r="K1087" s="30" t="str">
        <f t="shared" si="128"/>
        <v>617011311Б0000000000</v>
      </c>
    </row>
    <row r="1088" spans="1:11" s="3" customFormat="1" ht="25.5">
      <c r="A1088" s="232" t="s">
        <v>282</v>
      </c>
      <c r="B1088" s="233" t="s">
        <v>5</v>
      </c>
      <c r="C1088" s="242" t="s">
        <v>65</v>
      </c>
      <c r="D1088" s="242" t="s">
        <v>84</v>
      </c>
      <c r="E1088" s="242" t="s">
        <v>283</v>
      </c>
      <c r="F1088" s="242" t="s">
        <v>58</v>
      </c>
      <c r="G1088" s="243">
        <f>G1089+G1092</f>
        <v>390200</v>
      </c>
      <c r="H1088" s="243">
        <f>H1089+H1092</f>
        <v>390200</v>
      </c>
      <c r="I1088" s="242" t="s">
        <v>1186</v>
      </c>
      <c r="J1088" s="370" t="str">
        <f t="shared" si="127"/>
        <v>11Б0100000</v>
      </c>
      <c r="K1088" s="30" t="str">
        <f t="shared" si="128"/>
        <v>617011311Б0100000000</v>
      </c>
    </row>
    <row r="1089" spans="1:11" s="3" customFormat="1" ht="25.5">
      <c r="A1089" s="232" t="s">
        <v>167</v>
      </c>
      <c r="B1089" s="233" t="s">
        <v>5</v>
      </c>
      <c r="C1089" s="242" t="s">
        <v>65</v>
      </c>
      <c r="D1089" s="242" t="s">
        <v>84</v>
      </c>
      <c r="E1089" s="242" t="s">
        <v>491</v>
      </c>
      <c r="F1089" s="242" t="s">
        <v>58</v>
      </c>
      <c r="G1089" s="243">
        <f t="shared" si="130"/>
        <v>350000</v>
      </c>
      <c r="H1089" s="243">
        <f t="shared" si="130"/>
        <v>350000</v>
      </c>
      <c r="I1089" s="242" t="s">
        <v>1226</v>
      </c>
      <c r="J1089" s="370" t="str">
        <f t="shared" si="127"/>
        <v>11Б0120840</v>
      </c>
      <c r="K1089" s="30" t="str">
        <f t="shared" si="128"/>
        <v>617011311Б0120840000</v>
      </c>
    </row>
    <row r="1090" spans="1:11" s="3" customFormat="1" ht="25.5">
      <c r="A1090" s="232" t="s">
        <v>108</v>
      </c>
      <c r="B1090" s="233" t="s">
        <v>5</v>
      </c>
      <c r="C1090" s="242" t="s">
        <v>65</v>
      </c>
      <c r="D1090" s="242" t="s">
        <v>84</v>
      </c>
      <c r="E1090" s="242" t="s">
        <v>491</v>
      </c>
      <c r="F1090" s="242" t="s">
        <v>116</v>
      </c>
      <c r="G1090" s="243">
        <f>G1091</f>
        <v>350000</v>
      </c>
      <c r="H1090" s="243">
        <f>H1091</f>
        <v>350000</v>
      </c>
      <c r="I1090" s="242" t="s">
        <v>1226</v>
      </c>
      <c r="J1090" s="370" t="str">
        <f t="shared" si="127"/>
        <v>11Б0120840</v>
      </c>
      <c r="K1090" s="30" t="str">
        <f t="shared" si="128"/>
        <v>617011311Б0120840240</v>
      </c>
    </row>
    <row r="1091" spans="1:11" s="4" customFormat="1" ht="25.5">
      <c r="A1091" s="236" t="s">
        <v>973</v>
      </c>
      <c r="B1091" s="233" t="s">
        <v>5</v>
      </c>
      <c r="C1091" s="242" t="s">
        <v>65</v>
      </c>
      <c r="D1091" s="242" t="s">
        <v>84</v>
      </c>
      <c r="E1091" s="242" t="s">
        <v>491</v>
      </c>
      <c r="F1091" s="242" t="s">
        <v>1043</v>
      </c>
      <c r="G1091" s="235">
        <f>VLOOKUP(K1091,'исх АС БЮДЖЕТ'!$A$10:$H$568,7,0)</f>
        <v>350000</v>
      </c>
      <c r="H1091" s="235">
        <f>VLOOKUP(K1091,'исх АС БЮДЖЕТ'!$A$10:$H$568,8,0)</f>
        <v>350000</v>
      </c>
      <c r="I1091" s="242" t="s">
        <v>1226</v>
      </c>
      <c r="J1091" s="370" t="str">
        <f t="shared" si="127"/>
        <v>11Б0120840</v>
      </c>
      <c r="K1091" s="30" t="str">
        <f t="shared" si="128"/>
        <v>617011311Б0120840244</v>
      </c>
    </row>
    <row r="1092" spans="1:11" s="3" customFormat="1" ht="25.5">
      <c r="A1092" s="232" t="s">
        <v>859</v>
      </c>
      <c r="B1092" s="233" t="s">
        <v>5</v>
      </c>
      <c r="C1092" s="242" t="s">
        <v>65</v>
      </c>
      <c r="D1092" s="242" t="s">
        <v>84</v>
      </c>
      <c r="E1092" s="274" t="s">
        <v>858</v>
      </c>
      <c r="F1092" s="234" t="s">
        <v>58</v>
      </c>
      <c r="G1092" s="235">
        <f>G1093</f>
        <v>40200</v>
      </c>
      <c r="H1092" s="235">
        <f>H1093</f>
        <v>40200</v>
      </c>
      <c r="I1092" s="274" t="s">
        <v>1189</v>
      </c>
      <c r="J1092" s="370" t="str">
        <f t="shared" si="127"/>
        <v>11Б0121120</v>
      </c>
      <c r="K1092" s="30" t="str">
        <f t="shared" si="128"/>
        <v>617011311Б0121120000</v>
      </c>
    </row>
    <row r="1093" spans="1:11" s="3" customFormat="1" ht="25.5">
      <c r="A1093" s="232" t="s">
        <v>108</v>
      </c>
      <c r="B1093" s="233" t="s">
        <v>5</v>
      </c>
      <c r="C1093" s="242" t="s">
        <v>65</v>
      </c>
      <c r="D1093" s="242" t="s">
        <v>84</v>
      </c>
      <c r="E1093" s="274" t="s">
        <v>858</v>
      </c>
      <c r="F1093" s="234" t="s">
        <v>116</v>
      </c>
      <c r="G1093" s="235">
        <f>G1094</f>
        <v>40200</v>
      </c>
      <c r="H1093" s="235">
        <f>H1094</f>
        <v>40200</v>
      </c>
      <c r="I1093" s="274" t="s">
        <v>1189</v>
      </c>
      <c r="J1093" s="370" t="str">
        <f t="shared" si="127"/>
        <v>11Б0121120</v>
      </c>
      <c r="K1093" s="30" t="str">
        <f t="shared" si="128"/>
        <v>617011311Б0121120240</v>
      </c>
    </row>
    <row r="1094" spans="1:11" s="4" customFormat="1" ht="25.5">
      <c r="A1094" s="236" t="s">
        <v>973</v>
      </c>
      <c r="B1094" s="233" t="s">
        <v>5</v>
      </c>
      <c r="C1094" s="242" t="s">
        <v>65</v>
      </c>
      <c r="D1094" s="242" t="s">
        <v>84</v>
      </c>
      <c r="E1094" s="274" t="s">
        <v>858</v>
      </c>
      <c r="F1094" s="234" t="s">
        <v>1043</v>
      </c>
      <c r="G1094" s="235">
        <f>VLOOKUP(K1094,'исх АС БЮДЖЕТ'!$A$10:$H$568,7,0)</f>
        <v>40200</v>
      </c>
      <c r="H1094" s="235">
        <f>VLOOKUP(K1094,'исх АС БЮДЖЕТ'!$A$10:$H$568,8,0)</f>
        <v>40200</v>
      </c>
      <c r="I1094" s="274" t="s">
        <v>1189</v>
      </c>
      <c r="J1094" s="370" t="str">
        <f t="shared" si="127"/>
        <v>11Б0121120</v>
      </c>
      <c r="K1094" s="30" t="str">
        <f t="shared" si="128"/>
        <v>617011311Б0121120244</v>
      </c>
    </row>
    <row r="1095" spans="1:11" s="3" customFormat="1">
      <c r="A1095" s="224" t="s">
        <v>35</v>
      </c>
      <c r="B1095" s="225" t="s">
        <v>5</v>
      </c>
      <c r="C1095" s="226" t="s">
        <v>37</v>
      </c>
      <c r="D1095" s="226" t="s">
        <v>51</v>
      </c>
      <c r="E1095" s="226" t="s">
        <v>196</v>
      </c>
      <c r="F1095" s="226" t="s">
        <v>58</v>
      </c>
      <c r="G1095" s="227">
        <f t="shared" ref="G1095:H1098" si="131">G1096</f>
        <v>61526090</v>
      </c>
      <c r="H1095" s="227">
        <f t="shared" si="131"/>
        <v>61526090</v>
      </c>
      <c r="I1095" s="226">
        <v>0</v>
      </c>
      <c r="J1095" s="370" t="str">
        <f t="shared" si="127"/>
        <v>0000000000</v>
      </c>
      <c r="K1095" s="30" t="str">
        <f t="shared" si="128"/>
        <v>61704000000000000000</v>
      </c>
    </row>
    <row r="1096" spans="1:11" s="3" customFormat="1">
      <c r="A1096" s="228" t="s">
        <v>88</v>
      </c>
      <c r="B1096" s="229" t="s">
        <v>5</v>
      </c>
      <c r="C1096" s="230" t="s">
        <v>37</v>
      </c>
      <c r="D1096" s="230" t="s">
        <v>25</v>
      </c>
      <c r="E1096" s="230" t="s">
        <v>196</v>
      </c>
      <c r="F1096" s="230" t="s">
        <v>58</v>
      </c>
      <c r="G1096" s="231">
        <f t="shared" si="131"/>
        <v>61526090</v>
      </c>
      <c r="H1096" s="231">
        <f t="shared" si="131"/>
        <v>61526090</v>
      </c>
      <c r="I1096" s="230">
        <v>0</v>
      </c>
      <c r="J1096" s="370" t="str">
        <f t="shared" si="127"/>
        <v>0000000000</v>
      </c>
      <c r="K1096" s="30" t="str">
        <f t="shared" si="128"/>
        <v>61704090000000000000</v>
      </c>
    </row>
    <row r="1097" spans="1:11" s="3" customFormat="1" ht="38.25">
      <c r="A1097" s="236" t="s">
        <v>722</v>
      </c>
      <c r="B1097" s="241" t="s">
        <v>5</v>
      </c>
      <c r="C1097" s="242" t="s">
        <v>37</v>
      </c>
      <c r="D1097" s="242" t="s">
        <v>25</v>
      </c>
      <c r="E1097" s="242" t="s">
        <v>300</v>
      </c>
      <c r="F1097" s="242" t="s">
        <v>58</v>
      </c>
      <c r="G1097" s="243">
        <f t="shared" si="131"/>
        <v>61526090</v>
      </c>
      <c r="H1097" s="243">
        <f t="shared" si="131"/>
        <v>61526090</v>
      </c>
      <c r="I1097" s="242">
        <v>400000000</v>
      </c>
      <c r="J1097" s="370" t="str">
        <f t="shared" si="127"/>
        <v>0400000000</v>
      </c>
      <c r="K1097" s="30" t="str">
        <f t="shared" si="128"/>
        <v>61704090400000000000</v>
      </c>
    </row>
    <row r="1098" spans="1:11" s="3" customFormat="1" ht="38.25">
      <c r="A1098" s="252" t="s">
        <v>729</v>
      </c>
      <c r="B1098" s="241" t="s">
        <v>5</v>
      </c>
      <c r="C1098" s="242" t="s">
        <v>37</v>
      </c>
      <c r="D1098" s="242" t="s">
        <v>25</v>
      </c>
      <c r="E1098" s="242" t="s">
        <v>301</v>
      </c>
      <c r="F1098" s="242" t="s">
        <v>58</v>
      </c>
      <c r="G1098" s="243">
        <f t="shared" si="131"/>
        <v>61526090</v>
      </c>
      <c r="H1098" s="243">
        <f t="shared" si="131"/>
        <v>61526090</v>
      </c>
      <c r="I1098" s="242">
        <v>420000000</v>
      </c>
      <c r="J1098" s="370" t="str">
        <f t="shared" si="127"/>
        <v>0420000000</v>
      </c>
      <c r="K1098" s="30" t="str">
        <f t="shared" si="128"/>
        <v>61704090420000000000</v>
      </c>
    </row>
    <row r="1099" spans="1:11" s="3" customFormat="1" ht="38.25">
      <c r="A1099" s="252" t="s">
        <v>644</v>
      </c>
      <c r="B1099" s="241" t="s">
        <v>5</v>
      </c>
      <c r="C1099" s="242" t="s">
        <v>37</v>
      </c>
      <c r="D1099" s="242" t="s">
        <v>25</v>
      </c>
      <c r="E1099" s="242" t="s">
        <v>302</v>
      </c>
      <c r="F1099" s="242" t="s">
        <v>58</v>
      </c>
      <c r="G1099" s="243">
        <f>G1103+G1100</f>
        <v>61526090</v>
      </c>
      <c r="H1099" s="243">
        <f>H1103+H1100</f>
        <v>61526090</v>
      </c>
      <c r="I1099" s="242">
        <v>420200000</v>
      </c>
      <c r="J1099" s="370" t="str">
        <f t="shared" si="127"/>
        <v>0420200000</v>
      </c>
      <c r="K1099" s="30" t="str">
        <f t="shared" si="128"/>
        <v>61704090420200000000</v>
      </c>
    </row>
    <row r="1100" spans="1:11" s="127" customFormat="1" ht="25.5">
      <c r="A1100" s="232" t="s">
        <v>493</v>
      </c>
      <c r="B1100" s="233" t="s">
        <v>5</v>
      </c>
      <c r="C1100" s="234" t="s">
        <v>37</v>
      </c>
      <c r="D1100" s="234" t="s">
        <v>25</v>
      </c>
      <c r="E1100" s="234" t="s">
        <v>494</v>
      </c>
      <c r="F1100" s="234" t="s">
        <v>58</v>
      </c>
      <c r="G1100" s="235">
        <f t="shared" ref="G1100:H1101" si="132">G1101</f>
        <v>10379760</v>
      </c>
      <c r="H1100" s="235">
        <f t="shared" si="132"/>
        <v>10379760</v>
      </c>
      <c r="I1100" s="234">
        <v>420220820</v>
      </c>
      <c r="J1100" s="370" t="str">
        <f t="shared" si="127"/>
        <v>0420220820</v>
      </c>
      <c r="K1100" s="30" t="str">
        <f t="shared" si="128"/>
        <v>61704090420220820000</v>
      </c>
    </row>
    <row r="1101" spans="1:11" s="127" customFormat="1" ht="25.5">
      <c r="A1101" s="232" t="s">
        <v>108</v>
      </c>
      <c r="B1101" s="233" t="s">
        <v>5</v>
      </c>
      <c r="C1101" s="234" t="s">
        <v>37</v>
      </c>
      <c r="D1101" s="234" t="s">
        <v>25</v>
      </c>
      <c r="E1101" s="234" t="s">
        <v>494</v>
      </c>
      <c r="F1101" s="234" t="s">
        <v>116</v>
      </c>
      <c r="G1101" s="235">
        <f t="shared" si="132"/>
        <v>10379760</v>
      </c>
      <c r="H1101" s="235">
        <f t="shared" si="132"/>
        <v>10379760</v>
      </c>
      <c r="I1101" s="234">
        <v>420220820</v>
      </c>
      <c r="J1101" s="370" t="str">
        <f t="shared" si="127"/>
        <v>0420220820</v>
      </c>
      <c r="K1101" s="30" t="str">
        <f t="shared" si="128"/>
        <v>61704090420220820240</v>
      </c>
    </row>
    <row r="1102" spans="1:11" s="4" customFormat="1" ht="25.5">
      <c r="A1102" s="236" t="s">
        <v>973</v>
      </c>
      <c r="B1102" s="233" t="s">
        <v>5</v>
      </c>
      <c r="C1102" s="234" t="s">
        <v>37</v>
      </c>
      <c r="D1102" s="234" t="s">
        <v>25</v>
      </c>
      <c r="E1102" s="234" t="s">
        <v>494</v>
      </c>
      <c r="F1102" s="234" t="s">
        <v>1043</v>
      </c>
      <c r="G1102" s="235">
        <f>VLOOKUP(K1102,'исх АС БЮДЖЕТ'!$A$10:$H$568,7,0)</f>
        <v>10379760</v>
      </c>
      <c r="H1102" s="235">
        <f>VLOOKUP(K1102,'исх АС БЮДЖЕТ'!$A$10:$H$568,8,0)</f>
        <v>10379760</v>
      </c>
      <c r="I1102" s="234">
        <v>420220820</v>
      </c>
      <c r="J1102" s="370" t="str">
        <f t="shared" si="127"/>
        <v>0420220820</v>
      </c>
      <c r="K1102" s="30" t="str">
        <f t="shared" si="128"/>
        <v>61704090420220820244</v>
      </c>
    </row>
    <row r="1103" spans="1:11" s="3" customFormat="1" ht="25.5">
      <c r="A1103" s="232" t="s">
        <v>902</v>
      </c>
      <c r="B1103" s="233" t="s">
        <v>5</v>
      </c>
      <c r="C1103" s="234" t="s">
        <v>37</v>
      </c>
      <c r="D1103" s="234" t="s">
        <v>25</v>
      </c>
      <c r="E1103" s="234" t="s">
        <v>909</v>
      </c>
      <c r="F1103" s="234" t="s">
        <v>58</v>
      </c>
      <c r="G1103" s="235">
        <f>G1104</f>
        <v>51146330</v>
      </c>
      <c r="H1103" s="235">
        <f>H1104</f>
        <v>51146330</v>
      </c>
      <c r="I1103" s="234">
        <v>420221090</v>
      </c>
      <c r="J1103" s="370" t="str">
        <f t="shared" si="127"/>
        <v>0420221090</v>
      </c>
      <c r="K1103" s="30" t="str">
        <f t="shared" si="128"/>
        <v>61704090420221090000</v>
      </c>
    </row>
    <row r="1104" spans="1:11" s="3" customFormat="1" ht="25.5">
      <c r="A1104" s="232" t="s">
        <v>108</v>
      </c>
      <c r="B1104" s="233" t="s">
        <v>5</v>
      </c>
      <c r="C1104" s="234" t="s">
        <v>37</v>
      </c>
      <c r="D1104" s="234" t="s">
        <v>25</v>
      </c>
      <c r="E1104" s="234" t="s">
        <v>909</v>
      </c>
      <c r="F1104" s="234" t="s">
        <v>116</v>
      </c>
      <c r="G1104" s="235">
        <f>G1105</f>
        <v>51146330</v>
      </c>
      <c r="H1104" s="235">
        <f>H1105</f>
        <v>51146330</v>
      </c>
      <c r="I1104" s="234">
        <v>420221090</v>
      </c>
      <c r="J1104" s="370" t="str">
        <f t="shared" si="127"/>
        <v>0420221090</v>
      </c>
      <c r="K1104" s="30" t="str">
        <f t="shared" si="128"/>
        <v>61704090420221090240</v>
      </c>
    </row>
    <row r="1105" spans="1:11" s="4" customFormat="1" ht="25.5">
      <c r="A1105" s="236" t="s">
        <v>973</v>
      </c>
      <c r="B1105" s="233" t="s">
        <v>5</v>
      </c>
      <c r="C1105" s="234" t="s">
        <v>37</v>
      </c>
      <c r="D1105" s="234" t="s">
        <v>25</v>
      </c>
      <c r="E1105" s="234" t="s">
        <v>909</v>
      </c>
      <c r="F1105" s="234" t="s">
        <v>1043</v>
      </c>
      <c r="G1105" s="235">
        <f>VLOOKUP(K1105,'исх АС БЮДЖЕТ'!$A$10:$H$568,7,0)</f>
        <v>51146330</v>
      </c>
      <c r="H1105" s="235">
        <f>VLOOKUP(K1105,'исх АС БЮДЖЕТ'!$A$10:$H$568,8,0)</f>
        <v>51146330</v>
      </c>
      <c r="I1105" s="234">
        <v>420221090</v>
      </c>
      <c r="J1105" s="370" t="str">
        <f t="shared" si="127"/>
        <v>0420221090</v>
      </c>
      <c r="K1105" s="30" t="str">
        <f t="shared" si="128"/>
        <v>61704090420221090244</v>
      </c>
    </row>
    <row r="1106" spans="1:11" s="130" customFormat="1">
      <c r="A1106" s="224" t="s">
        <v>7</v>
      </c>
      <c r="B1106" s="225" t="s">
        <v>5</v>
      </c>
      <c r="C1106" s="226" t="s">
        <v>8</v>
      </c>
      <c r="D1106" s="226" t="s">
        <v>51</v>
      </c>
      <c r="E1106" s="226" t="s">
        <v>196</v>
      </c>
      <c r="F1106" s="226" t="s">
        <v>58</v>
      </c>
      <c r="G1106" s="227">
        <f>G1107+G1115</f>
        <v>20312970</v>
      </c>
      <c r="H1106" s="227">
        <f>H1107+H1115</f>
        <v>20312970</v>
      </c>
      <c r="I1106" s="226">
        <v>0</v>
      </c>
      <c r="J1106" s="370" t="str">
        <f t="shared" ref="J1106:J1164" si="133">TEXT(I1106,"0000000000")</f>
        <v>0000000000</v>
      </c>
      <c r="K1106" s="30" t="str">
        <f t="shared" ref="K1106:K1164" si="134">CONCATENATE(B1106,C1106,D1106,J1106,F1106)</f>
        <v>61705000000000000000</v>
      </c>
    </row>
    <row r="1107" spans="1:11" s="3" customFormat="1">
      <c r="A1107" s="228" t="s">
        <v>9</v>
      </c>
      <c r="B1107" s="229" t="s">
        <v>5</v>
      </c>
      <c r="C1107" s="230" t="s">
        <v>8</v>
      </c>
      <c r="D1107" s="230" t="s">
        <v>65</v>
      </c>
      <c r="E1107" s="230" t="s">
        <v>196</v>
      </c>
      <c r="F1107" s="230" t="s">
        <v>58</v>
      </c>
      <c r="G1107" s="231">
        <f>G1108</f>
        <v>1635850</v>
      </c>
      <c r="H1107" s="231">
        <f>H1108</f>
        <v>1635850</v>
      </c>
      <c r="I1107" s="230">
        <v>0</v>
      </c>
      <c r="J1107" s="370" t="str">
        <f t="shared" si="133"/>
        <v>0000000000</v>
      </c>
      <c r="K1107" s="30" t="str">
        <f t="shared" si="134"/>
        <v>61705010000000000000</v>
      </c>
    </row>
    <row r="1108" spans="1:11" s="3" customFormat="1" ht="38.25">
      <c r="A1108" s="232" t="s">
        <v>722</v>
      </c>
      <c r="B1108" s="233" t="s">
        <v>5</v>
      </c>
      <c r="C1108" s="234" t="s">
        <v>8</v>
      </c>
      <c r="D1108" s="234" t="s">
        <v>65</v>
      </c>
      <c r="E1108" s="234" t="s">
        <v>300</v>
      </c>
      <c r="F1108" s="234" t="s">
        <v>58</v>
      </c>
      <c r="G1108" s="235">
        <f t="shared" ref="G1108:H1111" si="135">G1109</f>
        <v>1635850</v>
      </c>
      <c r="H1108" s="235">
        <f t="shared" si="135"/>
        <v>1635850</v>
      </c>
      <c r="I1108" s="234">
        <v>400000000</v>
      </c>
      <c r="J1108" s="370" t="str">
        <f t="shared" si="133"/>
        <v>0400000000</v>
      </c>
      <c r="K1108" s="30" t="str">
        <f t="shared" si="134"/>
        <v>61705010400000000000</v>
      </c>
    </row>
    <row r="1109" spans="1:11" s="3" customFormat="1" ht="25.5">
      <c r="A1109" s="244" t="s">
        <v>155</v>
      </c>
      <c r="B1109" s="233" t="s">
        <v>5</v>
      </c>
      <c r="C1109" s="234" t="s">
        <v>8</v>
      </c>
      <c r="D1109" s="234" t="s">
        <v>65</v>
      </c>
      <c r="E1109" s="234" t="s">
        <v>495</v>
      </c>
      <c r="F1109" s="234" t="s">
        <v>58</v>
      </c>
      <c r="G1109" s="235">
        <f t="shared" si="135"/>
        <v>1635850</v>
      </c>
      <c r="H1109" s="235">
        <f t="shared" si="135"/>
        <v>1635850</v>
      </c>
      <c r="I1109" s="234">
        <v>410000000</v>
      </c>
      <c r="J1109" s="370" t="str">
        <f t="shared" si="133"/>
        <v>0410000000</v>
      </c>
      <c r="K1109" s="30" t="str">
        <f t="shared" si="134"/>
        <v>61705010410000000000</v>
      </c>
    </row>
    <row r="1110" spans="1:11" s="3" customFormat="1" ht="25.5">
      <c r="A1110" s="244" t="s">
        <v>496</v>
      </c>
      <c r="B1110" s="233" t="s">
        <v>5</v>
      </c>
      <c r="C1110" s="234" t="s">
        <v>8</v>
      </c>
      <c r="D1110" s="234" t="s">
        <v>65</v>
      </c>
      <c r="E1110" s="234" t="s">
        <v>497</v>
      </c>
      <c r="F1110" s="234" t="s">
        <v>58</v>
      </c>
      <c r="G1110" s="235">
        <f>G1111</f>
        <v>1635850</v>
      </c>
      <c r="H1110" s="235">
        <f>H1111</f>
        <v>1635850</v>
      </c>
      <c r="I1110" s="234">
        <v>410100000</v>
      </c>
      <c r="J1110" s="370" t="str">
        <f t="shared" si="133"/>
        <v>0410100000</v>
      </c>
      <c r="K1110" s="30" t="str">
        <f t="shared" si="134"/>
        <v>61705010410100000000</v>
      </c>
    </row>
    <row r="1111" spans="1:11" s="3" customFormat="1">
      <c r="A1111" s="232" t="s">
        <v>148</v>
      </c>
      <c r="B1111" s="233" t="s">
        <v>5</v>
      </c>
      <c r="C1111" s="234" t="s">
        <v>8</v>
      </c>
      <c r="D1111" s="234" t="s">
        <v>65</v>
      </c>
      <c r="E1111" s="234" t="s">
        <v>498</v>
      </c>
      <c r="F1111" s="234" t="s">
        <v>58</v>
      </c>
      <c r="G1111" s="235">
        <f t="shared" si="135"/>
        <v>1635850</v>
      </c>
      <c r="H1111" s="235">
        <f t="shared" si="135"/>
        <v>1635850</v>
      </c>
      <c r="I1111" s="234">
        <v>410120190</v>
      </c>
      <c r="J1111" s="370" t="str">
        <f t="shared" si="133"/>
        <v>0410120190</v>
      </c>
      <c r="K1111" s="30" t="str">
        <f t="shared" si="134"/>
        <v>61705010410120190000</v>
      </c>
    </row>
    <row r="1112" spans="1:11" s="3" customFormat="1" ht="25.5">
      <c r="A1112" s="232" t="s">
        <v>108</v>
      </c>
      <c r="B1112" s="233" t="s">
        <v>5</v>
      </c>
      <c r="C1112" s="234" t="s">
        <v>8</v>
      </c>
      <c r="D1112" s="234" t="s">
        <v>65</v>
      </c>
      <c r="E1112" s="234" t="s">
        <v>498</v>
      </c>
      <c r="F1112" s="234" t="s">
        <v>116</v>
      </c>
      <c r="G1112" s="235">
        <f>SUM(G1113:G1114)</f>
        <v>1635850</v>
      </c>
      <c r="H1112" s="235">
        <f>SUM(H1113:H1114)</f>
        <v>1635850</v>
      </c>
      <c r="I1112" s="234">
        <v>410120190</v>
      </c>
      <c r="J1112" s="370" t="str">
        <f t="shared" si="133"/>
        <v>0410120190</v>
      </c>
      <c r="K1112" s="30" t="str">
        <f t="shared" si="134"/>
        <v>61705010410120190240</v>
      </c>
    </row>
    <row r="1113" spans="1:11" s="3" customFormat="1" ht="25.5">
      <c r="A1113" s="236" t="s">
        <v>972</v>
      </c>
      <c r="B1113" s="233" t="s">
        <v>5</v>
      </c>
      <c r="C1113" s="234" t="s">
        <v>8</v>
      </c>
      <c r="D1113" s="234" t="s">
        <v>65</v>
      </c>
      <c r="E1113" s="234" t="s">
        <v>498</v>
      </c>
      <c r="F1113" s="234" t="s">
        <v>1070</v>
      </c>
      <c r="G1113" s="235">
        <f>VLOOKUP(K1113,'исх АС БЮДЖЕТ'!$A$10:$H$568,7,0)</f>
        <v>535850</v>
      </c>
      <c r="H1113" s="235">
        <f>VLOOKUP(K1113,'исх АС БЮДЖЕТ'!$A$10:$H$568,8,0)</f>
        <v>535850</v>
      </c>
      <c r="I1113" s="234">
        <v>410120190</v>
      </c>
      <c r="J1113" s="370" t="str">
        <f t="shared" si="133"/>
        <v>0410120190</v>
      </c>
      <c r="K1113" s="30" t="str">
        <f t="shared" si="134"/>
        <v>61705010410120190243</v>
      </c>
    </row>
    <row r="1114" spans="1:11" s="3" customFormat="1" ht="25.5">
      <c r="A1114" s="236" t="s">
        <v>973</v>
      </c>
      <c r="B1114" s="233" t="s">
        <v>5</v>
      </c>
      <c r="C1114" s="234" t="s">
        <v>8</v>
      </c>
      <c r="D1114" s="234" t="s">
        <v>65</v>
      </c>
      <c r="E1114" s="234" t="s">
        <v>498</v>
      </c>
      <c r="F1114" s="234" t="s">
        <v>1043</v>
      </c>
      <c r="G1114" s="235">
        <f>VLOOKUP(K1114,'исх АС БЮДЖЕТ'!$A$10:$H$568,7,0)</f>
        <v>1100000</v>
      </c>
      <c r="H1114" s="235">
        <f>VLOOKUP(K1114,'исх АС БЮДЖЕТ'!$A$10:$H$568,8,0)</f>
        <v>1100000</v>
      </c>
      <c r="I1114" s="234">
        <v>410120190</v>
      </c>
      <c r="J1114" s="370" t="str">
        <f t="shared" si="133"/>
        <v>0410120190</v>
      </c>
      <c r="K1114" s="30" t="str">
        <f t="shared" si="134"/>
        <v>61705010410120190244</v>
      </c>
    </row>
    <row r="1115" spans="1:11" s="3" customFormat="1">
      <c r="A1115" s="228" t="s">
        <v>1</v>
      </c>
      <c r="B1115" s="229" t="s">
        <v>5</v>
      </c>
      <c r="C1115" s="230" t="s">
        <v>8</v>
      </c>
      <c r="D1115" s="230" t="s">
        <v>53</v>
      </c>
      <c r="E1115" s="230" t="s">
        <v>196</v>
      </c>
      <c r="F1115" s="230" t="s">
        <v>58</v>
      </c>
      <c r="G1115" s="231">
        <f t="shared" ref="G1115:H1117" si="136">G1116</f>
        <v>18677120</v>
      </c>
      <c r="H1115" s="231">
        <f t="shared" si="136"/>
        <v>18677120</v>
      </c>
      <c r="I1115" s="230">
        <v>0</v>
      </c>
      <c r="J1115" s="370" t="str">
        <f t="shared" si="133"/>
        <v>0000000000</v>
      </c>
      <c r="K1115" s="30" t="str">
        <f t="shared" si="134"/>
        <v>61705030000000000000</v>
      </c>
    </row>
    <row r="1116" spans="1:11" s="3" customFormat="1" ht="38.25">
      <c r="A1116" s="236" t="s">
        <v>722</v>
      </c>
      <c r="B1116" s="241" t="s">
        <v>5</v>
      </c>
      <c r="C1116" s="242" t="s">
        <v>8</v>
      </c>
      <c r="D1116" s="242" t="s">
        <v>53</v>
      </c>
      <c r="E1116" s="242" t="s">
        <v>300</v>
      </c>
      <c r="F1116" s="242" t="s">
        <v>58</v>
      </c>
      <c r="G1116" s="243">
        <f t="shared" si="136"/>
        <v>18677120</v>
      </c>
      <c r="H1116" s="243">
        <f t="shared" si="136"/>
        <v>18677120</v>
      </c>
      <c r="I1116" s="242">
        <v>400000000</v>
      </c>
      <c r="J1116" s="370" t="str">
        <f t="shared" si="133"/>
        <v>0400000000</v>
      </c>
      <c r="K1116" s="30" t="str">
        <f t="shared" si="134"/>
        <v>61705030400000000000</v>
      </c>
    </row>
    <row r="1117" spans="1:11" s="3" customFormat="1">
      <c r="A1117" s="252" t="s">
        <v>142</v>
      </c>
      <c r="B1117" s="241" t="s">
        <v>5</v>
      </c>
      <c r="C1117" s="242" t="s">
        <v>8</v>
      </c>
      <c r="D1117" s="242" t="s">
        <v>53</v>
      </c>
      <c r="E1117" s="242" t="s">
        <v>453</v>
      </c>
      <c r="F1117" s="242" t="s">
        <v>58</v>
      </c>
      <c r="G1117" s="243">
        <f t="shared" si="136"/>
        <v>18677120</v>
      </c>
      <c r="H1117" s="243">
        <f t="shared" si="136"/>
        <v>18677120</v>
      </c>
      <c r="I1117" s="242">
        <v>430000000</v>
      </c>
      <c r="J1117" s="370" t="str">
        <f t="shared" si="133"/>
        <v>0430000000</v>
      </c>
      <c r="K1117" s="30" t="str">
        <f t="shared" si="134"/>
        <v>61705030430000000000</v>
      </c>
    </row>
    <row r="1118" spans="1:11" s="3" customFormat="1">
      <c r="A1118" s="252" t="s">
        <v>454</v>
      </c>
      <c r="B1118" s="241" t="s">
        <v>5</v>
      </c>
      <c r="C1118" s="242" t="s">
        <v>8</v>
      </c>
      <c r="D1118" s="242" t="s">
        <v>53</v>
      </c>
      <c r="E1118" s="234" t="s">
        <v>645</v>
      </c>
      <c r="F1118" s="242" t="s">
        <v>58</v>
      </c>
      <c r="G1118" s="243">
        <f>G1119+G1122+G1125</f>
        <v>18677120</v>
      </c>
      <c r="H1118" s="243">
        <f>H1119+H1122+H1125</f>
        <v>18677120</v>
      </c>
      <c r="I1118" s="234">
        <v>430400000</v>
      </c>
      <c r="J1118" s="370" t="str">
        <f t="shared" si="133"/>
        <v>0430400000</v>
      </c>
      <c r="K1118" s="30" t="str">
        <f t="shared" si="134"/>
        <v>61705030430400000000</v>
      </c>
    </row>
    <row r="1119" spans="1:11" s="3" customFormat="1">
      <c r="A1119" s="232" t="s">
        <v>158</v>
      </c>
      <c r="B1119" s="241" t="s">
        <v>5</v>
      </c>
      <c r="C1119" s="242" t="s">
        <v>8</v>
      </c>
      <c r="D1119" s="242" t="s">
        <v>53</v>
      </c>
      <c r="E1119" s="242" t="s">
        <v>646</v>
      </c>
      <c r="F1119" s="242" t="s">
        <v>58</v>
      </c>
      <c r="G1119" s="243">
        <f>G1120</f>
        <v>8259320</v>
      </c>
      <c r="H1119" s="243">
        <f>H1120</f>
        <v>8259320</v>
      </c>
      <c r="I1119" s="242">
        <v>430420300</v>
      </c>
      <c r="J1119" s="370" t="str">
        <f t="shared" si="133"/>
        <v>0430420300</v>
      </c>
      <c r="K1119" s="30" t="str">
        <f t="shared" si="134"/>
        <v>61705030430420300000</v>
      </c>
    </row>
    <row r="1120" spans="1:11" s="3" customFormat="1" ht="25.5">
      <c r="A1120" s="232" t="s">
        <v>108</v>
      </c>
      <c r="B1120" s="241" t="s">
        <v>5</v>
      </c>
      <c r="C1120" s="242" t="s">
        <v>8</v>
      </c>
      <c r="D1120" s="242" t="s">
        <v>53</v>
      </c>
      <c r="E1120" s="242" t="s">
        <v>646</v>
      </c>
      <c r="F1120" s="242" t="s">
        <v>116</v>
      </c>
      <c r="G1120" s="243">
        <f>G1121</f>
        <v>8259320</v>
      </c>
      <c r="H1120" s="243">
        <f>H1121</f>
        <v>8259320</v>
      </c>
      <c r="I1120" s="242">
        <v>430420300</v>
      </c>
      <c r="J1120" s="370" t="str">
        <f t="shared" si="133"/>
        <v>0430420300</v>
      </c>
      <c r="K1120" s="30" t="str">
        <f t="shared" si="134"/>
        <v>61705030430420300240</v>
      </c>
    </row>
    <row r="1121" spans="1:11" s="4" customFormat="1" ht="25.5">
      <c r="A1121" s="236" t="s">
        <v>973</v>
      </c>
      <c r="B1121" s="241" t="s">
        <v>5</v>
      </c>
      <c r="C1121" s="242" t="s">
        <v>8</v>
      </c>
      <c r="D1121" s="242" t="s">
        <v>53</v>
      </c>
      <c r="E1121" s="242" t="s">
        <v>646</v>
      </c>
      <c r="F1121" s="242" t="s">
        <v>1043</v>
      </c>
      <c r="G1121" s="235">
        <f>VLOOKUP(K1121,'исх АС БЮДЖЕТ'!$A$10:$H$568,7,0)</f>
        <v>8259320</v>
      </c>
      <c r="H1121" s="235">
        <f>VLOOKUP(K1121,'исх АС БЮДЖЕТ'!$A$10:$H$568,8,0)</f>
        <v>8259320</v>
      </c>
      <c r="I1121" s="242">
        <v>430420300</v>
      </c>
      <c r="J1121" s="370" t="str">
        <f t="shared" si="133"/>
        <v>0430420300</v>
      </c>
      <c r="K1121" s="30" t="str">
        <f t="shared" si="134"/>
        <v>61705030430420300244</v>
      </c>
    </row>
    <row r="1122" spans="1:11" s="3" customFormat="1">
      <c r="A1122" s="236" t="s">
        <v>890</v>
      </c>
      <c r="B1122" s="241" t="s">
        <v>5</v>
      </c>
      <c r="C1122" s="242" t="s">
        <v>8</v>
      </c>
      <c r="D1122" s="242" t="s">
        <v>53</v>
      </c>
      <c r="E1122" s="242" t="s">
        <v>910</v>
      </c>
      <c r="F1122" s="242" t="s">
        <v>58</v>
      </c>
      <c r="G1122" s="243">
        <f>G1123</f>
        <v>941720</v>
      </c>
      <c r="H1122" s="243">
        <f>H1123</f>
        <v>941720</v>
      </c>
      <c r="I1122" s="242">
        <v>430421070</v>
      </c>
      <c r="J1122" s="370" t="str">
        <f t="shared" si="133"/>
        <v>0430421070</v>
      </c>
      <c r="K1122" s="30" t="str">
        <f t="shared" si="134"/>
        <v>61705030430421070000</v>
      </c>
    </row>
    <row r="1123" spans="1:11" s="3" customFormat="1" ht="25.5">
      <c r="A1123" s="232" t="s">
        <v>108</v>
      </c>
      <c r="B1123" s="241" t="s">
        <v>5</v>
      </c>
      <c r="C1123" s="242" t="s">
        <v>8</v>
      </c>
      <c r="D1123" s="242" t="s">
        <v>53</v>
      </c>
      <c r="E1123" s="242" t="s">
        <v>910</v>
      </c>
      <c r="F1123" s="242" t="s">
        <v>116</v>
      </c>
      <c r="G1123" s="243">
        <f>G1124</f>
        <v>941720</v>
      </c>
      <c r="H1123" s="243">
        <f>H1124</f>
        <v>941720</v>
      </c>
      <c r="I1123" s="242">
        <v>430421070</v>
      </c>
      <c r="J1123" s="370" t="str">
        <f t="shared" si="133"/>
        <v>0430421070</v>
      </c>
      <c r="K1123" s="30" t="str">
        <f t="shared" si="134"/>
        <v>61705030430421070240</v>
      </c>
    </row>
    <row r="1124" spans="1:11" s="4" customFormat="1" ht="25.5">
      <c r="A1124" s="236" t="s">
        <v>973</v>
      </c>
      <c r="B1124" s="241" t="s">
        <v>5</v>
      </c>
      <c r="C1124" s="242" t="s">
        <v>8</v>
      </c>
      <c r="D1124" s="242" t="s">
        <v>53</v>
      </c>
      <c r="E1124" s="242" t="s">
        <v>910</v>
      </c>
      <c r="F1124" s="242" t="s">
        <v>1043</v>
      </c>
      <c r="G1124" s="235">
        <f>VLOOKUP(K1124,'исх АС БЮДЖЕТ'!$A$10:$H$568,7,0)</f>
        <v>941720</v>
      </c>
      <c r="H1124" s="235">
        <f>VLOOKUP(K1124,'исх АС БЮДЖЕТ'!$A$10:$H$568,8,0)</f>
        <v>941720</v>
      </c>
      <c r="I1124" s="242">
        <v>430421070</v>
      </c>
      <c r="J1124" s="370" t="str">
        <f t="shared" si="133"/>
        <v>0430421070</v>
      </c>
      <c r="K1124" s="30" t="str">
        <f t="shared" si="134"/>
        <v>61705030430421070244</v>
      </c>
    </row>
    <row r="1125" spans="1:11" s="3" customFormat="1" ht="38.25">
      <c r="A1125" s="236" t="s">
        <v>891</v>
      </c>
      <c r="B1125" s="241" t="s">
        <v>5</v>
      </c>
      <c r="C1125" s="242" t="s">
        <v>8</v>
      </c>
      <c r="D1125" s="242" t="s">
        <v>53</v>
      </c>
      <c r="E1125" s="242" t="s">
        <v>911</v>
      </c>
      <c r="F1125" s="242" t="s">
        <v>58</v>
      </c>
      <c r="G1125" s="243">
        <f>G1126</f>
        <v>9476080</v>
      </c>
      <c r="H1125" s="243">
        <f>H1126</f>
        <v>9476080</v>
      </c>
      <c r="I1125" s="242">
        <v>430421080</v>
      </c>
      <c r="J1125" s="370" t="str">
        <f t="shared" si="133"/>
        <v>0430421080</v>
      </c>
      <c r="K1125" s="30" t="str">
        <f t="shared" si="134"/>
        <v>61705030430421080000</v>
      </c>
    </row>
    <row r="1126" spans="1:11" s="3" customFormat="1" ht="25.5">
      <c r="A1126" s="232" t="s">
        <v>108</v>
      </c>
      <c r="B1126" s="241" t="s">
        <v>5</v>
      </c>
      <c r="C1126" s="242" t="s">
        <v>8</v>
      </c>
      <c r="D1126" s="242" t="s">
        <v>53</v>
      </c>
      <c r="E1126" s="242" t="s">
        <v>911</v>
      </c>
      <c r="F1126" s="242" t="s">
        <v>116</v>
      </c>
      <c r="G1126" s="243">
        <f>G1127</f>
        <v>9476080</v>
      </c>
      <c r="H1126" s="243">
        <f>H1127</f>
        <v>9476080</v>
      </c>
      <c r="I1126" s="242">
        <v>430421080</v>
      </c>
      <c r="J1126" s="370" t="str">
        <f t="shared" si="133"/>
        <v>0430421080</v>
      </c>
      <c r="K1126" s="30" t="str">
        <f t="shared" si="134"/>
        <v>61705030430421080240</v>
      </c>
    </row>
    <row r="1127" spans="1:11" s="4" customFormat="1" ht="25.5">
      <c r="A1127" s="236" t="s">
        <v>973</v>
      </c>
      <c r="B1127" s="241" t="s">
        <v>5</v>
      </c>
      <c r="C1127" s="242" t="s">
        <v>8</v>
      </c>
      <c r="D1127" s="242" t="s">
        <v>53</v>
      </c>
      <c r="E1127" s="242" t="s">
        <v>911</v>
      </c>
      <c r="F1127" s="242" t="s">
        <v>1043</v>
      </c>
      <c r="G1127" s="235">
        <f>VLOOKUP(K1127,'исх АС БЮДЖЕТ'!$A$10:$H$568,7,0)</f>
        <v>9476080</v>
      </c>
      <c r="H1127" s="235">
        <f>VLOOKUP(K1127,'исх АС БЮДЖЕТ'!$A$10:$H$568,8,0)</f>
        <v>9476080</v>
      </c>
      <c r="I1127" s="242">
        <v>430421080</v>
      </c>
      <c r="J1127" s="370" t="str">
        <f t="shared" si="133"/>
        <v>0430421080</v>
      </c>
      <c r="K1127" s="30" t="str">
        <f t="shared" si="134"/>
        <v>61705030430421080244</v>
      </c>
    </row>
    <row r="1128" spans="1:11" s="3" customFormat="1">
      <c r="A1128" s="224" t="s">
        <v>499</v>
      </c>
      <c r="B1128" s="225" t="s">
        <v>5</v>
      </c>
      <c r="C1128" s="226" t="s">
        <v>50</v>
      </c>
      <c r="D1128" s="226" t="s">
        <v>51</v>
      </c>
      <c r="E1128" s="226" t="s">
        <v>196</v>
      </c>
      <c r="F1128" s="226" t="s">
        <v>58</v>
      </c>
      <c r="G1128" s="227">
        <f t="shared" ref="G1128:H1131" si="137">G1129</f>
        <v>1591000</v>
      </c>
      <c r="H1128" s="227">
        <f t="shared" si="137"/>
        <v>1591000</v>
      </c>
      <c r="I1128" s="226">
        <v>0</v>
      </c>
      <c r="J1128" s="370" t="str">
        <f t="shared" si="133"/>
        <v>0000000000</v>
      </c>
      <c r="K1128" s="30" t="str">
        <f t="shared" si="134"/>
        <v>61708000000000000000</v>
      </c>
    </row>
    <row r="1129" spans="1:11" s="3" customFormat="1">
      <c r="A1129" s="228" t="s">
        <v>27</v>
      </c>
      <c r="B1129" s="229" t="s">
        <v>5</v>
      </c>
      <c r="C1129" s="230" t="s">
        <v>50</v>
      </c>
      <c r="D1129" s="230" t="s">
        <v>65</v>
      </c>
      <c r="E1129" s="230" t="s">
        <v>196</v>
      </c>
      <c r="F1129" s="230" t="s">
        <v>58</v>
      </c>
      <c r="G1129" s="231">
        <f t="shared" si="137"/>
        <v>1591000</v>
      </c>
      <c r="H1129" s="231">
        <f t="shared" si="137"/>
        <v>1591000</v>
      </c>
      <c r="I1129" s="230">
        <v>0</v>
      </c>
      <c r="J1129" s="370" t="str">
        <f t="shared" si="133"/>
        <v>0000000000</v>
      </c>
      <c r="K1129" s="30" t="str">
        <f t="shared" si="134"/>
        <v>61708010000000000000</v>
      </c>
    </row>
    <row r="1130" spans="1:11" s="3" customFormat="1">
      <c r="A1130" s="232" t="s">
        <v>739</v>
      </c>
      <c r="B1130" s="241" t="s">
        <v>5</v>
      </c>
      <c r="C1130" s="242" t="s">
        <v>50</v>
      </c>
      <c r="D1130" s="242" t="s">
        <v>65</v>
      </c>
      <c r="E1130" s="242" t="s">
        <v>277</v>
      </c>
      <c r="F1130" s="242" t="s">
        <v>58</v>
      </c>
      <c r="G1130" s="243">
        <f t="shared" si="137"/>
        <v>1591000</v>
      </c>
      <c r="H1130" s="243">
        <f t="shared" si="137"/>
        <v>1591000</v>
      </c>
      <c r="I1130" s="242">
        <v>700000000</v>
      </c>
      <c r="J1130" s="370" t="str">
        <f t="shared" si="133"/>
        <v>0700000000</v>
      </c>
      <c r="K1130" s="30" t="str">
        <f t="shared" si="134"/>
        <v>61708010700000000000</v>
      </c>
    </row>
    <row r="1131" spans="1:11" s="3" customFormat="1" ht="38.25">
      <c r="A1131" s="252" t="s">
        <v>191</v>
      </c>
      <c r="B1131" s="241" t="s">
        <v>5</v>
      </c>
      <c r="C1131" s="242" t="s">
        <v>50</v>
      </c>
      <c r="D1131" s="242" t="s">
        <v>65</v>
      </c>
      <c r="E1131" s="242" t="s">
        <v>278</v>
      </c>
      <c r="F1131" s="242" t="s">
        <v>58</v>
      </c>
      <c r="G1131" s="243">
        <f t="shared" si="137"/>
        <v>1591000</v>
      </c>
      <c r="H1131" s="243">
        <f t="shared" si="137"/>
        <v>1591000</v>
      </c>
      <c r="I1131" s="242">
        <v>710000000</v>
      </c>
      <c r="J1131" s="370" t="str">
        <f t="shared" si="133"/>
        <v>0710000000</v>
      </c>
      <c r="K1131" s="30" t="str">
        <f t="shared" si="134"/>
        <v>61708010710000000000</v>
      </c>
    </row>
    <row r="1132" spans="1:11" s="3" customFormat="1" ht="51">
      <c r="A1132" s="252" t="s">
        <v>605</v>
      </c>
      <c r="B1132" s="241" t="s">
        <v>5</v>
      </c>
      <c r="C1132" s="242" t="s">
        <v>50</v>
      </c>
      <c r="D1132" s="242" t="s">
        <v>65</v>
      </c>
      <c r="E1132" s="242" t="s">
        <v>279</v>
      </c>
      <c r="F1132" s="242" t="s">
        <v>58</v>
      </c>
      <c r="G1132" s="243">
        <f>G1133+G1136</f>
        <v>1591000</v>
      </c>
      <c r="H1132" s="243">
        <f>H1133+H1136</f>
        <v>1591000</v>
      </c>
      <c r="I1132" s="242">
        <v>710100000</v>
      </c>
      <c r="J1132" s="370" t="str">
        <f t="shared" si="133"/>
        <v>0710100000</v>
      </c>
      <c r="K1132" s="30" t="str">
        <f t="shared" si="134"/>
        <v>61708010710100000000</v>
      </c>
    </row>
    <row r="1133" spans="1:11" s="3" customFormat="1">
      <c r="A1133" s="232" t="s">
        <v>161</v>
      </c>
      <c r="B1133" s="241" t="s">
        <v>5</v>
      </c>
      <c r="C1133" s="242" t="s">
        <v>50</v>
      </c>
      <c r="D1133" s="242" t="s">
        <v>65</v>
      </c>
      <c r="E1133" s="242" t="s">
        <v>320</v>
      </c>
      <c r="F1133" s="242" t="s">
        <v>58</v>
      </c>
      <c r="G1133" s="243">
        <f>G1134</f>
        <v>1095450</v>
      </c>
      <c r="H1133" s="243">
        <f>H1134</f>
        <v>1095450</v>
      </c>
      <c r="I1133" s="242">
        <v>710120060</v>
      </c>
      <c r="J1133" s="370" t="str">
        <f t="shared" si="133"/>
        <v>0710120060</v>
      </c>
      <c r="K1133" s="30" t="str">
        <f t="shared" si="134"/>
        <v>61708010710120060000</v>
      </c>
    </row>
    <row r="1134" spans="1:11" s="3" customFormat="1" ht="25.5">
      <c r="A1134" s="232" t="s">
        <v>108</v>
      </c>
      <c r="B1134" s="241" t="s">
        <v>5</v>
      </c>
      <c r="C1134" s="242" t="s">
        <v>50</v>
      </c>
      <c r="D1134" s="242" t="s">
        <v>65</v>
      </c>
      <c r="E1134" s="242" t="s">
        <v>320</v>
      </c>
      <c r="F1134" s="242" t="s">
        <v>116</v>
      </c>
      <c r="G1134" s="243">
        <f>G1135</f>
        <v>1095450</v>
      </c>
      <c r="H1134" s="243">
        <f>H1135</f>
        <v>1095450</v>
      </c>
      <c r="I1134" s="242">
        <v>710120060</v>
      </c>
      <c r="J1134" s="370" t="str">
        <f t="shared" si="133"/>
        <v>0710120060</v>
      </c>
      <c r="K1134" s="30" t="str">
        <f t="shared" si="134"/>
        <v>61708010710120060240</v>
      </c>
    </row>
    <row r="1135" spans="1:11" s="4" customFormat="1" ht="25.5">
      <c r="A1135" s="236" t="s">
        <v>973</v>
      </c>
      <c r="B1135" s="241" t="s">
        <v>5</v>
      </c>
      <c r="C1135" s="242" t="s">
        <v>50</v>
      </c>
      <c r="D1135" s="242" t="s">
        <v>65</v>
      </c>
      <c r="E1135" s="242" t="s">
        <v>320</v>
      </c>
      <c r="F1135" s="242" t="s">
        <v>1043</v>
      </c>
      <c r="G1135" s="235">
        <f>VLOOKUP(K1135,'исх АС БЮДЖЕТ'!$A$10:$H$568,7,0)</f>
        <v>1095450</v>
      </c>
      <c r="H1135" s="235">
        <f>VLOOKUP(K1135,'исх АС БЮДЖЕТ'!$A$10:$H$568,8,0)</f>
        <v>1095450</v>
      </c>
      <c r="I1135" s="242">
        <v>710120060</v>
      </c>
      <c r="J1135" s="370" t="str">
        <f t="shared" si="133"/>
        <v>0710120060</v>
      </c>
      <c r="K1135" s="30" t="str">
        <f t="shared" si="134"/>
        <v>61708010710120060244</v>
      </c>
    </row>
    <row r="1136" spans="1:11" s="3" customFormat="1" ht="25.5">
      <c r="A1136" s="236" t="s">
        <v>892</v>
      </c>
      <c r="B1136" s="241" t="s">
        <v>5</v>
      </c>
      <c r="C1136" s="242" t="s">
        <v>50</v>
      </c>
      <c r="D1136" s="242" t="s">
        <v>65</v>
      </c>
      <c r="E1136" s="242" t="s">
        <v>500</v>
      </c>
      <c r="F1136" s="242" t="s">
        <v>58</v>
      </c>
      <c r="G1136" s="243">
        <f>G1137</f>
        <v>495550</v>
      </c>
      <c r="H1136" s="243">
        <f>H1137</f>
        <v>495550</v>
      </c>
      <c r="I1136" s="242">
        <v>710121130</v>
      </c>
      <c r="J1136" s="370" t="str">
        <f t="shared" si="133"/>
        <v>0710121130</v>
      </c>
      <c r="K1136" s="30" t="str">
        <f t="shared" si="134"/>
        <v>61708010710121130000</v>
      </c>
    </row>
    <row r="1137" spans="1:11" s="4" customFormat="1" ht="25.5">
      <c r="A1137" s="232" t="s">
        <v>108</v>
      </c>
      <c r="B1137" s="241" t="s">
        <v>5</v>
      </c>
      <c r="C1137" s="242" t="s">
        <v>50</v>
      </c>
      <c r="D1137" s="242" t="s">
        <v>65</v>
      </c>
      <c r="E1137" s="242" t="s">
        <v>500</v>
      </c>
      <c r="F1137" s="242" t="s">
        <v>116</v>
      </c>
      <c r="G1137" s="243">
        <f>G1138</f>
        <v>495550</v>
      </c>
      <c r="H1137" s="243">
        <f>H1138</f>
        <v>495550</v>
      </c>
      <c r="I1137" s="242">
        <v>710121130</v>
      </c>
      <c r="J1137" s="370" t="str">
        <f t="shared" si="133"/>
        <v>0710121130</v>
      </c>
      <c r="K1137" s="30" t="str">
        <f t="shared" si="134"/>
        <v>61708010710121130240</v>
      </c>
    </row>
    <row r="1138" spans="1:11" s="4" customFormat="1" ht="25.5">
      <c r="A1138" s="236" t="s">
        <v>973</v>
      </c>
      <c r="B1138" s="241" t="s">
        <v>5</v>
      </c>
      <c r="C1138" s="242" t="s">
        <v>50</v>
      </c>
      <c r="D1138" s="242" t="s">
        <v>65</v>
      </c>
      <c r="E1138" s="242" t="s">
        <v>500</v>
      </c>
      <c r="F1138" s="242" t="s">
        <v>1043</v>
      </c>
      <c r="G1138" s="235">
        <f>VLOOKUP(K1138,'исх АС БЮДЖЕТ'!$A$10:$H$568,7,0)</f>
        <v>495550</v>
      </c>
      <c r="H1138" s="235">
        <f>VLOOKUP(K1138,'исх АС БЮДЖЕТ'!$A$10:$H$568,8,0)</f>
        <v>495550</v>
      </c>
      <c r="I1138" s="242">
        <v>710121130</v>
      </c>
      <c r="J1138" s="370" t="str">
        <f t="shared" si="133"/>
        <v>0710121130</v>
      </c>
      <c r="K1138" s="30" t="str">
        <f t="shared" si="134"/>
        <v>61708010710121130244</v>
      </c>
    </row>
    <row r="1139" spans="1:11" s="4" customFormat="1">
      <c r="A1139" s="236"/>
      <c r="B1139" s="241"/>
      <c r="C1139" s="242"/>
      <c r="D1139" s="242"/>
      <c r="E1139" s="242"/>
      <c r="F1139" s="242"/>
      <c r="G1139" s="235"/>
      <c r="H1139" s="235"/>
      <c r="I1139" s="242"/>
      <c r="J1139" s="370"/>
      <c r="K1139" s="30"/>
    </row>
    <row r="1140" spans="1:11" s="3" customFormat="1">
      <c r="A1140" s="219" t="s">
        <v>11</v>
      </c>
      <c r="B1140" s="220" t="s">
        <v>12</v>
      </c>
      <c r="C1140" s="221" t="s">
        <v>51</v>
      </c>
      <c r="D1140" s="221" t="s">
        <v>51</v>
      </c>
      <c r="E1140" s="221" t="s">
        <v>196</v>
      </c>
      <c r="F1140" s="221" t="s">
        <v>58</v>
      </c>
      <c r="G1140" s="222">
        <f>G1141+G1175+G1186+G1208</f>
        <v>102174110</v>
      </c>
      <c r="H1140" s="222">
        <f>H1141+H1175+H1186+H1208</f>
        <v>102174110</v>
      </c>
      <c r="I1140" s="221">
        <v>0</v>
      </c>
      <c r="J1140" s="370" t="str">
        <f t="shared" si="133"/>
        <v>0000000000</v>
      </c>
      <c r="K1140" s="30" t="str">
        <f t="shared" si="134"/>
        <v>61800000000000000000</v>
      </c>
    </row>
    <row r="1141" spans="1:11" s="3" customFormat="1">
      <c r="A1141" s="224" t="s">
        <v>64</v>
      </c>
      <c r="B1141" s="225" t="s">
        <v>12</v>
      </c>
      <c r="C1141" s="226" t="s">
        <v>65</v>
      </c>
      <c r="D1141" s="226" t="s">
        <v>51</v>
      </c>
      <c r="E1141" s="226" t="s">
        <v>196</v>
      </c>
      <c r="F1141" s="226" t="s">
        <v>58</v>
      </c>
      <c r="G1141" s="227">
        <f>G1142+G1168</f>
        <v>30960300</v>
      </c>
      <c r="H1141" s="227">
        <f>H1142+H1168</f>
        <v>30960300</v>
      </c>
      <c r="I1141" s="226">
        <v>0</v>
      </c>
      <c r="J1141" s="370" t="str">
        <f t="shared" si="133"/>
        <v>0000000000</v>
      </c>
      <c r="K1141" s="30" t="str">
        <f t="shared" si="134"/>
        <v>61801000000000000000</v>
      </c>
    </row>
    <row r="1142" spans="1:11" s="3" customFormat="1" ht="38.25">
      <c r="A1142" s="228" t="s">
        <v>31</v>
      </c>
      <c r="B1142" s="229" t="s">
        <v>12</v>
      </c>
      <c r="C1142" s="230" t="s">
        <v>65</v>
      </c>
      <c r="D1142" s="230" t="s">
        <v>37</v>
      </c>
      <c r="E1142" s="230" t="s">
        <v>196</v>
      </c>
      <c r="F1142" s="230" t="s">
        <v>58</v>
      </c>
      <c r="G1142" s="231">
        <f t="shared" ref="G1142:H1143" si="138">G1143</f>
        <v>30602450</v>
      </c>
      <c r="H1142" s="231">
        <f t="shared" si="138"/>
        <v>30602450</v>
      </c>
      <c r="I1142" s="230">
        <v>0</v>
      </c>
      <c r="J1142" s="370" t="str">
        <f t="shared" si="133"/>
        <v>0000000000</v>
      </c>
      <c r="K1142" s="30" t="str">
        <f t="shared" si="134"/>
        <v>61801040000000000000</v>
      </c>
    </row>
    <row r="1143" spans="1:11" s="3" customFormat="1">
      <c r="A1143" s="232" t="s">
        <v>149</v>
      </c>
      <c r="B1143" s="233" t="s">
        <v>12</v>
      </c>
      <c r="C1143" s="234" t="s">
        <v>65</v>
      </c>
      <c r="D1143" s="234" t="s">
        <v>37</v>
      </c>
      <c r="E1143" s="234" t="s">
        <v>501</v>
      </c>
      <c r="F1143" s="234" t="s">
        <v>58</v>
      </c>
      <c r="G1143" s="235">
        <f t="shared" si="138"/>
        <v>30602450</v>
      </c>
      <c r="H1143" s="235">
        <f t="shared" si="138"/>
        <v>30602450</v>
      </c>
      <c r="I1143" s="234">
        <v>8100000000</v>
      </c>
      <c r="J1143" s="370" t="str">
        <f t="shared" si="133"/>
        <v>8100000000</v>
      </c>
      <c r="K1143" s="30" t="str">
        <f t="shared" si="134"/>
        <v>61801048100000000000</v>
      </c>
    </row>
    <row r="1144" spans="1:11" s="3" customFormat="1" ht="25.5">
      <c r="A1144" s="232" t="s">
        <v>150</v>
      </c>
      <c r="B1144" s="233" t="s">
        <v>12</v>
      </c>
      <c r="C1144" s="234" t="s">
        <v>65</v>
      </c>
      <c r="D1144" s="234" t="s">
        <v>37</v>
      </c>
      <c r="E1144" s="234" t="s">
        <v>502</v>
      </c>
      <c r="F1144" s="234" t="s">
        <v>58</v>
      </c>
      <c r="G1144" s="235">
        <f>G1145+G1154+G1158+G1165</f>
        <v>30602450</v>
      </c>
      <c r="H1144" s="235">
        <f>H1145+H1154+H1158+H1165</f>
        <v>30602450</v>
      </c>
      <c r="I1144" s="234">
        <v>8110000000</v>
      </c>
      <c r="J1144" s="370" t="str">
        <f t="shared" si="133"/>
        <v>8110000000</v>
      </c>
      <c r="K1144" s="30" t="str">
        <f t="shared" si="134"/>
        <v>61801048110000000000</v>
      </c>
    </row>
    <row r="1145" spans="1:11" s="3" customFormat="1" ht="25.5">
      <c r="A1145" s="232" t="s">
        <v>114</v>
      </c>
      <c r="B1145" s="233" t="s">
        <v>12</v>
      </c>
      <c r="C1145" s="234" t="s">
        <v>65</v>
      </c>
      <c r="D1145" s="234" t="s">
        <v>37</v>
      </c>
      <c r="E1145" s="234" t="s">
        <v>503</v>
      </c>
      <c r="F1145" s="234" t="s">
        <v>58</v>
      </c>
      <c r="G1145" s="235">
        <f>G1146+G1149+G1151</f>
        <v>3789080</v>
      </c>
      <c r="H1145" s="235">
        <f>H1146+H1149+H1151</f>
        <v>3789080</v>
      </c>
      <c r="I1145" s="234">
        <v>8110010010</v>
      </c>
      <c r="J1145" s="370" t="str">
        <f t="shared" si="133"/>
        <v>8110010010</v>
      </c>
      <c r="K1145" s="30" t="str">
        <f t="shared" si="134"/>
        <v>61801048110010010000</v>
      </c>
    </row>
    <row r="1146" spans="1:11" s="3" customFormat="1">
      <c r="A1146" s="237" t="s">
        <v>107</v>
      </c>
      <c r="B1146" s="233" t="s">
        <v>12</v>
      </c>
      <c r="C1146" s="234" t="s">
        <v>65</v>
      </c>
      <c r="D1146" s="234" t="s">
        <v>37</v>
      </c>
      <c r="E1146" s="234" t="s">
        <v>503</v>
      </c>
      <c r="F1146" s="234" t="s">
        <v>115</v>
      </c>
      <c r="G1146" s="235">
        <f>SUM(G1147:G1148)</f>
        <v>637110</v>
      </c>
      <c r="H1146" s="235">
        <f>SUM(H1147:H1148)</f>
        <v>637110</v>
      </c>
      <c r="I1146" s="234">
        <v>8110010010</v>
      </c>
      <c r="J1146" s="370" t="str">
        <f t="shared" si="133"/>
        <v>8110010010</v>
      </c>
      <c r="K1146" s="30" t="str">
        <f t="shared" si="134"/>
        <v>61801048110010010120</v>
      </c>
    </row>
    <row r="1147" spans="1:11" s="3" customFormat="1" ht="25.5">
      <c r="A1147" s="236" t="s">
        <v>937</v>
      </c>
      <c r="B1147" s="233" t="s">
        <v>12</v>
      </c>
      <c r="C1147" s="234" t="s">
        <v>65</v>
      </c>
      <c r="D1147" s="234" t="s">
        <v>37</v>
      </c>
      <c r="E1147" s="234" t="s">
        <v>503</v>
      </c>
      <c r="F1147" s="234" t="s">
        <v>1059</v>
      </c>
      <c r="G1147" s="235">
        <f>VLOOKUP(K1147,'исх АС БЮДЖЕТ'!$A$10:$H$568,7,0)</f>
        <v>489330</v>
      </c>
      <c r="H1147" s="235">
        <f>VLOOKUP(K1147,'исх АС БЮДЖЕТ'!$A$10:$H$568,8,0)</f>
        <v>489330</v>
      </c>
      <c r="I1147" s="234">
        <v>8110010010</v>
      </c>
      <c r="J1147" s="370" t="str">
        <f t="shared" si="133"/>
        <v>8110010010</v>
      </c>
      <c r="K1147" s="30" t="str">
        <f t="shared" si="134"/>
        <v>61801048110010010122</v>
      </c>
    </row>
    <row r="1148" spans="1:11" s="3" customFormat="1" ht="38.25">
      <c r="A1148" s="236" t="s">
        <v>939</v>
      </c>
      <c r="B1148" s="233" t="s">
        <v>12</v>
      </c>
      <c r="C1148" s="234" t="s">
        <v>65</v>
      </c>
      <c r="D1148" s="234" t="s">
        <v>37</v>
      </c>
      <c r="E1148" s="234" t="s">
        <v>503</v>
      </c>
      <c r="F1148" s="234" t="s">
        <v>1060</v>
      </c>
      <c r="G1148" s="235">
        <f>VLOOKUP(K1148,'исх АС БЮДЖЕТ'!$A$10:$H$568,7,0)</f>
        <v>147780</v>
      </c>
      <c r="H1148" s="235">
        <f>VLOOKUP(K1148,'исх АС БЮДЖЕТ'!$A$10:$H$568,8,0)</f>
        <v>147780</v>
      </c>
      <c r="I1148" s="234">
        <v>8110010010</v>
      </c>
      <c r="J1148" s="370" t="str">
        <f t="shared" si="133"/>
        <v>8110010010</v>
      </c>
      <c r="K1148" s="30" t="str">
        <f t="shared" si="134"/>
        <v>61801048110010010129</v>
      </c>
    </row>
    <row r="1149" spans="1:11" s="3" customFormat="1" ht="25.5">
      <c r="A1149" s="232" t="s">
        <v>108</v>
      </c>
      <c r="B1149" s="233" t="s">
        <v>12</v>
      </c>
      <c r="C1149" s="234" t="s">
        <v>65</v>
      </c>
      <c r="D1149" s="234" t="s">
        <v>37</v>
      </c>
      <c r="E1149" s="234" t="s">
        <v>503</v>
      </c>
      <c r="F1149" s="234" t="s">
        <v>116</v>
      </c>
      <c r="G1149" s="235">
        <f>G1150</f>
        <v>3110070</v>
      </c>
      <c r="H1149" s="235">
        <f>H1150</f>
        <v>3110070</v>
      </c>
      <c r="I1149" s="234">
        <v>8110010010</v>
      </c>
      <c r="J1149" s="370" t="str">
        <f t="shared" si="133"/>
        <v>8110010010</v>
      </c>
      <c r="K1149" s="30" t="str">
        <f t="shared" si="134"/>
        <v>61801048110010010240</v>
      </c>
    </row>
    <row r="1150" spans="1:11" s="4" customFormat="1" ht="25.5">
      <c r="A1150" s="236" t="s">
        <v>973</v>
      </c>
      <c r="B1150" s="233" t="s">
        <v>12</v>
      </c>
      <c r="C1150" s="234" t="s">
        <v>65</v>
      </c>
      <c r="D1150" s="234" t="s">
        <v>37</v>
      </c>
      <c r="E1150" s="234" t="s">
        <v>503</v>
      </c>
      <c r="F1150" s="234" t="s">
        <v>1043</v>
      </c>
      <c r="G1150" s="235">
        <f>VLOOKUP(K1150,'исх АС БЮДЖЕТ'!$A$10:$H$568,7,0)</f>
        <v>3110070</v>
      </c>
      <c r="H1150" s="235">
        <f>VLOOKUP(K1150,'исх АС БЮДЖЕТ'!$A$10:$H$568,8,0)</f>
        <v>3110070</v>
      </c>
      <c r="I1150" s="234">
        <v>8110010010</v>
      </c>
      <c r="J1150" s="370" t="str">
        <f t="shared" si="133"/>
        <v>8110010010</v>
      </c>
      <c r="K1150" s="30" t="str">
        <f t="shared" si="134"/>
        <v>61801048110010010244</v>
      </c>
    </row>
    <row r="1151" spans="1:11" s="3" customFormat="1">
      <c r="A1151" s="232" t="s">
        <v>97</v>
      </c>
      <c r="B1151" s="233" t="s">
        <v>12</v>
      </c>
      <c r="C1151" s="234" t="s">
        <v>65</v>
      </c>
      <c r="D1151" s="234" t="s">
        <v>37</v>
      </c>
      <c r="E1151" s="234" t="s">
        <v>503</v>
      </c>
      <c r="F1151" s="234" t="s">
        <v>118</v>
      </c>
      <c r="G1151" s="235">
        <f>SUM(G1152:G1153)</f>
        <v>41900</v>
      </c>
      <c r="H1151" s="235">
        <f>SUM(H1152:H1153)</f>
        <v>41900</v>
      </c>
      <c r="I1151" s="234">
        <v>8110010010</v>
      </c>
      <c r="J1151" s="370" t="str">
        <f t="shared" si="133"/>
        <v>8110010010</v>
      </c>
      <c r="K1151" s="30" t="str">
        <f t="shared" si="134"/>
        <v>61801048110010010850</v>
      </c>
    </row>
    <row r="1152" spans="1:11" s="3" customFormat="1">
      <c r="A1152" s="232" t="s">
        <v>1036</v>
      </c>
      <c r="B1152" s="233" t="s">
        <v>12</v>
      </c>
      <c r="C1152" s="234" t="s">
        <v>65</v>
      </c>
      <c r="D1152" s="234" t="s">
        <v>37</v>
      </c>
      <c r="E1152" s="234" t="s">
        <v>503</v>
      </c>
      <c r="F1152" s="234" t="s">
        <v>1061</v>
      </c>
      <c r="G1152" s="235">
        <f>VLOOKUP(K1152,'исх АС БЮДЖЕТ'!$A$10:$H$568,7,0)</f>
        <v>22800</v>
      </c>
      <c r="H1152" s="235">
        <f>VLOOKUP(K1152,'исх АС БЮДЖЕТ'!$A$10:$H$568,8,0)</f>
        <v>22800</v>
      </c>
      <c r="I1152" s="234">
        <v>8110010010</v>
      </c>
      <c r="J1152" s="370" t="str">
        <f t="shared" si="133"/>
        <v>8110010010</v>
      </c>
      <c r="K1152" s="30" t="str">
        <f t="shared" si="134"/>
        <v>61801048110010010851</v>
      </c>
    </row>
    <row r="1153" spans="1:11" s="3" customFormat="1">
      <c r="A1153" s="232" t="s">
        <v>1037</v>
      </c>
      <c r="B1153" s="233" t="s">
        <v>12</v>
      </c>
      <c r="C1153" s="234" t="s">
        <v>65</v>
      </c>
      <c r="D1153" s="234" t="s">
        <v>37</v>
      </c>
      <c r="E1153" s="234" t="s">
        <v>503</v>
      </c>
      <c r="F1153" s="234" t="s">
        <v>1062</v>
      </c>
      <c r="G1153" s="235">
        <f>VLOOKUP(K1153,'исх АС БЮДЖЕТ'!$A$10:$H$568,7,0)</f>
        <v>19100</v>
      </c>
      <c r="H1153" s="235">
        <f>VLOOKUP(K1153,'исх АС БЮДЖЕТ'!$A$10:$H$568,8,0)</f>
        <v>19100</v>
      </c>
      <c r="I1153" s="234">
        <v>8110010010</v>
      </c>
      <c r="J1153" s="370" t="str">
        <f t="shared" si="133"/>
        <v>8110010010</v>
      </c>
      <c r="K1153" s="30" t="str">
        <f t="shared" si="134"/>
        <v>61801048110010010852</v>
      </c>
    </row>
    <row r="1154" spans="1:11" s="3" customFormat="1" ht="25.5">
      <c r="A1154" s="237" t="s">
        <v>504</v>
      </c>
      <c r="B1154" s="233" t="s">
        <v>12</v>
      </c>
      <c r="C1154" s="234" t="s">
        <v>65</v>
      </c>
      <c r="D1154" s="234" t="s">
        <v>37</v>
      </c>
      <c r="E1154" s="234" t="s">
        <v>505</v>
      </c>
      <c r="F1154" s="234" t="s">
        <v>58</v>
      </c>
      <c r="G1154" s="235">
        <f>G1155</f>
        <v>25543000</v>
      </c>
      <c r="H1154" s="235">
        <f>H1155</f>
        <v>25543000</v>
      </c>
      <c r="I1154" s="234">
        <v>8110010020</v>
      </c>
      <c r="J1154" s="370" t="str">
        <f t="shared" si="133"/>
        <v>8110010020</v>
      </c>
      <c r="K1154" s="30" t="str">
        <f t="shared" si="134"/>
        <v>61801048110010020000</v>
      </c>
    </row>
    <row r="1155" spans="1:11" s="3" customFormat="1">
      <c r="A1155" s="237" t="s">
        <v>107</v>
      </c>
      <c r="B1155" s="233" t="s">
        <v>12</v>
      </c>
      <c r="C1155" s="234" t="s">
        <v>65</v>
      </c>
      <c r="D1155" s="234" t="s">
        <v>37</v>
      </c>
      <c r="E1155" s="234" t="s">
        <v>505</v>
      </c>
      <c r="F1155" s="234" t="s">
        <v>115</v>
      </c>
      <c r="G1155" s="235">
        <f>SUM(G1156:G1157)</f>
        <v>25543000</v>
      </c>
      <c r="H1155" s="235">
        <f>SUM(H1156:H1157)</f>
        <v>25543000</v>
      </c>
      <c r="I1155" s="234">
        <v>8110010020</v>
      </c>
      <c r="J1155" s="370" t="str">
        <f t="shared" si="133"/>
        <v>8110010020</v>
      </c>
      <c r="K1155" s="30" t="str">
        <f t="shared" si="134"/>
        <v>61801048110010020120</v>
      </c>
    </row>
    <row r="1156" spans="1:11" s="4" customFormat="1">
      <c r="A1156" s="236" t="s">
        <v>936</v>
      </c>
      <c r="B1156" s="233" t="s">
        <v>12</v>
      </c>
      <c r="C1156" s="234" t="s">
        <v>65</v>
      </c>
      <c r="D1156" s="234" t="s">
        <v>37</v>
      </c>
      <c r="E1156" s="234" t="s">
        <v>505</v>
      </c>
      <c r="F1156" s="234" t="s">
        <v>1063</v>
      </c>
      <c r="G1156" s="235">
        <f>VLOOKUP(K1156,'исх АС БЮДЖЕТ'!$A$10:$H$568,7,0)</f>
        <v>19618280</v>
      </c>
      <c r="H1156" s="235">
        <f>VLOOKUP(K1156,'исх АС БЮДЖЕТ'!$A$10:$H$568,8,0)</f>
        <v>19618280</v>
      </c>
      <c r="I1156" s="234">
        <v>8110010020</v>
      </c>
      <c r="J1156" s="370" t="str">
        <f t="shared" si="133"/>
        <v>8110010020</v>
      </c>
      <c r="K1156" s="30" t="str">
        <f t="shared" si="134"/>
        <v>61801048110010020121</v>
      </c>
    </row>
    <row r="1157" spans="1:11" s="4" customFormat="1" ht="38.25">
      <c r="A1157" s="236" t="s">
        <v>939</v>
      </c>
      <c r="B1157" s="233" t="s">
        <v>12</v>
      </c>
      <c r="C1157" s="234" t="s">
        <v>65</v>
      </c>
      <c r="D1157" s="234" t="s">
        <v>37</v>
      </c>
      <c r="E1157" s="234" t="s">
        <v>505</v>
      </c>
      <c r="F1157" s="234" t="s">
        <v>1060</v>
      </c>
      <c r="G1157" s="235">
        <f>VLOOKUP(K1157,'исх АС БЮДЖЕТ'!$A$10:$H$568,7,0)</f>
        <v>5924720</v>
      </c>
      <c r="H1157" s="235">
        <f>VLOOKUP(K1157,'исх АС БЮДЖЕТ'!$A$10:$H$568,8,0)</f>
        <v>5924720</v>
      </c>
      <c r="I1157" s="234">
        <v>8110010020</v>
      </c>
      <c r="J1157" s="370" t="str">
        <f t="shared" si="133"/>
        <v>8110010020</v>
      </c>
      <c r="K1157" s="30" t="str">
        <f t="shared" si="134"/>
        <v>61801048110010020129</v>
      </c>
    </row>
    <row r="1158" spans="1:11" s="3" customFormat="1" ht="38.25">
      <c r="A1158" s="267" t="s">
        <v>598</v>
      </c>
      <c r="B1158" s="233" t="s">
        <v>12</v>
      </c>
      <c r="C1158" s="234" t="s">
        <v>65</v>
      </c>
      <c r="D1158" s="234" t="s">
        <v>37</v>
      </c>
      <c r="E1158" s="234" t="s">
        <v>506</v>
      </c>
      <c r="F1158" s="234" t="s">
        <v>58</v>
      </c>
      <c r="G1158" s="235">
        <f>G1159+G1163</f>
        <v>1218630</v>
      </c>
      <c r="H1158" s="235">
        <f>H1159+H1163</f>
        <v>1218630</v>
      </c>
      <c r="I1158" s="234">
        <v>8110076200</v>
      </c>
      <c r="J1158" s="370" t="str">
        <f t="shared" si="133"/>
        <v>8110076200</v>
      </c>
      <c r="K1158" s="30" t="str">
        <f t="shared" si="134"/>
        <v>61801048110076200000</v>
      </c>
    </row>
    <row r="1159" spans="1:11" s="3" customFormat="1">
      <c r="A1159" s="237" t="s">
        <v>107</v>
      </c>
      <c r="B1159" s="233" t="s">
        <v>12</v>
      </c>
      <c r="C1159" s="234" t="s">
        <v>65</v>
      </c>
      <c r="D1159" s="234" t="s">
        <v>37</v>
      </c>
      <c r="E1159" s="234" t="s">
        <v>506</v>
      </c>
      <c r="F1159" s="234" t="s">
        <v>115</v>
      </c>
      <c r="G1159" s="235">
        <f>SUM(G1160:G1162)</f>
        <v>1059710</v>
      </c>
      <c r="H1159" s="235">
        <f>SUM(H1160:H1162)</f>
        <v>1059710</v>
      </c>
      <c r="I1159" s="234">
        <v>8110076200</v>
      </c>
      <c r="J1159" s="370" t="str">
        <f t="shared" si="133"/>
        <v>8110076200</v>
      </c>
      <c r="K1159" s="30" t="str">
        <f t="shared" si="134"/>
        <v>61801048110076200120</v>
      </c>
    </row>
    <row r="1160" spans="1:11" s="4" customFormat="1">
      <c r="A1160" s="232" t="s">
        <v>936</v>
      </c>
      <c r="B1160" s="233" t="s">
        <v>12</v>
      </c>
      <c r="C1160" s="234" t="s">
        <v>65</v>
      </c>
      <c r="D1160" s="234" t="s">
        <v>37</v>
      </c>
      <c r="E1160" s="234" t="s">
        <v>506</v>
      </c>
      <c r="F1160" s="234" t="s">
        <v>1063</v>
      </c>
      <c r="G1160" s="235">
        <f>VLOOKUP(K1160,'исх АС БЮДЖЕТ'!$A$10:$H$568,7,0)</f>
        <v>775600</v>
      </c>
      <c r="H1160" s="235">
        <f>VLOOKUP(K1160,'исх АС БЮДЖЕТ'!$A$10:$H$568,8,0)</f>
        <v>775600</v>
      </c>
      <c r="I1160" s="234">
        <v>8110076200</v>
      </c>
      <c r="J1160" s="370" t="str">
        <f t="shared" si="133"/>
        <v>8110076200</v>
      </c>
      <c r="K1160" s="30" t="str">
        <f t="shared" si="134"/>
        <v>61801048110076200121</v>
      </c>
    </row>
    <row r="1161" spans="1:11" s="4" customFormat="1" ht="25.5">
      <c r="A1161" s="236" t="s">
        <v>937</v>
      </c>
      <c r="B1161" s="233" t="s">
        <v>12</v>
      </c>
      <c r="C1161" s="234" t="s">
        <v>65</v>
      </c>
      <c r="D1161" s="234" t="s">
        <v>37</v>
      </c>
      <c r="E1161" s="234" t="s">
        <v>506</v>
      </c>
      <c r="F1161" s="234" t="s">
        <v>1059</v>
      </c>
      <c r="G1161" s="235">
        <f>VLOOKUP(K1161,'исх АС БЮДЖЕТ'!$A$10:$H$568,7,0)</f>
        <v>38300</v>
      </c>
      <c r="H1161" s="235">
        <f>VLOOKUP(K1161,'исх АС БЮДЖЕТ'!$A$10:$H$568,8,0)</f>
        <v>38300</v>
      </c>
      <c r="I1161" s="234">
        <v>8110076200</v>
      </c>
      <c r="J1161" s="370" t="str">
        <f t="shared" si="133"/>
        <v>8110076200</v>
      </c>
      <c r="K1161" s="30" t="str">
        <f t="shared" si="134"/>
        <v>61801048110076200122</v>
      </c>
    </row>
    <row r="1162" spans="1:11" s="4" customFormat="1" ht="38.25">
      <c r="A1162" s="232" t="s">
        <v>939</v>
      </c>
      <c r="B1162" s="233" t="s">
        <v>12</v>
      </c>
      <c r="C1162" s="234" t="s">
        <v>65</v>
      </c>
      <c r="D1162" s="234" t="s">
        <v>37</v>
      </c>
      <c r="E1162" s="234" t="s">
        <v>506</v>
      </c>
      <c r="F1162" s="234" t="s">
        <v>1060</v>
      </c>
      <c r="G1162" s="235">
        <f>VLOOKUP(K1162,'исх АС БЮДЖЕТ'!$A$10:$H$568,7,0)</f>
        <v>245810</v>
      </c>
      <c r="H1162" s="235">
        <f>VLOOKUP(K1162,'исх АС БЮДЖЕТ'!$A$10:$H$568,8,0)</f>
        <v>245810</v>
      </c>
      <c r="I1162" s="234">
        <v>8110076200</v>
      </c>
      <c r="J1162" s="370" t="str">
        <f t="shared" si="133"/>
        <v>8110076200</v>
      </c>
      <c r="K1162" s="30" t="str">
        <f t="shared" si="134"/>
        <v>61801048110076200129</v>
      </c>
    </row>
    <row r="1163" spans="1:11" s="3" customFormat="1" ht="25.5">
      <c r="A1163" s="232" t="s">
        <v>108</v>
      </c>
      <c r="B1163" s="233" t="s">
        <v>12</v>
      </c>
      <c r="C1163" s="234" t="s">
        <v>65</v>
      </c>
      <c r="D1163" s="234" t="s">
        <v>37</v>
      </c>
      <c r="E1163" s="234" t="s">
        <v>506</v>
      </c>
      <c r="F1163" s="234" t="s">
        <v>116</v>
      </c>
      <c r="G1163" s="235">
        <f>G1164</f>
        <v>158920</v>
      </c>
      <c r="H1163" s="235">
        <f>H1164</f>
        <v>158920</v>
      </c>
      <c r="I1163" s="234">
        <v>8110076200</v>
      </c>
      <c r="J1163" s="370" t="str">
        <f t="shared" si="133"/>
        <v>8110076200</v>
      </c>
      <c r="K1163" s="30" t="str">
        <f t="shared" si="134"/>
        <v>61801048110076200240</v>
      </c>
    </row>
    <row r="1164" spans="1:11" s="4" customFormat="1" ht="25.5">
      <c r="A1164" s="236" t="s">
        <v>973</v>
      </c>
      <c r="B1164" s="233" t="s">
        <v>12</v>
      </c>
      <c r="C1164" s="234" t="s">
        <v>65</v>
      </c>
      <c r="D1164" s="234" t="s">
        <v>37</v>
      </c>
      <c r="E1164" s="234" t="s">
        <v>506</v>
      </c>
      <c r="F1164" s="234" t="s">
        <v>1043</v>
      </c>
      <c r="G1164" s="235">
        <f>VLOOKUP(K1164,'исх АС БЮДЖЕТ'!$A$10:$H$568,7,0)</f>
        <v>158920</v>
      </c>
      <c r="H1164" s="235">
        <f>VLOOKUP(K1164,'исх АС БЮДЖЕТ'!$A$10:$H$568,8,0)</f>
        <v>158920</v>
      </c>
      <c r="I1164" s="234">
        <v>8110076200</v>
      </c>
      <c r="J1164" s="370" t="str">
        <f t="shared" si="133"/>
        <v>8110076200</v>
      </c>
      <c r="K1164" s="30" t="str">
        <f t="shared" si="134"/>
        <v>61801048110076200244</v>
      </c>
    </row>
    <row r="1165" spans="1:11" s="3" customFormat="1" ht="38.25">
      <c r="A1165" s="237" t="s">
        <v>870</v>
      </c>
      <c r="B1165" s="233" t="str">
        <f t="shared" ref="B1165:D1167" si="139">B1154</f>
        <v>618</v>
      </c>
      <c r="C1165" s="234" t="str">
        <f t="shared" si="139"/>
        <v>01</v>
      </c>
      <c r="D1165" s="234" t="str">
        <f t="shared" si="139"/>
        <v>04</v>
      </c>
      <c r="E1165" s="234" t="s">
        <v>507</v>
      </c>
      <c r="F1165" s="234" t="s">
        <v>58</v>
      </c>
      <c r="G1165" s="235">
        <f>G1166</f>
        <v>51740</v>
      </c>
      <c r="H1165" s="235">
        <f>H1166</f>
        <v>51740</v>
      </c>
      <c r="I1165" s="234">
        <v>8110076360</v>
      </c>
      <c r="J1165" s="370" t="str">
        <f t="shared" ref="J1165:J1220" si="140">TEXT(I1165,"0000000000")</f>
        <v>8110076360</v>
      </c>
      <c r="K1165" s="30" t="str">
        <f t="shared" ref="K1165:K1220" si="141">CONCATENATE(B1165,C1165,D1165,J1165,F1165)</f>
        <v>61801048110076360000</v>
      </c>
    </row>
    <row r="1166" spans="1:11" s="3" customFormat="1" ht="25.5">
      <c r="A1166" s="232" t="s">
        <v>108</v>
      </c>
      <c r="B1166" s="233" t="str">
        <f t="shared" si="139"/>
        <v>618</v>
      </c>
      <c r="C1166" s="234" t="str">
        <f t="shared" si="139"/>
        <v>01</v>
      </c>
      <c r="D1166" s="234" t="str">
        <f t="shared" si="139"/>
        <v>04</v>
      </c>
      <c r="E1166" s="234" t="s">
        <v>507</v>
      </c>
      <c r="F1166" s="234" t="s">
        <v>116</v>
      </c>
      <c r="G1166" s="235">
        <f>G1167</f>
        <v>51740</v>
      </c>
      <c r="H1166" s="235">
        <f>H1167</f>
        <v>51740</v>
      </c>
      <c r="I1166" s="234">
        <v>8110076360</v>
      </c>
      <c r="J1166" s="370" t="str">
        <f t="shared" si="140"/>
        <v>8110076360</v>
      </c>
      <c r="K1166" s="30" t="str">
        <f t="shared" si="141"/>
        <v>61801048110076360240</v>
      </c>
    </row>
    <row r="1167" spans="1:11" s="4" customFormat="1" ht="25.5">
      <c r="A1167" s="236" t="s">
        <v>973</v>
      </c>
      <c r="B1167" s="233" t="str">
        <f t="shared" si="139"/>
        <v>618</v>
      </c>
      <c r="C1167" s="234" t="str">
        <f t="shared" si="139"/>
        <v>01</v>
      </c>
      <c r="D1167" s="234" t="str">
        <f t="shared" si="139"/>
        <v>04</v>
      </c>
      <c r="E1167" s="234" t="s">
        <v>507</v>
      </c>
      <c r="F1167" s="234" t="s">
        <v>1043</v>
      </c>
      <c r="G1167" s="235">
        <f>VLOOKUP(K1167,'исх АС БЮДЖЕТ'!$A$10:$H$568,7,0)</f>
        <v>51740</v>
      </c>
      <c r="H1167" s="235">
        <f>VLOOKUP(K1167,'исх АС БЮДЖЕТ'!$A$10:$H$568,8,0)</f>
        <v>51740</v>
      </c>
      <c r="I1167" s="234">
        <v>8110076360</v>
      </c>
      <c r="J1167" s="370" t="str">
        <f t="shared" si="140"/>
        <v>8110076360</v>
      </c>
      <c r="K1167" s="30" t="str">
        <f t="shared" si="141"/>
        <v>61801048110076360244</v>
      </c>
    </row>
    <row r="1168" spans="1:11" s="3" customFormat="1">
      <c r="A1168" s="228" t="s">
        <v>38</v>
      </c>
      <c r="B1168" s="229" t="s">
        <v>12</v>
      </c>
      <c r="C1168" s="230" t="s">
        <v>65</v>
      </c>
      <c r="D1168" s="230" t="s">
        <v>84</v>
      </c>
      <c r="E1168" s="230" t="s">
        <v>196</v>
      </c>
      <c r="F1168" s="230" t="s">
        <v>58</v>
      </c>
      <c r="G1168" s="231">
        <f>G1169</f>
        <v>357850</v>
      </c>
      <c r="H1168" s="231">
        <f>H1169</f>
        <v>357850</v>
      </c>
      <c r="I1168" s="230">
        <v>0</v>
      </c>
      <c r="J1168" s="370" t="str">
        <f t="shared" si="140"/>
        <v>0000000000</v>
      </c>
      <c r="K1168" s="30" t="str">
        <f t="shared" si="141"/>
        <v>61801130000000000000</v>
      </c>
    </row>
    <row r="1169" spans="1:11" s="3" customFormat="1" ht="38.25">
      <c r="A1169" s="244" t="s">
        <v>745</v>
      </c>
      <c r="B1169" s="233" t="s">
        <v>12</v>
      </c>
      <c r="C1169" s="234" t="s">
        <v>65</v>
      </c>
      <c r="D1169" s="234" t="s">
        <v>84</v>
      </c>
      <c r="E1169" s="234" t="s">
        <v>280</v>
      </c>
      <c r="F1169" s="234" t="s">
        <v>58</v>
      </c>
      <c r="G1169" s="235">
        <f t="shared" ref="G1169:H1172" si="142">G1170</f>
        <v>357850</v>
      </c>
      <c r="H1169" s="235">
        <f t="shared" si="142"/>
        <v>357850</v>
      </c>
      <c r="I1169" s="234">
        <v>1100000000</v>
      </c>
      <c r="J1169" s="370" t="str">
        <f t="shared" si="140"/>
        <v>1100000000</v>
      </c>
      <c r="K1169" s="30" t="str">
        <f t="shared" si="141"/>
        <v>61801131100000000000</v>
      </c>
    </row>
    <row r="1170" spans="1:11" s="3" customFormat="1" ht="38.25">
      <c r="A1170" s="244" t="s">
        <v>746</v>
      </c>
      <c r="B1170" s="233" t="s">
        <v>12</v>
      </c>
      <c r="C1170" s="234" t="s">
        <v>65</v>
      </c>
      <c r="D1170" s="234" t="s">
        <v>84</v>
      </c>
      <c r="E1170" s="234" t="s">
        <v>281</v>
      </c>
      <c r="F1170" s="234" t="s">
        <v>58</v>
      </c>
      <c r="G1170" s="235">
        <f t="shared" si="142"/>
        <v>357850</v>
      </c>
      <c r="H1170" s="235">
        <f t="shared" si="142"/>
        <v>357850</v>
      </c>
      <c r="I1170" s="234" t="s">
        <v>1185</v>
      </c>
      <c r="J1170" s="370" t="str">
        <f t="shared" si="140"/>
        <v>11Б0000000</v>
      </c>
      <c r="K1170" s="30" t="str">
        <f t="shared" si="141"/>
        <v>618011311Б0000000000</v>
      </c>
    </row>
    <row r="1171" spans="1:11" s="3" customFormat="1" ht="25.5">
      <c r="A1171" s="278" t="s">
        <v>282</v>
      </c>
      <c r="B1171" s="234" t="s">
        <v>12</v>
      </c>
      <c r="C1171" s="234" t="s">
        <v>65</v>
      </c>
      <c r="D1171" s="234" t="s">
        <v>84</v>
      </c>
      <c r="E1171" s="234" t="s">
        <v>283</v>
      </c>
      <c r="F1171" s="234" t="s">
        <v>58</v>
      </c>
      <c r="G1171" s="235">
        <f t="shared" si="142"/>
        <v>357850</v>
      </c>
      <c r="H1171" s="235">
        <f t="shared" si="142"/>
        <v>357850</v>
      </c>
      <c r="I1171" s="234" t="s">
        <v>1186</v>
      </c>
      <c r="J1171" s="370" t="str">
        <f t="shared" si="140"/>
        <v>11Б0100000</v>
      </c>
      <c r="K1171" s="30" t="str">
        <f t="shared" si="141"/>
        <v>618011311Б0100000000</v>
      </c>
    </row>
    <row r="1172" spans="1:11" s="3" customFormat="1" ht="25.5">
      <c r="A1172" s="232" t="s">
        <v>167</v>
      </c>
      <c r="B1172" s="233" t="s">
        <v>12</v>
      </c>
      <c r="C1172" s="234" t="s">
        <v>65</v>
      </c>
      <c r="D1172" s="234" t="s">
        <v>84</v>
      </c>
      <c r="E1172" s="234" t="s">
        <v>491</v>
      </c>
      <c r="F1172" s="234" t="s">
        <v>58</v>
      </c>
      <c r="G1172" s="235">
        <f t="shared" si="142"/>
        <v>357850</v>
      </c>
      <c r="H1172" s="235">
        <f t="shared" si="142"/>
        <v>357850</v>
      </c>
      <c r="I1172" s="234" t="s">
        <v>1226</v>
      </c>
      <c r="J1172" s="370" t="str">
        <f t="shared" si="140"/>
        <v>11Б0120840</v>
      </c>
      <c r="K1172" s="30" t="str">
        <f t="shared" si="141"/>
        <v>618011311Б0120840000</v>
      </c>
    </row>
    <row r="1173" spans="1:11" s="3" customFormat="1" ht="25.5">
      <c r="A1173" s="232" t="s">
        <v>108</v>
      </c>
      <c r="B1173" s="233" t="s">
        <v>12</v>
      </c>
      <c r="C1173" s="234" t="s">
        <v>65</v>
      </c>
      <c r="D1173" s="234" t="s">
        <v>84</v>
      </c>
      <c r="E1173" s="234" t="s">
        <v>491</v>
      </c>
      <c r="F1173" s="234" t="s">
        <v>116</v>
      </c>
      <c r="G1173" s="235">
        <f>G1174</f>
        <v>357850</v>
      </c>
      <c r="H1173" s="235">
        <f>H1174</f>
        <v>357850</v>
      </c>
      <c r="I1173" s="234" t="s">
        <v>1226</v>
      </c>
      <c r="J1173" s="370" t="str">
        <f t="shared" si="140"/>
        <v>11Б0120840</v>
      </c>
      <c r="K1173" s="30" t="str">
        <f t="shared" si="141"/>
        <v>618011311Б0120840240</v>
      </c>
    </row>
    <row r="1174" spans="1:11" s="4" customFormat="1" ht="25.5">
      <c r="A1174" s="236" t="s">
        <v>973</v>
      </c>
      <c r="B1174" s="233" t="s">
        <v>12</v>
      </c>
      <c r="C1174" s="234" t="s">
        <v>65</v>
      </c>
      <c r="D1174" s="234" t="s">
        <v>84</v>
      </c>
      <c r="E1174" s="234" t="s">
        <v>491</v>
      </c>
      <c r="F1174" s="234" t="s">
        <v>1043</v>
      </c>
      <c r="G1174" s="235">
        <f>VLOOKUP(K1174,'исх АС БЮДЖЕТ'!$A$10:$H$568,7,0)</f>
        <v>357850</v>
      </c>
      <c r="H1174" s="235">
        <f>VLOOKUP(K1174,'исх АС БЮДЖЕТ'!$A$10:$H$568,8,0)</f>
        <v>357850</v>
      </c>
      <c r="I1174" s="234" t="s">
        <v>1226</v>
      </c>
      <c r="J1174" s="370" t="str">
        <f t="shared" si="140"/>
        <v>11Б0120840</v>
      </c>
      <c r="K1174" s="30" t="str">
        <f t="shared" si="141"/>
        <v>618011311Б0120840244</v>
      </c>
    </row>
    <row r="1175" spans="1:11" s="3" customFormat="1">
      <c r="A1175" s="224" t="s">
        <v>35</v>
      </c>
      <c r="B1175" s="225" t="s">
        <v>12</v>
      </c>
      <c r="C1175" s="226" t="s">
        <v>37</v>
      </c>
      <c r="D1175" s="226" t="s">
        <v>51</v>
      </c>
      <c r="E1175" s="226" t="s">
        <v>196</v>
      </c>
      <c r="F1175" s="226" t="s">
        <v>58</v>
      </c>
      <c r="G1175" s="227">
        <f t="shared" ref="G1175:H1178" si="143">G1176</f>
        <v>49975940</v>
      </c>
      <c r="H1175" s="227">
        <f t="shared" si="143"/>
        <v>49975940</v>
      </c>
      <c r="I1175" s="226">
        <v>0</v>
      </c>
      <c r="J1175" s="370" t="str">
        <f t="shared" si="140"/>
        <v>0000000000</v>
      </c>
      <c r="K1175" s="30" t="str">
        <f t="shared" si="141"/>
        <v>61804000000000000000</v>
      </c>
    </row>
    <row r="1176" spans="1:11" s="3" customFormat="1">
      <c r="A1176" s="228" t="s">
        <v>88</v>
      </c>
      <c r="B1176" s="229" t="s">
        <v>12</v>
      </c>
      <c r="C1176" s="230" t="s">
        <v>37</v>
      </c>
      <c r="D1176" s="230" t="s">
        <v>25</v>
      </c>
      <c r="E1176" s="230" t="s">
        <v>196</v>
      </c>
      <c r="F1176" s="230" t="s">
        <v>58</v>
      </c>
      <c r="G1176" s="231">
        <f t="shared" si="143"/>
        <v>49975940</v>
      </c>
      <c r="H1176" s="231">
        <f t="shared" si="143"/>
        <v>49975940</v>
      </c>
      <c r="I1176" s="230">
        <v>0</v>
      </c>
      <c r="J1176" s="370" t="str">
        <f t="shared" si="140"/>
        <v>0000000000</v>
      </c>
      <c r="K1176" s="30" t="str">
        <f t="shared" si="141"/>
        <v>61804090000000000000</v>
      </c>
    </row>
    <row r="1177" spans="1:11" s="3" customFormat="1" ht="38.25">
      <c r="A1177" s="236" t="s">
        <v>722</v>
      </c>
      <c r="B1177" s="233" t="s">
        <v>12</v>
      </c>
      <c r="C1177" s="234" t="s">
        <v>37</v>
      </c>
      <c r="D1177" s="234" t="s">
        <v>25</v>
      </c>
      <c r="E1177" s="234" t="s">
        <v>300</v>
      </c>
      <c r="F1177" s="234" t="s">
        <v>58</v>
      </c>
      <c r="G1177" s="235">
        <f t="shared" si="143"/>
        <v>49975940</v>
      </c>
      <c r="H1177" s="235">
        <f t="shared" si="143"/>
        <v>49975940</v>
      </c>
      <c r="I1177" s="234">
        <v>400000000</v>
      </c>
      <c r="J1177" s="370" t="str">
        <f t="shared" si="140"/>
        <v>0400000000</v>
      </c>
      <c r="K1177" s="30" t="str">
        <f t="shared" si="141"/>
        <v>61804090400000000000</v>
      </c>
    </row>
    <row r="1178" spans="1:11" s="3" customFormat="1" ht="38.25">
      <c r="A1178" s="252" t="s">
        <v>729</v>
      </c>
      <c r="B1178" s="233" t="s">
        <v>12</v>
      </c>
      <c r="C1178" s="234" t="s">
        <v>37</v>
      </c>
      <c r="D1178" s="234" t="s">
        <v>25</v>
      </c>
      <c r="E1178" s="234" t="s">
        <v>301</v>
      </c>
      <c r="F1178" s="234" t="s">
        <v>58</v>
      </c>
      <c r="G1178" s="235">
        <f t="shared" si="143"/>
        <v>49975940</v>
      </c>
      <c r="H1178" s="235">
        <f t="shared" si="143"/>
        <v>49975940</v>
      </c>
      <c r="I1178" s="234">
        <v>420000000</v>
      </c>
      <c r="J1178" s="370" t="str">
        <f t="shared" si="140"/>
        <v>0420000000</v>
      </c>
      <c r="K1178" s="30" t="str">
        <f t="shared" si="141"/>
        <v>61804090420000000000</v>
      </c>
    </row>
    <row r="1179" spans="1:11" s="3" customFormat="1" ht="38.25">
      <c r="A1179" s="252" t="s">
        <v>644</v>
      </c>
      <c r="B1179" s="233" t="s">
        <v>12</v>
      </c>
      <c r="C1179" s="234" t="s">
        <v>37</v>
      </c>
      <c r="D1179" s="234" t="s">
        <v>25</v>
      </c>
      <c r="E1179" s="234" t="s">
        <v>302</v>
      </c>
      <c r="F1179" s="234" t="s">
        <v>58</v>
      </c>
      <c r="G1179" s="235">
        <f>G1183+G1180</f>
        <v>49975940</v>
      </c>
      <c r="H1179" s="235">
        <f>H1183+H1180</f>
        <v>49975940</v>
      </c>
      <c r="I1179" s="234">
        <v>420200000</v>
      </c>
      <c r="J1179" s="370" t="str">
        <f t="shared" si="140"/>
        <v>0420200000</v>
      </c>
      <c r="K1179" s="30" t="str">
        <f t="shared" si="141"/>
        <v>61804090420200000000</v>
      </c>
    </row>
    <row r="1180" spans="1:11" s="3" customFormat="1" ht="25.5">
      <c r="A1180" s="236" t="s">
        <v>493</v>
      </c>
      <c r="B1180" s="233" t="s">
        <v>12</v>
      </c>
      <c r="C1180" s="234" t="s">
        <v>37</v>
      </c>
      <c r="D1180" s="234" t="s">
        <v>25</v>
      </c>
      <c r="E1180" s="234" t="s">
        <v>494</v>
      </c>
      <c r="F1180" s="234" t="s">
        <v>58</v>
      </c>
      <c r="G1180" s="235">
        <f>G1181</f>
        <v>10087430</v>
      </c>
      <c r="H1180" s="235">
        <f>H1181</f>
        <v>10087430</v>
      </c>
      <c r="I1180" s="234">
        <v>420220820</v>
      </c>
      <c r="J1180" s="370" t="str">
        <f t="shared" si="140"/>
        <v>0420220820</v>
      </c>
      <c r="K1180" s="30" t="str">
        <f t="shared" si="141"/>
        <v>61804090420220820000</v>
      </c>
    </row>
    <row r="1181" spans="1:11" s="3" customFormat="1" ht="25.5">
      <c r="A1181" s="232" t="s">
        <v>108</v>
      </c>
      <c r="B1181" s="233" t="s">
        <v>12</v>
      </c>
      <c r="C1181" s="234" t="s">
        <v>37</v>
      </c>
      <c r="D1181" s="234" t="s">
        <v>25</v>
      </c>
      <c r="E1181" s="234" t="s">
        <v>494</v>
      </c>
      <c r="F1181" s="234" t="s">
        <v>116</v>
      </c>
      <c r="G1181" s="235">
        <f>G1182</f>
        <v>10087430</v>
      </c>
      <c r="H1181" s="235">
        <f>H1182</f>
        <v>10087430</v>
      </c>
      <c r="I1181" s="234">
        <v>420220820</v>
      </c>
      <c r="J1181" s="370" t="str">
        <f t="shared" si="140"/>
        <v>0420220820</v>
      </c>
      <c r="K1181" s="30" t="str">
        <f t="shared" si="141"/>
        <v>61804090420220820240</v>
      </c>
    </row>
    <row r="1182" spans="1:11" s="4" customFormat="1" ht="25.5">
      <c r="A1182" s="236" t="s">
        <v>973</v>
      </c>
      <c r="B1182" s="233" t="s">
        <v>12</v>
      </c>
      <c r="C1182" s="234" t="s">
        <v>37</v>
      </c>
      <c r="D1182" s="234" t="s">
        <v>25</v>
      </c>
      <c r="E1182" s="234" t="s">
        <v>494</v>
      </c>
      <c r="F1182" s="234" t="s">
        <v>1043</v>
      </c>
      <c r="G1182" s="235">
        <f>VLOOKUP(K1182,'исх АС БЮДЖЕТ'!$A$10:$H$568,7,0)</f>
        <v>10087430</v>
      </c>
      <c r="H1182" s="235">
        <f>VLOOKUP(K1182,'исх АС БЮДЖЕТ'!$A$10:$H$568,8,0)</f>
        <v>10087430</v>
      </c>
      <c r="I1182" s="234">
        <v>420220820</v>
      </c>
      <c r="J1182" s="370" t="str">
        <f t="shared" si="140"/>
        <v>0420220820</v>
      </c>
      <c r="K1182" s="30" t="str">
        <f t="shared" si="141"/>
        <v>61804090420220820244</v>
      </c>
    </row>
    <row r="1183" spans="1:11" s="3" customFormat="1" ht="25.5">
      <c r="A1183" s="232" t="s">
        <v>902</v>
      </c>
      <c r="B1183" s="233" t="s">
        <v>12</v>
      </c>
      <c r="C1183" s="234" t="s">
        <v>37</v>
      </c>
      <c r="D1183" s="234" t="s">
        <v>25</v>
      </c>
      <c r="E1183" s="234" t="s">
        <v>909</v>
      </c>
      <c r="F1183" s="234" t="s">
        <v>58</v>
      </c>
      <c r="G1183" s="235">
        <f>G1184</f>
        <v>39888510</v>
      </c>
      <c r="H1183" s="235">
        <f>H1184</f>
        <v>39888510</v>
      </c>
      <c r="I1183" s="234">
        <v>420221090</v>
      </c>
      <c r="J1183" s="370" t="str">
        <f t="shared" si="140"/>
        <v>0420221090</v>
      </c>
      <c r="K1183" s="30" t="str">
        <f t="shared" si="141"/>
        <v>61804090420221090000</v>
      </c>
    </row>
    <row r="1184" spans="1:11" s="3" customFormat="1" ht="25.5">
      <c r="A1184" s="232" t="s">
        <v>108</v>
      </c>
      <c r="B1184" s="233" t="s">
        <v>12</v>
      </c>
      <c r="C1184" s="234" t="s">
        <v>37</v>
      </c>
      <c r="D1184" s="234" t="s">
        <v>25</v>
      </c>
      <c r="E1184" s="234" t="s">
        <v>909</v>
      </c>
      <c r="F1184" s="234" t="s">
        <v>116</v>
      </c>
      <c r="G1184" s="235">
        <f>G1185</f>
        <v>39888510</v>
      </c>
      <c r="H1184" s="235">
        <f>H1185</f>
        <v>39888510</v>
      </c>
      <c r="I1184" s="234">
        <v>420221090</v>
      </c>
      <c r="J1184" s="370" t="str">
        <f t="shared" si="140"/>
        <v>0420221090</v>
      </c>
      <c r="K1184" s="30" t="str">
        <f t="shared" si="141"/>
        <v>61804090420221090240</v>
      </c>
    </row>
    <row r="1185" spans="1:11" s="4" customFormat="1" ht="25.5">
      <c r="A1185" s="236" t="s">
        <v>973</v>
      </c>
      <c r="B1185" s="233" t="s">
        <v>12</v>
      </c>
      <c r="C1185" s="234" t="s">
        <v>37</v>
      </c>
      <c r="D1185" s="234" t="s">
        <v>25</v>
      </c>
      <c r="E1185" s="234" t="s">
        <v>909</v>
      </c>
      <c r="F1185" s="234" t="s">
        <v>1043</v>
      </c>
      <c r="G1185" s="235">
        <f>VLOOKUP(K1185,'исх АС БЮДЖЕТ'!$A$10:$H$568,7,0)</f>
        <v>39888510</v>
      </c>
      <c r="H1185" s="235">
        <f>VLOOKUP(K1185,'исх АС БЮДЖЕТ'!$A$10:$H$568,8,0)</f>
        <v>39888510</v>
      </c>
      <c r="I1185" s="234">
        <v>420221090</v>
      </c>
      <c r="J1185" s="370" t="str">
        <f t="shared" si="140"/>
        <v>0420221090</v>
      </c>
      <c r="K1185" s="30" t="str">
        <f t="shared" si="141"/>
        <v>61804090420221090244</v>
      </c>
    </row>
    <row r="1186" spans="1:11" s="3" customFormat="1">
      <c r="A1186" s="224" t="s">
        <v>7</v>
      </c>
      <c r="B1186" s="225" t="s">
        <v>12</v>
      </c>
      <c r="C1186" s="226" t="s">
        <v>8</v>
      </c>
      <c r="D1186" s="226" t="s">
        <v>51</v>
      </c>
      <c r="E1186" s="226" t="s">
        <v>196</v>
      </c>
      <c r="F1186" s="226" t="s">
        <v>58</v>
      </c>
      <c r="G1186" s="227">
        <f>G1187+G1195</f>
        <v>19757870</v>
      </c>
      <c r="H1186" s="227">
        <f>H1187+H1195</f>
        <v>19757870</v>
      </c>
      <c r="I1186" s="226">
        <v>0</v>
      </c>
      <c r="J1186" s="370" t="str">
        <f t="shared" si="140"/>
        <v>0000000000</v>
      </c>
      <c r="K1186" s="30" t="str">
        <f t="shared" si="141"/>
        <v>61805000000000000000</v>
      </c>
    </row>
    <row r="1187" spans="1:11" s="3" customFormat="1">
      <c r="A1187" s="228" t="s">
        <v>9</v>
      </c>
      <c r="B1187" s="229" t="s">
        <v>12</v>
      </c>
      <c r="C1187" s="230" t="s">
        <v>8</v>
      </c>
      <c r="D1187" s="230" t="s">
        <v>65</v>
      </c>
      <c r="E1187" s="230" t="s">
        <v>196</v>
      </c>
      <c r="F1187" s="230" t="s">
        <v>58</v>
      </c>
      <c r="G1187" s="231">
        <f>G1188</f>
        <v>1220060</v>
      </c>
      <c r="H1187" s="231">
        <f>H1188</f>
        <v>1220060</v>
      </c>
      <c r="I1187" s="230">
        <v>0</v>
      </c>
      <c r="J1187" s="370" t="str">
        <f t="shared" si="140"/>
        <v>0000000000</v>
      </c>
      <c r="K1187" s="30" t="str">
        <f t="shared" si="141"/>
        <v>61805010000000000000</v>
      </c>
    </row>
    <row r="1188" spans="1:11" s="3" customFormat="1" ht="38.25">
      <c r="A1188" s="236" t="s">
        <v>722</v>
      </c>
      <c r="B1188" s="233" t="s">
        <v>12</v>
      </c>
      <c r="C1188" s="234" t="s">
        <v>8</v>
      </c>
      <c r="D1188" s="234" t="s">
        <v>65</v>
      </c>
      <c r="E1188" s="234" t="s">
        <v>300</v>
      </c>
      <c r="F1188" s="234" t="s">
        <v>58</v>
      </c>
      <c r="G1188" s="235">
        <f t="shared" ref="G1188:H1188" si="144">G1189</f>
        <v>1220060</v>
      </c>
      <c r="H1188" s="235">
        <f t="shared" si="144"/>
        <v>1220060</v>
      </c>
      <c r="I1188" s="234">
        <v>400000000</v>
      </c>
      <c r="J1188" s="370" t="str">
        <f t="shared" si="140"/>
        <v>0400000000</v>
      </c>
      <c r="K1188" s="30" t="str">
        <f t="shared" si="141"/>
        <v>61805010400000000000</v>
      </c>
    </row>
    <row r="1189" spans="1:11" s="3" customFormat="1" ht="25.5">
      <c r="A1189" s="232" t="s">
        <v>155</v>
      </c>
      <c r="B1189" s="233" t="s">
        <v>12</v>
      </c>
      <c r="C1189" s="234" t="s">
        <v>8</v>
      </c>
      <c r="D1189" s="234" t="s">
        <v>65</v>
      </c>
      <c r="E1189" s="234" t="s">
        <v>495</v>
      </c>
      <c r="F1189" s="234" t="s">
        <v>58</v>
      </c>
      <c r="G1189" s="235">
        <f>G1192</f>
        <v>1220060</v>
      </c>
      <c r="H1189" s="235">
        <f>H1192</f>
        <v>1220060</v>
      </c>
      <c r="I1189" s="234">
        <v>410000000</v>
      </c>
      <c r="J1189" s="370" t="str">
        <f t="shared" si="140"/>
        <v>0410000000</v>
      </c>
      <c r="K1189" s="30" t="str">
        <f t="shared" si="141"/>
        <v>61805010410000000000</v>
      </c>
    </row>
    <row r="1190" spans="1:11" s="3" customFormat="1" ht="25.5">
      <c r="A1190" s="252" t="s">
        <v>522</v>
      </c>
      <c r="B1190" s="241" t="s">
        <v>12</v>
      </c>
      <c r="C1190" s="242" t="s">
        <v>8</v>
      </c>
      <c r="D1190" s="242" t="s">
        <v>65</v>
      </c>
      <c r="E1190" s="242" t="s">
        <v>497</v>
      </c>
      <c r="F1190" s="242" t="s">
        <v>58</v>
      </c>
      <c r="G1190" s="243">
        <f t="shared" ref="G1190:H1191" si="145">G1191</f>
        <v>1220060</v>
      </c>
      <c r="H1190" s="243">
        <f t="shared" si="145"/>
        <v>1220060</v>
      </c>
      <c r="I1190" s="242">
        <v>410100000</v>
      </c>
      <c r="J1190" s="370" t="str">
        <f t="shared" si="140"/>
        <v>0410100000</v>
      </c>
      <c r="K1190" s="30" t="str">
        <f t="shared" si="141"/>
        <v>61805010410100000000</v>
      </c>
    </row>
    <row r="1191" spans="1:11" s="3" customFormat="1">
      <c r="A1191" s="236" t="s">
        <v>148</v>
      </c>
      <c r="B1191" s="233" t="s">
        <v>12</v>
      </c>
      <c r="C1191" s="234" t="s">
        <v>8</v>
      </c>
      <c r="D1191" s="234" t="s">
        <v>65</v>
      </c>
      <c r="E1191" s="234" t="s">
        <v>498</v>
      </c>
      <c r="F1191" s="234" t="s">
        <v>58</v>
      </c>
      <c r="G1191" s="235">
        <f t="shared" si="145"/>
        <v>1220060</v>
      </c>
      <c r="H1191" s="235">
        <f t="shared" si="145"/>
        <v>1220060</v>
      </c>
      <c r="I1191" s="234">
        <v>410120190</v>
      </c>
      <c r="J1191" s="370" t="str">
        <f t="shared" si="140"/>
        <v>0410120190</v>
      </c>
      <c r="K1191" s="30" t="str">
        <f t="shared" si="141"/>
        <v>61805010410120190000</v>
      </c>
    </row>
    <row r="1192" spans="1:11" s="3" customFormat="1" ht="25.5">
      <c r="A1192" s="232" t="s">
        <v>108</v>
      </c>
      <c r="B1192" s="233" t="s">
        <v>12</v>
      </c>
      <c r="C1192" s="234" t="s">
        <v>8</v>
      </c>
      <c r="D1192" s="234" t="s">
        <v>65</v>
      </c>
      <c r="E1192" s="234" t="s">
        <v>498</v>
      </c>
      <c r="F1192" s="234" t="s">
        <v>116</v>
      </c>
      <c r="G1192" s="235">
        <f>SUM(G1193:G1194)</f>
        <v>1220060</v>
      </c>
      <c r="H1192" s="235">
        <f>SUM(H1193:H1194)</f>
        <v>1220060</v>
      </c>
      <c r="I1192" s="234">
        <v>410120190</v>
      </c>
      <c r="J1192" s="370" t="str">
        <f t="shared" si="140"/>
        <v>0410120190</v>
      </c>
      <c r="K1192" s="30" t="str">
        <f t="shared" si="141"/>
        <v>61805010410120190240</v>
      </c>
    </row>
    <row r="1193" spans="1:11" s="3" customFormat="1" ht="25.5">
      <c r="A1193" s="236" t="s">
        <v>972</v>
      </c>
      <c r="B1193" s="233" t="s">
        <v>12</v>
      </c>
      <c r="C1193" s="234" t="s">
        <v>8</v>
      </c>
      <c r="D1193" s="234" t="s">
        <v>65</v>
      </c>
      <c r="E1193" s="234" t="s">
        <v>498</v>
      </c>
      <c r="F1193" s="234" t="s">
        <v>1070</v>
      </c>
      <c r="G1193" s="235">
        <f>VLOOKUP(K1193,'исх АС БЮДЖЕТ'!$A$10:$H$568,7,0)</f>
        <v>222520</v>
      </c>
      <c r="H1193" s="235">
        <f>VLOOKUP(K1193,'исх АС БЮДЖЕТ'!$A$10:$H$568,8,0)</f>
        <v>222520</v>
      </c>
      <c r="I1193" s="234">
        <v>410120190</v>
      </c>
      <c r="J1193" s="370" t="str">
        <f t="shared" si="140"/>
        <v>0410120190</v>
      </c>
      <c r="K1193" s="30" t="str">
        <f t="shared" si="141"/>
        <v>61805010410120190243</v>
      </c>
    </row>
    <row r="1194" spans="1:11" s="3" customFormat="1" ht="25.5">
      <c r="A1194" s="236" t="s">
        <v>973</v>
      </c>
      <c r="B1194" s="233" t="s">
        <v>12</v>
      </c>
      <c r="C1194" s="234" t="s">
        <v>8</v>
      </c>
      <c r="D1194" s="234" t="s">
        <v>65</v>
      </c>
      <c r="E1194" s="234" t="s">
        <v>498</v>
      </c>
      <c r="F1194" s="234" t="s">
        <v>1043</v>
      </c>
      <c r="G1194" s="235">
        <f>VLOOKUP(K1194,'исх АС БЮДЖЕТ'!$A$10:$H$568,7,0)</f>
        <v>997540</v>
      </c>
      <c r="H1194" s="235">
        <f>VLOOKUP(K1194,'исх АС БЮДЖЕТ'!$A$10:$H$568,8,0)</f>
        <v>997540</v>
      </c>
      <c r="I1194" s="234">
        <v>410120190</v>
      </c>
      <c r="J1194" s="370" t="str">
        <f t="shared" si="140"/>
        <v>0410120190</v>
      </c>
      <c r="K1194" s="30" t="str">
        <f t="shared" si="141"/>
        <v>61805010410120190244</v>
      </c>
    </row>
    <row r="1195" spans="1:11" s="3" customFormat="1">
      <c r="A1195" s="228" t="s">
        <v>1</v>
      </c>
      <c r="B1195" s="229" t="s">
        <v>12</v>
      </c>
      <c r="C1195" s="230" t="s">
        <v>8</v>
      </c>
      <c r="D1195" s="230" t="s">
        <v>53</v>
      </c>
      <c r="E1195" s="230" t="s">
        <v>196</v>
      </c>
      <c r="F1195" s="230" t="s">
        <v>58</v>
      </c>
      <c r="G1195" s="231">
        <f t="shared" ref="G1195:H1197" si="146">G1196</f>
        <v>18537810</v>
      </c>
      <c r="H1195" s="231">
        <f t="shared" si="146"/>
        <v>18537810</v>
      </c>
      <c r="I1195" s="230">
        <v>0</v>
      </c>
      <c r="J1195" s="370" t="str">
        <f t="shared" si="140"/>
        <v>0000000000</v>
      </c>
      <c r="K1195" s="30" t="str">
        <f t="shared" si="141"/>
        <v>61805030000000000000</v>
      </c>
    </row>
    <row r="1196" spans="1:11" s="3" customFormat="1" ht="38.25">
      <c r="A1196" s="236" t="s">
        <v>722</v>
      </c>
      <c r="B1196" s="233" t="s">
        <v>12</v>
      </c>
      <c r="C1196" s="234" t="s">
        <v>8</v>
      </c>
      <c r="D1196" s="234" t="s">
        <v>53</v>
      </c>
      <c r="E1196" s="234" t="s">
        <v>300</v>
      </c>
      <c r="F1196" s="234" t="s">
        <v>58</v>
      </c>
      <c r="G1196" s="235">
        <f t="shared" si="146"/>
        <v>18537810</v>
      </c>
      <c r="H1196" s="235">
        <f t="shared" si="146"/>
        <v>18537810</v>
      </c>
      <c r="I1196" s="234">
        <v>400000000</v>
      </c>
      <c r="J1196" s="370" t="str">
        <f t="shared" si="140"/>
        <v>0400000000</v>
      </c>
      <c r="K1196" s="30" t="str">
        <f t="shared" si="141"/>
        <v>61805030400000000000</v>
      </c>
    </row>
    <row r="1197" spans="1:11" s="3" customFormat="1">
      <c r="A1197" s="232" t="s">
        <v>142</v>
      </c>
      <c r="B1197" s="233" t="s">
        <v>12</v>
      </c>
      <c r="C1197" s="234" t="s">
        <v>8</v>
      </c>
      <c r="D1197" s="234" t="s">
        <v>53</v>
      </c>
      <c r="E1197" s="234" t="s">
        <v>453</v>
      </c>
      <c r="F1197" s="234" t="s">
        <v>58</v>
      </c>
      <c r="G1197" s="235">
        <f t="shared" si="146"/>
        <v>18537810</v>
      </c>
      <c r="H1197" s="235">
        <f t="shared" si="146"/>
        <v>18537810</v>
      </c>
      <c r="I1197" s="234">
        <v>430000000</v>
      </c>
      <c r="J1197" s="370" t="str">
        <f t="shared" si="140"/>
        <v>0430000000</v>
      </c>
      <c r="K1197" s="30" t="str">
        <f t="shared" si="141"/>
        <v>61805030430000000000</v>
      </c>
    </row>
    <row r="1198" spans="1:11" s="3" customFormat="1">
      <c r="A1198" s="252" t="s">
        <v>454</v>
      </c>
      <c r="B1198" s="241" t="s">
        <v>12</v>
      </c>
      <c r="C1198" s="242" t="s">
        <v>8</v>
      </c>
      <c r="D1198" s="242" t="s">
        <v>53</v>
      </c>
      <c r="E1198" s="234" t="s">
        <v>645</v>
      </c>
      <c r="F1198" s="242" t="s">
        <v>58</v>
      </c>
      <c r="G1198" s="243">
        <f>G1199+G1202+G1205</f>
        <v>18537810</v>
      </c>
      <c r="H1198" s="243">
        <f>H1199+H1202+H1205</f>
        <v>18537810</v>
      </c>
      <c r="I1198" s="234">
        <v>430400000</v>
      </c>
      <c r="J1198" s="370" t="str">
        <f t="shared" si="140"/>
        <v>0430400000</v>
      </c>
      <c r="K1198" s="30" t="str">
        <f t="shared" si="141"/>
        <v>61805030430400000000</v>
      </c>
    </row>
    <row r="1199" spans="1:11" s="3" customFormat="1">
      <c r="A1199" s="232" t="s">
        <v>158</v>
      </c>
      <c r="B1199" s="233" t="s">
        <v>12</v>
      </c>
      <c r="C1199" s="234" t="s">
        <v>8</v>
      </c>
      <c r="D1199" s="234" t="s">
        <v>53</v>
      </c>
      <c r="E1199" s="234" t="s">
        <v>646</v>
      </c>
      <c r="F1199" s="234" t="s">
        <v>58</v>
      </c>
      <c r="G1199" s="235">
        <f>G1200</f>
        <v>10599220</v>
      </c>
      <c r="H1199" s="235">
        <f>H1200</f>
        <v>10599220</v>
      </c>
      <c r="I1199" s="234">
        <v>430420300</v>
      </c>
      <c r="J1199" s="370" t="str">
        <f t="shared" si="140"/>
        <v>0430420300</v>
      </c>
      <c r="K1199" s="30" t="str">
        <f t="shared" si="141"/>
        <v>61805030430420300000</v>
      </c>
    </row>
    <row r="1200" spans="1:11" s="3" customFormat="1" ht="25.5">
      <c r="A1200" s="232" t="s">
        <v>108</v>
      </c>
      <c r="B1200" s="233" t="s">
        <v>12</v>
      </c>
      <c r="C1200" s="234" t="s">
        <v>8</v>
      </c>
      <c r="D1200" s="234" t="s">
        <v>53</v>
      </c>
      <c r="E1200" s="234" t="s">
        <v>646</v>
      </c>
      <c r="F1200" s="234" t="s">
        <v>116</v>
      </c>
      <c r="G1200" s="235">
        <f>G1201</f>
        <v>10599220</v>
      </c>
      <c r="H1200" s="235">
        <f>H1201</f>
        <v>10599220</v>
      </c>
      <c r="I1200" s="234">
        <v>430420300</v>
      </c>
      <c r="J1200" s="370" t="str">
        <f t="shared" si="140"/>
        <v>0430420300</v>
      </c>
      <c r="K1200" s="30" t="str">
        <f t="shared" si="141"/>
        <v>61805030430420300240</v>
      </c>
    </row>
    <row r="1201" spans="1:11" s="4" customFormat="1" ht="25.5">
      <c r="A1201" s="236" t="s">
        <v>973</v>
      </c>
      <c r="B1201" s="233" t="s">
        <v>12</v>
      </c>
      <c r="C1201" s="234" t="s">
        <v>8</v>
      </c>
      <c r="D1201" s="234" t="s">
        <v>53</v>
      </c>
      <c r="E1201" s="234" t="s">
        <v>646</v>
      </c>
      <c r="F1201" s="234" t="s">
        <v>1043</v>
      </c>
      <c r="G1201" s="235">
        <f>VLOOKUP(K1201,'исх АС БЮДЖЕТ'!$A$10:$H$568,7,0)</f>
        <v>10599220</v>
      </c>
      <c r="H1201" s="235">
        <f>VLOOKUP(K1201,'исх АС БЮДЖЕТ'!$A$10:$H$568,8,0)</f>
        <v>10599220</v>
      </c>
      <c r="I1201" s="234">
        <v>430420300</v>
      </c>
      <c r="J1201" s="370" t="str">
        <f t="shared" si="140"/>
        <v>0430420300</v>
      </c>
      <c r="K1201" s="30" t="str">
        <f t="shared" si="141"/>
        <v>61805030430420300244</v>
      </c>
    </row>
    <row r="1202" spans="1:11" s="3" customFormat="1">
      <c r="A1202" s="236" t="s">
        <v>890</v>
      </c>
      <c r="B1202" s="233" t="s">
        <v>12</v>
      </c>
      <c r="C1202" s="242" t="s">
        <v>8</v>
      </c>
      <c r="D1202" s="242" t="s">
        <v>53</v>
      </c>
      <c r="E1202" s="242" t="s">
        <v>910</v>
      </c>
      <c r="F1202" s="242" t="s">
        <v>58</v>
      </c>
      <c r="G1202" s="235">
        <f>G1203</f>
        <v>941720</v>
      </c>
      <c r="H1202" s="235">
        <f>H1203</f>
        <v>941720</v>
      </c>
      <c r="I1202" s="242">
        <v>430421070</v>
      </c>
      <c r="J1202" s="370" t="str">
        <f t="shared" si="140"/>
        <v>0430421070</v>
      </c>
      <c r="K1202" s="30" t="str">
        <f t="shared" si="141"/>
        <v>61805030430421070000</v>
      </c>
    </row>
    <row r="1203" spans="1:11" s="3" customFormat="1" ht="25.5">
      <c r="A1203" s="232" t="s">
        <v>108</v>
      </c>
      <c r="B1203" s="233" t="s">
        <v>12</v>
      </c>
      <c r="C1203" s="242" t="s">
        <v>8</v>
      </c>
      <c r="D1203" s="242" t="s">
        <v>53</v>
      </c>
      <c r="E1203" s="242" t="s">
        <v>910</v>
      </c>
      <c r="F1203" s="242" t="s">
        <v>116</v>
      </c>
      <c r="G1203" s="235">
        <f>G1204</f>
        <v>941720</v>
      </c>
      <c r="H1203" s="235">
        <f>H1204</f>
        <v>941720</v>
      </c>
      <c r="I1203" s="242">
        <v>430421070</v>
      </c>
      <c r="J1203" s="370" t="str">
        <f t="shared" si="140"/>
        <v>0430421070</v>
      </c>
      <c r="K1203" s="30" t="str">
        <f t="shared" si="141"/>
        <v>61805030430421070240</v>
      </c>
    </row>
    <row r="1204" spans="1:11" s="4" customFormat="1" ht="25.5">
      <c r="A1204" s="236" t="s">
        <v>973</v>
      </c>
      <c r="B1204" s="233" t="s">
        <v>12</v>
      </c>
      <c r="C1204" s="242" t="s">
        <v>8</v>
      </c>
      <c r="D1204" s="242" t="s">
        <v>53</v>
      </c>
      <c r="E1204" s="242" t="s">
        <v>910</v>
      </c>
      <c r="F1204" s="242" t="s">
        <v>1043</v>
      </c>
      <c r="G1204" s="235">
        <f>VLOOKUP(K1204,'исх АС БЮДЖЕТ'!$A$10:$H$568,7,0)</f>
        <v>941720</v>
      </c>
      <c r="H1204" s="235">
        <f>VLOOKUP(K1204,'исх АС БЮДЖЕТ'!$A$10:$H$568,8,0)</f>
        <v>941720</v>
      </c>
      <c r="I1204" s="242">
        <v>430421070</v>
      </c>
      <c r="J1204" s="370" t="str">
        <f t="shared" si="140"/>
        <v>0430421070</v>
      </c>
      <c r="K1204" s="30" t="str">
        <f t="shared" si="141"/>
        <v>61805030430421070244</v>
      </c>
    </row>
    <row r="1205" spans="1:11" s="3" customFormat="1" ht="38.25">
      <c r="A1205" s="236" t="s">
        <v>891</v>
      </c>
      <c r="B1205" s="241" t="s">
        <v>12</v>
      </c>
      <c r="C1205" s="242" t="s">
        <v>8</v>
      </c>
      <c r="D1205" s="242" t="s">
        <v>53</v>
      </c>
      <c r="E1205" s="234" t="s">
        <v>911</v>
      </c>
      <c r="F1205" s="242" t="s">
        <v>58</v>
      </c>
      <c r="G1205" s="243">
        <f>G1206</f>
        <v>6996870</v>
      </c>
      <c r="H1205" s="243">
        <f>H1206</f>
        <v>6996870</v>
      </c>
      <c r="I1205" s="234">
        <v>430421080</v>
      </c>
      <c r="J1205" s="370" t="str">
        <f t="shared" si="140"/>
        <v>0430421080</v>
      </c>
      <c r="K1205" s="30" t="str">
        <f t="shared" si="141"/>
        <v>61805030430421080000</v>
      </c>
    </row>
    <row r="1206" spans="1:11" s="3" customFormat="1" ht="25.5">
      <c r="A1206" s="232" t="s">
        <v>108</v>
      </c>
      <c r="B1206" s="233" t="s">
        <v>12</v>
      </c>
      <c r="C1206" s="234" t="s">
        <v>8</v>
      </c>
      <c r="D1206" s="234" t="s">
        <v>53</v>
      </c>
      <c r="E1206" s="234" t="s">
        <v>911</v>
      </c>
      <c r="F1206" s="234" t="s">
        <v>116</v>
      </c>
      <c r="G1206" s="235">
        <f>G1207</f>
        <v>6996870</v>
      </c>
      <c r="H1206" s="235">
        <f>H1207</f>
        <v>6996870</v>
      </c>
      <c r="I1206" s="234">
        <v>430421080</v>
      </c>
      <c r="J1206" s="370" t="str">
        <f t="shared" si="140"/>
        <v>0430421080</v>
      </c>
      <c r="K1206" s="30" t="str">
        <f t="shared" si="141"/>
        <v>61805030430421080240</v>
      </c>
    </row>
    <row r="1207" spans="1:11" s="4" customFormat="1" ht="25.5">
      <c r="A1207" s="236" t="s">
        <v>973</v>
      </c>
      <c r="B1207" s="233" t="s">
        <v>12</v>
      </c>
      <c r="C1207" s="234" t="s">
        <v>8</v>
      </c>
      <c r="D1207" s="234" t="s">
        <v>53</v>
      </c>
      <c r="E1207" s="234" t="s">
        <v>911</v>
      </c>
      <c r="F1207" s="234" t="s">
        <v>1043</v>
      </c>
      <c r="G1207" s="235">
        <f>VLOOKUP(K1207,'исх АС БЮДЖЕТ'!$A$10:$H$568,7,0)</f>
        <v>6996870</v>
      </c>
      <c r="H1207" s="235">
        <f>VLOOKUP(K1207,'исх АС БЮДЖЕТ'!$A$10:$H$568,8,0)</f>
        <v>6996870</v>
      </c>
      <c r="I1207" s="234">
        <v>430421080</v>
      </c>
      <c r="J1207" s="370" t="str">
        <f t="shared" si="140"/>
        <v>0430421080</v>
      </c>
      <c r="K1207" s="30" t="str">
        <f t="shared" si="141"/>
        <v>61805030430421080244</v>
      </c>
    </row>
    <row r="1208" spans="1:11" s="3" customFormat="1">
      <c r="A1208" s="224" t="s">
        <v>499</v>
      </c>
      <c r="B1208" s="225" t="s">
        <v>12</v>
      </c>
      <c r="C1208" s="226" t="s">
        <v>50</v>
      </c>
      <c r="D1208" s="226" t="s">
        <v>51</v>
      </c>
      <c r="E1208" s="226" t="s">
        <v>196</v>
      </c>
      <c r="F1208" s="226" t="s">
        <v>58</v>
      </c>
      <c r="G1208" s="227">
        <f t="shared" ref="G1208:H1211" si="147">G1209</f>
        <v>1480000</v>
      </c>
      <c r="H1208" s="227">
        <f t="shared" si="147"/>
        <v>1480000</v>
      </c>
      <c r="I1208" s="226">
        <v>0</v>
      </c>
      <c r="J1208" s="370" t="str">
        <f t="shared" si="140"/>
        <v>0000000000</v>
      </c>
      <c r="K1208" s="30" t="str">
        <f t="shared" si="141"/>
        <v>61808000000000000000</v>
      </c>
    </row>
    <row r="1209" spans="1:11" s="3" customFormat="1">
      <c r="A1209" s="228" t="s">
        <v>27</v>
      </c>
      <c r="B1209" s="229" t="s">
        <v>12</v>
      </c>
      <c r="C1209" s="230" t="s">
        <v>50</v>
      </c>
      <c r="D1209" s="230" t="s">
        <v>65</v>
      </c>
      <c r="E1209" s="230" t="s">
        <v>196</v>
      </c>
      <c r="F1209" s="230" t="s">
        <v>58</v>
      </c>
      <c r="G1209" s="231">
        <f t="shared" si="147"/>
        <v>1480000</v>
      </c>
      <c r="H1209" s="231">
        <f t="shared" si="147"/>
        <v>1480000</v>
      </c>
      <c r="I1209" s="230">
        <v>0</v>
      </c>
      <c r="J1209" s="370" t="str">
        <f t="shared" si="140"/>
        <v>0000000000</v>
      </c>
      <c r="K1209" s="30" t="str">
        <f t="shared" si="141"/>
        <v>61808010000000000000</v>
      </c>
    </row>
    <row r="1210" spans="1:11" s="3" customFormat="1">
      <c r="A1210" s="232" t="s">
        <v>739</v>
      </c>
      <c r="B1210" s="233" t="s">
        <v>12</v>
      </c>
      <c r="C1210" s="234" t="s">
        <v>50</v>
      </c>
      <c r="D1210" s="234" t="s">
        <v>65</v>
      </c>
      <c r="E1210" s="234" t="s">
        <v>277</v>
      </c>
      <c r="F1210" s="234" t="s">
        <v>58</v>
      </c>
      <c r="G1210" s="235">
        <f t="shared" si="147"/>
        <v>1480000</v>
      </c>
      <c r="H1210" s="235">
        <f t="shared" si="147"/>
        <v>1480000</v>
      </c>
      <c r="I1210" s="234">
        <v>700000000</v>
      </c>
      <c r="J1210" s="370" t="str">
        <f t="shared" si="140"/>
        <v>0700000000</v>
      </c>
      <c r="K1210" s="30" t="str">
        <f t="shared" si="141"/>
        <v>61808010700000000000</v>
      </c>
    </row>
    <row r="1211" spans="1:11" s="3" customFormat="1" ht="38.25">
      <c r="A1211" s="236" t="s">
        <v>194</v>
      </c>
      <c r="B1211" s="233" t="s">
        <v>12</v>
      </c>
      <c r="C1211" s="234" t="s">
        <v>50</v>
      </c>
      <c r="D1211" s="234" t="s">
        <v>65</v>
      </c>
      <c r="E1211" s="234" t="s">
        <v>278</v>
      </c>
      <c r="F1211" s="234" t="s">
        <v>58</v>
      </c>
      <c r="G1211" s="235">
        <f t="shared" si="147"/>
        <v>1480000</v>
      </c>
      <c r="H1211" s="235">
        <f t="shared" si="147"/>
        <v>1480000</v>
      </c>
      <c r="I1211" s="234">
        <v>710000000</v>
      </c>
      <c r="J1211" s="370" t="str">
        <f t="shared" si="140"/>
        <v>0710000000</v>
      </c>
      <c r="K1211" s="30" t="str">
        <f t="shared" si="141"/>
        <v>61808010710000000000</v>
      </c>
    </row>
    <row r="1212" spans="1:11" s="3" customFormat="1" ht="51">
      <c r="A1212" s="252" t="s">
        <v>605</v>
      </c>
      <c r="B1212" s="241" t="s">
        <v>12</v>
      </c>
      <c r="C1212" s="242" t="s">
        <v>50</v>
      </c>
      <c r="D1212" s="242" t="s">
        <v>65</v>
      </c>
      <c r="E1212" s="242" t="s">
        <v>279</v>
      </c>
      <c r="F1212" s="242" t="s">
        <v>58</v>
      </c>
      <c r="G1212" s="243">
        <f>G1213+G1216</f>
        <v>1480000</v>
      </c>
      <c r="H1212" s="243">
        <f>H1213+H1216</f>
        <v>1480000</v>
      </c>
      <c r="I1212" s="242">
        <v>710100000</v>
      </c>
      <c r="J1212" s="370" t="str">
        <f t="shared" si="140"/>
        <v>0710100000</v>
      </c>
      <c r="K1212" s="30" t="str">
        <f t="shared" si="141"/>
        <v>61808010710100000000</v>
      </c>
    </row>
    <row r="1213" spans="1:11" s="3" customFormat="1">
      <c r="A1213" s="232" t="s">
        <v>161</v>
      </c>
      <c r="B1213" s="233" t="s">
        <v>12</v>
      </c>
      <c r="C1213" s="234" t="s">
        <v>50</v>
      </c>
      <c r="D1213" s="234" t="s">
        <v>65</v>
      </c>
      <c r="E1213" s="234" t="s">
        <v>320</v>
      </c>
      <c r="F1213" s="234" t="s">
        <v>58</v>
      </c>
      <c r="G1213" s="235">
        <f>G1214</f>
        <v>919000</v>
      </c>
      <c r="H1213" s="235">
        <f>H1214</f>
        <v>919000</v>
      </c>
      <c r="I1213" s="234">
        <v>710120060</v>
      </c>
      <c r="J1213" s="370" t="str">
        <f t="shared" si="140"/>
        <v>0710120060</v>
      </c>
      <c r="K1213" s="30" t="str">
        <f t="shared" si="141"/>
        <v>61808010710120060000</v>
      </c>
    </row>
    <row r="1214" spans="1:11" s="3" customFormat="1" ht="25.5">
      <c r="A1214" s="232" t="s">
        <v>108</v>
      </c>
      <c r="B1214" s="233" t="s">
        <v>12</v>
      </c>
      <c r="C1214" s="234" t="s">
        <v>50</v>
      </c>
      <c r="D1214" s="234" t="s">
        <v>65</v>
      </c>
      <c r="E1214" s="234" t="s">
        <v>320</v>
      </c>
      <c r="F1214" s="234" t="s">
        <v>116</v>
      </c>
      <c r="G1214" s="235">
        <f>G1215</f>
        <v>919000</v>
      </c>
      <c r="H1214" s="235">
        <f>H1215</f>
        <v>919000</v>
      </c>
      <c r="I1214" s="234">
        <v>710120060</v>
      </c>
      <c r="J1214" s="370" t="str">
        <f t="shared" si="140"/>
        <v>0710120060</v>
      </c>
      <c r="K1214" s="30" t="str">
        <f t="shared" si="141"/>
        <v>61808010710120060240</v>
      </c>
    </row>
    <row r="1215" spans="1:11" s="4" customFormat="1" ht="25.5">
      <c r="A1215" s="236" t="s">
        <v>973</v>
      </c>
      <c r="B1215" s="233" t="s">
        <v>12</v>
      </c>
      <c r="C1215" s="234" t="s">
        <v>50</v>
      </c>
      <c r="D1215" s="234" t="s">
        <v>65</v>
      </c>
      <c r="E1215" s="234" t="s">
        <v>320</v>
      </c>
      <c r="F1215" s="234" t="s">
        <v>1043</v>
      </c>
      <c r="G1215" s="235">
        <f>VLOOKUP(K1215,'исх АС БЮДЖЕТ'!$A$10:$H$568,7,0)</f>
        <v>919000</v>
      </c>
      <c r="H1215" s="235">
        <f>VLOOKUP(K1215,'исх АС БЮДЖЕТ'!$A$10:$H$568,8,0)</f>
        <v>919000</v>
      </c>
      <c r="I1215" s="234">
        <v>710120060</v>
      </c>
      <c r="J1215" s="370" t="str">
        <f t="shared" si="140"/>
        <v>0710120060</v>
      </c>
      <c r="K1215" s="30" t="str">
        <f t="shared" si="141"/>
        <v>61808010710120060244</v>
      </c>
    </row>
    <row r="1216" spans="1:11" s="3" customFormat="1" ht="25.5">
      <c r="A1216" s="236" t="s">
        <v>892</v>
      </c>
      <c r="B1216" s="233" t="s">
        <v>12</v>
      </c>
      <c r="C1216" s="234" t="s">
        <v>50</v>
      </c>
      <c r="D1216" s="234" t="s">
        <v>65</v>
      </c>
      <c r="E1216" s="234" t="s">
        <v>500</v>
      </c>
      <c r="F1216" s="234" t="s">
        <v>58</v>
      </c>
      <c r="G1216" s="235">
        <f>G1217</f>
        <v>561000</v>
      </c>
      <c r="H1216" s="235">
        <f>H1217</f>
        <v>561000</v>
      </c>
      <c r="I1216" s="234">
        <v>710121130</v>
      </c>
      <c r="J1216" s="370" t="str">
        <f t="shared" si="140"/>
        <v>0710121130</v>
      </c>
      <c r="K1216" s="30" t="str">
        <f t="shared" si="141"/>
        <v>61808010710121130000</v>
      </c>
    </row>
    <row r="1217" spans="1:11" s="3" customFormat="1" ht="25.5">
      <c r="A1217" s="232" t="s">
        <v>108</v>
      </c>
      <c r="B1217" s="233" t="s">
        <v>12</v>
      </c>
      <c r="C1217" s="234" t="s">
        <v>50</v>
      </c>
      <c r="D1217" s="234" t="s">
        <v>65</v>
      </c>
      <c r="E1217" s="234" t="s">
        <v>500</v>
      </c>
      <c r="F1217" s="234" t="s">
        <v>116</v>
      </c>
      <c r="G1217" s="235">
        <f>G1218</f>
        <v>561000</v>
      </c>
      <c r="H1217" s="235">
        <f>H1218</f>
        <v>561000</v>
      </c>
      <c r="I1217" s="234">
        <v>710121130</v>
      </c>
      <c r="J1217" s="370" t="str">
        <f t="shared" si="140"/>
        <v>0710121130</v>
      </c>
      <c r="K1217" s="30" t="str">
        <f t="shared" si="141"/>
        <v>61808010710121130240</v>
      </c>
    </row>
    <row r="1218" spans="1:11" s="4" customFormat="1" ht="25.5">
      <c r="A1218" s="236" t="s">
        <v>973</v>
      </c>
      <c r="B1218" s="233" t="s">
        <v>12</v>
      </c>
      <c r="C1218" s="234" t="s">
        <v>50</v>
      </c>
      <c r="D1218" s="234" t="s">
        <v>65</v>
      </c>
      <c r="E1218" s="234" t="s">
        <v>500</v>
      </c>
      <c r="F1218" s="234" t="s">
        <v>1043</v>
      </c>
      <c r="G1218" s="235">
        <f>VLOOKUP(K1218,'исх АС БЮДЖЕТ'!$A$10:$H$568,7,0)</f>
        <v>561000</v>
      </c>
      <c r="H1218" s="235">
        <f>VLOOKUP(K1218,'исх АС БЮДЖЕТ'!$A$10:$H$568,8,0)</f>
        <v>561000</v>
      </c>
      <c r="I1218" s="234">
        <v>710121130</v>
      </c>
      <c r="J1218" s="370" t="str">
        <f t="shared" si="140"/>
        <v>0710121130</v>
      </c>
      <c r="K1218" s="30" t="str">
        <f t="shared" si="141"/>
        <v>61808010710121130244</v>
      </c>
    </row>
    <row r="1219" spans="1:11" s="4" customFormat="1">
      <c r="A1219" s="236"/>
      <c r="B1219" s="233"/>
      <c r="C1219" s="234"/>
      <c r="D1219" s="234"/>
      <c r="E1219" s="234"/>
      <c r="F1219" s="234"/>
      <c r="G1219" s="235"/>
      <c r="H1219" s="235"/>
      <c r="I1219" s="234"/>
      <c r="J1219" s="370"/>
      <c r="K1219" s="30"/>
    </row>
    <row r="1220" spans="1:11" s="3" customFormat="1">
      <c r="A1220" s="279" t="s">
        <v>17</v>
      </c>
      <c r="B1220" s="220" t="s">
        <v>18</v>
      </c>
      <c r="C1220" s="221" t="s">
        <v>51</v>
      </c>
      <c r="D1220" s="221" t="s">
        <v>51</v>
      </c>
      <c r="E1220" s="280" t="s">
        <v>196</v>
      </c>
      <c r="F1220" s="221" t="s">
        <v>58</v>
      </c>
      <c r="G1220" s="222">
        <f>G1221+G1258+G1269+G1288</f>
        <v>156136920</v>
      </c>
      <c r="H1220" s="222">
        <f>H1221+H1258+H1269+H1288</f>
        <v>156136920</v>
      </c>
      <c r="I1220" s="280">
        <v>0</v>
      </c>
      <c r="J1220" s="370" t="str">
        <f t="shared" si="140"/>
        <v>0000000000</v>
      </c>
      <c r="K1220" s="30" t="str">
        <f t="shared" si="141"/>
        <v>61900000000000000000</v>
      </c>
    </row>
    <row r="1221" spans="1:11" s="3" customFormat="1">
      <c r="A1221" s="281" t="s">
        <v>64</v>
      </c>
      <c r="B1221" s="225" t="s">
        <v>18</v>
      </c>
      <c r="C1221" s="226" t="s">
        <v>65</v>
      </c>
      <c r="D1221" s="226" t="s">
        <v>51</v>
      </c>
      <c r="E1221" s="226" t="s">
        <v>196</v>
      </c>
      <c r="F1221" s="226" t="s">
        <v>58</v>
      </c>
      <c r="G1221" s="227">
        <f>G1222+G1248</f>
        <v>41705760</v>
      </c>
      <c r="H1221" s="227">
        <f>H1222+H1248</f>
        <v>41705760</v>
      </c>
      <c r="I1221" s="226">
        <v>0</v>
      </c>
      <c r="J1221" s="370" t="str">
        <f t="shared" ref="J1221:J1276" si="148">TEXT(I1221,"0000000000")</f>
        <v>0000000000</v>
      </c>
      <c r="K1221" s="30" t="str">
        <f t="shared" ref="K1221:K1276" si="149">CONCATENATE(B1221,C1221,D1221,J1221,F1221)</f>
        <v>61901000000000000000</v>
      </c>
    </row>
    <row r="1222" spans="1:11" s="3" customFormat="1" ht="39">
      <c r="A1222" s="282" t="s">
        <v>31</v>
      </c>
      <c r="B1222" s="229" t="s">
        <v>18</v>
      </c>
      <c r="C1222" s="230" t="s">
        <v>65</v>
      </c>
      <c r="D1222" s="230" t="s">
        <v>37</v>
      </c>
      <c r="E1222" s="230" t="s">
        <v>196</v>
      </c>
      <c r="F1222" s="230" t="s">
        <v>58</v>
      </c>
      <c r="G1222" s="231">
        <f t="shared" ref="G1222:H1223" si="150">G1223</f>
        <v>41146860</v>
      </c>
      <c r="H1222" s="231">
        <f t="shared" si="150"/>
        <v>41146860</v>
      </c>
      <c r="I1222" s="230">
        <v>0</v>
      </c>
      <c r="J1222" s="370" t="str">
        <f t="shared" si="148"/>
        <v>0000000000</v>
      </c>
      <c r="K1222" s="30" t="str">
        <f t="shared" si="149"/>
        <v>61901040000000000000</v>
      </c>
    </row>
    <row r="1223" spans="1:11" s="3" customFormat="1" ht="25.5">
      <c r="A1223" s="232" t="s">
        <v>151</v>
      </c>
      <c r="B1223" s="234" t="s">
        <v>18</v>
      </c>
      <c r="C1223" s="234" t="s">
        <v>65</v>
      </c>
      <c r="D1223" s="234" t="s">
        <v>37</v>
      </c>
      <c r="E1223" s="234" t="s">
        <v>553</v>
      </c>
      <c r="F1223" s="234" t="s">
        <v>58</v>
      </c>
      <c r="G1223" s="235">
        <f t="shared" si="150"/>
        <v>41146860</v>
      </c>
      <c r="H1223" s="235">
        <f t="shared" si="150"/>
        <v>41146860</v>
      </c>
      <c r="I1223" s="234">
        <v>8200000000</v>
      </c>
      <c r="J1223" s="370" t="str">
        <f t="shared" si="148"/>
        <v>8200000000</v>
      </c>
      <c r="K1223" s="30" t="str">
        <f t="shared" si="149"/>
        <v>61901048200000000000</v>
      </c>
    </row>
    <row r="1224" spans="1:11" s="3" customFormat="1" ht="25.5">
      <c r="A1224" s="232" t="s">
        <v>152</v>
      </c>
      <c r="B1224" s="234" t="s">
        <v>18</v>
      </c>
      <c r="C1224" s="234" t="s">
        <v>65</v>
      </c>
      <c r="D1224" s="234" t="s">
        <v>37</v>
      </c>
      <c r="E1224" s="234" t="s">
        <v>554</v>
      </c>
      <c r="F1224" s="234" t="s">
        <v>58</v>
      </c>
      <c r="G1224" s="243">
        <f>G1245+G1238+G1234+G1225</f>
        <v>41146860</v>
      </c>
      <c r="H1224" s="243">
        <f>H1245+H1238+H1234+H1225</f>
        <v>41146860</v>
      </c>
      <c r="I1224" s="234">
        <v>8210000000</v>
      </c>
      <c r="J1224" s="370" t="str">
        <f t="shared" si="148"/>
        <v>8210000000</v>
      </c>
      <c r="K1224" s="30" t="str">
        <f t="shared" si="149"/>
        <v>61901048210000000000</v>
      </c>
    </row>
    <row r="1225" spans="1:11" s="3" customFormat="1" ht="25.5">
      <c r="A1225" s="232" t="s">
        <v>114</v>
      </c>
      <c r="B1225" s="234" t="s">
        <v>18</v>
      </c>
      <c r="C1225" s="234" t="s">
        <v>65</v>
      </c>
      <c r="D1225" s="234" t="s">
        <v>37</v>
      </c>
      <c r="E1225" s="234" t="s">
        <v>555</v>
      </c>
      <c r="F1225" s="234" t="s">
        <v>58</v>
      </c>
      <c r="G1225" s="243">
        <f>G1226+G1229+G1231</f>
        <v>4579070</v>
      </c>
      <c r="H1225" s="243">
        <f>H1226+H1229+H1231</f>
        <v>4579070</v>
      </c>
      <c r="I1225" s="234">
        <v>8210010010</v>
      </c>
      <c r="J1225" s="370" t="str">
        <f t="shared" si="148"/>
        <v>8210010010</v>
      </c>
      <c r="K1225" s="30" t="str">
        <f t="shared" si="149"/>
        <v>61901048210010010000</v>
      </c>
    </row>
    <row r="1226" spans="1:11" s="145" customFormat="1">
      <c r="A1226" s="237" t="s">
        <v>107</v>
      </c>
      <c r="B1226" s="242" t="s">
        <v>18</v>
      </c>
      <c r="C1226" s="242" t="s">
        <v>65</v>
      </c>
      <c r="D1226" s="242" t="s">
        <v>37</v>
      </c>
      <c r="E1226" s="234" t="s">
        <v>555</v>
      </c>
      <c r="F1226" s="242" t="s">
        <v>115</v>
      </c>
      <c r="G1226" s="243">
        <f>SUM(G1227:G1228)</f>
        <v>803310</v>
      </c>
      <c r="H1226" s="243">
        <f>SUM(H1227:H1228)</f>
        <v>803310</v>
      </c>
      <c r="I1226" s="234">
        <v>8210010010</v>
      </c>
      <c r="J1226" s="370" t="str">
        <f t="shared" si="148"/>
        <v>8210010010</v>
      </c>
      <c r="K1226" s="30" t="str">
        <f t="shared" si="149"/>
        <v>61901048210010010120</v>
      </c>
    </row>
    <row r="1227" spans="1:11" s="4" customFormat="1" ht="25.5">
      <c r="A1227" s="236" t="s">
        <v>937</v>
      </c>
      <c r="B1227" s="242" t="s">
        <v>18</v>
      </c>
      <c r="C1227" s="242" t="s">
        <v>65</v>
      </c>
      <c r="D1227" s="242" t="s">
        <v>37</v>
      </c>
      <c r="E1227" s="234" t="s">
        <v>555</v>
      </c>
      <c r="F1227" s="234" t="s">
        <v>1059</v>
      </c>
      <c r="G1227" s="235">
        <f>VLOOKUP(K1227,'исх АС БЮДЖЕТ'!$A$10:$H$568,7,0)</f>
        <v>616980</v>
      </c>
      <c r="H1227" s="235">
        <f>VLOOKUP(K1227,'исх АС БЮДЖЕТ'!$A$10:$H$568,8,0)</f>
        <v>616980</v>
      </c>
      <c r="I1227" s="234">
        <v>8210010010</v>
      </c>
      <c r="J1227" s="370" t="str">
        <f t="shared" si="148"/>
        <v>8210010010</v>
      </c>
      <c r="K1227" s="30" t="str">
        <f t="shared" si="149"/>
        <v>61901048210010010122</v>
      </c>
    </row>
    <row r="1228" spans="1:11" s="4" customFormat="1" ht="38.25">
      <c r="A1228" s="236" t="s">
        <v>939</v>
      </c>
      <c r="B1228" s="242" t="s">
        <v>18</v>
      </c>
      <c r="C1228" s="242" t="s">
        <v>65</v>
      </c>
      <c r="D1228" s="242" t="s">
        <v>37</v>
      </c>
      <c r="E1228" s="234" t="s">
        <v>555</v>
      </c>
      <c r="F1228" s="234" t="s">
        <v>1060</v>
      </c>
      <c r="G1228" s="235">
        <f>VLOOKUP(K1228,'исх АС БЮДЖЕТ'!$A$10:$H$568,7,0)</f>
        <v>186330</v>
      </c>
      <c r="H1228" s="235">
        <f>VLOOKUP(K1228,'исх АС БЮДЖЕТ'!$A$10:$H$568,8,0)</f>
        <v>186330</v>
      </c>
      <c r="I1228" s="234">
        <v>8210010010</v>
      </c>
      <c r="J1228" s="370" t="str">
        <f t="shared" si="148"/>
        <v>8210010010</v>
      </c>
      <c r="K1228" s="30" t="str">
        <f t="shared" si="149"/>
        <v>61901048210010010129</v>
      </c>
    </row>
    <row r="1229" spans="1:11" s="3" customFormat="1" ht="25.5">
      <c r="A1229" s="232" t="s">
        <v>108</v>
      </c>
      <c r="B1229" s="234" t="s">
        <v>18</v>
      </c>
      <c r="C1229" s="234" t="s">
        <v>65</v>
      </c>
      <c r="D1229" s="234" t="s">
        <v>37</v>
      </c>
      <c r="E1229" s="234" t="s">
        <v>555</v>
      </c>
      <c r="F1229" s="234" t="s">
        <v>116</v>
      </c>
      <c r="G1229" s="243">
        <f>G1230</f>
        <v>3495760</v>
      </c>
      <c r="H1229" s="243">
        <f>H1230</f>
        <v>3495760</v>
      </c>
      <c r="I1229" s="234">
        <v>8210010010</v>
      </c>
      <c r="J1229" s="370" t="str">
        <f t="shared" si="148"/>
        <v>8210010010</v>
      </c>
      <c r="K1229" s="30" t="str">
        <f t="shared" si="149"/>
        <v>61901048210010010240</v>
      </c>
    </row>
    <row r="1230" spans="1:11" s="4" customFormat="1" ht="25.5">
      <c r="A1230" s="236" t="s">
        <v>973</v>
      </c>
      <c r="B1230" s="234" t="s">
        <v>18</v>
      </c>
      <c r="C1230" s="234" t="s">
        <v>65</v>
      </c>
      <c r="D1230" s="234" t="s">
        <v>37</v>
      </c>
      <c r="E1230" s="234" t="s">
        <v>555</v>
      </c>
      <c r="F1230" s="234" t="s">
        <v>1043</v>
      </c>
      <c r="G1230" s="235">
        <f>VLOOKUP(K1230,'исх АС БЮДЖЕТ'!$A$10:$H$568,7,0)</f>
        <v>3495760</v>
      </c>
      <c r="H1230" s="235">
        <f>VLOOKUP(K1230,'исх АС БЮДЖЕТ'!$A$10:$H$568,8,0)</f>
        <v>3495760</v>
      </c>
      <c r="I1230" s="234">
        <v>8210010010</v>
      </c>
      <c r="J1230" s="370" t="str">
        <f t="shared" si="148"/>
        <v>8210010010</v>
      </c>
      <c r="K1230" s="30" t="str">
        <f t="shared" si="149"/>
        <v>61901048210010010244</v>
      </c>
    </row>
    <row r="1231" spans="1:11" s="3" customFormat="1">
      <c r="A1231" s="232" t="s">
        <v>97</v>
      </c>
      <c r="B1231" s="242" t="s">
        <v>18</v>
      </c>
      <c r="C1231" s="242" t="s">
        <v>65</v>
      </c>
      <c r="D1231" s="242" t="s">
        <v>37</v>
      </c>
      <c r="E1231" s="234" t="s">
        <v>555</v>
      </c>
      <c r="F1231" s="242" t="s">
        <v>118</v>
      </c>
      <c r="G1231" s="243">
        <f>SUM(G1232:G1233)</f>
        <v>280000</v>
      </c>
      <c r="H1231" s="243">
        <f>SUM(H1232:H1233)</f>
        <v>280000</v>
      </c>
      <c r="I1231" s="234">
        <v>8210010010</v>
      </c>
      <c r="J1231" s="370" t="str">
        <f t="shared" si="148"/>
        <v>8210010010</v>
      </c>
      <c r="K1231" s="30" t="str">
        <f t="shared" si="149"/>
        <v>61901048210010010850</v>
      </c>
    </row>
    <row r="1232" spans="1:11" s="4" customFormat="1">
      <c r="A1232" s="236" t="s">
        <v>1036</v>
      </c>
      <c r="B1232" s="242" t="s">
        <v>18</v>
      </c>
      <c r="C1232" s="242" t="s">
        <v>65</v>
      </c>
      <c r="D1232" s="242" t="s">
        <v>37</v>
      </c>
      <c r="E1232" s="234" t="s">
        <v>555</v>
      </c>
      <c r="F1232" s="234" t="s">
        <v>1061</v>
      </c>
      <c r="G1232" s="235">
        <f>VLOOKUP(K1232,'исх АС БЮДЖЕТ'!$A$10:$H$568,7,0)</f>
        <v>260000</v>
      </c>
      <c r="H1232" s="235">
        <f>VLOOKUP(K1232,'исх АС БЮДЖЕТ'!$A$10:$H$568,8,0)</f>
        <v>260000</v>
      </c>
      <c r="I1232" s="234">
        <v>8210010010</v>
      </c>
      <c r="J1232" s="370" t="str">
        <f t="shared" si="148"/>
        <v>8210010010</v>
      </c>
      <c r="K1232" s="30" t="str">
        <f t="shared" si="149"/>
        <v>61901048210010010851</v>
      </c>
    </row>
    <row r="1233" spans="1:11" s="4" customFormat="1">
      <c r="A1233" s="236" t="s">
        <v>1037</v>
      </c>
      <c r="B1233" s="242" t="s">
        <v>18</v>
      </c>
      <c r="C1233" s="242" t="s">
        <v>65</v>
      </c>
      <c r="D1233" s="242" t="s">
        <v>37</v>
      </c>
      <c r="E1233" s="234" t="s">
        <v>555</v>
      </c>
      <c r="F1233" s="234" t="s">
        <v>1062</v>
      </c>
      <c r="G1233" s="235">
        <f>VLOOKUP(K1233,'исх АС БЮДЖЕТ'!$A$10:$H$568,7,0)</f>
        <v>20000</v>
      </c>
      <c r="H1233" s="235">
        <f>VLOOKUP(K1233,'исх АС БЮДЖЕТ'!$A$10:$H$568,8,0)</f>
        <v>20000</v>
      </c>
      <c r="I1233" s="234">
        <v>8210010010</v>
      </c>
      <c r="J1233" s="370" t="str">
        <f t="shared" si="148"/>
        <v>8210010010</v>
      </c>
      <c r="K1233" s="30" t="str">
        <f t="shared" si="149"/>
        <v>61901048210010010852</v>
      </c>
    </row>
    <row r="1234" spans="1:11" s="127" customFormat="1" ht="25.5">
      <c r="A1234" s="237" t="s">
        <v>504</v>
      </c>
      <c r="B1234" s="242" t="s">
        <v>18</v>
      </c>
      <c r="C1234" s="242" t="s">
        <v>65</v>
      </c>
      <c r="D1234" s="242" t="s">
        <v>37</v>
      </c>
      <c r="E1234" s="242" t="s">
        <v>556</v>
      </c>
      <c r="F1234" s="242" t="s">
        <v>58</v>
      </c>
      <c r="G1234" s="243">
        <f>G1235</f>
        <v>34981070</v>
      </c>
      <c r="H1234" s="243">
        <f>H1235</f>
        <v>34981070</v>
      </c>
      <c r="I1234" s="242">
        <v>8210010020</v>
      </c>
      <c r="J1234" s="370" t="str">
        <f t="shared" si="148"/>
        <v>8210010020</v>
      </c>
      <c r="K1234" s="30" t="str">
        <f t="shared" si="149"/>
        <v>61901048210010020000</v>
      </c>
    </row>
    <row r="1235" spans="1:11" s="145" customFormat="1">
      <c r="A1235" s="237" t="s">
        <v>107</v>
      </c>
      <c r="B1235" s="242" t="s">
        <v>18</v>
      </c>
      <c r="C1235" s="242" t="s">
        <v>65</v>
      </c>
      <c r="D1235" s="242" t="s">
        <v>37</v>
      </c>
      <c r="E1235" s="242" t="s">
        <v>556</v>
      </c>
      <c r="F1235" s="242" t="s">
        <v>115</v>
      </c>
      <c r="G1235" s="243">
        <f>SUM(G1236:G1237)</f>
        <v>34981070</v>
      </c>
      <c r="H1235" s="243">
        <f>SUM(H1236:H1237)</f>
        <v>34981070</v>
      </c>
      <c r="I1235" s="242">
        <v>8210010020</v>
      </c>
      <c r="J1235" s="370" t="str">
        <f t="shared" si="148"/>
        <v>8210010020</v>
      </c>
      <c r="K1235" s="30" t="str">
        <f t="shared" si="149"/>
        <v>61901048210010020120</v>
      </c>
    </row>
    <row r="1236" spans="1:11" s="4" customFormat="1">
      <c r="A1236" s="236" t="s">
        <v>936</v>
      </c>
      <c r="B1236" s="242" t="s">
        <v>18</v>
      </c>
      <c r="C1236" s="242" t="s">
        <v>65</v>
      </c>
      <c r="D1236" s="242" t="s">
        <v>37</v>
      </c>
      <c r="E1236" s="242" t="s">
        <v>556</v>
      </c>
      <c r="F1236" s="234" t="s">
        <v>1063</v>
      </c>
      <c r="G1236" s="235">
        <f>VLOOKUP(K1236,'исх АС БЮДЖЕТ'!$A$10:$H$568,7,0)</f>
        <v>26867180</v>
      </c>
      <c r="H1236" s="235">
        <f>VLOOKUP(K1236,'исх АС БЮДЖЕТ'!$A$10:$H$568,8,0)</f>
        <v>26867180</v>
      </c>
      <c r="I1236" s="242">
        <v>8210010020</v>
      </c>
      <c r="J1236" s="370" t="str">
        <f t="shared" si="148"/>
        <v>8210010020</v>
      </c>
      <c r="K1236" s="30" t="str">
        <f t="shared" si="149"/>
        <v>61901048210010020121</v>
      </c>
    </row>
    <row r="1237" spans="1:11" s="4" customFormat="1" ht="38.25">
      <c r="A1237" s="236" t="s">
        <v>939</v>
      </c>
      <c r="B1237" s="242" t="s">
        <v>18</v>
      </c>
      <c r="C1237" s="242" t="s">
        <v>65</v>
      </c>
      <c r="D1237" s="242" t="s">
        <v>37</v>
      </c>
      <c r="E1237" s="242" t="s">
        <v>556</v>
      </c>
      <c r="F1237" s="234" t="s">
        <v>1060</v>
      </c>
      <c r="G1237" s="235">
        <f>VLOOKUP(K1237,'исх АС БЮДЖЕТ'!$A$10:$H$568,7,0)</f>
        <v>8113890</v>
      </c>
      <c r="H1237" s="235">
        <f>VLOOKUP(K1237,'исх АС БЮДЖЕТ'!$A$10:$H$568,8,0)</f>
        <v>8113890</v>
      </c>
      <c r="I1237" s="242">
        <v>8210010020</v>
      </c>
      <c r="J1237" s="370" t="str">
        <f t="shared" si="148"/>
        <v>8210010020</v>
      </c>
      <c r="K1237" s="30" t="str">
        <f t="shared" si="149"/>
        <v>61901048210010020129</v>
      </c>
    </row>
    <row r="1238" spans="1:11" s="127" customFormat="1" ht="38.25">
      <c r="A1238" s="267" t="s">
        <v>598</v>
      </c>
      <c r="B1238" s="242" t="s">
        <v>18</v>
      </c>
      <c r="C1238" s="242" t="s">
        <v>65</v>
      </c>
      <c r="D1238" s="242" t="s">
        <v>37</v>
      </c>
      <c r="E1238" s="242" t="s">
        <v>557</v>
      </c>
      <c r="F1238" s="242" t="s">
        <v>58</v>
      </c>
      <c r="G1238" s="243">
        <f>G1239+G1243</f>
        <v>1534980</v>
      </c>
      <c r="H1238" s="243">
        <f>H1239+H1243</f>
        <v>1534980</v>
      </c>
      <c r="I1238" s="242">
        <v>8210076200</v>
      </c>
      <c r="J1238" s="370" t="str">
        <f t="shared" si="148"/>
        <v>8210076200</v>
      </c>
      <c r="K1238" s="30" t="str">
        <f t="shared" si="149"/>
        <v>61901048210076200000</v>
      </c>
    </row>
    <row r="1239" spans="1:11" s="145" customFormat="1">
      <c r="A1239" s="237" t="s">
        <v>107</v>
      </c>
      <c r="B1239" s="242" t="s">
        <v>18</v>
      </c>
      <c r="C1239" s="242" t="s">
        <v>65</v>
      </c>
      <c r="D1239" s="242" t="s">
        <v>37</v>
      </c>
      <c r="E1239" s="242" t="s">
        <v>557</v>
      </c>
      <c r="F1239" s="242" t="s">
        <v>115</v>
      </c>
      <c r="G1239" s="243">
        <f>SUM(G1240:G1242)</f>
        <v>1338680</v>
      </c>
      <c r="H1239" s="243">
        <f>SUM(H1240:H1242)</f>
        <v>1338680</v>
      </c>
      <c r="I1239" s="242">
        <v>8210076200</v>
      </c>
      <c r="J1239" s="370" t="str">
        <f t="shared" si="148"/>
        <v>8210076200</v>
      </c>
      <c r="K1239" s="30" t="str">
        <f t="shared" si="149"/>
        <v>61901048210076200120</v>
      </c>
    </row>
    <row r="1240" spans="1:11" s="145" customFormat="1">
      <c r="A1240" s="232" t="s">
        <v>936</v>
      </c>
      <c r="B1240" s="242" t="s">
        <v>18</v>
      </c>
      <c r="C1240" s="242" t="s">
        <v>65</v>
      </c>
      <c r="D1240" s="242" t="s">
        <v>37</v>
      </c>
      <c r="E1240" s="242" t="s">
        <v>557</v>
      </c>
      <c r="F1240" s="234" t="s">
        <v>1063</v>
      </c>
      <c r="G1240" s="235">
        <f>VLOOKUP(K1240,'исх АС БЮДЖЕТ'!$A$10:$H$568,7,0)</f>
        <v>977110</v>
      </c>
      <c r="H1240" s="235">
        <f>VLOOKUP(K1240,'исх АС БЮДЖЕТ'!$A$10:$H$568,8,0)</f>
        <v>977110</v>
      </c>
      <c r="I1240" s="242">
        <v>8210076200</v>
      </c>
      <c r="J1240" s="370" t="str">
        <f t="shared" si="148"/>
        <v>8210076200</v>
      </c>
      <c r="K1240" s="30" t="str">
        <f t="shared" si="149"/>
        <v>61901048210076200121</v>
      </c>
    </row>
    <row r="1241" spans="1:11" s="4" customFormat="1" ht="25.5">
      <c r="A1241" s="236" t="s">
        <v>937</v>
      </c>
      <c r="B1241" s="242" t="s">
        <v>18</v>
      </c>
      <c r="C1241" s="242" t="s">
        <v>65</v>
      </c>
      <c r="D1241" s="242" t="s">
        <v>37</v>
      </c>
      <c r="E1241" s="242" t="s">
        <v>557</v>
      </c>
      <c r="F1241" s="234" t="s">
        <v>1059</v>
      </c>
      <c r="G1241" s="235">
        <f>VLOOKUP(K1241,'исх АС БЮДЖЕТ'!$A$10:$H$568,7,0)</f>
        <v>51060</v>
      </c>
      <c r="H1241" s="235">
        <f>VLOOKUP(K1241,'исх АС БЮДЖЕТ'!$A$10:$H$568,8,0)</f>
        <v>51060</v>
      </c>
      <c r="I1241" s="242">
        <v>8210076200</v>
      </c>
      <c r="J1241" s="370" t="str">
        <f t="shared" si="148"/>
        <v>8210076200</v>
      </c>
      <c r="K1241" s="30" t="str">
        <f t="shared" si="149"/>
        <v>61901048210076200122</v>
      </c>
    </row>
    <row r="1242" spans="1:11" s="4" customFormat="1" ht="38.25">
      <c r="A1242" s="232" t="s">
        <v>939</v>
      </c>
      <c r="B1242" s="242" t="s">
        <v>18</v>
      </c>
      <c r="C1242" s="242" t="s">
        <v>65</v>
      </c>
      <c r="D1242" s="242" t="s">
        <v>37</v>
      </c>
      <c r="E1242" s="242" t="s">
        <v>557</v>
      </c>
      <c r="F1242" s="234" t="s">
        <v>1060</v>
      </c>
      <c r="G1242" s="235">
        <f>VLOOKUP(K1242,'исх АС БЮДЖЕТ'!$A$10:$H$568,7,0)</f>
        <v>310510</v>
      </c>
      <c r="H1242" s="235">
        <f>VLOOKUP(K1242,'исх АС БЮДЖЕТ'!$A$10:$H$568,8,0)</f>
        <v>310510</v>
      </c>
      <c r="I1242" s="242">
        <v>8210076200</v>
      </c>
      <c r="J1242" s="370" t="str">
        <f t="shared" si="148"/>
        <v>8210076200</v>
      </c>
      <c r="K1242" s="30" t="str">
        <f t="shared" si="149"/>
        <v>61901048210076200129</v>
      </c>
    </row>
    <row r="1243" spans="1:11" s="145" customFormat="1" ht="25.5">
      <c r="A1243" s="232" t="s">
        <v>108</v>
      </c>
      <c r="B1243" s="242" t="s">
        <v>18</v>
      </c>
      <c r="C1243" s="242" t="s">
        <v>65</v>
      </c>
      <c r="D1243" s="242" t="s">
        <v>37</v>
      </c>
      <c r="E1243" s="242" t="s">
        <v>557</v>
      </c>
      <c r="F1243" s="242" t="s">
        <v>116</v>
      </c>
      <c r="G1243" s="243">
        <f>G1244</f>
        <v>196300</v>
      </c>
      <c r="H1243" s="243">
        <f>H1244</f>
        <v>196300</v>
      </c>
      <c r="I1243" s="242">
        <v>8210076200</v>
      </c>
      <c r="J1243" s="370" t="str">
        <f t="shared" si="148"/>
        <v>8210076200</v>
      </c>
      <c r="K1243" s="30" t="str">
        <f t="shared" si="149"/>
        <v>61901048210076200240</v>
      </c>
    </row>
    <row r="1244" spans="1:11" s="4" customFormat="1" ht="25.5">
      <c r="A1244" s="236" t="s">
        <v>973</v>
      </c>
      <c r="B1244" s="242" t="s">
        <v>18</v>
      </c>
      <c r="C1244" s="242" t="s">
        <v>65</v>
      </c>
      <c r="D1244" s="242" t="s">
        <v>37</v>
      </c>
      <c r="E1244" s="242" t="s">
        <v>557</v>
      </c>
      <c r="F1244" s="242" t="s">
        <v>1043</v>
      </c>
      <c r="G1244" s="235">
        <f>VLOOKUP(K1244,'исх АС БЮДЖЕТ'!$A$10:$H$568,7,0)</f>
        <v>196300</v>
      </c>
      <c r="H1244" s="235">
        <f>VLOOKUP(K1244,'исх АС БЮДЖЕТ'!$A$10:$H$568,8,0)</f>
        <v>196300</v>
      </c>
      <c r="I1244" s="242">
        <v>8210076200</v>
      </c>
      <c r="J1244" s="370" t="str">
        <f t="shared" si="148"/>
        <v>8210076200</v>
      </c>
      <c r="K1244" s="30" t="str">
        <f t="shared" si="149"/>
        <v>61901048210076200244</v>
      </c>
    </row>
    <row r="1245" spans="1:11" s="127" customFormat="1" ht="38.25">
      <c r="A1245" s="237" t="s">
        <v>870</v>
      </c>
      <c r="B1245" s="242" t="s">
        <v>18</v>
      </c>
      <c r="C1245" s="242" t="s">
        <v>65</v>
      </c>
      <c r="D1245" s="242" t="s">
        <v>37</v>
      </c>
      <c r="E1245" s="242" t="s">
        <v>558</v>
      </c>
      <c r="F1245" s="242" t="s">
        <v>58</v>
      </c>
      <c r="G1245" s="243">
        <f>G1246</f>
        <v>51740</v>
      </c>
      <c r="H1245" s="243">
        <f>H1246</f>
        <v>51740</v>
      </c>
      <c r="I1245" s="242">
        <v>8210076360</v>
      </c>
      <c r="J1245" s="370" t="str">
        <f t="shared" si="148"/>
        <v>8210076360</v>
      </c>
      <c r="K1245" s="30" t="str">
        <f t="shared" si="149"/>
        <v>61901048210076360000</v>
      </c>
    </row>
    <row r="1246" spans="1:11" s="145" customFormat="1" ht="25.5">
      <c r="A1246" s="232" t="s">
        <v>108</v>
      </c>
      <c r="B1246" s="242" t="s">
        <v>18</v>
      </c>
      <c r="C1246" s="242" t="s">
        <v>65</v>
      </c>
      <c r="D1246" s="242" t="s">
        <v>37</v>
      </c>
      <c r="E1246" s="242" t="s">
        <v>558</v>
      </c>
      <c r="F1246" s="242" t="s">
        <v>116</v>
      </c>
      <c r="G1246" s="243">
        <f>G1247</f>
        <v>51740</v>
      </c>
      <c r="H1246" s="243">
        <f>H1247</f>
        <v>51740</v>
      </c>
      <c r="I1246" s="242">
        <v>8210076360</v>
      </c>
      <c r="J1246" s="370" t="str">
        <f t="shared" si="148"/>
        <v>8210076360</v>
      </c>
      <c r="K1246" s="30" t="str">
        <f t="shared" si="149"/>
        <v>61901048210076360240</v>
      </c>
    </row>
    <row r="1247" spans="1:11" s="4" customFormat="1" ht="25.5">
      <c r="A1247" s="236" t="s">
        <v>973</v>
      </c>
      <c r="B1247" s="242" t="s">
        <v>18</v>
      </c>
      <c r="C1247" s="242" t="s">
        <v>65</v>
      </c>
      <c r="D1247" s="242" t="s">
        <v>37</v>
      </c>
      <c r="E1247" s="242" t="s">
        <v>558</v>
      </c>
      <c r="F1247" s="242" t="s">
        <v>1043</v>
      </c>
      <c r="G1247" s="235">
        <f>VLOOKUP(K1247,'исх АС БЮДЖЕТ'!$A$10:$H$568,7,0)</f>
        <v>51740</v>
      </c>
      <c r="H1247" s="235">
        <f>VLOOKUP(K1247,'исх АС БЮДЖЕТ'!$A$10:$H$568,8,0)</f>
        <v>51740</v>
      </c>
      <c r="I1247" s="242">
        <v>8210076360</v>
      </c>
      <c r="J1247" s="370" t="str">
        <f t="shared" si="148"/>
        <v>8210076360</v>
      </c>
      <c r="K1247" s="30" t="str">
        <f t="shared" si="149"/>
        <v>61901048210076360244</v>
      </c>
    </row>
    <row r="1248" spans="1:11" s="3" customFormat="1">
      <c r="A1248" s="283" t="s">
        <v>38</v>
      </c>
      <c r="B1248" s="229" t="s">
        <v>18</v>
      </c>
      <c r="C1248" s="230" t="s">
        <v>65</v>
      </c>
      <c r="D1248" s="230" t="s">
        <v>84</v>
      </c>
      <c r="E1248" s="230" t="s">
        <v>196</v>
      </c>
      <c r="F1248" s="230" t="s">
        <v>58</v>
      </c>
      <c r="G1248" s="231">
        <f t="shared" ref="G1248:H1250" si="151">G1249</f>
        <v>558900</v>
      </c>
      <c r="H1248" s="231">
        <f t="shared" si="151"/>
        <v>558900</v>
      </c>
      <c r="I1248" s="230">
        <v>0</v>
      </c>
      <c r="J1248" s="370" t="str">
        <f t="shared" si="148"/>
        <v>0000000000</v>
      </c>
      <c r="K1248" s="30" t="str">
        <f t="shared" si="149"/>
        <v>61901130000000000000</v>
      </c>
    </row>
    <row r="1249" spans="1:11" s="3" customFormat="1" ht="38.25">
      <c r="A1249" s="244" t="s">
        <v>745</v>
      </c>
      <c r="B1249" s="234" t="s">
        <v>18</v>
      </c>
      <c r="C1249" s="234" t="s">
        <v>65</v>
      </c>
      <c r="D1249" s="234" t="s">
        <v>84</v>
      </c>
      <c r="E1249" s="234" t="s">
        <v>280</v>
      </c>
      <c r="F1249" s="234" t="s">
        <v>58</v>
      </c>
      <c r="G1249" s="235">
        <f t="shared" si="151"/>
        <v>558900</v>
      </c>
      <c r="H1249" s="235">
        <f t="shared" si="151"/>
        <v>558900</v>
      </c>
      <c r="I1249" s="234">
        <v>1100000000</v>
      </c>
      <c r="J1249" s="370" t="str">
        <f t="shared" si="148"/>
        <v>1100000000</v>
      </c>
      <c r="K1249" s="30" t="str">
        <f t="shared" si="149"/>
        <v>61901131100000000000</v>
      </c>
    </row>
    <row r="1250" spans="1:11" s="3" customFormat="1" ht="38.25">
      <c r="A1250" s="244" t="s">
        <v>746</v>
      </c>
      <c r="B1250" s="234" t="s">
        <v>18</v>
      </c>
      <c r="C1250" s="234" t="s">
        <v>65</v>
      </c>
      <c r="D1250" s="234" t="s">
        <v>84</v>
      </c>
      <c r="E1250" s="234" t="s">
        <v>281</v>
      </c>
      <c r="F1250" s="234" t="s">
        <v>58</v>
      </c>
      <c r="G1250" s="235">
        <f t="shared" si="151"/>
        <v>558900</v>
      </c>
      <c r="H1250" s="235">
        <f t="shared" si="151"/>
        <v>558900</v>
      </c>
      <c r="I1250" s="234" t="s">
        <v>1185</v>
      </c>
      <c r="J1250" s="370" t="str">
        <f t="shared" si="148"/>
        <v>11Б0000000</v>
      </c>
      <c r="K1250" s="30" t="str">
        <f t="shared" si="149"/>
        <v>619011311Б0000000000</v>
      </c>
    </row>
    <row r="1251" spans="1:11" s="3" customFormat="1" ht="25.5">
      <c r="A1251" s="278" t="s">
        <v>282</v>
      </c>
      <c r="B1251" s="234" t="s">
        <v>18</v>
      </c>
      <c r="C1251" s="234" t="s">
        <v>65</v>
      </c>
      <c r="D1251" s="234" t="s">
        <v>84</v>
      </c>
      <c r="E1251" s="234" t="s">
        <v>283</v>
      </c>
      <c r="F1251" s="234" t="s">
        <v>58</v>
      </c>
      <c r="G1251" s="235">
        <f>G1252+G1255</f>
        <v>558900</v>
      </c>
      <c r="H1251" s="235">
        <f>H1252+H1255</f>
        <v>558900</v>
      </c>
      <c r="I1251" s="234" t="s">
        <v>1186</v>
      </c>
      <c r="J1251" s="370" t="str">
        <f t="shared" si="148"/>
        <v>11Б0100000</v>
      </c>
      <c r="K1251" s="30" t="str">
        <f t="shared" si="149"/>
        <v>619011311Б0100000000</v>
      </c>
    </row>
    <row r="1252" spans="1:11" s="3" customFormat="1" ht="25.5">
      <c r="A1252" s="262" t="s">
        <v>167</v>
      </c>
      <c r="B1252" s="234" t="s">
        <v>18</v>
      </c>
      <c r="C1252" s="234" t="s">
        <v>65</v>
      </c>
      <c r="D1252" s="234" t="s">
        <v>84</v>
      </c>
      <c r="E1252" s="234" t="s">
        <v>491</v>
      </c>
      <c r="F1252" s="234" t="s">
        <v>58</v>
      </c>
      <c r="G1252" s="235">
        <f>G1253</f>
        <v>476640</v>
      </c>
      <c r="H1252" s="235">
        <f>H1253</f>
        <v>476640</v>
      </c>
      <c r="I1252" s="234" t="s">
        <v>1226</v>
      </c>
      <c r="J1252" s="370" t="str">
        <f t="shared" si="148"/>
        <v>11Б0120840</v>
      </c>
      <c r="K1252" s="30" t="str">
        <f t="shared" si="149"/>
        <v>619011311Б0120840000</v>
      </c>
    </row>
    <row r="1253" spans="1:11" s="3" customFormat="1" ht="25.5">
      <c r="A1253" s="232" t="s">
        <v>108</v>
      </c>
      <c r="B1253" s="234" t="s">
        <v>18</v>
      </c>
      <c r="C1253" s="234" t="s">
        <v>65</v>
      </c>
      <c r="D1253" s="234" t="s">
        <v>84</v>
      </c>
      <c r="E1253" s="234" t="s">
        <v>491</v>
      </c>
      <c r="F1253" s="234" t="s">
        <v>116</v>
      </c>
      <c r="G1253" s="243">
        <f>G1254</f>
        <v>476640</v>
      </c>
      <c r="H1253" s="243">
        <f>H1254</f>
        <v>476640</v>
      </c>
      <c r="I1253" s="234" t="s">
        <v>1226</v>
      </c>
      <c r="J1253" s="370" t="str">
        <f t="shared" si="148"/>
        <v>11Б0120840</v>
      </c>
      <c r="K1253" s="30" t="str">
        <f t="shared" si="149"/>
        <v>619011311Б0120840240</v>
      </c>
    </row>
    <row r="1254" spans="1:11" s="4" customFormat="1" ht="25.5">
      <c r="A1254" s="236" t="s">
        <v>973</v>
      </c>
      <c r="B1254" s="234" t="s">
        <v>18</v>
      </c>
      <c r="C1254" s="234" t="s">
        <v>65</v>
      </c>
      <c r="D1254" s="234" t="s">
        <v>84</v>
      </c>
      <c r="E1254" s="234" t="s">
        <v>491</v>
      </c>
      <c r="F1254" s="234" t="s">
        <v>1043</v>
      </c>
      <c r="G1254" s="235">
        <f>VLOOKUP(K1254,'исх АС БЮДЖЕТ'!$A$10:$H$568,7,0)</f>
        <v>476640</v>
      </c>
      <c r="H1254" s="235">
        <f>VLOOKUP(K1254,'исх АС БЮДЖЕТ'!$A$10:$H$568,8,0)</f>
        <v>476640</v>
      </c>
      <c r="I1254" s="234" t="s">
        <v>1226</v>
      </c>
      <c r="J1254" s="370" t="str">
        <f t="shared" si="148"/>
        <v>11Б0120840</v>
      </c>
      <c r="K1254" s="30" t="str">
        <f t="shared" si="149"/>
        <v>619011311Б0120840244</v>
      </c>
    </row>
    <row r="1255" spans="1:11" s="3" customFormat="1" ht="25.5">
      <c r="A1255" s="232" t="s">
        <v>859</v>
      </c>
      <c r="B1255" s="234" t="s">
        <v>18</v>
      </c>
      <c r="C1255" s="242" t="s">
        <v>65</v>
      </c>
      <c r="D1255" s="242" t="s">
        <v>84</v>
      </c>
      <c r="E1255" s="274" t="s">
        <v>858</v>
      </c>
      <c r="F1255" s="234" t="s">
        <v>58</v>
      </c>
      <c r="G1255" s="235">
        <f>G1256</f>
        <v>82260</v>
      </c>
      <c r="H1255" s="235">
        <f>H1256</f>
        <v>82260</v>
      </c>
      <c r="I1255" s="274" t="s">
        <v>1189</v>
      </c>
      <c r="J1255" s="370" t="str">
        <f t="shared" si="148"/>
        <v>11Б0121120</v>
      </c>
      <c r="K1255" s="30" t="str">
        <f t="shared" si="149"/>
        <v>619011311Б0121120000</v>
      </c>
    </row>
    <row r="1256" spans="1:11" s="3" customFormat="1" ht="25.5">
      <c r="A1256" s="232" t="s">
        <v>108</v>
      </c>
      <c r="B1256" s="234" t="s">
        <v>18</v>
      </c>
      <c r="C1256" s="242" t="s">
        <v>65</v>
      </c>
      <c r="D1256" s="242" t="s">
        <v>84</v>
      </c>
      <c r="E1256" s="274" t="s">
        <v>858</v>
      </c>
      <c r="F1256" s="234" t="s">
        <v>116</v>
      </c>
      <c r="G1256" s="235">
        <f>G1257</f>
        <v>82260</v>
      </c>
      <c r="H1256" s="235">
        <f>H1257</f>
        <v>82260</v>
      </c>
      <c r="I1256" s="274" t="s">
        <v>1189</v>
      </c>
      <c r="J1256" s="370" t="str">
        <f t="shared" si="148"/>
        <v>11Б0121120</v>
      </c>
      <c r="K1256" s="30" t="str">
        <f t="shared" si="149"/>
        <v>619011311Б0121120240</v>
      </c>
    </row>
    <row r="1257" spans="1:11" s="4" customFormat="1" ht="25.5">
      <c r="A1257" s="236" t="s">
        <v>973</v>
      </c>
      <c r="B1257" s="234" t="s">
        <v>18</v>
      </c>
      <c r="C1257" s="242" t="s">
        <v>65</v>
      </c>
      <c r="D1257" s="242" t="s">
        <v>84</v>
      </c>
      <c r="E1257" s="274" t="s">
        <v>858</v>
      </c>
      <c r="F1257" s="234" t="s">
        <v>1043</v>
      </c>
      <c r="G1257" s="235">
        <f>VLOOKUP(K1257,'исх АС БЮДЖЕТ'!$A$10:$H$568,7,0)</f>
        <v>82260</v>
      </c>
      <c r="H1257" s="235">
        <f>VLOOKUP(K1257,'исх АС БЮДЖЕТ'!$A$10:$H$568,8,0)</f>
        <v>82260</v>
      </c>
      <c r="I1257" s="274" t="s">
        <v>1189</v>
      </c>
      <c r="J1257" s="370" t="str">
        <f t="shared" si="148"/>
        <v>11Б0121120</v>
      </c>
      <c r="K1257" s="30" t="str">
        <f t="shared" si="149"/>
        <v>619011311Б0121120244</v>
      </c>
    </row>
    <row r="1258" spans="1:11" s="3" customFormat="1">
      <c r="A1258" s="281" t="s">
        <v>35</v>
      </c>
      <c r="B1258" s="225" t="s">
        <v>18</v>
      </c>
      <c r="C1258" s="226" t="s">
        <v>37</v>
      </c>
      <c r="D1258" s="226" t="s">
        <v>51</v>
      </c>
      <c r="E1258" s="226" t="s">
        <v>196</v>
      </c>
      <c r="F1258" s="226" t="s">
        <v>58</v>
      </c>
      <c r="G1258" s="227">
        <f t="shared" ref="G1258:H1260" si="152">G1259</f>
        <v>94442440</v>
      </c>
      <c r="H1258" s="227">
        <f t="shared" si="152"/>
        <v>94442440</v>
      </c>
      <c r="I1258" s="226">
        <v>0</v>
      </c>
      <c r="J1258" s="370" t="str">
        <f t="shared" si="148"/>
        <v>0000000000</v>
      </c>
      <c r="K1258" s="30" t="str">
        <f t="shared" si="149"/>
        <v>61904000000000000000</v>
      </c>
    </row>
    <row r="1259" spans="1:11" s="3" customFormat="1">
      <c r="A1259" s="282" t="s">
        <v>88</v>
      </c>
      <c r="B1259" s="229" t="s">
        <v>18</v>
      </c>
      <c r="C1259" s="230" t="s">
        <v>37</v>
      </c>
      <c r="D1259" s="230" t="s">
        <v>25</v>
      </c>
      <c r="E1259" s="230" t="s">
        <v>196</v>
      </c>
      <c r="F1259" s="230" t="s">
        <v>58</v>
      </c>
      <c r="G1259" s="231">
        <f>G1260</f>
        <v>94442440</v>
      </c>
      <c r="H1259" s="231">
        <f>H1260</f>
        <v>94442440</v>
      </c>
      <c r="I1259" s="230">
        <v>0</v>
      </c>
      <c r="J1259" s="370" t="str">
        <f t="shared" si="148"/>
        <v>0000000000</v>
      </c>
      <c r="K1259" s="30" t="str">
        <f t="shared" si="149"/>
        <v>61904090000000000000</v>
      </c>
    </row>
    <row r="1260" spans="1:11" s="3" customFormat="1" ht="38.25">
      <c r="A1260" s="236" t="s">
        <v>722</v>
      </c>
      <c r="B1260" s="242" t="s">
        <v>18</v>
      </c>
      <c r="C1260" s="241" t="s">
        <v>37</v>
      </c>
      <c r="D1260" s="241" t="s">
        <v>25</v>
      </c>
      <c r="E1260" s="241" t="s">
        <v>300</v>
      </c>
      <c r="F1260" s="242" t="s">
        <v>58</v>
      </c>
      <c r="G1260" s="243">
        <f t="shared" si="152"/>
        <v>94442440</v>
      </c>
      <c r="H1260" s="243">
        <f t="shared" si="152"/>
        <v>94442440</v>
      </c>
      <c r="I1260" s="241">
        <v>400000000</v>
      </c>
      <c r="J1260" s="370" t="str">
        <f t="shared" si="148"/>
        <v>0400000000</v>
      </c>
      <c r="K1260" s="30" t="str">
        <f t="shared" si="149"/>
        <v>61904090400000000000</v>
      </c>
    </row>
    <row r="1261" spans="1:11" s="3" customFormat="1" ht="38.25">
      <c r="A1261" s="252" t="s">
        <v>729</v>
      </c>
      <c r="B1261" s="242" t="s">
        <v>18</v>
      </c>
      <c r="C1261" s="241" t="s">
        <v>37</v>
      </c>
      <c r="D1261" s="241" t="s">
        <v>25</v>
      </c>
      <c r="E1261" s="241" t="s">
        <v>301</v>
      </c>
      <c r="F1261" s="241" t="s">
        <v>58</v>
      </c>
      <c r="G1261" s="243">
        <f>G1262</f>
        <v>94442440</v>
      </c>
      <c r="H1261" s="243">
        <f>H1262</f>
        <v>94442440</v>
      </c>
      <c r="I1261" s="241">
        <v>420000000</v>
      </c>
      <c r="J1261" s="370" t="str">
        <f t="shared" si="148"/>
        <v>0420000000</v>
      </c>
      <c r="K1261" s="30" t="str">
        <f t="shared" si="149"/>
        <v>61904090420000000000</v>
      </c>
    </row>
    <row r="1262" spans="1:11" s="3" customFormat="1" ht="38.25">
      <c r="A1262" s="237" t="s">
        <v>644</v>
      </c>
      <c r="B1262" s="242" t="s">
        <v>18</v>
      </c>
      <c r="C1262" s="242" t="s">
        <v>37</v>
      </c>
      <c r="D1262" s="242" t="s">
        <v>25</v>
      </c>
      <c r="E1262" s="242" t="s">
        <v>302</v>
      </c>
      <c r="F1262" s="242" t="s">
        <v>58</v>
      </c>
      <c r="G1262" s="243">
        <f>G1266+G1263</f>
        <v>94442440</v>
      </c>
      <c r="H1262" s="243">
        <f>H1266+H1263</f>
        <v>94442440</v>
      </c>
      <c r="I1262" s="242">
        <v>420200000</v>
      </c>
      <c r="J1262" s="370" t="str">
        <f t="shared" si="148"/>
        <v>0420200000</v>
      </c>
      <c r="K1262" s="30" t="str">
        <f t="shared" si="149"/>
        <v>61904090420200000000</v>
      </c>
    </row>
    <row r="1263" spans="1:11" s="3" customFormat="1" ht="25.5">
      <c r="A1263" s="253" t="s">
        <v>493</v>
      </c>
      <c r="B1263" s="242" t="s">
        <v>18</v>
      </c>
      <c r="C1263" s="242" t="s">
        <v>37</v>
      </c>
      <c r="D1263" s="242" t="s">
        <v>25</v>
      </c>
      <c r="E1263" s="242" t="s">
        <v>494</v>
      </c>
      <c r="F1263" s="242" t="s">
        <v>58</v>
      </c>
      <c r="G1263" s="243">
        <f>G1264</f>
        <v>9495510</v>
      </c>
      <c r="H1263" s="243">
        <f>H1264</f>
        <v>9495510</v>
      </c>
      <c r="I1263" s="242">
        <v>420220820</v>
      </c>
      <c r="J1263" s="370" t="str">
        <f t="shared" si="148"/>
        <v>0420220820</v>
      </c>
      <c r="K1263" s="30" t="str">
        <f t="shared" si="149"/>
        <v>61904090420220820000</v>
      </c>
    </row>
    <row r="1264" spans="1:11" s="127" customFormat="1" ht="25.5">
      <c r="A1264" s="232" t="s">
        <v>108</v>
      </c>
      <c r="B1264" s="242" t="s">
        <v>18</v>
      </c>
      <c r="C1264" s="242" t="s">
        <v>37</v>
      </c>
      <c r="D1264" s="242" t="s">
        <v>25</v>
      </c>
      <c r="E1264" s="242" t="s">
        <v>494</v>
      </c>
      <c r="F1264" s="242" t="s">
        <v>116</v>
      </c>
      <c r="G1264" s="243">
        <f>G1265</f>
        <v>9495510</v>
      </c>
      <c r="H1264" s="243">
        <f>H1265</f>
        <v>9495510</v>
      </c>
      <c r="I1264" s="242">
        <v>420220820</v>
      </c>
      <c r="J1264" s="370" t="str">
        <f t="shared" si="148"/>
        <v>0420220820</v>
      </c>
      <c r="K1264" s="30" t="str">
        <f t="shared" si="149"/>
        <v>61904090420220820240</v>
      </c>
    </row>
    <row r="1265" spans="1:11" s="4" customFormat="1" ht="25.5">
      <c r="A1265" s="236" t="s">
        <v>973</v>
      </c>
      <c r="B1265" s="242" t="s">
        <v>18</v>
      </c>
      <c r="C1265" s="242" t="s">
        <v>37</v>
      </c>
      <c r="D1265" s="242" t="s">
        <v>25</v>
      </c>
      <c r="E1265" s="242" t="s">
        <v>494</v>
      </c>
      <c r="F1265" s="242" t="s">
        <v>1043</v>
      </c>
      <c r="G1265" s="235">
        <f>VLOOKUP(K1265,'исх АС БЮДЖЕТ'!$A$10:$H$568,7,0)</f>
        <v>9495510</v>
      </c>
      <c r="H1265" s="235">
        <f>VLOOKUP(K1265,'исх АС БЮДЖЕТ'!$A$10:$H$568,8,0)</f>
        <v>9495510</v>
      </c>
      <c r="I1265" s="242">
        <v>420220820</v>
      </c>
      <c r="J1265" s="370" t="str">
        <f t="shared" si="148"/>
        <v>0420220820</v>
      </c>
      <c r="K1265" s="30" t="str">
        <f t="shared" si="149"/>
        <v>61904090420220820244</v>
      </c>
    </row>
    <row r="1266" spans="1:11" s="3" customFormat="1" ht="25.5">
      <c r="A1266" s="232" t="s">
        <v>902</v>
      </c>
      <c r="B1266" s="242" t="s">
        <v>18</v>
      </c>
      <c r="C1266" s="242" t="s">
        <v>37</v>
      </c>
      <c r="D1266" s="242" t="s">
        <v>25</v>
      </c>
      <c r="E1266" s="234" t="s">
        <v>909</v>
      </c>
      <c r="F1266" s="242" t="s">
        <v>58</v>
      </c>
      <c r="G1266" s="243">
        <f>G1267</f>
        <v>84946930</v>
      </c>
      <c r="H1266" s="243">
        <f>H1267</f>
        <v>84946930</v>
      </c>
      <c r="I1266" s="234">
        <v>420221090</v>
      </c>
      <c r="J1266" s="370" t="str">
        <f t="shared" si="148"/>
        <v>0420221090</v>
      </c>
      <c r="K1266" s="30" t="str">
        <f t="shared" si="149"/>
        <v>61904090420221090000</v>
      </c>
    </row>
    <row r="1267" spans="1:11" s="3" customFormat="1" ht="25.5">
      <c r="A1267" s="232" t="s">
        <v>108</v>
      </c>
      <c r="B1267" s="242" t="s">
        <v>18</v>
      </c>
      <c r="C1267" s="242" t="s">
        <v>37</v>
      </c>
      <c r="D1267" s="242" t="s">
        <v>25</v>
      </c>
      <c r="E1267" s="234" t="s">
        <v>909</v>
      </c>
      <c r="F1267" s="242" t="s">
        <v>116</v>
      </c>
      <c r="G1267" s="243">
        <f>G1268</f>
        <v>84946930</v>
      </c>
      <c r="H1267" s="243">
        <f>H1268</f>
        <v>84946930</v>
      </c>
      <c r="I1267" s="234">
        <v>420221090</v>
      </c>
      <c r="J1267" s="370" t="str">
        <f t="shared" si="148"/>
        <v>0420221090</v>
      </c>
      <c r="K1267" s="30" t="str">
        <f t="shared" si="149"/>
        <v>61904090420221090240</v>
      </c>
    </row>
    <row r="1268" spans="1:11" s="4" customFormat="1" ht="25.5">
      <c r="A1268" s="236" t="s">
        <v>973</v>
      </c>
      <c r="B1268" s="242" t="s">
        <v>18</v>
      </c>
      <c r="C1268" s="242" t="s">
        <v>37</v>
      </c>
      <c r="D1268" s="242" t="s">
        <v>25</v>
      </c>
      <c r="E1268" s="234" t="s">
        <v>909</v>
      </c>
      <c r="F1268" s="242" t="s">
        <v>1043</v>
      </c>
      <c r="G1268" s="235">
        <f>VLOOKUP(K1268,'исх АС БЮДЖЕТ'!$A$10:$H$568,7,0)</f>
        <v>84946930</v>
      </c>
      <c r="H1268" s="235">
        <f>VLOOKUP(K1268,'исх АС БЮДЖЕТ'!$A$10:$H$568,8,0)</f>
        <v>84946930</v>
      </c>
      <c r="I1268" s="234">
        <v>420221090</v>
      </c>
      <c r="J1268" s="370" t="str">
        <f t="shared" si="148"/>
        <v>0420221090</v>
      </c>
      <c r="K1268" s="30" t="str">
        <f t="shared" si="149"/>
        <v>61904090420221090244</v>
      </c>
    </row>
    <row r="1269" spans="1:11" s="127" customFormat="1">
      <c r="A1269" s="281" t="s">
        <v>7</v>
      </c>
      <c r="B1269" s="225" t="s">
        <v>18</v>
      </c>
      <c r="C1269" s="226" t="s">
        <v>8</v>
      </c>
      <c r="D1269" s="226" t="s">
        <v>51</v>
      </c>
      <c r="E1269" s="226" t="s">
        <v>196</v>
      </c>
      <c r="F1269" s="226" t="s">
        <v>58</v>
      </c>
      <c r="G1269" s="227">
        <f>G1270+G1278</f>
        <v>18439720</v>
      </c>
      <c r="H1269" s="227">
        <f>H1270+H1278</f>
        <v>18439720</v>
      </c>
      <c r="I1269" s="226">
        <v>0</v>
      </c>
      <c r="J1269" s="370" t="str">
        <f t="shared" si="148"/>
        <v>0000000000</v>
      </c>
      <c r="K1269" s="30" t="str">
        <f t="shared" si="149"/>
        <v>61905000000000000000</v>
      </c>
    </row>
    <row r="1270" spans="1:11" s="3" customFormat="1">
      <c r="A1270" s="282" t="s">
        <v>9</v>
      </c>
      <c r="B1270" s="229" t="s">
        <v>18</v>
      </c>
      <c r="C1270" s="230" t="s">
        <v>8</v>
      </c>
      <c r="D1270" s="230" t="s">
        <v>65</v>
      </c>
      <c r="E1270" s="230" t="s">
        <v>196</v>
      </c>
      <c r="F1270" s="230" t="s">
        <v>58</v>
      </c>
      <c r="G1270" s="231">
        <f t="shared" ref="G1270:H1274" si="153">G1271</f>
        <v>3222930</v>
      </c>
      <c r="H1270" s="231">
        <f t="shared" si="153"/>
        <v>3222930</v>
      </c>
      <c r="I1270" s="230">
        <v>0</v>
      </c>
      <c r="J1270" s="370" t="str">
        <f t="shared" si="148"/>
        <v>0000000000</v>
      </c>
      <c r="K1270" s="30" t="str">
        <f t="shared" si="149"/>
        <v>61905010000000000000</v>
      </c>
    </row>
    <row r="1271" spans="1:11" s="3" customFormat="1" ht="38.25">
      <c r="A1271" s="236" t="s">
        <v>722</v>
      </c>
      <c r="B1271" s="242" t="s">
        <v>18</v>
      </c>
      <c r="C1271" s="242" t="s">
        <v>8</v>
      </c>
      <c r="D1271" s="242" t="s">
        <v>65</v>
      </c>
      <c r="E1271" s="242" t="s">
        <v>300</v>
      </c>
      <c r="F1271" s="242" t="s">
        <v>58</v>
      </c>
      <c r="G1271" s="284">
        <f t="shared" si="153"/>
        <v>3222930</v>
      </c>
      <c r="H1271" s="284">
        <f t="shared" si="153"/>
        <v>3222930</v>
      </c>
      <c r="I1271" s="242">
        <v>400000000</v>
      </c>
      <c r="J1271" s="370" t="str">
        <f t="shared" si="148"/>
        <v>0400000000</v>
      </c>
      <c r="K1271" s="30" t="str">
        <f t="shared" si="149"/>
        <v>61905010400000000000</v>
      </c>
    </row>
    <row r="1272" spans="1:11" s="127" customFormat="1" ht="25.5">
      <c r="A1272" s="278" t="s">
        <v>155</v>
      </c>
      <c r="B1272" s="242" t="s">
        <v>18</v>
      </c>
      <c r="C1272" s="242" t="s">
        <v>8</v>
      </c>
      <c r="D1272" s="242" t="s">
        <v>65</v>
      </c>
      <c r="E1272" s="242" t="s">
        <v>495</v>
      </c>
      <c r="F1272" s="242" t="s">
        <v>58</v>
      </c>
      <c r="G1272" s="243">
        <f t="shared" si="153"/>
        <v>3222930</v>
      </c>
      <c r="H1272" s="243">
        <f t="shared" si="153"/>
        <v>3222930</v>
      </c>
      <c r="I1272" s="242">
        <v>410000000</v>
      </c>
      <c r="J1272" s="370" t="str">
        <f t="shared" si="148"/>
        <v>0410000000</v>
      </c>
      <c r="K1272" s="30" t="str">
        <f t="shared" si="149"/>
        <v>61905010410000000000</v>
      </c>
    </row>
    <row r="1273" spans="1:11" s="3" customFormat="1" ht="25.5">
      <c r="A1273" s="237" t="s">
        <v>522</v>
      </c>
      <c r="B1273" s="242" t="s">
        <v>18</v>
      </c>
      <c r="C1273" s="242" t="s">
        <v>8</v>
      </c>
      <c r="D1273" s="242" t="s">
        <v>65</v>
      </c>
      <c r="E1273" s="242" t="s">
        <v>497</v>
      </c>
      <c r="F1273" s="242" t="s">
        <v>58</v>
      </c>
      <c r="G1273" s="243">
        <f t="shared" si="153"/>
        <v>3222930</v>
      </c>
      <c r="H1273" s="243">
        <f t="shared" si="153"/>
        <v>3222930</v>
      </c>
      <c r="I1273" s="242">
        <v>410100000</v>
      </c>
      <c r="J1273" s="370" t="str">
        <f t="shared" si="148"/>
        <v>0410100000</v>
      </c>
      <c r="K1273" s="30" t="str">
        <f t="shared" si="149"/>
        <v>61905010410100000000</v>
      </c>
    </row>
    <row r="1274" spans="1:11" s="3" customFormat="1">
      <c r="A1274" s="285" t="s">
        <v>148</v>
      </c>
      <c r="B1274" s="242" t="s">
        <v>18</v>
      </c>
      <c r="C1274" s="242" t="s">
        <v>8</v>
      </c>
      <c r="D1274" s="242" t="s">
        <v>65</v>
      </c>
      <c r="E1274" s="242" t="s">
        <v>498</v>
      </c>
      <c r="F1274" s="242" t="s">
        <v>58</v>
      </c>
      <c r="G1274" s="243">
        <f t="shared" si="153"/>
        <v>3222930</v>
      </c>
      <c r="H1274" s="243">
        <f t="shared" si="153"/>
        <v>3222930</v>
      </c>
      <c r="I1274" s="242">
        <v>410120190</v>
      </c>
      <c r="J1274" s="370" t="str">
        <f t="shared" si="148"/>
        <v>0410120190</v>
      </c>
      <c r="K1274" s="30" t="str">
        <f t="shared" si="149"/>
        <v>61905010410120190000</v>
      </c>
    </row>
    <row r="1275" spans="1:11" s="3" customFormat="1" ht="25.5">
      <c r="A1275" s="232" t="s">
        <v>108</v>
      </c>
      <c r="B1275" s="242" t="s">
        <v>18</v>
      </c>
      <c r="C1275" s="242" t="s">
        <v>8</v>
      </c>
      <c r="D1275" s="242" t="s">
        <v>65</v>
      </c>
      <c r="E1275" s="242" t="s">
        <v>498</v>
      </c>
      <c r="F1275" s="242" t="s">
        <v>116</v>
      </c>
      <c r="G1275" s="243">
        <f>SUM(G1276:G1277)</f>
        <v>3222930</v>
      </c>
      <c r="H1275" s="243">
        <f>SUM(H1276:H1277)</f>
        <v>3222930</v>
      </c>
      <c r="I1275" s="242">
        <v>410120190</v>
      </c>
      <c r="J1275" s="370" t="str">
        <f t="shared" si="148"/>
        <v>0410120190</v>
      </c>
      <c r="K1275" s="30" t="str">
        <f t="shared" si="149"/>
        <v>61905010410120190240</v>
      </c>
    </row>
    <row r="1276" spans="1:11" s="3" customFormat="1" ht="25.5">
      <c r="A1276" s="236" t="s">
        <v>972</v>
      </c>
      <c r="B1276" s="242" t="s">
        <v>18</v>
      </c>
      <c r="C1276" s="242" t="s">
        <v>8</v>
      </c>
      <c r="D1276" s="242" t="s">
        <v>65</v>
      </c>
      <c r="E1276" s="242" t="s">
        <v>498</v>
      </c>
      <c r="F1276" s="234" t="s">
        <v>1070</v>
      </c>
      <c r="G1276" s="235">
        <f>VLOOKUP(K1276,'исх АС БЮДЖЕТ'!$A$10:$H$568,7,0)</f>
        <v>730000</v>
      </c>
      <c r="H1276" s="235">
        <f>VLOOKUP(K1276,'исх АС БЮДЖЕТ'!$A$10:$H$568,8,0)</f>
        <v>730000</v>
      </c>
      <c r="I1276" s="242">
        <v>410120190</v>
      </c>
      <c r="J1276" s="370" t="str">
        <f t="shared" si="148"/>
        <v>0410120190</v>
      </c>
      <c r="K1276" s="30" t="str">
        <f t="shared" si="149"/>
        <v>61905010410120190243</v>
      </c>
    </row>
    <row r="1277" spans="1:11" s="4" customFormat="1" ht="25.5">
      <c r="A1277" s="236" t="s">
        <v>973</v>
      </c>
      <c r="B1277" s="242" t="s">
        <v>18</v>
      </c>
      <c r="C1277" s="242" t="s">
        <v>8</v>
      </c>
      <c r="D1277" s="242" t="s">
        <v>65</v>
      </c>
      <c r="E1277" s="242" t="s">
        <v>498</v>
      </c>
      <c r="F1277" s="234" t="s">
        <v>1043</v>
      </c>
      <c r="G1277" s="235">
        <f>VLOOKUP(K1277,'исх АС БЮДЖЕТ'!$A$10:$H$568,7,0)</f>
        <v>2492930</v>
      </c>
      <c r="H1277" s="235">
        <f>VLOOKUP(K1277,'исх АС БЮДЖЕТ'!$A$10:$H$568,8,0)</f>
        <v>2492930</v>
      </c>
      <c r="I1277" s="242">
        <v>410120190</v>
      </c>
      <c r="J1277" s="370" t="str">
        <f t="shared" ref="J1277:J1336" si="154">TEXT(I1277,"0000000000")</f>
        <v>0410120190</v>
      </c>
      <c r="K1277" s="30" t="str">
        <f t="shared" ref="K1277:K1336" si="155">CONCATENATE(B1277,C1277,D1277,J1277,F1277)</f>
        <v>61905010410120190244</v>
      </c>
    </row>
    <row r="1278" spans="1:11" s="3" customFormat="1">
      <c r="A1278" s="283" t="s">
        <v>1</v>
      </c>
      <c r="B1278" s="229" t="s">
        <v>18</v>
      </c>
      <c r="C1278" s="230" t="s">
        <v>8</v>
      </c>
      <c r="D1278" s="230" t="s">
        <v>53</v>
      </c>
      <c r="E1278" s="230" t="s">
        <v>196</v>
      </c>
      <c r="F1278" s="230" t="s">
        <v>58</v>
      </c>
      <c r="G1278" s="231">
        <f t="shared" ref="G1278:H1280" si="156">G1279</f>
        <v>15216790</v>
      </c>
      <c r="H1278" s="231">
        <f t="shared" si="156"/>
        <v>15216790</v>
      </c>
      <c r="I1278" s="230">
        <v>0</v>
      </c>
      <c r="J1278" s="370" t="str">
        <f t="shared" si="154"/>
        <v>0000000000</v>
      </c>
      <c r="K1278" s="30" t="str">
        <f t="shared" si="155"/>
        <v>61905030000000000000</v>
      </c>
    </row>
    <row r="1279" spans="1:11" s="3" customFormat="1" ht="38.25">
      <c r="A1279" s="236" t="s">
        <v>722</v>
      </c>
      <c r="B1279" s="242" t="s">
        <v>18</v>
      </c>
      <c r="C1279" s="242" t="s">
        <v>8</v>
      </c>
      <c r="D1279" s="242" t="s">
        <v>53</v>
      </c>
      <c r="E1279" s="242" t="s">
        <v>300</v>
      </c>
      <c r="F1279" s="242" t="s">
        <v>58</v>
      </c>
      <c r="G1279" s="243">
        <f t="shared" si="156"/>
        <v>15216790</v>
      </c>
      <c r="H1279" s="243">
        <f t="shared" si="156"/>
        <v>15216790</v>
      </c>
      <c r="I1279" s="242">
        <v>400000000</v>
      </c>
      <c r="J1279" s="370" t="str">
        <f t="shared" si="154"/>
        <v>0400000000</v>
      </c>
      <c r="K1279" s="30" t="str">
        <f t="shared" si="155"/>
        <v>61905030400000000000</v>
      </c>
    </row>
    <row r="1280" spans="1:11" s="3" customFormat="1">
      <c r="A1280" s="286" t="s">
        <v>142</v>
      </c>
      <c r="B1280" s="242" t="s">
        <v>18</v>
      </c>
      <c r="C1280" s="242" t="s">
        <v>8</v>
      </c>
      <c r="D1280" s="242" t="s">
        <v>53</v>
      </c>
      <c r="E1280" s="242" t="s">
        <v>453</v>
      </c>
      <c r="F1280" s="242" t="s">
        <v>58</v>
      </c>
      <c r="G1280" s="243">
        <f t="shared" si="156"/>
        <v>15216790</v>
      </c>
      <c r="H1280" s="243">
        <f t="shared" si="156"/>
        <v>15216790</v>
      </c>
      <c r="I1280" s="242">
        <v>430000000</v>
      </c>
      <c r="J1280" s="370" t="str">
        <f t="shared" si="154"/>
        <v>0430000000</v>
      </c>
      <c r="K1280" s="30" t="str">
        <f t="shared" si="155"/>
        <v>61905030430000000000</v>
      </c>
    </row>
    <row r="1281" spans="1:11" s="3" customFormat="1">
      <c r="A1281" s="286" t="s">
        <v>454</v>
      </c>
      <c r="B1281" s="242" t="s">
        <v>18</v>
      </c>
      <c r="C1281" s="242" t="s">
        <v>8</v>
      </c>
      <c r="D1281" s="242" t="s">
        <v>53</v>
      </c>
      <c r="E1281" s="234" t="s">
        <v>645</v>
      </c>
      <c r="F1281" s="242" t="s">
        <v>58</v>
      </c>
      <c r="G1281" s="243">
        <f>G1282+G1285</f>
        <v>15216790</v>
      </c>
      <c r="H1281" s="243">
        <f>H1282+H1285</f>
        <v>15216790</v>
      </c>
      <c r="I1281" s="234">
        <v>430400000</v>
      </c>
      <c r="J1281" s="370" t="str">
        <f t="shared" si="154"/>
        <v>0430400000</v>
      </c>
      <c r="K1281" s="30" t="str">
        <f t="shared" si="155"/>
        <v>61905030430400000000</v>
      </c>
    </row>
    <row r="1282" spans="1:11" s="3" customFormat="1">
      <c r="A1282" s="286" t="s">
        <v>158</v>
      </c>
      <c r="B1282" s="242" t="s">
        <v>18</v>
      </c>
      <c r="C1282" s="242" t="s">
        <v>8</v>
      </c>
      <c r="D1282" s="242" t="s">
        <v>53</v>
      </c>
      <c r="E1282" s="234" t="s">
        <v>646</v>
      </c>
      <c r="F1282" s="242" t="s">
        <v>58</v>
      </c>
      <c r="G1282" s="243">
        <f>G1283</f>
        <v>14275070</v>
      </c>
      <c r="H1282" s="243">
        <f>H1283</f>
        <v>14275070</v>
      </c>
      <c r="I1282" s="234">
        <v>430420300</v>
      </c>
      <c r="J1282" s="370" t="str">
        <f t="shared" si="154"/>
        <v>0430420300</v>
      </c>
      <c r="K1282" s="30" t="str">
        <f t="shared" si="155"/>
        <v>61905030430420300000</v>
      </c>
    </row>
    <row r="1283" spans="1:11" s="3" customFormat="1" ht="25.5">
      <c r="A1283" s="232" t="s">
        <v>108</v>
      </c>
      <c r="B1283" s="242" t="s">
        <v>18</v>
      </c>
      <c r="C1283" s="242" t="s">
        <v>8</v>
      </c>
      <c r="D1283" s="242" t="s">
        <v>53</v>
      </c>
      <c r="E1283" s="234" t="s">
        <v>646</v>
      </c>
      <c r="F1283" s="242" t="s">
        <v>116</v>
      </c>
      <c r="G1283" s="235">
        <f>G1284</f>
        <v>14275070</v>
      </c>
      <c r="H1283" s="235">
        <f>H1284</f>
        <v>14275070</v>
      </c>
      <c r="I1283" s="234">
        <v>430420300</v>
      </c>
      <c r="J1283" s="370" t="str">
        <f t="shared" si="154"/>
        <v>0430420300</v>
      </c>
      <c r="K1283" s="30" t="str">
        <f t="shared" si="155"/>
        <v>61905030430420300240</v>
      </c>
    </row>
    <row r="1284" spans="1:11" s="4" customFormat="1" ht="25.5">
      <c r="A1284" s="236" t="s">
        <v>973</v>
      </c>
      <c r="B1284" s="242" t="s">
        <v>18</v>
      </c>
      <c r="C1284" s="242" t="s">
        <v>8</v>
      </c>
      <c r="D1284" s="242" t="s">
        <v>53</v>
      </c>
      <c r="E1284" s="234" t="s">
        <v>646</v>
      </c>
      <c r="F1284" s="242" t="s">
        <v>1043</v>
      </c>
      <c r="G1284" s="235">
        <f>VLOOKUP(K1284,'исх АС БЮДЖЕТ'!$A$10:$H$568,7,0)</f>
        <v>14275070</v>
      </c>
      <c r="H1284" s="235">
        <f>VLOOKUP(K1284,'исх АС БЮДЖЕТ'!$A$10:$H$568,8,0)</f>
        <v>14275070</v>
      </c>
      <c r="I1284" s="234">
        <v>430420300</v>
      </c>
      <c r="J1284" s="370" t="str">
        <f t="shared" si="154"/>
        <v>0430420300</v>
      </c>
      <c r="K1284" s="30" t="str">
        <f t="shared" si="155"/>
        <v>61905030430420300244</v>
      </c>
    </row>
    <row r="1285" spans="1:11" s="3" customFormat="1">
      <c r="A1285" s="236" t="s">
        <v>890</v>
      </c>
      <c r="B1285" s="242" t="s">
        <v>18</v>
      </c>
      <c r="C1285" s="242" t="s">
        <v>8</v>
      </c>
      <c r="D1285" s="242" t="s">
        <v>53</v>
      </c>
      <c r="E1285" s="242" t="s">
        <v>910</v>
      </c>
      <c r="F1285" s="242" t="s">
        <v>58</v>
      </c>
      <c r="G1285" s="243">
        <f>G1286</f>
        <v>941720</v>
      </c>
      <c r="H1285" s="243">
        <f>H1286</f>
        <v>941720</v>
      </c>
      <c r="I1285" s="242">
        <v>430421070</v>
      </c>
      <c r="J1285" s="370" t="str">
        <f t="shared" si="154"/>
        <v>0430421070</v>
      </c>
      <c r="K1285" s="30" t="str">
        <f t="shared" si="155"/>
        <v>61905030430421070000</v>
      </c>
    </row>
    <row r="1286" spans="1:11" s="3" customFormat="1" ht="25.5">
      <c r="A1286" s="232" t="s">
        <v>108</v>
      </c>
      <c r="B1286" s="242" t="s">
        <v>18</v>
      </c>
      <c r="C1286" s="242" t="s">
        <v>8</v>
      </c>
      <c r="D1286" s="242" t="s">
        <v>53</v>
      </c>
      <c r="E1286" s="242" t="s">
        <v>910</v>
      </c>
      <c r="F1286" s="242" t="s">
        <v>116</v>
      </c>
      <c r="G1286" s="235">
        <f>G1287</f>
        <v>941720</v>
      </c>
      <c r="H1286" s="235">
        <f>H1287</f>
        <v>941720</v>
      </c>
      <c r="I1286" s="242">
        <v>430421070</v>
      </c>
      <c r="J1286" s="370" t="str">
        <f t="shared" si="154"/>
        <v>0430421070</v>
      </c>
      <c r="K1286" s="30" t="str">
        <f t="shared" si="155"/>
        <v>61905030430421070240</v>
      </c>
    </row>
    <row r="1287" spans="1:11" s="4" customFormat="1" ht="25.5">
      <c r="A1287" s="236" t="s">
        <v>973</v>
      </c>
      <c r="B1287" s="242" t="s">
        <v>18</v>
      </c>
      <c r="C1287" s="242" t="s">
        <v>8</v>
      </c>
      <c r="D1287" s="242" t="s">
        <v>53</v>
      </c>
      <c r="E1287" s="242" t="s">
        <v>910</v>
      </c>
      <c r="F1287" s="242" t="s">
        <v>1043</v>
      </c>
      <c r="G1287" s="235">
        <f>VLOOKUP(K1287,'исх АС БЮДЖЕТ'!$A$10:$H$568,7,0)</f>
        <v>941720</v>
      </c>
      <c r="H1287" s="235">
        <f>VLOOKUP(K1287,'исх АС БЮДЖЕТ'!$A$10:$H$568,8,0)</f>
        <v>941720</v>
      </c>
      <c r="I1287" s="242">
        <v>430421070</v>
      </c>
      <c r="J1287" s="370" t="str">
        <f t="shared" si="154"/>
        <v>0430421070</v>
      </c>
      <c r="K1287" s="30" t="str">
        <f t="shared" si="155"/>
        <v>61905030430421070244</v>
      </c>
    </row>
    <row r="1288" spans="1:11" s="3" customFormat="1">
      <c r="A1288" s="224" t="s">
        <v>83</v>
      </c>
      <c r="B1288" s="225" t="s">
        <v>18</v>
      </c>
      <c r="C1288" s="226" t="s">
        <v>50</v>
      </c>
      <c r="D1288" s="226" t="s">
        <v>51</v>
      </c>
      <c r="E1288" s="226" t="s">
        <v>196</v>
      </c>
      <c r="F1288" s="226" t="s">
        <v>58</v>
      </c>
      <c r="G1288" s="227">
        <f t="shared" ref="G1288:H1291" si="157">G1289</f>
        <v>1549000</v>
      </c>
      <c r="H1288" s="227">
        <f t="shared" si="157"/>
        <v>1549000</v>
      </c>
      <c r="I1288" s="226">
        <v>0</v>
      </c>
      <c r="J1288" s="370" t="str">
        <f t="shared" si="154"/>
        <v>0000000000</v>
      </c>
      <c r="K1288" s="30" t="str">
        <f t="shared" si="155"/>
        <v>61908000000000000000</v>
      </c>
    </row>
    <row r="1289" spans="1:11" s="3" customFormat="1">
      <c r="A1289" s="283" t="s">
        <v>27</v>
      </c>
      <c r="B1289" s="229" t="s">
        <v>18</v>
      </c>
      <c r="C1289" s="230" t="s">
        <v>50</v>
      </c>
      <c r="D1289" s="230" t="s">
        <v>65</v>
      </c>
      <c r="E1289" s="230" t="s">
        <v>196</v>
      </c>
      <c r="F1289" s="230" t="s">
        <v>58</v>
      </c>
      <c r="G1289" s="231">
        <f t="shared" si="157"/>
        <v>1549000</v>
      </c>
      <c r="H1289" s="231">
        <f t="shared" si="157"/>
        <v>1549000</v>
      </c>
      <c r="I1289" s="230">
        <v>0</v>
      </c>
      <c r="J1289" s="370" t="str">
        <f t="shared" si="154"/>
        <v>0000000000</v>
      </c>
      <c r="K1289" s="30" t="str">
        <f t="shared" si="155"/>
        <v>61908010000000000000</v>
      </c>
    </row>
    <row r="1290" spans="1:11" s="3" customFormat="1">
      <c r="A1290" s="232" t="s">
        <v>739</v>
      </c>
      <c r="B1290" s="234" t="s">
        <v>18</v>
      </c>
      <c r="C1290" s="234" t="s">
        <v>50</v>
      </c>
      <c r="D1290" s="234" t="s">
        <v>65</v>
      </c>
      <c r="E1290" s="234" t="s">
        <v>277</v>
      </c>
      <c r="F1290" s="234" t="s">
        <v>58</v>
      </c>
      <c r="G1290" s="235">
        <f t="shared" si="157"/>
        <v>1549000</v>
      </c>
      <c r="H1290" s="235">
        <f t="shared" si="157"/>
        <v>1549000</v>
      </c>
      <c r="I1290" s="234">
        <v>700000000</v>
      </c>
      <c r="J1290" s="370" t="str">
        <f t="shared" si="154"/>
        <v>0700000000</v>
      </c>
      <c r="K1290" s="30" t="str">
        <f t="shared" si="155"/>
        <v>61908010700000000000</v>
      </c>
    </row>
    <row r="1291" spans="1:11" s="3" customFormat="1" ht="38.25">
      <c r="A1291" s="237" t="s">
        <v>559</v>
      </c>
      <c r="B1291" s="242" t="s">
        <v>18</v>
      </c>
      <c r="C1291" s="242" t="s">
        <v>50</v>
      </c>
      <c r="D1291" s="242" t="s">
        <v>65</v>
      </c>
      <c r="E1291" s="242" t="s">
        <v>278</v>
      </c>
      <c r="F1291" s="242" t="s">
        <v>58</v>
      </c>
      <c r="G1291" s="243">
        <f t="shared" si="157"/>
        <v>1549000</v>
      </c>
      <c r="H1291" s="243">
        <f t="shared" si="157"/>
        <v>1549000</v>
      </c>
      <c r="I1291" s="242">
        <v>710000000</v>
      </c>
      <c r="J1291" s="370" t="str">
        <f t="shared" si="154"/>
        <v>0710000000</v>
      </c>
      <c r="K1291" s="30" t="str">
        <f t="shared" si="155"/>
        <v>61908010710000000000</v>
      </c>
    </row>
    <row r="1292" spans="1:11" s="3" customFormat="1" ht="51">
      <c r="A1292" s="278" t="s">
        <v>605</v>
      </c>
      <c r="B1292" s="242" t="s">
        <v>18</v>
      </c>
      <c r="C1292" s="242" t="s">
        <v>50</v>
      </c>
      <c r="D1292" s="242" t="s">
        <v>65</v>
      </c>
      <c r="E1292" s="242" t="s">
        <v>279</v>
      </c>
      <c r="F1292" s="242" t="s">
        <v>58</v>
      </c>
      <c r="G1292" s="243">
        <f>G1293+G1296</f>
        <v>1549000</v>
      </c>
      <c r="H1292" s="243">
        <f>H1293+H1296</f>
        <v>1549000</v>
      </c>
      <c r="I1292" s="242">
        <v>710100000</v>
      </c>
      <c r="J1292" s="370" t="str">
        <f t="shared" si="154"/>
        <v>0710100000</v>
      </c>
      <c r="K1292" s="30" t="str">
        <f t="shared" si="155"/>
        <v>61908010710100000000</v>
      </c>
    </row>
    <row r="1293" spans="1:11" s="3" customFormat="1">
      <c r="A1293" s="237" t="s">
        <v>161</v>
      </c>
      <c r="B1293" s="242" t="s">
        <v>18</v>
      </c>
      <c r="C1293" s="242" t="s">
        <v>50</v>
      </c>
      <c r="D1293" s="242" t="s">
        <v>65</v>
      </c>
      <c r="E1293" s="242" t="s">
        <v>320</v>
      </c>
      <c r="F1293" s="242" t="s">
        <v>58</v>
      </c>
      <c r="G1293" s="243">
        <f>G1294</f>
        <v>911500</v>
      </c>
      <c r="H1293" s="243">
        <f>H1294</f>
        <v>911500</v>
      </c>
      <c r="I1293" s="242">
        <v>710120060</v>
      </c>
      <c r="J1293" s="370" t="str">
        <f t="shared" si="154"/>
        <v>0710120060</v>
      </c>
      <c r="K1293" s="30" t="str">
        <f t="shared" si="155"/>
        <v>61908010710120060000</v>
      </c>
    </row>
    <row r="1294" spans="1:11" s="3" customFormat="1" ht="25.5">
      <c r="A1294" s="232" t="s">
        <v>108</v>
      </c>
      <c r="B1294" s="242" t="s">
        <v>18</v>
      </c>
      <c r="C1294" s="242" t="s">
        <v>50</v>
      </c>
      <c r="D1294" s="242" t="s">
        <v>65</v>
      </c>
      <c r="E1294" s="242" t="s">
        <v>320</v>
      </c>
      <c r="F1294" s="242" t="s">
        <v>116</v>
      </c>
      <c r="G1294" s="235">
        <f>G1295</f>
        <v>911500</v>
      </c>
      <c r="H1294" s="235">
        <f>H1295</f>
        <v>911500</v>
      </c>
      <c r="I1294" s="242">
        <v>710120060</v>
      </c>
      <c r="J1294" s="370" t="str">
        <f t="shared" si="154"/>
        <v>0710120060</v>
      </c>
      <c r="K1294" s="30" t="str">
        <f t="shared" si="155"/>
        <v>61908010710120060240</v>
      </c>
    </row>
    <row r="1295" spans="1:11" s="4" customFormat="1" ht="25.5">
      <c r="A1295" s="236" t="s">
        <v>973</v>
      </c>
      <c r="B1295" s="242" t="s">
        <v>18</v>
      </c>
      <c r="C1295" s="242" t="s">
        <v>50</v>
      </c>
      <c r="D1295" s="242" t="s">
        <v>65</v>
      </c>
      <c r="E1295" s="242" t="s">
        <v>320</v>
      </c>
      <c r="F1295" s="242" t="s">
        <v>1043</v>
      </c>
      <c r="G1295" s="235">
        <f>VLOOKUP(K1295,'исх АС БЮДЖЕТ'!$A$10:$H$568,7,0)</f>
        <v>911500</v>
      </c>
      <c r="H1295" s="235">
        <f>VLOOKUP(K1295,'исх АС БЮДЖЕТ'!$A$10:$H$568,8,0)</f>
        <v>911500</v>
      </c>
      <c r="I1295" s="242">
        <v>710120060</v>
      </c>
      <c r="J1295" s="370" t="str">
        <f t="shared" si="154"/>
        <v>0710120060</v>
      </c>
      <c r="K1295" s="30" t="str">
        <f t="shared" si="155"/>
        <v>61908010710120060244</v>
      </c>
    </row>
    <row r="1296" spans="1:11" s="3" customFormat="1" ht="25.5">
      <c r="A1296" s="236" t="s">
        <v>892</v>
      </c>
      <c r="B1296" s="242" t="s">
        <v>18</v>
      </c>
      <c r="C1296" s="242" t="s">
        <v>50</v>
      </c>
      <c r="D1296" s="242" t="s">
        <v>65</v>
      </c>
      <c r="E1296" s="242" t="s">
        <v>500</v>
      </c>
      <c r="F1296" s="242" t="s">
        <v>58</v>
      </c>
      <c r="G1296" s="287">
        <f>G1297</f>
        <v>637500</v>
      </c>
      <c r="H1296" s="287">
        <f>H1297</f>
        <v>637500</v>
      </c>
      <c r="I1296" s="242">
        <v>710121130</v>
      </c>
      <c r="J1296" s="370" t="str">
        <f t="shared" si="154"/>
        <v>0710121130</v>
      </c>
      <c r="K1296" s="30" t="str">
        <f t="shared" si="155"/>
        <v>61908010710121130000</v>
      </c>
    </row>
    <row r="1297" spans="1:11" s="3" customFormat="1" ht="25.5">
      <c r="A1297" s="232" t="s">
        <v>108</v>
      </c>
      <c r="B1297" s="242" t="s">
        <v>18</v>
      </c>
      <c r="C1297" s="242" t="s">
        <v>50</v>
      </c>
      <c r="D1297" s="242" t="s">
        <v>65</v>
      </c>
      <c r="E1297" s="242" t="s">
        <v>500</v>
      </c>
      <c r="F1297" s="242" t="s">
        <v>116</v>
      </c>
      <c r="G1297" s="235">
        <f>G1298</f>
        <v>637500</v>
      </c>
      <c r="H1297" s="235">
        <f>H1298</f>
        <v>637500</v>
      </c>
      <c r="I1297" s="242">
        <v>710121130</v>
      </c>
      <c r="J1297" s="370" t="str">
        <f t="shared" si="154"/>
        <v>0710121130</v>
      </c>
      <c r="K1297" s="30" t="str">
        <f t="shared" si="155"/>
        <v>61908010710121130240</v>
      </c>
    </row>
    <row r="1298" spans="1:11" s="4" customFormat="1" ht="25.5">
      <c r="A1298" s="236" t="s">
        <v>973</v>
      </c>
      <c r="B1298" s="242" t="s">
        <v>18</v>
      </c>
      <c r="C1298" s="242" t="s">
        <v>50</v>
      </c>
      <c r="D1298" s="242" t="s">
        <v>65</v>
      </c>
      <c r="E1298" s="242" t="s">
        <v>500</v>
      </c>
      <c r="F1298" s="242" t="s">
        <v>1043</v>
      </c>
      <c r="G1298" s="235">
        <f>VLOOKUP(K1298,'исх АС БЮДЖЕТ'!$A$10:$H$568,7,0)</f>
        <v>637500</v>
      </c>
      <c r="H1298" s="235">
        <f>VLOOKUP(K1298,'исх АС БЮДЖЕТ'!$A$10:$H$568,8,0)</f>
        <v>637500</v>
      </c>
      <c r="I1298" s="242">
        <v>710121130</v>
      </c>
      <c r="J1298" s="370" t="str">
        <f t="shared" si="154"/>
        <v>0710121130</v>
      </c>
      <c r="K1298" s="30" t="str">
        <f t="shared" si="155"/>
        <v>61908010710121130244</v>
      </c>
    </row>
    <row r="1299" spans="1:11" s="4" customFormat="1">
      <c r="A1299" s="236"/>
      <c r="B1299" s="242"/>
      <c r="C1299" s="242"/>
      <c r="D1299" s="242"/>
      <c r="E1299" s="242"/>
      <c r="F1299" s="242"/>
      <c r="G1299" s="235"/>
      <c r="H1299" s="235"/>
      <c r="I1299" s="242"/>
      <c r="J1299" s="370"/>
      <c r="K1299" s="30"/>
    </row>
    <row r="1300" spans="1:11" s="3" customFormat="1">
      <c r="A1300" s="219" t="s">
        <v>19</v>
      </c>
      <c r="B1300" s="220" t="s">
        <v>20</v>
      </c>
      <c r="C1300" s="221" t="s">
        <v>51</v>
      </c>
      <c r="D1300" s="221" t="s">
        <v>51</v>
      </c>
      <c r="E1300" s="221" t="s">
        <v>196</v>
      </c>
      <c r="F1300" s="221" t="s">
        <v>58</v>
      </c>
      <c r="G1300" s="288">
        <f>G1301+G1317+G1377+G1442</f>
        <v>524755303.25999999</v>
      </c>
      <c r="H1300" s="288">
        <f>H1301+H1317+H1377+H1442</f>
        <v>527310856.44</v>
      </c>
      <c r="I1300" s="221">
        <v>0</v>
      </c>
      <c r="J1300" s="370" t="str">
        <f t="shared" si="154"/>
        <v>0000000000</v>
      </c>
      <c r="K1300" s="30" t="str">
        <f t="shared" si="155"/>
        <v>62000000000000000000</v>
      </c>
    </row>
    <row r="1301" spans="1:11" s="3" customFormat="1">
      <c r="A1301" s="224" t="s">
        <v>64</v>
      </c>
      <c r="B1301" s="225" t="s">
        <v>20</v>
      </c>
      <c r="C1301" s="226" t="s">
        <v>65</v>
      </c>
      <c r="D1301" s="226" t="s">
        <v>51</v>
      </c>
      <c r="E1301" s="226" t="s">
        <v>196</v>
      </c>
      <c r="F1301" s="226" t="s">
        <v>58</v>
      </c>
      <c r="G1301" s="227">
        <f t="shared" ref="G1301:H1309" si="158">G1302</f>
        <v>1719730</v>
      </c>
      <c r="H1301" s="227">
        <f t="shared" si="158"/>
        <v>1719730</v>
      </c>
      <c r="I1301" s="226">
        <v>0</v>
      </c>
      <c r="J1301" s="370" t="str">
        <f t="shared" si="154"/>
        <v>0000000000</v>
      </c>
      <c r="K1301" s="30" t="str">
        <f t="shared" si="155"/>
        <v>62001000000000000000</v>
      </c>
    </row>
    <row r="1302" spans="1:11" s="3" customFormat="1">
      <c r="A1302" s="228" t="s">
        <v>38</v>
      </c>
      <c r="B1302" s="229" t="s">
        <v>20</v>
      </c>
      <c r="C1302" s="230" t="s">
        <v>65</v>
      </c>
      <c r="D1302" s="230" t="s">
        <v>84</v>
      </c>
      <c r="E1302" s="230" t="s">
        <v>196</v>
      </c>
      <c r="F1302" s="230" t="s">
        <v>58</v>
      </c>
      <c r="G1302" s="231">
        <f>G1309+G1303</f>
        <v>1719730</v>
      </c>
      <c r="H1302" s="231">
        <f>H1309+H1303</f>
        <v>1719730</v>
      </c>
      <c r="I1302" s="230">
        <v>0</v>
      </c>
      <c r="J1302" s="370" t="str">
        <f t="shared" si="154"/>
        <v>0000000000</v>
      </c>
      <c r="K1302" s="30" t="str">
        <f t="shared" si="155"/>
        <v>62001130000000000000</v>
      </c>
    </row>
    <row r="1303" spans="1:11" s="3" customFormat="1" ht="38.25">
      <c r="A1303" s="232" t="s">
        <v>745</v>
      </c>
      <c r="B1303" s="233" t="s">
        <v>20</v>
      </c>
      <c r="C1303" s="234" t="s">
        <v>65</v>
      </c>
      <c r="D1303" s="234" t="s">
        <v>84</v>
      </c>
      <c r="E1303" s="274" t="s">
        <v>280</v>
      </c>
      <c r="F1303" s="234" t="s">
        <v>58</v>
      </c>
      <c r="G1303" s="235">
        <f t="shared" ref="G1303:H1307" si="159">G1304</f>
        <v>57230</v>
      </c>
      <c r="H1303" s="235">
        <f t="shared" si="159"/>
        <v>57230</v>
      </c>
      <c r="I1303" s="274">
        <v>1100000000</v>
      </c>
      <c r="J1303" s="370" t="str">
        <f t="shared" si="154"/>
        <v>1100000000</v>
      </c>
      <c r="K1303" s="30" t="str">
        <f t="shared" si="155"/>
        <v>62001131100000000000</v>
      </c>
    </row>
    <row r="1304" spans="1:11" s="3" customFormat="1" ht="38.25">
      <c r="A1304" s="232" t="s">
        <v>746</v>
      </c>
      <c r="B1304" s="233" t="s">
        <v>20</v>
      </c>
      <c r="C1304" s="234" t="s">
        <v>65</v>
      </c>
      <c r="D1304" s="234" t="s">
        <v>84</v>
      </c>
      <c r="E1304" s="274" t="s">
        <v>281</v>
      </c>
      <c r="F1304" s="234" t="s">
        <v>58</v>
      </c>
      <c r="G1304" s="235">
        <f t="shared" si="159"/>
        <v>57230</v>
      </c>
      <c r="H1304" s="235">
        <f t="shared" si="159"/>
        <v>57230</v>
      </c>
      <c r="I1304" s="274" t="s">
        <v>1185</v>
      </c>
      <c r="J1304" s="370" t="str">
        <f t="shared" si="154"/>
        <v>11Б0000000</v>
      </c>
      <c r="K1304" s="30" t="str">
        <f t="shared" si="155"/>
        <v>620011311Б0000000000</v>
      </c>
    </row>
    <row r="1305" spans="1:11" s="3" customFormat="1" ht="25.5">
      <c r="A1305" s="232" t="s">
        <v>282</v>
      </c>
      <c r="B1305" s="233" t="s">
        <v>20</v>
      </c>
      <c r="C1305" s="234" t="s">
        <v>65</v>
      </c>
      <c r="D1305" s="234" t="s">
        <v>84</v>
      </c>
      <c r="E1305" s="274" t="s">
        <v>283</v>
      </c>
      <c r="F1305" s="234" t="s">
        <v>58</v>
      </c>
      <c r="G1305" s="235">
        <f t="shared" si="159"/>
        <v>57230</v>
      </c>
      <c r="H1305" s="235">
        <f t="shared" si="159"/>
        <v>57230</v>
      </c>
      <c r="I1305" s="274" t="s">
        <v>1186</v>
      </c>
      <c r="J1305" s="370" t="str">
        <f t="shared" si="154"/>
        <v>11Б0100000</v>
      </c>
      <c r="K1305" s="30" t="str">
        <f t="shared" si="155"/>
        <v>620011311Б0100000000</v>
      </c>
    </row>
    <row r="1306" spans="1:11" s="3" customFormat="1" ht="25.5">
      <c r="A1306" s="232" t="s">
        <v>859</v>
      </c>
      <c r="B1306" s="233" t="s">
        <v>20</v>
      </c>
      <c r="C1306" s="234" t="s">
        <v>65</v>
      </c>
      <c r="D1306" s="234" t="s">
        <v>84</v>
      </c>
      <c r="E1306" s="274" t="s">
        <v>858</v>
      </c>
      <c r="F1306" s="234" t="s">
        <v>58</v>
      </c>
      <c r="G1306" s="235">
        <f t="shared" si="159"/>
        <v>57230</v>
      </c>
      <c r="H1306" s="235">
        <f t="shared" si="159"/>
        <v>57230</v>
      </c>
      <c r="I1306" s="274" t="s">
        <v>1189</v>
      </c>
      <c r="J1306" s="370" t="str">
        <f t="shared" si="154"/>
        <v>11Б0121120</v>
      </c>
      <c r="K1306" s="30" t="str">
        <f t="shared" si="155"/>
        <v>620011311Б0121120000</v>
      </c>
    </row>
    <row r="1307" spans="1:11" s="3" customFormat="1" ht="25.5">
      <c r="A1307" s="232" t="s">
        <v>108</v>
      </c>
      <c r="B1307" s="233" t="s">
        <v>20</v>
      </c>
      <c r="C1307" s="234" t="s">
        <v>65</v>
      </c>
      <c r="D1307" s="234" t="s">
        <v>84</v>
      </c>
      <c r="E1307" s="274" t="s">
        <v>858</v>
      </c>
      <c r="F1307" s="234" t="s">
        <v>116</v>
      </c>
      <c r="G1307" s="235">
        <f t="shared" si="159"/>
        <v>57230</v>
      </c>
      <c r="H1307" s="235">
        <f t="shared" si="159"/>
        <v>57230</v>
      </c>
      <c r="I1307" s="274" t="s">
        <v>1189</v>
      </c>
      <c r="J1307" s="370" t="str">
        <f t="shared" si="154"/>
        <v>11Б0121120</v>
      </c>
      <c r="K1307" s="30" t="str">
        <f t="shared" si="155"/>
        <v>620011311Б0121120240</v>
      </c>
    </row>
    <row r="1308" spans="1:11" s="3" customFormat="1" ht="25.5">
      <c r="A1308" s="232" t="s">
        <v>973</v>
      </c>
      <c r="B1308" s="233" t="s">
        <v>20</v>
      </c>
      <c r="C1308" s="234" t="s">
        <v>65</v>
      </c>
      <c r="D1308" s="234" t="s">
        <v>84</v>
      </c>
      <c r="E1308" s="274" t="s">
        <v>858</v>
      </c>
      <c r="F1308" s="234" t="s">
        <v>1043</v>
      </c>
      <c r="G1308" s="235">
        <f>VLOOKUP(K1308,'исх АС БЮДЖЕТ'!$A$10:$H$568,7,0)</f>
        <v>57230</v>
      </c>
      <c r="H1308" s="235">
        <f>VLOOKUP(K1308,'исх АС БЮДЖЕТ'!$A$10:$H$568,8,0)</f>
        <v>57230</v>
      </c>
      <c r="I1308" s="274" t="s">
        <v>1189</v>
      </c>
      <c r="J1308" s="370" t="str">
        <f t="shared" si="154"/>
        <v>11Б0121120</v>
      </c>
      <c r="K1308" s="30" t="str">
        <f t="shared" si="155"/>
        <v>620011311Б0121120244</v>
      </c>
    </row>
    <row r="1309" spans="1:11" s="3" customFormat="1" ht="25.5">
      <c r="A1309" s="232" t="s">
        <v>143</v>
      </c>
      <c r="B1309" s="234" t="s">
        <v>20</v>
      </c>
      <c r="C1309" s="234" t="s">
        <v>65</v>
      </c>
      <c r="D1309" s="234" t="s">
        <v>84</v>
      </c>
      <c r="E1309" s="234" t="s">
        <v>508</v>
      </c>
      <c r="F1309" s="234" t="s">
        <v>58</v>
      </c>
      <c r="G1309" s="235">
        <f t="shared" si="158"/>
        <v>1662500</v>
      </c>
      <c r="H1309" s="235">
        <f t="shared" si="158"/>
        <v>1662500</v>
      </c>
      <c r="I1309" s="234">
        <v>8300000000</v>
      </c>
      <c r="J1309" s="370" t="str">
        <f t="shared" si="154"/>
        <v>8300000000</v>
      </c>
      <c r="K1309" s="30" t="str">
        <f t="shared" si="155"/>
        <v>62001138300000000000</v>
      </c>
    </row>
    <row r="1310" spans="1:11" s="3" customFormat="1" ht="25.5">
      <c r="A1310" s="232" t="s">
        <v>144</v>
      </c>
      <c r="B1310" s="234" t="s">
        <v>20</v>
      </c>
      <c r="C1310" s="234" t="s">
        <v>65</v>
      </c>
      <c r="D1310" s="234" t="s">
        <v>84</v>
      </c>
      <c r="E1310" s="234" t="s">
        <v>509</v>
      </c>
      <c r="F1310" s="234" t="s">
        <v>58</v>
      </c>
      <c r="G1310" s="235">
        <f>G1314+G1311</f>
        <v>1662500</v>
      </c>
      <c r="H1310" s="235">
        <f>H1314+H1311</f>
        <v>1662500</v>
      </c>
      <c r="I1310" s="234">
        <v>8310000000</v>
      </c>
      <c r="J1310" s="370" t="str">
        <f t="shared" si="154"/>
        <v>8310000000</v>
      </c>
      <c r="K1310" s="30" t="str">
        <f t="shared" si="155"/>
        <v>62001138310000000000</v>
      </c>
    </row>
    <row r="1311" spans="1:11" s="3" customFormat="1" ht="25.5">
      <c r="A1311" s="232" t="s">
        <v>114</v>
      </c>
      <c r="B1311" s="234" t="s">
        <v>20</v>
      </c>
      <c r="C1311" s="234" t="s">
        <v>65</v>
      </c>
      <c r="D1311" s="234" t="s">
        <v>84</v>
      </c>
      <c r="E1311" s="234" t="s">
        <v>531</v>
      </c>
      <c r="F1311" s="234" t="s">
        <v>58</v>
      </c>
      <c r="G1311" s="235">
        <f>G1312</f>
        <v>1162500</v>
      </c>
      <c r="H1311" s="235">
        <f>H1312</f>
        <v>1162500</v>
      </c>
      <c r="I1311" s="234">
        <v>8310010010</v>
      </c>
      <c r="J1311" s="370" t="str">
        <f t="shared" si="154"/>
        <v>8310010010</v>
      </c>
      <c r="K1311" s="30" t="str">
        <f t="shared" si="155"/>
        <v>62001138310010010000</v>
      </c>
    </row>
    <row r="1312" spans="1:11" s="3" customFormat="1" ht="25.5">
      <c r="A1312" s="232" t="s">
        <v>108</v>
      </c>
      <c r="B1312" s="234" t="s">
        <v>20</v>
      </c>
      <c r="C1312" s="234" t="s">
        <v>65</v>
      </c>
      <c r="D1312" s="234" t="s">
        <v>84</v>
      </c>
      <c r="E1312" s="234" t="s">
        <v>531</v>
      </c>
      <c r="F1312" s="234" t="s">
        <v>116</v>
      </c>
      <c r="G1312" s="235">
        <f>G1313</f>
        <v>1162500</v>
      </c>
      <c r="H1312" s="235">
        <f>H1313</f>
        <v>1162500</v>
      </c>
      <c r="I1312" s="234">
        <v>8310010010</v>
      </c>
      <c r="J1312" s="370" t="str">
        <f t="shared" si="154"/>
        <v>8310010010</v>
      </c>
      <c r="K1312" s="30" t="str">
        <f t="shared" si="155"/>
        <v>62001138310010010240</v>
      </c>
    </row>
    <row r="1313" spans="1:11" s="4" customFormat="1" ht="25.5">
      <c r="A1313" s="232" t="s">
        <v>973</v>
      </c>
      <c r="B1313" s="234" t="s">
        <v>20</v>
      </c>
      <c r="C1313" s="234" t="s">
        <v>65</v>
      </c>
      <c r="D1313" s="234" t="s">
        <v>84</v>
      </c>
      <c r="E1313" s="234" t="s">
        <v>531</v>
      </c>
      <c r="F1313" s="234" t="s">
        <v>1043</v>
      </c>
      <c r="G1313" s="235">
        <f>VLOOKUP(K1313,'исх АС БЮДЖЕТ'!$A$10:$H$568,7,0)</f>
        <v>1162500</v>
      </c>
      <c r="H1313" s="235">
        <f>VLOOKUP(K1313,'исх АС БЮДЖЕТ'!$A$10:$H$568,8,0)</f>
        <v>1162500</v>
      </c>
      <c r="I1313" s="234">
        <v>8310010010</v>
      </c>
      <c r="J1313" s="370" t="str">
        <f t="shared" si="154"/>
        <v>8310010010</v>
      </c>
      <c r="K1313" s="30" t="str">
        <f t="shared" si="155"/>
        <v>62001138310010010244</v>
      </c>
    </row>
    <row r="1314" spans="1:11" s="3" customFormat="1">
      <c r="A1314" s="232" t="s">
        <v>130</v>
      </c>
      <c r="B1314" s="234" t="s">
        <v>20</v>
      </c>
      <c r="C1314" s="234" t="s">
        <v>65</v>
      </c>
      <c r="D1314" s="234" t="s">
        <v>84</v>
      </c>
      <c r="E1314" s="234" t="s">
        <v>510</v>
      </c>
      <c r="F1314" s="234" t="s">
        <v>58</v>
      </c>
      <c r="G1314" s="235">
        <f>G1315</f>
        <v>500000</v>
      </c>
      <c r="H1314" s="235">
        <f>H1315</f>
        <v>500000</v>
      </c>
      <c r="I1314" s="234">
        <v>8310020050</v>
      </c>
      <c r="J1314" s="370" t="str">
        <f t="shared" si="154"/>
        <v>8310020050</v>
      </c>
      <c r="K1314" s="30" t="str">
        <f t="shared" si="155"/>
        <v>62001138310020050000</v>
      </c>
    </row>
    <row r="1315" spans="1:11" s="3" customFormat="1">
      <c r="A1315" s="232" t="s">
        <v>96</v>
      </c>
      <c r="B1315" s="234" t="s">
        <v>20</v>
      </c>
      <c r="C1315" s="234" t="s">
        <v>65</v>
      </c>
      <c r="D1315" s="234" t="s">
        <v>84</v>
      </c>
      <c r="E1315" s="234" t="s">
        <v>510</v>
      </c>
      <c r="F1315" s="234" t="s">
        <v>131</v>
      </c>
      <c r="G1315" s="235">
        <f>G1316</f>
        <v>500000</v>
      </c>
      <c r="H1315" s="235">
        <f>H1316</f>
        <v>500000</v>
      </c>
      <c r="I1315" s="234">
        <v>8310020050</v>
      </c>
      <c r="J1315" s="370" t="str">
        <f t="shared" si="154"/>
        <v>8310020050</v>
      </c>
      <c r="K1315" s="30" t="str">
        <f t="shared" si="155"/>
        <v>62001138310020050830</v>
      </c>
    </row>
    <row r="1316" spans="1:11" s="4" customFormat="1" ht="25.5">
      <c r="A1316" s="232" t="s">
        <v>1044</v>
      </c>
      <c r="B1316" s="234" t="s">
        <v>20</v>
      </c>
      <c r="C1316" s="234" t="s">
        <v>65</v>
      </c>
      <c r="D1316" s="234" t="s">
        <v>84</v>
      </c>
      <c r="E1316" s="234" t="s">
        <v>510</v>
      </c>
      <c r="F1316" s="234" t="s">
        <v>1045</v>
      </c>
      <c r="G1316" s="235">
        <f>VLOOKUP(K1316,'исх АС БЮДЖЕТ'!$A$10:$H$568,7,0)</f>
        <v>500000</v>
      </c>
      <c r="H1316" s="235">
        <f>VLOOKUP(K1316,'исх АС БЮДЖЕТ'!$A$10:$H$568,8,0)</f>
        <v>500000</v>
      </c>
      <c r="I1316" s="234">
        <v>8310020050</v>
      </c>
      <c r="J1316" s="370" t="str">
        <f t="shared" si="154"/>
        <v>8310020050</v>
      </c>
      <c r="K1316" s="30" t="str">
        <f t="shared" si="155"/>
        <v>62001138310020050831</v>
      </c>
    </row>
    <row r="1317" spans="1:11" s="3" customFormat="1">
      <c r="A1317" s="224" t="s">
        <v>35</v>
      </c>
      <c r="B1317" s="225" t="s">
        <v>20</v>
      </c>
      <c r="C1317" s="226" t="s">
        <v>37</v>
      </c>
      <c r="D1317" s="226" t="s">
        <v>51</v>
      </c>
      <c r="E1317" s="226" t="s">
        <v>196</v>
      </c>
      <c r="F1317" s="226" t="s">
        <v>58</v>
      </c>
      <c r="G1317" s="227">
        <f>G1318+G1326+G1345</f>
        <v>221548763.25999999</v>
      </c>
      <c r="H1317" s="227">
        <f>H1318+H1326+H1345</f>
        <v>224104316.44</v>
      </c>
      <c r="I1317" s="226">
        <v>0</v>
      </c>
      <c r="J1317" s="370" t="str">
        <f t="shared" si="154"/>
        <v>0000000000</v>
      </c>
      <c r="K1317" s="30" t="str">
        <f t="shared" si="155"/>
        <v>62004000000000000000</v>
      </c>
    </row>
    <row r="1318" spans="1:11" s="3" customFormat="1">
      <c r="A1318" s="228" t="s">
        <v>76</v>
      </c>
      <c r="B1318" s="229" t="s">
        <v>20</v>
      </c>
      <c r="C1318" s="230" t="s">
        <v>37</v>
      </c>
      <c r="D1318" s="230" t="s">
        <v>71</v>
      </c>
      <c r="E1318" s="230" t="s">
        <v>196</v>
      </c>
      <c r="F1318" s="230" t="s">
        <v>58</v>
      </c>
      <c r="G1318" s="231">
        <f t="shared" ref="G1318:H1322" si="160">G1319</f>
        <v>12528970</v>
      </c>
      <c r="H1318" s="231">
        <f t="shared" si="160"/>
        <v>12528970</v>
      </c>
      <c r="I1318" s="230">
        <v>0</v>
      </c>
      <c r="J1318" s="370" t="str">
        <f t="shared" si="154"/>
        <v>0000000000</v>
      </c>
      <c r="K1318" s="30" t="str">
        <f t="shared" si="155"/>
        <v>62004070000000000000</v>
      </c>
    </row>
    <row r="1319" spans="1:11" s="3" customFormat="1" ht="38.25">
      <c r="A1319" s="236" t="s">
        <v>722</v>
      </c>
      <c r="B1319" s="234" t="s">
        <v>20</v>
      </c>
      <c r="C1319" s="234" t="s">
        <v>37</v>
      </c>
      <c r="D1319" s="234" t="s">
        <v>71</v>
      </c>
      <c r="E1319" s="234" t="s">
        <v>300</v>
      </c>
      <c r="F1319" s="234" t="s">
        <v>58</v>
      </c>
      <c r="G1319" s="235">
        <f t="shared" si="160"/>
        <v>12528970</v>
      </c>
      <c r="H1319" s="235">
        <f t="shared" si="160"/>
        <v>12528970</v>
      </c>
      <c r="I1319" s="234">
        <v>400000000</v>
      </c>
      <c r="J1319" s="370" t="str">
        <f t="shared" si="154"/>
        <v>0400000000</v>
      </c>
      <c r="K1319" s="30" t="str">
        <f t="shared" si="155"/>
        <v>62004070400000000000</v>
      </c>
    </row>
    <row r="1320" spans="1:11" s="3" customFormat="1">
      <c r="A1320" s="232" t="s">
        <v>142</v>
      </c>
      <c r="B1320" s="234" t="s">
        <v>20</v>
      </c>
      <c r="C1320" s="234" t="s">
        <v>37</v>
      </c>
      <c r="D1320" s="234" t="s">
        <v>71</v>
      </c>
      <c r="E1320" s="234" t="s">
        <v>453</v>
      </c>
      <c r="F1320" s="234" t="s">
        <v>58</v>
      </c>
      <c r="G1320" s="235">
        <f t="shared" si="160"/>
        <v>12528970</v>
      </c>
      <c r="H1320" s="235">
        <f t="shared" si="160"/>
        <v>12528970</v>
      </c>
      <c r="I1320" s="234">
        <v>430000000</v>
      </c>
      <c r="J1320" s="370" t="str">
        <f t="shared" si="154"/>
        <v>0430000000</v>
      </c>
      <c r="K1320" s="30" t="str">
        <f t="shared" si="155"/>
        <v>62004070430000000000</v>
      </c>
    </row>
    <row r="1321" spans="1:11" s="3" customFormat="1" ht="25.5">
      <c r="A1321" s="232" t="s">
        <v>649</v>
      </c>
      <c r="B1321" s="234" t="s">
        <v>20</v>
      </c>
      <c r="C1321" s="234" t="s">
        <v>37</v>
      </c>
      <c r="D1321" s="234" t="s">
        <v>71</v>
      </c>
      <c r="E1321" s="234" t="s">
        <v>455</v>
      </c>
      <c r="F1321" s="234" t="s">
        <v>58</v>
      </c>
      <c r="G1321" s="235">
        <f>G1322</f>
        <v>12528970</v>
      </c>
      <c r="H1321" s="235">
        <f>H1322</f>
        <v>12528970</v>
      </c>
      <c r="I1321" s="234">
        <v>430100000</v>
      </c>
      <c r="J1321" s="370" t="str">
        <f t="shared" si="154"/>
        <v>0430100000</v>
      </c>
      <c r="K1321" s="30" t="str">
        <f t="shared" si="155"/>
        <v>62004070430100000000</v>
      </c>
    </row>
    <row r="1322" spans="1:11" s="3" customFormat="1">
      <c r="A1322" s="232" t="s">
        <v>247</v>
      </c>
      <c r="B1322" s="234" t="s">
        <v>20</v>
      </c>
      <c r="C1322" s="234" t="s">
        <v>37</v>
      </c>
      <c r="D1322" s="234" t="s">
        <v>71</v>
      </c>
      <c r="E1322" s="234" t="s">
        <v>511</v>
      </c>
      <c r="F1322" s="234" t="s">
        <v>58</v>
      </c>
      <c r="G1322" s="235">
        <f t="shared" si="160"/>
        <v>12528970</v>
      </c>
      <c r="H1322" s="235">
        <f t="shared" si="160"/>
        <v>12528970</v>
      </c>
      <c r="I1322" s="234">
        <v>430111010</v>
      </c>
      <c r="J1322" s="370" t="str">
        <f t="shared" si="154"/>
        <v>0430111010</v>
      </c>
      <c r="K1322" s="30" t="str">
        <f t="shared" si="155"/>
        <v>62004070430111010000</v>
      </c>
    </row>
    <row r="1323" spans="1:11" s="3" customFormat="1">
      <c r="A1323" s="244" t="s">
        <v>92</v>
      </c>
      <c r="B1323" s="234" t="s">
        <v>20</v>
      </c>
      <c r="C1323" s="234" t="s">
        <v>37</v>
      </c>
      <c r="D1323" s="234" t="s">
        <v>71</v>
      </c>
      <c r="E1323" s="234" t="s">
        <v>511</v>
      </c>
      <c r="F1323" s="234" t="s">
        <v>138</v>
      </c>
      <c r="G1323" s="235">
        <f>SUM(G1324:G1325)</f>
        <v>12528970</v>
      </c>
      <c r="H1323" s="235">
        <f>SUM(H1324:H1325)</f>
        <v>12528970</v>
      </c>
      <c r="I1323" s="234">
        <v>430111010</v>
      </c>
      <c r="J1323" s="370" t="str">
        <f t="shared" si="154"/>
        <v>0430111010</v>
      </c>
      <c r="K1323" s="30" t="str">
        <f t="shared" si="155"/>
        <v>62004070430111010610</v>
      </c>
    </row>
    <row r="1324" spans="1:11" s="4" customFormat="1" ht="38.25">
      <c r="A1324" s="244" t="s">
        <v>1015</v>
      </c>
      <c r="B1324" s="234" t="s">
        <v>20</v>
      </c>
      <c r="C1324" s="234" t="s">
        <v>37</v>
      </c>
      <c r="D1324" s="234" t="s">
        <v>71</v>
      </c>
      <c r="E1324" s="234" t="s">
        <v>511</v>
      </c>
      <c r="F1324" s="234" t="s">
        <v>67</v>
      </c>
      <c r="G1324" s="235">
        <f>VLOOKUP(K1324,'исх АС БЮДЖЕТ'!$A$10:$H$568,7,0)</f>
        <v>11978970</v>
      </c>
      <c r="H1324" s="235">
        <f>VLOOKUP(K1324,'исх АС БЮДЖЕТ'!$A$10:$H$568,8,0)</f>
        <v>11978970</v>
      </c>
      <c r="I1324" s="234">
        <v>430111010</v>
      </c>
      <c r="J1324" s="370" t="str">
        <f t="shared" si="154"/>
        <v>0430111010</v>
      </c>
      <c r="K1324" s="30" t="str">
        <f t="shared" si="155"/>
        <v>62004070430111010611</v>
      </c>
    </row>
    <row r="1325" spans="1:11" s="4" customFormat="1">
      <c r="A1325" s="244" t="s">
        <v>1016</v>
      </c>
      <c r="B1325" s="234" t="s">
        <v>20</v>
      </c>
      <c r="C1325" s="234" t="s">
        <v>37</v>
      </c>
      <c r="D1325" s="234" t="s">
        <v>71</v>
      </c>
      <c r="E1325" s="234" t="s">
        <v>511</v>
      </c>
      <c r="F1325" s="234" t="s">
        <v>1046</v>
      </c>
      <c r="G1325" s="235">
        <f>VLOOKUP(K1325,'исх АС БЮДЖЕТ'!$A$10:$H$568,7,0)</f>
        <v>550000</v>
      </c>
      <c r="H1325" s="235">
        <f>VLOOKUP(K1325,'исх АС БЮДЖЕТ'!$A$10:$H$568,8,0)</f>
        <v>550000</v>
      </c>
      <c r="I1325" s="234">
        <v>430111010</v>
      </c>
      <c r="J1325" s="370" t="str">
        <f t="shared" si="154"/>
        <v>0430111010</v>
      </c>
      <c r="K1325" s="30" t="str">
        <f t="shared" si="155"/>
        <v>62004070430111010612</v>
      </c>
    </row>
    <row r="1326" spans="1:11" s="3" customFormat="1">
      <c r="A1326" s="228" t="s">
        <v>6</v>
      </c>
      <c r="B1326" s="229" t="s">
        <v>20</v>
      </c>
      <c r="C1326" s="230" t="s">
        <v>37</v>
      </c>
      <c r="D1326" s="230" t="s">
        <v>50</v>
      </c>
      <c r="E1326" s="230" t="s">
        <v>196</v>
      </c>
      <c r="F1326" s="230" t="s">
        <v>58</v>
      </c>
      <c r="G1326" s="231">
        <f>G1333+G1327</f>
        <v>46872493.259999998</v>
      </c>
      <c r="H1326" s="231">
        <f>H1333+H1327</f>
        <v>49428046.439999998</v>
      </c>
      <c r="I1326" s="230">
        <v>0</v>
      </c>
      <c r="J1326" s="370" t="str">
        <f t="shared" si="154"/>
        <v>0000000000</v>
      </c>
      <c r="K1326" s="30" t="str">
        <f t="shared" si="155"/>
        <v>62004080000000000000</v>
      </c>
    </row>
    <row r="1327" spans="1:11" s="3" customFormat="1">
      <c r="A1327" s="248" t="s">
        <v>727</v>
      </c>
      <c r="B1327" s="234" t="s">
        <v>20</v>
      </c>
      <c r="C1327" s="234" t="s">
        <v>37</v>
      </c>
      <c r="D1327" s="234" t="s">
        <v>50</v>
      </c>
      <c r="E1327" s="234" t="s">
        <v>327</v>
      </c>
      <c r="F1327" s="234" t="s">
        <v>58</v>
      </c>
      <c r="G1327" s="235">
        <f t="shared" ref="G1327:H1331" si="161">G1328</f>
        <v>875930</v>
      </c>
      <c r="H1327" s="235">
        <f t="shared" si="161"/>
        <v>875930</v>
      </c>
      <c r="I1327" s="230"/>
      <c r="J1327" s="370"/>
      <c r="K1327" s="30"/>
    </row>
    <row r="1328" spans="1:11" s="3" customFormat="1">
      <c r="A1328" s="248" t="s">
        <v>145</v>
      </c>
      <c r="B1328" s="234" t="s">
        <v>20</v>
      </c>
      <c r="C1328" s="234" t="s">
        <v>37</v>
      </c>
      <c r="D1328" s="234" t="s">
        <v>50</v>
      </c>
      <c r="E1328" s="234" t="s">
        <v>437</v>
      </c>
      <c r="F1328" s="234" t="s">
        <v>58</v>
      </c>
      <c r="G1328" s="235">
        <f t="shared" si="161"/>
        <v>875930</v>
      </c>
      <c r="H1328" s="235">
        <f t="shared" si="161"/>
        <v>875930</v>
      </c>
      <c r="I1328" s="230"/>
      <c r="J1328" s="370"/>
      <c r="K1328" s="30"/>
    </row>
    <row r="1329" spans="1:11" s="3" customFormat="1" ht="25.5">
      <c r="A1329" s="248" t="s">
        <v>513</v>
      </c>
      <c r="B1329" s="234" t="s">
        <v>20</v>
      </c>
      <c r="C1329" s="234" t="s">
        <v>37</v>
      </c>
      <c r="D1329" s="234" t="s">
        <v>50</v>
      </c>
      <c r="E1329" s="234" t="s">
        <v>438</v>
      </c>
      <c r="F1329" s="234" t="s">
        <v>58</v>
      </c>
      <c r="G1329" s="235">
        <f t="shared" si="161"/>
        <v>875930</v>
      </c>
      <c r="H1329" s="235">
        <f t="shared" si="161"/>
        <v>875930</v>
      </c>
      <c r="I1329" s="230"/>
      <c r="J1329" s="370"/>
      <c r="K1329" s="30"/>
    </row>
    <row r="1330" spans="1:11" s="3" customFormat="1" ht="25.5">
      <c r="A1330" s="248" t="s">
        <v>706</v>
      </c>
      <c r="B1330" s="234" t="s">
        <v>20</v>
      </c>
      <c r="C1330" s="234" t="s">
        <v>37</v>
      </c>
      <c r="D1330" s="234" t="s">
        <v>50</v>
      </c>
      <c r="E1330" s="234" t="s">
        <v>766</v>
      </c>
      <c r="F1330" s="234" t="s">
        <v>58</v>
      </c>
      <c r="G1330" s="235">
        <f t="shared" si="161"/>
        <v>875930</v>
      </c>
      <c r="H1330" s="235">
        <f t="shared" si="161"/>
        <v>875930</v>
      </c>
      <c r="I1330" s="230"/>
      <c r="J1330" s="370"/>
      <c r="K1330" s="30"/>
    </row>
    <row r="1331" spans="1:11" s="3" customFormat="1" ht="25.5">
      <c r="A1331" s="232" t="s">
        <v>108</v>
      </c>
      <c r="B1331" s="234" t="s">
        <v>20</v>
      </c>
      <c r="C1331" s="234" t="s">
        <v>37</v>
      </c>
      <c r="D1331" s="234" t="s">
        <v>50</v>
      </c>
      <c r="E1331" s="234" t="s">
        <v>766</v>
      </c>
      <c r="F1331" s="234" t="s">
        <v>116</v>
      </c>
      <c r="G1331" s="235">
        <f t="shared" si="161"/>
        <v>875930</v>
      </c>
      <c r="H1331" s="235">
        <f t="shared" si="161"/>
        <v>875930</v>
      </c>
      <c r="I1331" s="230"/>
      <c r="J1331" s="370"/>
      <c r="K1331" s="30"/>
    </row>
    <row r="1332" spans="1:11" s="3" customFormat="1" ht="25.5">
      <c r="A1332" s="232" t="s">
        <v>973</v>
      </c>
      <c r="B1332" s="234" t="s">
        <v>20</v>
      </c>
      <c r="C1332" s="234" t="s">
        <v>37</v>
      </c>
      <c r="D1332" s="234" t="s">
        <v>50</v>
      </c>
      <c r="E1332" s="234" t="s">
        <v>766</v>
      </c>
      <c r="F1332" s="234" t="s">
        <v>1043</v>
      </c>
      <c r="G1332" s="235">
        <f>'[2]прил 2 БА в рублях (ред) (3)'!I1340</f>
        <v>875930</v>
      </c>
      <c r="H1332" s="235">
        <f>'[2]прил 2 БА в рублях (ред) (3)'!K1340</f>
        <v>875930</v>
      </c>
      <c r="I1332" s="230"/>
      <c r="J1332" s="370"/>
      <c r="K1332" s="30"/>
    </row>
    <row r="1333" spans="1:11" s="3" customFormat="1" ht="38.25">
      <c r="A1333" s="236" t="s">
        <v>722</v>
      </c>
      <c r="B1333" s="234" t="s">
        <v>20</v>
      </c>
      <c r="C1333" s="234" t="s">
        <v>37</v>
      </c>
      <c r="D1333" s="234" t="s">
        <v>50</v>
      </c>
      <c r="E1333" s="234" t="s">
        <v>300</v>
      </c>
      <c r="F1333" s="234" t="s">
        <v>58</v>
      </c>
      <c r="G1333" s="235">
        <f t="shared" ref="G1333:H1334" si="162">G1334</f>
        <v>45996563.259999998</v>
      </c>
      <c r="H1333" s="235">
        <f t="shared" si="162"/>
        <v>48552116.439999998</v>
      </c>
      <c r="I1333" s="234">
        <v>400000000</v>
      </c>
      <c r="J1333" s="370" t="str">
        <f t="shared" si="154"/>
        <v>0400000000</v>
      </c>
      <c r="K1333" s="30" t="str">
        <f t="shared" si="155"/>
        <v>62004080400000000000</v>
      </c>
    </row>
    <row r="1334" spans="1:11" s="3" customFormat="1" ht="38.25">
      <c r="A1334" s="252" t="s">
        <v>729</v>
      </c>
      <c r="B1334" s="234" t="s">
        <v>20</v>
      </c>
      <c r="C1334" s="234" t="s">
        <v>37</v>
      </c>
      <c r="D1334" s="234" t="s">
        <v>50</v>
      </c>
      <c r="E1334" s="234" t="s">
        <v>301</v>
      </c>
      <c r="F1334" s="234" t="s">
        <v>58</v>
      </c>
      <c r="G1334" s="235">
        <f t="shared" si="162"/>
        <v>45996563.259999998</v>
      </c>
      <c r="H1334" s="235">
        <f t="shared" si="162"/>
        <v>48552116.439999998</v>
      </c>
      <c r="I1334" s="234">
        <v>420000000</v>
      </c>
      <c r="J1334" s="370" t="str">
        <f t="shared" si="154"/>
        <v>0420000000</v>
      </c>
      <c r="K1334" s="30" t="str">
        <f t="shared" si="155"/>
        <v>62004080420000000000</v>
      </c>
    </row>
    <row r="1335" spans="1:11" s="3" customFormat="1" ht="38.25">
      <c r="A1335" s="248" t="s">
        <v>654</v>
      </c>
      <c r="B1335" s="234" t="s">
        <v>20</v>
      </c>
      <c r="C1335" s="234" t="s">
        <v>37</v>
      </c>
      <c r="D1335" s="234" t="s">
        <v>50</v>
      </c>
      <c r="E1335" s="234" t="s">
        <v>514</v>
      </c>
      <c r="F1335" s="234" t="s">
        <v>58</v>
      </c>
      <c r="G1335" s="235">
        <f>G1336+G1339+G1342</f>
        <v>45996563.259999998</v>
      </c>
      <c r="H1335" s="235">
        <f>H1336+H1339+H1342</f>
        <v>48552116.439999998</v>
      </c>
      <c r="I1335" s="234">
        <v>420100000</v>
      </c>
      <c r="J1335" s="370" t="str">
        <f t="shared" si="154"/>
        <v>0420100000</v>
      </c>
      <c r="K1335" s="30" t="str">
        <f t="shared" si="155"/>
        <v>62004080420100000000</v>
      </c>
    </row>
    <row r="1336" spans="1:11" s="3" customFormat="1">
      <c r="A1336" s="248" t="s">
        <v>247</v>
      </c>
      <c r="B1336" s="234" t="s">
        <v>20</v>
      </c>
      <c r="C1336" s="234" t="s">
        <v>37</v>
      </c>
      <c r="D1336" s="234" t="s">
        <v>50</v>
      </c>
      <c r="E1336" s="234" t="s">
        <v>515</v>
      </c>
      <c r="F1336" s="234" t="s">
        <v>58</v>
      </c>
      <c r="G1336" s="235">
        <f>G1337</f>
        <v>4023940</v>
      </c>
      <c r="H1336" s="235">
        <f>H1337</f>
        <v>4023940</v>
      </c>
      <c r="I1336" s="234">
        <v>420111010</v>
      </c>
      <c r="J1336" s="370" t="str">
        <f t="shared" si="154"/>
        <v>0420111010</v>
      </c>
      <c r="K1336" s="30" t="str">
        <f t="shared" si="155"/>
        <v>62004080420111010000</v>
      </c>
    </row>
    <row r="1337" spans="1:11" s="3" customFormat="1">
      <c r="A1337" s="244" t="s">
        <v>92</v>
      </c>
      <c r="B1337" s="234" t="s">
        <v>20</v>
      </c>
      <c r="C1337" s="234" t="s">
        <v>37</v>
      </c>
      <c r="D1337" s="234" t="s">
        <v>50</v>
      </c>
      <c r="E1337" s="234" t="s">
        <v>515</v>
      </c>
      <c r="F1337" s="234" t="s">
        <v>138</v>
      </c>
      <c r="G1337" s="235">
        <f>G1338</f>
        <v>4023940</v>
      </c>
      <c r="H1337" s="235">
        <f>H1338</f>
        <v>4023940</v>
      </c>
      <c r="I1337" s="234">
        <v>420111010</v>
      </c>
      <c r="J1337" s="370" t="str">
        <f t="shared" ref="J1337:J1384" si="163">TEXT(I1337,"0000000000")</f>
        <v>0420111010</v>
      </c>
      <c r="K1337" s="30" t="str">
        <f t="shared" ref="K1337:K1384" si="164">CONCATENATE(B1337,C1337,D1337,J1337,F1337)</f>
        <v>62004080420111010610</v>
      </c>
    </row>
    <row r="1338" spans="1:11" s="4" customFormat="1" ht="38.25">
      <c r="A1338" s="244" t="s">
        <v>1015</v>
      </c>
      <c r="B1338" s="234" t="s">
        <v>20</v>
      </c>
      <c r="C1338" s="234" t="s">
        <v>37</v>
      </c>
      <c r="D1338" s="234" t="s">
        <v>50</v>
      </c>
      <c r="E1338" s="234" t="s">
        <v>515</v>
      </c>
      <c r="F1338" s="234" t="s">
        <v>67</v>
      </c>
      <c r="G1338" s="235">
        <f>VLOOKUP(K1338,'исх АС БЮДЖЕТ'!$A$10:$H$568,7,0)</f>
        <v>4023940</v>
      </c>
      <c r="H1338" s="235">
        <f>VLOOKUP(K1338,'исх АС БЮДЖЕТ'!$A$10:$H$568,8,0)</f>
        <v>4023940</v>
      </c>
      <c r="I1338" s="234">
        <v>420111010</v>
      </c>
      <c r="J1338" s="370" t="str">
        <f t="shared" si="163"/>
        <v>0420111010</v>
      </c>
      <c r="K1338" s="30" t="str">
        <f t="shared" si="164"/>
        <v>62004080420111010611</v>
      </c>
    </row>
    <row r="1339" spans="1:11" s="3" customFormat="1">
      <c r="A1339" s="248" t="s">
        <v>768</v>
      </c>
      <c r="B1339" s="234" t="s">
        <v>20</v>
      </c>
      <c r="C1339" s="234" t="s">
        <v>37</v>
      </c>
      <c r="D1339" s="234" t="s">
        <v>50</v>
      </c>
      <c r="E1339" s="234" t="s">
        <v>516</v>
      </c>
      <c r="F1339" s="234" t="s">
        <v>58</v>
      </c>
      <c r="G1339" s="235">
        <f>G1340</f>
        <v>5302670</v>
      </c>
      <c r="H1339" s="235">
        <f>H1340</f>
        <v>5302670</v>
      </c>
      <c r="I1339" s="234">
        <v>420160020</v>
      </c>
      <c r="J1339" s="370" t="str">
        <f t="shared" si="163"/>
        <v>0420160020</v>
      </c>
      <c r="K1339" s="30" t="str">
        <f t="shared" si="164"/>
        <v>62004080420160020000</v>
      </c>
    </row>
    <row r="1340" spans="1:11" s="3" customFormat="1" ht="38.25">
      <c r="A1340" s="237" t="s">
        <v>561</v>
      </c>
      <c r="B1340" s="234" t="s">
        <v>20</v>
      </c>
      <c r="C1340" s="234" t="s">
        <v>37</v>
      </c>
      <c r="D1340" s="234" t="s">
        <v>50</v>
      </c>
      <c r="E1340" s="234" t="s">
        <v>516</v>
      </c>
      <c r="F1340" s="234" t="s">
        <v>101</v>
      </c>
      <c r="G1340" s="235">
        <f>G1341</f>
        <v>5302670</v>
      </c>
      <c r="H1340" s="235">
        <f>H1341</f>
        <v>5302670</v>
      </c>
      <c r="I1340" s="234">
        <v>420160020</v>
      </c>
      <c r="J1340" s="370" t="str">
        <f t="shared" si="163"/>
        <v>0420160020</v>
      </c>
      <c r="K1340" s="30" t="str">
        <f t="shared" si="164"/>
        <v>62004080420160020810</v>
      </c>
    </row>
    <row r="1341" spans="1:11" s="4" customFormat="1" ht="63.75">
      <c r="A1341" s="237" t="s">
        <v>1048</v>
      </c>
      <c r="B1341" s="234" t="s">
        <v>20</v>
      </c>
      <c r="C1341" s="234" t="s">
        <v>37</v>
      </c>
      <c r="D1341" s="234" t="s">
        <v>50</v>
      </c>
      <c r="E1341" s="234" t="s">
        <v>516</v>
      </c>
      <c r="F1341" s="234" t="s">
        <v>1051</v>
      </c>
      <c r="G1341" s="235">
        <f>VLOOKUP(K1341,'исх АС БЮДЖЕТ'!$A$10:$H$568,7,0)</f>
        <v>5302670</v>
      </c>
      <c r="H1341" s="235">
        <f>VLOOKUP(K1341,'исх АС БЮДЖЕТ'!$A$10:$H$568,8,0)</f>
        <v>5302670</v>
      </c>
      <c r="I1341" s="234">
        <v>420160020</v>
      </c>
      <c r="J1341" s="370" t="str">
        <f t="shared" si="163"/>
        <v>0420160020</v>
      </c>
      <c r="K1341" s="30" t="str">
        <f t="shared" si="164"/>
        <v>62004080420160020812</v>
      </c>
    </row>
    <row r="1342" spans="1:11" s="4" customFormat="1" ht="76.5">
      <c r="A1342" s="365" t="s">
        <v>1504</v>
      </c>
      <c r="B1342" s="234" t="s">
        <v>20</v>
      </c>
      <c r="C1342" s="234" t="s">
        <v>37</v>
      </c>
      <c r="D1342" s="234" t="s">
        <v>50</v>
      </c>
      <c r="E1342" s="234" t="s">
        <v>1505</v>
      </c>
      <c r="F1342" s="234" t="s">
        <v>58</v>
      </c>
      <c r="G1342" s="235">
        <f>G1343</f>
        <v>36669953.259999998</v>
      </c>
      <c r="H1342" s="235">
        <f>H1343</f>
        <v>39225506.439999998</v>
      </c>
      <c r="I1342" s="234"/>
      <c r="J1342" s="370"/>
      <c r="K1342" s="30"/>
    </row>
    <row r="1343" spans="1:11" s="4" customFormat="1" ht="38.25">
      <c r="A1343" s="237" t="s">
        <v>561</v>
      </c>
      <c r="B1343" s="234" t="s">
        <v>20</v>
      </c>
      <c r="C1343" s="234" t="s">
        <v>37</v>
      </c>
      <c r="D1343" s="234" t="s">
        <v>50</v>
      </c>
      <c r="E1343" s="234" t="s">
        <v>1505</v>
      </c>
      <c r="F1343" s="234" t="s">
        <v>101</v>
      </c>
      <c r="G1343" s="235">
        <f>G1344</f>
        <v>36669953.259999998</v>
      </c>
      <c r="H1343" s="235">
        <f>H1344</f>
        <v>39225506.439999998</v>
      </c>
      <c r="I1343" s="234"/>
      <c r="J1343" s="370"/>
      <c r="K1343" s="30"/>
    </row>
    <row r="1344" spans="1:11" s="4" customFormat="1" ht="63.75">
      <c r="A1344" s="237" t="s">
        <v>1048</v>
      </c>
      <c r="B1344" s="234" t="s">
        <v>20</v>
      </c>
      <c r="C1344" s="234" t="s">
        <v>37</v>
      </c>
      <c r="D1344" s="234" t="s">
        <v>50</v>
      </c>
      <c r="E1344" s="234" t="s">
        <v>1505</v>
      </c>
      <c r="F1344" s="234" t="s">
        <v>1051</v>
      </c>
      <c r="G1344" s="235">
        <f>'исх АС БЮДЖЕТ'!G449</f>
        <v>36669953.259999998</v>
      </c>
      <c r="H1344" s="235">
        <f>'исх АС БЮДЖЕТ'!H449</f>
        <v>39225506.439999998</v>
      </c>
      <c r="I1344" s="234"/>
      <c r="J1344" s="370"/>
      <c r="K1344" s="30"/>
    </row>
    <row r="1345" spans="1:11" s="3" customFormat="1">
      <c r="A1345" s="228" t="s">
        <v>88</v>
      </c>
      <c r="B1345" s="229" t="s">
        <v>20</v>
      </c>
      <c r="C1345" s="230" t="s">
        <v>37</v>
      </c>
      <c r="D1345" s="230" t="s">
        <v>25</v>
      </c>
      <c r="E1345" s="230" t="s">
        <v>196</v>
      </c>
      <c r="F1345" s="230" t="s">
        <v>58</v>
      </c>
      <c r="G1345" s="231">
        <f>G1346+G1352</f>
        <v>162147300</v>
      </c>
      <c r="H1345" s="231">
        <f>H1346+H1352</f>
        <v>162147300</v>
      </c>
      <c r="I1345" s="230">
        <v>0</v>
      </c>
      <c r="J1345" s="370" t="str">
        <f t="shared" si="163"/>
        <v>0000000000</v>
      </c>
      <c r="K1345" s="30" t="str">
        <f t="shared" si="164"/>
        <v>62004090000000000000</v>
      </c>
    </row>
    <row r="1346" spans="1:11" s="3" customFormat="1" ht="38.25">
      <c r="A1346" s="248" t="s">
        <v>725</v>
      </c>
      <c r="B1346" s="233" t="s">
        <v>20</v>
      </c>
      <c r="C1346" s="233" t="s">
        <v>37</v>
      </c>
      <c r="D1346" s="233" t="s">
        <v>25</v>
      </c>
      <c r="E1346" s="233" t="s">
        <v>296</v>
      </c>
      <c r="F1346" s="233" t="s">
        <v>58</v>
      </c>
      <c r="G1346" s="289">
        <f t="shared" ref="G1346:H1349" si="165">G1347</f>
        <v>5251460</v>
      </c>
      <c r="H1346" s="289">
        <f t="shared" si="165"/>
        <v>5251460</v>
      </c>
      <c r="I1346" s="233">
        <v>200000000</v>
      </c>
      <c r="J1346" s="370" t="str">
        <f t="shared" si="163"/>
        <v>0200000000</v>
      </c>
      <c r="K1346" s="30" t="str">
        <f t="shared" si="164"/>
        <v>62004090200000000000</v>
      </c>
    </row>
    <row r="1347" spans="1:11" s="3" customFormat="1" ht="38.25">
      <c r="A1347" s="232" t="s">
        <v>726</v>
      </c>
      <c r="B1347" s="233" t="s">
        <v>20</v>
      </c>
      <c r="C1347" s="233" t="s">
        <v>37</v>
      </c>
      <c r="D1347" s="233" t="s">
        <v>25</v>
      </c>
      <c r="E1347" s="233" t="s">
        <v>297</v>
      </c>
      <c r="F1347" s="233" t="s">
        <v>58</v>
      </c>
      <c r="G1347" s="289">
        <f t="shared" si="165"/>
        <v>5251460</v>
      </c>
      <c r="H1347" s="289">
        <f t="shared" si="165"/>
        <v>5251460</v>
      </c>
      <c r="I1347" s="233" t="s">
        <v>1192</v>
      </c>
      <c r="J1347" s="370" t="str">
        <f t="shared" si="163"/>
        <v>02Б0000000</v>
      </c>
      <c r="K1347" s="30" t="str">
        <f t="shared" si="164"/>
        <v>620040902Б0000000000</v>
      </c>
    </row>
    <row r="1348" spans="1:11" s="3" customFormat="1" ht="51">
      <c r="A1348" s="236" t="s">
        <v>620</v>
      </c>
      <c r="B1348" s="233" t="s">
        <v>20</v>
      </c>
      <c r="C1348" s="233" t="s">
        <v>37</v>
      </c>
      <c r="D1348" s="233" t="s">
        <v>25</v>
      </c>
      <c r="E1348" s="233" t="s">
        <v>512</v>
      </c>
      <c r="F1348" s="233" t="s">
        <v>58</v>
      </c>
      <c r="G1348" s="289">
        <f t="shared" si="165"/>
        <v>5251460</v>
      </c>
      <c r="H1348" s="289">
        <f t="shared" si="165"/>
        <v>5251460</v>
      </c>
      <c r="I1348" s="233" t="s">
        <v>1227</v>
      </c>
      <c r="J1348" s="370" t="str">
        <f t="shared" si="163"/>
        <v>02Б0100000</v>
      </c>
      <c r="K1348" s="30" t="str">
        <f t="shared" si="164"/>
        <v>620040902Б0100000000</v>
      </c>
    </row>
    <row r="1349" spans="1:11" s="3" customFormat="1" ht="38.25">
      <c r="A1349" s="236" t="s">
        <v>893</v>
      </c>
      <c r="B1349" s="233" t="s">
        <v>20</v>
      </c>
      <c r="C1349" s="233" t="s">
        <v>37</v>
      </c>
      <c r="D1349" s="233" t="s">
        <v>25</v>
      </c>
      <c r="E1349" s="233" t="s">
        <v>517</v>
      </c>
      <c r="F1349" s="233" t="s">
        <v>58</v>
      </c>
      <c r="G1349" s="289">
        <f t="shared" si="165"/>
        <v>5251460</v>
      </c>
      <c r="H1349" s="289">
        <f t="shared" si="165"/>
        <v>5251460</v>
      </c>
      <c r="I1349" s="233" t="s">
        <v>1228</v>
      </c>
      <c r="J1349" s="370" t="str">
        <f t="shared" si="163"/>
        <v>02Б0120560</v>
      </c>
      <c r="K1349" s="30" t="str">
        <f t="shared" si="164"/>
        <v>620040902Б0120560000</v>
      </c>
    </row>
    <row r="1350" spans="1:11" s="3" customFormat="1" ht="25.5">
      <c r="A1350" s="232" t="s">
        <v>108</v>
      </c>
      <c r="B1350" s="233" t="s">
        <v>20</v>
      </c>
      <c r="C1350" s="233" t="s">
        <v>37</v>
      </c>
      <c r="D1350" s="233" t="s">
        <v>25</v>
      </c>
      <c r="E1350" s="233" t="s">
        <v>517</v>
      </c>
      <c r="F1350" s="233" t="s">
        <v>116</v>
      </c>
      <c r="G1350" s="289">
        <f>G1351</f>
        <v>5251460</v>
      </c>
      <c r="H1350" s="289">
        <f>H1351</f>
        <v>5251460</v>
      </c>
      <c r="I1350" s="233" t="s">
        <v>1228</v>
      </c>
      <c r="J1350" s="370" t="str">
        <f t="shared" si="163"/>
        <v>02Б0120560</v>
      </c>
      <c r="K1350" s="30" t="str">
        <f t="shared" si="164"/>
        <v>620040902Б0120560240</v>
      </c>
    </row>
    <row r="1351" spans="1:11" s="4" customFormat="1" ht="25.5">
      <c r="A1351" s="236" t="s">
        <v>973</v>
      </c>
      <c r="B1351" s="233" t="s">
        <v>20</v>
      </c>
      <c r="C1351" s="233" t="s">
        <v>37</v>
      </c>
      <c r="D1351" s="233" t="s">
        <v>25</v>
      </c>
      <c r="E1351" s="233" t="s">
        <v>517</v>
      </c>
      <c r="F1351" s="233" t="s">
        <v>1043</v>
      </c>
      <c r="G1351" s="235">
        <f>VLOOKUP(K1351,'исх АС БЮДЖЕТ'!$A$10:$H$568,7,0)</f>
        <v>5251460</v>
      </c>
      <c r="H1351" s="235">
        <f>VLOOKUP(K1351,'исх АС БЮДЖЕТ'!$A$10:$H$568,8,0)</f>
        <v>5251460</v>
      </c>
      <c r="I1351" s="233" t="s">
        <v>1228</v>
      </c>
      <c r="J1351" s="370" t="str">
        <f t="shared" si="163"/>
        <v>02Б0120560</v>
      </c>
      <c r="K1351" s="30" t="str">
        <f t="shared" si="164"/>
        <v>620040902Б0120560244</v>
      </c>
    </row>
    <row r="1352" spans="1:11" s="3" customFormat="1" ht="38.25">
      <c r="A1352" s="236" t="s">
        <v>722</v>
      </c>
      <c r="B1352" s="234" t="s">
        <v>20</v>
      </c>
      <c r="C1352" s="234" t="s">
        <v>37</v>
      </c>
      <c r="D1352" s="234" t="s">
        <v>25</v>
      </c>
      <c r="E1352" s="234" t="s">
        <v>300</v>
      </c>
      <c r="F1352" s="233" t="s">
        <v>58</v>
      </c>
      <c r="G1352" s="289">
        <f>G1353</f>
        <v>156895840</v>
      </c>
      <c r="H1352" s="289">
        <f>H1353</f>
        <v>156895840</v>
      </c>
      <c r="I1352" s="234">
        <v>400000000</v>
      </c>
      <c r="J1352" s="370" t="str">
        <f t="shared" si="163"/>
        <v>0400000000</v>
      </c>
      <c r="K1352" s="30" t="str">
        <f t="shared" si="164"/>
        <v>62004090400000000000</v>
      </c>
    </row>
    <row r="1353" spans="1:11" s="3" customFormat="1" ht="38.25">
      <c r="A1353" s="252" t="s">
        <v>729</v>
      </c>
      <c r="B1353" s="234" t="s">
        <v>20</v>
      </c>
      <c r="C1353" s="234" t="s">
        <v>37</v>
      </c>
      <c r="D1353" s="234" t="s">
        <v>25</v>
      </c>
      <c r="E1353" s="234" t="s">
        <v>301</v>
      </c>
      <c r="F1353" s="233" t="s">
        <v>58</v>
      </c>
      <c r="G1353" s="289">
        <f>G1354+G1370</f>
        <v>156895840</v>
      </c>
      <c r="H1353" s="289">
        <f>H1354+H1370</f>
        <v>156895840</v>
      </c>
      <c r="I1353" s="234">
        <v>420000000</v>
      </c>
      <c r="J1353" s="370" t="str">
        <f t="shared" si="163"/>
        <v>0420000000</v>
      </c>
      <c r="K1353" s="30" t="str">
        <f t="shared" si="164"/>
        <v>62004090420000000000</v>
      </c>
    </row>
    <row r="1354" spans="1:11" s="3" customFormat="1" ht="38.25">
      <c r="A1354" s="232" t="s">
        <v>644</v>
      </c>
      <c r="B1354" s="234" t="s">
        <v>20</v>
      </c>
      <c r="C1354" s="234" t="s">
        <v>37</v>
      </c>
      <c r="D1354" s="234" t="s">
        <v>25</v>
      </c>
      <c r="E1354" s="234" t="s">
        <v>302</v>
      </c>
      <c r="F1354" s="233" t="s">
        <v>58</v>
      </c>
      <c r="G1354" s="289">
        <f>G1355+G1358+G1367+G1361+G1364</f>
        <v>117871230</v>
      </c>
      <c r="H1354" s="289">
        <f>H1355+H1358+H1367+H1361+H1364</f>
        <v>117871230</v>
      </c>
      <c r="I1354" s="234">
        <v>420200000</v>
      </c>
      <c r="J1354" s="370" t="str">
        <f t="shared" si="163"/>
        <v>0420200000</v>
      </c>
      <c r="K1354" s="30" t="str">
        <f t="shared" si="164"/>
        <v>62004090420200000000</v>
      </c>
    </row>
    <row r="1355" spans="1:11" s="3" customFormat="1">
      <c r="A1355" s="232" t="s">
        <v>896</v>
      </c>
      <c r="B1355" s="234" t="s">
        <v>20</v>
      </c>
      <c r="C1355" s="234" t="s">
        <v>37</v>
      </c>
      <c r="D1355" s="234" t="s">
        <v>25</v>
      </c>
      <c r="E1355" s="234" t="s">
        <v>492</v>
      </c>
      <c r="F1355" s="233" t="s">
        <v>58</v>
      </c>
      <c r="G1355" s="289">
        <f>G1356</f>
        <v>62280580</v>
      </c>
      <c r="H1355" s="289">
        <f>H1356</f>
        <v>62280580</v>
      </c>
      <c r="I1355" s="234">
        <v>420220130</v>
      </c>
      <c r="J1355" s="370" t="str">
        <f t="shared" si="163"/>
        <v>0420220130</v>
      </c>
      <c r="K1355" s="30" t="str">
        <f t="shared" si="164"/>
        <v>62004090420220130000</v>
      </c>
    </row>
    <row r="1356" spans="1:11" s="3" customFormat="1" ht="25.5">
      <c r="A1356" s="232" t="s">
        <v>108</v>
      </c>
      <c r="B1356" s="234" t="s">
        <v>20</v>
      </c>
      <c r="C1356" s="234" t="s">
        <v>37</v>
      </c>
      <c r="D1356" s="234" t="s">
        <v>25</v>
      </c>
      <c r="E1356" s="234" t="s">
        <v>492</v>
      </c>
      <c r="F1356" s="233" t="s">
        <v>116</v>
      </c>
      <c r="G1356" s="289">
        <f>G1357</f>
        <v>62280580</v>
      </c>
      <c r="H1356" s="289">
        <f>H1357</f>
        <v>62280580</v>
      </c>
      <c r="I1356" s="234">
        <v>420220130</v>
      </c>
      <c r="J1356" s="370" t="str">
        <f t="shared" si="163"/>
        <v>0420220130</v>
      </c>
      <c r="K1356" s="30" t="str">
        <f t="shared" si="164"/>
        <v>62004090420220130240</v>
      </c>
    </row>
    <row r="1357" spans="1:11" s="4" customFormat="1" ht="25.5">
      <c r="A1357" s="236" t="s">
        <v>973</v>
      </c>
      <c r="B1357" s="234" t="s">
        <v>20</v>
      </c>
      <c r="C1357" s="234" t="s">
        <v>37</v>
      </c>
      <c r="D1357" s="234" t="s">
        <v>25</v>
      </c>
      <c r="E1357" s="234" t="s">
        <v>492</v>
      </c>
      <c r="F1357" s="233" t="s">
        <v>1043</v>
      </c>
      <c r="G1357" s="235">
        <f>VLOOKUP(K1357,'исх АС БЮДЖЕТ'!$A$10:$H$568,7,0)</f>
        <v>62280580</v>
      </c>
      <c r="H1357" s="235">
        <f>VLOOKUP(K1357,'исх АС БЮДЖЕТ'!$A$10:$H$568,8,0)</f>
        <v>62280580</v>
      </c>
      <c r="I1357" s="234">
        <v>420220130</v>
      </c>
      <c r="J1357" s="370" t="str">
        <f t="shared" si="163"/>
        <v>0420220130</v>
      </c>
      <c r="K1357" s="30" t="str">
        <f t="shared" si="164"/>
        <v>62004090420220130244</v>
      </c>
    </row>
    <row r="1358" spans="1:11" s="3" customFormat="1" ht="63.75">
      <c r="A1358" s="232" t="s">
        <v>1181</v>
      </c>
      <c r="B1358" s="234" t="s">
        <v>20</v>
      </c>
      <c r="C1358" s="234" t="s">
        <v>37</v>
      </c>
      <c r="D1358" s="234" t="s">
        <v>25</v>
      </c>
      <c r="E1358" s="234" t="s">
        <v>518</v>
      </c>
      <c r="F1358" s="233" t="s">
        <v>58</v>
      </c>
      <c r="G1358" s="289">
        <f>G1359</f>
        <v>17586290</v>
      </c>
      <c r="H1358" s="289">
        <f>H1359</f>
        <v>17586290</v>
      </c>
      <c r="I1358" s="234">
        <v>420220810</v>
      </c>
      <c r="J1358" s="370" t="str">
        <f t="shared" si="163"/>
        <v>0420220810</v>
      </c>
      <c r="K1358" s="30" t="str">
        <f t="shared" si="164"/>
        <v>62004090420220810000</v>
      </c>
    </row>
    <row r="1359" spans="1:11" s="3" customFormat="1" ht="25.5">
      <c r="A1359" s="232" t="s">
        <v>108</v>
      </c>
      <c r="B1359" s="234" t="s">
        <v>20</v>
      </c>
      <c r="C1359" s="234" t="s">
        <v>37</v>
      </c>
      <c r="D1359" s="234" t="s">
        <v>25</v>
      </c>
      <c r="E1359" s="234" t="s">
        <v>518</v>
      </c>
      <c r="F1359" s="233" t="s">
        <v>116</v>
      </c>
      <c r="G1359" s="289">
        <f>G1360</f>
        <v>17586290</v>
      </c>
      <c r="H1359" s="289">
        <f>H1360</f>
        <v>17586290</v>
      </c>
      <c r="I1359" s="234">
        <v>420220810</v>
      </c>
      <c r="J1359" s="370" t="str">
        <f t="shared" si="163"/>
        <v>0420220810</v>
      </c>
      <c r="K1359" s="30" t="str">
        <f t="shared" si="164"/>
        <v>62004090420220810240</v>
      </c>
    </row>
    <row r="1360" spans="1:11" s="4" customFormat="1" ht="25.5">
      <c r="A1360" s="236" t="s">
        <v>973</v>
      </c>
      <c r="B1360" s="234" t="s">
        <v>20</v>
      </c>
      <c r="C1360" s="234" t="s">
        <v>37</v>
      </c>
      <c r="D1360" s="234" t="s">
        <v>25</v>
      </c>
      <c r="E1360" s="234" t="s">
        <v>518</v>
      </c>
      <c r="F1360" s="233" t="s">
        <v>1043</v>
      </c>
      <c r="G1360" s="235">
        <f>VLOOKUP(K1360,'исх АС БЮДЖЕТ'!$A$10:$H$568,7,0)</f>
        <v>17586290</v>
      </c>
      <c r="H1360" s="235">
        <f>VLOOKUP(K1360,'исх АС БЮДЖЕТ'!$A$10:$H$568,8,0)</f>
        <v>17586290</v>
      </c>
      <c r="I1360" s="234">
        <v>420220810</v>
      </c>
      <c r="J1360" s="370" t="str">
        <f t="shared" si="163"/>
        <v>0420220810</v>
      </c>
      <c r="K1360" s="30" t="str">
        <f t="shared" si="164"/>
        <v>62004090420220810244</v>
      </c>
    </row>
    <row r="1361" spans="1:11" s="4" customFormat="1">
      <c r="A1361" s="232" t="s">
        <v>519</v>
      </c>
      <c r="B1361" s="234" t="s">
        <v>20</v>
      </c>
      <c r="C1361" s="234" t="s">
        <v>37</v>
      </c>
      <c r="D1361" s="234" t="s">
        <v>25</v>
      </c>
      <c r="E1361" s="234" t="s">
        <v>520</v>
      </c>
      <c r="F1361" s="233" t="s">
        <v>58</v>
      </c>
      <c r="G1361" s="289">
        <f>G1362</f>
        <v>1350000</v>
      </c>
      <c r="H1361" s="289">
        <f>H1362</f>
        <v>1350000</v>
      </c>
      <c r="I1361" s="234"/>
      <c r="J1361" s="370"/>
      <c r="K1361" s="30"/>
    </row>
    <row r="1362" spans="1:11" s="4" customFormat="1" ht="25.5">
      <c r="A1362" s="232" t="s">
        <v>108</v>
      </c>
      <c r="B1362" s="234" t="s">
        <v>20</v>
      </c>
      <c r="C1362" s="234" t="s">
        <v>37</v>
      </c>
      <c r="D1362" s="234" t="s">
        <v>25</v>
      </c>
      <c r="E1362" s="234" t="s">
        <v>520</v>
      </c>
      <c r="F1362" s="233" t="s">
        <v>116</v>
      </c>
      <c r="G1362" s="289">
        <f t="shared" ref="G1362:H1362" si="166">G1363</f>
        <v>1350000</v>
      </c>
      <c r="H1362" s="289">
        <f t="shared" si="166"/>
        <v>1350000</v>
      </c>
      <c r="I1362" s="234"/>
      <c r="J1362" s="370"/>
      <c r="K1362" s="30"/>
    </row>
    <row r="1363" spans="1:11" s="4" customFormat="1" ht="25.5">
      <c r="A1363" s="236" t="s">
        <v>973</v>
      </c>
      <c r="B1363" s="234" t="s">
        <v>20</v>
      </c>
      <c r="C1363" s="234" t="s">
        <v>37</v>
      </c>
      <c r="D1363" s="234" t="s">
        <v>25</v>
      </c>
      <c r="E1363" s="234" t="s">
        <v>520</v>
      </c>
      <c r="F1363" s="233" t="s">
        <v>1043</v>
      </c>
      <c r="G1363" s="235">
        <f>'исх АС БЮДЖЕТ'!G453</f>
        <v>1350000</v>
      </c>
      <c r="H1363" s="235">
        <f>'исх АС БЮДЖЕТ'!H453</f>
        <v>1350000</v>
      </c>
      <c r="I1363" s="234"/>
      <c r="J1363" s="370"/>
      <c r="K1363" s="30"/>
    </row>
    <row r="1364" spans="1:11" s="4" customFormat="1" ht="25.5">
      <c r="A1364" s="232" t="s">
        <v>894</v>
      </c>
      <c r="B1364" s="234" t="s">
        <v>20</v>
      </c>
      <c r="C1364" s="234" t="s">
        <v>37</v>
      </c>
      <c r="D1364" s="234" t="s">
        <v>25</v>
      </c>
      <c r="E1364" s="234" t="s">
        <v>895</v>
      </c>
      <c r="F1364" s="233" t="s">
        <v>58</v>
      </c>
      <c r="G1364" s="289">
        <f t="shared" ref="G1364:H1365" si="167">G1365</f>
        <v>13566600</v>
      </c>
      <c r="H1364" s="289">
        <f t="shared" si="167"/>
        <v>13566600</v>
      </c>
      <c r="I1364" s="234"/>
      <c r="J1364" s="370"/>
      <c r="K1364" s="30"/>
    </row>
    <row r="1365" spans="1:11" s="4" customFormat="1">
      <c r="A1365" s="232" t="s">
        <v>190</v>
      </c>
      <c r="B1365" s="234" t="s">
        <v>20</v>
      </c>
      <c r="C1365" s="234" t="s">
        <v>37</v>
      </c>
      <c r="D1365" s="234" t="s">
        <v>25</v>
      </c>
      <c r="E1365" s="234" t="s">
        <v>895</v>
      </c>
      <c r="F1365" s="233" t="s">
        <v>103</v>
      </c>
      <c r="G1365" s="289">
        <f t="shared" si="167"/>
        <v>13566600</v>
      </c>
      <c r="H1365" s="289">
        <f t="shared" si="167"/>
        <v>13566600</v>
      </c>
      <c r="I1365" s="234"/>
      <c r="J1365" s="370"/>
      <c r="K1365" s="30"/>
    </row>
    <row r="1366" spans="1:11" s="4" customFormat="1" ht="25.5">
      <c r="A1366" s="236" t="s">
        <v>987</v>
      </c>
      <c r="B1366" s="234" t="s">
        <v>20</v>
      </c>
      <c r="C1366" s="234" t="s">
        <v>37</v>
      </c>
      <c r="D1366" s="234" t="s">
        <v>25</v>
      </c>
      <c r="E1366" s="234" t="s">
        <v>895</v>
      </c>
      <c r="F1366" s="233" t="s">
        <v>1052</v>
      </c>
      <c r="G1366" s="235">
        <f>'исх АС БЮДЖЕТ'!G454</f>
        <v>13566600</v>
      </c>
      <c r="H1366" s="235">
        <f>'исх АС БЮДЖЕТ'!H454</f>
        <v>13566600</v>
      </c>
      <c r="I1366" s="234"/>
      <c r="J1366" s="370"/>
      <c r="K1366" s="30"/>
    </row>
    <row r="1367" spans="1:11" s="3" customFormat="1" ht="51">
      <c r="A1367" s="232" t="s">
        <v>912</v>
      </c>
      <c r="B1367" s="233" t="s">
        <v>20</v>
      </c>
      <c r="C1367" s="234" t="s">
        <v>37</v>
      </c>
      <c r="D1367" s="234" t="s">
        <v>25</v>
      </c>
      <c r="E1367" s="274" t="s">
        <v>521</v>
      </c>
      <c r="F1367" s="233" t="s">
        <v>58</v>
      </c>
      <c r="G1367" s="289">
        <f>G1368</f>
        <v>23087760</v>
      </c>
      <c r="H1367" s="289">
        <f>H1368</f>
        <v>23087760</v>
      </c>
      <c r="I1367" s="274">
        <v>420260090</v>
      </c>
      <c r="J1367" s="370" t="str">
        <f t="shared" si="163"/>
        <v>0420260090</v>
      </c>
      <c r="K1367" s="30" t="str">
        <f t="shared" si="164"/>
        <v>62004090420260090000</v>
      </c>
    </row>
    <row r="1368" spans="1:11" s="3" customFormat="1" ht="38.25">
      <c r="A1368" s="237" t="s">
        <v>561</v>
      </c>
      <c r="B1368" s="233" t="s">
        <v>20</v>
      </c>
      <c r="C1368" s="234" t="s">
        <v>37</v>
      </c>
      <c r="D1368" s="234" t="s">
        <v>25</v>
      </c>
      <c r="E1368" s="274" t="s">
        <v>521</v>
      </c>
      <c r="F1368" s="233" t="s">
        <v>101</v>
      </c>
      <c r="G1368" s="289">
        <f>G1369</f>
        <v>23087760</v>
      </c>
      <c r="H1368" s="289">
        <f>H1369</f>
        <v>23087760</v>
      </c>
      <c r="I1368" s="274">
        <v>420260090</v>
      </c>
      <c r="J1368" s="370" t="str">
        <f t="shared" si="163"/>
        <v>0420260090</v>
      </c>
      <c r="K1368" s="30" t="str">
        <f t="shared" si="164"/>
        <v>62004090420260090810</v>
      </c>
    </row>
    <row r="1369" spans="1:11" s="4" customFormat="1" ht="38.25">
      <c r="A1369" s="236" t="s">
        <v>1047</v>
      </c>
      <c r="B1369" s="233" t="s">
        <v>20</v>
      </c>
      <c r="C1369" s="234" t="s">
        <v>37</v>
      </c>
      <c r="D1369" s="234" t="s">
        <v>25</v>
      </c>
      <c r="E1369" s="274" t="s">
        <v>521</v>
      </c>
      <c r="F1369" s="233" t="s">
        <v>1050</v>
      </c>
      <c r="G1369" s="235">
        <f>VLOOKUP(K1369,'исх АС БЮДЖЕТ'!$A$10:$H$568,7,0)</f>
        <v>23087760</v>
      </c>
      <c r="H1369" s="235">
        <f>VLOOKUP(K1369,'исх АС БЮДЖЕТ'!$A$10:$H$568,8,0)</f>
        <v>23087760</v>
      </c>
      <c r="I1369" s="274">
        <v>420260090</v>
      </c>
      <c r="J1369" s="370" t="str">
        <f t="shared" si="163"/>
        <v>0420260090</v>
      </c>
      <c r="K1369" s="30" t="str">
        <f t="shared" si="164"/>
        <v>62004090420260090811</v>
      </c>
    </row>
    <row r="1370" spans="1:11" s="3" customFormat="1" ht="25.5">
      <c r="A1370" s="232" t="s">
        <v>653</v>
      </c>
      <c r="B1370" s="234" t="s">
        <v>20</v>
      </c>
      <c r="C1370" s="234" t="s">
        <v>37</v>
      </c>
      <c r="D1370" s="234" t="s">
        <v>25</v>
      </c>
      <c r="E1370" s="234" t="s">
        <v>650</v>
      </c>
      <c r="F1370" s="233" t="s">
        <v>58</v>
      </c>
      <c r="G1370" s="289">
        <f>G1371+G1374</f>
        <v>39024610</v>
      </c>
      <c r="H1370" s="289">
        <f>H1371+H1374</f>
        <v>39024610</v>
      </c>
      <c r="I1370" s="234">
        <v>420300000</v>
      </c>
      <c r="J1370" s="370" t="str">
        <f t="shared" si="163"/>
        <v>0420300000</v>
      </c>
      <c r="K1370" s="30" t="str">
        <f t="shared" si="164"/>
        <v>62004090420300000000</v>
      </c>
    </row>
    <row r="1371" spans="1:11" s="3" customFormat="1" ht="25.5">
      <c r="A1371" s="232" t="s">
        <v>187</v>
      </c>
      <c r="B1371" s="234" t="s">
        <v>20</v>
      </c>
      <c r="C1371" s="234" t="s">
        <v>37</v>
      </c>
      <c r="D1371" s="234" t="s">
        <v>25</v>
      </c>
      <c r="E1371" s="234" t="s">
        <v>651</v>
      </c>
      <c r="F1371" s="233" t="s">
        <v>58</v>
      </c>
      <c r="G1371" s="289">
        <f>G1372</f>
        <v>37921910</v>
      </c>
      <c r="H1371" s="289">
        <f>H1372</f>
        <v>37921910</v>
      </c>
      <c r="I1371" s="234">
        <v>420320570</v>
      </c>
      <c r="J1371" s="370" t="str">
        <f t="shared" si="163"/>
        <v>0420320570</v>
      </c>
      <c r="K1371" s="30" t="str">
        <f t="shared" si="164"/>
        <v>62004090420320570000</v>
      </c>
    </row>
    <row r="1372" spans="1:11" s="3" customFormat="1" ht="25.5">
      <c r="A1372" s="232" t="s">
        <v>108</v>
      </c>
      <c r="B1372" s="234" t="s">
        <v>20</v>
      </c>
      <c r="C1372" s="234" t="s">
        <v>37</v>
      </c>
      <c r="D1372" s="234" t="s">
        <v>25</v>
      </c>
      <c r="E1372" s="234" t="s">
        <v>651</v>
      </c>
      <c r="F1372" s="233" t="s">
        <v>116</v>
      </c>
      <c r="G1372" s="289">
        <f>G1373</f>
        <v>37921910</v>
      </c>
      <c r="H1372" s="289">
        <f>H1373</f>
        <v>37921910</v>
      </c>
      <c r="I1372" s="234">
        <v>420320570</v>
      </c>
      <c r="J1372" s="370" t="str">
        <f t="shared" si="163"/>
        <v>0420320570</v>
      </c>
      <c r="K1372" s="30" t="str">
        <f t="shared" si="164"/>
        <v>62004090420320570240</v>
      </c>
    </row>
    <row r="1373" spans="1:11" s="4" customFormat="1" ht="25.5">
      <c r="A1373" s="236" t="s">
        <v>973</v>
      </c>
      <c r="B1373" s="234" t="s">
        <v>20</v>
      </c>
      <c r="C1373" s="234" t="s">
        <v>37</v>
      </c>
      <c r="D1373" s="234" t="s">
        <v>25</v>
      </c>
      <c r="E1373" s="234" t="s">
        <v>651</v>
      </c>
      <c r="F1373" s="233" t="s">
        <v>1043</v>
      </c>
      <c r="G1373" s="235">
        <f>VLOOKUP(K1373,'исх АС БЮДЖЕТ'!$A$10:$H$568,7,0)</f>
        <v>37921910</v>
      </c>
      <c r="H1373" s="235">
        <f>VLOOKUP(K1373,'исх АС БЮДЖЕТ'!$A$10:$H$568,8,0)</f>
        <v>37921910</v>
      </c>
      <c r="I1373" s="234">
        <v>420320570</v>
      </c>
      <c r="J1373" s="370" t="str">
        <f t="shared" si="163"/>
        <v>0420320570</v>
      </c>
      <c r="K1373" s="30" t="str">
        <f t="shared" si="164"/>
        <v>62004090420320570244</v>
      </c>
    </row>
    <row r="1374" spans="1:11" s="4" customFormat="1" ht="63.75">
      <c r="A1374" s="266" t="s">
        <v>590</v>
      </c>
      <c r="B1374" s="234" t="s">
        <v>20</v>
      </c>
      <c r="C1374" s="234" t="s">
        <v>37</v>
      </c>
      <c r="D1374" s="234" t="s">
        <v>25</v>
      </c>
      <c r="E1374" s="234" t="s">
        <v>652</v>
      </c>
      <c r="F1374" s="233" t="s">
        <v>58</v>
      </c>
      <c r="G1374" s="289">
        <f>G1375</f>
        <v>1102700</v>
      </c>
      <c r="H1374" s="289">
        <f>H1375</f>
        <v>1102700</v>
      </c>
      <c r="I1374" s="234"/>
      <c r="J1374" s="370"/>
      <c r="K1374" s="30"/>
    </row>
    <row r="1375" spans="1:11" s="4" customFormat="1" ht="25.5">
      <c r="A1375" s="232" t="s">
        <v>108</v>
      </c>
      <c r="B1375" s="234" t="s">
        <v>20</v>
      </c>
      <c r="C1375" s="234" t="s">
        <v>37</v>
      </c>
      <c r="D1375" s="234" t="s">
        <v>25</v>
      </c>
      <c r="E1375" s="234" t="s">
        <v>652</v>
      </c>
      <c r="F1375" s="233" t="s">
        <v>116</v>
      </c>
      <c r="G1375" s="289">
        <f t="shared" ref="G1375:H1375" si="168">G1376</f>
        <v>1102700</v>
      </c>
      <c r="H1375" s="289">
        <f t="shared" si="168"/>
        <v>1102700</v>
      </c>
      <c r="I1375" s="234"/>
      <c r="J1375" s="370"/>
      <c r="K1375" s="30"/>
    </row>
    <row r="1376" spans="1:11" s="4" customFormat="1" ht="25.5">
      <c r="A1376" s="236" t="s">
        <v>973</v>
      </c>
      <c r="B1376" s="234" t="s">
        <v>20</v>
      </c>
      <c r="C1376" s="234" t="s">
        <v>37</v>
      </c>
      <c r="D1376" s="234" t="s">
        <v>25</v>
      </c>
      <c r="E1376" s="234" t="s">
        <v>652</v>
      </c>
      <c r="F1376" s="233" t="s">
        <v>1043</v>
      </c>
      <c r="G1376" s="235">
        <f>'исх АС БЮДЖЕТ'!G460</f>
        <v>1102700</v>
      </c>
      <c r="H1376" s="235">
        <f>'исх АС БЮДЖЕТ'!H460</f>
        <v>1102700</v>
      </c>
      <c r="I1376" s="234"/>
      <c r="J1376" s="370"/>
      <c r="K1376" s="30"/>
    </row>
    <row r="1377" spans="1:11" s="3" customFormat="1">
      <c r="A1377" s="224" t="s">
        <v>7</v>
      </c>
      <c r="B1377" s="225" t="s">
        <v>20</v>
      </c>
      <c r="C1377" s="226" t="s">
        <v>8</v>
      </c>
      <c r="D1377" s="226" t="s">
        <v>51</v>
      </c>
      <c r="E1377" s="226" t="s">
        <v>196</v>
      </c>
      <c r="F1377" s="226" t="s">
        <v>58</v>
      </c>
      <c r="G1377" s="227">
        <f>G1378+G1385+G1392+G1426</f>
        <v>268902200</v>
      </c>
      <c r="H1377" s="227">
        <f>H1378+H1385+H1392+H1426</f>
        <v>268902200</v>
      </c>
      <c r="I1377" s="226">
        <v>0</v>
      </c>
      <c r="J1377" s="370" t="str">
        <f t="shared" si="163"/>
        <v>0000000000</v>
      </c>
      <c r="K1377" s="30" t="str">
        <f t="shared" si="164"/>
        <v>62005000000000000000</v>
      </c>
    </row>
    <row r="1378" spans="1:11" s="3" customFormat="1">
      <c r="A1378" s="228" t="s">
        <v>9</v>
      </c>
      <c r="B1378" s="229" t="s">
        <v>20</v>
      </c>
      <c r="C1378" s="230" t="s">
        <v>8</v>
      </c>
      <c r="D1378" s="230" t="s">
        <v>65</v>
      </c>
      <c r="E1378" s="230" t="s">
        <v>196</v>
      </c>
      <c r="F1378" s="230" t="s">
        <v>58</v>
      </c>
      <c r="G1378" s="231">
        <f>G1379</f>
        <v>90000</v>
      </c>
      <c r="H1378" s="231">
        <f>H1379</f>
        <v>90000</v>
      </c>
      <c r="I1378" s="230">
        <v>0</v>
      </c>
      <c r="J1378" s="370" t="str">
        <f t="shared" si="163"/>
        <v>0000000000</v>
      </c>
      <c r="K1378" s="30" t="str">
        <f t="shared" si="164"/>
        <v>62005010000000000000</v>
      </c>
    </row>
    <row r="1379" spans="1:11" s="3" customFormat="1" ht="38.25">
      <c r="A1379" s="236" t="s">
        <v>722</v>
      </c>
      <c r="B1379" s="233" t="s">
        <v>20</v>
      </c>
      <c r="C1379" s="234" t="s">
        <v>8</v>
      </c>
      <c r="D1379" s="234" t="s">
        <v>65</v>
      </c>
      <c r="E1379" s="274" t="s">
        <v>300</v>
      </c>
      <c r="F1379" s="234" t="s">
        <v>58</v>
      </c>
      <c r="G1379" s="289">
        <f t="shared" ref="G1379:H1383" si="169">G1380</f>
        <v>90000</v>
      </c>
      <c r="H1379" s="289">
        <f t="shared" si="169"/>
        <v>90000</v>
      </c>
      <c r="I1379" s="274">
        <v>400000000</v>
      </c>
      <c r="J1379" s="370" t="str">
        <f t="shared" si="163"/>
        <v>0400000000</v>
      </c>
      <c r="K1379" s="30" t="str">
        <f t="shared" si="164"/>
        <v>62005010400000000000</v>
      </c>
    </row>
    <row r="1380" spans="1:11" s="3" customFormat="1" ht="25.5">
      <c r="A1380" s="232" t="s">
        <v>155</v>
      </c>
      <c r="B1380" s="233" t="s">
        <v>20</v>
      </c>
      <c r="C1380" s="234" t="s">
        <v>8</v>
      </c>
      <c r="D1380" s="234" t="s">
        <v>65</v>
      </c>
      <c r="E1380" s="274" t="s">
        <v>495</v>
      </c>
      <c r="F1380" s="234" t="s">
        <v>58</v>
      </c>
      <c r="G1380" s="289">
        <f t="shared" si="169"/>
        <v>90000</v>
      </c>
      <c r="H1380" s="289">
        <f t="shared" si="169"/>
        <v>90000</v>
      </c>
      <c r="I1380" s="274">
        <v>410000000</v>
      </c>
      <c r="J1380" s="370" t="str">
        <f t="shared" si="163"/>
        <v>0410000000</v>
      </c>
      <c r="K1380" s="30" t="str">
        <f t="shared" si="164"/>
        <v>62005010410000000000</v>
      </c>
    </row>
    <row r="1381" spans="1:11" s="3" customFormat="1" ht="25.5">
      <c r="A1381" s="232" t="s">
        <v>522</v>
      </c>
      <c r="B1381" s="233" t="s">
        <v>20</v>
      </c>
      <c r="C1381" s="234" t="s">
        <v>8</v>
      </c>
      <c r="D1381" s="234" t="s">
        <v>65</v>
      </c>
      <c r="E1381" s="274" t="s">
        <v>497</v>
      </c>
      <c r="F1381" s="234" t="s">
        <v>58</v>
      </c>
      <c r="G1381" s="289">
        <f t="shared" si="169"/>
        <v>90000</v>
      </c>
      <c r="H1381" s="289">
        <f t="shared" si="169"/>
        <v>90000</v>
      </c>
      <c r="I1381" s="274">
        <v>410100000</v>
      </c>
      <c r="J1381" s="370" t="str">
        <f t="shared" si="163"/>
        <v>0410100000</v>
      </c>
      <c r="K1381" s="30" t="str">
        <f t="shared" si="164"/>
        <v>62005010410100000000</v>
      </c>
    </row>
    <row r="1382" spans="1:11" s="3" customFormat="1">
      <c r="A1382" s="232" t="s">
        <v>188</v>
      </c>
      <c r="B1382" s="233" t="s">
        <v>20</v>
      </c>
      <c r="C1382" s="234" t="s">
        <v>8</v>
      </c>
      <c r="D1382" s="234" t="s">
        <v>65</v>
      </c>
      <c r="E1382" s="274" t="s">
        <v>523</v>
      </c>
      <c r="F1382" s="234" t="s">
        <v>58</v>
      </c>
      <c r="G1382" s="289">
        <f t="shared" si="169"/>
        <v>90000</v>
      </c>
      <c r="H1382" s="289">
        <f t="shared" si="169"/>
        <v>90000</v>
      </c>
      <c r="I1382" s="274">
        <v>410120200</v>
      </c>
      <c r="J1382" s="370" t="str">
        <f t="shared" si="163"/>
        <v>0410120200</v>
      </c>
      <c r="K1382" s="30" t="str">
        <f t="shared" si="164"/>
        <v>62005010410120200000</v>
      </c>
    </row>
    <row r="1383" spans="1:11" s="3" customFormat="1" ht="25.5">
      <c r="A1383" s="232" t="s">
        <v>108</v>
      </c>
      <c r="B1383" s="234" t="s">
        <v>20</v>
      </c>
      <c r="C1383" s="234" t="s">
        <v>8</v>
      </c>
      <c r="D1383" s="234" t="s">
        <v>65</v>
      </c>
      <c r="E1383" s="274" t="s">
        <v>523</v>
      </c>
      <c r="F1383" s="234" t="s">
        <v>116</v>
      </c>
      <c r="G1383" s="289">
        <f t="shared" si="169"/>
        <v>90000</v>
      </c>
      <c r="H1383" s="289">
        <f t="shared" si="169"/>
        <v>90000</v>
      </c>
      <c r="I1383" s="274">
        <v>410120200</v>
      </c>
      <c r="J1383" s="370" t="str">
        <f t="shared" si="163"/>
        <v>0410120200</v>
      </c>
      <c r="K1383" s="30" t="str">
        <f t="shared" si="164"/>
        <v>62005010410120200240</v>
      </c>
    </row>
    <row r="1384" spans="1:11" s="4" customFormat="1" ht="25.5">
      <c r="A1384" s="236" t="s">
        <v>973</v>
      </c>
      <c r="B1384" s="234" t="s">
        <v>20</v>
      </c>
      <c r="C1384" s="234" t="s">
        <v>8</v>
      </c>
      <c r="D1384" s="234" t="s">
        <v>65</v>
      </c>
      <c r="E1384" s="274" t="s">
        <v>523</v>
      </c>
      <c r="F1384" s="234" t="s">
        <v>1043</v>
      </c>
      <c r="G1384" s="235">
        <f>VLOOKUP(K1384,'исх АС БЮДЖЕТ'!$A$10:$H$568,7,0)</f>
        <v>90000</v>
      </c>
      <c r="H1384" s="235">
        <f>VLOOKUP(K1384,'исх АС БЮДЖЕТ'!$A$10:$H$568,8,0)</f>
        <v>90000</v>
      </c>
      <c r="I1384" s="274">
        <v>410120200</v>
      </c>
      <c r="J1384" s="370" t="str">
        <f t="shared" si="163"/>
        <v>0410120200</v>
      </c>
      <c r="K1384" s="30" t="str">
        <f t="shared" si="164"/>
        <v>62005010410120200244</v>
      </c>
    </row>
    <row r="1385" spans="1:11" s="3" customFormat="1">
      <c r="A1385" s="228" t="s">
        <v>10</v>
      </c>
      <c r="B1385" s="229">
        <v>620</v>
      </c>
      <c r="C1385" s="230" t="s">
        <v>8</v>
      </c>
      <c r="D1385" s="230" t="s">
        <v>66</v>
      </c>
      <c r="E1385" s="230" t="s">
        <v>196</v>
      </c>
      <c r="F1385" s="230" t="s">
        <v>58</v>
      </c>
      <c r="G1385" s="231">
        <f t="shared" ref="G1385:H1388" si="170">G1386</f>
        <v>20000</v>
      </c>
      <c r="H1385" s="231">
        <f t="shared" si="170"/>
        <v>20000</v>
      </c>
      <c r="I1385" s="230">
        <v>0</v>
      </c>
      <c r="J1385" s="370" t="str">
        <f t="shared" ref="J1385:J1425" si="171">TEXT(I1385,"0000000000")</f>
        <v>0000000000</v>
      </c>
      <c r="K1385" s="30" t="str">
        <f t="shared" ref="K1385:K1425" si="172">CONCATENATE(B1385,C1385,D1385,J1385,F1385)</f>
        <v>62005020000000000000</v>
      </c>
    </row>
    <row r="1386" spans="1:11" s="3" customFormat="1" ht="38.25">
      <c r="A1386" s="236" t="s">
        <v>722</v>
      </c>
      <c r="B1386" s="246">
        <v>620</v>
      </c>
      <c r="C1386" s="234" t="s">
        <v>8</v>
      </c>
      <c r="D1386" s="234" t="s">
        <v>66</v>
      </c>
      <c r="E1386" s="274" t="s">
        <v>300</v>
      </c>
      <c r="F1386" s="234" t="s">
        <v>58</v>
      </c>
      <c r="G1386" s="289">
        <f t="shared" si="170"/>
        <v>20000</v>
      </c>
      <c r="H1386" s="289">
        <f t="shared" si="170"/>
        <v>20000</v>
      </c>
      <c r="I1386" s="274">
        <v>400000000</v>
      </c>
      <c r="J1386" s="370" t="str">
        <f t="shared" si="171"/>
        <v>0400000000</v>
      </c>
      <c r="K1386" s="30" t="str">
        <f t="shared" si="172"/>
        <v>62005020400000000000</v>
      </c>
    </row>
    <row r="1387" spans="1:11" s="3" customFormat="1" ht="25.5">
      <c r="A1387" s="232" t="s">
        <v>155</v>
      </c>
      <c r="B1387" s="246">
        <v>620</v>
      </c>
      <c r="C1387" s="234" t="s">
        <v>8</v>
      </c>
      <c r="D1387" s="234" t="s">
        <v>66</v>
      </c>
      <c r="E1387" s="274" t="s">
        <v>495</v>
      </c>
      <c r="F1387" s="234" t="s">
        <v>58</v>
      </c>
      <c r="G1387" s="289">
        <f t="shared" si="170"/>
        <v>20000</v>
      </c>
      <c r="H1387" s="289">
        <f t="shared" si="170"/>
        <v>20000</v>
      </c>
      <c r="I1387" s="274">
        <v>410000000</v>
      </c>
      <c r="J1387" s="370" t="str">
        <f t="shared" si="171"/>
        <v>0410000000</v>
      </c>
      <c r="K1387" s="30" t="str">
        <f t="shared" si="172"/>
        <v>62005020410000000000</v>
      </c>
    </row>
    <row r="1388" spans="1:11" s="3" customFormat="1" ht="25.5">
      <c r="A1388" s="232" t="s">
        <v>669</v>
      </c>
      <c r="B1388" s="246">
        <v>620</v>
      </c>
      <c r="C1388" s="234" t="s">
        <v>8</v>
      </c>
      <c r="D1388" s="234" t="s">
        <v>66</v>
      </c>
      <c r="E1388" s="274" t="s">
        <v>525</v>
      </c>
      <c r="F1388" s="234" t="s">
        <v>58</v>
      </c>
      <c r="G1388" s="289">
        <f t="shared" si="170"/>
        <v>20000</v>
      </c>
      <c r="H1388" s="289">
        <f t="shared" si="170"/>
        <v>20000</v>
      </c>
      <c r="I1388" s="274">
        <v>410200000</v>
      </c>
      <c r="J1388" s="370" t="str">
        <f t="shared" si="171"/>
        <v>0410200000</v>
      </c>
      <c r="K1388" s="30" t="str">
        <f t="shared" si="172"/>
        <v>62005020410200000000</v>
      </c>
    </row>
    <row r="1389" spans="1:11" s="3" customFormat="1">
      <c r="A1389" s="232" t="s">
        <v>671</v>
      </c>
      <c r="B1389" s="246">
        <v>620</v>
      </c>
      <c r="C1389" s="234" t="s">
        <v>8</v>
      </c>
      <c r="D1389" s="234" t="s">
        <v>66</v>
      </c>
      <c r="E1389" s="274" t="s">
        <v>526</v>
      </c>
      <c r="F1389" s="234" t="s">
        <v>58</v>
      </c>
      <c r="G1389" s="289">
        <f>G1390</f>
        <v>20000</v>
      </c>
      <c r="H1389" s="289">
        <f>H1390</f>
        <v>20000</v>
      </c>
      <c r="I1389" s="274">
        <v>410220220</v>
      </c>
      <c r="J1389" s="370" t="str">
        <f t="shared" si="171"/>
        <v>0410220220</v>
      </c>
      <c r="K1389" s="30" t="str">
        <f t="shared" si="172"/>
        <v>62005020410220220000</v>
      </c>
    </row>
    <row r="1390" spans="1:11" s="3" customFormat="1" ht="25.5">
      <c r="A1390" s="232" t="s">
        <v>108</v>
      </c>
      <c r="B1390" s="234" t="s">
        <v>20</v>
      </c>
      <c r="C1390" s="234" t="s">
        <v>8</v>
      </c>
      <c r="D1390" s="234" t="s">
        <v>66</v>
      </c>
      <c r="E1390" s="274" t="s">
        <v>526</v>
      </c>
      <c r="F1390" s="234" t="s">
        <v>116</v>
      </c>
      <c r="G1390" s="289">
        <f>G1391</f>
        <v>20000</v>
      </c>
      <c r="H1390" s="289">
        <f>H1391</f>
        <v>20000</v>
      </c>
      <c r="I1390" s="274">
        <v>410220220</v>
      </c>
      <c r="J1390" s="370" t="str">
        <f t="shared" si="171"/>
        <v>0410220220</v>
      </c>
      <c r="K1390" s="30" t="str">
        <f t="shared" si="172"/>
        <v>62005020410220220240</v>
      </c>
    </row>
    <row r="1391" spans="1:11" s="4" customFormat="1" ht="25.5">
      <c r="A1391" s="236" t="s">
        <v>973</v>
      </c>
      <c r="B1391" s="234" t="s">
        <v>20</v>
      </c>
      <c r="C1391" s="234" t="s">
        <v>8</v>
      </c>
      <c r="D1391" s="234" t="s">
        <v>66</v>
      </c>
      <c r="E1391" s="274" t="s">
        <v>526</v>
      </c>
      <c r="F1391" s="234" t="s">
        <v>1043</v>
      </c>
      <c r="G1391" s="235">
        <f>VLOOKUP(K1391,'исх АС БЮДЖЕТ'!$A$10:$H$568,7,0)</f>
        <v>20000</v>
      </c>
      <c r="H1391" s="235">
        <f>VLOOKUP(K1391,'исх АС БЮДЖЕТ'!$A$10:$H$568,8,0)</f>
        <v>20000</v>
      </c>
      <c r="I1391" s="274">
        <v>410220220</v>
      </c>
      <c r="J1391" s="370" t="str">
        <f t="shared" si="171"/>
        <v>0410220220</v>
      </c>
      <c r="K1391" s="30" t="str">
        <f t="shared" si="172"/>
        <v>62005020410220220244</v>
      </c>
    </row>
    <row r="1392" spans="1:11" s="3" customFormat="1">
      <c r="A1392" s="228" t="s">
        <v>1</v>
      </c>
      <c r="B1392" s="229" t="s">
        <v>20</v>
      </c>
      <c r="C1392" s="230" t="s">
        <v>8</v>
      </c>
      <c r="D1392" s="230" t="s">
        <v>53</v>
      </c>
      <c r="E1392" s="230" t="s">
        <v>196</v>
      </c>
      <c r="F1392" s="230" t="s">
        <v>58</v>
      </c>
      <c r="G1392" s="231">
        <f>G1393+G1420</f>
        <v>212657170</v>
      </c>
      <c r="H1392" s="231">
        <f>H1393+H1420</f>
        <v>212657170</v>
      </c>
      <c r="I1392" s="230">
        <v>0</v>
      </c>
      <c r="J1392" s="370" t="str">
        <f t="shared" si="171"/>
        <v>0000000000</v>
      </c>
      <c r="K1392" s="30" t="str">
        <f t="shared" si="172"/>
        <v>62005030000000000000</v>
      </c>
    </row>
    <row r="1393" spans="1:11" s="3" customFormat="1" ht="38.25">
      <c r="A1393" s="236" t="s">
        <v>722</v>
      </c>
      <c r="B1393" s="234" t="s">
        <v>20</v>
      </c>
      <c r="C1393" s="234" t="s">
        <v>8</v>
      </c>
      <c r="D1393" s="234" t="s">
        <v>53</v>
      </c>
      <c r="E1393" s="234" t="s">
        <v>300</v>
      </c>
      <c r="F1393" s="234" t="s">
        <v>58</v>
      </c>
      <c r="G1393" s="289">
        <f>G1394</f>
        <v>209271650</v>
      </c>
      <c r="H1393" s="289">
        <f>H1394</f>
        <v>209271650</v>
      </c>
      <c r="I1393" s="234">
        <v>400000000</v>
      </c>
      <c r="J1393" s="370" t="str">
        <f t="shared" si="171"/>
        <v>0400000000</v>
      </c>
      <c r="K1393" s="30" t="str">
        <f t="shared" si="172"/>
        <v>62005030400000000000</v>
      </c>
    </row>
    <row r="1394" spans="1:11" s="3" customFormat="1">
      <c r="A1394" s="232" t="s">
        <v>142</v>
      </c>
      <c r="B1394" s="234" t="s">
        <v>20</v>
      </c>
      <c r="C1394" s="234" t="s">
        <v>8</v>
      </c>
      <c r="D1394" s="234" t="s">
        <v>53</v>
      </c>
      <c r="E1394" s="234" t="s">
        <v>453</v>
      </c>
      <c r="F1394" s="234" t="s">
        <v>58</v>
      </c>
      <c r="G1394" s="289">
        <f>G1395+G1399+G1403</f>
        <v>209271650</v>
      </c>
      <c r="H1394" s="289">
        <f>H1395+H1399+H1403</f>
        <v>209271650</v>
      </c>
      <c r="I1394" s="234">
        <v>430000000</v>
      </c>
      <c r="J1394" s="370" t="str">
        <f t="shared" si="171"/>
        <v>0430000000</v>
      </c>
      <c r="K1394" s="30" t="str">
        <f t="shared" si="172"/>
        <v>62005030430000000000</v>
      </c>
    </row>
    <row r="1395" spans="1:11" s="3" customFormat="1" ht="25.5">
      <c r="A1395" s="232" t="s">
        <v>718</v>
      </c>
      <c r="B1395" s="234" t="s">
        <v>20</v>
      </c>
      <c r="C1395" s="234" t="s">
        <v>8</v>
      </c>
      <c r="D1395" s="234" t="s">
        <v>53</v>
      </c>
      <c r="E1395" s="234" t="s">
        <v>655</v>
      </c>
      <c r="F1395" s="234" t="s">
        <v>58</v>
      </c>
      <c r="G1395" s="289">
        <f t="shared" ref="G1395:H1397" si="173">G1396</f>
        <v>14107150</v>
      </c>
      <c r="H1395" s="289">
        <f t="shared" si="173"/>
        <v>14107150</v>
      </c>
      <c r="I1395" s="234">
        <v>430200000</v>
      </c>
      <c r="J1395" s="370" t="str">
        <f t="shared" si="171"/>
        <v>0430200000</v>
      </c>
      <c r="K1395" s="30" t="str">
        <f t="shared" si="172"/>
        <v>62005030430200000000</v>
      </c>
    </row>
    <row r="1396" spans="1:11" s="3" customFormat="1" ht="25.5">
      <c r="A1396" s="232" t="s">
        <v>905</v>
      </c>
      <c r="B1396" s="234" t="s">
        <v>20</v>
      </c>
      <c r="C1396" s="234" t="s">
        <v>8</v>
      </c>
      <c r="D1396" s="234" t="s">
        <v>53</v>
      </c>
      <c r="E1396" s="234" t="s">
        <v>656</v>
      </c>
      <c r="F1396" s="234" t="s">
        <v>58</v>
      </c>
      <c r="G1396" s="289">
        <f t="shared" si="173"/>
        <v>14107150</v>
      </c>
      <c r="H1396" s="289">
        <f t="shared" si="173"/>
        <v>14107150</v>
      </c>
      <c r="I1396" s="234">
        <v>430220290</v>
      </c>
      <c r="J1396" s="370" t="str">
        <f t="shared" si="171"/>
        <v>0430220290</v>
      </c>
      <c r="K1396" s="30" t="str">
        <f t="shared" si="172"/>
        <v>62005030430220290000</v>
      </c>
    </row>
    <row r="1397" spans="1:11" s="3" customFormat="1" ht="25.5">
      <c r="A1397" s="232" t="s">
        <v>108</v>
      </c>
      <c r="B1397" s="234" t="s">
        <v>20</v>
      </c>
      <c r="C1397" s="234" t="s">
        <v>8</v>
      </c>
      <c r="D1397" s="234" t="s">
        <v>53</v>
      </c>
      <c r="E1397" s="234" t="s">
        <v>656</v>
      </c>
      <c r="F1397" s="234" t="s">
        <v>116</v>
      </c>
      <c r="G1397" s="289">
        <f t="shared" si="173"/>
        <v>14107150</v>
      </c>
      <c r="H1397" s="289">
        <f t="shared" si="173"/>
        <v>14107150</v>
      </c>
      <c r="I1397" s="234">
        <v>430220290</v>
      </c>
      <c r="J1397" s="370" t="str">
        <f t="shared" si="171"/>
        <v>0430220290</v>
      </c>
      <c r="K1397" s="30" t="str">
        <f t="shared" si="172"/>
        <v>62005030430220290240</v>
      </c>
    </row>
    <row r="1398" spans="1:11" s="4" customFormat="1" ht="25.5">
      <c r="A1398" s="236" t="s">
        <v>973</v>
      </c>
      <c r="B1398" s="234" t="s">
        <v>20</v>
      </c>
      <c r="C1398" s="234" t="s">
        <v>8</v>
      </c>
      <c r="D1398" s="234" t="s">
        <v>53</v>
      </c>
      <c r="E1398" s="234" t="s">
        <v>656</v>
      </c>
      <c r="F1398" s="234" t="s">
        <v>1043</v>
      </c>
      <c r="G1398" s="235">
        <f>VLOOKUP(K1398,'исх АС БЮДЖЕТ'!$A$10:$H$568,7,0)</f>
        <v>14107150</v>
      </c>
      <c r="H1398" s="235">
        <f>VLOOKUP(K1398,'исх АС БЮДЖЕТ'!$A$10:$H$568,8,0)</f>
        <v>14107150</v>
      </c>
      <c r="I1398" s="234">
        <v>430220290</v>
      </c>
      <c r="J1398" s="370" t="str">
        <f t="shared" si="171"/>
        <v>0430220290</v>
      </c>
      <c r="K1398" s="30" t="str">
        <f t="shared" si="172"/>
        <v>62005030430220290244</v>
      </c>
    </row>
    <row r="1399" spans="1:11" s="3" customFormat="1" ht="25.5">
      <c r="A1399" s="232" t="s">
        <v>657</v>
      </c>
      <c r="B1399" s="234" t="s">
        <v>20</v>
      </c>
      <c r="C1399" s="234" t="s">
        <v>8</v>
      </c>
      <c r="D1399" s="234" t="s">
        <v>53</v>
      </c>
      <c r="E1399" s="234" t="s">
        <v>658</v>
      </c>
      <c r="F1399" s="234" t="s">
        <v>58</v>
      </c>
      <c r="G1399" s="289">
        <f t="shared" ref="G1399:H1400" si="174">G1400</f>
        <v>2284560</v>
      </c>
      <c r="H1399" s="289">
        <f t="shared" si="174"/>
        <v>2284560</v>
      </c>
      <c r="I1399" s="234">
        <v>430300000</v>
      </c>
      <c r="J1399" s="370" t="str">
        <f t="shared" si="171"/>
        <v>0430300000</v>
      </c>
      <c r="K1399" s="30" t="str">
        <f t="shared" si="172"/>
        <v>62005030430300000000</v>
      </c>
    </row>
    <row r="1400" spans="1:11" s="3" customFormat="1" ht="25.5">
      <c r="A1400" s="232" t="s">
        <v>592</v>
      </c>
      <c r="B1400" s="234" t="s">
        <v>20</v>
      </c>
      <c r="C1400" s="234" t="s">
        <v>8</v>
      </c>
      <c r="D1400" s="234" t="s">
        <v>53</v>
      </c>
      <c r="E1400" s="234" t="s">
        <v>659</v>
      </c>
      <c r="F1400" s="234" t="s">
        <v>58</v>
      </c>
      <c r="G1400" s="289">
        <f t="shared" si="174"/>
        <v>2284560</v>
      </c>
      <c r="H1400" s="289">
        <f t="shared" si="174"/>
        <v>2284560</v>
      </c>
      <c r="I1400" s="234">
        <v>430377150</v>
      </c>
      <c r="J1400" s="370" t="str">
        <f t="shared" si="171"/>
        <v>0430377150</v>
      </c>
      <c r="K1400" s="30" t="str">
        <f t="shared" si="172"/>
        <v>62005030430377150000</v>
      </c>
    </row>
    <row r="1401" spans="1:11" s="3" customFormat="1" ht="25.5">
      <c r="A1401" s="232" t="s">
        <v>108</v>
      </c>
      <c r="B1401" s="234" t="s">
        <v>20</v>
      </c>
      <c r="C1401" s="234" t="s">
        <v>8</v>
      </c>
      <c r="D1401" s="234" t="s">
        <v>53</v>
      </c>
      <c r="E1401" s="234" t="s">
        <v>659</v>
      </c>
      <c r="F1401" s="234" t="s">
        <v>116</v>
      </c>
      <c r="G1401" s="289">
        <f>G1402</f>
        <v>2284560</v>
      </c>
      <c r="H1401" s="289">
        <f>H1402</f>
        <v>2284560</v>
      </c>
      <c r="I1401" s="234">
        <v>430377150</v>
      </c>
      <c r="J1401" s="370" t="str">
        <f t="shared" si="171"/>
        <v>0430377150</v>
      </c>
      <c r="K1401" s="30" t="str">
        <f t="shared" si="172"/>
        <v>62005030430377150240</v>
      </c>
    </row>
    <row r="1402" spans="1:11" s="4" customFormat="1" ht="25.5">
      <c r="A1402" s="236" t="s">
        <v>973</v>
      </c>
      <c r="B1402" s="234" t="s">
        <v>20</v>
      </c>
      <c r="C1402" s="234" t="s">
        <v>8</v>
      </c>
      <c r="D1402" s="234" t="s">
        <v>53</v>
      </c>
      <c r="E1402" s="234" t="s">
        <v>659</v>
      </c>
      <c r="F1402" s="234" t="s">
        <v>1043</v>
      </c>
      <c r="G1402" s="235">
        <f>VLOOKUP(K1402,'исх АС БЮДЖЕТ'!$A$10:$H$568,7,0)</f>
        <v>2284560</v>
      </c>
      <c r="H1402" s="235">
        <f>VLOOKUP(K1402,'исх АС БЮДЖЕТ'!$A$10:$H$568,8,0)</f>
        <v>2284560</v>
      </c>
      <c r="I1402" s="234">
        <v>430377150</v>
      </c>
      <c r="J1402" s="370" t="str">
        <f t="shared" si="171"/>
        <v>0430377150</v>
      </c>
      <c r="K1402" s="30" t="str">
        <f t="shared" si="172"/>
        <v>62005030430377150244</v>
      </c>
    </row>
    <row r="1403" spans="1:11" s="3" customFormat="1">
      <c r="A1403" s="232" t="s">
        <v>527</v>
      </c>
      <c r="B1403" s="234" t="s">
        <v>20</v>
      </c>
      <c r="C1403" s="234" t="s">
        <v>8</v>
      </c>
      <c r="D1403" s="234" t="s">
        <v>53</v>
      </c>
      <c r="E1403" s="234" t="s">
        <v>645</v>
      </c>
      <c r="F1403" s="234" t="s">
        <v>58</v>
      </c>
      <c r="G1403" s="289">
        <f>G1404+G1407+G1410+G1414+G1417</f>
        <v>192879940</v>
      </c>
      <c r="H1403" s="289">
        <f>H1404+H1407+H1410+H1414+H1417</f>
        <v>192879940</v>
      </c>
      <c r="I1403" s="234">
        <v>430400000</v>
      </c>
      <c r="J1403" s="370" t="str">
        <f t="shared" si="171"/>
        <v>0430400000</v>
      </c>
      <c r="K1403" s="30" t="str">
        <f t="shared" si="172"/>
        <v>62005030430400000000</v>
      </c>
    </row>
    <row r="1404" spans="1:11" s="3" customFormat="1">
      <c r="A1404" s="232" t="s">
        <v>247</v>
      </c>
      <c r="B1404" s="234" t="s">
        <v>20</v>
      </c>
      <c r="C1404" s="234" t="s">
        <v>8</v>
      </c>
      <c r="D1404" s="234" t="s">
        <v>53</v>
      </c>
      <c r="E1404" s="234" t="s">
        <v>660</v>
      </c>
      <c r="F1404" s="234" t="s">
        <v>58</v>
      </c>
      <c r="G1404" s="289">
        <f>G1405</f>
        <v>10984230</v>
      </c>
      <c r="H1404" s="289">
        <f>H1405</f>
        <v>10984230</v>
      </c>
      <c r="I1404" s="234">
        <v>430411010</v>
      </c>
      <c r="J1404" s="370" t="str">
        <f t="shared" si="171"/>
        <v>0430411010</v>
      </c>
      <c r="K1404" s="30" t="str">
        <f t="shared" si="172"/>
        <v>62005030430411010000</v>
      </c>
    </row>
    <row r="1405" spans="1:11" s="3" customFormat="1">
      <c r="A1405" s="244" t="s">
        <v>92</v>
      </c>
      <c r="B1405" s="234" t="s">
        <v>20</v>
      </c>
      <c r="C1405" s="234" t="s">
        <v>8</v>
      </c>
      <c r="D1405" s="234" t="s">
        <v>53</v>
      </c>
      <c r="E1405" s="234" t="s">
        <v>660</v>
      </c>
      <c r="F1405" s="234" t="s">
        <v>138</v>
      </c>
      <c r="G1405" s="289">
        <f>G1406</f>
        <v>10984230</v>
      </c>
      <c r="H1405" s="289">
        <f>H1406</f>
        <v>10984230</v>
      </c>
      <c r="I1405" s="234">
        <v>430411010</v>
      </c>
      <c r="J1405" s="370" t="str">
        <f t="shared" si="171"/>
        <v>0430411010</v>
      </c>
      <c r="K1405" s="30" t="str">
        <f t="shared" si="172"/>
        <v>62005030430411010610</v>
      </c>
    </row>
    <row r="1406" spans="1:11" s="4" customFormat="1" ht="38.25">
      <c r="A1406" s="236" t="s">
        <v>1015</v>
      </c>
      <c r="B1406" s="234" t="s">
        <v>20</v>
      </c>
      <c r="C1406" s="234" t="s">
        <v>8</v>
      </c>
      <c r="D1406" s="234" t="s">
        <v>53</v>
      </c>
      <c r="E1406" s="234" t="s">
        <v>660</v>
      </c>
      <c r="F1406" s="234" t="s">
        <v>67</v>
      </c>
      <c r="G1406" s="235">
        <f>VLOOKUP(K1406,'исх АС БЮДЖЕТ'!$A$10:$H$568,7,0)</f>
        <v>10984230</v>
      </c>
      <c r="H1406" s="235">
        <f>VLOOKUP(K1406,'исх АС БЮДЖЕТ'!$A$10:$H$568,8,0)</f>
        <v>10984230</v>
      </c>
      <c r="I1406" s="234">
        <v>430411010</v>
      </c>
      <c r="J1406" s="370" t="str">
        <f t="shared" si="171"/>
        <v>0430411010</v>
      </c>
      <c r="K1406" s="30" t="str">
        <f t="shared" si="172"/>
        <v>62005030430411010611</v>
      </c>
    </row>
    <row r="1407" spans="1:11" s="3" customFormat="1">
      <c r="A1407" s="232" t="s">
        <v>897</v>
      </c>
      <c r="B1407" s="234" t="s">
        <v>20</v>
      </c>
      <c r="C1407" s="234" t="s">
        <v>8</v>
      </c>
      <c r="D1407" s="234" t="s">
        <v>53</v>
      </c>
      <c r="E1407" s="234" t="s">
        <v>661</v>
      </c>
      <c r="F1407" s="234" t="s">
        <v>58</v>
      </c>
      <c r="G1407" s="289">
        <f>G1408</f>
        <v>105492620</v>
      </c>
      <c r="H1407" s="289">
        <f>H1408</f>
        <v>105492620</v>
      </c>
      <c r="I1407" s="234">
        <v>430420280</v>
      </c>
      <c r="J1407" s="370" t="str">
        <f t="shared" si="171"/>
        <v>0430420280</v>
      </c>
      <c r="K1407" s="30" t="str">
        <f t="shared" si="172"/>
        <v>62005030430420280000</v>
      </c>
    </row>
    <row r="1408" spans="1:11" s="3" customFormat="1" ht="25.5">
      <c r="A1408" s="232" t="s">
        <v>108</v>
      </c>
      <c r="B1408" s="234" t="s">
        <v>20</v>
      </c>
      <c r="C1408" s="234" t="s">
        <v>8</v>
      </c>
      <c r="D1408" s="234" t="s">
        <v>53</v>
      </c>
      <c r="E1408" s="234" t="s">
        <v>661</v>
      </c>
      <c r="F1408" s="234" t="s">
        <v>116</v>
      </c>
      <c r="G1408" s="289">
        <f>G1409</f>
        <v>105492620</v>
      </c>
      <c r="H1408" s="289">
        <f>H1409</f>
        <v>105492620</v>
      </c>
      <c r="I1408" s="234">
        <v>430420280</v>
      </c>
      <c r="J1408" s="370" t="str">
        <f t="shared" si="171"/>
        <v>0430420280</v>
      </c>
      <c r="K1408" s="30" t="str">
        <f t="shared" si="172"/>
        <v>62005030430420280240</v>
      </c>
    </row>
    <row r="1409" spans="1:11" s="3" customFormat="1" ht="25.5">
      <c r="A1409" s="236" t="s">
        <v>973</v>
      </c>
      <c r="B1409" s="234" t="s">
        <v>20</v>
      </c>
      <c r="C1409" s="234" t="s">
        <v>8</v>
      </c>
      <c r="D1409" s="234" t="s">
        <v>53</v>
      </c>
      <c r="E1409" s="234" t="s">
        <v>661</v>
      </c>
      <c r="F1409" s="234" t="s">
        <v>1043</v>
      </c>
      <c r="G1409" s="235">
        <f>VLOOKUP(K1409,'исх АС БЮДЖЕТ'!$A$10:$H$568,7,0)</f>
        <v>105492620</v>
      </c>
      <c r="H1409" s="235">
        <f>VLOOKUP(K1409,'исх АС БЮДЖЕТ'!$A$10:$H$568,8,0)</f>
        <v>105492620</v>
      </c>
      <c r="I1409" s="234">
        <v>430420280</v>
      </c>
      <c r="J1409" s="370" t="str">
        <f t="shared" si="171"/>
        <v>0430420280</v>
      </c>
      <c r="K1409" s="30" t="str">
        <f t="shared" si="172"/>
        <v>62005030430420280244</v>
      </c>
    </row>
    <row r="1410" spans="1:11" s="3" customFormat="1">
      <c r="A1410" s="232" t="s">
        <v>158</v>
      </c>
      <c r="B1410" s="234" t="s">
        <v>20</v>
      </c>
      <c r="C1410" s="234" t="s">
        <v>8</v>
      </c>
      <c r="D1410" s="234" t="s">
        <v>53</v>
      </c>
      <c r="E1410" s="234" t="s">
        <v>646</v>
      </c>
      <c r="F1410" s="234" t="s">
        <v>58</v>
      </c>
      <c r="G1410" s="289">
        <f>G1411+G1413</f>
        <v>19405340</v>
      </c>
      <c r="H1410" s="289">
        <f>H1411+H1413</f>
        <v>19405340</v>
      </c>
      <c r="I1410" s="234">
        <v>430420300</v>
      </c>
      <c r="J1410" s="370" t="str">
        <f t="shared" si="171"/>
        <v>0430420300</v>
      </c>
      <c r="K1410" s="30" t="str">
        <f t="shared" si="172"/>
        <v>62005030430420300000</v>
      </c>
    </row>
    <row r="1411" spans="1:11" s="3" customFormat="1" ht="25.5">
      <c r="A1411" s="232" t="s">
        <v>108</v>
      </c>
      <c r="B1411" s="234" t="s">
        <v>20</v>
      </c>
      <c r="C1411" s="234" t="s">
        <v>8</v>
      </c>
      <c r="D1411" s="234" t="s">
        <v>53</v>
      </c>
      <c r="E1411" s="234" t="s">
        <v>646</v>
      </c>
      <c r="F1411" s="234" t="s">
        <v>116</v>
      </c>
      <c r="G1411" s="289">
        <f>G1412</f>
        <v>19255340</v>
      </c>
      <c r="H1411" s="289">
        <f>H1412</f>
        <v>19255340</v>
      </c>
      <c r="I1411" s="234">
        <v>430420300</v>
      </c>
      <c r="J1411" s="370" t="str">
        <f t="shared" si="171"/>
        <v>0430420300</v>
      </c>
      <c r="K1411" s="30" t="str">
        <f t="shared" si="172"/>
        <v>62005030430420300240</v>
      </c>
    </row>
    <row r="1412" spans="1:11" s="4" customFormat="1" ht="25.5">
      <c r="A1412" s="236" t="s">
        <v>973</v>
      </c>
      <c r="B1412" s="234" t="s">
        <v>20</v>
      </c>
      <c r="C1412" s="234" t="s">
        <v>8</v>
      </c>
      <c r="D1412" s="234" t="s">
        <v>53</v>
      </c>
      <c r="E1412" s="234" t="s">
        <v>646</v>
      </c>
      <c r="F1412" s="234" t="s">
        <v>1043</v>
      </c>
      <c r="G1412" s="235">
        <f>VLOOKUP(K1412,'исх АС БЮДЖЕТ'!$A$10:$H$568,7,0)</f>
        <v>19255340</v>
      </c>
      <c r="H1412" s="235">
        <f>VLOOKUP(K1412,'исх АС БЮДЖЕТ'!$A$10:$H$568,8,0)</f>
        <v>19255340</v>
      </c>
      <c r="I1412" s="234">
        <v>430420300</v>
      </c>
      <c r="J1412" s="370" t="str">
        <f t="shared" si="171"/>
        <v>0430420300</v>
      </c>
      <c r="K1412" s="30" t="str">
        <f t="shared" si="172"/>
        <v>62005030430420300244</v>
      </c>
    </row>
    <row r="1413" spans="1:11" s="4" customFormat="1">
      <c r="A1413" s="232" t="s">
        <v>99</v>
      </c>
      <c r="B1413" s="234" t="s">
        <v>20</v>
      </c>
      <c r="C1413" s="234" t="s">
        <v>8</v>
      </c>
      <c r="D1413" s="234" t="s">
        <v>53</v>
      </c>
      <c r="E1413" s="234" t="s">
        <v>646</v>
      </c>
      <c r="F1413" s="234" t="s">
        <v>105</v>
      </c>
      <c r="G1413" s="235">
        <f>'исх АС БЮДЖЕТ'!G481</f>
        <v>150000</v>
      </c>
      <c r="H1413" s="235">
        <f>'исх АС БЮДЖЕТ'!H481</f>
        <v>150000</v>
      </c>
      <c r="I1413" s="234"/>
      <c r="J1413" s="370"/>
      <c r="K1413" s="30"/>
    </row>
    <row r="1414" spans="1:11" s="3" customFormat="1">
      <c r="A1414" s="248" t="s">
        <v>159</v>
      </c>
      <c r="B1414" s="234" t="s">
        <v>20</v>
      </c>
      <c r="C1414" s="234" t="s">
        <v>8</v>
      </c>
      <c r="D1414" s="234" t="s">
        <v>53</v>
      </c>
      <c r="E1414" s="234" t="s">
        <v>647</v>
      </c>
      <c r="F1414" s="234" t="s">
        <v>58</v>
      </c>
      <c r="G1414" s="289">
        <f>G1415</f>
        <v>42159690</v>
      </c>
      <c r="H1414" s="289">
        <f>H1415</f>
        <v>42159690</v>
      </c>
      <c r="I1414" s="234">
        <v>430420780</v>
      </c>
      <c r="J1414" s="370" t="str">
        <f t="shared" si="171"/>
        <v>0430420780</v>
      </c>
      <c r="K1414" s="30" t="str">
        <f t="shared" si="172"/>
        <v>62005030430420780000</v>
      </c>
    </row>
    <row r="1415" spans="1:11" s="3" customFormat="1" ht="25.5">
      <c r="A1415" s="232" t="s">
        <v>108</v>
      </c>
      <c r="B1415" s="234" t="s">
        <v>20</v>
      </c>
      <c r="C1415" s="234" t="s">
        <v>8</v>
      </c>
      <c r="D1415" s="234" t="s">
        <v>53</v>
      </c>
      <c r="E1415" s="234" t="s">
        <v>647</v>
      </c>
      <c r="F1415" s="234" t="s">
        <v>116</v>
      </c>
      <c r="G1415" s="289">
        <f>G1416</f>
        <v>42159690</v>
      </c>
      <c r="H1415" s="289">
        <f>H1416</f>
        <v>42159690</v>
      </c>
      <c r="I1415" s="234">
        <v>430420780</v>
      </c>
      <c r="J1415" s="370" t="str">
        <f t="shared" si="171"/>
        <v>0430420780</v>
      </c>
      <c r="K1415" s="30" t="str">
        <f t="shared" si="172"/>
        <v>62005030430420780240</v>
      </c>
    </row>
    <row r="1416" spans="1:11" s="4" customFormat="1" ht="25.5">
      <c r="A1416" s="236" t="s">
        <v>973</v>
      </c>
      <c r="B1416" s="234" t="s">
        <v>20</v>
      </c>
      <c r="C1416" s="234" t="s">
        <v>8</v>
      </c>
      <c r="D1416" s="234" t="s">
        <v>53</v>
      </c>
      <c r="E1416" s="234" t="s">
        <v>647</v>
      </c>
      <c r="F1416" s="234" t="s">
        <v>1043</v>
      </c>
      <c r="G1416" s="235">
        <f>VLOOKUP(K1416,'исх АС БЮДЖЕТ'!$A$10:$H$568,7,0)</f>
        <v>42159690</v>
      </c>
      <c r="H1416" s="235">
        <f>VLOOKUP(K1416,'исх АС БЮДЖЕТ'!$A$10:$H$568,8,0)</f>
        <v>42159690</v>
      </c>
      <c r="I1416" s="234">
        <v>430420780</v>
      </c>
      <c r="J1416" s="370" t="str">
        <f t="shared" si="171"/>
        <v>0430420780</v>
      </c>
      <c r="K1416" s="30" t="str">
        <f t="shared" si="172"/>
        <v>62005030430420780244</v>
      </c>
    </row>
    <row r="1417" spans="1:11" s="3" customFormat="1" ht="51">
      <c r="A1417" s="232" t="s">
        <v>591</v>
      </c>
      <c r="B1417" s="234" t="s">
        <v>20</v>
      </c>
      <c r="C1417" s="234" t="s">
        <v>8</v>
      </c>
      <c r="D1417" s="234" t="s">
        <v>53</v>
      </c>
      <c r="E1417" s="234" t="s">
        <v>662</v>
      </c>
      <c r="F1417" s="234" t="s">
        <v>58</v>
      </c>
      <c r="G1417" s="289">
        <f>G1418</f>
        <v>14838060</v>
      </c>
      <c r="H1417" s="289">
        <f>H1418</f>
        <v>14838060</v>
      </c>
      <c r="I1417" s="234">
        <v>430420790</v>
      </c>
      <c r="J1417" s="370" t="str">
        <f t="shared" si="171"/>
        <v>0430420790</v>
      </c>
      <c r="K1417" s="30" t="str">
        <f t="shared" si="172"/>
        <v>62005030430420790000</v>
      </c>
    </row>
    <row r="1418" spans="1:11" s="3" customFormat="1" ht="25.5">
      <c r="A1418" s="232" t="s">
        <v>108</v>
      </c>
      <c r="B1418" s="234" t="s">
        <v>20</v>
      </c>
      <c r="C1418" s="234" t="s">
        <v>8</v>
      </c>
      <c r="D1418" s="234" t="s">
        <v>53</v>
      </c>
      <c r="E1418" s="234" t="s">
        <v>662</v>
      </c>
      <c r="F1418" s="234" t="s">
        <v>116</v>
      </c>
      <c r="G1418" s="289">
        <f>G1419</f>
        <v>14838060</v>
      </c>
      <c r="H1418" s="289">
        <f>H1419</f>
        <v>14838060</v>
      </c>
      <c r="I1418" s="234">
        <v>430420790</v>
      </c>
      <c r="J1418" s="370" t="str">
        <f t="shared" si="171"/>
        <v>0430420790</v>
      </c>
      <c r="K1418" s="30" t="str">
        <f t="shared" si="172"/>
        <v>62005030430420790240</v>
      </c>
    </row>
    <row r="1419" spans="1:11" s="4" customFormat="1" ht="25.5">
      <c r="A1419" s="236" t="s">
        <v>973</v>
      </c>
      <c r="B1419" s="234" t="s">
        <v>20</v>
      </c>
      <c r="C1419" s="234" t="s">
        <v>8</v>
      </c>
      <c r="D1419" s="234" t="s">
        <v>53</v>
      </c>
      <c r="E1419" s="234" t="s">
        <v>662</v>
      </c>
      <c r="F1419" s="234" t="s">
        <v>1043</v>
      </c>
      <c r="G1419" s="235">
        <f>VLOOKUP(K1419,'исх АС БЮДЖЕТ'!$A$10:$H$568,7,0)</f>
        <v>14838060</v>
      </c>
      <c r="H1419" s="235">
        <f>VLOOKUP(K1419,'исх АС БЮДЖЕТ'!$A$10:$H$568,8,0)</f>
        <v>14838060</v>
      </c>
      <c r="I1419" s="234">
        <v>430420790</v>
      </c>
      <c r="J1419" s="370" t="str">
        <f t="shared" si="171"/>
        <v>0430420790</v>
      </c>
      <c r="K1419" s="30" t="str">
        <f t="shared" si="172"/>
        <v>62005030430420790244</v>
      </c>
    </row>
    <row r="1420" spans="1:11" s="3" customFormat="1" ht="25.5">
      <c r="A1420" s="232" t="s">
        <v>757</v>
      </c>
      <c r="B1420" s="242" t="s">
        <v>20</v>
      </c>
      <c r="C1420" s="242" t="s">
        <v>8</v>
      </c>
      <c r="D1420" s="242" t="s">
        <v>53</v>
      </c>
      <c r="E1420" s="242" t="s">
        <v>342</v>
      </c>
      <c r="F1420" s="242" t="s">
        <v>58</v>
      </c>
      <c r="G1420" s="284">
        <f t="shared" ref="G1420:H1423" si="175">G1421</f>
        <v>3385520</v>
      </c>
      <c r="H1420" s="284">
        <f t="shared" si="175"/>
        <v>3385520</v>
      </c>
      <c r="I1420" s="242">
        <v>1700000000</v>
      </c>
      <c r="J1420" s="370" t="str">
        <f t="shared" si="171"/>
        <v>1700000000</v>
      </c>
      <c r="K1420" s="30" t="str">
        <f t="shared" si="172"/>
        <v>62005031700000000000</v>
      </c>
    </row>
    <row r="1421" spans="1:11" s="3" customFormat="1" ht="25.5">
      <c r="A1421" s="237" t="s">
        <v>758</v>
      </c>
      <c r="B1421" s="242" t="s">
        <v>20</v>
      </c>
      <c r="C1421" s="242" t="s">
        <v>8</v>
      </c>
      <c r="D1421" s="242" t="s">
        <v>53</v>
      </c>
      <c r="E1421" s="242" t="s">
        <v>343</v>
      </c>
      <c r="F1421" s="242" t="s">
        <v>58</v>
      </c>
      <c r="G1421" s="284">
        <f t="shared" si="175"/>
        <v>3385520</v>
      </c>
      <c r="H1421" s="284">
        <f t="shared" si="175"/>
        <v>3385520</v>
      </c>
      <c r="I1421" s="242" t="s">
        <v>1207</v>
      </c>
      <c r="J1421" s="370" t="str">
        <f t="shared" si="171"/>
        <v>17Б0000000</v>
      </c>
      <c r="K1421" s="30" t="str">
        <f t="shared" si="172"/>
        <v>620050317Б0000000000</v>
      </c>
    </row>
    <row r="1422" spans="1:11" s="3" customFormat="1" ht="25.5">
      <c r="A1422" s="237" t="s">
        <v>528</v>
      </c>
      <c r="B1422" s="242" t="s">
        <v>20</v>
      </c>
      <c r="C1422" s="242" t="s">
        <v>8</v>
      </c>
      <c r="D1422" s="242" t="s">
        <v>53</v>
      </c>
      <c r="E1422" s="242" t="s">
        <v>529</v>
      </c>
      <c r="F1422" s="242" t="s">
        <v>58</v>
      </c>
      <c r="G1422" s="284">
        <f t="shared" si="175"/>
        <v>3385520</v>
      </c>
      <c r="H1422" s="284">
        <f t="shared" si="175"/>
        <v>3385520</v>
      </c>
      <c r="I1422" s="242" t="s">
        <v>1234</v>
      </c>
      <c r="J1422" s="370" t="str">
        <f t="shared" si="171"/>
        <v>17Б0200000</v>
      </c>
      <c r="K1422" s="30" t="str">
        <f t="shared" si="172"/>
        <v>620050317Б0200000000</v>
      </c>
    </row>
    <row r="1423" spans="1:11" s="3" customFormat="1" ht="25.5">
      <c r="A1423" s="236" t="s">
        <v>174</v>
      </c>
      <c r="B1423" s="234" t="s">
        <v>20</v>
      </c>
      <c r="C1423" s="234" t="s">
        <v>8</v>
      </c>
      <c r="D1423" s="234" t="s">
        <v>53</v>
      </c>
      <c r="E1423" s="234" t="s">
        <v>530</v>
      </c>
      <c r="F1423" s="234" t="s">
        <v>58</v>
      </c>
      <c r="G1423" s="290">
        <f t="shared" si="175"/>
        <v>3385520</v>
      </c>
      <c r="H1423" s="290">
        <f t="shared" si="175"/>
        <v>3385520</v>
      </c>
      <c r="I1423" s="234" t="s">
        <v>1235</v>
      </c>
      <c r="J1423" s="370" t="str">
        <f t="shared" si="171"/>
        <v>17Б0220490</v>
      </c>
      <c r="K1423" s="30" t="str">
        <f t="shared" si="172"/>
        <v>620050317Б0220490000</v>
      </c>
    </row>
    <row r="1424" spans="1:11" s="3" customFormat="1" ht="25.5">
      <c r="A1424" s="232" t="s">
        <v>108</v>
      </c>
      <c r="B1424" s="234" t="s">
        <v>20</v>
      </c>
      <c r="C1424" s="234" t="s">
        <v>8</v>
      </c>
      <c r="D1424" s="234" t="s">
        <v>53</v>
      </c>
      <c r="E1424" s="234" t="s">
        <v>530</v>
      </c>
      <c r="F1424" s="234" t="s">
        <v>116</v>
      </c>
      <c r="G1424" s="290">
        <f>G1425</f>
        <v>3385520</v>
      </c>
      <c r="H1424" s="290">
        <f>H1425</f>
        <v>3385520</v>
      </c>
      <c r="I1424" s="234" t="s">
        <v>1235</v>
      </c>
      <c r="J1424" s="370" t="str">
        <f t="shared" si="171"/>
        <v>17Б0220490</v>
      </c>
      <c r="K1424" s="30" t="str">
        <f t="shared" si="172"/>
        <v>620050317Б0220490240</v>
      </c>
    </row>
    <row r="1425" spans="1:11" s="4" customFormat="1" ht="25.5">
      <c r="A1425" s="236" t="s">
        <v>973</v>
      </c>
      <c r="B1425" s="234" t="s">
        <v>20</v>
      </c>
      <c r="C1425" s="234" t="s">
        <v>8</v>
      </c>
      <c r="D1425" s="234" t="s">
        <v>53</v>
      </c>
      <c r="E1425" s="234" t="s">
        <v>530</v>
      </c>
      <c r="F1425" s="234" t="s">
        <v>1043</v>
      </c>
      <c r="G1425" s="235">
        <f>VLOOKUP(K1425,'исх АС БЮДЖЕТ'!$A$10:$H$568,7,0)</f>
        <v>3385520</v>
      </c>
      <c r="H1425" s="235">
        <f>VLOOKUP(K1425,'исх АС БЮДЖЕТ'!$A$10:$H$568,8,0)</f>
        <v>3385520</v>
      </c>
      <c r="I1425" s="234" t="s">
        <v>1235</v>
      </c>
      <c r="J1425" s="370" t="str">
        <f t="shared" si="171"/>
        <v>17Б0220490</v>
      </c>
      <c r="K1425" s="30" t="str">
        <f t="shared" si="172"/>
        <v>620050317Б0220490244</v>
      </c>
    </row>
    <row r="1426" spans="1:11" s="3" customFormat="1">
      <c r="A1426" s="228" t="s">
        <v>3</v>
      </c>
      <c r="B1426" s="229" t="s">
        <v>20</v>
      </c>
      <c r="C1426" s="230" t="s">
        <v>8</v>
      </c>
      <c r="D1426" s="230" t="s">
        <v>8</v>
      </c>
      <c r="E1426" s="230" t="s">
        <v>196</v>
      </c>
      <c r="F1426" s="230" t="s">
        <v>58</v>
      </c>
      <c r="G1426" s="231">
        <f>G1427</f>
        <v>56135030</v>
      </c>
      <c r="H1426" s="231">
        <f>H1427</f>
        <v>56135030</v>
      </c>
      <c r="I1426" s="230">
        <v>0</v>
      </c>
      <c r="J1426" s="370" t="str">
        <f t="shared" ref="J1426:J1461" si="176">TEXT(I1426,"0000000000")</f>
        <v>0000000000</v>
      </c>
      <c r="K1426" s="30" t="str">
        <f t="shared" ref="K1426:K1459" si="177">CONCATENATE(B1426,C1426,D1426,J1426,F1426)</f>
        <v>62005050000000000000</v>
      </c>
    </row>
    <row r="1427" spans="1:11" s="3" customFormat="1" ht="25.5">
      <c r="A1427" s="232" t="s">
        <v>143</v>
      </c>
      <c r="B1427" s="234" t="s">
        <v>20</v>
      </c>
      <c r="C1427" s="234" t="s">
        <v>8</v>
      </c>
      <c r="D1427" s="234" t="s">
        <v>8</v>
      </c>
      <c r="E1427" s="234" t="s">
        <v>508</v>
      </c>
      <c r="F1427" s="234" t="s">
        <v>58</v>
      </c>
      <c r="G1427" s="290">
        <f>G1428</f>
        <v>56135030</v>
      </c>
      <c r="H1427" s="290">
        <f>H1428</f>
        <v>56135030</v>
      </c>
      <c r="I1427" s="234">
        <v>8300000000</v>
      </c>
      <c r="J1427" s="370" t="str">
        <f t="shared" si="176"/>
        <v>8300000000</v>
      </c>
      <c r="K1427" s="30" t="str">
        <f t="shared" si="177"/>
        <v>62005058300000000000</v>
      </c>
    </row>
    <row r="1428" spans="1:11" s="3" customFormat="1" ht="25.5">
      <c r="A1428" s="232" t="s">
        <v>144</v>
      </c>
      <c r="B1428" s="234" t="s">
        <v>20</v>
      </c>
      <c r="C1428" s="234" t="s">
        <v>8</v>
      </c>
      <c r="D1428" s="234" t="s">
        <v>8</v>
      </c>
      <c r="E1428" s="234" t="s">
        <v>509</v>
      </c>
      <c r="F1428" s="234" t="s">
        <v>58</v>
      </c>
      <c r="G1428" s="290">
        <f>G1429+G1438</f>
        <v>56135030</v>
      </c>
      <c r="H1428" s="290">
        <f>H1429+H1438</f>
        <v>56135030</v>
      </c>
      <c r="I1428" s="234">
        <v>8310000000</v>
      </c>
      <c r="J1428" s="370" t="str">
        <f t="shared" si="176"/>
        <v>8310000000</v>
      </c>
      <c r="K1428" s="30" t="str">
        <f t="shared" si="177"/>
        <v>62005058310000000000</v>
      </c>
    </row>
    <row r="1429" spans="1:11" s="3" customFormat="1" ht="25.5">
      <c r="A1429" s="232" t="s">
        <v>114</v>
      </c>
      <c r="B1429" s="234" t="s">
        <v>20</v>
      </c>
      <c r="C1429" s="234" t="s">
        <v>8</v>
      </c>
      <c r="D1429" s="234" t="s">
        <v>8</v>
      </c>
      <c r="E1429" s="234" t="s">
        <v>531</v>
      </c>
      <c r="F1429" s="234" t="s">
        <v>58</v>
      </c>
      <c r="G1429" s="290">
        <f>G1430+G1433+G1435</f>
        <v>7138270</v>
      </c>
      <c r="H1429" s="290">
        <f>H1430+H1433+H1435</f>
        <v>7138270</v>
      </c>
      <c r="I1429" s="234">
        <v>8310010010</v>
      </c>
      <c r="J1429" s="370" t="str">
        <f t="shared" si="176"/>
        <v>8310010010</v>
      </c>
      <c r="K1429" s="30" t="str">
        <f t="shared" si="177"/>
        <v>62005058310010010000</v>
      </c>
    </row>
    <row r="1430" spans="1:11" s="3" customFormat="1">
      <c r="A1430" s="236" t="s">
        <v>107</v>
      </c>
      <c r="B1430" s="234" t="s">
        <v>20</v>
      </c>
      <c r="C1430" s="234" t="s">
        <v>8</v>
      </c>
      <c r="D1430" s="234" t="s">
        <v>8</v>
      </c>
      <c r="E1430" s="234" t="s">
        <v>531</v>
      </c>
      <c r="F1430" s="234" t="s">
        <v>115</v>
      </c>
      <c r="G1430" s="235">
        <f>SUM(G1431:G1432)</f>
        <v>1409900</v>
      </c>
      <c r="H1430" s="235">
        <f>SUM(H1431:H1432)</f>
        <v>1409900</v>
      </c>
      <c r="I1430" s="234">
        <v>8310010010</v>
      </c>
      <c r="J1430" s="370" t="str">
        <f t="shared" si="176"/>
        <v>8310010010</v>
      </c>
      <c r="K1430" s="30" t="str">
        <f t="shared" si="177"/>
        <v>62005058310010010120</v>
      </c>
    </row>
    <row r="1431" spans="1:11" s="4" customFormat="1" ht="25.5">
      <c r="A1431" s="236" t="s">
        <v>937</v>
      </c>
      <c r="B1431" s="234" t="s">
        <v>20</v>
      </c>
      <c r="C1431" s="234" t="s">
        <v>8</v>
      </c>
      <c r="D1431" s="234" t="s">
        <v>8</v>
      </c>
      <c r="E1431" s="234" t="s">
        <v>531</v>
      </c>
      <c r="F1431" s="234" t="s">
        <v>1059</v>
      </c>
      <c r="G1431" s="235">
        <f>VLOOKUP(K1431,'исх АС БЮДЖЕТ'!$A$10:$H$568,7,0)</f>
        <v>1082900</v>
      </c>
      <c r="H1431" s="235">
        <f>VLOOKUP(K1431,'исх АС БЮДЖЕТ'!$A$10:$H$568,8,0)</f>
        <v>1082900</v>
      </c>
      <c r="I1431" s="234">
        <v>8310010010</v>
      </c>
      <c r="J1431" s="370" t="str">
        <f t="shared" si="176"/>
        <v>8310010010</v>
      </c>
      <c r="K1431" s="30" t="str">
        <f t="shared" si="177"/>
        <v>62005058310010010122</v>
      </c>
    </row>
    <row r="1432" spans="1:11" s="4" customFormat="1" ht="38.25">
      <c r="A1432" s="236" t="s">
        <v>939</v>
      </c>
      <c r="B1432" s="234" t="s">
        <v>20</v>
      </c>
      <c r="C1432" s="234" t="s">
        <v>8</v>
      </c>
      <c r="D1432" s="234" t="s">
        <v>8</v>
      </c>
      <c r="E1432" s="234" t="s">
        <v>531</v>
      </c>
      <c r="F1432" s="234" t="s">
        <v>1060</v>
      </c>
      <c r="G1432" s="235">
        <f>VLOOKUP(K1432,'исх АС БЮДЖЕТ'!$A$10:$H$568,7,0)</f>
        <v>327000</v>
      </c>
      <c r="H1432" s="235">
        <f>VLOOKUP(K1432,'исх АС БЮДЖЕТ'!$A$10:$H$568,8,0)</f>
        <v>327000</v>
      </c>
      <c r="I1432" s="234">
        <v>8310010010</v>
      </c>
      <c r="J1432" s="370" t="str">
        <f t="shared" si="176"/>
        <v>8310010010</v>
      </c>
      <c r="K1432" s="30" t="str">
        <f t="shared" si="177"/>
        <v>62005058310010010129</v>
      </c>
    </row>
    <row r="1433" spans="1:11" s="3" customFormat="1" ht="25.5">
      <c r="A1433" s="232" t="s">
        <v>108</v>
      </c>
      <c r="B1433" s="234" t="s">
        <v>20</v>
      </c>
      <c r="C1433" s="234" t="s">
        <v>8</v>
      </c>
      <c r="D1433" s="234" t="s">
        <v>8</v>
      </c>
      <c r="E1433" s="234" t="s">
        <v>531</v>
      </c>
      <c r="F1433" s="234" t="s">
        <v>116</v>
      </c>
      <c r="G1433" s="235">
        <f>G1434</f>
        <v>5619370</v>
      </c>
      <c r="H1433" s="235">
        <f>H1434</f>
        <v>5619370</v>
      </c>
      <c r="I1433" s="234">
        <v>8310010010</v>
      </c>
      <c r="J1433" s="370" t="str">
        <f t="shared" si="176"/>
        <v>8310010010</v>
      </c>
      <c r="K1433" s="30" t="str">
        <f t="shared" si="177"/>
        <v>62005058310010010240</v>
      </c>
    </row>
    <row r="1434" spans="1:11" s="4" customFormat="1" ht="25.5">
      <c r="A1434" s="236" t="s">
        <v>973</v>
      </c>
      <c r="B1434" s="234" t="s">
        <v>20</v>
      </c>
      <c r="C1434" s="234" t="s">
        <v>8</v>
      </c>
      <c r="D1434" s="234" t="s">
        <v>8</v>
      </c>
      <c r="E1434" s="234" t="s">
        <v>531</v>
      </c>
      <c r="F1434" s="234" t="s">
        <v>1043</v>
      </c>
      <c r="G1434" s="235">
        <f>VLOOKUP(K1434,'исх АС БЮДЖЕТ'!$A$10:$H$568,7,0)</f>
        <v>5619370</v>
      </c>
      <c r="H1434" s="235">
        <f>VLOOKUP(K1434,'исх АС БЮДЖЕТ'!$A$10:$H$568,8,0)</f>
        <v>5619370</v>
      </c>
      <c r="I1434" s="234">
        <v>8310010010</v>
      </c>
      <c r="J1434" s="370" t="str">
        <f t="shared" si="176"/>
        <v>8310010010</v>
      </c>
      <c r="K1434" s="30" t="str">
        <f t="shared" si="177"/>
        <v>62005058310010010244</v>
      </c>
    </row>
    <row r="1435" spans="1:11" s="3" customFormat="1">
      <c r="A1435" s="232" t="s">
        <v>97</v>
      </c>
      <c r="B1435" s="234" t="s">
        <v>20</v>
      </c>
      <c r="C1435" s="234" t="s">
        <v>8</v>
      </c>
      <c r="D1435" s="234" t="s">
        <v>8</v>
      </c>
      <c r="E1435" s="234" t="s">
        <v>531</v>
      </c>
      <c r="F1435" s="234" t="s">
        <v>118</v>
      </c>
      <c r="G1435" s="235">
        <f>SUM(G1436:G1437)</f>
        <v>109000</v>
      </c>
      <c r="H1435" s="235">
        <f>SUM(H1436:H1437)</f>
        <v>109000</v>
      </c>
      <c r="I1435" s="234">
        <v>8310010010</v>
      </c>
      <c r="J1435" s="370" t="str">
        <f t="shared" si="176"/>
        <v>8310010010</v>
      </c>
      <c r="K1435" s="30" t="str">
        <f t="shared" si="177"/>
        <v>62005058310010010850</v>
      </c>
    </row>
    <row r="1436" spans="1:11" s="4" customFormat="1">
      <c r="A1436" s="236" t="s">
        <v>1036</v>
      </c>
      <c r="B1436" s="234" t="s">
        <v>20</v>
      </c>
      <c r="C1436" s="234" t="s">
        <v>8</v>
      </c>
      <c r="D1436" s="234" t="s">
        <v>8</v>
      </c>
      <c r="E1436" s="234" t="s">
        <v>531</v>
      </c>
      <c r="F1436" s="234" t="s">
        <v>1061</v>
      </c>
      <c r="G1436" s="235">
        <f>VLOOKUP(K1436,'исх АС БЮДЖЕТ'!$A$10:$H$568,7,0)</f>
        <v>69000</v>
      </c>
      <c r="H1436" s="235">
        <f>VLOOKUP(K1436,'исх АС БЮДЖЕТ'!$A$10:$H$568,8,0)</f>
        <v>69000</v>
      </c>
      <c r="I1436" s="234">
        <v>8310010010</v>
      </c>
      <c r="J1436" s="370" t="str">
        <f t="shared" si="176"/>
        <v>8310010010</v>
      </c>
      <c r="K1436" s="30" t="str">
        <f t="shared" si="177"/>
        <v>62005058310010010851</v>
      </c>
    </row>
    <row r="1437" spans="1:11" s="4" customFormat="1">
      <c r="A1437" s="236" t="s">
        <v>1037</v>
      </c>
      <c r="B1437" s="234" t="s">
        <v>20</v>
      </c>
      <c r="C1437" s="234" t="s">
        <v>8</v>
      </c>
      <c r="D1437" s="234" t="s">
        <v>8</v>
      </c>
      <c r="E1437" s="234" t="s">
        <v>531</v>
      </c>
      <c r="F1437" s="234" t="s">
        <v>1062</v>
      </c>
      <c r="G1437" s="235">
        <f>VLOOKUP(K1437,'исх АС БЮДЖЕТ'!$A$10:$H$568,7,0)</f>
        <v>40000</v>
      </c>
      <c r="H1437" s="235">
        <f>VLOOKUP(K1437,'исх АС БЮДЖЕТ'!$A$10:$H$568,8,0)</f>
        <v>40000</v>
      </c>
      <c r="I1437" s="234">
        <v>8310010010</v>
      </c>
      <c r="J1437" s="370" t="str">
        <f t="shared" si="176"/>
        <v>8310010010</v>
      </c>
      <c r="K1437" s="30" t="str">
        <f t="shared" si="177"/>
        <v>62005058310010010852</v>
      </c>
    </row>
    <row r="1438" spans="1:11" s="3" customFormat="1" ht="25.5">
      <c r="A1438" s="232" t="s">
        <v>126</v>
      </c>
      <c r="B1438" s="234" t="s">
        <v>20</v>
      </c>
      <c r="C1438" s="234" t="s">
        <v>8</v>
      </c>
      <c r="D1438" s="234" t="s">
        <v>8</v>
      </c>
      <c r="E1438" s="234" t="s">
        <v>532</v>
      </c>
      <c r="F1438" s="234" t="s">
        <v>58</v>
      </c>
      <c r="G1438" s="235">
        <f>G1439</f>
        <v>48996760</v>
      </c>
      <c r="H1438" s="235">
        <f>H1439</f>
        <v>48996760</v>
      </c>
      <c r="I1438" s="234">
        <v>8310010020</v>
      </c>
      <c r="J1438" s="370" t="str">
        <f t="shared" si="176"/>
        <v>8310010020</v>
      </c>
      <c r="K1438" s="30" t="str">
        <f t="shared" si="177"/>
        <v>62005058310010020000</v>
      </c>
    </row>
    <row r="1439" spans="1:11" s="3" customFormat="1">
      <c r="A1439" s="236" t="s">
        <v>107</v>
      </c>
      <c r="B1439" s="234" t="s">
        <v>20</v>
      </c>
      <c r="C1439" s="234" t="s">
        <v>8</v>
      </c>
      <c r="D1439" s="234" t="s">
        <v>8</v>
      </c>
      <c r="E1439" s="234" t="s">
        <v>532</v>
      </c>
      <c r="F1439" s="234" t="s">
        <v>115</v>
      </c>
      <c r="G1439" s="235">
        <f>SUM(G1440:G1441)</f>
        <v>48996760</v>
      </c>
      <c r="H1439" s="235">
        <f>SUM(H1440:H1441)</f>
        <v>48996760</v>
      </c>
      <c r="I1439" s="234">
        <v>8310010020</v>
      </c>
      <c r="J1439" s="370" t="str">
        <f t="shared" si="176"/>
        <v>8310010020</v>
      </c>
      <c r="K1439" s="30" t="str">
        <f t="shared" si="177"/>
        <v>62005058310010020120</v>
      </c>
    </row>
    <row r="1440" spans="1:11" s="4" customFormat="1">
      <c r="A1440" s="236" t="s">
        <v>936</v>
      </c>
      <c r="B1440" s="234" t="s">
        <v>20</v>
      </c>
      <c r="C1440" s="234" t="s">
        <v>8</v>
      </c>
      <c r="D1440" s="234" t="s">
        <v>8</v>
      </c>
      <c r="E1440" s="234" t="s">
        <v>532</v>
      </c>
      <c r="F1440" s="234" t="s">
        <v>1063</v>
      </c>
      <c r="G1440" s="235">
        <f>VLOOKUP(K1440,'исх АС БЮДЖЕТ'!$A$10:$H$568,7,0)</f>
        <v>37631920</v>
      </c>
      <c r="H1440" s="235">
        <f>VLOOKUP(K1440,'исх АС БЮДЖЕТ'!$A$10:$H$568,8,0)</f>
        <v>37631920</v>
      </c>
      <c r="I1440" s="234">
        <v>8310010020</v>
      </c>
      <c r="J1440" s="370" t="str">
        <f t="shared" si="176"/>
        <v>8310010020</v>
      </c>
      <c r="K1440" s="30" t="str">
        <f t="shared" si="177"/>
        <v>62005058310010020121</v>
      </c>
    </row>
    <row r="1441" spans="1:11" s="4" customFormat="1" ht="38.25">
      <c r="A1441" s="236" t="s">
        <v>939</v>
      </c>
      <c r="B1441" s="234" t="s">
        <v>20</v>
      </c>
      <c r="C1441" s="234" t="s">
        <v>8</v>
      </c>
      <c r="D1441" s="234" t="s">
        <v>8</v>
      </c>
      <c r="E1441" s="234" t="s">
        <v>532</v>
      </c>
      <c r="F1441" s="234" t="s">
        <v>1060</v>
      </c>
      <c r="G1441" s="235">
        <f>VLOOKUP(K1441,'исх АС БЮДЖЕТ'!$A$10:$H$568,7,0)</f>
        <v>11364840</v>
      </c>
      <c r="H1441" s="235">
        <f>VLOOKUP(K1441,'исх АС БЮДЖЕТ'!$A$10:$H$568,8,0)</f>
        <v>11364840</v>
      </c>
      <c r="I1441" s="234">
        <v>8310010020</v>
      </c>
      <c r="J1441" s="370" t="str">
        <f t="shared" si="176"/>
        <v>8310010020</v>
      </c>
      <c r="K1441" s="30" t="str">
        <f t="shared" si="177"/>
        <v>62005058310010020129</v>
      </c>
    </row>
    <row r="1442" spans="1:11" s="3" customFormat="1">
      <c r="A1442" s="224" t="s">
        <v>49</v>
      </c>
      <c r="B1442" s="225" t="s">
        <v>20</v>
      </c>
      <c r="C1442" s="226" t="s">
        <v>14</v>
      </c>
      <c r="D1442" s="226" t="s">
        <v>51</v>
      </c>
      <c r="E1442" s="226" t="s">
        <v>196</v>
      </c>
      <c r="F1442" s="226" t="s">
        <v>58</v>
      </c>
      <c r="G1442" s="227">
        <f>G1443</f>
        <v>32584610</v>
      </c>
      <c r="H1442" s="227">
        <f>H1443</f>
        <v>32584610</v>
      </c>
      <c r="I1442" s="226">
        <v>0</v>
      </c>
      <c r="J1442" s="370" t="str">
        <f t="shared" si="176"/>
        <v>0000000000</v>
      </c>
      <c r="K1442" s="30" t="str">
        <f t="shared" si="177"/>
        <v>62010000000000000000</v>
      </c>
    </row>
    <row r="1443" spans="1:11" s="3" customFormat="1">
      <c r="A1443" s="228" t="s">
        <v>63</v>
      </c>
      <c r="B1443" s="229" t="s">
        <v>20</v>
      </c>
      <c r="C1443" s="230">
        <v>10</v>
      </c>
      <c r="D1443" s="230" t="s">
        <v>53</v>
      </c>
      <c r="E1443" s="230" t="s">
        <v>196</v>
      </c>
      <c r="F1443" s="230" t="s">
        <v>58</v>
      </c>
      <c r="G1443" s="231">
        <f>G1444+G1454</f>
        <v>32584610</v>
      </c>
      <c r="H1443" s="231">
        <f>H1444+H1454</f>
        <v>32584610</v>
      </c>
      <c r="I1443" s="230">
        <v>0</v>
      </c>
      <c r="J1443" s="370" t="str">
        <f t="shared" si="176"/>
        <v>0000000000</v>
      </c>
      <c r="K1443" s="30" t="str">
        <f t="shared" si="177"/>
        <v>62010030000000000000</v>
      </c>
    </row>
    <row r="1444" spans="1:11" s="3" customFormat="1">
      <c r="A1444" s="248" t="s">
        <v>727</v>
      </c>
      <c r="B1444" s="242" t="s">
        <v>20</v>
      </c>
      <c r="C1444" s="242">
        <v>10</v>
      </c>
      <c r="D1444" s="242" t="s">
        <v>53</v>
      </c>
      <c r="E1444" s="242" t="s">
        <v>327</v>
      </c>
      <c r="F1444" s="242" t="s">
        <v>58</v>
      </c>
      <c r="G1444" s="243">
        <f>G1445</f>
        <v>29979980</v>
      </c>
      <c r="H1444" s="243">
        <f>H1445</f>
        <v>29979980</v>
      </c>
      <c r="I1444" s="242">
        <v>300000000</v>
      </c>
      <c r="J1444" s="370" t="str">
        <f t="shared" si="176"/>
        <v>0300000000</v>
      </c>
      <c r="K1444" s="30" t="str">
        <f t="shared" si="177"/>
        <v>62010030300000000000</v>
      </c>
    </row>
    <row r="1445" spans="1:11" s="3" customFormat="1" ht="38.25">
      <c r="A1445" s="248" t="s">
        <v>842</v>
      </c>
      <c r="B1445" s="242" t="s">
        <v>20</v>
      </c>
      <c r="C1445" s="242">
        <v>10</v>
      </c>
      <c r="D1445" s="242" t="s">
        <v>53</v>
      </c>
      <c r="E1445" s="242" t="s">
        <v>328</v>
      </c>
      <c r="F1445" s="242" t="s">
        <v>58</v>
      </c>
      <c r="G1445" s="243">
        <f>G1446+G1450</f>
        <v>29979980</v>
      </c>
      <c r="H1445" s="243">
        <f>H1446+H1450</f>
        <v>29979980</v>
      </c>
      <c r="I1445" s="242">
        <v>320000000</v>
      </c>
      <c r="J1445" s="370" t="str">
        <f t="shared" si="176"/>
        <v>0320000000</v>
      </c>
      <c r="K1445" s="30" t="str">
        <f t="shared" si="177"/>
        <v>62010030320000000000</v>
      </c>
    </row>
    <row r="1446" spans="1:11" s="3" customFormat="1" ht="38.25">
      <c r="A1446" s="237" t="s">
        <v>638</v>
      </c>
      <c r="B1446" s="242" t="s">
        <v>20</v>
      </c>
      <c r="C1446" s="242">
        <v>10</v>
      </c>
      <c r="D1446" s="242" t="s">
        <v>53</v>
      </c>
      <c r="E1446" s="242" t="s">
        <v>634</v>
      </c>
      <c r="F1446" s="242" t="s">
        <v>58</v>
      </c>
      <c r="G1446" s="243">
        <f t="shared" ref="G1446:H1447" si="178">G1447</f>
        <v>2109260</v>
      </c>
      <c r="H1446" s="243">
        <f t="shared" si="178"/>
        <v>2109260</v>
      </c>
      <c r="I1446" s="242">
        <v>320300000</v>
      </c>
      <c r="J1446" s="370" t="str">
        <f t="shared" si="176"/>
        <v>0320300000</v>
      </c>
      <c r="K1446" s="30" t="str">
        <f t="shared" si="177"/>
        <v>62010030320300000000</v>
      </c>
    </row>
    <row r="1447" spans="1:11" s="3" customFormat="1" ht="38.25">
      <c r="A1447" s="232" t="s">
        <v>533</v>
      </c>
      <c r="B1447" s="234" t="s">
        <v>20</v>
      </c>
      <c r="C1447" s="234">
        <v>10</v>
      </c>
      <c r="D1447" s="234" t="s">
        <v>53</v>
      </c>
      <c r="E1447" s="234" t="s">
        <v>639</v>
      </c>
      <c r="F1447" s="234" t="s">
        <v>58</v>
      </c>
      <c r="G1447" s="235">
        <f t="shared" si="178"/>
        <v>2109260</v>
      </c>
      <c r="H1447" s="235">
        <f t="shared" si="178"/>
        <v>2109260</v>
      </c>
      <c r="I1447" s="234">
        <v>320380020</v>
      </c>
      <c r="J1447" s="370" t="str">
        <f t="shared" si="176"/>
        <v>0320380020</v>
      </c>
      <c r="K1447" s="30" t="str">
        <f t="shared" si="177"/>
        <v>62010030320380020000</v>
      </c>
    </row>
    <row r="1448" spans="1:11" s="3" customFormat="1" ht="38.25">
      <c r="A1448" s="232" t="s">
        <v>561</v>
      </c>
      <c r="B1448" s="234" t="s">
        <v>20</v>
      </c>
      <c r="C1448" s="234">
        <v>10</v>
      </c>
      <c r="D1448" s="234" t="s">
        <v>53</v>
      </c>
      <c r="E1448" s="234" t="s">
        <v>639</v>
      </c>
      <c r="F1448" s="234" t="s">
        <v>101</v>
      </c>
      <c r="G1448" s="235">
        <f>G1449</f>
        <v>2109260</v>
      </c>
      <c r="H1448" s="235">
        <f>H1449</f>
        <v>2109260</v>
      </c>
      <c r="I1448" s="234">
        <v>320380020</v>
      </c>
      <c r="J1448" s="370" t="str">
        <f t="shared" si="176"/>
        <v>0320380020</v>
      </c>
      <c r="K1448" s="30" t="str">
        <f t="shared" si="177"/>
        <v>62010030320380020810</v>
      </c>
    </row>
    <row r="1449" spans="1:11" s="4" customFormat="1" ht="38.25">
      <c r="A1449" s="236" t="s">
        <v>1047</v>
      </c>
      <c r="B1449" s="234" t="s">
        <v>20</v>
      </c>
      <c r="C1449" s="234">
        <v>10</v>
      </c>
      <c r="D1449" s="234" t="s">
        <v>53</v>
      </c>
      <c r="E1449" s="234" t="s">
        <v>639</v>
      </c>
      <c r="F1449" s="234" t="s">
        <v>1050</v>
      </c>
      <c r="G1449" s="235">
        <f>VLOOKUP(K1449,'исх АС БЮДЖЕТ'!$A$10:$H$568,7,0)</f>
        <v>2109260</v>
      </c>
      <c r="H1449" s="235">
        <f>VLOOKUP(K1449,'исх АС БЮДЖЕТ'!$A$10:$H$568,8,0)</f>
        <v>2109260</v>
      </c>
      <c r="I1449" s="234">
        <v>320380020</v>
      </c>
      <c r="J1449" s="370" t="str">
        <f t="shared" si="176"/>
        <v>0320380020</v>
      </c>
      <c r="K1449" s="30" t="str">
        <f t="shared" si="177"/>
        <v>62010030320380020811</v>
      </c>
    </row>
    <row r="1450" spans="1:11" s="3" customFormat="1" ht="38.25">
      <c r="A1450" s="237" t="s">
        <v>641</v>
      </c>
      <c r="B1450" s="242" t="s">
        <v>20</v>
      </c>
      <c r="C1450" s="242">
        <v>10</v>
      </c>
      <c r="D1450" s="242" t="s">
        <v>53</v>
      </c>
      <c r="E1450" s="242" t="s">
        <v>637</v>
      </c>
      <c r="F1450" s="242" t="s">
        <v>58</v>
      </c>
      <c r="G1450" s="243">
        <f t="shared" ref="G1450:H1451" si="179">G1451</f>
        <v>27870720</v>
      </c>
      <c r="H1450" s="243">
        <f t="shared" si="179"/>
        <v>27870720</v>
      </c>
      <c r="I1450" s="242">
        <v>320400000</v>
      </c>
      <c r="J1450" s="370" t="str">
        <f t="shared" si="176"/>
        <v>0320400000</v>
      </c>
      <c r="K1450" s="30" t="str">
        <f t="shared" si="177"/>
        <v>62010030320400000000</v>
      </c>
    </row>
    <row r="1451" spans="1:11" s="3" customFormat="1" ht="38.25">
      <c r="A1451" s="232" t="s">
        <v>534</v>
      </c>
      <c r="B1451" s="234" t="s">
        <v>20</v>
      </c>
      <c r="C1451" s="234">
        <v>10</v>
      </c>
      <c r="D1451" s="234" t="s">
        <v>53</v>
      </c>
      <c r="E1451" s="234" t="s">
        <v>640</v>
      </c>
      <c r="F1451" s="234" t="s">
        <v>58</v>
      </c>
      <c r="G1451" s="235">
        <f t="shared" si="179"/>
        <v>27870720</v>
      </c>
      <c r="H1451" s="235">
        <f t="shared" si="179"/>
        <v>27870720</v>
      </c>
      <c r="I1451" s="234">
        <v>320480220</v>
      </c>
      <c r="J1451" s="370" t="str">
        <f t="shared" si="176"/>
        <v>0320480220</v>
      </c>
      <c r="K1451" s="30" t="str">
        <f t="shared" si="177"/>
        <v>62010030320480220000</v>
      </c>
    </row>
    <row r="1452" spans="1:11" s="3" customFormat="1" ht="38.25">
      <c r="A1452" s="232" t="s">
        <v>561</v>
      </c>
      <c r="B1452" s="234" t="s">
        <v>20</v>
      </c>
      <c r="C1452" s="234">
        <v>10</v>
      </c>
      <c r="D1452" s="234" t="s">
        <v>53</v>
      </c>
      <c r="E1452" s="234" t="s">
        <v>640</v>
      </c>
      <c r="F1452" s="234" t="s">
        <v>101</v>
      </c>
      <c r="G1452" s="235">
        <f>G1453</f>
        <v>27870720</v>
      </c>
      <c r="H1452" s="235">
        <f>H1453</f>
        <v>27870720</v>
      </c>
      <c r="I1452" s="234">
        <v>320480220</v>
      </c>
      <c r="J1452" s="370" t="str">
        <f t="shared" si="176"/>
        <v>0320480220</v>
      </c>
      <c r="K1452" s="30" t="str">
        <f t="shared" si="177"/>
        <v>62010030320480220810</v>
      </c>
    </row>
    <row r="1453" spans="1:11" s="4" customFormat="1" ht="63.75">
      <c r="A1453" s="236" t="s">
        <v>1048</v>
      </c>
      <c r="B1453" s="234" t="s">
        <v>20</v>
      </c>
      <c r="C1453" s="234">
        <v>10</v>
      </c>
      <c r="D1453" s="234" t="s">
        <v>53</v>
      </c>
      <c r="E1453" s="234" t="s">
        <v>640</v>
      </c>
      <c r="F1453" s="234" t="s">
        <v>1051</v>
      </c>
      <c r="G1453" s="235">
        <f>VLOOKUP(K1453,'исх АС БЮДЖЕТ'!$A$10:$H$568,7,0)</f>
        <v>27870720</v>
      </c>
      <c r="H1453" s="235">
        <f>VLOOKUP(K1453,'исх АС БЮДЖЕТ'!$A$10:$H$568,8,0)</f>
        <v>27870720</v>
      </c>
      <c r="I1453" s="234">
        <v>320480220</v>
      </c>
      <c r="J1453" s="370" t="str">
        <f t="shared" si="176"/>
        <v>0320480220</v>
      </c>
      <c r="K1453" s="30" t="str">
        <f t="shared" si="177"/>
        <v>62010030320480220812</v>
      </c>
    </row>
    <row r="1454" spans="1:11" s="3" customFormat="1" ht="25.5">
      <c r="A1454" s="232" t="s">
        <v>733</v>
      </c>
      <c r="B1454" s="242" t="s">
        <v>20</v>
      </c>
      <c r="C1454" s="242" t="s">
        <v>14</v>
      </c>
      <c r="D1454" s="242" t="s">
        <v>53</v>
      </c>
      <c r="E1454" s="242" t="s">
        <v>524</v>
      </c>
      <c r="F1454" s="242" t="s">
        <v>58</v>
      </c>
      <c r="G1454" s="243">
        <f t="shared" ref="G1454:H1454" si="180">G1455</f>
        <v>2604630</v>
      </c>
      <c r="H1454" s="243">
        <f t="shared" si="180"/>
        <v>2604630</v>
      </c>
      <c r="I1454" s="242">
        <v>600000000</v>
      </c>
      <c r="J1454" s="370" t="str">
        <f t="shared" si="176"/>
        <v>0600000000</v>
      </c>
      <c r="K1454" s="30" t="str">
        <f t="shared" si="177"/>
        <v>62010030600000000000</v>
      </c>
    </row>
    <row r="1455" spans="1:11" s="3" customFormat="1" ht="25.5">
      <c r="A1455" s="237" t="s">
        <v>735</v>
      </c>
      <c r="B1455" s="242" t="s">
        <v>20</v>
      </c>
      <c r="C1455" s="242" t="s">
        <v>14</v>
      </c>
      <c r="D1455" s="242" t="s">
        <v>53</v>
      </c>
      <c r="E1455" s="242" t="s">
        <v>734</v>
      </c>
      <c r="F1455" s="242" t="s">
        <v>58</v>
      </c>
      <c r="G1455" s="243">
        <f t="shared" ref="G1455:H1458" si="181">G1456</f>
        <v>2604630</v>
      </c>
      <c r="H1455" s="243">
        <f t="shared" si="181"/>
        <v>2604630</v>
      </c>
      <c r="I1455" s="242" t="s">
        <v>1239</v>
      </c>
      <c r="J1455" s="370" t="str">
        <f t="shared" si="176"/>
        <v>06Б0000000</v>
      </c>
      <c r="K1455" s="30" t="str">
        <f t="shared" si="177"/>
        <v>620100306Б0000000000</v>
      </c>
    </row>
    <row r="1456" spans="1:11" s="3" customFormat="1">
      <c r="A1456" s="237" t="s">
        <v>535</v>
      </c>
      <c r="B1456" s="242" t="s">
        <v>20</v>
      </c>
      <c r="C1456" s="242" t="s">
        <v>14</v>
      </c>
      <c r="D1456" s="242" t="s">
        <v>53</v>
      </c>
      <c r="E1456" s="242" t="s">
        <v>761</v>
      </c>
      <c r="F1456" s="242" t="s">
        <v>58</v>
      </c>
      <c r="G1456" s="243">
        <f t="shared" si="181"/>
        <v>2604630</v>
      </c>
      <c r="H1456" s="243">
        <f t="shared" si="181"/>
        <v>2604630</v>
      </c>
      <c r="I1456" s="242" t="s">
        <v>1240</v>
      </c>
      <c r="J1456" s="370" t="str">
        <f t="shared" si="176"/>
        <v>06Б0100000</v>
      </c>
      <c r="K1456" s="30" t="str">
        <f t="shared" si="177"/>
        <v>620100306Б0100000000</v>
      </c>
    </row>
    <row r="1457" spans="1:11" s="3" customFormat="1" ht="38.25">
      <c r="A1457" s="232" t="s">
        <v>898</v>
      </c>
      <c r="B1457" s="242" t="s">
        <v>20</v>
      </c>
      <c r="C1457" s="242" t="s">
        <v>14</v>
      </c>
      <c r="D1457" s="242" t="s">
        <v>53</v>
      </c>
      <c r="E1457" s="242" t="s">
        <v>769</v>
      </c>
      <c r="F1457" s="242" t="s">
        <v>58</v>
      </c>
      <c r="G1457" s="243">
        <f t="shared" si="181"/>
        <v>2604630</v>
      </c>
      <c r="H1457" s="243">
        <f t="shared" si="181"/>
        <v>2604630</v>
      </c>
      <c r="I1457" s="242" t="s">
        <v>1241</v>
      </c>
      <c r="J1457" s="370" t="str">
        <f t="shared" si="176"/>
        <v>06Б01L0200</v>
      </c>
      <c r="K1457" s="30" t="str">
        <f t="shared" si="177"/>
        <v>620100306Б01L0200000</v>
      </c>
    </row>
    <row r="1458" spans="1:11" s="3" customFormat="1" ht="25.5">
      <c r="A1458" s="244" t="s">
        <v>110</v>
      </c>
      <c r="B1458" s="242" t="s">
        <v>20</v>
      </c>
      <c r="C1458" s="242" t="s">
        <v>14</v>
      </c>
      <c r="D1458" s="242" t="s">
        <v>53</v>
      </c>
      <c r="E1458" s="242" t="s">
        <v>769</v>
      </c>
      <c r="F1458" s="242" t="s">
        <v>117</v>
      </c>
      <c r="G1458" s="243">
        <f t="shared" si="181"/>
        <v>2604630</v>
      </c>
      <c r="H1458" s="243">
        <f t="shared" si="181"/>
        <v>2604630</v>
      </c>
      <c r="I1458" s="242" t="s">
        <v>1241</v>
      </c>
      <c r="J1458" s="370" t="str">
        <f t="shared" si="176"/>
        <v>06Б01L0200</v>
      </c>
      <c r="K1458" s="30" t="str">
        <f t="shared" si="177"/>
        <v>620100306Б01L0200320</v>
      </c>
    </row>
    <row r="1459" spans="1:11" s="4" customFormat="1">
      <c r="A1459" s="236" t="s">
        <v>980</v>
      </c>
      <c r="B1459" s="242" t="s">
        <v>20</v>
      </c>
      <c r="C1459" s="242" t="s">
        <v>14</v>
      </c>
      <c r="D1459" s="242" t="s">
        <v>53</v>
      </c>
      <c r="E1459" s="242" t="s">
        <v>769</v>
      </c>
      <c r="F1459" s="242" t="s">
        <v>1053</v>
      </c>
      <c r="G1459" s="235">
        <f>VLOOKUP(K1459,'исх АС БЮДЖЕТ'!$A$10:$H$568,7,0)</f>
        <v>2604630</v>
      </c>
      <c r="H1459" s="235">
        <f>VLOOKUP(K1459,'исх АС БЮДЖЕТ'!$A$10:$H$568,8,0)</f>
        <v>2604630</v>
      </c>
      <c r="I1459" s="242" t="s">
        <v>1241</v>
      </c>
      <c r="J1459" s="370" t="str">
        <f t="shared" si="176"/>
        <v>06Б01L0200</v>
      </c>
      <c r="K1459" s="30" t="str">
        <f t="shared" si="177"/>
        <v>620100306Б01L0200322</v>
      </c>
    </row>
    <row r="1460" spans="1:11" s="4" customFormat="1">
      <c r="A1460" s="236"/>
      <c r="B1460" s="242"/>
      <c r="C1460" s="242"/>
      <c r="D1460" s="242"/>
      <c r="E1460" s="242"/>
      <c r="F1460" s="242"/>
      <c r="G1460" s="235"/>
      <c r="H1460" s="235"/>
      <c r="I1460" s="242"/>
      <c r="J1460" s="370"/>
      <c r="K1460" s="30"/>
    </row>
    <row r="1461" spans="1:11" s="3" customFormat="1">
      <c r="A1461" s="219" t="s">
        <v>15</v>
      </c>
      <c r="B1461" s="220" t="s">
        <v>16</v>
      </c>
      <c r="C1461" s="221" t="s">
        <v>51</v>
      </c>
      <c r="D1461" s="221" t="s">
        <v>51</v>
      </c>
      <c r="E1461" s="221" t="s">
        <v>196</v>
      </c>
      <c r="F1461" s="221" t="s">
        <v>58</v>
      </c>
      <c r="G1461" s="222">
        <f>G1462+G1492+G1509+G1524</f>
        <v>71889250</v>
      </c>
      <c r="H1461" s="222">
        <f>H1462+H1492+H1509+H1524</f>
        <v>77315300</v>
      </c>
      <c r="I1461" s="221">
        <v>0</v>
      </c>
      <c r="J1461" s="370" t="str">
        <f t="shared" si="176"/>
        <v>0000000000</v>
      </c>
      <c r="K1461" s="30" t="str">
        <f t="shared" ref="K1461:K1484" si="182">CONCATENATE(B1461,C1461,D1461,J1461,F1461)</f>
        <v>62100000000000000000</v>
      </c>
    </row>
    <row r="1462" spans="1:11" s="3" customFormat="1">
      <c r="A1462" s="224" t="s">
        <v>64</v>
      </c>
      <c r="B1462" s="225" t="s">
        <v>16</v>
      </c>
      <c r="C1462" s="226" t="s">
        <v>65</v>
      </c>
      <c r="D1462" s="226" t="s">
        <v>51</v>
      </c>
      <c r="E1462" s="226" t="s">
        <v>196</v>
      </c>
      <c r="F1462" s="226" t="s">
        <v>58</v>
      </c>
      <c r="G1462" s="227">
        <f>G1463</f>
        <v>51780950</v>
      </c>
      <c r="H1462" s="227">
        <f>H1463</f>
        <v>51780950</v>
      </c>
      <c r="I1462" s="226">
        <v>0</v>
      </c>
      <c r="J1462" s="370" t="str">
        <f t="shared" ref="J1462:J1508" si="183">TEXT(I1462,"0000000000")</f>
        <v>0000000000</v>
      </c>
      <c r="K1462" s="30" t="str">
        <f t="shared" si="182"/>
        <v>62101000000000000000</v>
      </c>
    </row>
    <row r="1463" spans="1:11" s="3" customFormat="1">
      <c r="A1463" s="228" t="s">
        <v>38</v>
      </c>
      <c r="B1463" s="229" t="s">
        <v>16</v>
      </c>
      <c r="C1463" s="230" t="s">
        <v>65</v>
      </c>
      <c r="D1463" s="230" t="s">
        <v>84</v>
      </c>
      <c r="E1463" s="230" t="s">
        <v>196</v>
      </c>
      <c r="F1463" s="230" t="s">
        <v>58</v>
      </c>
      <c r="G1463" s="231">
        <f>G1464+G1470</f>
        <v>51780950</v>
      </c>
      <c r="H1463" s="231">
        <f>H1464+H1470</f>
        <v>51780950</v>
      </c>
      <c r="I1463" s="230">
        <v>0</v>
      </c>
      <c r="J1463" s="370" t="str">
        <f t="shared" si="183"/>
        <v>0000000000</v>
      </c>
      <c r="K1463" s="30" t="str">
        <f t="shared" si="182"/>
        <v>62101130000000000000</v>
      </c>
    </row>
    <row r="1464" spans="1:11" s="3" customFormat="1" ht="38.25">
      <c r="A1464" s="237" t="s">
        <v>751</v>
      </c>
      <c r="B1464" s="233" t="s">
        <v>16</v>
      </c>
      <c r="C1464" s="234" t="s">
        <v>65</v>
      </c>
      <c r="D1464" s="234" t="s">
        <v>84</v>
      </c>
      <c r="E1464" s="234" t="s">
        <v>229</v>
      </c>
      <c r="F1464" s="234" t="s">
        <v>58</v>
      </c>
      <c r="G1464" s="235">
        <f t="shared" ref="G1464:H1467" si="184">G1465</f>
        <v>765000</v>
      </c>
      <c r="H1464" s="235">
        <f t="shared" si="184"/>
        <v>765000</v>
      </c>
      <c r="I1464" s="234">
        <v>1400000000</v>
      </c>
      <c r="J1464" s="370" t="str">
        <f t="shared" si="183"/>
        <v>1400000000</v>
      </c>
      <c r="K1464" s="30" t="str">
        <f t="shared" si="182"/>
        <v>62101131400000000000</v>
      </c>
    </row>
    <row r="1465" spans="1:11" s="3" customFormat="1">
      <c r="A1465" s="232" t="s">
        <v>119</v>
      </c>
      <c r="B1465" s="233" t="s">
        <v>16</v>
      </c>
      <c r="C1465" s="234" t="s">
        <v>65</v>
      </c>
      <c r="D1465" s="234" t="s">
        <v>84</v>
      </c>
      <c r="E1465" s="234" t="s">
        <v>230</v>
      </c>
      <c r="F1465" s="234" t="s">
        <v>58</v>
      </c>
      <c r="G1465" s="235">
        <f t="shared" si="184"/>
        <v>765000</v>
      </c>
      <c r="H1465" s="235">
        <f t="shared" si="184"/>
        <v>765000</v>
      </c>
      <c r="I1465" s="234">
        <v>1410000000</v>
      </c>
      <c r="J1465" s="370" t="str">
        <f t="shared" si="183"/>
        <v>1410000000</v>
      </c>
      <c r="K1465" s="30" t="str">
        <f t="shared" si="182"/>
        <v>62101131410000000000</v>
      </c>
    </row>
    <row r="1466" spans="1:11" s="3" customFormat="1" ht="38.25">
      <c r="A1466" s="232" t="s">
        <v>579</v>
      </c>
      <c r="B1466" s="233" t="s">
        <v>16</v>
      </c>
      <c r="C1466" s="234" t="s">
        <v>65</v>
      </c>
      <c r="D1466" s="234" t="s">
        <v>84</v>
      </c>
      <c r="E1466" s="234" t="s">
        <v>235</v>
      </c>
      <c r="F1466" s="234" t="s">
        <v>58</v>
      </c>
      <c r="G1466" s="235">
        <f t="shared" si="184"/>
        <v>765000</v>
      </c>
      <c r="H1466" s="235">
        <f t="shared" si="184"/>
        <v>765000</v>
      </c>
      <c r="I1466" s="234">
        <v>1410200000</v>
      </c>
      <c r="J1466" s="370" t="str">
        <f t="shared" si="183"/>
        <v>1410200000</v>
      </c>
      <c r="K1466" s="30" t="str">
        <f t="shared" si="182"/>
        <v>62101131410200000000</v>
      </c>
    </row>
    <row r="1467" spans="1:11" s="3" customFormat="1" ht="25.5">
      <c r="A1467" s="232" t="s">
        <v>170</v>
      </c>
      <c r="B1467" s="233" t="s">
        <v>16</v>
      </c>
      <c r="C1467" s="234" t="s">
        <v>65</v>
      </c>
      <c r="D1467" s="234" t="s">
        <v>84</v>
      </c>
      <c r="E1467" s="234" t="s">
        <v>236</v>
      </c>
      <c r="F1467" s="234" t="s">
        <v>58</v>
      </c>
      <c r="G1467" s="235">
        <f t="shared" si="184"/>
        <v>765000</v>
      </c>
      <c r="H1467" s="235">
        <f t="shared" si="184"/>
        <v>765000</v>
      </c>
      <c r="I1467" s="234">
        <v>1410220630</v>
      </c>
      <c r="J1467" s="370" t="str">
        <f t="shared" si="183"/>
        <v>1410220630</v>
      </c>
      <c r="K1467" s="30" t="str">
        <f t="shared" si="182"/>
        <v>62101131410220630000</v>
      </c>
    </row>
    <row r="1468" spans="1:11" s="3" customFormat="1" ht="25.5">
      <c r="A1468" s="232" t="s">
        <v>108</v>
      </c>
      <c r="B1468" s="233" t="s">
        <v>16</v>
      </c>
      <c r="C1468" s="234" t="s">
        <v>65</v>
      </c>
      <c r="D1468" s="234" t="s">
        <v>84</v>
      </c>
      <c r="E1468" s="234" t="s">
        <v>236</v>
      </c>
      <c r="F1468" s="234" t="s">
        <v>116</v>
      </c>
      <c r="G1468" s="235">
        <f>G1469</f>
        <v>765000</v>
      </c>
      <c r="H1468" s="235">
        <f>H1469</f>
        <v>765000</v>
      </c>
      <c r="I1468" s="234">
        <v>1410220630</v>
      </c>
      <c r="J1468" s="370" t="str">
        <f t="shared" si="183"/>
        <v>1410220630</v>
      </c>
      <c r="K1468" s="30" t="str">
        <f t="shared" si="182"/>
        <v>62101131410220630240</v>
      </c>
    </row>
    <row r="1469" spans="1:11" s="4" customFormat="1" ht="25.5">
      <c r="A1469" s="236" t="s">
        <v>973</v>
      </c>
      <c r="B1469" s="233" t="s">
        <v>16</v>
      </c>
      <c r="C1469" s="234" t="s">
        <v>65</v>
      </c>
      <c r="D1469" s="234" t="s">
        <v>84</v>
      </c>
      <c r="E1469" s="234" t="s">
        <v>236</v>
      </c>
      <c r="F1469" s="234" t="s">
        <v>1043</v>
      </c>
      <c r="G1469" s="235">
        <f>VLOOKUP(K1469,'исх АС БЮДЖЕТ'!$A$10:$H$568,7,0)</f>
        <v>765000</v>
      </c>
      <c r="H1469" s="235">
        <f>VLOOKUP(K1469,'исх АС БЮДЖЕТ'!$A$10:$H$568,8,0)</f>
        <v>765000</v>
      </c>
      <c r="I1469" s="234">
        <v>1410220630</v>
      </c>
      <c r="J1469" s="370" t="str">
        <f t="shared" si="183"/>
        <v>1410220630</v>
      </c>
      <c r="K1469" s="30" t="str">
        <f t="shared" si="182"/>
        <v>62101131410220630244</v>
      </c>
    </row>
    <row r="1470" spans="1:11" s="3" customFormat="1" ht="25.5">
      <c r="A1470" s="291" t="s">
        <v>195</v>
      </c>
      <c r="B1470" s="233" t="s">
        <v>16</v>
      </c>
      <c r="C1470" s="234" t="s">
        <v>65</v>
      </c>
      <c r="D1470" s="234" t="s">
        <v>84</v>
      </c>
      <c r="E1470" s="234" t="s">
        <v>572</v>
      </c>
      <c r="F1470" s="234" t="s">
        <v>58</v>
      </c>
      <c r="G1470" s="235">
        <f>G1471+G1485</f>
        <v>51015950</v>
      </c>
      <c r="H1470" s="235">
        <f>H1471+H1485</f>
        <v>51015950</v>
      </c>
      <c r="I1470" s="234">
        <v>8400000000</v>
      </c>
      <c r="J1470" s="370" t="str">
        <f t="shared" si="183"/>
        <v>8400000000</v>
      </c>
      <c r="K1470" s="30" t="str">
        <f t="shared" si="182"/>
        <v>62101138400000000000</v>
      </c>
    </row>
    <row r="1471" spans="1:11" s="3" customFormat="1" ht="25.5">
      <c r="A1471" s="291" t="s">
        <v>580</v>
      </c>
      <c r="B1471" s="233" t="s">
        <v>16</v>
      </c>
      <c r="C1471" s="234" t="s">
        <v>65</v>
      </c>
      <c r="D1471" s="234" t="s">
        <v>84</v>
      </c>
      <c r="E1471" s="234" t="s">
        <v>573</v>
      </c>
      <c r="F1471" s="234" t="s">
        <v>58</v>
      </c>
      <c r="G1471" s="235">
        <f>G1472+G1481</f>
        <v>46915950</v>
      </c>
      <c r="H1471" s="235">
        <f>H1472+H1481</f>
        <v>46915950</v>
      </c>
      <c r="I1471" s="234">
        <v>8410000000</v>
      </c>
      <c r="J1471" s="370" t="str">
        <f t="shared" si="183"/>
        <v>8410000000</v>
      </c>
      <c r="K1471" s="30" t="str">
        <f t="shared" si="182"/>
        <v>62101138410000000000</v>
      </c>
    </row>
    <row r="1472" spans="1:11" s="3" customFormat="1" ht="25.5">
      <c r="A1472" s="291" t="s">
        <v>114</v>
      </c>
      <c r="B1472" s="233" t="s">
        <v>16</v>
      </c>
      <c r="C1472" s="234" t="s">
        <v>65</v>
      </c>
      <c r="D1472" s="234" t="s">
        <v>84</v>
      </c>
      <c r="E1472" s="234" t="s">
        <v>574</v>
      </c>
      <c r="F1472" s="234" t="s">
        <v>58</v>
      </c>
      <c r="G1472" s="235">
        <f>G1473+G1476+G1478</f>
        <v>4084580</v>
      </c>
      <c r="H1472" s="235">
        <f>H1473+H1476+H1478</f>
        <v>4084580</v>
      </c>
      <c r="I1472" s="234">
        <v>8410010010</v>
      </c>
      <c r="J1472" s="370" t="str">
        <f t="shared" si="183"/>
        <v>8410010010</v>
      </c>
      <c r="K1472" s="30" t="str">
        <f t="shared" si="182"/>
        <v>62101138410010010000</v>
      </c>
    </row>
    <row r="1473" spans="1:11" s="3" customFormat="1">
      <c r="A1473" s="244" t="s">
        <v>107</v>
      </c>
      <c r="B1473" s="233" t="s">
        <v>16</v>
      </c>
      <c r="C1473" s="234" t="s">
        <v>65</v>
      </c>
      <c r="D1473" s="234" t="s">
        <v>84</v>
      </c>
      <c r="E1473" s="234" t="s">
        <v>574</v>
      </c>
      <c r="F1473" s="234" t="s">
        <v>115</v>
      </c>
      <c r="G1473" s="235">
        <f>SUM(G1474:G1475)</f>
        <v>994430</v>
      </c>
      <c r="H1473" s="235">
        <f>SUM(H1474:H1475)</f>
        <v>994430</v>
      </c>
      <c r="I1473" s="234">
        <v>8410010010</v>
      </c>
      <c r="J1473" s="370" t="str">
        <f t="shared" si="183"/>
        <v>8410010010</v>
      </c>
      <c r="K1473" s="30" t="str">
        <f t="shared" si="182"/>
        <v>62101138410010010120</v>
      </c>
    </row>
    <row r="1474" spans="1:11" s="3" customFormat="1" ht="25.5">
      <c r="A1474" s="232" t="s">
        <v>937</v>
      </c>
      <c r="B1474" s="233" t="s">
        <v>16</v>
      </c>
      <c r="C1474" s="234" t="s">
        <v>65</v>
      </c>
      <c r="D1474" s="234" t="s">
        <v>84</v>
      </c>
      <c r="E1474" s="234" t="s">
        <v>574</v>
      </c>
      <c r="F1474" s="234" t="s">
        <v>1059</v>
      </c>
      <c r="G1474" s="235">
        <f>VLOOKUP(K1474,'исх АС БЮДЖЕТ'!$A$10:$H$568,7,0)</f>
        <v>763770</v>
      </c>
      <c r="H1474" s="235">
        <f>VLOOKUP(K1474,'исх АС БЮДЖЕТ'!$A$10:$H$568,8,0)</f>
        <v>763770</v>
      </c>
      <c r="I1474" s="234">
        <v>8410010010</v>
      </c>
      <c r="J1474" s="370" t="str">
        <f t="shared" si="183"/>
        <v>8410010010</v>
      </c>
      <c r="K1474" s="30" t="str">
        <f t="shared" si="182"/>
        <v>62101138410010010122</v>
      </c>
    </row>
    <row r="1475" spans="1:11" s="3" customFormat="1" ht="38.25">
      <c r="A1475" s="232" t="s">
        <v>939</v>
      </c>
      <c r="B1475" s="233" t="s">
        <v>16</v>
      </c>
      <c r="C1475" s="234" t="s">
        <v>65</v>
      </c>
      <c r="D1475" s="234" t="s">
        <v>84</v>
      </c>
      <c r="E1475" s="234" t="s">
        <v>574</v>
      </c>
      <c r="F1475" s="234" t="s">
        <v>1060</v>
      </c>
      <c r="G1475" s="235">
        <f>VLOOKUP(K1475,'исх АС БЮДЖЕТ'!$A$10:$H$568,7,0)</f>
        <v>230660</v>
      </c>
      <c r="H1475" s="235">
        <f>VLOOKUP(K1475,'исх АС БЮДЖЕТ'!$A$10:$H$568,8,0)</f>
        <v>230660</v>
      </c>
      <c r="I1475" s="234">
        <v>8410010010</v>
      </c>
      <c r="J1475" s="370" t="str">
        <f t="shared" si="183"/>
        <v>8410010010</v>
      </c>
      <c r="K1475" s="30" t="str">
        <f t="shared" si="182"/>
        <v>62101138410010010129</v>
      </c>
    </row>
    <row r="1476" spans="1:11" s="3" customFormat="1" ht="25.5">
      <c r="A1476" s="244" t="s">
        <v>108</v>
      </c>
      <c r="B1476" s="233" t="s">
        <v>16</v>
      </c>
      <c r="C1476" s="234" t="s">
        <v>65</v>
      </c>
      <c r="D1476" s="234" t="s">
        <v>84</v>
      </c>
      <c r="E1476" s="234" t="s">
        <v>574</v>
      </c>
      <c r="F1476" s="234" t="s">
        <v>116</v>
      </c>
      <c r="G1476" s="235">
        <f>G1477</f>
        <v>2843500</v>
      </c>
      <c r="H1476" s="235">
        <f>H1477</f>
        <v>2843500</v>
      </c>
      <c r="I1476" s="234">
        <v>8410010010</v>
      </c>
      <c r="J1476" s="370" t="str">
        <f t="shared" si="183"/>
        <v>8410010010</v>
      </c>
      <c r="K1476" s="30" t="str">
        <f t="shared" si="182"/>
        <v>62101138410010010240</v>
      </c>
    </row>
    <row r="1477" spans="1:11" s="4" customFormat="1" ht="25.5">
      <c r="A1477" s="236" t="s">
        <v>973</v>
      </c>
      <c r="B1477" s="233" t="s">
        <v>16</v>
      </c>
      <c r="C1477" s="234" t="s">
        <v>65</v>
      </c>
      <c r="D1477" s="234" t="s">
        <v>84</v>
      </c>
      <c r="E1477" s="234" t="s">
        <v>574</v>
      </c>
      <c r="F1477" s="234" t="s">
        <v>1043</v>
      </c>
      <c r="G1477" s="235">
        <f>VLOOKUP(K1477,'исх АС БЮДЖЕТ'!$A$10:$H$568,7,0)</f>
        <v>2843500</v>
      </c>
      <c r="H1477" s="235">
        <f>VLOOKUP(K1477,'исх АС БЮДЖЕТ'!$A$10:$H$568,8,0)</f>
        <v>2843500</v>
      </c>
      <c r="I1477" s="234">
        <v>8410010010</v>
      </c>
      <c r="J1477" s="370" t="str">
        <f t="shared" si="183"/>
        <v>8410010010</v>
      </c>
      <c r="K1477" s="30" t="str">
        <f t="shared" si="182"/>
        <v>62101138410010010244</v>
      </c>
    </row>
    <row r="1478" spans="1:11" s="3" customFormat="1">
      <c r="A1478" s="244" t="s">
        <v>97</v>
      </c>
      <c r="B1478" s="233" t="s">
        <v>16</v>
      </c>
      <c r="C1478" s="234" t="s">
        <v>65</v>
      </c>
      <c r="D1478" s="234" t="s">
        <v>84</v>
      </c>
      <c r="E1478" s="234" t="s">
        <v>574</v>
      </c>
      <c r="F1478" s="234" t="s">
        <v>118</v>
      </c>
      <c r="G1478" s="235">
        <f>SUM(G1479:G1480)</f>
        <v>246650</v>
      </c>
      <c r="H1478" s="235">
        <f>SUM(H1479:H1480)</f>
        <v>246650</v>
      </c>
      <c r="I1478" s="234">
        <v>8410010010</v>
      </c>
      <c r="J1478" s="370" t="str">
        <f t="shared" si="183"/>
        <v>8410010010</v>
      </c>
      <c r="K1478" s="30" t="str">
        <f t="shared" si="182"/>
        <v>62101138410010010850</v>
      </c>
    </row>
    <row r="1479" spans="1:11" s="3" customFormat="1">
      <c r="A1479" s="232" t="s">
        <v>1036</v>
      </c>
      <c r="B1479" s="233" t="s">
        <v>16</v>
      </c>
      <c r="C1479" s="234" t="s">
        <v>65</v>
      </c>
      <c r="D1479" s="234" t="s">
        <v>84</v>
      </c>
      <c r="E1479" s="234" t="s">
        <v>574</v>
      </c>
      <c r="F1479" s="234" t="s">
        <v>1061</v>
      </c>
      <c r="G1479" s="235">
        <f>VLOOKUP(K1479,'исх АС БЮДЖЕТ'!$A$10:$H$568,7,0)</f>
        <v>226350</v>
      </c>
      <c r="H1479" s="235">
        <f>VLOOKUP(K1479,'исх АС БЮДЖЕТ'!$A$10:$H$568,8,0)</f>
        <v>226350</v>
      </c>
      <c r="I1479" s="234">
        <v>8410010010</v>
      </c>
      <c r="J1479" s="370" t="str">
        <f t="shared" si="183"/>
        <v>8410010010</v>
      </c>
      <c r="K1479" s="30" t="str">
        <f t="shared" si="182"/>
        <v>62101138410010010851</v>
      </c>
    </row>
    <row r="1480" spans="1:11" s="3" customFormat="1">
      <c r="A1480" s="232" t="s">
        <v>1037</v>
      </c>
      <c r="B1480" s="233" t="s">
        <v>16</v>
      </c>
      <c r="C1480" s="234" t="s">
        <v>65</v>
      </c>
      <c r="D1480" s="234" t="s">
        <v>84</v>
      </c>
      <c r="E1480" s="234" t="s">
        <v>574</v>
      </c>
      <c r="F1480" s="234" t="s">
        <v>1062</v>
      </c>
      <c r="G1480" s="235">
        <f>VLOOKUP(K1480,'исх АС БЮДЖЕТ'!$A$10:$H$568,7,0)</f>
        <v>20300</v>
      </c>
      <c r="H1480" s="235">
        <f>VLOOKUP(K1480,'исх АС БЮДЖЕТ'!$A$10:$H$568,8,0)</f>
        <v>20300</v>
      </c>
      <c r="I1480" s="234">
        <v>8410010010</v>
      </c>
      <c r="J1480" s="370" t="str">
        <f t="shared" si="183"/>
        <v>8410010010</v>
      </c>
      <c r="K1480" s="30" t="str">
        <f t="shared" si="182"/>
        <v>62101138410010010852</v>
      </c>
    </row>
    <row r="1481" spans="1:11" s="3" customFormat="1" ht="25.5">
      <c r="A1481" s="244" t="s">
        <v>126</v>
      </c>
      <c r="B1481" s="233" t="s">
        <v>16</v>
      </c>
      <c r="C1481" s="234" t="s">
        <v>65</v>
      </c>
      <c r="D1481" s="234" t="s">
        <v>84</v>
      </c>
      <c r="E1481" s="234" t="s">
        <v>575</v>
      </c>
      <c r="F1481" s="234" t="s">
        <v>58</v>
      </c>
      <c r="G1481" s="235">
        <f>G1482</f>
        <v>42831370</v>
      </c>
      <c r="H1481" s="235">
        <f>H1482</f>
        <v>42831370</v>
      </c>
      <c r="I1481" s="234">
        <v>8410010020</v>
      </c>
      <c r="J1481" s="370" t="str">
        <f t="shared" si="183"/>
        <v>8410010020</v>
      </c>
      <c r="K1481" s="30" t="str">
        <f t="shared" si="182"/>
        <v>62101138410010020000</v>
      </c>
    </row>
    <row r="1482" spans="1:11" s="3" customFormat="1">
      <c r="A1482" s="244" t="s">
        <v>107</v>
      </c>
      <c r="B1482" s="233" t="s">
        <v>16</v>
      </c>
      <c r="C1482" s="234" t="s">
        <v>65</v>
      </c>
      <c r="D1482" s="234" t="s">
        <v>84</v>
      </c>
      <c r="E1482" s="234" t="s">
        <v>575</v>
      </c>
      <c r="F1482" s="234" t="s">
        <v>115</v>
      </c>
      <c r="G1482" s="235">
        <f>SUM(G1483:G1484)</f>
        <v>42831370</v>
      </c>
      <c r="H1482" s="235">
        <f>SUM(H1483:H1484)</f>
        <v>42831370</v>
      </c>
      <c r="I1482" s="234">
        <v>8410010020</v>
      </c>
      <c r="J1482" s="370" t="str">
        <f t="shared" si="183"/>
        <v>8410010020</v>
      </c>
      <c r="K1482" s="30" t="str">
        <f t="shared" si="182"/>
        <v>62101138410010020120</v>
      </c>
    </row>
    <row r="1483" spans="1:11" s="3" customFormat="1">
      <c r="A1483" s="232" t="s">
        <v>936</v>
      </c>
      <c r="B1483" s="233" t="s">
        <v>16</v>
      </c>
      <c r="C1483" s="234" t="s">
        <v>65</v>
      </c>
      <c r="D1483" s="234" t="s">
        <v>84</v>
      </c>
      <c r="E1483" s="234" t="s">
        <v>575</v>
      </c>
      <c r="F1483" s="234" t="s">
        <v>1063</v>
      </c>
      <c r="G1483" s="235">
        <f>VLOOKUP(K1483,'исх АС БЮДЖЕТ'!$A$10:$H$568,7,0)</f>
        <v>32896600</v>
      </c>
      <c r="H1483" s="235">
        <f>VLOOKUP(K1483,'исх АС БЮДЖЕТ'!$A$10:$H$568,8,0)</f>
        <v>32896600</v>
      </c>
      <c r="I1483" s="234">
        <v>8410010020</v>
      </c>
      <c r="J1483" s="370" t="str">
        <f t="shared" si="183"/>
        <v>8410010020</v>
      </c>
      <c r="K1483" s="30" t="str">
        <f t="shared" si="182"/>
        <v>62101138410010020121</v>
      </c>
    </row>
    <row r="1484" spans="1:11" s="3" customFormat="1" ht="38.25">
      <c r="A1484" s="232" t="s">
        <v>939</v>
      </c>
      <c r="B1484" s="233" t="s">
        <v>16</v>
      </c>
      <c r="C1484" s="234" t="s">
        <v>65</v>
      </c>
      <c r="D1484" s="234" t="s">
        <v>84</v>
      </c>
      <c r="E1484" s="234" t="s">
        <v>575</v>
      </c>
      <c r="F1484" s="234" t="s">
        <v>1060</v>
      </c>
      <c r="G1484" s="235">
        <f>VLOOKUP(K1484,'исх АС БЮДЖЕТ'!$A$10:$H$568,7,0)</f>
        <v>9934770</v>
      </c>
      <c r="H1484" s="235">
        <f>VLOOKUP(K1484,'исх АС БЮДЖЕТ'!$A$10:$H$568,8,0)</f>
        <v>9934770</v>
      </c>
      <c r="I1484" s="234">
        <v>8410010020</v>
      </c>
      <c r="J1484" s="370" t="str">
        <f t="shared" si="183"/>
        <v>8410010020</v>
      </c>
      <c r="K1484" s="30" t="str">
        <f t="shared" si="182"/>
        <v>62101138410010020129</v>
      </c>
    </row>
    <row r="1485" spans="1:11" s="3" customFormat="1">
      <c r="A1485" s="291" t="s">
        <v>175</v>
      </c>
      <c r="B1485" s="233" t="s">
        <v>16</v>
      </c>
      <c r="C1485" s="234" t="s">
        <v>65</v>
      </c>
      <c r="D1485" s="234" t="s">
        <v>84</v>
      </c>
      <c r="E1485" s="234" t="s">
        <v>576</v>
      </c>
      <c r="F1485" s="234" t="s">
        <v>58</v>
      </c>
      <c r="G1485" s="235">
        <f>G1486+G1489</f>
        <v>4100000</v>
      </c>
      <c r="H1485" s="235">
        <f>H1486+H1489</f>
        <v>4100000</v>
      </c>
      <c r="I1485" s="234"/>
      <c r="J1485" s="370"/>
      <c r="K1485" s="30"/>
    </row>
    <row r="1486" spans="1:11" s="3" customFormat="1" ht="25.5">
      <c r="A1486" s="291" t="s">
        <v>176</v>
      </c>
      <c r="B1486" s="233" t="s">
        <v>16</v>
      </c>
      <c r="C1486" s="234" t="s">
        <v>65</v>
      </c>
      <c r="D1486" s="234" t="s">
        <v>84</v>
      </c>
      <c r="E1486" s="234" t="s">
        <v>835</v>
      </c>
      <c r="F1486" s="234" t="s">
        <v>58</v>
      </c>
      <c r="G1486" s="235">
        <f>G1487</f>
        <v>600000</v>
      </c>
      <c r="H1486" s="235">
        <f>H1487</f>
        <v>600000</v>
      </c>
      <c r="I1486" s="234">
        <v>8420020740</v>
      </c>
      <c r="J1486" s="370" t="str">
        <f t="shared" si="183"/>
        <v>8420020740</v>
      </c>
      <c r="K1486" s="30" t="str">
        <f t="shared" ref="K1486:K1508" si="185">CONCATENATE(B1486,C1486,D1486,J1486,F1486)</f>
        <v>62101138420020740000</v>
      </c>
    </row>
    <row r="1487" spans="1:11" s="3" customFormat="1" ht="25.5">
      <c r="A1487" s="232" t="s">
        <v>108</v>
      </c>
      <c r="B1487" s="233" t="s">
        <v>16</v>
      </c>
      <c r="C1487" s="234" t="s">
        <v>65</v>
      </c>
      <c r="D1487" s="234" t="s">
        <v>84</v>
      </c>
      <c r="E1487" s="234" t="s">
        <v>835</v>
      </c>
      <c r="F1487" s="234" t="s">
        <v>116</v>
      </c>
      <c r="G1487" s="235">
        <f>G1488</f>
        <v>600000</v>
      </c>
      <c r="H1487" s="235">
        <f>H1488</f>
        <v>600000</v>
      </c>
      <c r="I1487" s="234">
        <v>8420020740</v>
      </c>
      <c r="J1487" s="370" t="str">
        <f t="shared" si="183"/>
        <v>8420020740</v>
      </c>
      <c r="K1487" s="30" t="str">
        <f t="shared" si="185"/>
        <v>62101138420020740240</v>
      </c>
    </row>
    <row r="1488" spans="1:11" s="4" customFormat="1" ht="25.5">
      <c r="A1488" s="236" t="s">
        <v>973</v>
      </c>
      <c r="B1488" s="233" t="s">
        <v>16</v>
      </c>
      <c r="C1488" s="234" t="s">
        <v>65</v>
      </c>
      <c r="D1488" s="234" t="s">
        <v>84</v>
      </c>
      <c r="E1488" s="234" t="s">
        <v>835</v>
      </c>
      <c r="F1488" s="234" t="s">
        <v>1043</v>
      </c>
      <c r="G1488" s="235">
        <f>VLOOKUP(K1488,'исх АС БЮДЖЕТ'!$A$10:$H$568,7,0)</f>
        <v>600000</v>
      </c>
      <c r="H1488" s="235">
        <f>VLOOKUP(K1488,'исх АС БЮДЖЕТ'!$A$10:$H$568,8,0)</f>
        <v>600000</v>
      </c>
      <c r="I1488" s="234">
        <v>8420020740</v>
      </c>
      <c r="J1488" s="370" t="str">
        <f t="shared" si="183"/>
        <v>8420020740</v>
      </c>
      <c r="K1488" s="30" t="str">
        <f t="shared" si="185"/>
        <v>62101138420020740244</v>
      </c>
    </row>
    <row r="1489" spans="1:11" s="3" customFormat="1" ht="25.5">
      <c r="A1489" s="244" t="s">
        <v>899</v>
      </c>
      <c r="B1489" s="233" t="s">
        <v>16</v>
      </c>
      <c r="C1489" s="234" t="s">
        <v>65</v>
      </c>
      <c r="D1489" s="234" t="s">
        <v>84</v>
      </c>
      <c r="E1489" s="234" t="s">
        <v>577</v>
      </c>
      <c r="F1489" s="234" t="s">
        <v>58</v>
      </c>
      <c r="G1489" s="235">
        <f t="shared" ref="G1489:H1489" si="186">G1490</f>
        <v>3500000</v>
      </c>
      <c r="H1489" s="235">
        <f t="shared" si="186"/>
        <v>3500000</v>
      </c>
      <c r="I1489" s="234">
        <v>8420021100</v>
      </c>
      <c r="J1489" s="370" t="str">
        <f t="shared" si="183"/>
        <v>8420021100</v>
      </c>
      <c r="K1489" s="30" t="str">
        <f t="shared" si="185"/>
        <v>62101138420021100000</v>
      </c>
    </row>
    <row r="1490" spans="1:11" s="3" customFormat="1" ht="25.5">
      <c r="A1490" s="232" t="s">
        <v>108</v>
      </c>
      <c r="B1490" s="233" t="s">
        <v>16</v>
      </c>
      <c r="C1490" s="234" t="s">
        <v>65</v>
      </c>
      <c r="D1490" s="234" t="s">
        <v>84</v>
      </c>
      <c r="E1490" s="234" t="s">
        <v>577</v>
      </c>
      <c r="F1490" s="234" t="s">
        <v>116</v>
      </c>
      <c r="G1490" s="235">
        <f>G1491</f>
        <v>3500000</v>
      </c>
      <c r="H1490" s="235">
        <f>H1491</f>
        <v>3500000</v>
      </c>
      <c r="I1490" s="234">
        <v>8420021100</v>
      </c>
      <c r="J1490" s="370" t="str">
        <f t="shared" si="183"/>
        <v>8420021100</v>
      </c>
      <c r="K1490" s="30" t="str">
        <f t="shared" si="185"/>
        <v>62101138420021100240</v>
      </c>
    </row>
    <row r="1491" spans="1:11" s="4" customFormat="1" ht="25.5">
      <c r="A1491" s="236" t="s">
        <v>973</v>
      </c>
      <c r="B1491" s="233" t="s">
        <v>16</v>
      </c>
      <c r="C1491" s="234" t="s">
        <v>65</v>
      </c>
      <c r="D1491" s="234" t="s">
        <v>84</v>
      </c>
      <c r="E1491" s="234" t="s">
        <v>577</v>
      </c>
      <c r="F1491" s="234" t="s">
        <v>1043</v>
      </c>
      <c r="G1491" s="235">
        <f>VLOOKUP(K1491,'исх АС БЮДЖЕТ'!$A$10:$H$568,7,0)</f>
        <v>3500000</v>
      </c>
      <c r="H1491" s="235">
        <f>VLOOKUP(K1491,'исх АС БЮДЖЕТ'!$A$10:$H$568,8,0)</f>
        <v>3500000</v>
      </c>
      <c r="I1491" s="234">
        <v>8420021100</v>
      </c>
      <c r="J1491" s="370" t="str">
        <f t="shared" si="183"/>
        <v>8420021100</v>
      </c>
      <c r="K1491" s="30" t="str">
        <f t="shared" si="185"/>
        <v>62101138420021100244</v>
      </c>
    </row>
    <row r="1492" spans="1:11" s="3" customFormat="1">
      <c r="A1492" s="224" t="s">
        <v>35</v>
      </c>
      <c r="B1492" s="225" t="s">
        <v>16</v>
      </c>
      <c r="C1492" s="226" t="s">
        <v>37</v>
      </c>
      <c r="D1492" s="226" t="s">
        <v>51</v>
      </c>
      <c r="E1492" s="226" t="s">
        <v>196</v>
      </c>
      <c r="F1492" s="226" t="s">
        <v>58</v>
      </c>
      <c r="G1492" s="227">
        <f>G1493</f>
        <v>9588300</v>
      </c>
      <c r="H1492" s="227">
        <f>H1493</f>
        <v>9588300</v>
      </c>
      <c r="I1492" s="226">
        <v>0</v>
      </c>
      <c r="J1492" s="370" t="str">
        <f t="shared" si="183"/>
        <v>0000000000</v>
      </c>
      <c r="K1492" s="30" t="str">
        <f t="shared" si="185"/>
        <v>62104000000000000000</v>
      </c>
    </row>
    <row r="1493" spans="1:11" s="3" customFormat="1">
      <c r="A1493" s="228" t="s">
        <v>73</v>
      </c>
      <c r="B1493" s="229" t="s">
        <v>16</v>
      </c>
      <c r="C1493" s="230" t="s">
        <v>37</v>
      </c>
      <c r="D1493" s="230" t="s">
        <v>40</v>
      </c>
      <c r="E1493" s="230" t="s">
        <v>196</v>
      </c>
      <c r="F1493" s="230" t="s">
        <v>58</v>
      </c>
      <c r="G1493" s="231">
        <f>G1494+G1504</f>
        <v>9588300</v>
      </c>
      <c r="H1493" s="231">
        <f>H1494+H1504</f>
        <v>9588300</v>
      </c>
      <c r="I1493" s="230">
        <v>0</v>
      </c>
      <c r="J1493" s="370" t="str">
        <f t="shared" si="183"/>
        <v>0000000000</v>
      </c>
      <c r="K1493" s="30" t="str">
        <f t="shared" si="185"/>
        <v>62104120000000000000</v>
      </c>
    </row>
    <row r="1494" spans="1:11" s="3" customFormat="1" ht="25.5">
      <c r="A1494" s="232" t="s">
        <v>730</v>
      </c>
      <c r="B1494" s="233" t="s">
        <v>16</v>
      </c>
      <c r="C1494" s="233" t="s">
        <v>37</v>
      </c>
      <c r="D1494" s="233" t="s">
        <v>40</v>
      </c>
      <c r="E1494" s="233" t="s">
        <v>565</v>
      </c>
      <c r="F1494" s="233" t="s">
        <v>58</v>
      </c>
      <c r="G1494" s="289">
        <f>G1495</f>
        <v>9488300</v>
      </c>
      <c r="H1494" s="289">
        <f>H1495</f>
        <v>9488300</v>
      </c>
      <c r="I1494" s="233">
        <v>500000000</v>
      </c>
      <c r="J1494" s="370" t="str">
        <f t="shared" si="183"/>
        <v>0500000000</v>
      </c>
      <c r="K1494" s="30" t="str">
        <f t="shared" si="185"/>
        <v>62104120500000000000</v>
      </c>
    </row>
    <row r="1495" spans="1:11" s="3" customFormat="1" ht="25.5">
      <c r="A1495" s="232" t="s">
        <v>732</v>
      </c>
      <c r="B1495" s="233" t="s">
        <v>16</v>
      </c>
      <c r="C1495" s="233" t="s">
        <v>37</v>
      </c>
      <c r="D1495" s="233" t="s">
        <v>40</v>
      </c>
      <c r="E1495" s="233" t="s">
        <v>731</v>
      </c>
      <c r="F1495" s="233" t="s">
        <v>58</v>
      </c>
      <c r="G1495" s="289">
        <f>G1496+G1500</f>
        <v>9488300</v>
      </c>
      <c r="H1495" s="289">
        <f>H1496+H1500</f>
        <v>9488300</v>
      </c>
      <c r="I1495" s="233" t="s">
        <v>1242</v>
      </c>
      <c r="J1495" s="370" t="str">
        <f t="shared" si="183"/>
        <v>05Б0000000</v>
      </c>
      <c r="K1495" s="30" t="str">
        <f t="shared" si="185"/>
        <v>621041205Б0000000000</v>
      </c>
    </row>
    <row r="1496" spans="1:11" s="3" customFormat="1" ht="38.25">
      <c r="A1496" s="232" t="s">
        <v>566</v>
      </c>
      <c r="B1496" s="233" t="s">
        <v>16</v>
      </c>
      <c r="C1496" s="233" t="s">
        <v>37</v>
      </c>
      <c r="D1496" s="233" t="s">
        <v>40</v>
      </c>
      <c r="E1496" s="233" t="s">
        <v>836</v>
      </c>
      <c r="F1496" s="233" t="s">
        <v>58</v>
      </c>
      <c r="G1496" s="289">
        <f t="shared" ref="G1496:H1497" si="187">G1497</f>
        <v>403000</v>
      </c>
      <c r="H1496" s="289">
        <f t="shared" si="187"/>
        <v>9488300</v>
      </c>
      <c r="I1496" s="233" t="s">
        <v>1243</v>
      </c>
      <c r="J1496" s="370" t="str">
        <f t="shared" si="183"/>
        <v>05Б0100000</v>
      </c>
      <c r="K1496" s="30" t="str">
        <f t="shared" si="185"/>
        <v>621041205Б0100000000</v>
      </c>
    </row>
    <row r="1497" spans="1:11" s="3" customFormat="1" ht="25.5">
      <c r="A1497" s="236" t="s">
        <v>915</v>
      </c>
      <c r="B1497" s="233" t="s">
        <v>16</v>
      </c>
      <c r="C1497" s="233" t="s">
        <v>37</v>
      </c>
      <c r="D1497" s="233" t="s">
        <v>40</v>
      </c>
      <c r="E1497" s="233" t="s">
        <v>837</v>
      </c>
      <c r="F1497" s="233" t="s">
        <v>58</v>
      </c>
      <c r="G1497" s="289">
        <f t="shared" si="187"/>
        <v>403000</v>
      </c>
      <c r="H1497" s="289">
        <f t="shared" si="187"/>
        <v>9488300</v>
      </c>
      <c r="I1497" s="233" t="s">
        <v>1244</v>
      </c>
      <c r="J1497" s="370" t="str">
        <f t="shared" si="183"/>
        <v>05Б0120390</v>
      </c>
      <c r="K1497" s="30" t="str">
        <f t="shared" si="185"/>
        <v>621041205Б0120390000</v>
      </c>
    </row>
    <row r="1498" spans="1:11" s="3" customFormat="1" ht="25.5">
      <c r="A1498" s="232" t="s">
        <v>108</v>
      </c>
      <c r="B1498" s="233" t="s">
        <v>16</v>
      </c>
      <c r="C1498" s="233" t="s">
        <v>37</v>
      </c>
      <c r="D1498" s="233" t="s">
        <v>40</v>
      </c>
      <c r="E1498" s="233" t="s">
        <v>837</v>
      </c>
      <c r="F1498" s="233" t="s">
        <v>116</v>
      </c>
      <c r="G1498" s="289">
        <f>G1499</f>
        <v>403000</v>
      </c>
      <c r="H1498" s="289">
        <f>H1499</f>
        <v>9488300</v>
      </c>
      <c r="I1498" s="233" t="s">
        <v>1244</v>
      </c>
      <c r="J1498" s="370" t="str">
        <f t="shared" si="183"/>
        <v>05Б0120390</v>
      </c>
      <c r="K1498" s="30" t="str">
        <f t="shared" si="185"/>
        <v>621041205Б0120390240</v>
      </c>
    </row>
    <row r="1499" spans="1:11" s="4" customFormat="1" ht="25.5">
      <c r="A1499" s="236" t="s">
        <v>973</v>
      </c>
      <c r="B1499" s="233" t="s">
        <v>16</v>
      </c>
      <c r="C1499" s="233" t="s">
        <v>37</v>
      </c>
      <c r="D1499" s="233" t="s">
        <v>40</v>
      </c>
      <c r="E1499" s="233" t="s">
        <v>837</v>
      </c>
      <c r="F1499" s="233" t="s">
        <v>1043</v>
      </c>
      <c r="G1499" s="235">
        <f>VLOOKUP(K1499,'исх АС БЮДЖЕТ'!$A$10:$H$568,7,0)</f>
        <v>403000</v>
      </c>
      <c r="H1499" s="235">
        <f>VLOOKUP(K1499,'исх АС БЮДЖЕТ'!$A$10:$H$568,8,0)</f>
        <v>9488300</v>
      </c>
      <c r="I1499" s="233" t="s">
        <v>1244</v>
      </c>
      <c r="J1499" s="370" t="str">
        <f t="shared" si="183"/>
        <v>05Б0120390</v>
      </c>
      <c r="K1499" s="30" t="str">
        <f t="shared" si="185"/>
        <v>621041205Б0120390244</v>
      </c>
    </row>
    <row r="1500" spans="1:11" s="3" customFormat="1" ht="38.25">
      <c r="A1500" s="232" t="s">
        <v>867</v>
      </c>
      <c r="B1500" s="233" t="s">
        <v>16</v>
      </c>
      <c r="C1500" s="233" t="s">
        <v>37</v>
      </c>
      <c r="D1500" s="233" t="s">
        <v>40</v>
      </c>
      <c r="E1500" s="233" t="s">
        <v>838</v>
      </c>
      <c r="F1500" s="233" t="s">
        <v>58</v>
      </c>
      <c r="G1500" s="289">
        <f t="shared" ref="G1500:H1501" si="188">G1501</f>
        <v>9085300</v>
      </c>
      <c r="H1500" s="289">
        <f t="shared" si="188"/>
        <v>0</v>
      </c>
      <c r="I1500" s="233" t="s">
        <v>1245</v>
      </c>
      <c r="J1500" s="370" t="str">
        <f t="shared" si="183"/>
        <v>05Б0200000</v>
      </c>
      <c r="K1500" s="30" t="str">
        <f t="shared" si="185"/>
        <v>621041205Б0200000000</v>
      </c>
    </row>
    <row r="1501" spans="1:11" s="3" customFormat="1">
      <c r="A1501" s="232" t="s">
        <v>900</v>
      </c>
      <c r="B1501" s="233" t="s">
        <v>16</v>
      </c>
      <c r="C1501" s="233" t="s">
        <v>37</v>
      </c>
      <c r="D1501" s="233" t="s">
        <v>40</v>
      </c>
      <c r="E1501" s="233" t="s">
        <v>916</v>
      </c>
      <c r="F1501" s="233" t="s">
        <v>58</v>
      </c>
      <c r="G1501" s="289">
        <f t="shared" si="188"/>
        <v>9085300</v>
      </c>
      <c r="H1501" s="289">
        <f t="shared" si="188"/>
        <v>0</v>
      </c>
      <c r="I1501" s="233" t="s">
        <v>1246</v>
      </c>
      <c r="J1501" s="370" t="str">
        <f t="shared" si="183"/>
        <v>05Б0221190</v>
      </c>
      <c r="K1501" s="30" t="str">
        <f t="shared" si="185"/>
        <v>621041205Б0221190000</v>
      </c>
    </row>
    <row r="1502" spans="1:11" s="3" customFormat="1" ht="25.5">
      <c r="A1502" s="232" t="s">
        <v>108</v>
      </c>
      <c r="B1502" s="233" t="s">
        <v>16</v>
      </c>
      <c r="C1502" s="233" t="s">
        <v>37</v>
      </c>
      <c r="D1502" s="233" t="s">
        <v>40</v>
      </c>
      <c r="E1502" s="233" t="s">
        <v>916</v>
      </c>
      <c r="F1502" s="233" t="s">
        <v>116</v>
      </c>
      <c r="G1502" s="289">
        <f>G1503</f>
        <v>9085300</v>
      </c>
      <c r="H1502" s="289">
        <f>H1503</f>
        <v>0</v>
      </c>
      <c r="I1502" s="233" t="s">
        <v>1246</v>
      </c>
      <c r="J1502" s="370" t="str">
        <f t="shared" si="183"/>
        <v>05Б0221190</v>
      </c>
      <c r="K1502" s="30" t="str">
        <f t="shared" si="185"/>
        <v>621041205Б0221190240</v>
      </c>
    </row>
    <row r="1503" spans="1:11" s="4" customFormat="1" ht="25.5">
      <c r="A1503" s="236" t="s">
        <v>973</v>
      </c>
      <c r="B1503" s="233" t="s">
        <v>16</v>
      </c>
      <c r="C1503" s="233" t="s">
        <v>37</v>
      </c>
      <c r="D1503" s="233" t="s">
        <v>40</v>
      </c>
      <c r="E1503" s="233" t="s">
        <v>916</v>
      </c>
      <c r="F1503" s="233" t="s">
        <v>1043</v>
      </c>
      <c r="G1503" s="235">
        <f>VLOOKUP(K1503,'исх АС БЮДЖЕТ'!$A$10:$H$568,7,0)</f>
        <v>9085300</v>
      </c>
      <c r="H1503" s="235">
        <f>VLOOKUP(K1503,'исх АС БЮДЖЕТ'!$A$10:$H$568,8,0)</f>
        <v>0</v>
      </c>
      <c r="I1503" s="233" t="s">
        <v>1246</v>
      </c>
      <c r="J1503" s="370" t="str">
        <f t="shared" si="183"/>
        <v>05Б0221190</v>
      </c>
      <c r="K1503" s="30" t="str">
        <f t="shared" si="185"/>
        <v>621041205Б0221190244</v>
      </c>
    </row>
    <row r="1504" spans="1:11" s="3" customFormat="1" ht="25.5">
      <c r="A1504" s="291" t="s">
        <v>195</v>
      </c>
      <c r="B1504" s="233" t="s">
        <v>16</v>
      </c>
      <c r="C1504" s="233" t="s">
        <v>37</v>
      </c>
      <c r="D1504" s="233" t="s">
        <v>40</v>
      </c>
      <c r="E1504" s="234" t="s">
        <v>572</v>
      </c>
      <c r="F1504" s="234" t="s">
        <v>58</v>
      </c>
      <c r="G1504" s="235">
        <f t="shared" ref="G1504:H1506" si="189">G1505</f>
        <v>100000</v>
      </c>
      <c r="H1504" s="235">
        <f t="shared" si="189"/>
        <v>100000</v>
      </c>
      <c r="I1504" s="234">
        <v>8400000000</v>
      </c>
      <c r="J1504" s="370" t="str">
        <f t="shared" si="183"/>
        <v>8400000000</v>
      </c>
      <c r="K1504" s="30" t="str">
        <f t="shared" si="185"/>
        <v>62104128400000000000</v>
      </c>
    </row>
    <row r="1505" spans="1:11" s="3" customFormat="1">
      <c r="A1505" s="291" t="s">
        <v>175</v>
      </c>
      <c r="B1505" s="233" t="s">
        <v>16</v>
      </c>
      <c r="C1505" s="233" t="s">
        <v>37</v>
      </c>
      <c r="D1505" s="233" t="s">
        <v>40</v>
      </c>
      <c r="E1505" s="234" t="s">
        <v>576</v>
      </c>
      <c r="F1505" s="234" t="s">
        <v>58</v>
      </c>
      <c r="G1505" s="235">
        <f t="shared" si="189"/>
        <v>100000</v>
      </c>
      <c r="H1505" s="235">
        <f t="shared" si="189"/>
        <v>100000</v>
      </c>
      <c r="I1505" s="234">
        <v>8420000000</v>
      </c>
      <c r="J1505" s="370" t="str">
        <f t="shared" si="183"/>
        <v>8420000000</v>
      </c>
      <c r="K1505" s="30" t="str">
        <f t="shared" si="185"/>
        <v>62104128420000000000</v>
      </c>
    </row>
    <row r="1506" spans="1:11" s="3" customFormat="1" ht="25.5">
      <c r="A1506" s="291" t="s">
        <v>705</v>
      </c>
      <c r="B1506" s="233" t="s">
        <v>16</v>
      </c>
      <c r="C1506" s="233" t="s">
        <v>37</v>
      </c>
      <c r="D1506" s="233" t="s">
        <v>40</v>
      </c>
      <c r="E1506" s="234" t="s">
        <v>578</v>
      </c>
      <c r="F1506" s="234" t="s">
        <v>58</v>
      </c>
      <c r="G1506" s="235">
        <f t="shared" si="189"/>
        <v>100000</v>
      </c>
      <c r="H1506" s="235">
        <f t="shared" si="189"/>
        <v>100000</v>
      </c>
      <c r="I1506" s="234">
        <v>8420021210</v>
      </c>
      <c r="J1506" s="370" t="str">
        <f t="shared" si="183"/>
        <v>8420021210</v>
      </c>
      <c r="K1506" s="30" t="str">
        <f t="shared" si="185"/>
        <v>62104128420021210000</v>
      </c>
    </row>
    <row r="1507" spans="1:11" s="3" customFormat="1" ht="25.5">
      <c r="A1507" s="232" t="s">
        <v>108</v>
      </c>
      <c r="B1507" s="233" t="s">
        <v>16</v>
      </c>
      <c r="C1507" s="233" t="s">
        <v>37</v>
      </c>
      <c r="D1507" s="233" t="s">
        <v>40</v>
      </c>
      <c r="E1507" s="234" t="s">
        <v>578</v>
      </c>
      <c r="F1507" s="234" t="s">
        <v>116</v>
      </c>
      <c r="G1507" s="235">
        <f>G1508</f>
        <v>100000</v>
      </c>
      <c r="H1507" s="235">
        <f>H1508</f>
        <v>100000</v>
      </c>
      <c r="I1507" s="234">
        <v>8420021210</v>
      </c>
      <c r="J1507" s="370" t="str">
        <f t="shared" si="183"/>
        <v>8420021210</v>
      </c>
      <c r="K1507" s="30" t="str">
        <f t="shared" si="185"/>
        <v>62104128420021210240</v>
      </c>
    </row>
    <row r="1508" spans="1:11" s="4" customFormat="1" ht="25.5">
      <c r="A1508" s="236" t="s">
        <v>973</v>
      </c>
      <c r="B1508" s="233" t="s">
        <v>16</v>
      </c>
      <c r="C1508" s="233" t="s">
        <v>37</v>
      </c>
      <c r="D1508" s="233" t="s">
        <v>40</v>
      </c>
      <c r="E1508" s="234" t="s">
        <v>578</v>
      </c>
      <c r="F1508" s="234" t="s">
        <v>1043</v>
      </c>
      <c r="G1508" s="235">
        <f>VLOOKUP(K1508,'исх АС БЮДЖЕТ'!$A$10:$H$568,7,0)</f>
        <v>100000</v>
      </c>
      <c r="H1508" s="235">
        <f>VLOOKUP(K1508,'исх АС БЮДЖЕТ'!$A$10:$H$568,8,0)</f>
        <v>100000</v>
      </c>
      <c r="I1508" s="234">
        <v>8420021210</v>
      </c>
      <c r="J1508" s="370" t="str">
        <f t="shared" si="183"/>
        <v>8420021210</v>
      </c>
      <c r="K1508" s="30" t="str">
        <f t="shared" si="185"/>
        <v>62104128420021210244</v>
      </c>
    </row>
    <row r="1509" spans="1:11" s="3" customFormat="1">
      <c r="A1509" s="224" t="s">
        <v>70</v>
      </c>
      <c r="B1509" s="225" t="s">
        <v>16</v>
      </c>
      <c r="C1509" s="226" t="s">
        <v>71</v>
      </c>
      <c r="D1509" s="226" t="s">
        <v>51</v>
      </c>
      <c r="E1509" s="226" t="s">
        <v>196</v>
      </c>
      <c r="F1509" s="226" t="s">
        <v>58</v>
      </c>
      <c r="G1509" s="227">
        <f>G1510+G1517</f>
        <v>9800000</v>
      </c>
      <c r="H1509" s="227">
        <f>H1510+H1517</f>
        <v>15226050</v>
      </c>
      <c r="I1509" s="226">
        <v>0</v>
      </c>
      <c r="J1509" s="370" t="str">
        <f t="shared" ref="J1509:J1536" si="190">TEXT(I1509,"0000000000")</f>
        <v>0000000000</v>
      </c>
      <c r="K1509" s="30" t="str">
        <f t="shared" ref="K1509:K1535" si="191">CONCATENATE(B1509,C1509,D1509,J1509,F1509)</f>
        <v>62107000000000000000</v>
      </c>
    </row>
    <row r="1510" spans="1:11" s="3" customFormat="1">
      <c r="A1510" s="228" t="s">
        <v>72</v>
      </c>
      <c r="B1510" s="229" t="s">
        <v>16</v>
      </c>
      <c r="C1510" s="230" t="s">
        <v>71</v>
      </c>
      <c r="D1510" s="230" t="s">
        <v>65</v>
      </c>
      <c r="E1510" s="230" t="s">
        <v>196</v>
      </c>
      <c r="F1510" s="230" t="s">
        <v>58</v>
      </c>
      <c r="G1510" s="231">
        <f t="shared" ref="G1510:H1513" si="192">G1511</f>
        <v>9800000</v>
      </c>
      <c r="H1510" s="231">
        <f t="shared" si="192"/>
        <v>7613030</v>
      </c>
      <c r="I1510" s="230">
        <v>0</v>
      </c>
      <c r="J1510" s="370" t="str">
        <f t="shared" si="190"/>
        <v>0000000000</v>
      </c>
      <c r="K1510" s="30" t="str">
        <f t="shared" si="191"/>
        <v>62107010000000000000</v>
      </c>
    </row>
    <row r="1511" spans="1:11" s="3" customFormat="1">
      <c r="A1511" s="244" t="s">
        <v>723</v>
      </c>
      <c r="B1511" s="233" t="s">
        <v>16</v>
      </c>
      <c r="C1511" s="234" t="s">
        <v>71</v>
      </c>
      <c r="D1511" s="234" t="s">
        <v>65</v>
      </c>
      <c r="E1511" s="234" t="s">
        <v>331</v>
      </c>
      <c r="F1511" s="234" t="s">
        <v>58</v>
      </c>
      <c r="G1511" s="235">
        <f t="shared" si="192"/>
        <v>9800000</v>
      </c>
      <c r="H1511" s="235">
        <f t="shared" si="192"/>
        <v>7613030</v>
      </c>
      <c r="I1511" s="234">
        <v>100000000</v>
      </c>
      <c r="J1511" s="370" t="str">
        <f t="shared" si="190"/>
        <v>0100000000</v>
      </c>
      <c r="K1511" s="30" t="str">
        <f t="shared" si="191"/>
        <v>62107010100000000000</v>
      </c>
    </row>
    <row r="1512" spans="1:11" s="3" customFormat="1" ht="25.5">
      <c r="A1512" s="232" t="s">
        <v>724</v>
      </c>
      <c r="B1512" s="233" t="s">
        <v>16</v>
      </c>
      <c r="C1512" s="234" t="s">
        <v>71</v>
      </c>
      <c r="D1512" s="234" t="s">
        <v>65</v>
      </c>
      <c r="E1512" s="234" t="s">
        <v>562</v>
      </c>
      <c r="F1512" s="234" t="s">
        <v>58</v>
      </c>
      <c r="G1512" s="235">
        <f t="shared" si="192"/>
        <v>9800000</v>
      </c>
      <c r="H1512" s="235">
        <f t="shared" si="192"/>
        <v>7613030</v>
      </c>
      <c r="I1512" s="234">
        <v>120000000</v>
      </c>
      <c r="J1512" s="370" t="str">
        <f t="shared" si="190"/>
        <v>0120000000</v>
      </c>
      <c r="K1512" s="30" t="str">
        <f t="shared" si="191"/>
        <v>62107010120000000000</v>
      </c>
    </row>
    <row r="1513" spans="1:11" s="3" customFormat="1" ht="38.25">
      <c r="A1513" s="232" t="s">
        <v>612</v>
      </c>
      <c r="B1513" s="233" t="s">
        <v>16</v>
      </c>
      <c r="C1513" s="234" t="s">
        <v>71</v>
      </c>
      <c r="D1513" s="234" t="s">
        <v>65</v>
      </c>
      <c r="E1513" s="234" t="s">
        <v>563</v>
      </c>
      <c r="F1513" s="234" t="s">
        <v>58</v>
      </c>
      <c r="G1513" s="235">
        <f t="shared" si="192"/>
        <v>9800000</v>
      </c>
      <c r="H1513" s="235">
        <f t="shared" si="192"/>
        <v>7613030</v>
      </c>
      <c r="I1513" s="234">
        <v>120100000</v>
      </c>
      <c r="J1513" s="370" t="str">
        <f t="shared" si="190"/>
        <v>0120100000</v>
      </c>
      <c r="K1513" s="30" t="str">
        <f t="shared" si="191"/>
        <v>62107010120100000000</v>
      </c>
    </row>
    <row r="1514" spans="1:11" s="3" customFormat="1" ht="25.5">
      <c r="A1514" s="232" t="s">
        <v>154</v>
      </c>
      <c r="B1514" s="233" t="s">
        <v>16</v>
      </c>
      <c r="C1514" s="234" t="s">
        <v>71</v>
      </c>
      <c r="D1514" s="234" t="s">
        <v>65</v>
      </c>
      <c r="E1514" s="234" t="s">
        <v>564</v>
      </c>
      <c r="F1514" s="234" t="s">
        <v>58</v>
      </c>
      <c r="G1514" s="235">
        <f>G1515</f>
        <v>9800000</v>
      </c>
      <c r="H1514" s="235">
        <f>H1515</f>
        <v>7613030</v>
      </c>
      <c r="I1514" s="234">
        <v>120140010</v>
      </c>
      <c r="J1514" s="370" t="str">
        <f t="shared" si="190"/>
        <v>0120140010</v>
      </c>
      <c r="K1514" s="30" t="str">
        <f t="shared" si="191"/>
        <v>62107010120140010000</v>
      </c>
    </row>
    <row r="1515" spans="1:11" s="3" customFormat="1">
      <c r="A1515" s="232" t="s">
        <v>21</v>
      </c>
      <c r="B1515" s="233" t="s">
        <v>16</v>
      </c>
      <c r="C1515" s="234" t="s">
        <v>71</v>
      </c>
      <c r="D1515" s="234" t="s">
        <v>65</v>
      </c>
      <c r="E1515" s="234" t="s">
        <v>564</v>
      </c>
      <c r="F1515" s="234" t="s">
        <v>103</v>
      </c>
      <c r="G1515" s="235">
        <f>G1516</f>
        <v>9800000</v>
      </c>
      <c r="H1515" s="235">
        <f>H1516</f>
        <v>7613030</v>
      </c>
      <c r="I1515" s="234">
        <v>120140010</v>
      </c>
      <c r="J1515" s="370" t="str">
        <f t="shared" si="190"/>
        <v>0120140010</v>
      </c>
      <c r="K1515" s="30" t="str">
        <f t="shared" si="191"/>
        <v>62107010120140010410</v>
      </c>
    </row>
    <row r="1516" spans="1:11" s="4" customFormat="1" ht="25.5">
      <c r="A1516" s="236" t="s">
        <v>987</v>
      </c>
      <c r="B1516" s="233" t="s">
        <v>16</v>
      </c>
      <c r="C1516" s="234" t="s">
        <v>71</v>
      </c>
      <c r="D1516" s="234" t="s">
        <v>65</v>
      </c>
      <c r="E1516" s="234" t="s">
        <v>564</v>
      </c>
      <c r="F1516" s="234" t="s">
        <v>1052</v>
      </c>
      <c r="G1516" s="235">
        <f>VLOOKUP(K1516,'исх АС БЮДЖЕТ'!$A$10:$H$568,7,0)</f>
        <v>9800000</v>
      </c>
      <c r="H1516" s="235">
        <f>VLOOKUP(K1516,'исх АС БЮДЖЕТ'!$A$10:$H$568,8,0)</f>
        <v>7613030</v>
      </c>
      <c r="I1516" s="234">
        <v>120140010</v>
      </c>
      <c r="J1516" s="370" t="str">
        <f t="shared" si="190"/>
        <v>0120140010</v>
      </c>
      <c r="K1516" s="30" t="str">
        <f t="shared" si="191"/>
        <v>62107010120140010414</v>
      </c>
    </row>
    <row r="1517" spans="1:11" s="3" customFormat="1">
      <c r="A1517" s="228" t="s">
        <v>61</v>
      </c>
      <c r="B1517" s="229" t="s">
        <v>16</v>
      </c>
      <c r="C1517" s="230" t="s">
        <v>71</v>
      </c>
      <c r="D1517" s="230" t="s">
        <v>66</v>
      </c>
      <c r="E1517" s="230" t="s">
        <v>196</v>
      </c>
      <c r="F1517" s="230" t="s">
        <v>58</v>
      </c>
      <c r="G1517" s="231">
        <f>G1518</f>
        <v>0</v>
      </c>
      <c r="H1517" s="231">
        <f>H1518</f>
        <v>7613020</v>
      </c>
      <c r="I1517" s="230">
        <v>0</v>
      </c>
      <c r="J1517" s="370" t="str">
        <f t="shared" si="190"/>
        <v>0000000000</v>
      </c>
      <c r="K1517" s="30" t="str">
        <f t="shared" si="191"/>
        <v>62107020000000000000</v>
      </c>
    </row>
    <row r="1518" spans="1:11" s="3" customFormat="1">
      <c r="A1518" s="244" t="s">
        <v>723</v>
      </c>
      <c r="B1518" s="233" t="s">
        <v>16</v>
      </c>
      <c r="C1518" s="234" t="s">
        <v>71</v>
      </c>
      <c r="D1518" s="234" t="s">
        <v>66</v>
      </c>
      <c r="E1518" s="234" t="s">
        <v>331</v>
      </c>
      <c r="F1518" s="234" t="s">
        <v>58</v>
      </c>
      <c r="G1518" s="235">
        <f t="shared" ref="G1518:H1519" si="193">G1519</f>
        <v>0</v>
      </c>
      <c r="H1518" s="235">
        <f t="shared" si="193"/>
        <v>7613020</v>
      </c>
      <c r="I1518" s="234">
        <v>100000000</v>
      </c>
      <c r="J1518" s="370" t="str">
        <f t="shared" si="190"/>
        <v>0100000000</v>
      </c>
      <c r="K1518" s="30" t="str">
        <f t="shared" si="191"/>
        <v>62107020100000000000</v>
      </c>
    </row>
    <row r="1519" spans="1:11" s="3" customFormat="1" ht="25.5">
      <c r="A1519" s="232" t="s">
        <v>724</v>
      </c>
      <c r="B1519" s="233" t="s">
        <v>16</v>
      </c>
      <c r="C1519" s="234" t="s">
        <v>71</v>
      </c>
      <c r="D1519" s="234" t="s">
        <v>66</v>
      </c>
      <c r="E1519" s="234" t="s">
        <v>562</v>
      </c>
      <c r="F1519" s="234" t="s">
        <v>58</v>
      </c>
      <c r="G1519" s="235">
        <f t="shared" si="193"/>
        <v>0</v>
      </c>
      <c r="H1519" s="235">
        <f t="shared" si="193"/>
        <v>7613020</v>
      </c>
      <c r="I1519" s="234">
        <v>120000000</v>
      </c>
      <c r="J1519" s="370" t="str">
        <f t="shared" si="190"/>
        <v>0120000000</v>
      </c>
      <c r="K1519" s="30" t="str">
        <f t="shared" si="191"/>
        <v>62107020120000000000</v>
      </c>
    </row>
    <row r="1520" spans="1:11" s="3" customFormat="1" ht="38.25">
      <c r="A1520" s="232" t="s">
        <v>612</v>
      </c>
      <c r="B1520" s="233" t="s">
        <v>16</v>
      </c>
      <c r="C1520" s="234" t="s">
        <v>71</v>
      </c>
      <c r="D1520" s="234" t="s">
        <v>66</v>
      </c>
      <c r="E1520" s="234" t="s">
        <v>563</v>
      </c>
      <c r="F1520" s="234" t="s">
        <v>58</v>
      </c>
      <c r="G1520" s="235">
        <f t="shared" ref="G1520:H1522" si="194">G1521</f>
        <v>0</v>
      </c>
      <c r="H1520" s="235">
        <f t="shared" si="194"/>
        <v>7613020</v>
      </c>
      <c r="I1520" s="234">
        <v>120100000</v>
      </c>
      <c r="J1520" s="370" t="str">
        <f t="shared" si="190"/>
        <v>0120100000</v>
      </c>
      <c r="K1520" s="30" t="str">
        <f t="shared" si="191"/>
        <v>62107020120100000000</v>
      </c>
    </row>
    <row r="1521" spans="1:11" s="3" customFormat="1" ht="25.5">
      <c r="A1521" s="232" t="s">
        <v>154</v>
      </c>
      <c r="B1521" s="233" t="s">
        <v>16</v>
      </c>
      <c r="C1521" s="234" t="s">
        <v>71</v>
      </c>
      <c r="D1521" s="234" t="s">
        <v>66</v>
      </c>
      <c r="E1521" s="234" t="s">
        <v>564</v>
      </c>
      <c r="F1521" s="234" t="s">
        <v>58</v>
      </c>
      <c r="G1521" s="235">
        <f t="shared" si="194"/>
        <v>0</v>
      </c>
      <c r="H1521" s="235">
        <f t="shared" si="194"/>
        <v>7613020</v>
      </c>
      <c r="I1521" s="234">
        <v>120140010</v>
      </c>
      <c r="J1521" s="370" t="str">
        <f t="shared" si="190"/>
        <v>0120140010</v>
      </c>
      <c r="K1521" s="30" t="str">
        <f t="shared" si="191"/>
        <v>62107020120140010000</v>
      </c>
    </row>
    <row r="1522" spans="1:11" s="3" customFormat="1">
      <c r="A1522" s="232" t="s">
        <v>21</v>
      </c>
      <c r="B1522" s="233" t="s">
        <v>16</v>
      </c>
      <c r="C1522" s="234" t="s">
        <v>71</v>
      </c>
      <c r="D1522" s="234" t="s">
        <v>66</v>
      </c>
      <c r="E1522" s="234" t="s">
        <v>564</v>
      </c>
      <c r="F1522" s="234" t="s">
        <v>103</v>
      </c>
      <c r="G1522" s="235">
        <f t="shared" si="194"/>
        <v>0</v>
      </c>
      <c r="H1522" s="235">
        <f t="shared" si="194"/>
        <v>7613020</v>
      </c>
      <c r="I1522" s="234">
        <v>120140010</v>
      </c>
      <c r="J1522" s="370" t="str">
        <f t="shared" si="190"/>
        <v>0120140010</v>
      </c>
      <c r="K1522" s="30" t="str">
        <f t="shared" si="191"/>
        <v>62107020120140010410</v>
      </c>
    </row>
    <row r="1523" spans="1:11" s="4" customFormat="1" ht="25.5">
      <c r="A1523" s="236" t="s">
        <v>987</v>
      </c>
      <c r="B1523" s="233" t="s">
        <v>16</v>
      </c>
      <c r="C1523" s="234" t="s">
        <v>71</v>
      </c>
      <c r="D1523" s="234" t="s">
        <v>66</v>
      </c>
      <c r="E1523" s="234" t="s">
        <v>564</v>
      </c>
      <c r="F1523" s="234" t="s">
        <v>1052</v>
      </c>
      <c r="G1523" s="235">
        <f>VLOOKUP(K1523,'исх АС БЮДЖЕТ'!$A$10:$H$568,7,0)</f>
        <v>0</v>
      </c>
      <c r="H1523" s="235">
        <f>VLOOKUP(K1523,'исх АС БЮДЖЕТ'!$A$10:$H$568,8,0)</f>
        <v>7613020</v>
      </c>
      <c r="I1523" s="234">
        <v>120140010</v>
      </c>
      <c r="J1523" s="370" t="str">
        <f t="shared" si="190"/>
        <v>0120140010</v>
      </c>
      <c r="K1523" s="30" t="str">
        <f t="shared" si="191"/>
        <v>62107020120140010414</v>
      </c>
    </row>
    <row r="1524" spans="1:11" s="3" customFormat="1">
      <c r="A1524" s="224" t="s">
        <v>83</v>
      </c>
      <c r="B1524" s="225" t="s">
        <v>16</v>
      </c>
      <c r="C1524" s="226" t="s">
        <v>50</v>
      </c>
      <c r="D1524" s="226" t="s">
        <v>51</v>
      </c>
      <c r="E1524" s="226" t="s">
        <v>196</v>
      </c>
      <c r="F1524" s="226" t="s">
        <v>58</v>
      </c>
      <c r="G1524" s="227">
        <f t="shared" ref="G1524:H1524" si="195">G1525</f>
        <v>720000</v>
      </c>
      <c r="H1524" s="227">
        <f t="shared" si="195"/>
        <v>720000</v>
      </c>
      <c r="I1524" s="226">
        <v>0</v>
      </c>
      <c r="J1524" s="370" t="str">
        <f t="shared" si="190"/>
        <v>0000000000</v>
      </c>
      <c r="K1524" s="30" t="str">
        <f t="shared" si="191"/>
        <v>62108000000000000000</v>
      </c>
    </row>
    <row r="1525" spans="1:11" s="3" customFormat="1">
      <c r="A1525" s="228" t="s">
        <v>27</v>
      </c>
      <c r="B1525" s="229" t="s">
        <v>16</v>
      </c>
      <c r="C1525" s="230" t="s">
        <v>50</v>
      </c>
      <c r="D1525" s="230" t="s">
        <v>65</v>
      </c>
      <c r="E1525" s="230" t="s">
        <v>196</v>
      </c>
      <c r="F1525" s="230" t="s">
        <v>58</v>
      </c>
      <c r="G1525" s="231">
        <f>G1526</f>
        <v>720000</v>
      </c>
      <c r="H1525" s="231">
        <f>H1526</f>
        <v>720000</v>
      </c>
      <c r="I1525" s="230">
        <v>0</v>
      </c>
      <c r="J1525" s="370" t="str">
        <f t="shared" si="190"/>
        <v>0000000000</v>
      </c>
      <c r="K1525" s="30" t="str">
        <f t="shared" si="191"/>
        <v>62108010000000000000</v>
      </c>
    </row>
    <row r="1526" spans="1:11" s="3" customFormat="1">
      <c r="A1526" s="232" t="s">
        <v>739</v>
      </c>
      <c r="B1526" s="233" t="s">
        <v>16</v>
      </c>
      <c r="C1526" s="234" t="s">
        <v>50</v>
      </c>
      <c r="D1526" s="234" t="s">
        <v>65</v>
      </c>
      <c r="E1526" s="242" t="s">
        <v>277</v>
      </c>
      <c r="F1526" s="234" t="s">
        <v>58</v>
      </c>
      <c r="G1526" s="235">
        <f>G1527</f>
        <v>720000</v>
      </c>
      <c r="H1526" s="235">
        <f>H1527</f>
        <v>720000</v>
      </c>
      <c r="I1526" s="242">
        <v>700000000</v>
      </c>
      <c r="J1526" s="370" t="str">
        <f t="shared" si="190"/>
        <v>0700000000</v>
      </c>
      <c r="K1526" s="30" t="str">
        <f t="shared" si="191"/>
        <v>62108010700000000000</v>
      </c>
    </row>
    <row r="1527" spans="1:11" s="3" customFormat="1" ht="38.25">
      <c r="A1527" s="232" t="s">
        <v>194</v>
      </c>
      <c r="B1527" s="233" t="s">
        <v>16</v>
      </c>
      <c r="C1527" s="234" t="s">
        <v>50</v>
      </c>
      <c r="D1527" s="234" t="s">
        <v>65</v>
      </c>
      <c r="E1527" s="242" t="s">
        <v>278</v>
      </c>
      <c r="F1527" s="234" t="s">
        <v>58</v>
      </c>
      <c r="G1527" s="235">
        <f t="shared" ref="G1527:H1529" si="196">G1528</f>
        <v>720000</v>
      </c>
      <c r="H1527" s="235">
        <f t="shared" si="196"/>
        <v>720000</v>
      </c>
      <c r="I1527" s="242">
        <v>710000000</v>
      </c>
      <c r="J1527" s="370" t="str">
        <f t="shared" si="190"/>
        <v>0710000000</v>
      </c>
      <c r="K1527" s="30" t="str">
        <f t="shared" si="191"/>
        <v>62108010710000000000</v>
      </c>
    </row>
    <row r="1528" spans="1:11" s="3" customFormat="1" ht="51">
      <c r="A1528" s="232" t="s">
        <v>605</v>
      </c>
      <c r="B1528" s="233" t="s">
        <v>16</v>
      </c>
      <c r="C1528" s="234" t="s">
        <v>50</v>
      </c>
      <c r="D1528" s="234" t="s">
        <v>65</v>
      </c>
      <c r="E1528" s="242" t="s">
        <v>279</v>
      </c>
      <c r="F1528" s="234" t="s">
        <v>58</v>
      </c>
      <c r="G1528" s="235">
        <f t="shared" si="196"/>
        <v>720000</v>
      </c>
      <c r="H1528" s="235">
        <f t="shared" si="196"/>
        <v>720000</v>
      </c>
      <c r="I1528" s="242">
        <v>710100000</v>
      </c>
      <c r="J1528" s="370" t="str">
        <f t="shared" si="190"/>
        <v>0710100000</v>
      </c>
      <c r="K1528" s="30" t="str">
        <f t="shared" si="191"/>
        <v>62108010710100000000</v>
      </c>
    </row>
    <row r="1529" spans="1:11" s="3" customFormat="1">
      <c r="A1529" s="232" t="s">
        <v>161</v>
      </c>
      <c r="B1529" s="233" t="s">
        <v>16</v>
      </c>
      <c r="C1529" s="234" t="s">
        <v>50</v>
      </c>
      <c r="D1529" s="234" t="s">
        <v>65</v>
      </c>
      <c r="E1529" s="242" t="s">
        <v>320</v>
      </c>
      <c r="F1529" s="234" t="s">
        <v>58</v>
      </c>
      <c r="G1529" s="235">
        <f t="shared" si="196"/>
        <v>720000</v>
      </c>
      <c r="H1529" s="235">
        <f t="shared" si="196"/>
        <v>720000</v>
      </c>
      <c r="I1529" s="242">
        <v>710120060</v>
      </c>
      <c r="J1529" s="370" t="str">
        <f t="shared" si="190"/>
        <v>0710120060</v>
      </c>
      <c r="K1529" s="30" t="str">
        <f t="shared" si="191"/>
        <v>62108010710120060000</v>
      </c>
    </row>
    <row r="1530" spans="1:11" s="3" customFormat="1" ht="25.5">
      <c r="A1530" s="236" t="s">
        <v>108</v>
      </c>
      <c r="B1530" s="233" t="s">
        <v>16</v>
      </c>
      <c r="C1530" s="234" t="s">
        <v>50</v>
      </c>
      <c r="D1530" s="234" t="s">
        <v>65</v>
      </c>
      <c r="E1530" s="242" t="s">
        <v>320</v>
      </c>
      <c r="F1530" s="234" t="s">
        <v>116</v>
      </c>
      <c r="G1530" s="235">
        <f>G1531</f>
        <v>720000</v>
      </c>
      <c r="H1530" s="235">
        <f>H1531</f>
        <v>720000</v>
      </c>
      <c r="I1530" s="242">
        <v>710120060</v>
      </c>
      <c r="J1530" s="370" t="str">
        <f t="shared" si="190"/>
        <v>0710120060</v>
      </c>
      <c r="K1530" s="30" t="str">
        <f t="shared" si="191"/>
        <v>62108010710120060240</v>
      </c>
    </row>
    <row r="1531" spans="1:11" s="4" customFormat="1" ht="25.5">
      <c r="A1531" s="236" t="s">
        <v>973</v>
      </c>
      <c r="B1531" s="233" t="s">
        <v>16</v>
      </c>
      <c r="C1531" s="234" t="s">
        <v>50</v>
      </c>
      <c r="D1531" s="234" t="s">
        <v>65</v>
      </c>
      <c r="E1531" s="242" t="s">
        <v>320</v>
      </c>
      <c r="F1531" s="234" t="s">
        <v>1043</v>
      </c>
      <c r="G1531" s="235">
        <f>VLOOKUP(K1531,'исх АС БЮДЖЕТ'!$A$10:$H$568,7,0)</f>
        <v>720000</v>
      </c>
      <c r="H1531" s="235">
        <f>VLOOKUP(K1531,'исх АС БЮДЖЕТ'!$A$10:$H$568,8,0)</f>
        <v>720000</v>
      </c>
      <c r="I1531" s="242">
        <v>710120060</v>
      </c>
      <c r="J1531" s="370" t="str">
        <f t="shared" si="190"/>
        <v>0710120060</v>
      </c>
      <c r="K1531" s="30" t="str">
        <f t="shared" si="191"/>
        <v>62108010710120060244</v>
      </c>
    </row>
    <row r="1532" spans="1:11" s="4" customFormat="1">
      <c r="A1532" s="236"/>
      <c r="B1532" s="233"/>
      <c r="C1532" s="234"/>
      <c r="D1532" s="234"/>
      <c r="E1532" s="242"/>
      <c r="F1532" s="234"/>
      <c r="G1532" s="235"/>
      <c r="H1532" s="235"/>
      <c r="I1532" s="242"/>
      <c r="J1532" s="370"/>
      <c r="K1532" s="30"/>
    </row>
    <row r="1533" spans="1:11" s="3" customFormat="1" ht="25.5">
      <c r="A1533" s="219" t="s">
        <v>180</v>
      </c>
      <c r="B1533" s="220" t="s">
        <v>536</v>
      </c>
      <c r="C1533" s="221" t="s">
        <v>51</v>
      </c>
      <c r="D1533" s="221" t="s">
        <v>51</v>
      </c>
      <c r="E1533" s="221" t="s">
        <v>196</v>
      </c>
      <c r="F1533" s="221" t="s">
        <v>58</v>
      </c>
      <c r="G1533" s="222">
        <f t="shared" ref="G1533:H1534" si="197">G1534</f>
        <v>68682570</v>
      </c>
      <c r="H1533" s="222">
        <f t="shared" si="197"/>
        <v>68682570</v>
      </c>
      <c r="I1533" s="221">
        <v>0</v>
      </c>
      <c r="J1533" s="370" t="str">
        <f t="shared" si="190"/>
        <v>0000000000</v>
      </c>
      <c r="K1533" s="30" t="str">
        <f t="shared" si="191"/>
        <v>62400000000000000000</v>
      </c>
    </row>
    <row r="1534" spans="1:11" s="3" customFormat="1">
      <c r="A1534" s="224" t="s">
        <v>13</v>
      </c>
      <c r="B1534" s="225" t="s">
        <v>536</v>
      </c>
      <c r="C1534" s="226" t="s">
        <v>53</v>
      </c>
      <c r="D1534" s="226" t="s">
        <v>51</v>
      </c>
      <c r="E1534" s="226" t="s">
        <v>196</v>
      </c>
      <c r="F1534" s="226" t="s">
        <v>58</v>
      </c>
      <c r="G1534" s="227">
        <f t="shared" si="197"/>
        <v>68682570</v>
      </c>
      <c r="H1534" s="227">
        <f t="shared" si="197"/>
        <v>68682570</v>
      </c>
      <c r="I1534" s="226">
        <v>0</v>
      </c>
      <c r="J1534" s="370" t="str">
        <f t="shared" si="190"/>
        <v>0000000000</v>
      </c>
      <c r="K1534" s="30" t="str">
        <f t="shared" si="191"/>
        <v>62403000000000000000</v>
      </c>
    </row>
    <row r="1535" spans="1:11" s="3" customFormat="1" ht="25.5">
      <c r="A1535" s="228" t="s">
        <v>537</v>
      </c>
      <c r="B1535" s="229" t="s">
        <v>536</v>
      </c>
      <c r="C1535" s="230" t="s">
        <v>53</v>
      </c>
      <c r="D1535" s="230" t="s">
        <v>25</v>
      </c>
      <c r="E1535" s="230" t="s">
        <v>196</v>
      </c>
      <c r="F1535" s="230" t="s">
        <v>58</v>
      </c>
      <c r="G1535" s="231">
        <f>G1536+G1542+G1590</f>
        <v>68682570</v>
      </c>
      <c r="H1535" s="231">
        <f>H1536+H1542+H1590</f>
        <v>68682570</v>
      </c>
      <c r="I1535" s="230">
        <v>0</v>
      </c>
      <c r="J1535" s="370" t="str">
        <f t="shared" si="190"/>
        <v>0000000000</v>
      </c>
      <c r="K1535" s="30" t="str">
        <f t="shared" si="191"/>
        <v>62403090000000000000</v>
      </c>
    </row>
    <row r="1536" spans="1:11" s="3" customFormat="1" ht="25.5">
      <c r="A1536" s="263" t="s">
        <v>752</v>
      </c>
      <c r="B1536" s="233" t="s">
        <v>536</v>
      </c>
      <c r="C1536" s="234" t="s">
        <v>53</v>
      </c>
      <c r="D1536" s="234" t="s">
        <v>25</v>
      </c>
      <c r="E1536" s="234" t="s">
        <v>249</v>
      </c>
      <c r="F1536" s="234" t="s">
        <v>58</v>
      </c>
      <c r="G1536" s="235">
        <f>G1537</f>
        <v>22950</v>
      </c>
      <c r="H1536" s="235">
        <f>H1537</f>
        <v>22950</v>
      </c>
      <c r="I1536" s="234">
        <v>1500000000</v>
      </c>
      <c r="J1536" s="370" t="str">
        <f t="shared" si="190"/>
        <v>1500000000</v>
      </c>
      <c r="K1536" s="30" t="str">
        <f t="shared" ref="K1536:K1599" si="198">CONCATENATE(B1536,C1536,D1536,J1536,F1536)</f>
        <v>62403091500000000000</v>
      </c>
    </row>
    <row r="1537" spans="1:11" s="153" customFormat="1">
      <c r="A1537" s="232" t="s">
        <v>755</v>
      </c>
      <c r="B1537" s="233" t="s">
        <v>536</v>
      </c>
      <c r="C1537" s="234" t="s">
        <v>53</v>
      </c>
      <c r="D1537" s="234" t="s">
        <v>25</v>
      </c>
      <c r="E1537" s="234" t="s">
        <v>256</v>
      </c>
      <c r="F1537" s="234" t="s">
        <v>58</v>
      </c>
      <c r="G1537" s="235">
        <f t="shared" ref="G1537:H1538" si="199">G1538</f>
        <v>22950</v>
      </c>
      <c r="H1537" s="235">
        <f t="shared" si="199"/>
        <v>22950</v>
      </c>
      <c r="I1537" s="234">
        <v>1530000000</v>
      </c>
      <c r="J1537" s="370" t="str">
        <f t="shared" ref="J1537:J1600" si="200">TEXT(I1537,"0000000000")</f>
        <v>1530000000</v>
      </c>
      <c r="K1537" s="30" t="str">
        <f t="shared" si="198"/>
        <v>62403091530000000000</v>
      </c>
    </row>
    <row r="1538" spans="1:11" s="3" customFormat="1" ht="25.5">
      <c r="A1538" s="263" t="s">
        <v>617</v>
      </c>
      <c r="B1538" s="233" t="s">
        <v>536</v>
      </c>
      <c r="C1538" s="234" t="s">
        <v>53</v>
      </c>
      <c r="D1538" s="234" t="s">
        <v>25</v>
      </c>
      <c r="E1538" s="234" t="s">
        <v>541</v>
      </c>
      <c r="F1538" s="234" t="s">
        <v>58</v>
      </c>
      <c r="G1538" s="235">
        <f t="shared" si="199"/>
        <v>22950</v>
      </c>
      <c r="H1538" s="235">
        <f t="shared" si="199"/>
        <v>22950</v>
      </c>
      <c r="I1538" s="234">
        <v>1530200000</v>
      </c>
      <c r="J1538" s="370" t="str">
        <f t="shared" si="200"/>
        <v>1530200000</v>
      </c>
      <c r="K1538" s="30" t="str">
        <f t="shared" si="198"/>
        <v>62403091530200000000</v>
      </c>
    </row>
    <row r="1539" spans="1:11" s="3" customFormat="1" ht="25.5">
      <c r="A1539" s="263" t="s">
        <v>901</v>
      </c>
      <c r="B1539" s="233" t="s">
        <v>536</v>
      </c>
      <c r="C1539" s="234" t="s">
        <v>53</v>
      </c>
      <c r="D1539" s="234" t="s">
        <v>25</v>
      </c>
      <c r="E1539" s="234" t="s">
        <v>917</v>
      </c>
      <c r="F1539" s="234" t="s">
        <v>58</v>
      </c>
      <c r="G1539" s="235">
        <f>G1540</f>
        <v>22950</v>
      </c>
      <c r="H1539" s="235">
        <f>H1540</f>
        <v>22950</v>
      </c>
      <c r="I1539" s="234">
        <v>1530221290</v>
      </c>
      <c r="J1539" s="370" t="str">
        <f t="shared" si="200"/>
        <v>1530221290</v>
      </c>
      <c r="K1539" s="30" t="str">
        <f t="shared" si="198"/>
        <v>62403091530221290000</v>
      </c>
    </row>
    <row r="1540" spans="1:11" s="3" customFormat="1" ht="25.5">
      <c r="A1540" s="263" t="s">
        <v>108</v>
      </c>
      <c r="B1540" s="233" t="s">
        <v>536</v>
      </c>
      <c r="C1540" s="234" t="s">
        <v>53</v>
      </c>
      <c r="D1540" s="234" t="s">
        <v>25</v>
      </c>
      <c r="E1540" s="234" t="s">
        <v>917</v>
      </c>
      <c r="F1540" s="234" t="s">
        <v>116</v>
      </c>
      <c r="G1540" s="235">
        <f>G1541</f>
        <v>22950</v>
      </c>
      <c r="H1540" s="235">
        <f>H1541</f>
        <v>22950</v>
      </c>
      <c r="I1540" s="234">
        <v>1530221290</v>
      </c>
      <c r="J1540" s="370" t="str">
        <f t="shared" si="200"/>
        <v>1530221290</v>
      </c>
      <c r="K1540" s="30" t="str">
        <f t="shared" si="198"/>
        <v>62403091530221290240</v>
      </c>
    </row>
    <row r="1541" spans="1:11" s="4" customFormat="1" ht="25.5">
      <c r="A1541" s="236" t="s">
        <v>973</v>
      </c>
      <c r="B1541" s="233" t="s">
        <v>536</v>
      </c>
      <c r="C1541" s="234" t="s">
        <v>53</v>
      </c>
      <c r="D1541" s="234" t="s">
        <v>25</v>
      </c>
      <c r="E1541" s="234" t="s">
        <v>917</v>
      </c>
      <c r="F1541" s="234" t="s">
        <v>1043</v>
      </c>
      <c r="G1541" s="235">
        <f>VLOOKUP(K1541,'исх АС БЮДЖЕТ'!$A$10:$H$568,7,0)</f>
        <v>22950</v>
      </c>
      <c r="H1541" s="235">
        <f>VLOOKUP(K1541,'исх АС БЮДЖЕТ'!$A$10:$H$568,8,0)</f>
        <v>22950</v>
      </c>
      <c r="I1541" s="234">
        <v>1530221290</v>
      </c>
      <c r="J1541" s="370" t="str">
        <f t="shared" si="200"/>
        <v>1530221290</v>
      </c>
      <c r="K1541" s="30" t="str">
        <f t="shared" si="198"/>
        <v>62403091530221290244</v>
      </c>
    </row>
    <row r="1542" spans="1:11" s="3" customFormat="1" ht="51">
      <c r="A1542" s="232" t="s">
        <v>756</v>
      </c>
      <c r="B1542" s="233" t="s">
        <v>536</v>
      </c>
      <c r="C1542" s="234" t="s">
        <v>53</v>
      </c>
      <c r="D1542" s="234" t="s">
        <v>25</v>
      </c>
      <c r="E1542" s="234" t="s">
        <v>339</v>
      </c>
      <c r="F1542" s="234" t="s">
        <v>58</v>
      </c>
      <c r="G1542" s="235">
        <f>G1543+G1562+G1567</f>
        <v>53310130</v>
      </c>
      <c r="H1542" s="235">
        <f>H1543+H1562+H1567</f>
        <v>53310130</v>
      </c>
      <c r="I1542" s="234">
        <v>1600000000</v>
      </c>
      <c r="J1542" s="370" t="str">
        <f t="shared" si="200"/>
        <v>1600000000</v>
      </c>
      <c r="K1542" s="30" t="str">
        <f t="shared" si="198"/>
        <v>62403091600000000000</v>
      </c>
    </row>
    <row r="1543" spans="1:11" s="153" customFormat="1" ht="25.5">
      <c r="A1543" s="232" t="s">
        <v>135</v>
      </c>
      <c r="B1543" s="233" t="s">
        <v>536</v>
      </c>
      <c r="C1543" s="234" t="s">
        <v>53</v>
      </c>
      <c r="D1543" s="234" t="s">
        <v>25</v>
      </c>
      <c r="E1543" s="234" t="s">
        <v>542</v>
      </c>
      <c r="F1543" s="234" t="s">
        <v>58</v>
      </c>
      <c r="G1543" s="235">
        <f>G1544+G1548+G1558</f>
        <v>28785740</v>
      </c>
      <c r="H1543" s="235">
        <f>H1544+H1548+H1558</f>
        <v>28785740</v>
      </c>
      <c r="I1543" s="234">
        <v>1610000000</v>
      </c>
      <c r="J1543" s="370" t="str">
        <f t="shared" si="200"/>
        <v>1610000000</v>
      </c>
      <c r="K1543" s="30" t="str">
        <f t="shared" si="198"/>
        <v>62403091610000000000</v>
      </c>
    </row>
    <row r="1544" spans="1:11" s="3" customFormat="1" ht="38.25">
      <c r="A1544" s="232" t="s">
        <v>627</v>
      </c>
      <c r="B1544" s="233" t="s">
        <v>536</v>
      </c>
      <c r="C1544" s="234" t="s">
        <v>53</v>
      </c>
      <c r="D1544" s="234" t="s">
        <v>25</v>
      </c>
      <c r="E1544" s="234" t="s">
        <v>543</v>
      </c>
      <c r="F1544" s="234" t="s">
        <v>58</v>
      </c>
      <c r="G1544" s="235">
        <f t="shared" ref="G1544:H1544" si="201">G1545</f>
        <v>100000</v>
      </c>
      <c r="H1544" s="235">
        <f t="shared" si="201"/>
        <v>100000</v>
      </c>
      <c r="I1544" s="234">
        <v>1610100000</v>
      </c>
      <c r="J1544" s="370" t="str">
        <f t="shared" si="200"/>
        <v>1610100000</v>
      </c>
      <c r="K1544" s="30" t="str">
        <f t="shared" si="198"/>
        <v>62403091610100000000</v>
      </c>
    </row>
    <row r="1545" spans="1:11" s="3" customFormat="1" ht="38.25">
      <c r="A1545" s="263" t="s">
        <v>625</v>
      </c>
      <c r="B1545" s="233" t="s">
        <v>536</v>
      </c>
      <c r="C1545" s="234" t="s">
        <v>53</v>
      </c>
      <c r="D1545" s="234" t="s">
        <v>25</v>
      </c>
      <c r="E1545" s="234" t="s">
        <v>544</v>
      </c>
      <c r="F1545" s="234" t="s">
        <v>58</v>
      </c>
      <c r="G1545" s="235">
        <f>G1546</f>
        <v>100000</v>
      </c>
      <c r="H1545" s="235">
        <f>H1546</f>
        <v>100000</v>
      </c>
      <c r="I1545" s="234">
        <v>1610120120</v>
      </c>
      <c r="J1545" s="370" t="str">
        <f t="shared" si="200"/>
        <v>1610120120</v>
      </c>
      <c r="K1545" s="30" t="str">
        <f t="shared" si="198"/>
        <v>62403091610120120000</v>
      </c>
    </row>
    <row r="1546" spans="1:11" s="3" customFormat="1" ht="25.5">
      <c r="A1546" s="232" t="s">
        <v>108</v>
      </c>
      <c r="B1546" s="233" t="s">
        <v>536</v>
      </c>
      <c r="C1546" s="234" t="s">
        <v>53</v>
      </c>
      <c r="D1546" s="234" t="s">
        <v>25</v>
      </c>
      <c r="E1546" s="234" t="s">
        <v>544</v>
      </c>
      <c r="F1546" s="234" t="s">
        <v>116</v>
      </c>
      <c r="G1546" s="235">
        <f>G1547</f>
        <v>100000</v>
      </c>
      <c r="H1546" s="235">
        <f>H1547</f>
        <v>100000</v>
      </c>
      <c r="I1546" s="234">
        <v>1610120120</v>
      </c>
      <c r="J1546" s="370" t="str">
        <f t="shared" si="200"/>
        <v>1610120120</v>
      </c>
      <c r="K1546" s="30" t="str">
        <f t="shared" si="198"/>
        <v>62403091610120120240</v>
      </c>
    </row>
    <row r="1547" spans="1:11" s="4" customFormat="1" ht="25.5">
      <c r="A1547" s="236" t="s">
        <v>973</v>
      </c>
      <c r="B1547" s="233" t="s">
        <v>536</v>
      </c>
      <c r="C1547" s="234" t="s">
        <v>53</v>
      </c>
      <c r="D1547" s="234" t="s">
        <v>25</v>
      </c>
      <c r="E1547" s="234" t="s">
        <v>544</v>
      </c>
      <c r="F1547" s="234" t="s">
        <v>1043</v>
      </c>
      <c r="G1547" s="235">
        <f>VLOOKUP(K1547,'исх АС БЮДЖЕТ'!$A$10:$H$568,7,0)</f>
        <v>100000</v>
      </c>
      <c r="H1547" s="235">
        <f>VLOOKUP(K1547,'исх АС БЮДЖЕТ'!$A$10:$H$568,8,0)</f>
        <v>100000</v>
      </c>
      <c r="I1547" s="234">
        <v>1610120120</v>
      </c>
      <c r="J1547" s="370" t="str">
        <f t="shared" si="200"/>
        <v>1610120120</v>
      </c>
      <c r="K1547" s="30" t="str">
        <f t="shared" si="198"/>
        <v>62403091610120120244</v>
      </c>
    </row>
    <row r="1548" spans="1:11" s="3" customFormat="1" ht="25.5">
      <c r="A1548" s="263" t="s">
        <v>862</v>
      </c>
      <c r="B1548" s="233" t="s">
        <v>536</v>
      </c>
      <c r="C1548" s="234" t="s">
        <v>53</v>
      </c>
      <c r="D1548" s="234" t="s">
        <v>25</v>
      </c>
      <c r="E1548" s="234" t="s">
        <v>545</v>
      </c>
      <c r="F1548" s="234" t="s">
        <v>58</v>
      </c>
      <c r="G1548" s="235">
        <f>G1549</f>
        <v>28255740</v>
      </c>
      <c r="H1548" s="235">
        <f>H1549</f>
        <v>28255740</v>
      </c>
      <c r="I1548" s="234">
        <v>1610200000</v>
      </c>
      <c r="J1548" s="370" t="str">
        <f t="shared" si="200"/>
        <v>1610200000</v>
      </c>
      <c r="K1548" s="30" t="str">
        <f t="shared" si="198"/>
        <v>62403091610200000000</v>
      </c>
    </row>
    <row r="1549" spans="1:11" s="3" customFormat="1">
      <c r="A1549" s="263" t="s">
        <v>247</v>
      </c>
      <c r="B1549" s="233" t="s">
        <v>536</v>
      </c>
      <c r="C1549" s="234" t="s">
        <v>53</v>
      </c>
      <c r="D1549" s="234" t="s">
        <v>25</v>
      </c>
      <c r="E1549" s="234" t="s">
        <v>819</v>
      </c>
      <c r="F1549" s="234" t="s">
        <v>58</v>
      </c>
      <c r="G1549" s="235">
        <f>G1550+G1553+G1555</f>
        <v>28255740</v>
      </c>
      <c r="H1549" s="235">
        <f>H1550+H1553+H1555</f>
        <v>28255740</v>
      </c>
      <c r="I1549" s="234">
        <v>1610211010</v>
      </c>
      <c r="J1549" s="370" t="str">
        <f t="shared" si="200"/>
        <v>1610211010</v>
      </c>
      <c r="K1549" s="30" t="str">
        <f t="shared" si="198"/>
        <v>62403091610211010000</v>
      </c>
    </row>
    <row r="1550" spans="1:11" s="3" customFormat="1">
      <c r="A1550" s="232" t="s">
        <v>106</v>
      </c>
      <c r="B1550" s="233" t="s">
        <v>536</v>
      </c>
      <c r="C1550" s="234" t="s">
        <v>53</v>
      </c>
      <c r="D1550" s="234" t="s">
        <v>25</v>
      </c>
      <c r="E1550" s="234" t="s">
        <v>819</v>
      </c>
      <c r="F1550" s="234" t="s">
        <v>121</v>
      </c>
      <c r="G1550" s="235">
        <f>SUM(G1551:G1552)</f>
        <v>23050520</v>
      </c>
      <c r="H1550" s="235">
        <f>SUM(H1551:H1552)</f>
        <v>23050520</v>
      </c>
      <c r="I1550" s="234">
        <v>1610211010</v>
      </c>
      <c r="J1550" s="370" t="str">
        <f t="shared" si="200"/>
        <v>1610211010</v>
      </c>
      <c r="K1550" s="30" t="str">
        <f t="shared" si="198"/>
        <v>62403091610211010110</v>
      </c>
    </row>
    <row r="1551" spans="1:11" s="4" customFormat="1">
      <c r="A1551" s="236" t="s">
        <v>932</v>
      </c>
      <c r="B1551" s="233" t="s">
        <v>536</v>
      </c>
      <c r="C1551" s="234" t="s">
        <v>53</v>
      </c>
      <c r="D1551" s="234" t="s">
        <v>25</v>
      </c>
      <c r="E1551" s="234" t="s">
        <v>819</v>
      </c>
      <c r="F1551" s="234" t="s">
        <v>1056</v>
      </c>
      <c r="G1551" s="235">
        <f>VLOOKUP(K1551,'исх АС БЮДЖЕТ'!$A$10:$H$568,7,0)</f>
        <v>17703930</v>
      </c>
      <c r="H1551" s="235">
        <f>VLOOKUP(K1551,'исх АС БЮДЖЕТ'!$A$10:$H$568,8,0)</f>
        <v>17703930</v>
      </c>
      <c r="I1551" s="234">
        <v>1610211010</v>
      </c>
      <c r="J1551" s="370" t="str">
        <f t="shared" si="200"/>
        <v>1610211010</v>
      </c>
      <c r="K1551" s="30" t="str">
        <f t="shared" si="198"/>
        <v>62403091610211010111</v>
      </c>
    </row>
    <row r="1552" spans="1:11" s="4" customFormat="1" ht="25.5">
      <c r="A1552" s="236" t="s">
        <v>935</v>
      </c>
      <c r="B1552" s="233" t="s">
        <v>536</v>
      </c>
      <c r="C1552" s="234" t="s">
        <v>53</v>
      </c>
      <c r="D1552" s="234" t="s">
        <v>25</v>
      </c>
      <c r="E1552" s="234" t="s">
        <v>819</v>
      </c>
      <c r="F1552" s="234" t="s">
        <v>1057</v>
      </c>
      <c r="G1552" s="235">
        <f>VLOOKUP(K1552,'исх АС БЮДЖЕТ'!$A$10:$H$568,7,0)</f>
        <v>5346590</v>
      </c>
      <c r="H1552" s="235">
        <f>VLOOKUP(K1552,'исх АС БЮДЖЕТ'!$A$10:$H$568,8,0)</f>
        <v>5346590</v>
      </c>
      <c r="I1552" s="234">
        <v>1610211010</v>
      </c>
      <c r="J1552" s="370" t="str">
        <f t="shared" si="200"/>
        <v>1610211010</v>
      </c>
      <c r="K1552" s="30" t="str">
        <f t="shared" si="198"/>
        <v>62403091610211010119</v>
      </c>
    </row>
    <row r="1553" spans="1:11" s="3" customFormat="1" ht="25.5">
      <c r="A1553" s="263" t="s">
        <v>108</v>
      </c>
      <c r="B1553" s="233" t="s">
        <v>536</v>
      </c>
      <c r="C1553" s="234" t="s">
        <v>53</v>
      </c>
      <c r="D1553" s="234" t="s">
        <v>25</v>
      </c>
      <c r="E1553" s="234" t="s">
        <v>819</v>
      </c>
      <c r="F1553" s="234" t="s">
        <v>116</v>
      </c>
      <c r="G1553" s="235">
        <f>G1554</f>
        <v>4264220</v>
      </c>
      <c r="H1553" s="235">
        <f>H1554</f>
        <v>4264220</v>
      </c>
      <c r="I1553" s="234">
        <v>1610211010</v>
      </c>
      <c r="J1553" s="370" t="str">
        <f t="shared" si="200"/>
        <v>1610211010</v>
      </c>
      <c r="K1553" s="30" t="str">
        <f t="shared" si="198"/>
        <v>62403091610211010240</v>
      </c>
    </row>
    <row r="1554" spans="1:11" s="4" customFormat="1" ht="25.5">
      <c r="A1554" s="236" t="s">
        <v>973</v>
      </c>
      <c r="B1554" s="233" t="s">
        <v>536</v>
      </c>
      <c r="C1554" s="234" t="s">
        <v>53</v>
      </c>
      <c r="D1554" s="234" t="s">
        <v>25</v>
      </c>
      <c r="E1554" s="234" t="s">
        <v>819</v>
      </c>
      <c r="F1554" s="234" t="s">
        <v>1043</v>
      </c>
      <c r="G1554" s="235">
        <f>VLOOKUP(K1554,'исх АС БЮДЖЕТ'!$A$10:$H$568,7,0)</f>
        <v>4264220</v>
      </c>
      <c r="H1554" s="235">
        <f>VLOOKUP(K1554,'исх АС БЮДЖЕТ'!$A$10:$H$568,8,0)</f>
        <v>4264220</v>
      </c>
      <c r="I1554" s="234">
        <v>1610211010</v>
      </c>
      <c r="J1554" s="370" t="str">
        <f t="shared" si="200"/>
        <v>1610211010</v>
      </c>
      <c r="K1554" s="30" t="str">
        <f t="shared" si="198"/>
        <v>62403091610211010244</v>
      </c>
    </row>
    <row r="1555" spans="1:11" s="3" customFormat="1">
      <c r="A1555" s="263" t="s">
        <v>97</v>
      </c>
      <c r="B1555" s="233" t="s">
        <v>536</v>
      </c>
      <c r="C1555" s="234" t="s">
        <v>53</v>
      </c>
      <c r="D1555" s="234" t="s">
        <v>25</v>
      </c>
      <c r="E1555" s="234" t="s">
        <v>819</v>
      </c>
      <c r="F1555" s="234" t="s">
        <v>118</v>
      </c>
      <c r="G1555" s="235">
        <f>SUM(G1556:G1557)</f>
        <v>941000</v>
      </c>
      <c r="H1555" s="235">
        <f>SUM(H1556:H1557)</f>
        <v>941000</v>
      </c>
      <c r="I1555" s="234">
        <v>1610211010</v>
      </c>
      <c r="J1555" s="370" t="str">
        <f t="shared" si="200"/>
        <v>1610211010</v>
      </c>
      <c r="K1555" s="30" t="str">
        <f t="shared" si="198"/>
        <v>62403091610211010850</v>
      </c>
    </row>
    <row r="1556" spans="1:11" s="4" customFormat="1">
      <c r="A1556" s="236" t="s">
        <v>1036</v>
      </c>
      <c r="B1556" s="233" t="s">
        <v>536</v>
      </c>
      <c r="C1556" s="234" t="s">
        <v>53</v>
      </c>
      <c r="D1556" s="234" t="s">
        <v>25</v>
      </c>
      <c r="E1556" s="234" t="s">
        <v>819</v>
      </c>
      <c r="F1556" s="234" t="s">
        <v>1061</v>
      </c>
      <c r="G1556" s="235">
        <f>VLOOKUP(K1556,'исх АС БЮДЖЕТ'!$A$10:$H$568,7,0)</f>
        <v>901000</v>
      </c>
      <c r="H1556" s="235">
        <f>VLOOKUP(K1556,'исх АС БЮДЖЕТ'!$A$10:$H$568,8,0)</f>
        <v>901000</v>
      </c>
      <c r="I1556" s="234">
        <v>1610211010</v>
      </c>
      <c r="J1556" s="370" t="str">
        <f t="shared" si="200"/>
        <v>1610211010</v>
      </c>
      <c r="K1556" s="30" t="str">
        <f t="shared" si="198"/>
        <v>62403091610211010851</v>
      </c>
    </row>
    <row r="1557" spans="1:11" s="4" customFormat="1">
      <c r="A1557" s="236" t="s">
        <v>1037</v>
      </c>
      <c r="B1557" s="233" t="s">
        <v>536</v>
      </c>
      <c r="C1557" s="234" t="s">
        <v>53</v>
      </c>
      <c r="D1557" s="234" t="s">
        <v>25</v>
      </c>
      <c r="E1557" s="234" t="s">
        <v>819</v>
      </c>
      <c r="F1557" s="234" t="s">
        <v>1062</v>
      </c>
      <c r="G1557" s="235">
        <f>VLOOKUP(K1557,'исх АС БЮДЖЕТ'!$A$10:$H$568,7,0)</f>
        <v>40000</v>
      </c>
      <c r="H1557" s="235">
        <f>VLOOKUP(K1557,'исх АС БЮДЖЕТ'!$A$10:$H$568,8,0)</f>
        <v>40000</v>
      </c>
      <c r="I1557" s="234">
        <v>1610211010</v>
      </c>
      <c r="J1557" s="370" t="str">
        <f t="shared" si="200"/>
        <v>1610211010</v>
      </c>
      <c r="K1557" s="30" t="str">
        <f t="shared" si="198"/>
        <v>62403091610211010852</v>
      </c>
    </row>
    <row r="1558" spans="1:11" s="3" customFormat="1" ht="25.5">
      <c r="A1558" s="263" t="s">
        <v>617</v>
      </c>
      <c r="B1558" s="233" t="s">
        <v>536</v>
      </c>
      <c r="C1558" s="234" t="s">
        <v>53</v>
      </c>
      <c r="D1558" s="234" t="s">
        <v>25</v>
      </c>
      <c r="E1558" s="234" t="s">
        <v>626</v>
      </c>
      <c r="F1558" s="234" t="s">
        <v>58</v>
      </c>
      <c r="G1558" s="235">
        <f t="shared" ref="G1558:H1558" si="202">G1559</f>
        <v>430000</v>
      </c>
      <c r="H1558" s="235">
        <f t="shared" si="202"/>
        <v>430000</v>
      </c>
      <c r="I1558" s="234">
        <v>1610300000</v>
      </c>
      <c r="J1558" s="370" t="str">
        <f t="shared" si="200"/>
        <v>1610300000</v>
      </c>
      <c r="K1558" s="30" t="str">
        <f t="shared" si="198"/>
        <v>62403091610300000000</v>
      </c>
    </row>
    <row r="1559" spans="1:11" s="3" customFormat="1" ht="38.25">
      <c r="A1559" s="232" t="s">
        <v>172</v>
      </c>
      <c r="B1559" s="233" t="s">
        <v>536</v>
      </c>
      <c r="C1559" s="234" t="s">
        <v>53</v>
      </c>
      <c r="D1559" s="234" t="s">
        <v>25</v>
      </c>
      <c r="E1559" s="234" t="s">
        <v>820</v>
      </c>
      <c r="F1559" s="234" t="s">
        <v>58</v>
      </c>
      <c r="G1559" s="235">
        <f>G1560</f>
        <v>430000</v>
      </c>
      <c r="H1559" s="235">
        <f>H1560</f>
        <v>430000</v>
      </c>
      <c r="I1559" s="234">
        <v>1610320120</v>
      </c>
      <c r="J1559" s="370" t="str">
        <f t="shared" si="200"/>
        <v>1610320120</v>
      </c>
      <c r="K1559" s="30" t="str">
        <f t="shared" si="198"/>
        <v>62403091610320120000</v>
      </c>
    </row>
    <row r="1560" spans="1:11" s="3" customFormat="1" ht="25.5">
      <c r="A1560" s="263" t="s">
        <v>108</v>
      </c>
      <c r="B1560" s="233" t="s">
        <v>536</v>
      </c>
      <c r="C1560" s="234" t="s">
        <v>53</v>
      </c>
      <c r="D1560" s="234" t="s">
        <v>25</v>
      </c>
      <c r="E1560" s="234" t="s">
        <v>820</v>
      </c>
      <c r="F1560" s="234" t="s">
        <v>116</v>
      </c>
      <c r="G1560" s="235">
        <f>G1561</f>
        <v>430000</v>
      </c>
      <c r="H1560" s="235">
        <f>H1561</f>
        <v>430000</v>
      </c>
      <c r="I1560" s="234">
        <v>1610320120</v>
      </c>
      <c r="J1560" s="370" t="str">
        <f t="shared" si="200"/>
        <v>1610320120</v>
      </c>
      <c r="K1560" s="30" t="str">
        <f t="shared" si="198"/>
        <v>62403091610320120240</v>
      </c>
    </row>
    <row r="1561" spans="1:11" s="4" customFormat="1" ht="25.5">
      <c r="A1561" s="236" t="s">
        <v>973</v>
      </c>
      <c r="B1561" s="233" t="s">
        <v>536</v>
      </c>
      <c r="C1561" s="234" t="s">
        <v>53</v>
      </c>
      <c r="D1561" s="234" t="s">
        <v>25</v>
      </c>
      <c r="E1561" s="234" t="s">
        <v>820</v>
      </c>
      <c r="F1561" s="234" t="s">
        <v>1043</v>
      </c>
      <c r="G1561" s="235">
        <f>VLOOKUP(K1561,'исх АС БЮДЖЕТ'!$A$10:$H$568,7,0)</f>
        <v>430000</v>
      </c>
      <c r="H1561" s="235">
        <f>VLOOKUP(K1561,'исх АС БЮДЖЕТ'!$A$10:$H$568,8,0)</f>
        <v>430000</v>
      </c>
      <c r="I1561" s="234">
        <v>1610320120</v>
      </c>
      <c r="J1561" s="370" t="str">
        <f t="shared" si="200"/>
        <v>1610320120</v>
      </c>
      <c r="K1561" s="30" t="str">
        <f t="shared" si="198"/>
        <v>62403091610320120244</v>
      </c>
    </row>
    <row r="1562" spans="1:11" s="153" customFormat="1" ht="25.5">
      <c r="A1562" s="232" t="s">
        <v>136</v>
      </c>
      <c r="B1562" s="233" t="s">
        <v>536</v>
      </c>
      <c r="C1562" s="234" t="s">
        <v>53</v>
      </c>
      <c r="D1562" s="234" t="s">
        <v>25</v>
      </c>
      <c r="E1562" s="234" t="s">
        <v>340</v>
      </c>
      <c r="F1562" s="234" t="s">
        <v>58</v>
      </c>
      <c r="G1562" s="235">
        <f t="shared" ref="G1562:H1563" si="203">G1563</f>
        <v>435000</v>
      </c>
      <c r="H1562" s="235">
        <f t="shared" si="203"/>
        <v>435000</v>
      </c>
      <c r="I1562" s="234">
        <v>1620000000</v>
      </c>
      <c r="J1562" s="370" t="str">
        <f t="shared" si="200"/>
        <v>1620000000</v>
      </c>
      <c r="K1562" s="30" t="str">
        <f t="shared" si="198"/>
        <v>62403091620000000000</v>
      </c>
    </row>
    <row r="1563" spans="1:11" s="3" customFormat="1">
      <c r="A1563" s="263" t="s">
        <v>863</v>
      </c>
      <c r="B1563" s="233" t="s">
        <v>536</v>
      </c>
      <c r="C1563" s="234" t="s">
        <v>53</v>
      </c>
      <c r="D1563" s="234" t="s">
        <v>25</v>
      </c>
      <c r="E1563" s="234" t="s">
        <v>341</v>
      </c>
      <c r="F1563" s="234" t="s">
        <v>58</v>
      </c>
      <c r="G1563" s="235">
        <f t="shared" si="203"/>
        <v>435000</v>
      </c>
      <c r="H1563" s="235">
        <f t="shared" si="203"/>
        <v>435000</v>
      </c>
      <c r="I1563" s="234">
        <v>1620100000</v>
      </c>
      <c r="J1563" s="370" t="str">
        <f t="shared" si="200"/>
        <v>1620100000</v>
      </c>
      <c r="K1563" s="30" t="str">
        <f t="shared" si="198"/>
        <v>62403091620100000000</v>
      </c>
    </row>
    <row r="1564" spans="1:11" s="3" customFormat="1">
      <c r="A1564" s="263" t="s">
        <v>137</v>
      </c>
      <c r="B1564" s="233" t="s">
        <v>536</v>
      </c>
      <c r="C1564" s="234" t="s">
        <v>53</v>
      </c>
      <c r="D1564" s="234" t="s">
        <v>25</v>
      </c>
      <c r="E1564" s="234" t="s">
        <v>546</v>
      </c>
      <c r="F1564" s="234" t="s">
        <v>58</v>
      </c>
      <c r="G1564" s="235">
        <f>G1565</f>
        <v>435000</v>
      </c>
      <c r="H1564" s="235">
        <f>H1565</f>
        <v>435000</v>
      </c>
      <c r="I1564" s="234">
        <v>1620120540</v>
      </c>
      <c r="J1564" s="370" t="str">
        <f t="shared" si="200"/>
        <v>1620120540</v>
      </c>
      <c r="K1564" s="30" t="str">
        <f t="shared" si="198"/>
        <v>62403091620120540000</v>
      </c>
    </row>
    <row r="1565" spans="1:11" s="3" customFormat="1" ht="25.5">
      <c r="A1565" s="232" t="s">
        <v>108</v>
      </c>
      <c r="B1565" s="233" t="s">
        <v>536</v>
      </c>
      <c r="C1565" s="234" t="s">
        <v>53</v>
      </c>
      <c r="D1565" s="234" t="s">
        <v>25</v>
      </c>
      <c r="E1565" s="234" t="s">
        <v>546</v>
      </c>
      <c r="F1565" s="234" t="s">
        <v>116</v>
      </c>
      <c r="G1565" s="235">
        <f>G1566</f>
        <v>435000</v>
      </c>
      <c r="H1565" s="235">
        <f>H1566</f>
        <v>435000</v>
      </c>
      <c r="I1565" s="234">
        <v>1620120540</v>
      </c>
      <c r="J1565" s="370" t="str">
        <f t="shared" si="200"/>
        <v>1620120540</v>
      </c>
      <c r="K1565" s="30" t="str">
        <f t="shared" si="198"/>
        <v>62403091620120540240</v>
      </c>
    </row>
    <row r="1566" spans="1:11" s="4" customFormat="1" ht="25.5">
      <c r="A1566" s="236" t="s">
        <v>973</v>
      </c>
      <c r="B1566" s="233" t="s">
        <v>536</v>
      </c>
      <c r="C1566" s="234" t="s">
        <v>53</v>
      </c>
      <c r="D1566" s="234" t="s">
        <v>25</v>
      </c>
      <c r="E1566" s="234" t="s">
        <v>546</v>
      </c>
      <c r="F1566" s="234" t="s">
        <v>1043</v>
      </c>
      <c r="G1566" s="235">
        <f>VLOOKUP(K1566,'исх АС БЮДЖЕТ'!$A$10:$H$568,7,0)</f>
        <v>435000</v>
      </c>
      <c r="H1566" s="235">
        <f>VLOOKUP(K1566,'исх АС БЮДЖЕТ'!$A$10:$H$568,8,0)</f>
        <v>435000</v>
      </c>
      <c r="I1566" s="234">
        <v>1620120540</v>
      </c>
      <c r="J1566" s="370" t="str">
        <f t="shared" si="200"/>
        <v>1620120540</v>
      </c>
      <c r="K1566" s="30" t="str">
        <f t="shared" si="198"/>
        <v>62403091620120540244</v>
      </c>
    </row>
    <row r="1567" spans="1:11" s="3" customFormat="1" ht="25.5">
      <c r="A1567" s="232" t="s">
        <v>822</v>
      </c>
      <c r="B1567" s="233" t="s">
        <v>536</v>
      </c>
      <c r="C1567" s="234" t="s">
        <v>53</v>
      </c>
      <c r="D1567" s="234" t="s">
        <v>25</v>
      </c>
      <c r="E1567" s="234" t="s">
        <v>821</v>
      </c>
      <c r="F1567" s="234" t="s">
        <v>58</v>
      </c>
      <c r="G1567" s="235">
        <f>G1568+G1578+G1582+G1586</f>
        <v>24089390</v>
      </c>
      <c r="H1567" s="235">
        <f>H1568+H1578+H1582+H1586</f>
        <v>24089390</v>
      </c>
      <c r="I1567" s="234">
        <v>1630000000</v>
      </c>
      <c r="J1567" s="370" t="str">
        <f t="shared" si="200"/>
        <v>1630000000</v>
      </c>
      <c r="K1567" s="30" t="str">
        <f t="shared" si="198"/>
        <v>62403091630000000000</v>
      </c>
    </row>
    <row r="1568" spans="1:11" s="3" customFormat="1" ht="38.25">
      <c r="A1568" s="232" t="s">
        <v>864</v>
      </c>
      <c r="B1568" s="233" t="s">
        <v>536</v>
      </c>
      <c r="C1568" s="234" t="s">
        <v>53</v>
      </c>
      <c r="D1568" s="234" t="s">
        <v>25</v>
      </c>
      <c r="E1568" s="234" t="s">
        <v>823</v>
      </c>
      <c r="F1568" s="234" t="s">
        <v>58</v>
      </c>
      <c r="G1568" s="235">
        <f>G1569</f>
        <v>18692580</v>
      </c>
      <c r="H1568" s="235">
        <f>H1569</f>
        <v>18692580</v>
      </c>
      <c r="I1568" s="234">
        <v>1630100000</v>
      </c>
      <c r="J1568" s="370" t="str">
        <f t="shared" si="200"/>
        <v>1630100000</v>
      </c>
      <c r="K1568" s="30" t="str">
        <f t="shared" si="198"/>
        <v>62403091630100000000</v>
      </c>
    </row>
    <row r="1569" spans="1:11" s="3" customFormat="1">
      <c r="A1569" s="263" t="s">
        <v>247</v>
      </c>
      <c r="B1569" s="233" t="s">
        <v>536</v>
      </c>
      <c r="C1569" s="234" t="s">
        <v>53</v>
      </c>
      <c r="D1569" s="234" t="s">
        <v>25</v>
      </c>
      <c r="E1569" s="234" t="s">
        <v>824</v>
      </c>
      <c r="F1569" s="234" t="s">
        <v>58</v>
      </c>
      <c r="G1569" s="235">
        <f>G1570+G1573+G1575</f>
        <v>18692580</v>
      </c>
      <c r="H1569" s="235">
        <f>H1570+H1573+H1575</f>
        <v>18692580</v>
      </c>
      <c r="I1569" s="234">
        <v>1630111010</v>
      </c>
      <c r="J1569" s="370" t="str">
        <f t="shared" si="200"/>
        <v>1630111010</v>
      </c>
      <c r="K1569" s="30" t="str">
        <f t="shared" si="198"/>
        <v>62403091630111010000</v>
      </c>
    </row>
    <row r="1570" spans="1:11" s="3" customFormat="1">
      <c r="A1570" s="263" t="s">
        <v>106</v>
      </c>
      <c r="B1570" s="233" t="s">
        <v>536</v>
      </c>
      <c r="C1570" s="234" t="s">
        <v>53</v>
      </c>
      <c r="D1570" s="234" t="s">
        <v>25</v>
      </c>
      <c r="E1570" s="234" t="s">
        <v>824</v>
      </c>
      <c r="F1570" s="234" t="s">
        <v>121</v>
      </c>
      <c r="G1570" s="235">
        <f>SUM(G1571:G1572)</f>
        <v>16997420</v>
      </c>
      <c r="H1570" s="235">
        <f>SUM(H1571:H1572)</f>
        <v>16997420</v>
      </c>
      <c r="I1570" s="234">
        <v>1630111010</v>
      </c>
      <c r="J1570" s="370" t="str">
        <f t="shared" si="200"/>
        <v>1630111010</v>
      </c>
      <c r="K1570" s="30" t="str">
        <f t="shared" si="198"/>
        <v>62403091630111010110</v>
      </c>
    </row>
    <row r="1571" spans="1:11" s="4" customFormat="1">
      <c r="A1571" s="236" t="s">
        <v>932</v>
      </c>
      <c r="B1571" s="233" t="s">
        <v>536</v>
      </c>
      <c r="C1571" s="234" t="s">
        <v>53</v>
      </c>
      <c r="D1571" s="234" t="s">
        <v>25</v>
      </c>
      <c r="E1571" s="234" t="s">
        <v>824</v>
      </c>
      <c r="F1571" s="234" t="s">
        <v>1056</v>
      </c>
      <c r="G1571" s="235">
        <f>VLOOKUP(K1571,'исх АС БЮДЖЕТ'!$A$10:$H$568,7,0)</f>
        <v>13054850</v>
      </c>
      <c r="H1571" s="235">
        <f>VLOOKUP(K1571,'исх АС БЮДЖЕТ'!$A$10:$H$568,8,0)</f>
        <v>13054850</v>
      </c>
      <c r="I1571" s="234">
        <v>1630111010</v>
      </c>
      <c r="J1571" s="370" t="str">
        <f t="shared" si="200"/>
        <v>1630111010</v>
      </c>
      <c r="K1571" s="30" t="str">
        <f t="shared" si="198"/>
        <v>62403091630111010111</v>
      </c>
    </row>
    <row r="1572" spans="1:11" s="4" customFormat="1" ht="25.5">
      <c r="A1572" s="236" t="s">
        <v>935</v>
      </c>
      <c r="B1572" s="233" t="s">
        <v>536</v>
      </c>
      <c r="C1572" s="234" t="s">
        <v>53</v>
      </c>
      <c r="D1572" s="234" t="s">
        <v>25</v>
      </c>
      <c r="E1572" s="234" t="s">
        <v>824</v>
      </c>
      <c r="F1572" s="234" t="s">
        <v>1057</v>
      </c>
      <c r="G1572" s="235">
        <f>VLOOKUP(K1572,'исх АС БЮДЖЕТ'!$A$10:$H$568,7,0)</f>
        <v>3942570</v>
      </c>
      <c r="H1572" s="235">
        <f>VLOOKUP(K1572,'исх АС БЮДЖЕТ'!$A$10:$H$568,8,0)</f>
        <v>3942570</v>
      </c>
      <c r="I1572" s="234">
        <v>1630111010</v>
      </c>
      <c r="J1572" s="370" t="str">
        <f t="shared" si="200"/>
        <v>1630111010</v>
      </c>
      <c r="K1572" s="30" t="str">
        <f t="shared" si="198"/>
        <v>62403091630111010119</v>
      </c>
    </row>
    <row r="1573" spans="1:11" s="3" customFormat="1" ht="25.5">
      <c r="A1573" s="232" t="s">
        <v>108</v>
      </c>
      <c r="B1573" s="233" t="s">
        <v>536</v>
      </c>
      <c r="C1573" s="234" t="s">
        <v>53</v>
      </c>
      <c r="D1573" s="234" t="s">
        <v>25</v>
      </c>
      <c r="E1573" s="234" t="s">
        <v>824</v>
      </c>
      <c r="F1573" s="234" t="s">
        <v>116</v>
      </c>
      <c r="G1573" s="235">
        <f>G1574</f>
        <v>1338160</v>
      </c>
      <c r="H1573" s="235">
        <f>H1574</f>
        <v>1338160</v>
      </c>
      <c r="I1573" s="234">
        <v>1630111010</v>
      </c>
      <c r="J1573" s="370" t="str">
        <f t="shared" si="200"/>
        <v>1630111010</v>
      </c>
      <c r="K1573" s="30" t="str">
        <f t="shared" si="198"/>
        <v>62403091630111010240</v>
      </c>
    </row>
    <row r="1574" spans="1:11" s="4" customFormat="1" ht="25.5">
      <c r="A1574" s="236" t="s">
        <v>973</v>
      </c>
      <c r="B1574" s="233" t="s">
        <v>536</v>
      </c>
      <c r="C1574" s="234" t="s">
        <v>53</v>
      </c>
      <c r="D1574" s="234" t="s">
        <v>25</v>
      </c>
      <c r="E1574" s="234" t="s">
        <v>824</v>
      </c>
      <c r="F1574" s="234" t="s">
        <v>1043</v>
      </c>
      <c r="G1574" s="235">
        <f>VLOOKUP(K1574,'исх АС БЮДЖЕТ'!$A$10:$H$568,7,0)</f>
        <v>1338160</v>
      </c>
      <c r="H1574" s="235">
        <f>VLOOKUP(K1574,'исх АС БЮДЖЕТ'!$A$10:$H$568,8,0)</f>
        <v>1338160</v>
      </c>
      <c r="I1574" s="234">
        <v>1630111010</v>
      </c>
      <c r="J1574" s="370" t="str">
        <f t="shared" si="200"/>
        <v>1630111010</v>
      </c>
      <c r="K1574" s="30" t="str">
        <f t="shared" si="198"/>
        <v>62403091630111010244</v>
      </c>
    </row>
    <row r="1575" spans="1:11" s="3" customFormat="1">
      <c r="A1575" s="263" t="s">
        <v>97</v>
      </c>
      <c r="B1575" s="233" t="s">
        <v>536</v>
      </c>
      <c r="C1575" s="234" t="s">
        <v>53</v>
      </c>
      <c r="D1575" s="234" t="s">
        <v>25</v>
      </c>
      <c r="E1575" s="234" t="s">
        <v>824</v>
      </c>
      <c r="F1575" s="234" t="s">
        <v>118</v>
      </c>
      <c r="G1575" s="235">
        <f>SUM(G1576:G1577)</f>
        <v>357000</v>
      </c>
      <c r="H1575" s="235">
        <f>SUM(H1576:H1577)</f>
        <v>357000</v>
      </c>
      <c r="I1575" s="234">
        <v>1630111010</v>
      </c>
      <c r="J1575" s="370" t="str">
        <f t="shared" si="200"/>
        <v>1630111010</v>
      </c>
      <c r="K1575" s="30" t="str">
        <f t="shared" si="198"/>
        <v>62403091630111010850</v>
      </c>
    </row>
    <row r="1576" spans="1:11" s="4" customFormat="1">
      <c r="A1576" s="236" t="s">
        <v>1036</v>
      </c>
      <c r="B1576" s="233" t="s">
        <v>536</v>
      </c>
      <c r="C1576" s="234" t="s">
        <v>53</v>
      </c>
      <c r="D1576" s="234" t="s">
        <v>25</v>
      </c>
      <c r="E1576" s="234" t="s">
        <v>824</v>
      </c>
      <c r="F1576" s="234" t="s">
        <v>1061</v>
      </c>
      <c r="G1576" s="235">
        <f>VLOOKUP(K1576,'исх АС БЮДЖЕТ'!$A$10:$H$568,7,0)</f>
        <v>350000</v>
      </c>
      <c r="H1576" s="235">
        <f>VLOOKUP(K1576,'исх АС БЮДЖЕТ'!$A$10:$H$568,8,0)</f>
        <v>350000</v>
      </c>
      <c r="I1576" s="234">
        <v>1630111010</v>
      </c>
      <c r="J1576" s="370" t="str">
        <f t="shared" si="200"/>
        <v>1630111010</v>
      </c>
      <c r="K1576" s="30" t="str">
        <f t="shared" si="198"/>
        <v>62403091630111010851</v>
      </c>
    </row>
    <row r="1577" spans="1:11" s="4" customFormat="1">
      <c r="A1577" s="236" t="s">
        <v>1037</v>
      </c>
      <c r="B1577" s="233" t="s">
        <v>536</v>
      </c>
      <c r="C1577" s="234" t="s">
        <v>53</v>
      </c>
      <c r="D1577" s="234" t="s">
        <v>25</v>
      </c>
      <c r="E1577" s="234" t="s">
        <v>824</v>
      </c>
      <c r="F1577" s="234" t="s">
        <v>1062</v>
      </c>
      <c r="G1577" s="235">
        <f>VLOOKUP(K1577,'исх АС БЮДЖЕТ'!$A$10:$H$568,7,0)</f>
        <v>7000</v>
      </c>
      <c r="H1577" s="235">
        <f>VLOOKUP(K1577,'исх АС БЮДЖЕТ'!$A$10:$H$568,8,0)</f>
        <v>7000</v>
      </c>
      <c r="I1577" s="234">
        <v>1630111010</v>
      </c>
      <c r="J1577" s="370" t="str">
        <f t="shared" si="200"/>
        <v>1630111010</v>
      </c>
      <c r="K1577" s="30" t="str">
        <f t="shared" si="198"/>
        <v>62403091630111010852</v>
      </c>
    </row>
    <row r="1578" spans="1:11" s="3" customFormat="1" ht="51">
      <c r="A1578" s="263" t="s">
        <v>670</v>
      </c>
      <c r="B1578" s="233" t="s">
        <v>536</v>
      </c>
      <c r="C1578" s="234" t="s">
        <v>53</v>
      </c>
      <c r="D1578" s="234" t="s">
        <v>25</v>
      </c>
      <c r="E1578" s="234" t="s">
        <v>825</v>
      </c>
      <c r="F1578" s="234" t="s">
        <v>58</v>
      </c>
      <c r="G1578" s="235">
        <f t="shared" ref="G1578:H1580" si="204">G1579</f>
        <v>2201810</v>
      </c>
      <c r="H1578" s="235">
        <f t="shared" si="204"/>
        <v>2201810</v>
      </c>
      <c r="I1578" s="234">
        <v>1630200000</v>
      </c>
      <c r="J1578" s="370" t="str">
        <f t="shared" si="200"/>
        <v>1630200000</v>
      </c>
      <c r="K1578" s="30" t="str">
        <f t="shared" si="198"/>
        <v>62403091630200000000</v>
      </c>
    </row>
    <row r="1579" spans="1:11" s="3" customFormat="1" ht="38.25">
      <c r="A1579" s="263" t="s">
        <v>173</v>
      </c>
      <c r="B1579" s="233" t="s">
        <v>536</v>
      </c>
      <c r="C1579" s="234" t="s">
        <v>53</v>
      </c>
      <c r="D1579" s="234" t="s">
        <v>25</v>
      </c>
      <c r="E1579" s="234" t="s">
        <v>826</v>
      </c>
      <c r="F1579" s="234" t="s">
        <v>58</v>
      </c>
      <c r="G1579" s="235">
        <f t="shared" si="204"/>
        <v>2201810</v>
      </c>
      <c r="H1579" s="235">
        <f t="shared" si="204"/>
        <v>2201810</v>
      </c>
      <c r="I1579" s="234">
        <v>1630220690</v>
      </c>
      <c r="J1579" s="370" t="str">
        <f t="shared" si="200"/>
        <v>1630220690</v>
      </c>
      <c r="K1579" s="30" t="str">
        <f t="shared" si="198"/>
        <v>62403091630220690000</v>
      </c>
    </row>
    <row r="1580" spans="1:11" s="3" customFormat="1" ht="25.5">
      <c r="A1580" s="232" t="s">
        <v>108</v>
      </c>
      <c r="B1580" s="233" t="s">
        <v>536</v>
      </c>
      <c r="C1580" s="234" t="s">
        <v>53</v>
      </c>
      <c r="D1580" s="234" t="s">
        <v>25</v>
      </c>
      <c r="E1580" s="234" t="s">
        <v>826</v>
      </c>
      <c r="F1580" s="234" t="s">
        <v>116</v>
      </c>
      <c r="G1580" s="235">
        <f t="shared" si="204"/>
        <v>2201810</v>
      </c>
      <c r="H1580" s="235">
        <f t="shared" si="204"/>
        <v>2201810</v>
      </c>
      <c r="I1580" s="234">
        <v>1630220690</v>
      </c>
      <c r="J1580" s="370" t="str">
        <f t="shared" si="200"/>
        <v>1630220690</v>
      </c>
      <c r="K1580" s="30" t="str">
        <f t="shared" si="198"/>
        <v>62403091630220690240</v>
      </c>
    </row>
    <row r="1581" spans="1:11" s="4" customFormat="1" ht="25.5">
      <c r="A1581" s="236" t="s">
        <v>973</v>
      </c>
      <c r="B1581" s="233" t="s">
        <v>536</v>
      </c>
      <c r="C1581" s="234" t="s">
        <v>53</v>
      </c>
      <c r="D1581" s="234" t="s">
        <v>25</v>
      </c>
      <c r="E1581" s="234" t="s">
        <v>826</v>
      </c>
      <c r="F1581" s="234" t="s">
        <v>1043</v>
      </c>
      <c r="G1581" s="235">
        <f>VLOOKUP(K1581,'исх АС БЮДЖЕТ'!$A$10:$H$568,7,0)</f>
        <v>2201810</v>
      </c>
      <c r="H1581" s="235">
        <f>VLOOKUP(K1581,'исх АС БЮДЖЕТ'!$A$10:$H$568,8,0)</f>
        <v>2201810</v>
      </c>
      <c r="I1581" s="234">
        <v>1630220690</v>
      </c>
      <c r="J1581" s="370" t="str">
        <f t="shared" si="200"/>
        <v>1630220690</v>
      </c>
      <c r="K1581" s="30" t="str">
        <f t="shared" si="198"/>
        <v>62403091630220690244</v>
      </c>
    </row>
    <row r="1582" spans="1:11" s="3" customFormat="1" ht="25.5">
      <c r="A1582" s="263" t="s">
        <v>865</v>
      </c>
      <c r="B1582" s="233" t="s">
        <v>536</v>
      </c>
      <c r="C1582" s="234" t="s">
        <v>53</v>
      </c>
      <c r="D1582" s="234" t="s">
        <v>25</v>
      </c>
      <c r="E1582" s="234" t="s">
        <v>827</v>
      </c>
      <c r="F1582" s="234" t="s">
        <v>58</v>
      </c>
      <c r="G1582" s="235">
        <f t="shared" ref="G1582:H1584" si="205">G1583</f>
        <v>2430000</v>
      </c>
      <c r="H1582" s="235">
        <f t="shared" si="205"/>
        <v>2430000</v>
      </c>
      <c r="I1582" s="234">
        <v>1630300000</v>
      </c>
      <c r="J1582" s="370" t="str">
        <f t="shared" si="200"/>
        <v>1630300000</v>
      </c>
      <c r="K1582" s="30" t="str">
        <f t="shared" si="198"/>
        <v>62403091630300000000</v>
      </c>
    </row>
    <row r="1583" spans="1:11" s="3" customFormat="1" ht="25.5">
      <c r="A1583" s="263" t="s">
        <v>122</v>
      </c>
      <c r="B1583" s="233" t="s">
        <v>536</v>
      </c>
      <c r="C1583" s="234" t="s">
        <v>53</v>
      </c>
      <c r="D1583" s="234" t="s">
        <v>25</v>
      </c>
      <c r="E1583" s="234" t="s">
        <v>828</v>
      </c>
      <c r="F1583" s="234" t="s">
        <v>58</v>
      </c>
      <c r="G1583" s="235">
        <f t="shared" si="205"/>
        <v>2430000</v>
      </c>
      <c r="H1583" s="235">
        <f t="shared" si="205"/>
        <v>2430000</v>
      </c>
      <c r="I1583" s="234">
        <v>1630320350</v>
      </c>
      <c r="J1583" s="370" t="str">
        <f t="shared" si="200"/>
        <v>1630320350</v>
      </c>
      <c r="K1583" s="30" t="str">
        <f t="shared" si="198"/>
        <v>62403091630320350000</v>
      </c>
    </row>
    <row r="1584" spans="1:11" s="3" customFormat="1" ht="25.5">
      <c r="A1584" s="263" t="s">
        <v>108</v>
      </c>
      <c r="B1584" s="233" t="s">
        <v>536</v>
      </c>
      <c r="C1584" s="234" t="s">
        <v>53</v>
      </c>
      <c r="D1584" s="234" t="s">
        <v>25</v>
      </c>
      <c r="E1584" s="234" t="s">
        <v>828</v>
      </c>
      <c r="F1584" s="234" t="s">
        <v>116</v>
      </c>
      <c r="G1584" s="235">
        <f t="shared" si="205"/>
        <v>2430000</v>
      </c>
      <c r="H1584" s="235">
        <f t="shared" si="205"/>
        <v>2430000</v>
      </c>
      <c r="I1584" s="234">
        <v>1630320350</v>
      </c>
      <c r="J1584" s="370" t="str">
        <f t="shared" si="200"/>
        <v>1630320350</v>
      </c>
      <c r="K1584" s="30" t="str">
        <f t="shared" si="198"/>
        <v>62403091630320350240</v>
      </c>
    </row>
    <row r="1585" spans="1:11" s="4" customFormat="1" ht="25.5">
      <c r="A1585" s="236" t="s">
        <v>973</v>
      </c>
      <c r="B1585" s="233" t="s">
        <v>536</v>
      </c>
      <c r="C1585" s="234" t="s">
        <v>53</v>
      </c>
      <c r="D1585" s="234" t="s">
        <v>25</v>
      </c>
      <c r="E1585" s="234" t="s">
        <v>828</v>
      </c>
      <c r="F1585" s="234" t="s">
        <v>1043</v>
      </c>
      <c r="G1585" s="235">
        <f>VLOOKUP(K1585,'исх АС БЮДЖЕТ'!$A$10:$H$568,7,0)</f>
        <v>2430000</v>
      </c>
      <c r="H1585" s="235">
        <f>VLOOKUP(K1585,'исх АС БЮДЖЕТ'!$A$10:$H$568,8,0)</f>
        <v>2430000</v>
      </c>
      <c r="I1585" s="234">
        <v>1630320350</v>
      </c>
      <c r="J1585" s="370" t="str">
        <f t="shared" si="200"/>
        <v>1630320350</v>
      </c>
      <c r="K1585" s="30" t="str">
        <f t="shared" si="198"/>
        <v>62403091630320350244</v>
      </c>
    </row>
    <row r="1586" spans="1:11" s="3" customFormat="1" ht="51">
      <c r="A1586" s="263" t="s">
        <v>866</v>
      </c>
      <c r="B1586" s="233" t="s">
        <v>536</v>
      </c>
      <c r="C1586" s="234" t="s">
        <v>53</v>
      </c>
      <c r="D1586" s="234" t="s">
        <v>25</v>
      </c>
      <c r="E1586" s="234" t="s">
        <v>829</v>
      </c>
      <c r="F1586" s="234" t="s">
        <v>58</v>
      </c>
      <c r="G1586" s="235">
        <f t="shared" ref="G1586:H1588" si="206">G1587</f>
        <v>765000</v>
      </c>
      <c r="H1586" s="235">
        <f t="shared" si="206"/>
        <v>765000</v>
      </c>
      <c r="I1586" s="234">
        <v>1630400000</v>
      </c>
      <c r="J1586" s="370" t="str">
        <f t="shared" si="200"/>
        <v>1630400000</v>
      </c>
      <c r="K1586" s="30" t="str">
        <f t="shared" si="198"/>
        <v>62403091630400000000</v>
      </c>
    </row>
    <row r="1587" spans="1:11" s="3" customFormat="1" ht="25.5">
      <c r="A1587" s="263" t="s">
        <v>122</v>
      </c>
      <c r="B1587" s="233" t="s">
        <v>536</v>
      </c>
      <c r="C1587" s="234" t="s">
        <v>53</v>
      </c>
      <c r="D1587" s="234" t="s">
        <v>25</v>
      </c>
      <c r="E1587" s="234" t="s">
        <v>830</v>
      </c>
      <c r="F1587" s="234" t="s">
        <v>58</v>
      </c>
      <c r="G1587" s="235">
        <f t="shared" si="206"/>
        <v>765000</v>
      </c>
      <c r="H1587" s="235">
        <f t="shared" si="206"/>
        <v>765000</v>
      </c>
      <c r="I1587" s="234">
        <v>1630420350</v>
      </c>
      <c r="J1587" s="370" t="str">
        <f t="shared" si="200"/>
        <v>1630420350</v>
      </c>
      <c r="K1587" s="30" t="str">
        <f t="shared" si="198"/>
        <v>62403091630420350000</v>
      </c>
    </row>
    <row r="1588" spans="1:11" s="3" customFormat="1" ht="25.5">
      <c r="A1588" s="263" t="s">
        <v>108</v>
      </c>
      <c r="B1588" s="233" t="s">
        <v>536</v>
      </c>
      <c r="C1588" s="234" t="s">
        <v>53</v>
      </c>
      <c r="D1588" s="234" t="s">
        <v>25</v>
      </c>
      <c r="E1588" s="234" t="s">
        <v>830</v>
      </c>
      <c r="F1588" s="234" t="s">
        <v>116</v>
      </c>
      <c r="G1588" s="235">
        <f t="shared" si="206"/>
        <v>765000</v>
      </c>
      <c r="H1588" s="235">
        <f t="shared" si="206"/>
        <v>765000</v>
      </c>
      <c r="I1588" s="234">
        <v>1630420350</v>
      </c>
      <c r="J1588" s="370" t="str">
        <f t="shared" si="200"/>
        <v>1630420350</v>
      </c>
      <c r="K1588" s="30" t="str">
        <f t="shared" si="198"/>
        <v>62403091630420350240</v>
      </c>
    </row>
    <row r="1589" spans="1:11" s="4" customFormat="1" ht="25.5">
      <c r="A1589" s="236" t="s">
        <v>973</v>
      </c>
      <c r="B1589" s="233" t="s">
        <v>536</v>
      </c>
      <c r="C1589" s="234" t="s">
        <v>53</v>
      </c>
      <c r="D1589" s="234" t="s">
        <v>25</v>
      </c>
      <c r="E1589" s="234" t="s">
        <v>830</v>
      </c>
      <c r="F1589" s="234" t="s">
        <v>1043</v>
      </c>
      <c r="G1589" s="235">
        <f>VLOOKUP(K1589,'исх АС БЮДЖЕТ'!$A$10:$H$568,7,0)</f>
        <v>765000</v>
      </c>
      <c r="H1589" s="235">
        <f>VLOOKUP(K1589,'исх АС БЮДЖЕТ'!$A$10:$H$568,8,0)</f>
        <v>765000</v>
      </c>
      <c r="I1589" s="234">
        <v>1630420350</v>
      </c>
      <c r="J1589" s="370" t="str">
        <f t="shared" si="200"/>
        <v>1630420350</v>
      </c>
      <c r="K1589" s="30" t="str">
        <f t="shared" si="198"/>
        <v>62403091630420350244</v>
      </c>
    </row>
    <row r="1590" spans="1:11" s="3" customFormat="1" ht="25.5">
      <c r="A1590" s="262" t="s">
        <v>185</v>
      </c>
      <c r="B1590" s="233" t="s">
        <v>536</v>
      </c>
      <c r="C1590" s="234" t="s">
        <v>53</v>
      </c>
      <c r="D1590" s="234" t="s">
        <v>25</v>
      </c>
      <c r="E1590" s="234" t="s">
        <v>547</v>
      </c>
      <c r="F1590" s="234" t="s">
        <v>58</v>
      </c>
      <c r="G1590" s="235">
        <f>G1591</f>
        <v>15349490</v>
      </c>
      <c r="H1590" s="235">
        <f>H1591</f>
        <v>15349490</v>
      </c>
      <c r="I1590" s="234">
        <v>8500000000</v>
      </c>
      <c r="J1590" s="370" t="str">
        <f t="shared" si="200"/>
        <v>8500000000</v>
      </c>
      <c r="K1590" s="30" t="str">
        <f t="shared" si="198"/>
        <v>62403098500000000000</v>
      </c>
    </row>
    <row r="1591" spans="1:11" s="153" customFormat="1" ht="38.25">
      <c r="A1591" s="232" t="s">
        <v>548</v>
      </c>
      <c r="B1591" s="233" t="s">
        <v>536</v>
      </c>
      <c r="C1591" s="234" t="s">
        <v>53</v>
      </c>
      <c r="D1591" s="234" t="s">
        <v>25</v>
      </c>
      <c r="E1591" s="234" t="s">
        <v>549</v>
      </c>
      <c r="F1591" s="234" t="s">
        <v>58</v>
      </c>
      <c r="G1591" s="235">
        <f>G1592+G1601</f>
        <v>15349490</v>
      </c>
      <c r="H1591" s="235">
        <f>H1592+H1601</f>
        <v>15349490</v>
      </c>
      <c r="I1591" s="234">
        <v>8510000000</v>
      </c>
      <c r="J1591" s="370" t="str">
        <f t="shared" si="200"/>
        <v>8510000000</v>
      </c>
      <c r="K1591" s="30" t="str">
        <f t="shared" si="198"/>
        <v>62403098510000000000</v>
      </c>
    </row>
    <row r="1592" spans="1:11" s="3" customFormat="1" ht="25.5">
      <c r="A1592" s="263" t="s">
        <v>114</v>
      </c>
      <c r="B1592" s="233" t="s">
        <v>536</v>
      </c>
      <c r="C1592" s="234" t="s">
        <v>53</v>
      </c>
      <c r="D1592" s="234" t="s">
        <v>25</v>
      </c>
      <c r="E1592" s="234" t="s">
        <v>550</v>
      </c>
      <c r="F1592" s="234" t="s">
        <v>58</v>
      </c>
      <c r="G1592" s="235">
        <f>G1593+G1596+G1598</f>
        <v>1772940</v>
      </c>
      <c r="H1592" s="235">
        <f>H1593+H1596+H1598</f>
        <v>1772940</v>
      </c>
      <c r="I1592" s="234">
        <v>8510010010</v>
      </c>
      <c r="J1592" s="370" t="str">
        <f t="shared" si="200"/>
        <v>8510010010</v>
      </c>
      <c r="K1592" s="30" t="str">
        <f t="shared" si="198"/>
        <v>62403098510010010000</v>
      </c>
    </row>
    <row r="1593" spans="1:11" s="3" customFormat="1">
      <c r="A1593" s="232" t="s">
        <v>107</v>
      </c>
      <c r="B1593" s="233" t="s">
        <v>536</v>
      </c>
      <c r="C1593" s="234" t="s">
        <v>53</v>
      </c>
      <c r="D1593" s="234" t="s">
        <v>25</v>
      </c>
      <c r="E1593" s="234" t="s">
        <v>550</v>
      </c>
      <c r="F1593" s="234" t="s">
        <v>115</v>
      </c>
      <c r="G1593" s="235">
        <f>SUM(G1594:G1595)</f>
        <v>387250</v>
      </c>
      <c r="H1593" s="235">
        <f>SUM(H1594:H1595)</f>
        <v>387250</v>
      </c>
      <c r="I1593" s="234">
        <v>8510010010</v>
      </c>
      <c r="J1593" s="370" t="str">
        <f t="shared" si="200"/>
        <v>8510010010</v>
      </c>
      <c r="K1593" s="30" t="str">
        <f t="shared" si="198"/>
        <v>62403098510010010120</v>
      </c>
    </row>
    <row r="1594" spans="1:11" s="3" customFormat="1" ht="25.5">
      <c r="A1594" s="232" t="s">
        <v>937</v>
      </c>
      <c r="B1594" s="233" t="s">
        <v>536</v>
      </c>
      <c r="C1594" s="234" t="s">
        <v>53</v>
      </c>
      <c r="D1594" s="234" t="s">
        <v>25</v>
      </c>
      <c r="E1594" s="234" t="s">
        <v>550</v>
      </c>
      <c r="F1594" s="234" t="s">
        <v>1059</v>
      </c>
      <c r="G1594" s="235">
        <f>VLOOKUP(K1594,'исх АС БЮДЖЕТ'!$A$10:$H$568,7,0)</f>
        <v>303080</v>
      </c>
      <c r="H1594" s="235">
        <f>VLOOKUP(K1594,'исх АС БЮДЖЕТ'!$A$10:$H$568,8,0)</f>
        <v>303080</v>
      </c>
      <c r="I1594" s="234">
        <v>8510010010</v>
      </c>
      <c r="J1594" s="370" t="str">
        <f t="shared" si="200"/>
        <v>8510010010</v>
      </c>
      <c r="K1594" s="30" t="str">
        <f t="shared" si="198"/>
        <v>62403098510010010122</v>
      </c>
    </row>
    <row r="1595" spans="1:11" s="3" customFormat="1" ht="38.25">
      <c r="A1595" s="232" t="s">
        <v>939</v>
      </c>
      <c r="B1595" s="233" t="s">
        <v>536</v>
      </c>
      <c r="C1595" s="234" t="s">
        <v>53</v>
      </c>
      <c r="D1595" s="234" t="s">
        <v>25</v>
      </c>
      <c r="E1595" s="234" t="s">
        <v>550</v>
      </c>
      <c r="F1595" s="234" t="s">
        <v>1060</v>
      </c>
      <c r="G1595" s="235">
        <f>VLOOKUP(K1595,'исх АС БЮДЖЕТ'!$A$10:$H$568,7,0)</f>
        <v>84170</v>
      </c>
      <c r="H1595" s="235">
        <f>VLOOKUP(K1595,'исх АС БЮДЖЕТ'!$A$10:$H$568,8,0)</f>
        <v>84170</v>
      </c>
      <c r="I1595" s="234">
        <v>8510010010</v>
      </c>
      <c r="J1595" s="370" t="str">
        <f t="shared" si="200"/>
        <v>8510010010</v>
      </c>
      <c r="K1595" s="30" t="str">
        <f t="shared" si="198"/>
        <v>62403098510010010129</v>
      </c>
    </row>
    <row r="1596" spans="1:11" s="3" customFormat="1" ht="25.5">
      <c r="A1596" s="232" t="s">
        <v>108</v>
      </c>
      <c r="B1596" s="233" t="s">
        <v>536</v>
      </c>
      <c r="C1596" s="234" t="s">
        <v>53</v>
      </c>
      <c r="D1596" s="234" t="s">
        <v>25</v>
      </c>
      <c r="E1596" s="234" t="s">
        <v>550</v>
      </c>
      <c r="F1596" s="234" t="s">
        <v>116</v>
      </c>
      <c r="G1596" s="235">
        <f>G1597</f>
        <v>1183980</v>
      </c>
      <c r="H1596" s="235">
        <f>H1597</f>
        <v>1183980</v>
      </c>
      <c r="I1596" s="234">
        <v>8510010010</v>
      </c>
      <c r="J1596" s="370" t="str">
        <f t="shared" si="200"/>
        <v>8510010010</v>
      </c>
      <c r="K1596" s="30" t="str">
        <f t="shared" si="198"/>
        <v>62403098510010010240</v>
      </c>
    </row>
    <row r="1597" spans="1:11" s="3" customFormat="1" ht="25.5">
      <c r="A1597" s="236" t="s">
        <v>973</v>
      </c>
      <c r="B1597" s="233" t="s">
        <v>536</v>
      </c>
      <c r="C1597" s="234" t="s">
        <v>53</v>
      </c>
      <c r="D1597" s="234" t="s">
        <v>25</v>
      </c>
      <c r="E1597" s="234" t="s">
        <v>550</v>
      </c>
      <c r="F1597" s="234" t="s">
        <v>1043</v>
      </c>
      <c r="G1597" s="235">
        <f>VLOOKUP(K1597,'исх АС БЮДЖЕТ'!$A$10:$H$568,7,0)</f>
        <v>1183980</v>
      </c>
      <c r="H1597" s="235">
        <f>VLOOKUP(K1597,'исх АС БЮДЖЕТ'!$A$10:$H$568,8,0)</f>
        <v>1183980</v>
      </c>
      <c r="I1597" s="234">
        <v>8510010010</v>
      </c>
      <c r="J1597" s="370" t="str">
        <f t="shared" si="200"/>
        <v>8510010010</v>
      </c>
      <c r="K1597" s="30" t="str">
        <f t="shared" si="198"/>
        <v>62403098510010010244</v>
      </c>
    </row>
    <row r="1598" spans="1:11" s="3" customFormat="1">
      <c r="A1598" s="232" t="s">
        <v>97</v>
      </c>
      <c r="B1598" s="233" t="s">
        <v>536</v>
      </c>
      <c r="C1598" s="234" t="s">
        <v>53</v>
      </c>
      <c r="D1598" s="234" t="s">
        <v>25</v>
      </c>
      <c r="E1598" s="234" t="s">
        <v>550</v>
      </c>
      <c r="F1598" s="234" t="s">
        <v>118</v>
      </c>
      <c r="G1598" s="235">
        <f>SUM(G1599:G1600)</f>
        <v>201710</v>
      </c>
      <c r="H1598" s="235">
        <f>SUM(H1599:H1600)</f>
        <v>201710</v>
      </c>
      <c r="I1598" s="234">
        <v>8510010010</v>
      </c>
      <c r="J1598" s="370" t="str">
        <f t="shared" si="200"/>
        <v>8510010010</v>
      </c>
      <c r="K1598" s="30" t="str">
        <f t="shared" si="198"/>
        <v>62403098510010010850</v>
      </c>
    </row>
    <row r="1599" spans="1:11" s="3" customFormat="1">
      <c r="A1599" s="232" t="s">
        <v>1036</v>
      </c>
      <c r="B1599" s="233" t="s">
        <v>536</v>
      </c>
      <c r="C1599" s="234" t="s">
        <v>53</v>
      </c>
      <c r="D1599" s="234" t="s">
        <v>25</v>
      </c>
      <c r="E1599" s="234" t="s">
        <v>550</v>
      </c>
      <c r="F1599" s="234" t="s">
        <v>1061</v>
      </c>
      <c r="G1599" s="235">
        <f>VLOOKUP(K1599,'исх АС БЮДЖЕТ'!$A$10:$H$568,7,0)</f>
        <v>172710</v>
      </c>
      <c r="H1599" s="235">
        <f>VLOOKUP(K1599,'исх АС БЮДЖЕТ'!$A$10:$H$568,8,0)</f>
        <v>172710</v>
      </c>
      <c r="I1599" s="234">
        <v>8510010010</v>
      </c>
      <c r="J1599" s="370" t="str">
        <f t="shared" si="200"/>
        <v>8510010010</v>
      </c>
      <c r="K1599" s="30" t="str">
        <f t="shared" si="198"/>
        <v>62403098510010010851</v>
      </c>
    </row>
    <row r="1600" spans="1:11" s="3" customFormat="1">
      <c r="A1600" s="232" t="s">
        <v>1037</v>
      </c>
      <c r="B1600" s="233" t="s">
        <v>536</v>
      </c>
      <c r="C1600" s="234" t="s">
        <v>53</v>
      </c>
      <c r="D1600" s="234" t="s">
        <v>25</v>
      </c>
      <c r="E1600" s="234" t="s">
        <v>550</v>
      </c>
      <c r="F1600" s="234" t="s">
        <v>1062</v>
      </c>
      <c r="G1600" s="235">
        <f>VLOOKUP(K1600,'исх АС БЮДЖЕТ'!$A$10:$H$568,7,0)</f>
        <v>29000</v>
      </c>
      <c r="H1600" s="235">
        <f>VLOOKUP(K1600,'исх АС БЮДЖЕТ'!$A$10:$H$568,8,0)</f>
        <v>29000</v>
      </c>
      <c r="I1600" s="234">
        <v>8510010010</v>
      </c>
      <c r="J1600" s="370" t="str">
        <f t="shared" si="200"/>
        <v>8510010010</v>
      </c>
      <c r="K1600" s="30" t="str">
        <f t="shared" ref="K1600:K1622" si="207">CONCATENATE(B1600,C1600,D1600,J1600,F1600)</f>
        <v>62403098510010010852</v>
      </c>
    </row>
    <row r="1601" spans="1:11" s="3" customFormat="1" ht="25.5">
      <c r="A1601" s="263" t="s">
        <v>126</v>
      </c>
      <c r="B1601" s="233" t="s">
        <v>536</v>
      </c>
      <c r="C1601" s="234" t="s">
        <v>53</v>
      </c>
      <c r="D1601" s="234" t="s">
        <v>25</v>
      </c>
      <c r="E1601" s="234" t="s">
        <v>551</v>
      </c>
      <c r="F1601" s="234" t="s">
        <v>58</v>
      </c>
      <c r="G1601" s="235">
        <f>G1602</f>
        <v>13576550</v>
      </c>
      <c r="H1601" s="235">
        <f>H1602</f>
        <v>13576550</v>
      </c>
      <c r="I1601" s="234">
        <v>8510010020</v>
      </c>
      <c r="J1601" s="370" t="str">
        <f t="shared" ref="J1601:J1622" si="208">TEXT(I1601,"0000000000")</f>
        <v>8510010020</v>
      </c>
      <c r="K1601" s="30" t="str">
        <f t="shared" si="207"/>
        <v>62403098510010020000</v>
      </c>
    </row>
    <row r="1602" spans="1:11" s="3" customFormat="1">
      <c r="A1602" s="232" t="s">
        <v>107</v>
      </c>
      <c r="B1602" s="233" t="s">
        <v>536</v>
      </c>
      <c r="C1602" s="234" t="s">
        <v>53</v>
      </c>
      <c r="D1602" s="234" t="s">
        <v>25</v>
      </c>
      <c r="E1602" s="234" t="s">
        <v>551</v>
      </c>
      <c r="F1602" s="234" t="s">
        <v>115</v>
      </c>
      <c r="G1602" s="235">
        <f>SUM(G1603:G1604)</f>
        <v>13576550</v>
      </c>
      <c r="H1602" s="235">
        <f>SUM(H1603:H1604)</f>
        <v>13576550</v>
      </c>
      <c r="I1602" s="234">
        <v>8510010020</v>
      </c>
      <c r="J1602" s="370" t="str">
        <f t="shared" si="208"/>
        <v>8510010020</v>
      </c>
      <c r="K1602" s="30" t="str">
        <f t="shared" si="207"/>
        <v>62403098510010020120</v>
      </c>
    </row>
    <row r="1603" spans="1:11" s="4" customFormat="1">
      <c r="A1603" s="236" t="s">
        <v>936</v>
      </c>
      <c r="B1603" s="233" t="s">
        <v>536</v>
      </c>
      <c r="C1603" s="234" t="s">
        <v>53</v>
      </c>
      <c r="D1603" s="234" t="s">
        <v>25</v>
      </c>
      <c r="E1603" s="234" t="s">
        <v>551</v>
      </c>
      <c r="F1603" s="234" t="s">
        <v>1063</v>
      </c>
      <c r="G1603" s="235">
        <f>VLOOKUP(K1603,'исх АС БЮДЖЕТ'!$A$10:$H$568,7,0)</f>
        <v>10427460</v>
      </c>
      <c r="H1603" s="235">
        <f>VLOOKUP(K1603,'исх АС БЮДЖЕТ'!$A$10:$H$568,8,0)</f>
        <v>10427460</v>
      </c>
      <c r="I1603" s="234">
        <v>8510010020</v>
      </c>
      <c r="J1603" s="370" t="str">
        <f t="shared" si="208"/>
        <v>8510010020</v>
      </c>
      <c r="K1603" s="30" t="str">
        <f t="shared" si="207"/>
        <v>62403098510010020121</v>
      </c>
    </row>
    <row r="1604" spans="1:11" s="4" customFormat="1" ht="38.25">
      <c r="A1604" s="236" t="s">
        <v>939</v>
      </c>
      <c r="B1604" s="233" t="s">
        <v>536</v>
      </c>
      <c r="C1604" s="234" t="s">
        <v>53</v>
      </c>
      <c r="D1604" s="234" t="s">
        <v>25</v>
      </c>
      <c r="E1604" s="234" t="s">
        <v>551</v>
      </c>
      <c r="F1604" s="234" t="s">
        <v>1060</v>
      </c>
      <c r="G1604" s="235">
        <f>VLOOKUP(K1604,'исх АС БЮДЖЕТ'!$A$10:$H$568,7,0)</f>
        <v>3149090</v>
      </c>
      <c r="H1604" s="235">
        <f>VLOOKUP(K1604,'исх АС БЮДЖЕТ'!$A$10:$H$568,8,0)</f>
        <v>3149090</v>
      </c>
      <c r="I1604" s="234">
        <v>8510010020</v>
      </c>
      <c r="J1604" s="370" t="str">
        <f t="shared" si="208"/>
        <v>8510010020</v>
      </c>
      <c r="K1604" s="30" t="str">
        <f t="shared" si="207"/>
        <v>62403098510010020129</v>
      </c>
    </row>
    <row r="1605" spans="1:11" s="4" customFormat="1">
      <c r="A1605" s="236"/>
      <c r="B1605" s="233"/>
      <c r="C1605" s="234"/>
      <c r="D1605" s="234"/>
      <c r="E1605" s="234"/>
      <c r="F1605" s="234"/>
      <c r="G1605" s="235"/>
      <c r="H1605" s="235"/>
      <c r="I1605" s="234"/>
      <c r="J1605" s="370"/>
      <c r="K1605" s="30"/>
    </row>
    <row r="1606" spans="1:11" s="3" customFormat="1">
      <c r="A1606" s="219" t="s">
        <v>127</v>
      </c>
      <c r="B1606" s="220" t="s">
        <v>707</v>
      </c>
      <c r="C1606" s="221" t="s">
        <v>51</v>
      </c>
      <c r="D1606" s="221" t="s">
        <v>51</v>
      </c>
      <c r="E1606" s="221" t="s">
        <v>196</v>
      </c>
      <c r="F1606" s="221" t="s">
        <v>58</v>
      </c>
      <c r="G1606" s="222">
        <f t="shared" ref="G1606:H1609" si="209">G1607</f>
        <v>13442180</v>
      </c>
      <c r="H1606" s="222">
        <f t="shared" si="209"/>
        <v>13442180</v>
      </c>
      <c r="I1606" s="221">
        <v>0</v>
      </c>
      <c r="J1606" s="370" t="str">
        <f t="shared" si="208"/>
        <v>0000000000</v>
      </c>
      <c r="K1606" s="30" t="str">
        <f t="shared" si="207"/>
        <v>64300000000000000000</v>
      </c>
    </row>
    <row r="1607" spans="1:11" s="3" customFormat="1">
      <c r="A1607" s="224" t="s">
        <v>64</v>
      </c>
      <c r="B1607" s="225" t="s">
        <v>707</v>
      </c>
      <c r="C1607" s="226" t="s">
        <v>65</v>
      </c>
      <c r="D1607" s="226" t="s">
        <v>51</v>
      </c>
      <c r="E1607" s="226" t="s">
        <v>196</v>
      </c>
      <c r="F1607" s="226" t="s">
        <v>58</v>
      </c>
      <c r="G1607" s="227">
        <f t="shared" si="209"/>
        <v>13442180</v>
      </c>
      <c r="H1607" s="227">
        <f t="shared" si="209"/>
        <v>13442180</v>
      </c>
      <c r="I1607" s="226">
        <v>0</v>
      </c>
      <c r="J1607" s="370" t="str">
        <f t="shared" si="208"/>
        <v>0000000000</v>
      </c>
      <c r="K1607" s="30" t="str">
        <f t="shared" si="207"/>
        <v>64301000000000000000</v>
      </c>
    </row>
    <row r="1608" spans="1:11" s="3" customFormat="1" ht="25.5">
      <c r="A1608" s="228" t="s">
        <v>32</v>
      </c>
      <c r="B1608" s="229" t="s">
        <v>707</v>
      </c>
      <c r="C1608" s="230" t="s">
        <v>65</v>
      </c>
      <c r="D1608" s="230" t="s">
        <v>2</v>
      </c>
      <c r="E1608" s="230" t="s">
        <v>196</v>
      </c>
      <c r="F1608" s="230" t="s">
        <v>58</v>
      </c>
      <c r="G1608" s="231">
        <f t="shared" si="209"/>
        <v>13442180</v>
      </c>
      <c r="H1608" s="231">
        <f t="shared" si="209"/>
        <v>13442180</v>
      </c>
      <c r="I1608" s="230">
        <v>0</v>
      </c>
      <c r="J1608" s="370" t="str">
        <f t="shared" si="208"/>
        <v>0000000000</v>
      </c>
      <c r="K1608" s="30" t="str">
        <f t="shared" si="207"/>
        <v>64301060000000000000</v>
      </c>
    </row>
    <row r="1609" spans="1:11" s="3" customFormat="1" ht="26.25">
      <c r="A1609" s="292" t="s">
        <v>712</v>
      </c>
      <c r="B1609" s="233" t="s">
        <v>707</v>
      </c>
      <c r="C1609" s="234" t="s">
        <v>65</v>
      </c>
      <c r="D1609" s="234" t="s">
        <v>2</v>
      </c>
      <c r="E1609" s="234" t="s">
        <v>710</v>
      </c>
      <c r="F1609" s="234" t="s">
        <v>58</v>
      </c>
      <c r="G1609" s="235">
        <f t="shared" si="209"/>
        <v>13442180</v>
      </c>
      <c r="H1609" s="235">
        <f t="shared" si="209"/>
        <v>13442180</v>
      </c>
      <c r="I1609" s="234">
        <v>8600000000</v>
      </c>
      <c r="J1609" s="370" t="str">
        <f t="shared" si="208"/>
        <v>8600000000</v>
      </c>
      <c r="K1609" s="30" t="str">
        <f t="shared" si="207"/>
        <v>64301068600000000000</v>
      </c>
    </row>
    <row r="1610" spans="1:11" s="3" customFormat="1" ht="26.25">
      <c r="A1610" s="292" t="s">
        <v>711</v>
      </c>
      <c r="B1610" s="233" t="s">
        <v>707</v>
      </c>
      <c r="C1610" s="234" t="s">
        <v>65</v>
      </c>
      <c r="D1610" s="234" t="s">
        <v>2</v>
      </c>
      <c r="E1610" s="234" t="s">
        <v>708</v>
      </c>
      <c r="F1610" s="234" t="s">
        <v>58</v>
      </c>
      <c r="G1610" s="235">
        <f>G1611+G1619</f>
        <v>13442180</v>
      </c>
      <c r="H1610" s="235">
        <f>H1611+H1619</f>
        <v>13442180</v>
      </c>
      <c r="I1610" s="234">
        <v>8610000000</v>
      </c>
      <c r="J1610" s="370" t="str">
        <f t="shared" si="208"/>
        <v>8610000000</v>
      </c>
      <c r="K1610" s="30" t="str">
        <f t="shared" si="207"/>
        <v>64301068610000000000</v>
      </c>
    </row>
    <row r="1611" spans="1:11" s="3" customFormat="1" ht="25.5">
      <c r="A1611" s="232" t="s">
        <v>114</v>
      </c>
      <c r="B1611" s="233" t="s">
        <v>707</v>
      </c>
      <c r="C1611" s="234" t="s">
        <v>65</v>
      </c>
      <c r="D1611" s="234" t="s">
        <v>2</v>
      </c>
      <c r="E1611" s="234" t="s">
        <v>709</v>
      </c>
      <c r="F1611" s="234" t="s">
        <v>58</v>
      </c>
      <c r="G1611" s="235">
        <f>G1612+G1615+G1617</f>
        <v>2974390</v>
      </c>
      <c r="H1611" s="235">
        <f>H1612+H1615+H1617</f>
        <v>2974390</v>
      </c>
      <c r="I1611" s="234">
        <v>8610010010</v>
      </c>
      <c r="J1611" s="370" t="str">
        <f t="shared" si="208"/>
        <v>8610010010</v>
      </c>
      <c r="K1611" s="30" t="str">
        <f t="shared" si="207"/>
        <v>64301068610010010000</v>
      </c>
    </row>
    <row r="1612" spans="1:11" s="3" customFormat="1">
      <c r="A1612" s="236" t="s">
        <v>107</v>
      </c>
      <c r="B1612" s="233" t="s">
        <v>707</v>
      </c>
      <c r="C1612" s="234" t="s">
        <v>65</v>
      </c>
      <c r="D1612" s="234" t="s">
        <v>2</v>
      </c>
      <c r="E1612" s="234" t="s">
        <v>709</v>
      </c>
      <c r="F1612" s="234" t="s">
        <v>115</v>
      </c>
      <c r="G1612" s="235">
        <f>SUM(G1613:G1614)</f>
        <v>446530</v>
      </c>
      <c r="H1612" s="235">
        <f>SUM(H1613:H1614)</f>
        <v>446530</v>
      </c>
      <c r="I1612" s="234">
        <v>8610010010</v>
      </c>
      <c r="J1612" s="370" t="str">
        <f t="shared" si="208"/>
        <v>8610010010</v>
      </c>
      <c r="K1612" s="30" t="str">
        <f t="shared" si="207"/>
        <v>64301068610010010120</v>
      </c>
    </row>
    <row r="1613" spans="1:11" s="4" customFormat="1" ht="25.5">
      <c r="A1613" s="236" t="s">
        <v>937</v>
      </c>
      <c r="B1613" s="233" t="s">
        <v>707</v>
      </c>
      <c r="C1613" s="234" t="s">
        <v>65</v>
      </c>
      <c r="D1613" s="234" t="s">
        <v>2</v>
      </c>
      <c r="E1613" s="234" t="s">
        <v>709</v>
      </c>
      <c r="F1613" s="234" t="s">
        <v>1059</v>
      </c>
      <c r="G1613" s="235">
        <f>VLOOKUP(K1613,'исх АС БЮДЖЕТ'!$A$10:$H$568,7,0)</f>
        <v>376500</v>
      </c>
      <c r="H1613" s="235">
        <f>VLOOKUP(K1613,'исх АС БЮДЖЕТ'!$A$10:$H$568,8,0)</f>
        <v>376500</v>
      </c>
      <c r="I1613" s="234">
        <v>8610010010</v>
      </c>
      <c r="J1613" s="370" t="str">
        <f t="shared" si="208"/>
        <v>8610010010</v>
      </c>
      <c r="K1613" s="30" t="str">
        <f t="shared" si="207"/>
        <v>64301068610010010122</v>
      </c>
    </row>
    <row r="1614" spans="1:11" s="4" customFormat="1" ht="38.25">
      <c r="A1614" s="236" t="s">
        <v>939</v>
      </c>
      <c r="B1614" s="233" t="s">
        <v>707</v>
      </c>
      <c r="C1614" s="234" t="s">
        <v>65</v>
      </c>
      <c r="D1614" s="234" t="s">
        <v>2</v>
      </c>
      <c r="E1614" s="234" t="s">
        <v>709</v>
      </c>
      <c r="F1614" s="234" t="s">
        <v>1060</v>
      </c>
      <c r="G1614" s="235">
        <f>VLOOKUP(K1614,'исх АС БЮДЖЕТ'!$A$10:$H$568,7,0)</f>
        <v>70030</v>
      </c>
      <c r="H1614" s="235">
        <f>VLOOKUP(K1614,'исх АС БЮДЖЕТ'!$A$10:$H$568,8,0)</f>
        <v>70030</v>
      </c>
      <c r="I1614" s="234">
        <v>8610010010</v>
      </c>
      <c r="J1614" s="370" t="str">
        <f t="shared" si="208"/>
        <v>8610010010</v>
      </c>
      <c r="K1614" s="30" t="str">
        <f t="shared" si="207"/>
        <v>64301068610010010129</v>
      </c>
    </row>
    <row r="1615" spans="1:11" s="3" customFormat="1" ht="25.5">
      <c r="A1615" s="232" t="s">
        <v>108</v>
      </c>
      <c r="B1615" s="233" t="s">
        <v>707</v>
      </c>
      <c r="C1615" s="234" t="s">
        <v>65</v>
      </c>
      <c r="D1615" s="234" t="s">
        <v>2</v>
      </c>
      <c r="E1615" s="234" t="s">
        <v>709</v>
      </c>
      <c r="F1615" s="234" t="s">
        <v>116</v>
      </c>
      <c r="G1615" s="235">
        <f>G1616</f>
        <v>2508860</v>
      </c>
      <c r="H1615" s="235">
        <f>H1616</f>
        <v>2508860</v>
      </c>
      <c r="I1615" s="234">
        <v>8610010010</v>
      </c>
      <c r="J1615" s="370" t="str">
        <f t="shared" si="208"/>
        <v>8610010010</v>
      </c>
      <c r="K1615" s="30" t="str">
        <f t="shared" si="207"/>
        <v>64301068610010010240</v>
      </c>
    </row>
    <row r="1616" spans="1:11" s="4" customFormat="1" ht="25.5">
      <c r="A1616" s="236" t="s">
        <v>973</v>
      </c>
      <c r="B1616" s="233" t="s">
        <v>707</v>
      </c>
      <c r="C1616" s="234" t="s">
        <v>65</v>
      </c>
      <c r="D1616" s="234" t="s">
        <v>2</v>
      </c>
      <c r="E1616" s="234" t="s">
        <v>709</v>
      </c>
      <c r="F1616" s="234" t="s">
        <v>1043</v>
      </c>
      <c r="G1616" s="235">
        <f>VLOOKUP(K1616,'исх АС БЮДЖЕТ'!$A$10:$H$568,7,0)</f>
        <v>2508860</v>
      </c>
      <c r="H1616" s="235">
        <f>VLOOKUP(K1616,'исх АС БЮДЖЕТ'!$A$10:$H$568,8,0)</f>
        <v>2508860</v>
      </c>
      <c r="I1616" s="234">
        <v>8610010010</v>
      </c>
      <c r="J1616" s="370" t="str">
        <f t="shared" si="208"/>
        <v>8610010010</v>
      </c>
      <c r="K1616" s="30" t="str">
        <f t="shared" si="207"/>
        <v>64301068610010010244</v>
      </c>
    </row>
    <row r="1617" spans="1:12" s="3" customFormat="1">
      <c r="A1617" s="232" t="s">
        <v>97</v>
      </c>
      <c r="B1617" s="233" t="s">
        <v>707</v>
      </c>
      <c r="C1617" s="234" t="s">
        <v>65</v>
      </c>
      <c r="D1617" s="234" t="s">
        <v>2</v>
      </c>
      <c r="E1617" s="234" t="s">
        <v>709</v>
      </c>
      <c r="F1617" s="234" t="s">
        <v>118</v>
      </c>
      <c r="G1617" s="235">
        <f>G1618</f>
        <v>19000</v>
      </c>
      <c r="H1617" s="235">
        <f>H1618</f>
        <v>19000</v>
      </c>
      <c r="I1617" s="234">
        <v>8610010010</v>
      </c>
      <c r="J1617" s="370" t="str">
        <f t="shared" si="208"/>
        <v>8610010010</v>
      </c>
      <c r="K1617" s="30" t="str">
        <f t="shared" si="207"/>
        <v>64301068610010010850</v>
      </c>
    </row>
    <row r="1618" spans="1:12" s="4" customFormat="1">
      <c r="A1618" s="236" t="s">
        <v>1038</v>
      </c>
      <c r="B1618" s="233" t="s">
        <v>707</v>
      </c>
      <c r="C1618" s="234" t="s">
        <v>65</v>
      </c>
      <c r="D1618" s="234" t="s">
        <v>2</v>
      </c>
      <c r="E1618" s="234" t="s">
        <v>709</v>
      </c>
      <c r="F1618" s="234" t="s">
        <v>1066</v>
      </c>
      <c r="G1618" s="235">
        <f>VLOOKUP(K1618,'исх АС БЮДЖЕТ'!$A$10:$H$568,7,0)</f>
        <v>19000</v>
      </c>
      <c r="H1618" s="235">
        <f>VLOOKUP(K1618,'исх АС БЮДЖЕТ'!$A$10:$H$568,8,0)</f>
        <v>19000</v>
      </c>
      <c r="I1618" s="234">
        <v>8610010010</v>
      </c>
      <c r="J1618" s="370" t="str">
        <f t="shared" si="208"/>
        <v>8610010010</v>
      </c>
      <c r="K1618" s="30" t="str">
        <f t="shared" si="207"/>
        <v>64301068610010010853</v>
      </c>
    </row>
    <row r="1619" spans="1:12" s="3" customFormat="1" ht="25.5">
      <c r="A1619" s="232" t="s">
        <v>126</v>
      </c>
      <c r="B1619" s="233" t="s">
        <v>707</v>
      </c>
      <c r="C1619" s="234" t="s">
        <v>65</v>
      </c>
      <c r="D1619" s="234" t="s">
        <v>2</v>
      </c>
      <c r="E1619" s="234" t="s">
        <v>713</v>
      </c>
      <c r="F1619" s="234" t="s">
        <v>58</v>
      </c>
      <c r="G1619" s="235">
        <f>G1620</f>
        <v>10467790</v>
      </c>
      <c r="H1619" s="235">
        <f>H1620</f>
        <v>10467790</v>
      </c>
      <c r="I1619" s="234">
        <v>8610010020</v>
      </c>
      <c r="J1619" s="370" t="str">
        <f t="shared" si="208"/>
        <v>8610010020</v>
      </c>
      <c r="K1619" s="30" t="str">
        <f t="shared" si="207"/>
        <v>64301068610010020000</v>
      </c>
    </row>
    <row r="1620" spans="1:12" s="3" customFormat="1">
      <c r="A1620" s="232" t="s">
        <v>107</v>
      </c>
      <c r="B1620" s="233" t="s">
        <v>707</v>
      </c>
      <c r="C1620" s="234" t="s">
        <v>65</v>
      </c>
      <c r="D1620" s="234" t="s">
        <v>2</v>
      </c>
      <c r="E1620" s="234" t="s">
        <v>713</v>
      </c>
      <c r="F1620" s="234" t="s">
        <v>115</v>
      </c>
      <c r="G1620" s="235">
        <f>SUM(G1621:G1622)</f>
        <v>10467790</v>
      </c>
      <c r="H1620" s="235">
        <f>SUM(H1621:H1622)</f>
        <v>10467790</v>
      </c>
      <c r="I1620" s="234">
        <v>8610010020</v>
      </c>
      <c r="J1620" s="370" t="str">
        <f t="shared" si="208"/>
        <v>8610010020</v>
      </c>
      <c r="K1620" s="30" t="str">
        <f t="shared" si="207"/>
        <v>64301068610010020120</v>
      </c>
    </row>
    <row r="1621" spans="1:12" s="3" customFormat="1">
      <c r="A1621" s="232" t="s">
        <v>936</v>
      </c>
      <c r="B1621" s="233" t="s">
        <v>707</v>
      </c>
      <c r="C1621" s="234" t="s">
        <v>65</v>
      </c>
      <c r="D1621" s="234" t="s">
        <v>2</v>
      </c>
      <c r="E1621" s="234" t="s">
        <v>713</v>
      </c>
      <c r="F1621" s="234" t="s">
        <v>1063</v>
      </c>
      <c r="G1621" s="235">
        <f>VLOOKUP(K1621,'исх АС БЮДЖЕТ'!$A$10:$H$568,7,0)</f>
        <v>8039780</v>
      </c>
      <c r="H1621" s="235">
        <f>VLOOKUP(K1621,'исх АС БЮДЖЕТ'!$A$10:$H$568,8,0)</f>
        <v>8039780</v>
      </c>
      <c r="I1621" s="234">
        <v>8610010020</v>
      </c>
      <c r="J1621" s="370" t="str">
        <f t="shared" si="208"/>
        <v>8610010020</v>
      </c>
      <c r="K1621" s="30" t="str">
        <f t="shared" si="207"/>
        <v>64301068610010020121</v>
      </c>
    </row>
    <row r="1622" spans="1:12" s="3" customFormat="1" ht="38.25">
      <c r="A1622" s="232" t="s">
        <v>939</v>
      </c>
      <c r="B1622" s="233" t="s">
        <v>707</v>
      </c>
      <c r="C1622" s="234" t="s">
        <v>65</v>
      </c>
      <c r="D1622" s="234" t="s">
        <v>2</v>
      </c>
      <c r="E1622" s="234" t="s">
        <v>713</v>
      </c>
      <c r="F1622" s="234" t="s">
        <v>1060</v>
      </c>
      <c r="G1622" s="235">
        <f>VLOOKUP(K1622,'исх АС БЮДЖЕТ'!$A$10:$H$568,7,0)</f>
        <v>2428010</v>
      </c>
      <c r="H1622" s="235">
        <f>VLOOKUP(K1622,'исх АС БЮДЖЕТ'!$A$10:$H$568,8,0)</f>
        <v>2428010</v>
      </c>
      <c r="I1622" s="234">
        <v>8610010020</v>
      </c>
      <c r="J1622" s="370" t="str">
        <f t="shared" si="208"/>
        <v>8610010020</v>
      </c>
      <c r="K1622" s="30" t="str">
        <f t="shared" si="207"/>
        <v>64301068610010020129</v>
      </c>
    </row>
    <row r="1623" spans="1:12" s="3" customFormat="1">
      <c r="A1623" s="232"/>
      <c r="B1623" s="233"/>
      <c r="C1623" s="234"/>
      <c r="D1623" s="234"/>
      <c r="E1623" s="234"/>
      <c r="F1623" s="234"/>
      <c r="G1623" s="235"/>
      <c r="H1623" s="235"/>
      <c r="I1623" s="234"/>
      <c r="J1623" s="222"/>
      <c r="K1623" s="30"/>
    </row>
    <row r="1624" spans="1:12" s="3" customFormat="1">
      <c r="A1624" s="232" t="s">
        <v>833</v>
      </c>
      <c r="B1624" s="233"/>
      <c r="C1624" s="234"/>
      <c r="D1624" s="234"/>
      <c r="E1624" s="234"/>
      <c r="F1624" s="234"/>
      <c r="G1624" s="235">
        <f>'исх АС БЮДЖЕТ'!G10</f>
        <v>94204627.739999995</v>
      </c>
      <c r="H1624" s="235">
        <f>'исх АС БЮДЖЕТ'!H10</f>
        <v>195948866.56</v>
      </c>
      <c r="I1624" s="222"/>
      <c r="J1624" s="222"/>
      <c r="K1624" s="222"/>
      <c r="L1624" s="222">
        <f t="shared" ref="L1624" si="210">K1624-H1624</f>
        <v>-195948866.56</v>
      </c>
    </row>
    <row r="1625" spans="1:12" s="3" customFormat="1">
      <c r="A1625" s="293"/>
      <c r="B1625" s="233"/>
      <c r="C1625" s="234"/>
      <c r="D1625" s="234"/>
      <c r="E1625" s="234"/>
      <c r="F1625" s="234"/>
      <c r="G1625" s="235"/>
      <c r="H1625" s="235"/>
      <c r="I1625" s="234"/>
      <c r="J1625" s="222"/>
      <c r="K1625" s="30"/>
    </row>
    <row r="1626" spans="1:12" s="3" customFormat="1">
      <c r="A1626" s="293"/>
      <c r="B1626" s="233"/>
      <c r="C1626" s="234"/>
      <c r="D1626" s="234"/>
      <c r="E1626" s="234"/>
      <c r="F1626" s="234"/>
      <c r="G1626" s="235"/>
      <c r="H1626" s="235"/>
      <c r="I1626" s="234"/>
      <c r="J1626" s="222"/>
      <c r="K1626" s="30"/>
    </row>
    <row r="1627" spans="1:12" s="3" customFormat="1">
      <c r="A1627" s="293"/>
      <c r="B1627" s="233"/>
      <c r="C1627" s="234"/>
      <c r="D1627" s="234"/>
      <c r="E1627" s="234"/>
      <c r="F1627" s="234"/>
      <c r="G1627" s="235"/>
      <c r="H1627" s="235"/>
      <c r="I1627" s="234"/>
      <c r="J1627" s="222"/>
      <c r="K1627" s="30"/>
    </row>
    <row r="1628" spans="1:12" s="3" customFormat="1">
      <c r="A1628" s="293"/>
      <c r="B1628" s="233"/>
      <c r="C1628" s="234"/>
      <c r="D1628" s="234"/>
      <c r="E1628" s="234"/>
      <c r="F1628" s="234"/>
      <c r="G1628" s="235"/>
      <c r="H1628" s="235"/>
      <c r="I1628" s="234"/>
      <c r="J1628" s="222"/>
      <c r="K1628" s="30"/>
    </row>
    <row r="1629" spans="1:12" s="4" customFormat="1">
      <c r="A1629" s="279" t="s">
        <v>41</v>
      </c>
      <c r="B1629" s="294"/>
      <c r="C1629" s="221"/>
      <c r="D1629" s="221"/>
      <c r="E1629" s="221"/>
      <c r="F1629" s="221"/>
      <c r="G1629" s="222">
        <f>G10+G67+G279+G336+G382+G423+G620+G794+G995+G1057+G1140+G1220+G1300+G1461+G1533+G1606+G1624</f>
        <v>7104546162.3699999</v>
      </c>
      <c r="H1629" s="222">
        <f>H10+H67+H279+H336+H382+H423+H620+H794+H995+H1057+H1140+H1220+H1300+H1461+H1533+H1606+H1624</f>
        <v>7569030147.5699997</v>
      </c>
      <c r="I1629" s="221"/>
      <c r="J1629" s="222"/>
      <c r="K1629" s="83"/>
    </row>
    <row r="1630" spans="1:12">
      <c r="J1630" s="20"/>
    </row>
    <row r="1631" spans="1:12">
      <c r="J1631" s="20"/>
    </row>
    <row r="1632" spans="1:12">
      <c r="J1632" s="20"/>
    </row>
    <row r="1633" spans="1:10">
      <c r="E1633" s="65"/>
      <c r="F1633" s="65"/>
      <c r="G1633" s="52">
        <f>'исх АС БЮДЖЕТ'!G569</f>
        <v>7104546162.3700008</v>
      </c>
      <c r="H1633" s="52">
        <f>'исх АС БЮДЖЕТ'!H569</f>
        <v>7569030147.5699997</v>
      </c>
      <c r="I1633" s="65"/>
      <c r="J1633" s="52"/>
    </row>
    <row r="1634" spans="1:10">
      <c r="E1634" s="65"/>
      <c r="F1634" s="65"/>
      <c r="G1634" s="52">
        <f>G1629-G1633</f>
        <v>0</v>
      </c>
      <c r="H1634" s="52">
        <f>H1629-H1633</f>
        <v>0</v>
      </c>
      <c r="I1634" s="65"/>
      <c r="J1634" s="52"/>
    </row>
    <row r="1635" spans="1:10" s="125" customFormat="1">
      <c r="A1635" s="6"/>
      <c r="B1635" s="62"/>
      <c r="C1635" s="63"/>
      <c r="D1635" s="63"/>
      <c r="E1635" s="65"/>
      <c r="F1635" s="65"/>
      <c r="G1635" s="52"/>
      <c r="H1635" s="52"/>
      <c r="I1635" s="65"/>
      <c r="J1635" s="52"/>
    </row>
    <row r="1636" spans="1:10" s="125" customFormat="1">
      <c r="A1636" s="6"/>
      <c r="B1636" s="62"/>
      <c r="C1636" s="63"/>
      <c r="D1636" s="63"/>
      <c r="E1636" s="65"/>
      <c r="F1636" s="65"/>
      <c r="G1636" s="52"/>
      <c r="H1636" s="52"/>
      <c r="I1636" s="65"/>
      <c r="J1636" s="52"/>
    </row>
    <row r="1637" spans="1:10" s="125" customFormat="1">
      <c r="A1637" s="6"/>
      <c r="B1637" s="62"/>
      <c r="C1637" s="63"/>
      <c r="D1637" s="63"/>
      <c r="E1637" s="65"/>
      <c r="F1637" s="65"/>
      <c r="G1637" s="52"/>
      <c r="H1637" s="52"/>
      <c r="I1637" s="65"/>
      <c r="J1637" s="52"/>
    </row>
    <row r="1638" spans="1:10" s="125" customFormat="1">
      <c r="A1638" s="6"/>
      <c r="B1638" s="62"/>
      <c r="C1638" s="63"/>
      <c r="D1638" s="63"/>
      <c r="E1638" s="65"/>
      <c r="F1638" s="65"/>
      <c r="G1638" s="52"/>
      <c r="H1638" s="52"/>
      <c r="I1638" s="65"/>
      <c r="J1638" s="52"/>
    </row>
    <row r="1639" spans="1:10" s="125" customFormat="1">
      <c r="A1639" s="6"/>
      <c r="B1639" s="62"/>
      <c r="C1639" s="63"/>
      <c r="D1639" s="63"/>
      <c r="E1639" s="65"/>
      <c r="F1639" s="65"/>
      <c r="G1639" s="52"/>
      <c r="H1639" s="52"/>
      <c r="I1639" s="65"/>
      <c r="J1639" s="52"/>
    </row>
    <row r="1640" spans="1:10" s="125" customFormat="1">
      <c r="A1640" s="6"/>
      <c r="B1640" s="62"/>
      <c r="C1640" s="63"/>
      <c r="D1640" s="63"/>
      <c r="E1640" s="63"/>
      <c r="F1640" s="63"/>
      <c r="G1640" s="49"/>
      <c r="H1640" s="49"/>
      <c r="I1640" s="63"/>
      <c r="J1640" s="49"/>
    </row>
    <row r="1641" spans="1:10" s="125" customFormat="1">
      <c r="A1641" s="6"/>
      <c r="B1641" s="62"/>
      <c r="C1641" s="63"/>
      <c r="D1641" s="63"/>
      <c r="E1641" s="63"/>
      <c r="F1641" s="63"/>
      <c r="G1641" s="64"/>
      <c r="H1641" s="64"/>
      <c r="I1641" s="63"/>
      <c r="J1641" s="20"/>
    </row>
  </sheetData>
  <mergeCells count="7">
    <mergeCell ref="A1:H1"/>
    <mergeCell ref="A2:H2"/>
    <mergeCell ref="A4:H4"/>
    <mergeCell ref="A5:H5"/>
    <mergeCell ref="A7:A8"/>
    <mergeCell ref="B7:F7"/>
    <mergeCell ref="G7:H7"/>
  </mergeCells>
  <pageMargins left="0.59055118110236227" right="0.15748031496062992" top="0.51181102362204722" bottom="0.55118110236220474" header="0.19685039370078741" footer="0.15748031496062992"/>
  <pageSetup paperSize="9" scale="73" fitToHeight="38" orientation="portrait" r:id="rId1"/>
  <headerFooter differentFirst="1" alignWithMargins="0">
    <oddHeader>&amp;C&amp;"Times New Roman,обычный"&amp;10&amp;P</oddHeader>
  </headerFooter>
  <rowBreaks count="1" manualBreakCount="1">
    <brk id="761" max="7" man="1"/>
  </rowBreaks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99FF"/>
  </sheetPr>
  <dimension ref="A1:E22"/>
  <sheetViews>
    <sheetView view="pageBreakPreview" zoomScale="75" zoomScaleNormal="75" zoomScaleSheetLayoutView="75" workbookViewId="0">
      <selection activeCell="A13" sqref="A13"/>
    </sheetView>
  </sheetViews>
  <sheetFormatPr defaultColWidth="8.7265625" defaultRowHeight="15"/>
  <cols>
    <col min="1" max="1" width="34.6328125" style="388" customWidth="1"/>
    <col min="2" max="2" width="12.26953125" style="388" customWidth="1"/>
    <col min="3" max="3" width="18.54296875" style="388" customWidth="1"/>
    <col min="4" max="4" width="13.1796875" style="388" customWidth="1"/>
    <col min="5" max="5" width="13" style="388" customWidth="1"/>
    <col min="6" max="6" width="12.90625" style="388" customWidth="1"/>
    <col min="7" max="16384" width="8.7265625" style="388"/>
  </cols>
  <sheetData>
    <row r="1" spans="1:5" ht="15.75">
      <c r="A1" s="387" t="s">
        <v>1097</v>
      </c>
      <c r="B1" s="387"/>
      <c r="C1" s="387"/>
      <c r="D1" s="387"/>
      <c r="E1" s="387"/>
    </row>
    <row r="2" spans="1:5" ht="15.6" customHeight="1">
      <c r="A2" s="387" t="s">
        <v>1098</v>
      </c>
      <c r="B2" s="387"/>
      <c r="C2" s="387"/>
      <c r="D2" s="387"/>
      <c r="E2" s="387"/>
    </row>
    <row r="3" spans="1:5" ht="15.75">
      <c r="A3" s="389"/>
      <c r="B3" s="389"/>
      <c r="C3" s="390"/>
      <c r="D3" s="390"/>
    </row>
    <row r="4" spans="1:5" ht="15.75">
      <c r="A4" s="391"/>
      <c r="B4" s="391"/>
      <c r="C4" s="390"/>
      <c r="E4" s="392" t="s">
        <v>1091</v>
      </c>
    </row>
    <row r="5" spans="1:5" ht="25.5" customHeight="1">
      <c r="A5" s="393" t="s">
        <v>1082</v>
      </c>
      <c r="B5" s="394" t="s">
        <v>1099</v>
      </c>
      <c r="C5" s="395"/>
      <c r="D5" s="396" t="s">
        <v>1101</v>
      </c>
      <c r="E5" s="396"/>
    </row>
    <row r="6" spans="1:5" ht="87.75" customHeight="1">
      <c r="A6" s="397"/>
      <c r="B6" s="398"/>
      <c r="C6" s="399"/>
      <c r="D6" s="368" t="s">
        <v>720</v>
      </c>
      <c r="E6" s="368" t="s">
        <v>721</v>
      </c>
    </row>
    <row r="7" spans="1:5" ht="18">
      <c r="A7" s="405">
        <v>1</v>
      </c>
      <c r="B7" s="396">
        <v>2</v>
      </c>
      <c r="C7" s="400"/>
      <c r="D7" s="405">
        <v>3</v>
      </c>
      <c r="E7" s="405">
        <v>4</v>
      </c>
    </row>
    <row r="8" spans="1:5" ht="15.75">
      <c r="A8" s="402" t="s">
        <v>1102</v>
      </c>
      <c r="B8" s="389"/>
      <c r="C8" s="389"/>
      <c r="D8" s="406">
        <v>6763830902.3699999</v>
      </c>
      <c r="E8" s="406">
        <v>7309190317.5699997</v>
      </c>
    </row>
    <row r="9" spans="1:5" ht="15.75">
      <c r="A9" s="402" t="s">
        <v>1103</v>
      </c>
      <c r="B9" s="389"/>
      <c r="C9" s="389"/>
      <c r="D9" s="407">
        <v>7104546162.3699999</v>
      </c>
      <c r="E9" s="407">
        <v>7569030147.5699997</v>
      </c>
    </row>
    <row r="10" spans="1:5" ht="15.75">
      <c r="A10" s="402" t="s">
        <v>1104</v>
      </c>
      <c r="B10" s="389"/>
      <c r="C10" s="389"/>
      <c r="D10" s="407">
        <f>D8-D9</f>
        <v>-340715260</v>
      </c>
      <c r="E10" s="407">
        <f>E8-E9</f>
        <v>-259839830</v>
      </c>
    </row>
    <row r="11" spans="1:5" ht="31.5">
      <c r="A11" s="402" t="s">
        <v>1105</v>
      </c>
      <c r="B11" s="389"/>
      <c r="C11" s="389"/>
      <c r="D11" s="407">
        <f>D12+D13+D14+D15</f>
        <v>340715260</v>
      </c>
      <c r="E11" s="407">
        <f>E12+E13+E14+E15</f>
        <v>259839830</v>
      </c>
    </row>
    <row r="12" spans="1:5" ht="47.25">
      <c r="A12" s="402" t="s">
        <v>1106</v>
      </c>
      <c r="B12" s="389" t="s">
        <v>1517</v>
      </c>
      <c r="C12" s="389"/>
      <c r="D12" s="408">
        <v>2019111260</v>
      </c>
      <c r="E12" s="408">
        <v>3061808830</v>
      </c>
    </row>
    <row r="13" spans="1:5" ht="63">
      <c r="A13" s="402" t="s">
        <v>1108</v>
      </c>
      <c r="B13" s="389" t="s">
        <v>1518</v>
      </c>
      <c r="C13" s="389"/>
      <c r="D13" s="408">
        <v>1678396000</v>
      </c>
      <c r="E13" s="408">
        <v>1814969000</v>
      </c>
    </row>
    <row r="14" spans="1:5" ht="47.25">
      <c r="A14" s="402" t="s">
        <v>1110</v>
      </c>
      <c r="B14" s="389" t="s">
        <v>1519</v>
      </c>
      <c r="C14" s="389"/>
      <c r="D14" s="408">
        <v>-1678396000</v>
      </c>
      <c r="E14" s="408">
        <v>-2801969000</v>
      </c>
    </row>
    <row r="15" spans="1:5" ht="47.25">
      <c r="A15" s="402" t="s">
        <v>1112</v>
      </c>
      <c r="B15" s="389" t="s">
        <v>1520</v>
      </c>
      <c r="C15" s="389"/>
      <c r="D15" s="408">
        <v>-1678396000</v>
      </c>
      <c r="E15" s="408">
        <v>-1814969000</v>
      </c>
    </row>
    <row r="16" spans="1:5" ht="31.5">
      <c r="A16" s="402" t="s">
        <v>1114</v>
      </c>
      <c r="B16" s="389" t="s">
        <v>1521</v>
      </c>
      <c r="C16" s="389"/>
      <c r="D16" s="409">
        <f>-(D8+D12+D13)</f>
        <v>-10461338162.369999</v>
      </c>
      <c r="E16" s="409">
        <f>-(E8+E12+E13)</f>
        <v>-12185968147.57</v>
      </c>
    </row>
    <row r="17" spans="1:5" ht="31.5">
      <c r="A17" s="402" t="s">
        <v>1116</v>
      </c>
      <c r="B17" s="389" t="s">
        <v>1522</v>
      </c>
      <c r="C17" s="389"/>
      <c r="D17" s="408">
        <f>D9-D14-D15</f>
        <v>10461338162.369999</v>
      </c>
      <c r="E17" s="408">
        <f>E9-E14-E15</f>
        <v>12185968147.57</v>
      </c>
    </row>
    <row r="18" spans="1:5" ht="15.75">
      <c r="A18" s="402"/>
      <c r="B18" s="403"/>
      <c r="C18" s="403"/>
      <c r="D18" s="408"/>
      <c r="E18" s="408"/>
    </row>
    <row r="19" spans="1:5" s="401" customFormat="1" ht="15.75">
      <c r="A19" s="410" t="s">
        <v>1118</v>
      </c>
      <c r="B19" s="411"/>
      <c r="C19" s="411"/>
      <c r="D19" s="412">
        <v>0</v>
      </c>
      <c r="E19" s="412">
        <v>0</v>
      </c>
    </row>
    <row r="21" spans="1:5">
      <c r="D21" s="404"/>
    </row>
    <row r="22" spans="1:5">
      <c r="D22" s="404"/>
    </row>
  </sheetData>
  <mergeCells count="18">
    <mergeCell ref="B13:C13"/>
    <mergeCell ref="B14:C14"/>
    <mergeCell ref="B15:C15"/>
    <mergeCell ref="B16:C16"/>
    <mergeCell ref="B17:C17"/>
    <mergeCell ref="B19:C19"/>
    <mergeCell ref="B7:C7"/>
    <mergeCell ref="B8:C8"/>
    <mergeCell ref="B9:C9"/>
    <mergeCell ref="B10:C10"/>
    <mergeCell ref="B11:C11"/>
    <mergeCell ref="B12:C12"/>
    <mergeCell ref="A1:E1"/>
    <mergeCell ref="A2:E2"/>
    <mergeCell ref="A3:B3"/>
    <mergeCell ref="A5:A6"/>
    <mergeCell ref="B5:C6"/>
    <mergeCell ref="D5:E5"/>
  </mergeCells>
  <pageMargins left="0.73" right="0.23622047244094491" top="0.35433070866141736" bottom="0.74803149606299213" header="0.31496062992125984" footer="0.31496062992125984"/>
  <pageSetup paperSize="9" scale="6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FFFF00"/>
  </sheetPr>
  <dimension ref="A1:K571"/>
  <sheetViews>
    <sheetView topLeftCell="A556" workbookViewId="0">
      <selection activeCell="G481" sqref="G481"/>
    </sheetView>
  </sheetViews>
  <sheetFormatPr defaultRowHeight="18"/>
  <cols>
    <col min="1" max="1" width="23.36328125" customWidth="1"/>
    <col min="2" max="3" width="2.81640625" bestFit="1" customWidth="1"/>
    <col min="4" max="4" width="6.1796875" bestFit="1" customWidth="1"/>
    <col min="5" max="5" width="2.54296875" bestFit="1" customWidth="1"/>
    <col min="6" max="8" width="11.54296875" customWidth="1"/>
    <col min="9" max="9" width="7.26953125" style="351" customWidth="1"/>
    <col min="10" max="10" width="2.81640625" style="351" bestFit="1" customWidth="1"/>
    <col min="11" max="11" width="6.1796875" style="351" bestFit="1" customWidth="1"/>
  </cols>
  <sheetData>
    <row r="1" spans="1:11">
      <c r="B1" s="314"/>
      <c r="C1" s="314"/>
      <c r="D1" s="314"/>
      <c r="E1" s="314"/>
      <c r="F1" s="337"/>
      <c r="G1" s="337"/>
      <c r="H1" s="337"/>
      <c r="I1" s="344"/>
      <c r="J1" s="345"/>
      <c r="K1" s="345"/>
    </row>
    <row r="2" spans="1:11">
      <c r="B2" s="314"/>
      <c r="C2" s="314"/>
      <c r="D2" s="314"/>
      <c r="E2" s="314"/>
      <c r="F2" s="337"/>
      <c r="G2" s="337"/>
      <c r="H2" s="337"/>
      <c r="I2" s="344"/>
      <c r="J2" s="345"/>
      <c r="K2" s="345"/>
    </row>
    <row r="3" spans="1:11">
      <c r="B3" s="336"/>
      <c r="C3" s="336"/>
      <c r="D3" s="336"/>
      <c r="E3" s="336"/>
      <c r="F3" s="337"/>
      <c r="G3" s="337"/>
      <c r="H3" s="337"/>
      <c r="I3" s="344"/>
      <c r="J3" s="346"/>
      <c r="K3" s="346"/>
    </row>
    <row r="4" spans="1:11">
      <c r="B4" s="335"/>
      <c r="C4" s="335"/>
      <c r="D4" s="335"/>
      <c r="E4" s="335"/>
      <c r="F4" s="334"/>
      <c r="G4" s="337"/>
      <c r="H4" s="337"/>
      <c r="I4" s="344"/>
      <c r="J4" s="347"/>
      <c r="K4" s="347"/>
    </row>
    <row r="5" spans="1:11">
      <c r="B5" s="334"/>
      <c r="C5" s="334"/>
      <c r="D5" s="334"/>
      <c r="E5" s="334"/>
      <c r="F5" s="334"/>
      <c r="G5" s="337"/>
      <c r="H5" s="337"/>
      <c r="I5" s="344"/>
      <c r="J5" s="348"/>
      <c r="K5" s="348"/>
    </row>
    <row r="6" spans="1:11">
      <c r="B6" s="330"/>
      <c r="C6" s="330"/>
      <c r="D6" s="330"/>
      <c r="E6" s="330"/>
      <c r="F6" s="330"/>
      <c r="G6" s="337"/>
      <c r="H6" s="337"/>
      <c r="I6" s="344"/>
      <c r="J6" s="349"/>
      <c r="K6" s="349"/>
    </row>
    <row r="7" spans="1:11">
      <c r="B7" s="334"/>
      <c r="C7" s="334"/>
      <c r="D7" s="334"/>
      <c r="E7" s="334"/>
      <c r="F7" s="334"/>
      <c r="G7" s="337"/>
      <c r="H7" s="337"/>
      <c r="I7" s="344"/>
      <c r="J7" s="348"/>
      <c r="K7" s="348"/>
    </row>
    <row r="8" spans="1:11" s="343" customFormat="1" ht="18.75" thickBot="1">
      <c r="A8" s="343">
        <v>1</v>
      </c>
      <c r="B8" s="343">
        <v>2</v>
      </c>
      <c r="C8" s="343">
        <v>3</v>
      </c>
      <c r="D8" s="343">
        <v>4</v>
      </c>
      <c r="E8" s="343">
        <v>5</v>
      </c>
      <c r="F8" s="343">
        <v>6</v>
      </c>
      <c r="G8" s="343">
        <v>7</v>
      </c>
      <c r="H8" s="343">
        <v>8</v>
      </c>
      <c r="I8" s="350"/>
      <c r="J8" s="350"/>
      <c r="K8" s="350"/>
    </row>
    <row r="9" spans="1:11" ht="18.75" thickBot="1">
      <c r="B9" s="333" t="s">
        <v>1250</v>
      </c>
      <c r="C9" s="333" t="s">
        <v>1251</v>
      </c>
      <c r="D9" s="332" t="s">
        <v>1252</v>
      </c>
      <c r="E9" s="331" t="s">
        <v>1253</v>
      </c>
      <c r="F9" s="331">
        <v>2017</v>
      </c>
      <c r="G9" s="331">
        <v>2018</v>
      </c>
      <c r="H9" s="331">
        <v>2019</v>
      </c>
      <c r="I9" s="352"/>
      <c r="J9" s="352"/>
      <c r="K9" s="352"/>
    </row>
    <row r="10" spans="1:11">
      <c r="A10" s="90" t="str">
        <f t="shared" ref="A10:A73" si="0">CONCATENATE(B10,J10,K10,E10)</f>
        <v>000000000000000000</v>
      </c>
      <c r="B10" s="329">
        <v>0</v>
      </c>
      <c r="C10" s="328">
        <v>0</v>
      </c>
      <c r="D10" s="327" t="s">
        <v>1254</v>
      </c>
      <c r="E10" s="326" t="s">
        <v>58</v>
      </c>
      <c r="F10" s="338">
        <v>0</v>
      </c>
      <c r="G10" s="338">
        <v>94204627.739999995</v>
      </c>
      <c r="H10" s="338">
        <v>195948866.56</v>
      </c>
      <c r="I10" s="353"/>
      <c r="J10" s="354" t="str">
        <f>TEXT(C10,"0000")</f>
        <v>0000</v>
      </c>
      <c r="K10" s="355" t="str">
        <f>TEXT(D10,"0000000000")</f>
        <v>0000000000</v>
      </c>
    </row>
    <row r="11" spans="1:11">
      <c r="A11" s="90" t="str">
        <f t="shared" si="0"/>
        <v>60001037010010010122</v>
      </c>
      <c r="B11" s="325">
        <v>600</v>
      </c>
      <c r="C11" s="324">
        <v>103</v>
      </c>
      <c r="D11" s="323" t="s">
        <v>1255</v>
      </c>
      <c r="E11" s="322" t="s">
        <v>1059</v>
      </c>
      <c r="F11" s="339">
        <v>1273000</v>
      </c>
      <c r="G11" s="339">
        <v>1273000</v>
      </c>
      <c r="H11" s="339">
        <v>1273000</v>
      </c>
      <c r="I11" s="353"/>
      <c r="J11" s="354" t="str">
        <f t="shared" ref="J11:J74" si="1">TEXT(C11,"0000")</f>
        <v>0103</v>
      </c>
      <c r="K11" s="355" t="str">
        <f t="shared" ref="K11:K74" si="2">TEXT(D11,"0000000000")</f>
        <v>7010010010</v>
      </c>
    </row>
    <row r="12" spans="1:11">
      <c r="A12" s="90" t="str">
        <f t="shared" si="0"/>
        <v>60001037010010010123</v>
      </c>
      <c r="B12" s="325">
        <v>600</v>
      </c>
      <c r="C12" s="324">
        <v>103</v>
      </c>
      <c r="D12" s="323" t="s">
        <v>1255</v>
      </c>
      <c r="E12" s="322" t="s">
        <v>1068</v>
      </c>
      <c r="F12" s="339">
        <v>2333124</v>
      </c>
      <c r="G12" s="339">
        <v>2333124</v>
      </c>
      <c r="H12" s="339">
        <v>2333124</v>
      </c>
      <c r="I12" s="353"/>
      <c r="J12" s="354" t="str">
        <f t="shared" si="1"/>
        <v>0103</v>
      </c>
      <c r="K12" s="355" t="str">
        <f t="shared" si="2"/>
        <v>7010010010</v>
      </c>
    </row>
    <row r="13" spans="1:11">
      <c r="A13" s="90" t="str">
        <f t="shared" si="0"/>
        <v>60001037010010010129</v>
      </c>
      <c r="B13" s="325">
        <v>600</v>
      </c>
      <c r="C13" s="324">
        <v>103</v>
      </c>
      <c r="D13" s="323" t="s">
        <v>1255</v>
      </c>
      <c r="E13" s="322" t="s">
        <v>1060</v>
      </c>
      <c r="F13" s="339">
        <v>230656</v>
      </c>
      <c r="G13" s="339">
        <v>230656</v>
      </c>
      <c r="H13" s="339">
        <v>230656</v>
      </c>
      <c r="I13" s="353"/>
      <c r="J13" s="354" t="str">
        <f t="shared" si="1"/>
        <v>0103</v>
      </c>
      <c r="K13" s="355" t="str">
        <f t="shared" si="2"/>
        <v>7010010010</v>
      </c>
    </row>
    <row r="14" spans="1:11">
      <c r="A14" s="90" t="str">
        <f t="shared" si="0"/>
        <v>60001037010010010244</v>
      </c>
      <c r="B14" s="325">
        <v>600</v>
      </c>
      <c r="C14" s="324">
        <v>103</v>
      </c>
      <c r="D14" s="323" t="s">
        <v>1255</v>
      </c>
      <c r="E14" s="322" t="s">
        <v>1043</v>
      </c>
      <c r="F14" s="339">
        <v>6532610</v>
      </c>
      <c r="G14" s="339">
        <v>6534600</v>
      </c>
      <c r="H14" s="339">
        <v>6534600</v>
      </c>
      <c r="I14" s="353"/>
      <c r="J14" s="354" t="str">
        <f t="shared" si="1"/>
        <v>0103</v>
      </c>
      <c r="K14" s="355" t="str">
        <f t="shared" si="2"/>
        <v>7010010010</v>
      </c>
    </row>
    <row r="15" spans="1:11">
      <c r="A15" s="90" t="str">
        <f t="shared" si="0"/>
        <v>60001037010010010851</v>
      </c>
      <c r="B15" s="325">
        <v>600</v>
      </c>
      <c r="C15" s="324">
        <v>103</v>
      </c>
      <c r="D15" s="323" t="s">
        <v>1255</v>
      </c>
      <c r="E15" s="322" t="s">
        <v>1061</v>
      </c>
      <c r="F15" s="339">
        <v>78370</v>
      </c>
      <c r="G15" s="339">
        <v>78370</v>
      </c>
      <c r="H15" s="339">
        <v>78370</v>
      </c>
      <c r="I15" s="353"/>
      <c r="J15" s="354" t="str">
        <f t="shared" si="1"/>
        <v>0103</v>
      </c>
      <c r="K15" s="355" t="str">
        <f t="shared" si="2"/>
        <v>7010010010</v>
      </c>
    </row>
    <row r="16" spans="1:11">
      <c r="A16" s="90" t="str">
        <f t="shared" si="0"/>
        <v>60001037010010010852</v>
      </c>
      <c r="B16" s="325">
        <v>600</v>
      </c>
      <c r="C16" s="324">
        <v>103</v>
      </c>
      <c r="D16" s="323" t="s">
        <v>1255</v>
      </c>
      <c r="E16" s="322" t="s">
        <v>1062</v>
      </c>
      <c r="F16" s="339">
        <v>85670</v>
      </c>
      <c r="G16" s="339">
        <v>85670</v>
      </c>
      <c r="H16" s="339">
        <v>85670</v>
      </c>
      <c r="I16" s="353"/>
      <c r="J16" s="354" t="str">
        <f t="shared" si="1"/>
        <v>0103</v>
      </c>
      <c r="K16" s="355" t="str">
        <f t="shared" si="2"/>
        <v>7010010010</v>
      </c>
    </row>
    <row r="17" spans="1:11">
      <c r="A17" s="90" t="str">
        <f t="shared" si="0"/>
        <v>60001037010010020121</v>
      </c>
      <c r="B17" s="325">
        <v>600</v>
      </c>
      <c r="C17" s="324">
        <v>103</v>
      </c>
      <c r="D17" s="323" t="s">
        <v>1256</v>
      </c>
      <c r="E17" s="322" t="s">
        <v>1063</v>
      </c>
      <c r="F17" s="339">
        <v>25240710</v>
      </c>
      <c r="G17" s="339">
        <v>25560710</v>
      </c>
      <c r="H17" s="339">
        <v>25560710</v>
      </c>
      <c r="I17" s="353"/>
      <c r="J17" s="354" t="str">
        <f t="shared" si="1"/>
        <v>0103</v>
      </c>
      <c r="K17" s="355" t="str">
        <f t="shared" si="2"/>
        <v>7010010020</v>
      </c>
    </row>
    <row r="18" spans="1:11">
      <c r="A18" s="90" t="str">
        <f t="shared" si="0"/>
        <v>60001037010010020129</v>
      </c>
      <c r="B18" s="325">
        <v>600</v>
      </c>
      <c r="C18" s="324">
        <v>103</v>
      </c>
      <c r="D18" s="323" t="s">
        <v>1256</v>
      </c>
      <c r="E18" s="322" t="s">
        <v>1060</v>
      </c>
      <c r="F18" s="339">
        <v>7635810</v>
      </c>
      <c r="G18" s="339">
        <v>7719310</v>
      </c>
      <c r="H18" s="339">
        <v>7719310</v>
      </c>
      <c r="I18" s="353"/>
      <c r="J18" s="354" t="str">
        <f t="shared" si="1"/>
        <v>0103</v>
      </c>
      <c r="K18" s="355" t="str">
        <f t="shared" si="2"/>
        <v>7010010020</v>
      </c>
    </row>
    <row r="19" spans="1:11">
      <c r="A19" s="90" t="str">
        <f t="shared" si="0"/>
        <v>60001037020010010122</v>
      </c>
      <c r="B19" s="325">
        <v>600</v>
      </c>
      <c r="C19" s="324">
        <v>103</v>
      </c>
      <c r="D19" s="323" t="s">
        <v>1257</v>
      </c>
      <c r="E19" s="322" t="s">
        <v>1059</v>
      </c>
      <c r="F19" s="339">
        <v>31912.5</v>
      </c>
      <c r="G19" s="339">
        <v>31912.5</v>
      </c>
      <c r="H19" s="339">
        <v>31912.5</v>
      </c>
      <c r="I19" s="353"/>
      <c r="J19" s="354" t="str">
        <f t="shared" si="1"/>
        <v>0103</v>
      </c>
      <c r="K19" s="355" t="str">
        <f t="shared" si="2"/>
        <v>7020010010</v>
      </c>
    </row>
    <row r="20" spans="1:11">
      <c r="A20" s="90" t="str">
        <f t="shared" si="0"/>
        <v>60001037020010010129</v>
      </c>
      <c r="B20" s="325">
        <v>600</v>
      </c>
      <c r="C20" s="324">
        <v>103</v>
      </c>
      <c r="D20" s="323" t="s">
        <v>1257</v>
      </c>
      <c r="E20" s="322" t="s">
        <v>1060</v>
      </c>
      <c r="F20" s="339">
        <v>9637.5</v>
      </c>
      <c r="G20" s="339">
        <v>9637.5</v>
      </c>
      <c r="H20" s="339">
        <v>9637.5</v>
      </c>
      <c r="I20" s="353"/>
      <c r="J20" s="354" t="str">
        <f t="shared" si="1"/>
        <v>0103</v>
      </c>
      <c r="K20" s="355" t="str">
        <f t="shared" si="2"/>
        <v>7020010010</v>
      </c>
    </row>
    <row r="21" spans="1:11">
      <c r="A21" s="90" t="str">
        <f t="shared" si="0"/>
        <v>60001037020010020121</v>
      </c>
      <c r="B21" s="325">
        <v>600</v>
      </c>
      <c r="C21" s="324">
        <v>103</v>
      </c>
      <c r="D21" s="323" t="s">
        <v>1258</v>
      </c>
      <c r="E21" s="322" t="s">
        <v>1063</v>
      </c>
      <c r="F21" s="339">
        <v>1192000</v>
      </c>
      <c r="G21" s="339">
        <v>1192000</v>
      </c>
      <c r="H21" s="339">
        <v>1192000</v>
      </c>
      <c r="I21" s="353"/>
      <c r="J21" s="354" t="str">
        <f t="shared" si="1"/>
        <v>0103</v>
      </c>
      <c r="K21" s="355" t="str">
        <f t="shared" si="2"/>
        <v>7020010020</v>
      </c>
    </row>
    <row r="22" spans="1:11">
      <c r="A22" s="90" t="str">
        <f t="shared" si="0"/>
        <v>60001037020010020129</v>
      </c>
      <c r="B22" s="325">
        <v>600</v>
      </c>
      <c r="C22" s="324">
        <v>103</v>
      </c>
      <c r="D22" s="323" t="s">
        <v>1258</v>
      </c>
      <c r="E22" s="322" t="s">
        <v>1060</v>
      </c>
      <c r="F22" s="339">
        <v>360000</v>
      </c>
      <c r="G22" s="339">
        <v>360000</v>
      </c>
      <c r="H22" s="339">
        <v>360000</v>
      </c>
      <c r="I22" s="353"/>
      <c r="J22" s="354" t="str">
        <f t="shared" si="1"/>
        <v>0103</v>
      </c>
      <c r="K22" s="355" t="str">
        <f t="shared" si="2"/>
        <v>7020010020</v>
      </c>
    </row>
    <row r="23" spans="1:11">
      <c r="A23" s="90" t="str">
        <f t="shared" si="0"/>
        <v>60001037030010010122</v>
      </c>
      <c r="B23" s="325">
        <v>600</v>
      </c>
      <c r="C23" s="324">
        <v>103</v>
      </c>
      <c r="D23" s="323" t="s">
        <v>1259</v>
      </c>
      <c r="E23" s="322" t="s">
        <v>1059</v>
      </c>
      <c r="F23" s="339">
        <v>63830</v>
      </c>
      <c r="G23" s="339">
        <v>63830</v>
      </c>
      <c r="H23" s="339">
        <v>63830</v>
      </c>
      <c r="I23" s="353"/>
      <c r="J23" s="354" t="str">
        <f t="shared" si="1"/>
        <v>0103</v>
      </c>
      <c r="K23" s="355" t="str">
        <f t="shared" si="2"/>
        <v>7030010010</v>
      </c>
    </row>
    <row r="24" spans="1:11">
      <c r="A24" s="90" t="str">
        <f t="shared" si="0"/>
        <v>60001037030010010129</v>
      </c>
      <c r="B24" s="325">
        <v>600</v>
      </c>
      <c r="C24" s="324">
        <v>103</v>
      </c>
      <c r="D24" s="323" t="s">
        <v>1259</v>
      </c>
      <c r="E24" s="322" t="s">
        <v>1060</v>
      </c>
      <c r="F24" s="339">
        <v>19280</v>
      </c>
      <c r="G24" s="339">
        <v>19280</v>
      </c>
      <c r="H24" s="339">
        <v>19280</v>
      </c>
      <c r="I24" s="353"/>
      <c r="J24" s="354" t="str">
        <f t="shared" si="1"/>
        <v>0103</v>
      </c>
      <c r="K24" s="355" t="str">
        <f t="shared" si="2"/>
        <v>7030010010</v>
      </c>
    </row>
    <row r="25" spans="1:11">
      <c r="A25" s="90" t="str">
        <f t="shared" si="0"/>
        <v>60001037030010020121</v>
      </c>
      <c r="B25" s="325">
        <v>600</v>
      </c>
      <c r="C25" s="324">
        <v>103</v>
      </c>
      <c r="D25" s="323" t="s">
        <v>1260</v>
      </c>
      <c r="E25" s="322" t="s">
        <v>1063</v>
      </c>
      <c r="F25" s="339">
        <v>1875420</v>
      </c>
      <c r="G25" s="339">
        <v>1555420</v>
      </c>
      <c r="H25" s="339">
        <v>1555420</v>
      </c>
      <c r="I25" s="353"/>
      <c r="J25" s="354" t="str">
        <f t="shared" si="1"/>
        <v>0103</v>
      </c>
      <c r="K25" s="355" t="str">
        <f t="shared" si="2"/>
        <v>7030010020</v>
      </c>
    </row>
    <row r="26" spans="1:11">
      <c r="A26" s="90" t="str">
        <f t="shared" si="0"/>
        <v>60001037030010020129</v>
      </c>
      <c r="B26" s="325">
        <v>600</v>
      </c>
      <c r="C26" s="324">
        <v>103</v>
      </c>
      <c r="D26" s="323" t="s">
        <v>1260</v>
      </c>
      <c r="E26" s="322" t="s">
        <v>1060</v>
      </c>
      <c r="F26" s="339">
        <v>553240</v>
      </c>
      <c r="G26" s="339">
        <v>469740</v>
      </c>
      <c r="H26" s="339">
        <v>469740</v>
      </c>
      <c r="I26" s="353"/>
      <c r="J26" s="354" t="str">
        <f t="shared" si="1"/>
        <v>0103</v>
      </c>
      <c r="K26" s="355" t="str">
        <f t="shared" si="2"/>
        <v>7030010020</v>
      </c>
    </row>
    <row r="27" spans="1:11">
      <c r="A27" s="90" t="str">
        <f t="shared" si="0"/>
        <v>60001137040020090244</v>
      </c>
      <c r="B27" s="325">
        <v>600</v>
      </c>
      <c r="C27" s="324">
        <v>113</v>
      </c>
      <c r="D27" s="323" t="s">
        <v>1261</v>
      </c>
      <c r="E27" s="322" t="s">
        <v>1043</v>
      </c>
      <c r="F27" s="339">
        <v>500000</v>
      </c>
      <c r="G27" s="339">
        <v>500000</v>
      </c>
      <c r="H27" s="339">
        <v>500000</v>
      </c>
      <c r="I27" s="353"/>
      <c r="J27" s="354" t="str">
        <f t="shared" si="1"/>
        <v>0113</v>
      </c>
      <c r="K27" s="355" t="str">
        <f t="shared" si="2"/>
        <v>7040020090</v>
      </c>
    </row>
    <row r="28" spans="1:11">
      <c r="A28" s="90" t="str">
        <f t="shared" si="0"/>
        <v>60012017040098710244</v>
      </c>
      <c r="B28" s="325">
        <v>600</v>
      </c>
      <c r="C28" s="324">
        <v>1201</v>
      </c>
      <c r="D28" s="323" t="s">
        <v>1262</v>
      </c>
      <c r="E28" s="322" t="s">
        <v>1043</v>
      </c>
      <c r="F28" s="339">
        <v>5900500</v>
      </c>
      <c r="G28" s="339">
        <v>5900500</v>
      </c>
      <c r="H28" s="339">
        <v>5900500</v>
      </c>
      <c r="I28" s="353"/>
      <c r="J28" s="354" t="str">
        <f t="shared" si="1"/>
        <v>1201</v>
      </c>
      <c r="K28" s="355" t="str">
        <f t="shared" si="2"/>
        <v>7040098710</v>
      </c>
    </row>
    <row r="29" spans="1:11">
      <c r="A29" s="90" t="str">
        <f t="shared" si="0"/>
        <v>60012027040098710244</v>
      </c>
      <c r="B29" s="325">
        <v>600</v>
      </c>
      <c r="C29" s="324">
        <v>1202</v>
      </c>
      <c r="D29" s="323" t="s">
        <v>1262</v>
      </c>
      <c r="E29" s="322" t="s">
        <v>1043</v>
      </c>
      <c r="F29" s="339">
        <v>1190000</v>
      </c>
      <c r="G29" s="339">
        <v>1190000</v>
      </c>
      <c r="H29" s="339">
        <v>1190000</v>
      </c>
      <c r="I29" s="353"/>
      <c r="J29" s="354" t="str">
        <f t="shared" si="1"/>
        <v>1202</v>
      </c>
      <c r="K29" s="355" t="str">
        <f t="shared" si="2"/>
        <v>7040098710</v>
      </c>
    </row>
    <row r="30" spans="1:11">
      <c r="A30" s="90" t="str">
        <f t="shared" si="0"/>
        <v>60101027120010010122</v>
      </c>
      <c r="B30" s="325">
        <v>601</v>
      </c>
      <c r="C30" s="324">
        <v>102</v>
      </c>
      <c r="D30" s="323" t="s">
        <v>1263</v>
      </c>
      <c r="E30" s="322" t="s">
        <v>1059</v>
      </c>
      <c r="F30" s="339">
        <v>31912.5</v>
      </c>
      <c r="G30" s="339">
        <v>31912.5</v>
      </c>
      <c r="H30" s="339">
        <v>31912.5</v>
      </c>
      <c r="I30" s="353"/>
      <c r="J30" s="354" t="str">
        <f t="shared" si="1"/>
        <v>0102</v>
      </c>
      <c r="K30" s="355" t="str">
        <f t="shared" si="2"/>
        <v>7120010010</v>
      </c>
    </row>
    <row r="31" spans="1:11">
      <c r="A31" s="90" t="str">
        <f t="shared" si="0"/>
        <v>60101027120010010129</v>
      </c>
      <c r="B31" s="325">
        <v>601</v>
      </c>
      <c r="C31" s="324">
        <v>102</v>
      </c>
      <c r="D31" s="323" t="s">
        <v>1263</v>
      </c>
      <c r="E31" s="322" t="s">
        <v>1060</v>
      </c>
      <c r="F31" s="339">
        <v>9637.5</v>
      </c>
      <c r="G31" s="339">
        <v>9637.5</v>
      </c>
      <c r="H31" s="339">
        <v>9637.5</v>
      </c>
      <c r="I31" s="353"/>
      <c r="J31" s="354" t="str">
        <f t="shared" si="1"/>
        <v>0102</v>
      </c>
      <c r="K31" s="355" t="str">
        <f t="shared" si="2"/>
        <v>7120010010</v>
      </c>
    </row>
    <row r="32" spans="1:11">
      <c r="A32" s="90" t="str">
        <f t="shared" si="0"/>
        <v>60101027120010020121</v>
      </c>
      <c r="B32" s="325">
        <v>601</v>
      </c>
      <c r="C32" s="324">
        <v>102</v>
      </c>
      <c r="D32" s="323" t="s">
        <v>1264</v>
      </c>
      <c r="E32" s="322" t="s">
        <v>1063</v>
      </c>
      <c r="F32" s="339">
        <v>1192000</v>
      </c>
      <c r="G32" s="339">
        <v>1192000</v>
      </c>
      <c r="H32" s="339">
        <v>1192000</v>
      </c>
      <c r="I32" s="353"/>
      <c r="J32" s="354" t="str">
        <f t="shared" si="1"/>
        <v>0102</v>
      </c>
      <c r="K32" s="355" t="str">
        <f t="shared" si="2"/>
        <v>7120010020</v>
      </c>
    </row>
    <row r="33" spans="1:11">
      <c r="A33" s="90" t="str">
        <f t="shared" si="0"/>
        <v>60101027120010020129</v>
      </c>
      <c r="B33" s="325">
        <v>601</v>
      </c>
      <c r="C33" s="324">
        <v>102</v>
      </c>
      <c r="D33" s="323" t="s">
        <v>1264</v>
      </c>
      <c r="E33" s="322" t="s">
        <v>1060</v>
      </c>
      <c r="F33" s="339">
        <v>360000</v>
      </c>
      <c r="G33" s="339">
        <v>360000</v>
      </c>
      <c r="H33" s="339">
        <v>360000</v>
      </c>
      <c r="I33" s="353"/>
      <c r="J33" s="354" t="str">
        <f t="shared" si="1"/>
        <v>0102</v>
      </c>
      <c r="K33" s="355" t="str">
        <f t="shared" si="2"/>
        <v>7120010020</v>
      </c>
    </row>
    <row r="34" spans="1:11">
      <c r="A34" s="90" t="str">
        <f t="shared" si="0"/>
        <v>60101047110010010122</v>
      </c>
      <c r="B34" s="325">
        <v>601</v>
      </c>
      <c r="C34" s="324">
        <v>104</v>
      </c>
      <c r="D34" s="323" t="s">
        <v>1265</v>
      </c>
      <c r="E34" s="322" t="s">
        <v>1059</v>
      </c>
      <c r="F34" s="339">
        <v>3758646</v>
      </c>
      <c r="G34" s="339">
        <v>3758646</v>
      </c>
      <c r="H34" s="339">
        <v>3758646</v>
      </c>
      <c r="I34" s="353"/>
      <c r="J34" s="354" t="str">
        <f t="shared" si="1"/>
        <v>0104</v>
      </c>
      <c r="K34" s="355" t="str">
        <f t="shared" si="2"/>
        <v>7110010010</v>
      </c>
    </row>
    <row r="35" spans="1:11">
      <c r="A35" s="90" t="str">
        <f t="shared" si="0"/>
        <v>60101047110010010129</v>
      </c>
      <c r="B35" s="325">
        <v>601</v>
      </c>
      <c r="C35" s="324">
        <v>104</v>
      </c>
      <c r="D35" s="323" t="s">
        <v>1265</v>
      </c>
      <c r="E35" s="322" t="s">
        <v>1060</v>
      </c>
      <c r="F35" s="339">
        <v>706105.03</v>
      </c>
      <c r="G35" s="339">
        <v>706105.03</v>
      </c>
      <c r="H35" s="339">
        <v>706105.03</v>
      </c>
      <c r="I35" s="353"/>
      <c r="J35" s="354" t="str">
        <f t="shared" si="1"/>
        <v>0104</v>
      </c>
      <c r="K35" s="355" t="str">
        <f t="shared" si="2"/>
        <v>7110010010</v>
      </c>
    </row>
    <row r="36" spans="1:11">
      <c r="A36" s="90" t="str">
        <f t="shared" si="0"/>
        <v>60101047110010010244</v>
      </c>
      <c r="B36" s="325">
        <v>601</v>
      </c>
      <c r="C36" s="324">
        <v>104</v>
      </c>
      <c r="D36" s="323" t="s">
        <v>1265</v>
      </c>
      <c r="E36" s="322" t="s">
        <v>1043</v>
      </c>
      <c r="F36" s="339">
        <v>7848520</v>
      </c>
      <c r="G36" s="339">
        <v>7901670</v>
      </c>
      <c r="H36" s="339">
        <v>7901670</v>
      </c>
      <c r="I36" s="353"/>
      <c r="J36" s="354" t="str">
        <f t="shared" si="1"/>
        <v>0104</v>
      </c>
      <c r="K36" s="355" t="str">
        <f t="shared" si="2"/>
        <v>7110010010</v>
      </c>
    </row>
    <row r="37" spans="1:11">
      <c r="A37" s="90" t="str">
        <f t="shared" si="0"/>
        <v>60101047110010010852</v>
      </c>
      <c r="B37" s="325">
        <v>601</v>
      </c>
      <c r="C37" s="324">
        <v>104</v>
      </c>
      <c r="D37" s="323" t="s">
        <v>1265</v>
      </c>
      <c r="E37" s="322" t="s">
        <v>1062</v>
      </c>
      <c r="F37" s="339">
        <v>21997</v>
      </c>
      <c r="G37" s="339">
        <v>24000</v>
      </c>
      <c r="H37" s="339">
        <v>24000</v>
      </c>
      <c r="I37" s="353"/>
      <c r="J37" s="354" t="str">
        <f t="shared" si="1"/>
        <v>0104</v>
      </c>
      <c r="K37" s="355" t="str">
        <f t="shared" si="2"/>
        <v>7110010010</v>
      </c>
    </row>
    <row r="38" spans="1:11">
      <c r="A38" s="90" t="str">
        <f t="shared" si="0"/>
        <v>60101047110010010853</v>
      </c>
      <c r="B38" s="325">
        <v>601</v>
      </c>
      <c r="C38" s="324">
        <v>104</v>
      </c>
      <c r="D38" s="323" t="s">
        <v>1265</v>
      </c>
      <c r="E38" s="322" t="s">
        <v>1066</v>
      </c>
      <c r="F38" s="339">
        <v>2003</v>
      </c>
      <c r="G38" s="339">
        <v>0</v>
      </c>
      <c r="H38" s="339">
        <v>0</v>
      </c>
      <c r="I38" s="353"/>
      <c r="J38" s="354" t="str">
        <f t="shared" si="1"/>
        <v>0104</v>
      </c>
      <c r="K38" s="355" t="str">
        <f t="shared" si="2"/>
        <v>7110010010</v>
      </c>
    </row>
    <row r="39" spans="1:11">
      <c r="A39" s="90" t="str">
        <f t="shared" si="0"/>
        <v>60101047110010020121</v>
      </c>
      <c r="B39" s="325">
        <v>601</v>
      </c>
      <c r="C39" s="324">
        <v>104</v>
      </c>
      <c r="D39" s="323" t="s">
        <v>1266</v>
      </c>
      <c r="E39" s="322" t="s">
        <v>1063</v>
      </c>
      <c r="F39" s="339">
        <v>72838538</v>
      </c>
      <c r="G39" s="339">
        <v>72838538</v>
      </c>
      <c r="H39" s="339">
        <v>72838538</v>
      </c>
      <c r="I39" s="353"/>
      <c r="J39" s="354" t="str">
        <f t="shared" si="1"/>
        <v>0104</v>
      </c>
      <c r="K39" s="355" t="str">
        <f t="shared" si="2"/>
        <v>7110010020</v>
      </c>
    </row>
    <row r="40" spans="1:11">
      <c r="A40" s="90" t="str">
        <f t="shared" si="0"/>
        <v>60101047110010020129</v>
      </c>
      <c r="B40" s="325">
        <v>601</v>
      </c>
      <c r="C40" s="324">
        <v>104</v>
      </c>
      <c r="D40" s="323" t="s">
        <v>1266</v>
      </c>
      <c r="E40" s="322" t="s">
        <v>1060</v>
      </c>
      <c r="F40" s="339">
        <v>21997215.719999999</v>
      </c>
      <c r="G40" s="339">
        <v>21997215.719999999</v>
      </c>
      <c r="H40" s="339">
        <v>21997215.719999999</v>
      </c>
      <c r="I40" s="353"/>
      <c r="J40" s="354" t="str">
        <f t="shared" si="1"/>
        <v>0104</v>
      </c>
      <c r="K40" s="355" t="str">
        <f t="shared" si="2"/>
        <v>7110010020</v>
      </c>
    </row>
    <row r="41" spans="1:11">
      <c r="A41" s="90" t="str">
        <f t="shared" si="0"/>
        <v>60101047110076360244</v>
      </c>
      <c r="B41" s="325">
        <v>601</v>
      </c>
      <c r="C41" s="324">
        <v>104</v>
      </c>
      <c r="D41" s="323" t="s">
        <v>1267</v>
      </c>
      <c r="E41" s="322" t="s">
        <v>1043</v>
      </c>
      <c r="F41" s="339">
        <v>51730</v>
      </c>
      <c r="G41" s="339">
        <v>51730</v>
      </c>
      <c r="H41" s="339">
        <v>51730</v>
      </c>
      <c r="I41" s="353"/>
      <c r="J41" s="354" t="str">
        <f t="shared" si="1"/>
        <v>0104</v>
      </c>
      <c r="K41" s="355" t="str">
        <f t="shared" si="2"/>
        <v>7110076360</v>
      </c>
    </row>
    <row r="42" spans="1:11">
      <c r="A42" s="90" t="str">
        <f t="shared" si="0"/>
        <v>60101047110076630121</v>
      </c>
      <c r="B42" s="325">
        <v>601</v>
      </c>
      <c r="C42" s="324">
        <v>104</v>
      </c>
      <c r="D42" s="323" t="s">
        <v>1268</v>
      </c>
      <c r="E42" s="322" t="s">
        <v>1063</v>
      </c>
      <c r="F42" s="339">
        <v>706460</v>
      </c>
      <c r="G42" s="339">
        <v>706460</v>
      </c>
      <c r="H42" s="339">
        <v>706460</v>
      </c>
      <c r="I42" s="353"/>
      <c r="J42" s="354" t="str">
        <f t="shared" si="1"/>
        <v>0104</v>
      </c>
      <c r="K42" s="355" t="str">
        <f t="shared" si="2"/>
        <v>7110076630</v>
      </c>
    </row>
    <row r="43" spans="1:11">
      <c r="A43" s="90" t="str">
        <f t="shared" si="0"/>
        <v>60101047110076630129</v>
      </c>
      <c r="B43" s="325">
        <v>601</v>
      </c>
      <c r="C43" s="324">
        <v>104</v>
      </c>
      <c r="D43" s="323" t="s">
        <v>1268</v>
      </c>
      <c r="E43" s="322" t="s">
        <v>1060</v>
      </c>
      <c r="F43" s="339">
        <v>213351</v>
      </c>
      <c r="G43" s="339">
        <v>213351</v>
      </c>
      <c r="H43" s="339">
        <v>213351</v>
      </c>
      <c r="I43" s="353"/>
      <c r="J43" s="354" t="str">
        <f t="shared" si="1"/>
        <v>0104</v>
      </c>
      <c r="K43" s="355" t="str">
        <f t="shared" si="2"/>
        <v>7110076630</v>
      </c>
    </row>
    <row r="44" spans="1:11">
      <c r="A44" s="90" t="str">
        <f t="shared" si="0"/>
        <v>60101047110076630244</v>
      </c>
      <c r="B44" s="325">
        <v>601</v>
      </c>
      <c r="C44" s="324">
        <v>104</v>
      </c>
      <c r="D44" s="323" t="s">
        <v>1268</v>
      </c>
      <c r="E44" s="322" t="s">
        <v>1043</v>
      </c>
      <c r="F44" s="339">
        <v>242830</v>
      </c>
      <c r="G44" s="339">
        <v>242830</v>
      </c>
      <c r="H44" s="339">
        <v>242830</v>
      </c>
      <c r="I44" s="353"/>
      <c r="J44" s="354" t="str">
        <f t="shared" si="1"/>
        <v>0104</v>
      </c>
      <c r="K44" s="355" t="str">
        <f t="shared" si="2"/>
        <v>7110076630</v>
      </c>
    </row>
    <row r="45" spans="1:11">
      <c r="A45" s="90" t="str">
        <f t="shared" si="0"/>
        <v>60101047110076930244</v>
      </c>
      <c r="B45" s="325">
        <v>601</v>
      </c>
      <c r="C45" s="324">
        <v>104</v>
      </c>
      <c r="D45" s="323" t="s">
        <v>1269</v>
      </c>
      <c r="E45" s="322" t="s">
        <v>1043</v>
      </c>
      <c r="F45" s="339">
        <v>9000</v>
      </c>
      <c r="G45" s="339">
        <v>9000</v>
      </c>
      <c r="H45" s="339">
        <v>9000</v>
      </c>
      <c r="I45" s="353"/>
      <c r="J45" s="354" t="str">
        <f t="shared" si="1"/>
        <v>0104</v>
      </c>
      <c r="K45" s="355" t="str">
        <f t="shared" si="2"/>
        <v>7110076930</v>
      </c>
    </row>
    <row r="46" spans="1:11">
      <c r="A46" s="90" t="str">
        <f t="shared" si="0"/>
        <v>60101059810051200244</v>
      </c>
      <c r="B46" s="325">
        <v>601</v>
      </c>
      <c r="C46" s="324">
        <v>105</v>
      </c>
      <c r="D46" s="323" t="s">
        <v>1270</v>
      </c>
      <c r="E46" s="322" t="s">
        <v>1043</v>
      </c>
      <c r="F46" s="339">
        <v>136800</v>
      </c>
      <c r="G46" s="339">
        <v>136800</v>
      </c>
      <c r="H46" s="339">
        <v>136800</v>
      </c>
      <c r="I46" s="353"/>
      <c r="J46" s="354" t="str">
        <f t="shared" si="1"/>
        <v>0105</v>
      </c>
      <c r="K46" s="355" t="str">
        <f t="shared" si="2"/>
        <v>9810051200</v>
      </c>
    </row>
    <row r="47" spans="1:11">
      <c r="A47" s="90" t="str">
        <f t="shared" si="0"/>
        <v>60101131220320040853</v>
      </c>
      <c r="B47" s="325">
        <v>601</v>
      </c>
      <c r="C47" s="324">
        <v>113</v>
      </c>
      <c r="D47" s="323" t="s">
        <v>1271</v>
      </c>
      <c r="E47" s="322" t="s">
        <v>1066</v>
      </c>
      <c r="F47" s="339">
        <v>1405000</v>
      </c>
      <c r="G47" s="339">
        <v>1185500</v>
      </c>
      <c r="H47" s="339">
        <v>1185500</v>
      </c>
      <c r="I47" s="353"/>
      <c r="J47" s="354" t="str">
        <f t="shared" si="1"/>
        <v>0113</v>
      </c>
      <c r="K47" s="355" t="str">
        <f t="shared" si="2"/>
        <v>1220320040</v>
      </c>
    </row>
    <row r="48" spans="1:11">
      <c r="A48" s="90" t="str">
        <f t="shared" si="0"/>
        <v>60101131220320090244</v>
      </c>
      <c r="B48" s="325">
        <v>601</v>
      </c>
      <c r="C48" s="324">
        <v>113</v>
      </c>
      <c r="D48" s="323" t="s">
        <v>1272</v>
      </c>
      <c r="E48" s="322" t="s">
        <v>1043</v>
      </c>
      <c r="F48" s="339">
        <v>790000</v>
      </c>
      <c r="G48" s="339">
        <v>790000</v>
      </c>
      <c r="H48" s="339">
        <v>790000</v>
      </c>
      <c r="I48" s="353"/>
      <c r="J48" s="354" t="str">
        <f t="shared" si="1"/>
        <v>0113</v>
      </c>
      <c r="K48" s="355" t="str">
        <f t="shared" si="2"/>
        <v>1220320090</v>
      </c>
    </row>
    <row r="49" spans="1:11">
      <c r="A49" s="90" t="str">
        <f t="shared" si="0"/>
        <v>60101131320120620244</v>
      </c>
      <c r="B49" s="325">
        <v>601</v>
      </c>
      <c r="C49" s="324">
        <v>113</v>
      </c>
      <c r="D49" s="323" t="s">
        <v>1273</v>
      </c>
      <c r="E49" s="322" t="s">
        <v>1043</v>
      </c>
      <c r="F49" s="339">
        <v>145000</v>
      </c>
      <c r="G49" s="339">
        <v>100000</v>
      </c>
      <c r="H49" s="339">
        <v>100000</v>
      </c>
      <c r="I49" s="353"/>
      <c r="J49" s="354" t="str">
        <f t="shared" si="1"/>
        <v>0113</v>
      </c>
      <c r="K49" s="355" t="str">
        <f t="shared" si="2"/>
        <v>1320120620</v>
      </c>
    </row>
    <row r="50" spans="1:11">
      <c r="A50" s="90" t="str">
        <f t="shared" si="0"/>
        <v>60101131410120630244</v>
      </c>
      <c r="B50" s="325">
        <v>601</v>
      </c>
      <c r="C50" s="324">
        <v>113</v>
      </c>
      <c r="D50" s="323" t="s">
        <v>1274</v>
      </c>
      <c r="E50" s="322" t="s">
        <v>1043</v>
      </c>
      <c r="F50" s="339">
        <v>9323170</v>
      </c>
      <c r="G50" s="339">
        <v>8250850</v>
      </c>
      <c r="H50" s="339">
        <v>8250850</v>
      </c>
      <c r="I50" s="353"/>
      <c r="J50" s="354" t="str">
        <f t="shared" si="1"/>
        <v>0113</v>
      </c>
      <c r="K50" s="355" t="str">
        <f t="shared" si="2"/>
        <v>1410120630</v>
      </c>
    </row>
    <row r="51" spans="1:11">
      <c r="A51" s="90" t="str">
        <f t="shared" si="0"/>
        <v>60101131410220630244</v>
      </c>
      <c r="B51" s="325">
        <v>601</v>
      </c>
      <c r="C51" s="324">
        <v>113</v>
      </c>
      <c r="D51" s="323" t="s">
        <v>1275</v>
      </c>
      <c r="E51" s="322" t="s">
        <v>1043</v>
      </c>
      <c r="F51" s="339">
        <v>2853370</v>
      </c>
      <c r="G51" s="339">
        <v>2568030</v>
      </c>
      <c r="H51" s="339">
        <v>2568030</v>
      </c>
      <c r="I51" s="353"/>
      <c r="J51" s="354" t="str">
        <f t="shared" si="1"/>
        <v>0113</v>
      </c>
      <c r="K51" s="355" t="str">
        <f t="shared" si="2"/>
        <v>1410220630</v>
      </c>
    </row>
    <row r="52" spans="1:11">
      <c r="A52" s="90" t="str">
        <f t="shared" si="0"/>
        <v>60101131420120710244</v>
      </c>
      <c r="B52" s="325">
        <v>601</v>
      </c>
      <c r="C52" s="324">
        <v>113</v>
      </c>
      <c r="D52" s="323" t="s">
        <v>1276</v>
      </c>
      <c r="E52" s="322" t="s">
        <v>1043</v>
      </c>
      <c r="F52" s="339">
        <v>450000</v>
      </c>
      <c r="G52" s="339">
        <v>450000</v>
      </c>
      <c r="H52" s="339">
        <v>450000</v>
      </c>
      <c r="I52" s="353"/>
      <c r="J52" s="354" t="str">
        <f t="shared" si="1"/>
        <v>0113</v>
      </c>
      <c r="K52" s="355" t="str">
        <f t="shared" si="2"/>
        <v>1420120710</v>
      </c>
    </row>
    <row r="53" spans="1:11">
      <c r="A53" s="90" t="str">
        <f t="shared" si="0"/>
        <v>60101131420220710244</v>
      </c>
      <c r="B53" s="325">
        <v>601</v>
      </c>
      <c r="C53" s="324">
        <v>113</v>
      </c>
      <c r="D53" s="323" t="s">
        <v>1277</v>
      </c>
      <c r="E53" s="322" t="s">
        <v>1043</v>
      </c>
      <c r="F53" s="339">
        <v>85000</v>
      </c>
      <c r="G53" s="339">
        <v>76500</v>
      </c>
      <c r="H53" s="339">
        <v>76500</v>
      </c>
      <c r="I53" s="353"/>
      <c r="J53" s="354" t="str">
        <f t="shared" si="1"/>
        <v>0113</v>
      </c>
      <c r="K53" s="355" t="str">
        <f t="shared" si="2"/>
        <v>1420220710</v>
      </c>
    </row>
    <row r="54" spans="1:11">
      <c r="A54" s="90" t="str">
        <f t="shared" si="0"/>
        <v>60101131420320710244</v>
      </c>
      <c r="B54" s="325">
        <v>601</v>
      </c>
      <c r="C54" s="324">
        <v>113</v>
      </c>
      <c r="D54" s="323" t="s">
        <v>1278</v>
      </c>
      <c r="E54" s="322" t="s">
        <v>1043</v>
      </c>
      <c r="F54" s="339">
        <v>85000</v>
      </c>
      <c r="G54" s="339">
        <v>76500</v>
      </c>
      <c r="H54" s="339">
        <v>76500</v>
      </c>
      <c r="I54" s="353"/>
      <c r="J54" s="354" t="str">
        <f t="shared" si="1"/>
        <v>0113</v>
      </c>
      <c r="K54" s="355" t="str">
        <f t="shared" si="2"/>
        <v>1420320710</v>
      </c>
    </row>
    <row r="55" spans="1:11">
      <c r="A55" s="90" t="str">
        <f t="shared" si="0"/>
        <v>60101131420411010111</v>
      </c>
      <c r="B55" s="325">
        <v>601</v>
      </c>
      <c r="C55" s="324">
        <v>113</v>
      </c>
      <c r="D55" s="323" t="s">
        <v>1279</v>
      </c>
      <c r="E55" s="322" t="s">
        <v>1056</v>
      </c>
      <c r="F55" s="339">
        <v>44638770</v>
      </c>
      <c r="G55" s="339">
        <v>44638770</v>
      </c>
      <c r="H55" s="339">
        <v>44638770</v>
      </c>
      <c r="I55" s="353"/>
      <c r="J55" s="354" t="str">
        <f t="shared" si="1"/>
        <v>0113</v>
      </c>
      <c r="K55" s="355" t="str">
        <f t="shared" si="2"/>
        <v>1420411010</v>
      </c>
    </row>
    <row r="56" spans="1:11">
      <c r="A56" s="90" t="str">
        <f t="shared" si="0"/>
        <v>60101131420411010112</v>
      </c>
      <c r="B56" s="325">
        <v>601</v>
      </c>
      <c r="C56" s="324">
        <v>113</v>
      </c>
      <c r="D56" s="323" t="s">
        <v>1279</v>
      </c>
      <c r="E56" s="322" t="s">
        <v>1069</v>
      </c>
      <c r="F56" s="339">
        <v>14800</v>
      </c>
      <c r="G56" s="339">
        <v>14800</v>
      </c>
      <c r="H56" s="339">
        <v>14800</v>
      </c>
      <c r="I56" s="353"/>
      <c r="J56" s="354" t="str">
        <f t="shared" si="1"/>
        <v>0113</v>
      </c>
      <c r="K56" s="355" t="str">
        <f t="shared" si="2"/>
        <v>1420411010</v>
      </c>
    </row>
    <row r="57" spans="1:11">
      <c r="A57" s="90" t="str">
        <f t="shared" si="0"/>
        <v>60101131420411010119</v>
      </c>
      <c r="B57" s="325">
        <v>601</v>
      </c>
      <c r="C57" s="324">
        <v>113</v>
      </c>
      <c r="D57" s="323" t="s">
        <v>1279</v>
      </c>
      <c r="E57" s="322" t="s">
        <v>1057</v>
      </c>
      <c r="F57" s="339">
        <v>13480910</v>
      </c>
      <c r="G57" s="339">
        <v>13480910</v>
      </c>
      <c r="H57" s="339">
        <v>13480910</v>
      </c>
      <c r="I57" s="353"/>
      <c r="J57" s="354" t="str">
        <f t="shared" si="1"/>
        <v>0113</v>
      </c>
      <c r="K57" s="355" t="str">
        <f t="shared" si="2"/>
        <v>1420411010</v>
      </c>
    </row>
    <row r="58" spans="1:11">
      <c r="A58" s="90" t="str">
        <f t="shared" si="0"/>
        <v>60101131420411010244</v>
      </c>
      <c r="B58" s="325">
        <v>601</v>
      </c>
      <c r="C58" s="324">
        <v>113</v>
      </c>
      <c r="D58" s="323" t="s">
        <v>1279</v>
      </c>
      <c r="E58" s="322" t="s">
        <v>1043</v>
      </c>
      <c r="F58" s="339">
        <v>19891080</v>
      </c>
      <c r="G58" s="339">
        <v>7279920</v>
      </c>
      <c r="H58" s="339">
        <v>7279920</v>
      </c>
      <c r="I58" s="353"/>
      <c r="J58" s="354" t="str">
        <f t="shared" si="1"/>
        <v>0113</v>
      </c>
      <c r="K58" s="355" t="str">
        <f t="shared" si="2"/>
        <v>1420411010</v>
      </c>
    </row>
    <row r="59" spans="1:11">
      <c r="A59" s="90" t="str">
        <f t="shared" si="0"/>
        <v>60101131420411010851</v>
      </c>
      <c r="B59" s="325">
        <v>601</v>
      </c>
      <c r="C59" s="324">
        <v>113</v>
      </c>
      <c r="D59" s="323" t="s">
        <v>1279</v>
      </c>
      <c r="E59" s="322" t="s">
        <v>1061</v>
      </c>
      <c r="F59" s="339">
        <v>1283590</v>
      </c>
      <c r="G59" s="339">
        <v>1283590</v>
      </c>
      <c r="H59" s="339">
        <v>1283590</v>
      </c>
      <c r="I59" s="353"/>
      <c r="J59" s="354" t="str">
        <f t="shared" si="1"/>
        <v>0113</v>
      </c>
      <c r="K59" s="355" t="str">
        <f t="shared" si="2"/>
        <v>1420411010</v>
      </c>
    </row>
    <row r="60" spans="1:11">
      <c r="A60" s="90" t="str">
        <f t="shared" si="0"/>
        <v>60101131420411010852</v>
      </c>
      <c r="B60" s="325">
        <v>601</v>
      </c>
      <c r="C60" s="324">
        <v>113</v>
      </c>
      <c r="D60" s="323" t="s">
        <v>1279</v>
      </c>
      <c r="E60" s="322" t="s">
        <v>1062</v>
      </c>
      <c r="F60" s="339">
        <v>5724</v>
      </c>
      <c r="G60" s="339">
        <v>13840</v>
      </c>
      <c r="H60" s="339">
        <v>13840</v>
      </c>
      <c r="I60" s="353"/>
      <c r="J60" s="354" t="str">
        <f t="shared" si="1"/>
        <v>0113</v>
      </c>
      <c r="K60" s="355" t="str">
        <f t="shared" si="2"/>
        <v>1420411010</v>
      </c>
    </row>
    <row r="61" spans="1:11">
      <c r="A61" s="90" t="str">
        <f t="shared" si="0"/>
        <v>60101131420411010853</v>
      </c>
      <c r="B61" s="325">
        <v>601</v>
      </c>
      <c r="C61" s="324">
        <v>113</v>
      </c>
      <c r="D61" s="323" t="s">
        <v>1279</v>
      </c>
      <c r="E61" s="322" t="s">
        <v>1066</v>
      </c>
      <c r="F61" s="339">
        <v>8116</v>
      </c>
      <c r="G61" s="339">
        <v>0</v>
      </c>
      <c r="H61" s="339">
        <v>0</v>
      </c>
      <c r="I61" s="353"/>
      <c r="J61" s="354" t="str">
        <f t="shared" si="1"/>
        <v>0113</v>
      </c>
      <c r="K61" s="355" t="str">
        <f t="shared" si="2"/>
        <v>1420411010</v>
      </c>
    </row>
    <row r="62" spans="1:11">
      <c r="A62" s="90" t="str">
        <f t="shared" si="0"/>
        <v>60101131510120350244</v>
      </c>
      <c r="B62" s="325">
        <v>601</v>
      </c>
      <c r="C62" s="324">
        <v>113</v>
      </c>
      <c r="D62" s="323" t="s">
        <v>1280</v>
      </c>
      <c r="E62" s="322" t="s">
        <v>1043</v>
      </c>
      <c r="F62" s="339">
        <v>357000</v>
      </c>
      <c r="G62" s="339">
        <v>321300</v>
      </c>
      <c r="H62" s="339">
        <v>321300</v>
      </c>
      <c r="I62" s="353"/>
      <c r="J62" s="354" t="str">
        <f t="shared" si="1"/>
        <v>0113</v>
      </c>
      <c r="K62" s="355" t="str">
        <f t="shared" si="2"/>
        <v>1510120350</v>
      </c>
    </row>
    <row r="63" spans="1:11">
      <c r="A63" s="90" t="str">
        <f t="shared" si="0"/>
        <v>60101131510220350244</v>
      </c>
      <c r="B63" s="325">
        <v>601</v>
      </c>
      <c r="C63" s="324">
        <v>113</v>
      </c>
      <c r="D63" s="323" t="s">
        <v>1281</v>
      </c>
      <c r="E63" s="322" t="s">
        <v>1043</v>
      </c>
      <c r="F63" s="339">
        <v>17000</v>
      </c>
      <c r="G63" s="339">
        <v>15300</v>
      </c>
      <c r="H63" s="339">
        <v>15300</v>
      </c>
      <c r="I63" s="353"/>
      <c r="J63" s="354" t="str">
        <f t="shared" si="1"/>
        <v>0113</v>
      </c>
      <c r="K63" s="355" t="str">
        <f t="shared" si="2"/>
        <v>1510220350</v>
      </c>
    </row>
    <row r="64" spans="1:11">
      <c r="A64" s="90" t="str">
        <f t="shared" si="0"/>
        <v>60101131520120370244</v>
      </c>
      <c r="B64" s="325">
        <v>601</v>
      </c>
      <c r="C64" s="324">
        <v>113</v>
      </c>
      <c r="D64" s="323" t="s">
        <v>1282</v>
      </c>
      <c r="E64" s="322" t="s">
        <v>1043</v>
      </c>
      <c r="F64" s="339">
        <v>83300</v>
      </c>
      <c r="G64" s="339">
        <v>74970</v>
      </c>
      <c r="H64" s="339">
        <v>74970</v>
      </c>
      <c r="I64" s="353"/>
      <c r="J64" s="354" t="str">
        <f t="shared" si="1"/>
        <v>0113</v>
      </c>
      <c r="K64" s="355" t="str">
        <f t="shared" si="2"/>
        <v>1520120370</v>
      </c>
    </row>
    <row r="65" spans="1:11">
      <c r="A65" s="90" t="str">
        <f t="shared" si="0"/>
        <v>60101131520220370244</v>
      </c>
      <c r="B65" s="325">
        <v>601</v>
      </c>
      <c r="C65" s="324">
        <v>113</v>
      </c>
      <c r="D65" s="323" t="s">
        <v>1283</v>
      </c>
      <c r="E65" s="322" t="s">
        <v>1043</v>
      </c>
      <c r="F65" s="339">
        <v>105000</v>
      </c>
      <c r="G65" s="339">
        <v>94500</v>
      </c>
      <c r="H65" s="339">
        <v>94500</v>
      </c>
      <c r="I65" s="353"/>
      <c r="J65" s="354" t="str">
        <f t="shared" si="1"/>
        <v>0113</v>
      </c>
      <c r="K65" s="355" t="str">
        <f t="shared" si="2"/>
        <v>1520220370</v>
      </c>
    </row>
    <row r="66" spans="1:11">
      <c r="A66" s="90" t="str">
        <f t="shared" si="0"/>
        <v>60101131520220370360</v>
      </c>
      <c r="B66" s="325">
        <v>601</v>
      </c>
      <c r="C66" s="324">
        <v>113</v>
      </c>
      <c r="D66" s="323" t="s">
        <v>1283</v>
      </c>
      <c r="E66" s="322" t="s">
        <v>100</v>
      </c>
      <c r="F66" s="339">
        <v>70000</v>
      </c>
      <c r="G66" s="339">
        <v>63000</v>
      </c>
      <c r="H66" s="339">
        <v>63000</v>
      </c>
      <c r="I66" s="353"/>
      <c r="J66" s="354" t="str">
        <f t="shared" si="1"/>
        <v>0113</v>
      </c>
      <c r="K66" s="355" t="str">
        <f t="shared" si="2"/>
        <v>1520220370</v>
      </c>
    </row>
    <row r="67" spans="1:11">
      <c r="A67" s="90" t="str">
        <f t="shared" si="0"/>
        <v>60101131520320370244</v>
      </c>
      <c r="B67" s="325">
        <v>601</v>
      </c>
      <c r="C67" s="324">
        <v>113</v>
      </c>
      <c r="D67" s="323" t="s">
        <v>1284</v>
      </c>
      <c r="E67" s="322" t="s">
        <v>1043</v>
      </c>
      <c r="F67" s="339">
        <v>140000</v>
      </c>
      <c r="G67" s="339">
        <v>121800</v>
      </c>
      <c r="H67" s="339">
        <v>121800</v>
      </c>
      <c r="I67" s="353"/>
      <c r="J67" s="354" t="str">
        <f t="shared" si="1"/>
        <v>0113</v>
      </c>
      <c r="K67" s="355" t="str">
        <f t="shared" si="2"/>
        <v>1520320370</v>
      </c>
    </row>
    <row r="68" spans="1:11">
      <c r="A68" s="90" t="str">
        <f t="shared" si="0"/>
        <v>60101131520320370360</v>
      </c>
      <c r="B68" s="325">
        <v>601</v>
      </c>
      <c r="C68" s="324">
        <v>113</v>
      </c>
      <c r="D68" s="323" t="s">
        <v>1284</v>
      </c>
      <c r="E68" s="322" t="s">
        <v>100</v>
      </c>
      <c r="F68" s="339">
        <v>62000</v>
      </c>
      <c r="G68" s="339">
        <v>60000</v>
      </c>
      <c r="H68" s="339">
        <v>60000</v>
      </c>
      <c r="I68" s="353"/>
      <c r="J68" s="354" t="str">
        <f t="shared" si="1"/>
        <v>0113</v>
      </c>
      <c r="K68" s="355" t="str">
        <f t="shared" si="2"/>
        <v>1520320370</v>
      </c>
    </row>
    <row r="69" spans="1:11">
      <c r="A69" s="90" t="str">
        <f t="shared" si="0"/>
        <v>60101131530320100360</v>
      </c>
      <c r="B69" s="325">
        <v>601</v>
      </c>
      <c r="C69" s="324">
        <v>113</v>
      </c>
      <c r="D69" s="323" t="s">
        <v>1285</v>
      </c>
      <c r="E69" s="322" t="s">
        <v>100</v>
      </c>
      <c r="F69" s="339">
        <v>278800</v>
      </c>
      <c r="G69" s="339">
        <v>250920</v>
      </c>
      <c r="H69" s="339">
        <v>250920</v>
      </c>
      <c r="I69" s="353"/>
      <c r="J69" s="354" t="str">
        <f t="shared" si="1"/>
        <v>0113</v>
      </c>
      <c r="K69" s="355" t="str">
        <f t="shared" si="2"/>
        <v>1530320100</v>
      </c>
    </row>
    <row r="70" spans="1:11">
      <c r="A70" s="90" t="str">
        <f t="shared" si="0"/>
        <v>601011318Б0160080631</v>
      </c>
      <c r="B70" s="325">
        <v>601</v>
      </c>
      <c r="C70" s="324">
        <v>113</v>
      </c>
      <c r="D70" s="323" t="s">
        <v>1184</v>
      </c>
      <c r="E70" s="322" t="s">
        <v>1072</v>
      </c>
      <c r="F70" s="339">
        <v>2292500</v>
      </c>
      <c r="G70" s="339">
        <v>2292500</v>
      </c>
      <c r="H70" s="339">
        <v>2292500</v>
      </c>
      <c r="I70" s="353"/>
      <c r="J70" s="354" t="str">
        <f t="shared" si="1"/>
        <v>0113</v>
      </c>
      <c r="K70" s="355" t="str">
        <f t="shared" si="2"/>
        <v>18Б0160080</v>
      </c>
    </row>
    <row r="71" spans="1:11">
      <c r="A71" s="90" t="str">
        <f t="shared" si="0"/>
        <v>60101137110011010111</v>
      </c>
      <c r="B71" s="325">
        <v>601</v>
      </c>
      <c r="C71" s="324">
        <v>113</v>
      </c>
      <c r="D71" s="323" t="s">
        <v>1286</v>
      </c>
      <c r="E71" s="322" t="s">
        <v>1056</v>
      </c>
      <c r="F71" s="339">
        <v>9739070</v>
      </c>
      <c r="G71" s="339">
        <v>9739070</v>
      </c>
      <c r="H71" s="339">
        <v>9739070</v>
      </c>
      <c r="I71" s="353"/>
      <c r="J71" s="354" t="str">
        <f t="shared" si="1"/>
        <v>0113</v>
      </c>
      <c r="K71" s="355" t="str">
        <f t="shared" si="2"/>
        <v>7110011010</v>
      </c>
    </row>
    <row r="72" spans="1:11">
      <c r="A72" s="90" t="str">
        <f t="shared" si="0"/>
        <v>60101137110011010112</v>
      </c>
      <c r="B72" s="325">
        <v>601</v>
      </c>
      <c r="C72" s="324">
        <v>113</v>
      </c>
      <c r="D72" s="323" t="s">
        <v>1286</v>
      </c>
      <c r="E72" s="322" t="s">
        <v>1069</v>
      </c>
      <c r="F72" s="339">
        <v>55000</v>
      </c>
      <c r="G72" s="339">
        <v>55000</v>
      </c>
      <c r="H72" s="339">
        <v>55000</v>
      </c>
      <c r="I72" s="353"/>
      <c r="J72" s="354" t="str">
        <f t="shared" si="1"/>
        <v>0113</v>
      </c>
      <c r="K72" s="355" t="str">
        <f t="shared" si="2"/>
        <v>7110011010</v>
      </c>
    </row>
    <row r="73" spans="1:11">
      <c r="A73" s="90" t="str">
        <f t="shared" si="0"/>
        <v>60101137110011010119</v>
      </c>
      <c r="B73" s="325">
        <v>601</v>
      </c>
      <c r="C73" s="324">
        <v>113</v>
      </c>
      <c r="D73" s="323" t="s">
        <v>1286</v>
      </c>
      <c r="E73" s="322" t="s">
        <v>1057</v>
      </c>
      <c r="F73" s="339">
        <v>2867890</v>
      </c>
      <c r="G73" s="339">
        <v>2867890</v>
      </c>
      <c r="H73" s="339">
        <v>2867890</v>
      </c>
      <c r="I73" s="353"/>
      <c r="J73" s="354" t="str">
        <f t="shared" si="1"/>
        <v>0113</v>
      </c>
      <c r="K73" s="355" t="str">
        <f t="shared" si="2"/>
        <v>7110011010</v>
      </c>
    </row>
    <row r="74" spans="1:11">
      <c r="A74" s="90" t="str">
        <f t="shared" ref="A74:A137" si="3">CONCATENATE(B74,J74,K74,E74)</f>
        <v>60101137110011010244</v>
      </c>
      <c r="B74" s="325">
        <v>601</v>
      </c>
      <c r="C74" s="324">
        <v>113</v>
      </c>
      <c r="D74" s="323" t="s">
        <v>1286</v>
      </c>
      <c r="E74" s="322" t="s">
        <v>1043</v>
      </c>
      <c r="F74" s="339">
        <v>21043255.969999999</v>
      </c>
      <c r="G74" s="339">
        <v>19082020</v>
      </c>
      <c r="H74" s="339">
        <v>19082020</v>
      </c>
      <c r="I74" s="353"/>
      <c r="J74" s="354" t="str">
        <f t="shared" si="1"/>
        <v>0113</v>
      </c>
      <c r="K74" s="355" t="str">
        <f t="shared" si="2"/>
        <v>7110011010</v>
      </c>
    </row>
    <row r="75" spans="1:11">
      <c r="A75" s="90" t="str">
        <f t="shared" si="3"/>
        <v>60101137110011010851</v>
      </c>
      <c r="B75" s="325">
        <v>601</v>
      </c>
      <c r="C75" s="324">
        <v>113</v>
      </c>
      <c r="D75" s="323" t="s">
        <v>1286</v>
      </c>
      <c r="E75" s="322" t="s">
        <v>1061</v>
      </c>
      <c r="F75" s="339">
        <v>200000</v>
      </c>
      <c r="G75" s="339">
        <v>200000</v>
      </c>
      <c r="H75" s="339">
        <v>200000</v>
      </c>
      <c r="I75" s="353"/>
      <c r="J75" s="354" t="str">
        <f t="shared" ref="J75:J138" si="4">TEXT(C75,"0000")</f>
        <v>0113</v>
      </c>
      <c r="K75" s="355" t="str">
        <f t="shared" ref="K75:K138" si="5">TEXT(D75,"0000000000")</f>
        <v>7110011010</v>
      </c>
    </row>
    <row r="76" spans="1:11">
      <c r="A76" s="90" t="str">
        <f t="shared" si="3"/>
        <v>60101137110011010852</v>
      </c>
      <c r="B76" s="325">
        <v>601</v>
      </c>
      <c r="C76" s="324">
        <v>113</v>
      </c>
      <c r="D76" s="323" t="s">
        <v>1286</v>
      </c>
      <c r="E76" s="322" t="s">
        <v>1062</v>
      </c>
      <c r="F76" s="339">
        <v>192530</v>
      </c>
      <c r="G76" s="339">
        <v>192530</v>
      </c>
      <c r="H76" s="339">
        <v>192530</v>
      </c>
      <c r="I76" s="353"/>
      <c r="J76" s="354" t="str">
        <f t="shared" si="4"/>
        <v>0113</v>
      </c>
      <c r="K76" s="355" t="str">
        <f t="shared" si="5"/>
        <v>7110011010</v>
      </c>
    </row>
    <row r="77" spans="1:11">
      <c r="A77" s="90" t="str">
        <f t="shared" si="3"/>
        <v>60101137110011010853</v>
      </c>
      <c r="B77" s="325">
        <v>601</v>
      </c>
      <c r="C77" s="324">
        <v>113</v>
      </c>
      <c r="D77" s="323" t="s">
        <v>1286</v>
      </c>
      <c r="E77" s="322" t="s">
        <v>1066</v>
      </c>
      <c r="F77" s="339">
        <v>2000</v>
      </c>
      <c r="G77" s="339">
        <v>2000</v>
      </c>
      <c r="H77" s="339">
        <v>2000</v>
      </c>
      <c r="I77" s="353"/>
      <c r="J77" s="354" t="str">
        <f t="shared" si="4"/>
        <v>0113</v>
      </c>
      <c r="K77" s="355" t="str">
        <f t="shared" si="5"/>
        <v>7110011010</v>
      </c>
    </row>
    <row r="78" spans="1:11">
      <c r="A78" s="90" t="str">
        <f t="shared" si="3"/>
        <v>60101137110020050831</v>
      </c>
      <c r="B78" s="325">
        <v>601</v>
      </c>
      <c r="C78" s="324">
        <v>113</v>
      </c>
      <c r="D78" s="323" t="s">
        <v>1287</v>
      </c>
      <c r="E78" s="322" t="s">
        <v>1045</v>
      </c>
      <c r="F78" s="339">
        <v>53150</v>
      </c>
      <c r="G78" s="339">
        <v>0</v>
      </c>
      <c r="H78" s="339">
        <v>0</v>
      </c>
      <c r="I78" s="353"/>
      <c r="J78" s="354" t="str">
        <f t="shared" si="4"/>
        <v>0113</v>
      </c>
      <c r="K78" s="355" t="str">
        <f t="shared" si="5"/>
        <v>7110020050</v>
      </c>
    </row>
    <row r="79" spans="1:11">
      <c r="A79" s="90" t="str">
        <f t="shared" si="3"/>
        <v>60101139810076610121</v>
      </c>
      <c r="B79" s="325">
        <v>601</v>
      </c>
      <c r="C79" s="324">
        <v>113</v>
      </c>
      <c r="D79" s="323" t="s">
        <v>1288</v>
      </c>
      <c r="E79" s="322" t="s">
        <v>1063</v>
      </c>
      <c r="F79" s="339">
        <v>7750057</v>
      </c>
      <c r="G79" s="339">
        <v>5687160</v>
      </c>
      <c r="H79" s="339">
        <v>5687160</v>
      </c>
      <c r="I79" s="353"/>
      <c r="J79" s="354" t="str">
        <f t="shared" si="4"/>
        <v>0113</v>
      </c>
      <c r="K79" s="355" t="str">
        <f t="shared" si="5"/>
        <v>9810076610</v>
      </c>
    </row>
    <row r="80" spans="1:11">
      <c r="A80" s="90" t="str">
        <f t="shared" si="3"/>
        <v>60101139810076610129</v>
      </c>
      <c r="B80" s="325">
        <v>601</v>
      </c>
      <c r="C80" s="324">
        <v>113</v>
      </c>
      <c r="D80" s="323" t="s">
        <v>1288</v>
      </c>
      <c r="E80" s="322" t="s">
        <v>1060</v>
      </c>
      <c r="F80" s="339">
        <v>2340523</v>
      </c>
      <c r="G80" s="339">
        <v>1717530</v>
      </c>
      <c r="H80" s="339">
        <v>1717530</v>
      </c>
      <c r="I80" s="353"/>
      <c r="J80" s="354" t="str">
        <f t="shared" si="4"/>
        <v>0113</v>
      </c>
      <c r="K80" s="355" t="str">
        <f t="shared" si="5"/>
        <v>9810076610</v>
      </c>
    </row>
    <row r="81" spans="1:11">
      <c r="A81" s="90" t="str">
        <f t="shared" si="3"/>
        <v>60104121210160130811</v>
      </c>
      <c r="B81" s="325">
        <v>601</v>
      </c>
      <c r="C81" s="324">
        <v>412</v>
      </c>
      <c r="D81" s="323" t="s">
        <v>1289</v>
      </c>
      <c r="E81" s="322" t="s">
        <v>1050</v>
      </c>
      <c r="F81" s="339">
        <v>2000000</v>
      </c>
      <c r="G81" s="339">
        <v>1710000</v>
      </c>
      <c r="H81" s="339">
        <v>2310000</v>
      </c>
      <c r="I81" s="353"/>
      <c r="J81" s="354" t="str">
        <f t="shared" si="4"/>
        <v>0412</v>
      </c>
      <c r="K81" s="355" t="str">
        <f t="shared" si="5"/>
        <v>1210160130</v>
      </c>
    </row>
    <row r="82" spans="1:11">
      <c r="A82" s="90" t="str">
        <f t="shared" si="3"/>
        <v>60104121210160130812</v>
      </c>
      <c r="B82" s="325">
        <v>601</v>
      </c>
      <c r="C82" s="324">
        <v>412</v>
      </c>
      <c r="D82" s="323" t="s">
        <v>1289</v>
      </c>
      <c r="E82" s="322" t="s">
        <v>1051</v>
      </c>
      <c r="F82" s="339">
        <v>3000000</v>
      </c>
      <c r="G82" s="339">
        <v>2700000</v>
      </c>
      <c r="H82" s="339">
        <v>2100000</v>
      </c>
      <c r="I82" s="353"/>
      <c r="J82" s="354" t="str">
        <f t="shared" si="4"/>
        <v>0412</v>
      </c>
      <c r="K82" s="355" t="str">
        <f t="shared" si="5"/>
        <v>1210160130</v>
      </c>
    </row>
    <row r="83" spans="1:11">
      <c r="A83" s="90" t="str">
        <f t="shared" si="3"/>
        <v>60104121210220480244</v>
      </c>
      <c r="B83" s="325">
        <v>601</v>
      </c>
      <c r="C83" s="324">
        <v>412</v>
      </c>
      <c r="D83" s="323" t="s">
        <v>1290</v>
      </c>
      <c r="E83" s="322" t="s">
        <v>1043</v>
      </c>
      <c r="F83" s="339">
        <v>1150000</v>
      </c>
      <c r="G83" s="339">
        <v>1150000</v>
      </c>
      <c r="H83" s="339">
        <v>1150000</v>
      </c>
      <c r="I83" s="353"/>
      <c r="J83" s="354" t="str">
        <f t="shared" si="4"/>
        <v>0412</v>
      </c>
      <c r="K83" s="355" t="str">
        <f t="shared" si="5"/>
        <v>1210220480</v>
      </c>
    </row>
    <row r="84" spans="1:11">
      <c r="A84" s="90" t="str">
        <f t="shared" si="3"/>
        <v>60104121210320480244</v>
      </c>
      <c r="B84" s="325">
        <v>601</v>
      </c>
      <c r="C84" s="324">
        <v>412</v>
      </c>
      <c r="D84" s="323" t="s">
        <v>1291</v>
      </c>
      <c r="E84" s="322" t="s">
        <v>1043</v>
      </c>
      <c r="F84" s="339">
        <v>450000</v>
      </c>
      <c r="G84" s="339">
        <v>407000</v>
      </c>
      <c r="H84" s="339">
        <v>407000</v>
      </c>
      <c r="I84" s="353"/>
      <c r="J84" s="354" t="str">
        <f t="shared" si="4"/>
        <v>0412</v>
      </c>
      <c r="K84" s="355" t="str">
        <f t="shared" si="5"/>
        <v>1210320480</v>
      </c>
    </row>
    <row r="85" spans="1:11">
      <c r="A85" s="90" t="str">
        <f t="shared" si="3"/>
        <v>60104121220120650244</v>
      </c>
      <c r="B85" s="325">
        <v>601</v>
      </c>
      <c r="C85" s="324">
        <v>412</v>
      </c>
      <c r="D85" s="323" t="s">
        <v>1292</v>
      </c>
      <c r="E85" s="322" t="s">
        <v>1043</v>
      </c>
      <c r="F85" s="339">
        <v>280000</v>
      </c>
      <c r="G85" s="339">
        <v>252000</v>
      </c>
      <c r="H85" s="339">
        <v>252000</v>
      </c>
      <c r="I85" s="353"/>
      <c r="J85" s="354" t="str">
        <f t="shared" si="4"/>
        <v>0412</v>
      </c>
      <c r="K85" s="355" t="str">
        <f t="shared" si="5"/>
        <v>1220120650</v>
      </c>
    </row>
    <row r="86" spans="1:11">
      <c r="A86" s="90" t="str">
        <f t="shared" si="3"/>
        <v>60104121220220640244</v>
      </c>
      <c r="B86" s="325">
        <v>601</v>
      </c>
      <c r="C86" s="324">
        <v>412</v>
      </c>
      <c r="D86" s="323" t="s">
        <v>1293</v>
      </c>
      <c r="E86" s="322" t="s">
        <v>1043</v>
      </c>
      <c r="F86" s="339">
        <v>395000</v>
      </c>
      <c r="G86" s="339">
        <v>328500</v>
      </c>
      <c r="H86" s="339">
        <v>328500</v>
      </c>
      <c r="I86" s="353"/>
      <c r="J86" s="354" t="str">
        <f t="shared" si="4"/>
        <v>0412</v>
      </c>
      <c r="K86" s="355" t="str">
        <f t="shared" si="5"/>
        <v>1220220640</v>
      </c>
    </row>
    <row r="87" spans="1:11">
      <c r="A87" s="90" t="str">
        <f t="shared" si="3"/>
        <v>60104121220220640880</v>
      </c>
      <c r="B87" s="325">
        <v>601</v>
      </c>
      <c r="C87" s="324">
        <v>412</v>
      </c>
      <c r="D87" s="323" t="s">
        <v>1293</v>
      </c>
      <c r="E87" s="322" t="s">
        <v>105</v>
      </c>
      <c r="F87" s="339">
        <v>100000</v>
      </c>
      <c r="G87" s="339">
        <v>0</v>
      </c>
      <c r="H87" s="339">
        <v>0</v>
      </c>
      <c r="I87" s="353"/>
      <c r="J87" s="354" t="str">
        <f t="shared" si="4"/>
        <v>0412</v>
      </c>
      <c r="K87" s="355" t="str">
        <f t="shared" si="5"/>
        <v>1220220640</v>
      </c>
    </row>
    <row r="88" spans="1:11">
      <c r="A88" s="90" t="str">
        <f t="shared" si="3"/>
        <v>60107051310120450244</v>
      </c>
      <c r="B88" s="325">
        <v>601</v>
      </c>
      <c r="C88" s="324">
        <v>705</v>
      </c>
      <c r="D88" s="323" t="s">
        <v>1294</v>
      </c>
      <c r="E88" s="322" t="s">
        <v>1043</v>
      </c>
      <c r="F88" s="339">
        <v>160000</v>
      </c>
      <c r="G88" s="339">
        <v>160000</v>
      </c>
      <c r="H88" s="339">
        <v>160000</v>
      </c>
      <c r="I88" s="353"/>
      <c r="J88" s="354" t="str">
        <f t="shared" si="4"/>
        <v>0705</v>
      </c>
      <c r="K88" s="355" t="str">
        <f t="shared" si="5"/>
        <v>1310120450</v>
      </c>
    </row>
    <row r="89" spans="1:11">
      <c r="A89" s="90" t="str">
        <f t="shared" si="3"/>
        <v>60108010710120060244</v>
      </c>
      <c r="B89" s="325">
        <v>601</v>
      </c>
      <c r="C89" s="324">
        <v>801</v>
      </c>
      <c r="D89" s="323" t="s">
        <v>1295</v>
      </c>
      <c r="E89" s="322" t="s">
        <v>1043</v>
      </c>
      <c r="F89" s="339">
        <v>2123000</v>
      </c>
      <c r="G89" s="339">
        <v>1911000</v>
      </c>
      <c r="H89" s="339">
        <v>1911000</v>
      </c>
      <c r="I89" s="353"/>
      <c r="J89" s="354" t="str">
        <f t="shared" si="4"/>
        <v>0801</v>
      </c>
      <c r="K89" s="355" t="str">
        <f t="shared" si="5"/>
        <v>0710120060</v>
      </c>
    </row>
    <row r="90" spans="1:11">
      <c r="A90" s="90" t="str">
        <f t="shared" si="3"/>
        <v>60112011410398710244</v>
      </c>
      <c r="B90" s="325">
        <v>601</v>
      </c>
      <c r="C90" s="324">
        <v>1201</v>
      </c>
      <c r="D90" s="323" t="s">
        <v>1296</v>
      </c>
      <c r="E90" s="322" t="s">
        <v>1043</v>
      </c>
      <c r="F90" s="339">
        <v>5900500</v>
      </c>
      <c r="G90" s="339">
        <v>5900500</v>
      </c>
      <c r="H90" s="339">
        <v>5900500</v>
      </c>
      <c r="I90" s="353"/>
      <c r="J90" s="354" t="str">
        <f t="shared" si="4"/>
        <v>1201</v>
      </c>
      <c r="K90" s="355" t="str">
        <f t="shared" si="5"/>
        <v>1410398710</v>
      </c>
    </row>
    <row r="91" spans="1:11">
      <c r="A91" s="90" t="str">
        <f t="shared" si="3"/>
        <v>60112021410398710244</v>
      </c>
      <c r="B91" s="325">
        <v>601</v>
      </c>
      <c r="C91" s="324">
        <v>1202</v>
      </c>
      <c r="D91" s="323" t="s">
        <v>1296</v>
      </c>
      <c r="E91" s="322" t="s">
        <v>1043</v>
      </c>
      <c r="F91" s="339">
        <v>1190000</v>
      </c>
      <c r="G91" s="339">
        <v>1190000</v>
      </c>
      <c r="H91" s="339">
        <v>1190000</v>
      </c>
      <c r="I91" s="353"/>
      <c r="J91" s="354" t="str">
        <f t="shared" si="4"/>
        <v>1202</v>
      </c>
      <c r="K91" s="355" t="str">
        <f t="shared" si="5"/>
        <v>1410398710</v>
      </c>
    </row>
    <row r="92" spans="1:11">
      <c r="A92" s="90" t="str">
        <f t="shared" si="3"/>
        <v>60112021410498720811</v>
      </c>
      <c r="B92" s="325">
        <v>601</v>
      </c>
      <c r="C92" s="324">
        <v>1202</v>
      </c>
      <c r="D92" s="323" t="s">
        <v>1297</v>
      </c>
      <c r="E92" s="322" t="s">
        <v>1050</v>
      </c>
      <c r="F92" s="339">
        <v>13367000</v>
      </c>
      <c r="G92" s="339">
        <v>13367000</v>
      </c>
      <c r="H92" s="339">
        <v>13367000</v>
      </c>
      <c r="I92" s="353"/>
      <c r="J92" s="354" t="str">
        <f t="shared" si="4"/>
        <v>1202</v>
      </c>
      <c r="K92" s="355" t="str">
        <f t="shared" si="5"/>
        <v>1410498720</v>
      </c>
    </row>
    <row r="93" spans="1:11">
      <c r="A93" s="90" t="str">
        <f t="shared" si="3"/>
        <v>602011311Б0120030244</v>
      </c>
      <c r="B93" s="325">
        <v>602</v>
      </c>
      <c r="C93" s="324">
        <v>113</v>
      </c>
      <c r="D93" s="323" t="s">
        <v>1187</v>
      </c>
      <c r="E93" s="322" t="s">
        <v>1043</v>
      </c>
      <c r="F93" s="339">
        <v>1350000</v>
      </c>
      <c r="G93" s="339">
        <v>1250000</v>
      </c>
      <c r="H93" s="339">
        <v>1250000</v>
      </c>
      <c r="I93" s="353"/>
      <c r="J93" s="354" t="str">
        <f t="shared" si="4"/>
        <v>0113</v>
      </c>
      <c r="K93" s="355" t="str">
        <f t="shared" si="5"/>
        <v>11Б0120030</v>
      </c>
    </row>
    <row r="94" spans="1:11">
      <c r="A94" s="90" t="str">
        <f t="shared" si="3"/>
        <v>602011311Б0120030852</v>
      </c>
      <c r="B94" s="325">
        <v>602</v>
      </c>
      <c r="C94" s="324">
        <v>113</v>
      </c>
      <c r="D94" s="323" t="s">
        <v>1187</v>
      </c>
      <c r="E94" s="322" t="s">
        <v>1062</v>
      </c>
      <c r="F94" s="339">
        <v>13000</v>
      </c>
      <c r="G94" s="339">
        <v>11000</v>
      </c>
      <c r="H94" s="339">
        <v>11000</v>
      </c>
      <c r="I94" s="353"/>
      <c r="J94" s="354" t="str">
        <f t="shared" si="4"/>
        <v>0113</v>
      </c>
      <c r="K94" s="355" t="str">
        <f t="shared" si="5"/>
        <v>11Б0120030</v>
      </c>
    </row>
    <row r="95" spans="1:11">
      <c r="A95" s="90" t="str">
        <f t="shared" si="3"/>
        <v>602011311Б0120070244</v>
      </c>
      <c r="B95" s="325">
        <v>602</v>
      </c>
      <c r="C95" s="324">
        <v>113</v>
      </c>
      <c r="D95" s="323" t="s">
        <v>1188</v>
      </c>
      <c r="E95" s="322" t="s">
        <v>1043</v>
      </c>
      <c r="F95" s="339">
        <v>1729980</v>
      </c>
      <c r="G95" s="339">
        <v>1703920</v>
      </c>
      <c r="H95" s="339">
        <v>1703920</v>
      </c>
      <c r="I95" s="353"/>
      <c r="J95" s="354" t="str">
        <f t="shared" si="4"/>
        <v>0113</v>
      </c>
      <c r="K95" s="355" t="str">
        <f t="shared" si="5"/>
        <v>11Б0120070</v>
      </c>
    </row>
    <row r="96" spans="1:11">
      <c r="A96" s="90" t="str">
        <f t="shared" si="3"/>
        <v>602011311Б0121120244</v>
      </c>
      <c r="B96" s="325">
        <v>602</v>
      </c>
      <c r="C96" s="324">
        <v>113</v>
      </c>
      <c r="D96" s="323" t="s">
        <v>1189</v>
      </c>
      <c r="E96" s="322" t="s">
        <v>1043</v>
      </c>
      <c r="F96" s="339">
        <v>1757630</v>
      </c>
      <c r="G96" s="339">
        <v>1757630</v>
      </c>
      <c r="H96" s="339">
        <v>1757630</v>
      </c>
      <c r="I96" s="353"/>
      <c r="J96" s="354" t="str">
        <f t="shared" si="4"/>
        <v>0113</v>
      </c>
      <c r="K96" s="355" t="str">
        <f t="shared" si="5"/>
        <v>11Б0121120</v>
      </c>
    </row>
    <row r="97" spans="1:11">
      <c r="A97" s="90" t="str">
        <f t="shared" si="3"/>
        <v>602011311Б0320340244</v>
      </c>
      <c r="B97" s="325">
        <v>602</v>
      </c>
      <c r="C97" s="324">
        <v>113</v>
      </c>
      <c r="D97" s="323" t="s">
        <v>1191</v>
      </c>
      <c r="E97" s="322" t="s">
        <v>1043</v>
      </c>
      <c r="F97" s="339">
        <v>380800</v>
      </c>
      <c r="G97" s="339">
        <v>342720</v>
      </c>
      <c r="H97" s="339">
        <v>342720</v>
      </c>
      <c r="I97" s="353"/>
      <c r="J97" s="354" t="str">
        <f t="shared" si="4"/>
        <v>0113</v>
      </c>
      <c r="K97" s="355" t="str">
        <f t="shared" si="5"/>
        <v>11Б0320340</v>
      </c>
    </row>
    <row r="98" spans="1:11">
      <c r="A98" s="90" t="str">
        <f t="shared" si="3"/>
        <v>60201131410220630244</v>
      </c>
      <c r="B98" s="325">
        <v>602</v>
      </c>
      <c r="C98" s="324">
        <v>113</v>
      </c>
      <c r="D98" s="323" t="s">
        <v>1275</v>
      </c>
      <c r="E98" s="322" t="s">
        <v>1043</v>
      </c>
      <c r="F98" s="339">
        <v>478000</v>
      </c>
      <c r="G98" s="339">
        <v>478000</v>
      </c>
      <c r="H98" s="339">
        <v>478000</v>
      </c>
      <c r="I98" s="353"/>
      <c r="J98" s="354" t="str">
        <f t="shared" si="4"/>
        <v>0113</v>
      </c>
      <c r="K98" s="355" t="str">
        <f t="shared" si="5"/>
        <v>1410220630</v>
      </c>
    </row>
    <row r="99" spans="1:11">
      <c r="A99" s="90" t="str">
        <f t="shared" si="3"/>
        <v>60201131510220350244</v>
      </c>
      <c r="B99" s="325">
        <v>602</v>
      </c>
      <c r="C99" s="324">
        <v>113</v>
      </c>
      <c r="D99" s="323" t="s">
        <v>1281</v>
      </c>
      <c r="E99" s="322" t="s">
        <v>1043</v>
      </c>
      <c r="F99" s="339">
        <v>3000000</v>
      </c>
      <c r="G99" s="339">
        <v>0</v>
      </c>
      <c r="H99" s="339">
        <v>0</v>
      </c>
      <c r="I99" s="353"/>
      <c r="J99" s="354" t="str">
        <f t="shared" si="4"/>
        <v>0113</v>
      </c>
      <c r="K99" s="355" t="str">
        <f t="shared" si="5"/>
        <v>1510220350</v>
      </c>
    </row>
    <row r="100" spans="1:11">
      <c r="A100" s="90" t="str">
        <f t="shared" si="3"/>
        <v>60201137210010010122</v>
      </c>
      <c r="B100" s="325">
        <v>602</v>
      </c>
      <c r="C100" s="324">
        <v>113</v>
      </c>
      <c r="D100" s="323" t="s">
        <v>1298</v>
      </c>
      <c r="E100" s="322" t="s">
        <v>1059</v>
      </c>
      <c r="F100" s="339">
        <v>1033120</v>
      </c>
      <c r="G100" s="339">
        <v>1033120</v>
      </c>
      <c r="H100" s="339">
        <v>1033120</v>
      </c>
      <c r="I100" s="353"/>
      <c r="J100" s="354" t="str">
        <f t="shared" si="4"/>
        <v>0113</v>
      </c>
      <c r="K100" s="355" t="str">
        <f t="shared" si="5"/>
        <v>7210010010</v>
      </c>
    </row>
    <row r="101" spans="1:11">
      <c r="A101" s="90" t="str">
        <f t="shared" si="3"/>
        <v>60201137210010010129</v>
      </c>
      <c r="B101" s="325">
        <v>602</v>
      </c>
      <c r="C101" s="324">
        <v>113</v>
      </c>
      <c r="D101" s="323" t="s">
        <v>1298</v>
      </c>
      <c r="E101" s="322" t="s">
        <v>1060</v>
      </c>
      <c r="F101" s="339">
        <v>294910</v>
      </c>
      <c r="G101" s="339">
        <v>294910</v>
      </c>
      <c r="H101" s="339">
        <v>294910</v>
      </c>
      <c r="I101" s="353"/>
      <c r="J101" s="354" t="str">
        <f t="shared" si="4"/>
        <v>0113</v>
      </c>
      <c r="K101" s="355" t="str">
        <f t="shared" si="5"/>
        <v>7210010010</v>
      </c>
    </row>
    <row r="102" spans="1:11">
      <c r="A102" s="90" t="str">
        <f t="shared" si="3"/>
        <v>60201137210010010244</v>
      </c>
      <c r="B102" s="325">
        <v>602</v>
      </c>
      <c r="C102" s="324">
        <v>113</v>
      </c>
      <c r="D102" s="323" t="s">
        <v>1298</v>
      </c>
      <c r="E102" s="322" t="s">
        <v>1043</v>
      </c>
      <c r="F102" s="339">
        <v>8523366.1899999995</v>
      </c>
      <c r="G102" s="339">
        <v>8628140</v>
      </c>
      <c r="H102" s="339">
        <v>8628140</v>
      </c>
      <c r="I102" s="353"/>
      <c r="J102" s="354" t="str">
        <f t="shared" si="4"/>
        <v>0113</v>
      </c>
      <c r="K102" s="355" t="str">
        <f t="shared" si="5"/>
        <v>7210010010</v>
      </c>
    </row>
    <row r="103" spans="1:11">
      <c r="A103" s="90" t="str">
        <f t="shared" si="3"/>
        <v>60201137210010010851</v>
      </c>
      <c r="B103" s="325">
        <v>602</v>
      </c>
      <c r="C103" s="324">
        <v>113</v>
      </c>
      <c r="D103" s="323" t="s">
        <v>1298</v>
      </c>
      <c r="E103" s="322" t="s">
        <v>1061</v>
      </c>
      <c r="F103" s="339">
        <v>86550</v>
      </c>
      <c r="G103" s="339">
        <v>86550</v>
      </c>
      <c r="H103" s="339">
        <v>86550</v>
      </c>
      <c r="I103" s="353"/>
      <c r="J103" s="354" t="str">
        <f t="shared" si="4"/>
        <v>0113</v>
      </c>
      <c r="K103" s="355" t="str">
        <f t="shared" si="5"/>
        <v>7210010010</v>
      </c>
    </row>
    <row r="104" spans="1:11">
      <c r="A104" s="90" t="str">
        <f t="shared" si="3"/>
        <v>60201137210010010852</v>
      </c>
      <c r="B104" s="325">
        <v>602</v>
      </c>
      <c r="C104" s="324">
        <v>113</v>
      </c>
      <c r="D104" s="323" t="s">
        <v>1298</v>
      </c>
      <c r="E104" s="322" t="s">
        <v>1062</v>
      </c>
      <c r="F104" s="339">
        <v>57368.28</v>
      </c>
      <c r="G104" s="339">
        <v>61120</v>
      </c>
      <c r="H104" s="339">
        <v>61120</v>
      </c>
      <c r="I104" s="353"/>
      <c r="J104" s="354" t="str">
        <f t="shared" si="4"/>
        <v>0113</v>
      </c>
      <c r="K104" s="355" t="str">
        <f t="shared" si="5"/>
        <v>7210010010</v>
      </c>
    </row>
    <row r="105" spans="1:11">
      <c r="A105" s="90" t="str">
        <f t="shared" si="3"/>
        <v>60201137210010010853</v>
      </c>
      <c r="B105" s="325">
        <v>602</v>
      </c>
      <c r="C105" s="324">
        <v>113</v>
      </c>
      <c r="D105" s="323" t="s">
        <v>1298</v>
      </c>
      <c r="E105" s="322" t="s">
        <v>1066</v>
      </c>
      <c r="F105" s="339">
        <v>3751.72</v>
      </c>
      <c r="G105" s="339">
        <v>0</v>
      </c>
      <c r="H105" s="339">
        <v>0</v>
      </c>
      <c r="I105" s="353"/>
      <c r="J105" s="354" t="str">
        <f t="shared" si="4"/>
        <v>0113</v>
      </c>
      <c r="K105" s="355" t="str">
        <f t="shared" si="5"/>
        <v>7210010010</v>
      </c>
    </row>
    <row r="106" spans="1:11">
      <c r="A106" s="90" t="str">
        <f t="shared" si="3"/>
        <v>60201137210010020121</v>
      </c>
      <c r="B106" s="325">
        <v>602</v>
      </c>
      <c r="C106" s="324">
        <v>113</v>
      </c>
      <c r="D106" s="323" t="s">
        <v>1299</v>
      </c>
      <c r="E106" s="322" t="s">
        <v>1063</v>
      </c>
      <c r="F106" s="339">
        <v>39035000</v>
      </c>
      <c r="G106" s="339">
        <v>39035000</v>
      </c>
      <c r="H106" s="339">
        <v>39035000</v>
      </c>
      <c r="I106" s="353"/>
      <c r="J106" s="354" t="str">
        <f t="shared" si="4"/>
        <v>0113</v>
      </c>
      <c r="K106" s="355" t="str">
        <f t="shared" si="5"/>
        <v>7210010020</v>
      </c>
    </row>
    <row r="107" spans="1:11">
      <c r="A107" s="90" t="str">
        <f t="shared" si="3"/>
        <v>60201137210010020129</v>
      </c>
      <c r="B107" s="325">
        <v>602</v>
      </c>
      <c r="C107" s="324">
        <v>113</v>
      </c>
      <c r="D107" s="323" t="s">
        <v>1299</v>
      </c>
      <c r="E107" s="322" t="s">
        <v>1060</v>
      </c>
      <c r="F107" s="339">
        <v>11788570</v>
      </c>
      <c r="G107" s="339">
        <v>11788570</v>
      </c>
      <c r="H107" s="339">
        <v>11788570</v>
      </c>
      <c r="I107" s="353"/>
      <c r="J107" s="354" t="str">
        <f t="shared" si="4"/>
        <v>0113</v>
      </c>
      <c r="K107" s="355" t="str">
        <f t="shared" si="5"/>
        <v>7210010020</v>
      </c>
    </row>
    <row r="108" spans="1:11">
      <c r="A108" s="90" t="str">
        <f t="shared" si="3"/>
        <v>60201137210010050122</v>
      </c>
      <c r="B108" s="325">
        <v>602</v>
      </c>
      <c r="C108" s="324">
        <v>113</v>
      </c>
      <c r="D108" s="323" t="s">
        <v>1300</v>
      </c>
      <c r="E108" s="322" t="s">
        <v>1059</v>
      </c>
      <c r="F108" s="339">
        <v>83270</v>
      </c>
      <c r="G108" s="339">
        <v>0</v>
      </c>
      <c r="H108" s="339">
        <v>0</v>
      </c>
      <c r="I108" s="353"/>
      <c r="J108" s="354" t="str">
        <f t="shared" si="4"/>
        <v>0113</v>
      </c>
      <c r="K108" s="355" t="str">
        <f t="shared" si="5"/>
        <v>7210010050</v>
      </c>
    </row>
    <row r="109" spans="1:11">
      <c r="A109" s="90" t="str">
        <f t="shared" si="3"/>
        <v>60201137210010050129</v>
      </c>
      <c r="B109" s="325">
        <v>602</v>
      </c>
      <c r="C109" s="324">
        <v>113</v>
      </c>
      <c r="D109" s="323" t="s">
        <v>1300</v>
      </c>
      <c r="E109" s="322" t="s">
        <v>1060</v>
      </c>
      <c r="F109" s="339">
        <v>25214.16</v>
      </c>
      <c r="G109" s="339">
        <v>0</v>
      </c>
      <c r="H109" s="339">
        <v>0</v>
      </c>
      <c r="I109" s="353"/>
      <c r="J109" s="354" t="str">
        <f t="shared" si="4"/>
        <v>0113</v>
      </c>
      <c r="K109" s="355" t="str">
        <f t="shared" si="5"/>
        <v>7210010050</v>
      </c>
    </row>
    <row r="110" spans="1:11">
      <c r="A110" s="90" t="str">
        <f t="shared" si="3"/>
        <v>60201137210020050831</v>
      </c>
      <c r="B110" s="325">
        <v>602</v>
      </c>
      <c r="C110" s="324">
        <v>113</v>
      </c>
      <c r="D110" s="323" t="s">
        <v>1301</v>
      </c>
      <c r="E110" s="322" t="s">
        <v>1045</v>
      </c>
      <c r="F110" s="339">
        <v>99864.87</v>
      </c>
      <c r="G110" s="339">
        <v>0</v>
      </c>
      <c r="H110" s="339">
        <v>0</v>
      </c>
      <c r="I110" s="353"/>
      <c r="J110" s="354" t="str">
        <f t="shared" si="4"/>
        <v>0113</v>
      </c>
      <c r="K110" s="355" t="str">
        <f t="shared" si="5"/>
        <v>7210020050</v>
      </c>
    </row>
    <row r="111" spans="1:11">
      <c r="A111" s="90" t="str">
        <f t="shared" si="3"/>
        <v>602041202Б0220160244</v>
      </c>
      <c r="B111" s="325">
        <v>602</v>
      </c>
      <c r="C111" s="324">
        <v>412</v>
      </c>
      <c r="D111" s="323" t="s">
        <v>1194</v>
      </c>
      <c r="E111" s="322" t="s">
        <v>1043</v>
      </c>
      <c r="F111" s="339">
        <v>200000</v>
      </c>
      <c r="G111" s="339">
        <v>180000</v>
      </c>
      <c r="H111" s="339">
        <v>180000</v>
      </c>
      <c r="I111" s="353"/>
      <c r="J111" s="354" t="str">
        <f t="shared" si="4"/>
        <v>0412</v>
      </c>
      <c r="K111" s="355" t="str">
        <f t="shared" si="5"/>
        <v>02Б0220160</v>
      </c>
    </row>
    <row r="112" spans="1:11">
      <c r="A112" s="90" t="str">
        <f t="shared" si="3"/>
        <v>60204120420221010244</v>
      </c>
      <c r="B112" s="325">
        <v>602</v>
      </c>
      <c r="C112" s="324">
        <v>412</v>
      </c>
      <c r="D112" s="323" t="s">
        <v>1302</v>
      </c>
      <c r="E112" s="322" t="s">
        <v>1043</v>
      </c>
      <c r="F112" s="339">
        <v>10745283.5</v>
      </c>
      <c r="G112" s="339">
        <v>0</v>
      </c>
      <c r="H112" s="339">
        <v>0</v>
      </c>
      <c r="I112" s="353"/>
      <c r="J112" s="354" t="str">
        <f t="shared" si="4"/>
        <v>0412</v>
      </c>
      <c r="K112" s="355" t="str">
        <f t="shared" si="5"/>
        <v>0420221010</v>
      </c>
    </row>
    <row r="113" spans="1:11">
      <c r="A113" s="90" t="str">
        <f t="shared" si="3"/>
        <v>602041211Б0220180244</v>
      </c>
      <c r="B113" s="325">
        <v>602</v>
      </c>
      <c r="C113" s="324">
        <v>412</v>
      </c>
      <c r="D113" s="323" t="s">
        <v>1196</v>
      </c>
      <c r="E113" s="322" t="s">
        <v>1043</v>
      </c>
      <c r="F113" s="339">
        <v>680000</v>
      </c>
      <c r="G113" s="339">
        <v>612000</v>
      </c>
      <c r="H113" s="339">
        <v>612000</v>
      </c>
      <c r="I113" s="353"/>
      <c r="J113" s="354" t="str">
        <f t="shared" si="4"/>
        <v>0412</v>
      </c>
      <c r="K113" s="355" t="str">
        <f t="shared" si="5"/>
        <v>11Б0220180</v>
      </c>
    </row>
    <row r="114" spans="1:11">
      <c r="A114" s="90" t="str">
        <f t="shared" si="3"/>
        <v>60401067310010010122</v>
      </c>
      <c r="B114" s="325">
        <v>604</v>
      </c>
      <c r="C114" s="324">
        <v>106</v>
      </c>
      <c r="D114" s="323" t="s">
        <v>1303</v>
      </c>
      <c r="E114" s="322" t="s">
        <v>1059</v>
      </c>
      <c r="F114" s="339">
        <v>1019565</v>
      </c>
      <c r="G114" s="339">
        <v>1019565</v>
      </c>
      <c r="H114" s="339">
        <v>1019565</v>
      </c>
      <c r="I114" s="353"/>
      <c r="J114" s="354" t="str">
        <f t="shared" si="4"/>
        <v>0106</v>
      </c>
      <c r="K114" s="355" t="str">
        <f t="shared" si="5"/>
        <v>7310010010</v>
      </c>
    </row>
    <row r="115" spans="1:11">
      <c r="A115" s="90" t="str">
        <f t="shared" si="3"/>
        <v>60401067310010010129</v>
      </c>
      <c r="B115" s="325">
        <v>604</v>
      </c>
      <c r="C115" s="324">
        <v>106</v>
      </c>
      <c r="D115" s="323" t="s">
        <v>1303</v>
      </c>
      <c r="E115" s="322" t="s">
        <v>1060</v>
      </c>
      <c r="F115" s="339">
        <v>271774.96999999997</v>
      </c>
      <c r="G115" s="339">
        <v>271774.96999999997</v>
      </c>
      <c r="H115" s="339">
        <v>271774.96999999997</v>
      </c>
      <c r="I115" s="353"/>
      <c r="J115" s="354" t="str">
        <f t="shared" si="4"/>
        <v>0106</v>
      </c>
      <c r="K115" s="355" t="str">
        <f t="shared" si="5"/>
        <v>7310010010</v>
      </c>
    </row>
    <row r="116" spans="1:11">
      <c r="A116" s="90" t="str">
        <f t="shared" si="3"/>
        <v>60401067310010010244</v>
      </c>
      <c r="B116" s="325">
        <v>604</v>
      </c>
      <c r="C116" s="324">
        <v>106</v>
      </c>
      <c r="D116" s="323" t="s">
        <v>1303</v>
      </c>
      <c r="E116" s="322" t="s">
        <v>1043</v>
      </c>
      <c r="F116" s="339">
        <v>3529150</v>
      </c>
      <c r="G116" s="339">
        <v>3533810</v>
      </c>
      <c r="H116" s="339">
        <v>3533810</v>
      </c>
      <c r="I116" s="353"/>
      <c r="J116" s="354" t="str">
        <f t="shared" si="4"/>
        <v>0106</v>
      </c>
      <c r="K116" s="355" t="str">
        <f t="shared" si="5"/>
        <v>7310010010</v>
      </c>
    </row>
    <row r="117" spans="1:11">
      <c r="A117" s="90" t="str">
        <f t="shared" si="3"/>
        <v>60401067310010010851</v>
      </c>
      <c r="B117" s="325">
        <v>604</v>
      </c>
      <c r="C117" s="324">
        <v>106</v>
      </c>
      <c r="D117" s="323" t="s">
        <v>1303</v>
      </c>
      <c r="E117" s="322" t="s">
        <v>1061</v>
      </c>
      <c r="F117" s="339">
        <v>2000</v>
      </c>
      <c r="G117" s="339">
        <v>2000</v>
      </c>
      <c r="H117" s="339">
        <v>2000</v>
      </c>
      <c r="I117" s="353"/>
      <c r="J117" s="354" t="str">
        <f t="shared" si="4"/>
        <v>0106</v>
      </c>
      <c r="K117" s="355" t="str">
        <f t="shared" si="5"/>
        <v>7310010010</v>
      </c>
    </row>
    <row r="118" spans="1:11">
      <c r="A118" s="90" t="str">
        <f t="shared" si="3"/>
        <v>60401067310010010852</v>
      </c>
      <c r="B118" s="325">
        <v>604</v>
      </c>
      <c r="C118" s="324">
        <v>106</v>
      </c>
      <c r="D118" s="323" t="s">
        <v>1303</v>
      </c>
      <c r="E118" s="322" t="s">
        <v>1062</v>
      </c>
      <c r="F118" s="339">
        <v>23470</v>
      </c>
      <c r="G118" s="339">
        <v>23470</v>
      </c>
      <c r="H118" s="339">
        <v>23470</v>
      </c>
      <c r="I118" s="353"/>
      <c r="J118" s="354" t="str">
        <f t="shared" si="4"/>
        <v>0106</v>
      </c>
      <c r="K118" s="355" t="str">
        <f t="shared" si="5"/>
        <v>7310010010</v>
      </c>
    </row>
    <row r="119" spans="1:11">
      <c r="A119" s="90" t="str">
        <f t="shared" si="3"/>
        <v>60401067310010010853</v>
      </c>
      <c r="B119" s="325">
        <v>604</v>
      </c>
      <c r="C119" s="324">
        <v>106</v>
      </c>
      <c r="D119" s="323" t="s">
        <v>1303</v>
      </c>
      <c r="E119" s="322" t="s">
        <v>1066</v>
      </c>
      <c r="F119" s="339">
        <v>35000</v>
      </c>
      <c r="G119" s="339">
        <v>35000</v>
      </c>
      <c r="H119" s="339">
        <v>35000</v>
      </c>
      <c r="I119" s="353"/>
      <c r="J119" s="354" t="str">
        <f t="shared" si="4"/>
        <v>0106</v>
      </c>
      <c r="K119" s="355" t="str">
        <f t="shared" si="5"/>
        <v>7310010010</v>
      </c>
    </row>
    <row r="120" spans="1:11">
      <c r="A120" s="90" t="str">
        <f t="shared" si="3"/>
        <v>60401067310010020121</v>
      </c>
      <c r="B120" s="325">
        <v>604</v>
      </c>
      <c r="C120" s="324">
        <v>106</v>
      </c>
      <c r="D120" s="323" t="s">
        <v>1304</v>
      </c>
      <c r="E120" s="322" t="s">
        <v>1063</v>
      </c>
      <c r="F120" s="339">
        <v>30415572</v>
      </c>
      <c r="G120" s="339">
        <v>30415572</v>
      </c>
      <c r="H120" s="339">
        <v>30415572</v>
      </c>
      <c r="I120" s="353"/>
      <c r="J120" s="354" t="str">
        <f t="shared" si="4"/>
        <v>0106</v>
      </c>
      <c r="K120" s="355" t="str">
        <f t="shared" si="5"/>
        <v>7310010020</v>
      </c>
    </row>
    <row r="121" spans="1:11">
      <c r="A121" s="90" t="str">
        <f t="shared" si="3"/>
        <v>60401067310010020129</v>
      </c>
      <c r="B121" s="325">
        <v>604</v>
      </c>
      <c r="C121" s="324">
        <v>106</v>
      </c>
      <c r="D121" s="323" t="s">
        <v>1304</v>
      </c>
      <c r="E121" s="322" t="s">
        <v>1060</v>
      </c>
      <c r="F121" s="339">
        <v>9185503.2799999993</v>
      </c>
      <c r="G121" s="339">
        <v>9185503.2799999993</v>
      </c>
      <c r="H121" s="339">
        <v>9185503.2799999993</v>
      </c>
      <c r="I121" s="353"/>
      <c r="J121" s="354" t="str">
        <f t="shared" si="4"/>
        <v>0106</v>
      </c>
      <c r="K121" s="355" t="str">
        <f t="shared" si="5"/>
        <v>7310010020</v>
      </c>
    </row>
    <row r="122" spans="1:11">
      <c r="A122" s="90" t="str">
        <f t="shared" si="3"/>
        <v>604011110Б0120020870</v>
      </c>
      <c r="B122" s="325">
        <v>604</v>
      </c>
      <c r="C122" s="324">
        <v>111</v>
      </c>
      <c r="D122" s="323" t="s">
        <v>1199</v>
      </c>
      <c r="E122" s="322" t="s">
        <v>102</v>
      </c>
      <c r="F122" s="339">
        <v>14195040</v>
      </c>
      <c r="G122" s="339">
        <v>12775540</v>
      </c>
      <c r="H122" s="339">
        <v>12775540</v>
      </c>
      <c r="I122" s="353"/>
      <c r="J122" s="354" t="str">
        <f t="shared" si="4"/>
        <v>0111</v>
      </c>
      <c r="K122" s="355" t="str">
        <f t="shared" si="5"/>
        <v>10Б0120020</v>
      </c>
    </row>
    <row r="123" spans="1:11">
      <c r="A123" s="90" t="str">
        <f t="shared" si="3"/>
        <v>604011310Б0220050831</v>
      </c>
      <c r="B123" s="325">
        <v>604</v>
      </c>
      <c r="C123" s="324">
        <v>113</v>
      </c>
      <c r="D123" s="323" t="s">
        <v>1201</v>
      </c>
      <c r="E123" s="322" t="s">
        <v>1045</v>
      </c>
      <c r="F123" s="339">
        <v>8312428.1600000001</v>
      </c>
      <c r="G123" s="339">
        <v>3544420</v>
      </c>
      <c r="H123" s="339">
        <v>9744420</v>
      </c>
      <c r="I123" s="353"/>
      <c r="J123" s="354" t="str">
        <f t="shared" si="4"/>
        <v>0113</v>
      </c>
      <c r="K123" s="355" t="str">
        <f t="shared" si="5"/>
        <v>10Б0220050</v>
      </c>
    </row>
    <row r="124" spans="1:11">
      <c r="A124" s="90" t="str">
        <f t="shared" si="3"/>
        <v>60401139810010050880</v>
      </c>
      <c r="B124" s="325">
        <v>604</v>
      </c>
      <c r="C124" s="324">
        <v>113</v>
      </c>
      <c r="D124" s="323" t="s">
        <v>1305</v>
      </c>
      <c r="E124" s="322" t="s">
        <v>105</v>
      </c>
      <c r="F124" s="339">
        <v>1507169.13</v>
      </c>
      <c r="G124" s="339">
        <v>2000000</v>
      </c>
      <c r="H124" s="339">
        <v>2000000</v>
      </c>
      <c r="I124" s="353"/>
      <c r="J124" s="354" t="str">
        <f t="shared" si="4"/>
        <v>0113</v>
      </c>
      <c r="K124" s="355" t="str">
        <f t="shared" si="5"/>
        <v>9810010050</v>
      </c>
    </row>
    <row r="125" spans="1:11">
      <c r="A125" s="90" t="str">
        <f t="shared" si="3"/>
        <v>60401139810020750880</v>
      </c>
      <c r="B125" s="325">
        <v>604</v>
      </c>
      <c r="C125" s="324">
        <v>113</v>
      </c>
      <c r="D125" s="323" t="s">
        <v>1306</v>
      </c>
      <c r="E125" s="322" t="s">
        <v>105</v>
      </c>
      <c r="F125" s="339">
        <v>16704790</v>
      </c>
      <c r="G125" s="339">
        <v>16704790</v>
      </c>
      <c r="H125" s="339">
        <v>16704790</v>
      </c>
      <c r="I125" s="353"/>
      <c r="J125" s="354" t="str">
        <f t="shared" si="4"/>
        <v>0113</v>
      </c>
      <c r="K125" s="355" t="str">
        <f t="shared" si="5"/>
        <v>9810020750</v>
      </c>
    </row>
    <row r="126" spans="1:11">
      <c r="A126" s="90" t="str">
        <f t="shared" si="3"/>
        <v>60401139820021340880</v>
      </c>
      <c r="B126" s="325">
        <v>604</v>
      </c>
      <c r="C126" s="324">
        <v>113</v>
      </c>
      <c r="D126" s="323" t="s">
        <v>1307</v>
      </c>
      <c r="E126" s="322" t="s">
        <v>105</v>
      </c>
      <c r="F126" s="339">
        <v>1482000</v>
      </c>
      <c r="G126" s="339">
        <v>0</v>
      </c>
      <c r="H126" s="339">
        <v>0</v>
      </c>
      <c r="I126" s="353"/>
      <c r="J126" s="354" t="str">
        <f t="shared" si="4"/>
        <v>0113</v>
      </c>
      <c r="K126" s="355" t="str">
        <f t="shared" si="5"/>
        <v>9820021340</v>
      </c>
    </row>
    <row r="127" spans="1:11">
      <c r="A127" s="90" t="str">
        <f t="shared" si="3"/>
        <v>604130110Б0320010730</v>
      </c>
      <c r="B127" s="325">
        <v>604</v>
      </c>
      <c r="C127" s="324">
        <v>1301</v>
      </c>
      <c r="D127" s="323" t="s">
        <v>1203</v>
      </c>
      <c r="E127" s="322" t="s">
        <v>132</v>
      </c>
      <c r="F127" s="339">
        <v>164710000</v>
      </c>
      <c r="G127" s="339">
        <v>200042000</v>
      </c>
      <c r="H127" s="339">
        <v>241728000</v>
      </c>
      <c r="I127" s="353"/>
      <c r="J127" s="354" t="str">
        <f t="shared" si="4"/>
        <v>1301</v>
      </c>
      <c r="K127" s="355" t="str">
        <f t="shared" si="5"/>
        <v>10Б0320010</v>
      </c>
    </row>
    <row r="128" spans="1:11">
      <c r="A128" s="90" t="str">
        <f t="shared" si="3"/>
        <v>60501131530120660244</v>
      </c>
      <c r="B128" s="325">
        <v>605</v>
      </c>
      <c r="C128" s="324">
        <v>113</v>
      </c>
      <c r="D128" s="323" t="s">
        <v>1308</v>
      </c>
      <c r="E128" s="322" t="s">
        <v>1043</v>
      </c>
      <c r="F128" s="339">
        <v>7650</v>
      </c>
      <c r="G128" s="339">
        <v>6890</v>
      </c>
      <c r="H128" s="339">
        <v>6890</v>
      </c>
      <c r="I128" s="353"/>
      <c r="J128" s="354" t="str">
        <f t="shared" si="4"/>
        <v>0113</v>
      </c>
      <c r="K128" s="355" t="str">
        <f t="shared" si="5"/>
        <v>1530120660</v>
      </c>
    </row>
    <row r="129" spans="1:11">
      <c r="A129" s="90" t="str">
        <f t="shared" si="3"/>
        <v>60501137410010010122</v>
      </c>
      <c r="B129" s="325">
        <v>605</v>
      </c>
      <c r="C129" s="324">
        <v>113</v>
      </c>
      <c r="D129" s="323" t="s">
        <v>1309</v>
      </c>
      <c r="E129" s="322" t="s">
        <v>1059</v>
      </c>
      <c r="F129" s="339">
        <v>585060</v>
      </c>
      <c r="G129" s="339">
        <v>585060</v>
      </c>
      <c r="H129" s="339">
        <v>585060</v>
      </c>
      <c r="I129" s="353"/>
      <c r="J129" s="354" t="str">
        <f t="shared" si="4"/>
        <v>0113</v>
      </c>
      <c r="K129" s="355" t="str">
        <f t="shared" si="5"/>
        <v>7410010010</v>
      </c>
    </row>
    <row r="130" spans="1:11">
      <c r="A130" s="90" t="str">
        <f t="shared" si="3"/>
        <v>60501137410010010129</v>
      </c>
      <c r="B130" s="325">
        <v>605</v>
      </c>
      <c r="C130" s="324">
        <v>113</v>
      </c>
      <c r="D130" s="323" t="s">
        <v>1309</v>
      </c>
      <c r="E130" s="322" t="s">
        <v>1060</v>
      </c>
      <c r="F130" s="339">
        <v>172830</v>
      </c>
      <c r="G130" s="339">
        <v>172830</v>
      </c>
      <c r="H130" s="339">
        <v>172830</v>
      </c>
      <c r="I130" s="353"/>
      <c r="J130" s="354" t="str">
        <f t="shared" si="4"/>
        <v>0113</v>
      </c>
      <c r="K130" s="355" t="str">
        <f t="shared" si="5"/>
        <v>7410010010</v>
      </c>
    </row>
    <row r="131" spans="1:11">
      <c r="A131" s="90" t="str">
        <f t="shared" si="3"/>
        <v>60501137410010010244</v>
      </c>
      <c r="B131" s="325">
        <v>605</v>
      </c>
      <c r="C131" s="324">
        <v>113</v>
      </c>
      <c r="D131" s="323" t="s">
        <v>1309</v>
      </c>
      <c r="E131" s="322" t="s">
        <v>1043</v>
      </c>
      <c r="F131" s="339">
        <v>2356010</v>
      </c>
      <c r="G131" s="339">
        <v>2273470</v>
      </c>
      <c r="H131" s="339">
        <v>2273470</v>
      </c>
      <c r="I131" s="353"/>
      <c r="J131" s="354" t="str">
        <f t="shared" si="4"/>
        <v>0113</v>
      </c>
      <c r="K131" s="355" t="str">
        <f t="shared" si="5"/>
        <v>7410010010</v>
      </c>
    </row>
    <row r="132" spans="1:11">
      <c r="A132" s="90" t="str">
        <f t="shared" si="3"/>
        <v>60501137410010010851</v>
      </c>
      <c r="B132" s="325">
        <v>605</v>
      </c>
      <c r="C132" s="324">
        <v>113</v>
      </c>
      <c r="D132" s="323" t="s">
        <v>1309</v>
      </c>
      <c r="E132" s="322" t="s">
        <v>1061</v>
      </c>
      <c r="F132" s="339">
        <v>1500</v>
      </c>
      <c r="G132" s="339">
        <v>1500</v>
      </c>
      <c r="H132" s="339">
        <v>1500</v>
      </c>
      <c r="I132" s="353"/>
      <c r="J132" s="354" t="str">
        <f t="shared" si="4"/>
        <v>0113</v>
      </c>
      <c r="K132" s="355" t="str">
        <f t="shared" si="5"/>
        <v>7410010010</v>
      </c>
    </row>
    <row r="133" spans="1:11">
      <c r="A133" s="90" t="str">
        <f t="shared" si="3"/>
        <v>60501137410010010852</v>
      </c>
      <c r="B133" s="325">
        <v>605</v>
      </c>
      <c r="C133" s="324">
        <v>113</v>
      </c>
      <c r="D133" s="323" t="s">
        <v>1309</v>
      </c>
      <c r="E133" s="322" t="s">
        <v>1062</v>
      </c>
      <c r="F133" s="339">
        <v>14650</v>
      </c>
      <c r="G133" s="339">
        <v>18650</v>
      </c>
      <c r="H133" s="339">
        <v>18650</v>
      </c>
      <c r="I133" s="353"/>
      <c r="J133" s="354" t="str">
        <f t="shared" si="4"/>
        <v>0113</v>
      </c>
      <c r="K133" s="355" t="str">
        <f t="shared" si="5"/>
        <v>7410010010</v>
      </c>
    </row>
    <row r="134" spans="1:11">
      <c r="A134" s="90" t="str">
        <f t="shared" si="3"/>
        <v>60501137410010010853</v>
      </c>
      <c r="B134" s="325">
        <v>605</v>
      </c>
      <c r="C134" s="324">
        <v>113</v>
      </c>
      <c r="D134" s="323" t="s">
        <v>1309</v>
      </c>
      <c r="E134" s="322" t="s">
        <v>1066</v>
      </c>
      <c r="F134" s="339">
        <v>4000</v>
      </c>
      <c r="G134" s="339">
        <v>0</v>
      </c>
      <c r="H134" s="339">
        <v>0</v>
      </c>
      <c r="I134" s="353"/>
      <c r="J134" s="354" t="str">
        <f t="shared" si="4"/>
        <v>0113</v>
      </c>
      <c r="K134" s="355" t="str">
        <f t="shared" si="5"/>
        <v>7410010010</v>
      </c>
    </row>
    <row r="135" spans="1:11">
      <c r="A135" s="90" t="str">
        <f t="shared" si="3"/>
        <v>60501137410010020121</v>
      </c>
      <c r="B135" s="325">
        <v>605</v>
      </c>
      <c r="C135" s="324">
        <v>113</v>
      </c>
      <c r="D135" s="323" t="s">
        <v>1310</v>
      </c>
      <c r="E135" s="322" t="s">
        <v>1063</v>
      </c>
      <c r="F135" s="339">
        <v>19370230</v>
      </c>
      <c r="G135" s="339">
        <v>19370230</v>
      </c>
      <c r="H135" s="339">
        <v>19370230</v>
      </c>
      <c r="I135" s="353"/>
      <c r="J135" s="354" t="str">
        <f t="shared" si="4"/>
        <v>0113</v>
      </c>
      <c r="K135" s="355" t="str">
        <f t="shared" si="5"/>
        <v>7410010020</v>
      </c>
    </row>
    <row r="136" spans="1:11">
      <c r="A136" s="90" t="str">
        <f t="shared" si="3"/>
        <v>60501137410010020129</v>
      </c>
      <c r="B136" s="325">
        <v>605</v>
      </c>
      <c r="C136" s="324">
        <v>113</v>
      </c>
      <c r="D136" s="323" t="s">
        <v>1310</v>
      </c>
      <c r="E136" s="322" t="s">
        <v>1060</v>
      </c>
      <c r="F136" s="339">
        <v>5849810</v>
      </c>
      <c r="G136" s="339">
        <v>5849810</v>
      </c>
      <c r="H136" s="339">
        <v>5849810</v>
      </c>
      <c r="I136" s="353"/>
      <c r="J136" s="354" t="str">
        <f t="shared" si="4"/>
        <v>0113</v>
      </c>
      <c r="K136" s="355" t="str">
        <f t="shared" si="5"/>
        <v>7410010020</v>
      </c>
    </row>
    <row r="137" spans="1:11">
      <c r="A137" s="90" t="str">
        <f t="shared" si="3"/>
        <v>60508010710120060244</v>
      </c>
      <c r="B137" s="325">
        <v>605</v>
      </c>
      <c r="C137" s="324">
        <v>801</v>
      </c>
      <c r="D137" s="323" t="s">
        <v>1295</v>
      </c>
      <c r="E137" s="322" t="s">
        <v>1043</v>
      </c>
      <c r="F137" s="339">
        <v>1096200</v>
      </c>
      <c r="G137" s="339">
        <v>987000</v>
      </c>
      <c r="H137" s="339">
        <v>987000</v>
      </c>
      <c r="I137" s="353"/>
      <c r="J137" s="354" t="str">
        <f t="shared" si="4"/>
        <v>0801</v>
      </c>
      <c r="K137" s="355" t="str">
        <f t="shared" si="5"/>
        <v>0710120060</v>
      </c>
    </row>
    <row r="138" spans="1:11">
      <c r="A138" s="90" t="str">
        <f t="shared" ref="A138:A201" si="6">CONCATENATE(B138,J138,K138,E138)</f>
        <v>60510030320280240811</v>
      </c>
      <c r="B138" s="325">
        <v>605</v>
      </c>
      <c r="C138" s="324">
        <v>1003</v>
      </c>
      <c r="D138" s="323" t="s">
        <v>1311</v>
      </c>
      <c r="E138" s="322" t="s">
        <v>1050</v>
      </c>
      <c r="F138" s="339">
        <v>2647440</v>
      </c>
      <c r="G138" s="339">
        <v>2250320</v>
      </c>
      <c r="H138" s="339">
        <v>2250320</v>
      </c>
      <c r="I138" s="353"/>
      <c r="J138" s="354" t="str">
        <f t="shared" si="4"/>
        <v>1003</v>
      </c>
      <c r="K138" s="355" t="str">
        <f t="shared" si="5"/>
        <v>0320280240</v>
      </c>
    </row>
    <row r="139" spans="1:11">
      <c r="A139" s="90" t="str">
        <f t="shared" si="6"/>
        <v>60607010110111010611</v>
      </c>
      <c r="B139" s="325">
        <v>606</v>
      </c>
      <c r="C139" s="324">
        <v>701</v>
      </c>
      <c r="D139" s="323" t="s">
        <v>1312</v>
      </c>
      <c r="E139" s="322" t="s">
        <v>67</v>
      </c>
      <c r="F139" s="339">
        <v>653702600.08000004</v>
      </c>
      <c r="G139" s="339">
        <v>658216470</v>
      </c>
      <c r="H139" s="339">
        <v>658216470</v>
      </c>
      <c r="I139" s="353"/>
      <c r="J139" s="354" t="str">
        <f t="shared" ref="J139:J202" si="7">TEXT(C139,"0000")</f>
        <v>0701</v>
      </c>
      <c r="K139" s="355" t="str">
        <f t="shared" ref="K139:K202" si="8">TEXT(D139,"0000000000")</f>
        <v>0110111010</v>
      </c>
    </row>
    <row r="140" spans="1:11">
      <c r="A140" s="90" t="str">
        <f t="shared" si="6"/>
        <v>60607010110111010612</v>
      </c>
      <c r="B140" s="325">
        <v>606</v>
      </c>
      <c r="C140" s="324">
        <v>701</v>
      </c>
      <c r="D140" s="323" t="s">
        <v>1312</v>
      </c>
      <c r="E140" s="322" t="s">
        <v>1046</v>
      </c>
      <c r="F140" s="339">
        <v>3361600</v>
      </c>
      <c r="G140" s="339">
        <v>3361600</v>
      </c>
      <c r="H140" s="339">
        <v>3361600</v>
      </c>
      <c r="I140" s="353"/>
      <c r="J140" s="354" t="str">
        <f t="shared" si="7"/>
        <v>0701</v>
      </c>
      <c r="K140" s="355" t="str">
        <f t="shared" si="8"/>
        <v>0110111010</v>
      </c>
    </row>
    <row r="141" spans="1:11">
      <c r="A141" s="90" t="str">
        <f t="shared" si="6"/>
        <v>60607010110111010621</v>
      </c>
      <c r="B141" s="325">
        <v>606</v>
      </c>
      <c r="C141" s="324">
        <v>701</v>
      </c>
      <c r="D141" s="323" t="s">
        <v>1312</v>
      </c>
      <c r="E141" s="322" t="s">
        <v>16</v>
      </c>
      <c r="F141" s="339">
        <v>29808376</v>
      </c>
      <c r="G141" s="339">
        <v>29485350</v>
      </c>
      <c r="H141" s="339">
        <v>29485350</v>
      </c>
      <c r="I141" s="353"/>
      <c r="J141" s="354" t="str">
        <f t="shared" si="7"/>
        <v>0701</v>
      </c>
      <c r="K141" s="355" t="str">
        <f t="shared" si="8"/>
        <v>0110111010</v>
      </c>
    </row>
    <row r="142" spans="1:11">
      <c r="A142" s="90" t="str">
        <f t="shared" si="6"/>
        <v>60607010110177170611</v>
      </c>
      <c r="B142" s="325">
        <v>606</v>
      </c>
      <c r="C142" s="324">
        <v>701</v>
      </c>
      <c r="D142" s="323" t="s">
        <v>1313</v>
      </c>
      <c r="E142" s="322" t="s">
        <v>67</v>
      </c>
      <c r="F142" s="339">
        <v>673180779.79999995</v>
      </c>
      <c r="G142" s="339">
        <v>581910822</v>
      </c>
      <c r="H142" s="339">
        <v>645290062.12</v>
      </c>
      <c r="I142" s="353"/>
      <c r="J142" s="354" t="str">
        <f t="shared" si="7"/>
        <v>0701</v>
      </c>
      <c r="K142" s="355" t="str">
        <f t="shared" si="8"/>
        <v>0110177170</v>
      </c>
    </row>
    <row r="143" spans="1:11">
      <c r="A143" s="90" t="str">
        <f t="shared" si="6"/>
        <v>60607010110177170621</v>
      </c>
      <c r="B143" s="325">
        <v>606</v>
      </c>
      <c r="C143" s="324">
        <v>701</v>
      </c>
      <c r="D143" s="323" t="s">
        <v>1313</v>
      </c>
      <c r="E143" s="322" t="s">
        <v>16</v>
      </c>
      <c r="F143" s="339">
        <v>27575850</v>
      </c>
      <c r="G143" s="339">
        <v>27575850</v>
      </c>
      <c r="H143" s="339">
        <v>27575850</v>
      </c>
      <c r="I143" s="353"/>
      <c r="J143" s="354" t="str">
        <f t="shared" si="7"/>
        <v>0701</v>
      </c>
      <c r="K143" s="355" t="str">
        <f t="shared" si="8"/>
        <v>0110177170</v>
      </c>
    </row>
    <row r="144" spans="1:11">
      <c r="A144" s="90" t="str">
        <f t="shared" si="6"/>
        <v>60607010110177170632</v>
      </c>
      <c r="B144" s="325">
        <v>606</v>
      </c>
      <c r="C144" s="324">
        <v>701</v>
      </c>
      <c r="D144" s="323" t="s">
        <v>1313</v>
      </c>
      <c r="E144" s="322" t="s">
        <v>1055</v>
      </c>
      <c r="F144" s="339">
        <v>4604260</v>
      </c>
      <c r="G144" s="339">
        <v>4604260</v>
      </c>
      <c r="H144" s="339">
        <v>4604260</v>
      </c>
      <c r="I144" s="353"/>
      <c r="J144" s="354" t="str">
        <f t="shared" si="7"/>
        <v>0701</v>
      </c>
      <c r="K144" s="355" t="str">
        <f t="shared" si="8"/>
        <v>0110177170</v>
      </c>
    </row>
    <row r="145" spans="1:11">
      <c r="A145" s="90" t="str">
        <f t="shared" si="6"/>
        <v>60607010110177250611</v>
      </c>
      <c r="B145" s="325">
        <v>606</v>
      </c>
      <c r="C145" s="324">
        <v>701</v>
      </c>
      <c r="D145" s="323" t="s">
        <v>1314</v>
      </c>
      <c r="E145" s="322" t="s">
        <v>67</v>
      </c>
      <c r="F145" s="339">
        <v>1117892.3999999999</v>
      </c>
      <c r="G145" s="339">
        <v>0</v>
      </c>
      <c r="H145" s="339">
        <v>0</v>
      </c>
      <c r="I145" s="353"/>
      <c r="J145" s="354" t="str">
        <f t="shared" si="7"/>
        <v>0701</v>
      </c>
      <c r="K145" s="355" t="str">
        <f t="shared" si="8"/>
        <v>0110177250</v>
      </c>
    </row>
    <row r="146" spans="1:11">
      <c r="A146" s="90" t="str">
        <f t="shared" si="6"/>
        <v>60607010110177250621</v>
      </c>
      <c r="B146" s="325">
        <v>606</v>
      </c>
      <c r="C146" s="324">
        <v>701</v>
      </c>
      <c r="D146" s="323" t="s">
        <v>1314</v>
      </c>
      <c r="E146" s="322" t="s">
        <v>16</v>
      </c>
      <c r="F146" s="339">
        <v>63277.2</v>
      </c>
      <c r="G146" s="339">
        <v>0</v>
      </c>
      <c r="H146" s="339">
        <v>0</v>
      </c>
      <c r="I146" s="353"/>
      <c r="J146" s="354" t="str">
        <f t="shared" si="7"/>
        <v>0701</v>
      </c>
      <c r="K146" s="355" t="str">
        <f t="shared" si="8"/>
        <v>0110177250</v>
      </c>
    </row>
    <row r="147" spans="1:11">
      <c r="A147" s="90" t="str">
        <f t="shared" si="6"/>
        <v>60607010110611010612</v>
      </c>
      <c r="B147" s="325">
        <v>606</v>
      </c>
      <c r="C147" s="324">
        <v>701</v>
      </c>
      <c r="D147" s="323" t="s">
        <v>1315</v>
      </c>
      <c r="E147" s="322" t="s">
        <v>1046</v>
      </c>
      <c r="F147" s="339">
        <v>35580040</v>
      </c>
      <c r="G147" s="339">
        <v>13530660</v>
      </c>
      <c r="H147" s="339">
        <v>13530660</v>
      </c>
      <c r="I147" s="353"/>
      <c r="J147" s="354" t="str">
        <f t="shared" si="7"/>
        <v>0701</v>
      </c>
      <c r="K147" s="355" t="str">
        <f t="shared" si="8"/>
        <v>0110611010</v>
      </c>
    </row>
    <row r="148" spans="1:11">
      <c r="A148" s="90" t="str">
        <f t="shared" si="6"/>
        <v>606070101106S6690612</v>
      </c>
      <c r="B148" s="325">
        <v>606</v>
      </c>
      <c r="C148" s="324">
        <v>701</v>
      </c>
      <c r="D148" s="323" t="s">
        <v>1204</v>
      </c>
      <c r="E148" s="322" t="s">
        <v>1046</v>
      </c>
      <c r="F148" s="339">
        <v>250000</v>
      </c>
      <c r="G148" s="339">
        <v>0</v>
      </c>
      <c r="H148" s="339">
        <v>0</v>
      </c>
      <c r="I148" s="353"/>
      <c r="J148" s="354" t="str">
        <f t="shared" si="7"/>
        <v>0701</v>
      </c>
      <c r="K148" s="355" t="str">
        <f t="shared" si="8"/>
        <v>01106S6690</v>
      </c>
    </row>
    <row r="149" spans="1:11">
      <c r="A149" s="90" t="str">
        <f t="shared" si="6"/>
        <v>60607011620220550612</v>
      </c>
      <c r="B149" s="325">
        <v>606</v>
      </c>
      <c r="C149" s="324">
        <v>701</v>
      </c>
      <c r="D149" s="323" t="s">
        <v>1316</v>
      </c>
      <c r="E149" s="322" t="s">
        <v>1046</v>
      </c>
      <c r="F149" s="339">
        <v>4161070</v>
      </c>
      <c r="G149" s="339">
        <v>3797140</v>
      </c>
      <c r="H149" s="339">
        <v>3797140</v>
      </c>
      <c r="I149" s="353"/>
      <c r="J149" s="354" t="str">
        <f t="shared" si="7"/>
        <v>0701</v>
      </c>
      <c r="K149" s="355" t="str">
        <f t="shared" si="8"/>
        <v>1620220550</v>
      </c>
    </row>
    <row r="150" spans="1:11">
      <c r="A150" s="90" t="str">
        <f t="shared" si="6"/>
        <v>60607011620220550622</v>
      </c>
      <c r="B150" s="325">
        <v>606</v>
      </c>
      <c r="C150" s="324">
        <v>701</v>
      </c>
      <c r="D150" s="323" t="s">
        <v>1316</v>
      </c>
      <c r="E150" s="322" t="s">
        <v>1054</v>
      </c>
      <c r="F150" s="339">
        <v>98500</v>
      </c>
      <c r="G150" s="339">
        <v>98500</v>
      </c>
      <c r="H150" s="339">
        <v>98500</v>
      </c>
      <c r="I150" s="353"/>
      <c r="J150" s="354" t="str">
        <f t="shared" si="7"/>
        <v>0701</v>
      </c>
      <c r="K150" s="355" t="str">
        <f t="shared" si="8"/>
        <v>1620220550</v>
      </c>
    </row>
    <row r="151" spans="1:11">
      <c r="A151" s="90" t="str">
        <f t="shared" si="6"/>
        <v>606070117Б0120490612</v>
      </c>
      <c r="B151" s="371">
        <v>606</v>
      </c>
      <c r="C151" s="372">
        <v>701</v>
      </c>
      <c r="D151" s="373" t="s">
        <v>1209</v>
      </c>
      <c r="E151" s="374" t="s">
        <v>1046</v>
      </c>
      <c r="F151" s="375">
        <v>0</v>
      </c>
      <c r="G151" s="375">
        <v>5077740</v>
      </c>
      <c r="H151" s="375">
        <v>5077740</v>
      </c>
      <c r="I151" s="353"/>
      <c r="J151" s="354" t="str">
        <f t="shared" si="7"/>
        <v>0701</v>
      </c>
      <c r="K151" s="355" t="str">
        <f t="shared" si="8"/>
        <v>17Б0120490</v>
      </c>
    </row>
    <row r="152" spans="1:11">
      <c r="A152" s="90" t="str">
        <f t="shared" si="6"/>
        <v>60607020110211010111</v>
      </c>
      <c r="B152" s="325">
        <v>606</v>
      </c>
      <c r="C152" s="324">
        <v>702</v>
      </c>
      <c r="D152" s="323" t="s">
        <v>1317</v>
      </c>
      <c r="E152" s="322" t="s">
        <v>1056</v>
      </c>
      <c r="F152" s="339">
        <v>1229440</v>
      </c>
      <c r="G152" s="339">
        <v>1229440</v>
      </c>
      <c r="H152" s="339">
        <v>1229440</v>
      </c>
      <c r="I152" s="353"/>
      <c r="J152" s="354" t="str">
        <f t="shared" si="7"/>
        <v>0702</v>
      </c>
      <c r="K152" s="355" t="str">
        <f t="shared" si="8"/>
        <v>0110211010</v>
      </c>
    </row>
    <row r="153" spans="1:11">
      <c r="A153" s="90" t="str">
        <f t="shared" si="6"/>
        <v>60607020110211010119</v>
      </c>
      <c r="B153" s="325">
        <v>606</v>
      </c>
      <c r="C153" s="324">
        <v>702</v>
      </c>
      <c r="D153" s="323" t="s">
        <v>1317</v>
      </c>
      <c r="E153" s="322" t="s">
        <v>1057</v>
      </c>
      <c r="F153" s="339">
        <v>372170</v>
      </c>
      <c r="G153" s="339">
        <v>372170</v>
      </c>
      <c r="H153" s="339">
        <v>372170</v>
      </c>
      <c r="I153" s="353"/>
      <c r="J153" s="354" t="str">
        <f t="shared" si="7"/>
        <v>0702</v>
      </c>
      <c r="K153" s="355" t="str">
        <f t="shared" si="8"/>
        <v>0110211010</v>
      </c>
    </row>
    <row r="154" spans="1:11">
      <c r="A154" s="90" t="str">
        <f t="shared" si="6"/>
        <v>60607020110211010244</v>
      </c>
      <c r="B154" s="325">
        <v>606</v>
      </c>
      <c r="C154" s="324">
        <v>702</v>
      </c>
      <c r="D154" s="323" t="s">
        <v>1317</v>
      </c>
      <c r="E154" s="322" t="s">
        <v>1043</v>
      </c>
      <c r="F154" s="339">
        <v>70000</v>
      </c>
      <c r="G154" s="339">
        <v>70000</v>
      </c>
      <c r="H154" s="339">
        <v>70000</v>
      </c>
      <c r="I154" s="353"/>
      <c r="J154" s="354" t="str">
        <f t="shared" si="7"/>
        <v>0702</v>
      </c>
      <c r="K154" s="355" t="str">
        <f t="shared" si="8"/>
        <v>0110211010</v>
      </c>
    </row>
    <row r="155" spans="1:11">
      <c r="A155" s="90" t="str">
        <f t="shared" si="6"/>
        <v>60607020110211010611</v>
      </c>
      <c r="B155" s="325">
        <v>606</v>
      </c>
      <c r="C155" s="324">
        <v>702</v>
      </c>
      <c r="D155" s="323" t="s">
        <v>1317</v>
      </c>
      <c r="E155" s="322" t="s">
        <v>67</v>
      </c>
      <c r="F155" s="339">
        <v>485342359.14999998</v>
      </c>
      <c r="G155" s="339">
        <v>489922650</v>
      </c>
      <c r="H155" s="339">
        <v>489922650</v>
      </c>
      <c r="I155" s="353"/>
      <c r="J155" s="354" t="str">
        <f t="shared" si="7"/>
        <v>0702</v>
      </c>
      <c r="K155" s="355" t="str">
        <f t="shared" si="8"/>
        <v>0110211010</v>
      </c>
    </row>
    <row r="156" spans="1:11">
      <c r="A156" s="90" t="str">
        <f t="shared" si="6"/>
        <v>60607020110211010612</v>
      </c>
      <c r="B156" s="325">
        <v>606</v>
      </c>
      <c r="C156" s="324">
        <v>702</v>
      </c>
      <c r="D156" s="323" t="s">
        <v>1317</v>
      </c>
      <c r="E156" s="322" t="s">
        <v>1046</v>
      </c>
      <c r="F156" s="339">
        <v>3617600</v>
      </c>
      <c r="G156" s="339">
        <v>3997750</v>
      </c>
      <c r="H156" s="339">
        <v>3997750</v>
      </c>
      <c r="I156" s="353"/>
      <c r="J156" s="354" t="str">
        <f t="shared" si="7"/>
        <v>0702</v>
      </c>
      <c r="K156" s="355" t="str">
        <f t="shared" si="8"/>
        <v>0110211010</v>
      </c>
    </row>
    <row r="157" spans="1:11">
      <c r="A157" s="90" t="str">
        <f t="shared" si="6"/>
        <v>60607020110211010621</v>
      </c>
      <c r="B157" s="325">
        <v>606</v>
      </c>
      <c r="C157" s="324">
        <v>702</v>
      </c>
      <c r="D157" s="323" t="s">
        <v>1317</v>
      </c>
      <c r="E157" s="322" t="s">
        <v>16</v>
      </c>
      <c r="F157" s="339">
        <v>38135240.850000001</v>
      </c>
      <c r="G157" s="339">
        <v>38119870</v>
      </c>
      <c r="H157" s="339">
        <v>38119870</v>
      </c>
      <c r="I157" s="353"/>
      <c r="J157" s="354" t="str">
        <f t="shared" si="7"/>
        <v>0702</v>
      </c>
      <c r="K157" s="355" t="str">
        <f t="shared" si="8"/>
        <v>0110211010</v>
      </c>
    </row>
    <row r="158" spans="1:11">
      <c r="A158" s="90" t="str">
        <f t="shared" si="6"/>
        <v>60607020110211010622</v>
      </c>
      <c r="B158" s="325">
        <v>606</v>
      </c>
      <c r="C158" s="324">
        <v>702</v>
      </c>
      <c r="D158" s="323" t="s">
        <v>1317</v>
      </c>
      <c r="E158" s="322" t="s">
        <v>1054</v>
      </c>
      <c r="F158" s="339">
        <v>767150</v>
      </c>
      <c r="G158" s="339">
        <v>0</v>
      </c>
      <c r="H158" s="339">
        <v>0</v>
      </c>
      <c r="I158" s="353"/>
      <c r="J158" s="354" t="str">
        <f t="shared" si="7"/>
        <v>0702</v>
      </c>
      <c r="K158" s="355" t="str">
        <f t="shared" si="8"/>
        <v>0110211010</v>
      </c>
    </row>
    <row r="159" spans="1:11">
      <c r="A159" s="90" t="str">
        <f t="shared" si="6"/>
        <v>60607020110211010632</v>
      </c>
      <c r="B159" s="325">
        <v>606</v>
      </c>
      <c r="C159" s="324">
        <v>702</v>
      </c>
      <c r="D159" s="323" t="s">
        <v>1317</v>
      </c>
      <c r="E159" s="322" t="s">
        <v>1055</v>
      </c>
      <c r="F159" s="339">
        <v>695033.92</v>
      </c>
      <c r="G159" s="339">
        <v>0</v>
      </c>
      <c r="H159" s="339">
        <v>0</v>
      </c>
      <c r="I159" s="353"/>
      <c r="J159" s="354" t="str">
        <f t="shared" si="7"/>
        <v>0702</v>
      </c>
      <c r="K159" s="355" t="str">
        <f t="shared" si="8"/>
        <v>0110211010</v>
      </c>
    </row>
    <row r="160" spans="1:11">
      <c r="A160" s="90" t="str">
        <f t="shared" si="6"/>
        <v>60607020110277160111</v>
      </c>
      <c r="B160" s="325">
        <v>606</v>
      </c>
      <c r="C160" s="324">
        <v>702</v>
      </c>
      <c r="D160" s="323" t="s">
        <v>1318</v>
      </c>
      <c r="E160" s="322" t="s">
        <v>1056</v>
      </c>
      <c r="F160" s="339">
        <v>8913720</v>
      </c>
      <c r="G160" s="339">
        <v>8913720</v>
      </c>
      <c r="H160" s="339">
        <v>8913720</v>
      </c>
      <c r="I160" s="353"/>
      <c r="J160" s="354" t="str">
        <f t="shared" si="7"/>
        <v>0702</v>
      </c>
      <c r="K160" s="355" t="str">
        <f t="shared" si="8"/>
        <v>0110277160</v>
      </c>
    </row>
    <row r="161" spans="1:11">
      <c r="A161" s="90" t="str">
        <f t="shared" si="6"/>
        <v>60607020110277160119</v>
      </c>
      <c r="B161" s="325">
        <v>606</v>
      </c>
      <c r="C161" s="324">
        <v>702</v>
      </c>
      <c r="D161" s="323" t="s">
        <v>1318</v>
      </c>
      <c r="E161" s="322" t="s">
        <v>1057</v>
      </c>
      <c r="F161" s="339">
        <v>2691940</v>
      </c>
      <c r="G161" s="339">
        <v>2691940</v>
      </c>
      <c r="H161" s="339">
        <v>2691940</v>
      </c>
      <c r="I161" s="353"/>
      <c r="J161" s="354" t="str">
        <f t="shared" si="7"/>
        <v>0702</v>
      </c>
      <c r="K161" s="355" t="str">
        <f t="shared" si="8"/>
        <v>0110277160</v>
      </c>
    </row>
    <row r="162" spans="1:11">
      <c r="A162" s="90" t="str">
        <f t="shared" si="6"/>
        <v>60607020110277160611</v>
      </c>
      <c r="B162" s="325">
        <v>606</v>
      </c>
      <c r="C162" s="324">
        <v>702</v>
      </c>
      <c r="D162" s="323" t="s">
        <v>1318</v>
      </c>
      <c r="E162" s="322" t="s">
        <v>67</v>
      </c>
      <c r="F162" s="339">
        <v>975099626.60000002</v>
      </c>
      <c r="G162" s="339">
        <v>812053312.01999998</v>
      </c>
      <c r="H162" s="339">
        <v>906013405.10000002</v>
      </c>
      <c r="I162" s="353"/>
      <c r="J162" s="354" t="str">
        <f t="shared" si="7"/>
        <v>0702</v>
      </c>
      <c r="K162" s="355" t="str">
        <f t="shared" si="8"/>
        <v>0110277160</v>
      </c>
    </row>
    <row r="163" spans="1:11">
      <c r="A163" s="90" t="str">
        <f t="shared" si="6"/>
        <v>60607020110277160621</v>
      </c>
      <c r="B163" s="325">
        <v>606</v>
      </c>
      <c r="C163" s="324">
        <v>702</v>
      </c>
      <c r="D163" s="323" t="s">
        <v>1318</v>
      </c>
      <c r="E163" s="322" t="s">
        <v>16</v>
      </c>
      <c r="F163" s="339">
        <v>98373167</v>
      </c>
      <c r="G163" s="339">
        <v>98318600</v>
      </c>
      <c r="H163" s="339">
        <v>98318600</v>
      </c>
      <c r="I163" s="353"/>
      <c r="J163" s="354" t="str">
        <f t="shared" si="7"/>
        <v>0702</v>
      </c>
      <c r="K163" s="355" t="str">
        <f t="shared" si="8"/>
        <v>0110277160</v>
      </c>
    </row>
    <row r="164" spans="1:11">
      <c r="A164" s="90" t="str">
        <f t="shared" si="6"/>
        <v>60607020110277160632</v>
      </c>
      <c r="B164" s="325">
        <v>606</v>
      </c>
      <c r="C164" s="324">
        <v>702</v>
      </c>
      <c r="D164" s="323" t="s">
        <v>1318</v>
      </c>
      <c r="E164" s="322" t="s">
        <v>1055</v>
      </c>
      <c r="F164" s="339">
        <v>4731840</v>
      </c>
      <c r="G164" s="339">
        <v>4731840</v>
      </c>
      <c r="H164" s="339">
        <v>4731840</v>
      </c>
      <c r="I164" s="353"/>
      <c r="J164" s="354" t="str">
        <f t="shared" si="7"/>
        <v>0702</v>
      </c>
      <c r="K164" s="355" t="str">
        <f t="shared" si="8"/>
        <v>0110277160</v>
      </c>
    </row>
    <row r="165" spans="1:11">
      <c r="A165" s="90" t="str">
        <f t="shared" si="6"/>
        <v>60607020110277250111</v>
      </c>
      <c r="B165" s="325">
        <v>606</v>
      </c>
      <c r="C165" s="324">
        <v>702</v>
      </c>
      <c r="D165" s="323" t="s">
        <v>1319</v>
      </c>
      <c r="E165" s="322" t="s">
        <v>1056</v>
      </c>
      <c r="F165" s="339">
        <v>3600</v>
      </c>
      <c r="G165" s="339">
        <v>0</v>
      </c>
      <c r="H165" s="339">
        <v>0</v>
      </c>
      <c r="I165" s="353"/>
      <c r="J165" s="354" t="str">
        <f t="shared" si="7"/>
        <v>0702</v>
      </c>
      <c r="K165" s="355" t="str">
        <f t="shared" si="8"/>
        <v>0110277250</v>
      </c>
    </row>
    <row r="166" spans="1:11">
      <c r="A166" s="90" t="str">
        <f t="shared" si="6"/>
        <v>60607020110277250119</v>
      </c>
      <c r="B166" s="325">
        <v>606</v>
      </c>
      <c r="C166" s="324">
        <v>702</v>
      </c>
      <c r="D166" s="323" t="s">
        <v>1319</v>
      </c>
      <c r="E166" s="322" t="s">
        <v>1057</v>
      </c>
      <c r="F166" s="339">
        <v>1087.2</v>
      </c>
      <c r="G166" s="339">
        <v>0</v>
      </c>
      <c r="H166" s="339">
        <v>0</v>
      </c>
      <c r="I166" s="353"/>
      <c r="J166" s="354" t="str">
        <f t="shared" si="7"/>
        <v>0702</v>
      </c>
      <c r="K166" s="355" t="str">
        <f t="shared" si="8"/>
        <v>0110277250</v>
      </c>
    </row>
    <row r="167" spans="1:11">
      <c r="A167" s="90" t="str">
        <f t="shared" si="6"/>
        <v>60607020110277250611</v>
      </c>
      <c r="B167" s="325">
        <v>606</v>
      </c>
      <c r="C167" s="324">
        <v>702</v>
      </c>
      <c r="D167" s="323" t="s">
        <v>1319</v>
      </c>
      <c r="E167" s="322" t="s">
        <v>67</v>
      </c>
      <c r="F167" s="339">
        <v>710110.8</v>
      </c>
      <c r="G167" s="339">
        <v>0</v>
      </c>
      <c r="H167" s="339">
        <v>0</v>
      </c>
      <c r="I167" s="353"/>
      <c r="J167" s="354" t="str">
        <f t="shared" si="7"/>
        <v>0702</v>
      </c>
      <c r="K167" s="355" t="str">
        <f t="shared" si="8"/>
        <v>0110277250</v>
      </c>
    </row>
    <row r="168" spans="1:11">
      <c r="A168" s="90" t="str">
        <f t="shared" si="6"/>
        <v>60607020110277250621</v>
      </c>
      <c r="B168" s="325">
        <v>606</v>
      </c>
      <c r="C168" s="324">
        <v>702</v>
      </c>
      <c r="D168" s="323" t="s">
        <v>1319</v>
      </c>
      <c r="E168" s="322" t="s">
        <v>16</v>
      </c>
      <c r="F168" s="339">
        <v>56246.400000000001</v>
      </c>
      <c r="G168" s="339">
        <v>0</v>
      </c>
      <c r="H168" s="339">
        <v>0</v>
      </c>
      <c r="I168" s="353"/>
      <c r="J168" s="354" t="str">
        <f t="shared" si="7"/>
        <v>0702</v>
      </c>
      <c r="K168" s="355" t="str">
        <f t="shared" si="8"/>
        <v>0110277250</v>
      </c>
    </row>
    <row r="169" spans="1:11">
      <c r="A169" s="90" t="str">
        <f t="shared" si="6"/>
        <v>60607020110611010612</v>
      </c>
      <c r="B169" s="325">
        <v>606</v>
      </c>
      <c r="C169" s="324">
        <v>702</v>
      </c>
      <c r="D169" s="323" t="s">
        <v>1315</v>
      </c>
      <c r="E169" s="322" t="s">
        <v>1046</v>
      </c>
      <c r="F169" s="339">
        <v>11338200</v>
      </c>
      <c r="G169" s="339">
        <v>4000000</v>
      </c>
      <c r="H169" s="339">
        <v>4000000</v>
      </c>
      <c r="I169" s="353"/>
      <c r="J169" s="354" t="str">
        <f t="shared" si="7"/>
        <v>0702</v>
      </c>
      <c r="K169" s="355" t="str">
        <f t="shared" si="8"/>
        <v>0110611010</v>
      </c>
    </row>
    <row r="170" spans="1:11">
      <c r="A170" s="90" t="str">
        <f t="shared" si="6"/>
        <v>60607020120140010465</v>
      </c>
      <c r="B170" s="325">
        <v>606</v>
      </c>
      <c r="C170" s="324">
        <v>702</v>
      </c>
      <c r="D170" s="323" t="s">
        <v>1320</v>
      </c>
      <c r="E170" s="322" t="s">
        <v>1058</v>
      </c>
      <c r="F170" s="339">
        <v>3720000</v>
      </c>
      <c r="G170" s="339">
        <v>6819620</v>
      </c>
      <c r="H170" s="339">
        <v>0</v>
      </c>
      <c r="I170" s="353"/>
      <c r="J170" s="354" t="str">
        <f t="shared" si="7"/>
        <v>0702</v>
      </c>
      <c r="K170" s="355" t="str">
        <f t="shared" si="8"/>
        <v>0120140010</v>
      </c>
    </row>
    <row r="171" spans="1:11">
      <c r="A171" s="90" t="str">
        <f t="shared" si="6"/>
        <v>60607021520220370612</v>
      </c>
      <c r="B171" s="325">
        <v>606</v>
      </c>
      <c r="C171" s="324">
        <v>702</v>
      </c>
      <c r="D171" s="323" t="s">
        <v>1283</v>
      </c>
      <c r="E171" s="322" t="s">
        <v>1046</v>
      </c>
      <c r="F171" s="339">
        <v>263500</v>
      </c>
      <c r="G171" s="339">
        <v>237150</v>
      </c>
      <c r="H171" s="339">
        <v>237150</v>
      </c>
      <c r="I171" s="353"/>
      <c r="J171" s="354" t="str">
        <f t="shared" si="7"/>
        <v>0702</v>
      </c>
      <c r="K171" s="355" t="str">
        <f t="shared" si="8"/>
        <v>1520220370</v>
      </c>
    </row>
    <row r="172" spans="1:11">
      <c r="A172" s="90" t="str">
        <f t="shared" si="6"/>
        <v>60607021530120660612</v>
      </c>
      <c r="B172" s="325">
        <v>606</v>
      </c>
      <c r="C172" s="324">
        <v>702</v>
      </c>
      <c r="D172" s="323" t="s">
        <v>1308</v>
      </c>
      <c r="E172" s="322" t="s">
        <v>1046</v>
      </c>
      <c r="F172" s="339">
        <v>1949540.4</v>
      </c>
      <c r="G172" s="339">
        <v>1774800</v>
      </c>
      <c r="H172" s="339">
        <v>1774800</v>
      </c>
      <c r="I172" s="353"/>
      <c r="J172" s="354" t="str">
        <f t="shared" si="7"/>
        <v>0702</v>
      </c>
      <c r="K172" s="355" t="str">
        <f t="shared" si="8"/>
        <v>1530120660</v>
      </c>
    </row>
    <row r="173" spans="1:11">
      <c r="A173" s="90" t="str">
        <f t="shared" si="6"/>
        <v>60607021530120660622</v>
      </c>
      <c r="B173" s="325">
        <v>606</v>
      </c>
      <c r="C173" s="324">
        <v>702</v>
      </c>
      <c r="D173" s="323" t="s">
        <v>1308</v>
      </c>
      <c r="E173" s="322" t="s">
        <v>1054</v>
      </c>
      <c r="F173" s="339">
        <v>22459.599999999999</v>
      </c>
      <c r="G173" s="339">
        <v>0</v>
      </c>
      <c r="H173" s="339">
        <v>0</v>
      </c>
      <c r="I173" s="353"/>
      <c r="J173" s="354" t="str">
        <f t="shared" si="7"/>
        <v>0702</v>
      </c>
      <c r="K173" s="355" t="str">
        <f t="shared" si="8"/>
        <v>1530120660</v>
      </c>
    </row>
    <row r="174" spans="1:11">
      <c r="A174" s="90" t="str">
        <f t="shared" si="6"/>
        <v>60607021620220550612</v>
      </c>
      <c r="B174" s="325">
        <v>606</v>
      </c>
      <c r="C174" s="324">
        <v>702</v>
      </c>
      <c r="D174" s="323" t="s">
        <v>1316</v>
      </c>
      <c r="E174" s="322" t="s">
        <v>1046</v>
      </c>
      <c r="F174" s="339">
        <v>2927360</v>
      </c>
      <c r="G174" s="339">
        <v>2627360</v>
      </c>
      <c r="H174" s="339">
        <v>2627360</v>
      </c>
      <c r="I174" s="353"/>
      <c r="J174" s="354" t="str">
        <f t="shared" si="7"/>
        <v>0702</v>
      </c>
      <c r="K174" s="355" t="str">
        <f t="shared" si="8"/>
        <v>1620220550</v>
      </c>
    </row>
    <row r="175" spans="1:11">
      <c r="A175" s="90" t="str">
        <f t="shared" si="6"/>
        <v>60607021620220550622</v>
      </c>
      <c r="B175" s="325">
        <v>606</v>
      </c>
      <c r="C175" s="324">
        <v>702</v>
      </c>
      <c r="D175" s="323" t="s">
        <v>1316</v>
      </c>
      <c r="E175" s="322" t="s">
        <v>1054</v>
      </c>
      <c r="F175" s="339">
        <v>148700</v>
      </c>
      <c r="G175" s="339">
        <v>148700</v>
      </c>
      <c r="H175" s="339">
        <v>148700</v>
      </c>
      <c r="I175" s="353"/>
      <c r="J175" s="354" t="str">
        <f t="shared" si="7"/>
        <v>0702</v>
      </c>
      <c r="K175" s="355" t="str">
        <f t="shared" si="8"/>
        <v>1620220550</v>
      </c>
    </row>
    <row r="176" spans="1:11">
      <c r="A176" s="90" t="str">
        <f t="shared" si="6"/>
        <v>606070218Б0220360612</v>
      </c>
      <c r="B176" s="325">
        <v>606</v>
      </c>
      <c r="C176" s="324">
        <v>702</v>
      </c>
      <c r="D176" s="323" t="s">
        <v>1206</v>
      </c>
      <c r="E176" s="322" t="s">
        <v>1046</v>
      </c>
      <c r="F176" s="339">
        <v>102000</v>
      </c>
      <c r="G176" s="339">
        <v>91800</v>
      </c>
      <c r="H176" s="339">
        <v>91800</v>
      </c>
      <c r="I176" s="353"/>
      <c r="J176" s="354" t="str">
        <f t="shared" si="7"/>
        <v>0702</v>
      </c>
      <c r="K176" s="355" t="str">
        <f t="shared" si="8"/>
        <v>18Б0220360</v>
      </c>
    </row>
    <row r="177" spans="1:11">
      <c r="A177" s="90" t="str">
        <f t="shared" si="6"/>
        <v>60607030110311010611</v>
      </c>
      <c r="B177" s="325">
        <v>606</v>
      </c>
      <c r="C177" s="324">
        <v>703</v>
      </c>
      <c r="D177" s="323" t="s">
        <v>1321</v>
      </c>
      <c r="E177" s="322" t="s">
        <v>67</v>
      </c>
      <c r="F177" s="339">
        <v>145509430</v>
      </c>
      <c r="G177" s="339">
        <v>145858070</v>
      </c>
      <c r="H177" s="339">
        <v>145858070</v>
      </c>
      <c r="I177" s="353"/>
      <c r="J177" s="354" t="str">
        <f t="shared" si="7"/>
        <v>0703</v>
      </c>
      <c r="K177" s="355" t="str">
        <f t="shared" si="8"/>
        <v>0110311010</v>
      </c>
    </row>
    <row r="178" spans="1:11">
      <c r="A178" s="90" t="str">
        <f t="shared" si="6"/>
        <v>60607030110311010621</v>
      </c>
      <c r="B178" s="325">
        <v>606</v>
      </c>
      <c r="C178" s="324">
        <v>703</v>
      </c>
      <c r="D178" s="323" t="s">
        <v>1321</v>
      </c>
      <c r="E178" s="322" t="s">
        <v>16</v>
      </c>
      <c r="F178" s="339">
        <v>17850960</v>
      </c>
      <c r="G178" s="339">
        <v>17763000</v>
      </c>
      <c r="H178" s="339">
        <v>17763000</v>
      </c>
      <c r="I178" s="353"/>
      <c r="J178" s="354" t="str">
        <f t="shared" si="7"/>
        <v>0703</v>
      </c>
      <c r="K178" s="355" t="str">
        <f t="shared" si="8"/>
        <v>0110311010</v>
      </c>
    </row>
    <row r="179" spans="1:11">
      <c r="A179" s="90" t="str">
        <f t="shared" si="6"/>
        <v>60607030110377250611</v>
      </c>
      <c r="B179" s="325">
        <v>606</v>
      </c>
      <c r="C179" s="324">
        <v>703</v>
      </c>
      <c r="D179" s="323" t="s">
        <v>1322</v>
      </c>
      <c r="E179" s="322" t="s">
        <v>67</v>
      </c>
      <c r="F179" s="339">
        <v>185144.4</v>
      </c>
      <c r="G179" s="339">
        <v>0</v>
      </c>
      <c r="H179" s="339">
        <v>0</v>
      </c>
      <c r="I179" s="353"/>
      <c r="J179" s="354" t="str">
        <f t="shared" si="7"/>
        <v>0703</v>
      </c>
      <c r="K179" s="355" t="str">
        <f t="shared" si="8"/>
        <v>0110377250</v>
      </c>
    </row>
    <row r="180" spans="1:11">
      <c r="A180" s="90" t="str">
        <f t="shared" si="6"/>
        <v>60607030110377250621</v>
      </c>
      <c r="B180" s="325">
        <v>606</v>
      </c>
      <c r="C180" s="324">
        <v>703</v>
      </c>
      <c r="D180" s="323" t="s">
        <v>1322</v>
      </c>
      <c r="E180" s="322" t="s">
        <v>16</v>
      </c>
      <c r="F180" s="339">
        <v>30466.799999999999</v>
      </c>
      <c r="G180" s="339">
        <v>0</v>
      </c>
      <c r="H180" s="339">
        <v>0</v>
      </c>
      <c r="I180" s="353"/>
      <c r="J180" s="354" t="str">
        <f t="shared" si="7"/>
        <v>0703</v>
      </c>
      <c r="K180" s="355" t="str">
        <f t="shared" si="8"/>
        <v>0110377250</v>
      </c>
    </row>
    <row r="181" spans="1:11">
      <c r="A181" s="90" t="str">
        <f t="shared" si="6"/>
        <v>60607031620220550612</v>
      </c>
      <c r="B181" s="325">
        <v>606</v>
      </c>
      <c r="C181" s="324">
        <v>703</v>
      </c>
      <c r="D181" s="323" t="s">
        <v>1316</v>
      </c>
      <c r="E181" s="322" t="s">
        <v>1046</v>
      </c>
      <c r="F181" s="339">
        <v>286900</v>
      </c>
      <c r="G181" s="339">
        <v>243900</v>
      </c>
      <c r="H181" s="339">
        <v>243900</v>
      </c>
      <c r="I181" s="353"/>
      <c r="J181" s="354" t="str">
        <f t="shared" si="7"/>
        <v>0703</v>
      </c>
      <c r="K181" s="355" t="str">
        <f t="shared" si="8"/>
        <v>1620220550</v>
      </c>
    </row>
    <row r="182" spans="1:11">
      <c r="A182" s="90" t="str">
        <f t="shared" si="6"/>
        <v>60607031620220550622</v>
      </c>
      <c r="B182" s="325">
        <v>606</v>
      </c>
      <c r="C182" s="324">
        <v>703</v>
      </c>
      <c r="D182" s="323" t="s">
        <v>1316</v>
      </c>
      <c r="E182" s="322" t="s">
        <v>1054</v>
      </c>
      <c r="F182" s="339">
        <v>58600</v>
      </c>
      <c r="G182" s="339">
        <v>58600</v>
      </c>
      <c r="H182" s="339">
        <v>58600</v>
      </c>
      <c r="I182" s="353"/>
      <c r="J182" s="354" t="str">
        <f t="shared" si="7"/>
        <v>0703</v>
      </c>
      <c r="K182" s="355" t="str">
        <f t="shared" si="8"/>
        <v>1620220550</v>
      </c>
    </row>
    <row r="183" spans="1:11">
      <c r="A183" s="90" t="str">
        <f t="shared" si="6"/>
        <v>60607070110411010621</v>
      </c>
      <c r="B183" s="325">
        <v>606</v>
      </c>
      <c r="C183" s="324">
        <v>707</v>
      </c>
      <c r="D183" s="323" t="s">
        <v>1323</v>
      </c>
      <c r="E183" s="322" t="s">
        <v>16</v>
      </c>
      <c r="F183" s="339">
        <v>6986650</v>
      </c>
      <c r="G183" s="339">
        <v>7009240</v>
      </c>
      <c r="H183" s="339">
        <v>7009240</v>
      </c>
      <c r="I183" s="353"/>
      <c r="J183" s="354" t="str">
        <f t="shared" si="7"/>
        <v>0707</v>
      </c>
      <c r="K183" s="355" t="str">
        <f t="shared" si="8"/>
        <v>0110411010</v>
      </c>
    </row>
    <row r="184" spans="1:11">
      <c r="A184" s="90" t="str">
        <f t="shared" si="6"/>
        <v>60607070110420330612</v>
      </c>
      <c r="B184" s="325">
        <v>606</v>
      </c>
      <c r="C184" s="324">
        <v>707</v>
      </c>
      <c r="D184" s="323" t="s">
        <v>1324</v>
      </c>
      <c r="E184" s="322" t="s">
        <v>1046</v>
      </c>
      <c r="F184" s="339">
        <v>17867370</v>
      </c>
      <c r="G184" s="339">
        <v>17867370</v>
      </c>
      <c r="H184" s="339">
        <v>17867370</v>
      </c>
      <c r="I184" s="353"/>
      <c r="J184" s="354" t="str">
        <f t="shared" si="7"/>
        <v>0707</v>
      </c>
      <c r="K184" s="355" t="str">
        <f t="shared" si="8"/>
        <v>0110420330</v>
      </c>
    </row>
    <row r="185" spans="1:11">
      <c r="A185" s="90" t="str">
        <f t="shared" si="6"/>
        <v>60607070110477250621</v>
      </c>
      <c r="B185" s="325">
        <v>606</v>
      </c>
      <c r="C185" s="324">
        <v>707</v>
      </c>
      <c r="D185" s="323" t="s">
        <v>1325</v>
      </c>
      <c r="E185" s="322" t="s">
        <v>16</v>
      </c>
      <c r="F185" s="339">
        <v>28123.200000000001</v>
      </c>
      <c r="G185" s="339">
        <v>0</v>
      </c>
      <c r="H185" s="339">
        <v>0</v>
      </c>
      <c r="I185" s="353"/>
      <c r="J185" s="354" t="str">
        <f t="shared" si="7"/>
        <v>0707</v>
      </c>
      <c r="K185" s="355" t="str">
        <f t="shared" si="8"/>
        <v>0110477250</v>
      </c>
    </row>
    <row r="186" spans="1:11">
      <c r="A186" s="90" t="str">
        <f t="shared" si="6"/>
        <v>60607071620220550622</v>
      </c>
      <c r="B186" s="325">
        <v>606</v>
      </c>
      <c r="C186" s="324">
        <v>707</v>
      </c>
      <c r="D186" s="323" t="s">
        <v>1316</v>
      </c>
      <c r="E186" s="322" t="s">
        <v>1054</v>
      </c>
      <c r="F186" s="339">
        <v>115200</v>
      </c>
      <c r="G186" s="339">
        <v>45200</v>
      </c>
      <c r="H186" s="339">
        <v>45200</v>
      </c>
      <c r="I186" s="353"/>
      <c r="J186" s="354" t="str">
        <f t="shared" si="7"/>
        <v>0707</v>
      </c>
      <c r="K186" s="355" t="str">
        <f t="shared" si="8"/>
        <v>1620220550</v>
      </c>
    </row>
    <row r="187" spans="1:11">
      <c r="A187" s="90" t="str">
        <f t="shared" si="6"/>
        <v>60607090110311010611</v>
      </c>
      <c r="B187" s="325">
        <v>606</v>
      </c>
      <c r="C187" s="324">
        <v>709</v>
      </c>
      <c r="D187" s="323" t="s">
        <v>1321</v>
      </c>
      <c r="E187" s="322" t="s">
        <v>67</v>
      </c>
      <c r="F187" s="339">
        <v>6745360</v>
      </c>
      <c r="G187" s="339">
        <v>6769130</v>
      </c>
      <c r="H187" s="339">
        <v>6769130</v>
      </c>
      <c r="I187" s="353"/>
      <c r="J187" s="354" t="str">
        <f t="shared" si="7"/>
        <v>0709</v>
      </c>
      <c r="K187" s="355" t="str">
        <f t="shared" si="8"/>
        <v>0110311010</v>
      </c>
    </row>
    <row r="188" spans="1:11">
      <c r="A188" s="90" t="str">
        <f t="shared" si="6"/>
        <v>60607090110377250611</v>
      </c>
      <c r="B188" s="325">
        <v>606</v>
      </c>
      <c r="C188" s="324">
        <v>709</v>
      </c>
      <c r="D188" s="323" t="s">
        <v>1322</v>
      </c>
      <c r="E188" s="322" t="s">
        <v>67</v>
      </c>
      <c r="F188" s="339">
        <v>23436</v>
      </c>
      <c r="G188" s="339">
        <v>0</v>
      </c>
      <c r="H188" s="339">
        <v>0</v>
      </c>
      <c r="I188" s="353"/>
      <c r="J188" s="354" t="str">
        <f t="shared" si="7"/>
        <v>0709</v>
      </c>
      <c r="K188" s="355" t="str">
        <f t="shared" si="8"/>
        <v>0110377250</v>
      </c>
    </row>
    <row r="189" spans="1:11">
      <c r="A189" s="90" t="str">
        <f t="shared" si="6"/>
        <v>60607090110520240244</v>
      </c>
      <c r="B189" s="325">
        <v>606</v>
      </c>
      <c r="C189" s="324">
        <v>709</v>
      </c>
      <c r="D189" s="323" t="s">
        <v>1326</v>
      </c>
      <c r="E189" s="322" t="s">
        <v>1043</v>
      </c>
      <c r="F189" s="339">
        <v>200000</v>
      </c>
      <c r="G189" s="339">
        <v>200000</v>
      </c>
      <c r="H189" s="339">
        <v>200000</v>
      </c>
      <c r="I189" s="353"/>
      <c r="J189" s="354" t="str">
        <f t="shared" si="7"/>
        <v>0709</v>
      </c>
      <c r="K189" s="355" t="str">
        <f t="shared" si="8"/>
        <v>0110520240</v>
      </c>
    </row>
    <row r="190" spans="1:11">
      <c r="A190" s="90" t="str">
        <f t="shared" si="6"/>
        <v>60607090110520240612</v>
      </c>
      <c r="B190" s="325">
        <v>606</v>
      </c>
      <c r="C190" s="324">
        <v>709</v>
      </c>
      <c r="D190" s="323" t="s">
        <v>1326</v>
      </c>
      <c r="E190" s="322" t="s">
        <v>1046</v>
      </c>
      <c r="F190" s="339">
        <v>4099960</v>
      </c>
      <c r="G190" s="339">
        <v>3583500</v>
      </c>
      <c r="H190" s="339">
        <v>3583500</v>
      </c>
      <c r="I190" s="353"/>
      <c r="J190" s="354" t="str">
        <f t="shared" si="7"/>
        <v>0709</v>
      </c>
      <c r="K190" s="355" t="str">
        <f t="shared" si="8"/>
        <v>0110520240</v>
      </c>
    </row>
    <row r="191" spans="1:11">
      <c r="A191" s="90" t="str">
        <f t="shared" si="6"/>
        <v>60607090110520240622</v>
      </c>
      <c r="B191" s="325">
        <v>606</v>
      </c>
      <c r="C191" s="324">
        <v>709</v>
      </c>
      <c r="D191" s="323" t="s">
        <v>1326</v>
      </c>
      <c r="E191" s="322" t="s">
        <v>1054</v>
      </c>
      <c r="F191" s="339">
        <v>428830</v>
      </c>
      <c r="G191" s="339">
        <v>345290</v>
      </c>
      <c r="H191" s="339">
        <v>345290</v>
      </c>
      <c r="I191" s="353"/>
      <c r="J191" s="354" t="str">
        <f t="shared" si="7"/>
        <v>0709</v>
      </c>
      <c r="K191" s="355" t="str">
        <f t="shared" si="8"/>
        <v>0110520240</v>
      </c>
    </row>
    <row r="192" spans="1:11">
      <c r="A192" s="90" t="str">
        <f t="shared" si="6"/>
        <v>60607090110811010611</v>
      </c>
      <c r="B192" s="325">
        <v>606</v>
      </c>
      <c r="C192" s="324">
        <v>709</v>
      </c>
      <c r="D192" s="323" t="s">
        <v>1327</v>
      </c>
      <c r="E192" s="322" t="s">
        <v>67</v>
      </c>
      <c r="F192" s="339">
        <v>6945850</v>
      </c>
      <c r="G192" s="339">
        <v>6945850</v>
      </c>
      <c r="H192" s="339">
        <v>6945850</v>
      </c>
      <c r="I192" s="353"/>
      <c r="J192" s="354" t="str">
        <f t="shared" si="7"/>
        <v>0709</v>
      </c>
      <c r="K192" s="355" t="str">
        <f t="shared" si="8"/>
        <v>0110811010</v>
      </c>
    </row>
    <row r="193" spans="1:11">
      <c r="A193" s="90" t="str">
        <f t="shared" si="6"/>
        <v>60607090110877250611</v>
      </c>
      <c r="B193" s="325">
        <v>606</v>
      </c>
      <c r="C193" s="324">
        <v>709</v>
      </c>
      <c r="D193" s="323" t="s">
        <v>1328</v>
      </c>
      <c r="E193" s="322" t="s">
        <v>67</v>
      </c>
      <c r="F193" s="339">
        <v>2343.6</v>
      </c>
      <c r="G193" s="339">
        <v>0</v>
      </c>
      <c r="H193" s="339">
        <v>0</v>
      </c>
      <c r="I193" s="353"/>
      <c r="J193" s="354" t="str">
        <f t="shared" si="7"/>
        <v>0709</v>
      </c>
      <c r="K193" s="355" t="str">
        <f t="shared" si="8"/>
        <v>0110877250</v>
      </c>
    </row>
    <row r="194" spans="1:11">
      <c r="A194" s="90" t="str">
        <f t="shared" si="6"/>
        <v>60607091620220550612</v>
      </c>
      <c r="B194" s="325">
        <v>606</v>
      </c>
      <c r="C194" s="324">
        <v>709</v>
      </c>
      <c r="D194" s="323" t="s">
        <v>1316</v>
      </c>
      <c r="E194" s="322" t="s">
        <v>1046</v>
      </c>
      <c r="F194" s="339">
        <v>73000</v>
      </c>
      <c r="G194" s="339">
        <v>63000</v>
      </c>
      <c r="H194" s="339">
        <v>63000</v>
      </c>
      <c r="I194" s="353"/>
      <c r="J194" s="354" t="str">
        <f t="shared" si="7"/>
        <v>0709</v>
      </c>
      <c r="K194" s="355" t="str">
        <f t="shared" si="8"/>
        <v>1620220550</v>
      </c>
    </row>
    <row r="195" spans="1:11">
      <c r="A195" s="90" t="str">
        <f t="shared" si="6"/>
        <v>60607097510010010122</v>
      </c>
      <c r="B195" s="325">
        <v>606</v>
      </c>
      <c r="C195" s="324">
        <v>709</v>
      </c>
      <c r="D195" s="323" t="s">
        <v>1329</v>
      </c>
      <c r="E195" s="322" t="s">
        <v>1059</v>
      </c>
      <c r="F195" s="339">
        <v>522400</v>
      </c>
      <c r="G195" s="339">
        <v>522400</v>
      </c>
      <c r="H195" s="339">
        <v>522400</v>
      </c>
      <c r="I195" s="353"/>
      <c r="J195" s="354" t="str">
        <f t="shared" si="7"/>
        <v>0709</v>
      </c>
      <c r="K195" s="355" t="str">
        <f t="shared" si="8"/>
        <v>7510010010</v>
      </c>
    </row>
    <row r="196" spans="1:11">
      <c r="A196" s="90" t="str">
        <f t="shared" si="6"/>
        <v>60607097510010010129</v>
      </c>
      <c r="B196" s="325">
        <v>606</v>
      </c>
      <c r="C196" s="324">
        <v>709</v>
      </c>
      <c r="D196" s="323" t="s">
        <v>1329</v>
      </c>
      <c r="E196" s="322" t="s">
        <v>1060</v>
      </c>
      <c r="F196" s="339">
        <v>157760</v>
      </c>
      <c r="G196" s="339">
        <v>157760</v>
      </c>
      <c r="H196" s="339">
        <v>157760</v>
      </c>
      <c r="I196" s="353"/>
      <c r="J196" s="354" t="str">
        <f t="shared" si="7"/>
        <v>0709</v>
      </c>
      <c r="K196" s="355" t="str">
        <f t="shared" si="8"/>
        <v>7510010010</v>
      </c>
    </row>
    <row r="197" spans="1:11">
      <c r="A197" s="90" t="str">
        <f t="shared" si="6"/>
        <v>60607097510010010244</v>
      </c>
      <c r="B197" s="325">
        <v>606</v>
      </c>
      <c r="C197" s="324">
        <v>709</v>
      </c>
      <c r="D197" s="323" t="s">
        <v>1329</v>
      </c>
      <c r="E197" s="322" t="s">
        <v>1043</v>
      </c>
      <c r="F197" s="339">
        <v>1685870</v>
      </c>
      <c r="G197" s="339">
        <v>1701510</v>
      </c>
      <c r="H197" s="339">
        <v>1701510</v>
      </c>
      <c r="I197" s="353"/>
      <c r="J197" s="354" t="str">
        <f t="shared" si="7"/>
        <v>0709</v>
      </c>
      <c r="K197" s="355" t="str">
        <f t="shared" si="8"/>
        <v>7510010010</v>
      </c>
    </row>
    <row r="198" spans="1:11">
      <c r="A198" s="90" t="str">
        <f t="shared" si="6"/>
        <v>60607097510010010851</v>
      </c>
      <c r="B198" s="325">
        <v>606</v>
      </c>
      <c r="C198" s="324">
        <v>709</v>
      </c>
      <c r="D198" s="323" t="s">
        <v>1329</v>
      </c>
      <c r="E198" s="322" t="s">
        <v>1061</v>
      </c>
      <c r="F198" s="339">
        <v>40240</v>
      </c>
      <c r="G198" s="339">
        <v>40240</v>
      </c>
      <c r="H198" s="339">
        <v>40240</v>
      </c>
      <c r="I198" s="353"/>
      <c r="J198" s="354" t="str">
        <f t="shared" si="7"/>
        <v>0709</v>
      </c>
      <c r="K198" s="355" t="str">
        <f t="shared" si="8"/>
        <v>7510010010</v>
      </c>
    </row>
    <row r="199" spans="1:11">
      <c r="A199" s="90" t="str">
        <f t="shared" si="6"/>
        <v>60607097510010010852</v>
      </c>
      <c r="B199" s="325">
        <v>606</v>
      </c>
      <c r="C199" s="324">
        <v>709</v>
      </c>
      <c r="D199" s="323" t="s">
        <v>1329</v>
      </c>
      <c r="E199" s="322" t="s">
        <v>1062</v>
      </c>
      <c r="F199" s="339">
        <v>1900</v>
      </c>
      <c r="G199" s="339">
        <v>1900</v>
      </c>
      <c r="H199" s="339">
        <v>1900</v>
      </c>
      <c r="I199" s="353"/>
      <c r="J199" s="354" t="str">
        <f t="shared" si="7"/>
        <v>0709</v>
      </c>
      <c r="K199" s="355" t="str">
        <f t="shared" si="8"/>
        <v>7510010010</v>
      </c>
    </row>
    <row r="200" spans="1:11">
      <c r="A200" s="90" t="str">
        <f t="shared" si="6"/>
        <v>60607097510010020121</v>
      </c>
      <c r="B200" s="325">
        <v>606</v>
      </c>
      <c r="C200" s="324">
        <v>709</v>
      </c>
      <c r="D200" s="323" t="s">
        <v>1330</v>
      </c>
      <c r="E200" s="322" t="s">
        <v>1063</v>
      </c>
      <c r="F200" s="339">
        <v>16357590</v>
      </c>
      <c r="G200" s="339">
        <v>16357590</v>
      </c>
      <c r="H200" s="339">
        <v>16357590</v>
      </c>
      <c r="I200" s="353"/>
      <c r="J200" s="354" t="str">
        <f t="shared" si="7"/>
        <v>0709</v>
      </c>
      <c r="K200" s="355" t="str">
        <f t="shared" si="8"/>
        <v>7510010020</v>
      </c>
    </row>
    <row r="201" spans="1:11">
      <c r="A201" s="90" t="str">
        <f t="shared" si="6"/>
        <v>60607097510010020129</v>
      </c>
      <c r="B201" s="325">
        <v>606</v>
      </c>
      <c r="C201" s="324">
        <v>709</v>
      </c>
      <c r="D201" s="323" t="s">
        <v>1330</v>
      </c>
      <c r="E201" s="322" t="s">
        <v>1060</v>
      </c>
      <c r="F201" s="339">
        <v>4939990</v>
      </c>
      <c r="G201" s="339">
        <v>4939990</v>
      </c>
      <c r="H201" s="339">
        <v>4939990</v>
      </c>
      <c r="I201" s="353"/>
      <c r="J201" s="354" t="str">
        <f t="shared" si="7"/>
        <v>0709</v>
      </c>
      <c r="K201" s="355" t="str">
        <f t="shared" si="8"/>
        <v>7510010020</v>
      </c>
    </row>
    <row r="202" spans="1:11">
      <c r="A202" s="90" t="str">
        <f t="shared" ref="A202:A265" si="9">CONCATENATE(B202,J202,K202,E202)</f>
        <v>60607097510076200121</v>
      </c>
      <c r="B202" s="325">
        <v>606</v>
      </c>
      <c r="C202" s="324">
        <v>709</v>
      </c>
      <c r="D202" s="323" t="s">
        <v>1331</v>
      </c>
      <c r="E202" s="322" t="s">
        <v>1063</v>
      </c>
      <c r="F202" s="339">
        <v>1449862.62</v>
      </c>
      <c r="G202" s="339">
        <v>1449860</v>
      </c>
      <c r="H202" s="339">
        <v>1449860</v>
      </c>
      <c r="I202" s="353"/>
      <c r="J202" s="354" t="str">
        <f t="shared" si="7"/>
        <v>0709</v>
      </c>
      <c r="K202" s="355" t="str">
        <f t="shared" si="8"/>
        <v>7510076200</v>
      </c>
    </row>
    <row r="203" spans="1:11">
      <c r="A203" s="90" t="str">
        <f t="shared" si="9"/>
        <v>60607097510076200122</v>
      </c>
      <c r="B203" s="325">
        <v>606</v>
      </c>
      <c r="C203" s="324">
        <v>709</v>
      </c>
      <c r="D203" s="323" t="s">
        <v>1331</v>
      </c>
      <c r="E203" s="322" t="s">
        <v>1059</v>
      </c>
      <c r="F203" s="339">
        <v>64430</v>
      </c>
      <c r="G203" s="339">
        <v>64430</v>
      </c>
      <c r="H203" s="339">
        <v>64430</v>
      </c>
      <c r="I203" s="353"/>
      <c r="J203" s="354" t="str">
        <f t="shared" ref="J203:J266" si="10">TEXT(C203,"0000")</f>
        <v>0709</v>
      </c>
      <c r="K203" s="355" t="str">
        <f t="shared" ref="K203:K266" si="11">TEXT(D203,"0000000000")</f>
        <v>7510076200</v>
      </c>
    </row>
    <row r="204" spans="1:11">
      <c r="A204" s="90" t="str">
        <f t="shared" si="9"/>
        <v>60607097510076200129</v>
      </c>
      <c r="B204" s="325">
        <v>606</v>
      </c>
      <c r="C204" s="324">
        <v>709</v>
      </c>
      <c r="D204" s="323" t="s">
        <v>1331</v>
      </c>
      <c r="E204" s="322" t="s">
        <v>1060</v>
      </c>
      <c r="F204" s="339">
        <v>457130</v>
      </c>
      <c r="G204" s="339">
        <v>457130</v>
      </c>
      <c r="H204" s="339">
        <v>457130</v>
      </c>
      <c r="I204" s="353"/>
      <c r="J204" s="354" t="str">
        <f t="shared" si="10"/>
        <v>0709</v>
      </c>
      <c r="K204" s="355" t="str">
        <f t="shared" si="11"/>
        <v>7510076200</v>
      </c>
    </row>
    <row r="205" spans="1:11">
      <c r="A205" s="90" t="str">
        <f t="shared" si="9"/>
        <v>60610040110176140244</v>
      </c>
      <c r="B205" s="325">
        <v>606</v>
      </c>
      <c r="C205" s="324">
        <v>1004</v>
      </c>
      <c r="D205" s="323" t="s">
        <v>1332</v>
      </c>
      <c r="E205" s="322" t="s">
        <v>1043</v>
      </c>
      <c r="F205" s="339">
        <v>1212230</v>
      </c>
      <c r="G205" s="339">
        <v>1212230</v>
      </c>
      <c r="H205" s="339">
        <v>1212230</v>
      </c>
      <c r="I205" s="353"/>
      <c r="J205" s="354" t="str">
        <f t="shared" si="10"/>
        <v>1004</v>
      </c>
      <c r="K205" s="355" t="str">
        <f t="shared" si="11"/>
        <v>0110176140</v>
      </c>
    </row>
    <row r="206" spans="1:11">
      <c r="A206" s="90" t="str">
        <f t="shared" si="9"/>
        <v>60610040110176140313</v>
      </c>
      <c r="B206" s="325">
        <v>606</v>
      </c>
      <c r="C206" s="324">
        <v>1004</v>
      </c>
      <c r="D206" s="323" t="s">
        <v>1332</v>
      </c>
      <c r="E206" s="322" t="s">
        <v>1064</v>
      </c>
      <c r="F206" s="339">
        <v>79603220</v>
      </c>
      <c r="G206" s="339">
        <v>79603220</v>
      </c>
      <c r="H206" s="339">
        <v>79603220</v>
      </c>
      <c r="I206" s="353"/>
      <c r="J206" s="354" t="str">
        <f t="shared" si="10"/>
        <v>1004</v>
      </c>
      <c r="K206" s="355" t="str">
        <f t="shared" si="11"/>
        <v>0110176140</v>
      </c>
    </row>
    <row r="207" spans="1:11">
      <c r="A207" s="90" t="str">
        <f t="shared" si="9"/>
        <v>60610040110778110323</v>
      </c>
      <c r="B207" s="325">
        <v>606</v>
      </c>
      <c r="C207" s="324">
        <v>1004</v>
      </c>
      <c r="D207" s="323" t="s">
        <v>1333</v>
      </c>
      <c r="E207" s="322" t="s">
        <v>1065</v>
      </c>
      <c r="F207" s="339">
        <v>19920790</v>
      </c>
      <c r="G207" s="339">
        <v>19526720</v>
      </c>
      <c r="H207" s="339">
        <v>19526720</v>
      </c>
      <c r="I207" s="353"/>
      <c r="J207" s="354" t="str">
        <f t="shared" si="10"/>
        <v>1004</v>
      </c>
      <c r="K207" s="355" t="str">
        <f t="shared" si="11"/>
        <v>0110778110</v>
      </c>
    </row>
    <row r="208" spans="1:11">
      <c r="A208" s="90" t="str">
        <f t="shared" si="9"/>
        <v>60610040110778120323</v>
      </c>
      <c r="B208" s="325">
        <v>606</v>
      </c>
      <c r="C208" s="324">
        <v>1004</v>
      </c>
      <c r="D208" s="323" t="s">
        <v>1334</v>
      </c>
      <c r="E208" s="322" t="s">
        <v>1065</v>
      </c>
      <c r="F208" s="339">
        <v>1543310</v>
      </c>
      <c r="G208" s="339">
        <v>1543310</v>
      </c>
      <c r="H208" s="339">
        <v>1543310</v>
      </c>
      <c r="I208" s="353"/>
      <c r="J208" s="354" t="str">
        <f t="shared" si="10"/>
        <v>1004</v>
      </c>
      <c r="K208" s="355" t="str">
        <f t="shared" si="11"/>
        <v>0110778120</v>
      </c>
    </row>
    <row r="209" spans="1:11">
      <c r="A209" s="90" t="str">
        <f t="shared" si="9"/>
        <v>60610040110778130323</v>
      </c>
      <c r="B209" s="325">
        <v>606</v>
      </c>
      <c r="C209" s="324">
        <v>1004</v>
      </c>
      <c r="D209" s="323" t="s">
        <v>1335</v>
      </c>
      <c r="E209" s="322" t="s">
        <v>1065</v>
      </c>
      <c r="F209" s="339">
        <v>8474640</v>
      </c>
      <c r="G209" s="339">
        <v>8310930</v>
      </c>
      <c r="H209" s="339">
        <v>8310930</v>
      </c>
      <c r="I209" s="353"/>
      <c r="J209" s="354" t="str">
        <f t="shared" si="10"/>
        <v>1004</v>
      </c>
      <c r="K209" s="355" t="str">
        <f t="shared" si="11"/>
        <v>0110778130</v>
      </c>
    </row>
    <row r="210" spans="1:11">
      <c r="A210" s="90" t="str">
        <f t="shared" si="9"/>
        <v>60610040110778140323</v>
      </c>
      <c r="B210" s="325">
        <v>606</v>
      </c>
      <c r="C210" s="324">
        <v>1004</v>
      </c>
      <c r="D210" s="323" t="s">
        <v>1336</v>
      </c>
      <c r="E210" s="322" t="s">
        <v>1065</v>
      </c>
      <c r="F210" s="339">
        <v>4275000</v>
      </c>
      <c r="G210" s="339">
        <v>4275000</v>
      </c>
      <c r="H210" s="339">
        <v>4275000</v>
      </c>
      <c r="I210" s="353"/>
      <c r="J210" s="354" t="str">
        <f t="shared" si="10"/>
        <v>1004</v>
      </c>
      <c r="K210" s="355" t="str">
        <f t="shared" si="11"/>
        <v>0110778140</v>
      </c>
    </row>
    <row r="211" spans="1:11">
      <c r="A211" s="90" t="str">
        <f t="shared" si="9"/>
        <v>60701139810020110244</v>
      </c>
      <c r="B211" s="325">
        <v>607</v>
      </c>
      <c r="C211" s="324">
        <v>113</v>
      </c>
      <c r="D211" s="323" t="s">
        <v>1337</v>
      </c>
      <c r="E211" s="322" t="s">
        <v>1043</v>
      </c>
      <c r="F211" s="339">
        <v>1058300</v>
      </c>
      <c r="G211" s="339">
        <v>1058300</v>
      </c>
      <c r="H211" s="339">
        <v>1058300</v>
      </c>
      <c r="I211" s="353"/>
      <c r="J211" s="354" t="str">
        <f t="shared" si="10"/>
        <v>0113</v>
      </c>
      <c r="K211" s="355" t="str">
        <f t="shared" si="11"/>
        <v>9810020110</v>
      </c>
    </row>
    <row r="212" spans="1:11">
      <c r="A212" s="90" t="str">
        <f t="shared" si="9"/>
        <v>60701139810020110360</v>
      </c>
      <c r="B212" s="325">
        <v>607</v>
      </c>
      <c r="C212" s="324">
        <v>113</v>
      </c>
      <c r="D212" s="323" t="s">
        <v>1337</v>
      </c>
      <c r="E212" s="322" t="s">
        <v>100</v>
      </c>
      <c r="F212" s="339">
        <v>26400</v>
      </c>
      <c r="G212" s="339">
        <v>26400</v>
      </c>
      <c r="H212" s="339">
        <v>26400</v>
      </c>
      <c r="I212" s="353"/>
      <c r="J212" s="354" t="str">
        <f t="shared" si="10"/>
        <v>0113</v>
      </c>
      <c r="K212" s="355" t="str">
        <f t="shared" si="11"/>
        <v>9810020110</v>
      </c>
    </row>
    <row r="213" spans="1:11">
      <c r="A213" s="90" t="str">
        <f t="shared" si="9"/>
        <v>60701139810020110853</v>
      </c>
      <c r="B213" s="325">
        <v>607</v>
      </c>
      <c r="C213" s="324">
        <v>113</v>
      </c>
      <c r="D213" s="323" t="s">
        <v>1337</v>
      </c>
      <c r="E213" s="322" t="s">
        <v>1066</v>
      </c>
      <c r="F213" s="339">
        <v>42000</v>
      </c>
      <c r="G213" s="339">
        <v>42000</v>
      </c>
      <c r="H213" s="339">
        <v>42000</v>
      </c>
      <c r="I213" s="353"/>
      <c r="J213" s="354" t="str">
        <f t="shared" si="10"/>
        <v>0113</v>
      </c>
      <c r="K213" s="355" t="str">
        <f t="shared" si="11"/>
        <v>9810020110</v>
      </c>
    </row>
    <row r="214" spans="1:11">
      <c r="A214" s="90" t="str">
        <f t="shared" si="9"/>
        <v>60701139810020110862</v>
      </c>
      <c r="B214" s="325">
        <v>607</v>
      </c>
      <c r="C214" s="324">
        <v>113</v>
      </c>
      <c r="D214" s="323" t="s">
        <v>1337</v>
      </c>
      <c r="E214" s="322" t="s">
        <v>1067</v>
      </c>
      <c r="F214" s="339">
        <v>260000</v>
      </c>
      <c r="G214" s="339">
        <v>260000</v>
      </c>
      <c r="H214" s="339">
        <v>260000</v>
      </c>
      <c r="I214" s="353"/>
      <c r="J214" s="354" t="str">
        <f t="shared" si="10"/>
        <v>0113</v>
      </c>
      <c r="K214" s="355" t="str">
        <f t="shared" si="11"/>
        <v>9810020110</v>
      </c>
    </row>
    <row r="215" spans="1:11">
      <c r="A215" s="90" t="str">
        <f t="shared" si="9"/>
        <v>60707030710120060611</v>
      </c>
      <c r="B215" s="325">
        <v>607</v>
      </c>
      <c r="C215" s="324">
        <v>703</v>
      </c>
      <c r="D215" s="323" t="s">
        <v>1295</v>
      </c>
      <c r="E215" s="322" t="s">
        <v>67</v>
      </c>
      <c r="F215" s="339">
        <v>347000</v>
      </c>
      <c r="G215" s="339">
        <v>347000</v>
      </c>
      <c r="H215" s="339">
        <v>347000</v>
      </c>
      <c r="I215" s="353"/>
      <c r="J215" s="354" t="str">
        <f t="shared" si="10"/>
        <v>0703</v>
      </c>
      <c r="K215" s="355" t="str">
        <f t="shared" si="11"/>
        <v>0710120060</v>
      </c>
    </row>
    <row r="216" spans="1:11">
      <c r="A216" s="90" t="str">
        <f t="shared" si="9"/>
        <v>60707030710120060621</v>
      </c>
      <c r="B216" s="325">
        <v>607</v>
      </c>
      <c r="C216" s="324">
        <v>703</v>
      </c>
      <c r="D216" s="323" t="s">
        <v>1295</v>
      </c>
      <c r="E216" s="322" t="s">
        <v>16</v>
      </c>
      <c r="F216" s="339">
        <v>65000</v>
      </c>
      <c r="G216" s="339">
        <v>65000</v>
      </c>
      <c r="H216" s="339">
        <v>65000</v>
      </c>
      <c r="I216" s="353"/>
      <c r="J216" s="354" t="str">
        <f t="shared" si="10"/>
        <v>0703</v>
      </c>
      <c r="K216" s="355" t="str">
        <f t="shared" si="11"/>
        <v>0710120060</v>
      </c>
    </row>
    <row r="217" spans="1:11">
      <c r="A217" s="90" t="str">
        <f t="shared" si="9"/>
        <v>60707030720111010611</v>
      </c>
      <c r="B217" s="325">
        <v>607</v>
      </c>
      <c r="C217" s="324">
        <v>703</v>
      </c>
      <c r="D217" s="323" t="s">
        <v>1338</v>
      </c>
      <c r="E217" s="322" t="s">
        <v>67</v>
      </c>
      <c r="F217" s="339">
        <v>104835600</v>
      </c>
      <c r="G217" s="339">
        <v>104835600</v>
      </c>
      <c r="H217" s="339">
        <v>104835600</v>
      </c>
      <c r="I217" s="353"/>
      <c r="J217" s="354" t="str">
        <f t="shared" si="10"/>
        <v>0703</v>
      </c>
      <c r="K217" s="355" t="str">
        <f t="shared" si="11"/>
        <v>0720111010</v>
      </c>
    </row>
    <row r="218" spans="1:11">
      <c r="A218" s="90" t="str">
        <f t="shared" si="9"/>
        <v>60707030720111010621</v>
      </c>
      <c r="B218" s="325">
        <v>607</v>
      </c>
      <c r="C218" s="324">
        <v>703</v>
      </c>
      <c r="D218" s="323" t="s">
        <v>1338</v>
      </c>
      <c r="E218" s="322" t="s">
        <v>16</v>
      </c>
      <c r="F218" s="339">
        <v>12949580</v>
      </c>
      <c r="G218" s="339">
        <v>13330430</v>
      </c>
      <c r="H218" s="339">
        <v>13330430</v>
      </c>
      <c r="I218" s="353"/>
      <c r="J218" s="354" t="str">
        <f t="shared" si="10"/>
        <v>0703</v>
      </c>
      <c r="K218" s="355" t="str">
        <f t="shared" si="11"/>
        <v>0720111010</v>
      </c>
    </row>
    <row r="219" spans="1:11">
      <c r="A219" s="90" t="str">
        <f t="shared" si="9"/>
        <v>60707030720177250611</v>
      </c>
      <c r="B219" s="325">
        <v>607</v>
      </c>
      <c r="C219" s="324">
        <v>703</v>
      </c>
      <c r="D219" s="323" t="s">
        <v>1339</v>
      </c>
      <c r="E219" s="322" t="s">
        <v>67</v>
      </c>
      <c r="F219" s="339">
        <v>152334</v>
      </c>
      <c r="G219" s="339">
        <v>0</v>
      </c>
      <c r="H219" s="339">
        <v>0</v>
      </c>
      <c r="I219" s="353"/>
      <c r="J219" s="354" t="str">
        <f t="shared" si="10"/>
        <v>0703</v>
      </c>
      <c r="K219" s="355" t="str">
        <f t="shared" si="11"/>
        <v>0720177250</v>
      </c>
    </row>
    <row r="220" spans="1:11">
      <c r="A220" s="90" t="str">
        <f t="shared" si="9"/>
        <v>60707030720177250621</v>
      </c>
      <c r="B220" s="325">
        <v>607</v>
      </c>
      <c r="C220" s="324">
        <v>703</v>
      </c>
      <c r="D220" s="323" t="s">
        <v>1339</v>
      </c>
      <c r="E220" s="322" t="s">
        <v>16</v>
      </c>
      <c r="F220" s="339">
        <v>11718</v>
      </c>
      <c r="G220" s="339">
        <v>0</v>
      </c>
      <c r="H220" s="339">
        <v>0</v>
      </c>
      <c r="I220" s="353"/>
      <c r="J220" s="354" t="str">
        <f t="shared" si="10"/>
        <v>0703</v>
      </c>
      <c r="K220" s="355" t="str">
        <f t="shared" si="11"/>
        <v>0720177250</v>
      </c>
    </row>
    <row r="221" spans="1:11">
      <c r="A221" s="90" t="str">
        <f t="shared" si="9"/>
        <v>60707030720620400612</v>
      </c>
      <c r="B221" s="325">
        <v>607</v>
      </c>
      <c r="C221" s="324">
        <v>703</v>
      </c>
      <c r="D221" s="323" t="s">
        <v>1340</v>
      </c>
      <c r="E221" s="322" t="s">
        <v>1046</v>
      </c>
      <c r="F221" s="339">
        <v>74837.58</v>
      </c>
      <c r="G221" s="339">
        <v>0</v>
      </c>
      <c r="H221" s="339">
        <v>2595960</v>
      </c>
      <c r="I221" s="353"/>
      <c r="J221" s="354" t="str">
        <f t="shared" si="10"/>
        <v>0703</v>
      </c>
      <c r="K221" s="355" t="str">
        <f t="shared" si="11"/>
        <v>0720620400</v>
      </c>
    </row>
    <row r="222" spans="1:11">
      <c r="A222" s="90" t="str">
        <f t="shared" si="9"/>
        <v>60707030720821230612</v>
      </c>
      <c r="B222" s="325">
        <v>607</v>
      </c>
      <c r="C222" s="324">
        <v>703</v>
      </c>
      <c r="D222" s="323" t="s">
        <v>1341</v>
      </c>
      <c r="E222" s="322" t="s">
        <v>1046</v>
      </c>
      <c r="F222" s="339">
        <v>150000</v>
      </c>
      <c r="G222" s="339">
        <v>150000</v>
      </c>
      <c r="H222" s="339">
        <v>150000</v>
      </c>
      <c r="I222" s="353"/>
      <c r="J222" s="354" t="str">
        <f t="shared" si="10"/>
        <v>0703</v>
      </c>
      <c r="K222" s="355" t="str">
        <f t="shared" si="11"/>
        <v>0720821230</v>
      </c>
    </row>
    <row r="223" spans="1:11">
      <c r="A223" s="90" t="str">
        <f t="shared" si="9"/>
        <v>60707030720921280612</v>
      </c>
      <c r="B223" s="325">
        <v>607</v>
      </c>
      <c r="C223" s="324">
        <v>703</v>
      </c>
      <c r="D223" s="323" t="s">
        <v>1342</v>
      </c>
      <c r="E223" s="322" t="s">
        <v>1046</v>
      </c>
      <c r="F223" s="339">
        <v>225000</v>
      </c>
      <c r="G223" s="339">
        <v>163800</v>
      </c>
      <c r="H223" s="339">
        <v>163800</v>
      </c>
      <c r="I223" s="353"/>
      <c r="J223" s="354" t="str">
        <f t="shared" si="10"/>
        <v>0703</v>
      </c>
      <c r="K223" s="355" t="str">
        <f t="shared" si="11"/>
        <v>0720921280</v>
      </c>
    </row>
    <row r="224" spans="1:11">
      <c r="A224" s="90" t="str">
        <f t="shared" si="9"/>
        <v>60707030720921280622</v>
      </c>
      <c r="B224" s="325">
        <v>607</v>
      </c>
      <c r="C224" s="324">
        <v>703</v>
      </c>
      <c r="D224" s="323" t="s">
        <v>1342</v>
      </c>
      <c r="E224" s="322" t="s">
        <v>1054</v>
      </c>
      <c r="F224" s="339">
        <v>75000</v>
      </c>
      <c r="G224" s="339">
        <v>54600</v>
      </c>
      <c r="H224" s="339">
        <v>54600</v>
      </c>
      <c r="I224" s="353"/>
      <c r="J224" s="354" t="str">
        <f t="shared" si="10"/>
        <v>0703</v>
      </c>
      <c r="K224" s="355" t="str">
        <f t="shared" si="11"/>
        <v>0720921280</v>
      </c>
    </row>
    <row r="225" spans="1:11">
      <c r="A225" s="90" t="str">
        <f t="shared" si="9"/>
        <v>60707030721221260622</v>
      </c>
      <c r="B225" s="325">
        <v>607</v>
      </c>
      <c r="C225" s="324">
        <v>703</v>
      </c>
      <c r="D225" s="323" t="s">
        <v>1343</v>
      </c>
      <c r="E225" s="322" t="s">
        <v>1054</v>
      </c>
      <c r="F225" s="339">
        <v>2499950</v>
      </c>
      <c r="G225" s="339">
        <v>0</v>
      </c>
      <c r="H225" s="339">
        <v>0</v>
      </c>
      <c r="I225" s="353"/>
      <c r="J225" s="354" t="str">
        <f t="shared" si="10"/>
        <v>0703</v>
      </c>
      <c r="K225" s="355" t="str">
        <f t="shared" si="11"/>
        <v>0721221260</v>
      </c>
    </row>
    <row r="226" spans="1:11">
      <c r="A226" s="90" t="str">
        <f t="shared" si="9"/>
        <v>60707031620220550612</v>
      </c>
      <c r="B226" s="325">
        <v>607</v>
      </c>
      <c r="C226" s="324">
        <v>703</v>
      </c>
      <c r="D226" s="323" t="s">
        <v>1316</v>
      </c>
      <c r="E226" s="322" t="s">
        <v>1046</v>
      </c>
      <c r="F226" s="339">
        <v>344800</v>
      </c>
      <c r="G226" s="339">
        <v>344800</v>
      </c>
      <c r="H226" s="339">
        <v>344800</v>
      </c>
      <c r="I226" s="353"/>
      <c r="J226" s="354" t="str">
        <f t="shared" si="10"/>
        <v>0703</v>
      </c>
      <c r="K226" s="355" t="str">
        <f t="shared" si="11"/>
        <v>1620220550</v>
      </c>
    </row>
    <row r="227" spans="1:11">
      <c r="A227" s="90" t="str">
        <f t="shared" si="9"/>
        <v>60707031620220550622</v>
      </c>
      <c r="B227" s="325">
        <v>607</v>
      </c>
      <c r="C227" s="324">
        <v>703</v>
      </c>
      <c r="D227" s="323" t="s">
        <v>1316</v>
      </c>
      <c r="E227" s="322" t="s">
        <v>1054</v>
      </c>
      <c r="F227" s="339">
        <v>48000</v>
      </c>
      <c r="G227" s="339">
        <v>48000</v>
      </c>
      <c r="H227" s="339">
        <v>48000</v>
      </c>
      <c r="I227" s="353"/>
      <c r="J227" s="354" t="str">
        <f t="shared" si="10"/>
        <v>0703</v>
      </c>
      <c r="K227" s="355" t="str">
        <f t="shared" si="11"/>
        <v>1620220550</v>
      </c>
    </row>
    <row r="228" spans="1:11">
      <c r="A228" s="90" t="str">
        <f t="shared" si="9"/>
        <v>607070317Б0120490622</v>
      </c>
      <c r="B228" s="325">
        <v>607</v>
      </c>
      <c r="C228" s="324">
        <v>703</v>
      </c>
      <c r="D228" s="323" t="s">
        <v>1209</v>
      </c>
      <c r="E228" s="322" t="s">
        <v>1054</v>
      </c>
      <c r="F228" s="339">
        <v>995640</v>
      </c>
      <c r="G228" s="339">
        <v>896080</v>
      </c>
      <c r="H228" s="339">
        <v>896080</v>
      </c>
      <c r="I228" s="353"/>
      <c r="J228" s="354" t="str">
        <f t="shared" si="10"/>
        <v>0703</v>
      </c>
      <c r="K228" s="355" t="str">
        <f t="shared" si="11"/>
        <v>17Б0120490</v>
      </c>
    </row>
    <row r="229" spans="1:11">
      <c r="A229" s="90" t="str">
        <f t="shared" si="9"/>
        <v>60707070430420300244</v>
      </c>
      <c r="B229" s="325">
        <v>607</v>
      </c>
      <c r="C229" s="324">
        <v>707</v>
      </c>
      <c r="D229" s="323" t="s">
        <v>1344</v>
      </c>
      <c r="E229" s="322" t="s">
        <v>1043</v>
      </c>
      <c r="F229" s="339">
        <v>212500</v>
      </c>
      <c r="G229" s="339">
        <v>187500</v>
      </c>
      <c r="H229" s="339">
        <v>187500</v>
      </c>
      <c r="I229" s="353"/>
      <c r="J229" s="354" t="str">
        <f t="shared" si="10"/>
        <v>0707</v>
      </c>
      <c r="K229" s="355" t="str">
        <f t="shared" si="11"/>
        <v>0430420300</v>
      </c>
    </row>
    <row r="230" spans="1:11">
      <c r="A230" s="90" t="str">
        <f t="shared" si="9"/>
        <v>607070709Б0120460611</v>
      </c>
      <c r="B230" s="325">
        <v>607</v>
      </c>
      <c r="C230" s="324">
        <v>707</v>
      </c>
      <c r="D230" s="323" t="s">
        <v>1212</v>
      </c>
      <c r="E230" s="322" t="s">
        <v>67</v>
      </c>
      <c r="F230" s="339">
        <v>779000</v>
      </c>
      <c r="G230" s="339">
        <v>779000</v>
      </c>
      <c r="H230" s="339">
        <v>779000</v>
      </c>
      <c r="I230" s="353"/>
      <c r="J230" s="354" t="str">
        <f t="shared" si="10"/>
        <v>0707</v>
      </c>
      <c r="K230" s="355" t="str">
        <f t="shared" si="11"/>
        <v>09Б0120460</v>
      </c>
    </row>
    <row r="231" spans="1:11">
      <c r="A231" s="90" t="str">
        <f t="shared" si="9"/>
        <v>607070709Б0220460244</v>
      </c>
      <c r="B231" s="325">
        <v>607</v>
      </c>
      <c r="C231" s="324">
        <v>707</v>
      </c>
      <c r="D231" s="323" t="s">
        <v>1214</v>
      </c>
      <c r="E231" s="322" t="s">
        <v>1043</v>
      </c>
      <c r="F231" s="339">
        <v>549500</v>
      </c>
      <c r="G231" s="339">
        <v>549500</v>
      </c>
      <c r="H231" s="339">
        <v>549500</v>
      </c>
      <c r="I231" s="353"/>
      <c r="J231" s="354" t="str">
        <f t="shared" si="10"/>
        <v>0707</v>
      </c>
      <c r="K231" s="355" t="str">
        <f t="shared" si="11"/>
        <v>09Б0220460</v>
      </c>
    </row>
    <row r="232" spans="1:11">
      <c r="A232" s="90" t="str">
        <f t="shared" si="9"/>
        <v>607070709Б0220460340</v>
      </c>
      <c r="B232" s="325">
        <v>607</v>
      </c>
      <c r="C232" s="324">
        <v>707</v>
      </c>
      <c r="D232" s="323" t="s">
        <v>1214</v>
      </c>
      <c r="E232" s="322" t="s">
        <v>182</v>
      </c>
      <c r="F232" s="339">
        <v>600500</v>
      </c>
      <c r="G232" s="339">
        <v>600500</v>
      </c>
      <c r="H232" s="339">
        <v>600500</v>
      </c>
      <c r="I232" s="353"/>
      <c r="J232" s="354" t="str">
        <f t="shared" si="10"/>
        <v>0707</v>
      </c>
      <c r="K232" s="355" t="str">
        <f t="shared" si="11"/>
        <v>09Б0220460</v>
      </c>
    </row>
    <row r="233" spans="1:11">
      <c r="A233" s="90" t="str">
        <f t="shared" si="9"/>
        <v>607070709Б0220460350</v>
      </c>
      <c r="B233" s="325">
        <v>607</v>
      </c>
      <c r="C233" s="324">
        <v>707</v>
      </c>
      <c r="D233" s="323" t="s">
        <v>1214</v>
      </c>
      <c r="E233" s="322" t="s">
        <v>181</v>
      </c>
      <c r="F233" s="339">
        <v>60000</v>
      </c>
      <c r="G233" s="339">
        <v>60000</v>
      </c>
      <c r="H233" s="339">
        <v>60000</v>
      </c>
      <c r="I233" s="353"/>
      <c r="J233" s="354" t="str">
        <f t="shared" si="10"/>
        <v>0707</v>
      </c>
      <c r="K233" s="355" t="str">
        <f t="shared" si="11"/>
        <v>09Б0220460</v>
      </c>
    </row>
    <row r="234" spans="1:11">
      <c r="A234" s="90" t="str">
        <f t="shared" si="9"/>
        <v>607070709Б0220460611</v>
      </c>
      <c r="B234" s="325">
        <v>607</v>
      </c>
      <c r="C234" s="324">
        <v>707</v>
      </c>
      <c r="D234" s="323" t="s">
        <v>1214</v>
      </c>
      <c r="E234" s="322" t="s">
        <v>67</v>
      </c>
      <c r="F234" s="339">
        <v>1130000</v>
      </c>
      <c r="G234" s="339">
        <v>1130000</v>
      </c>
      <c r="H234" s="339">
        <v>1130000</v>
      </c>
      <c r="I234" s="353"/>
      <c r="J234" s="354" t="str">
        <f t="shared" si="10"/>
        <v>0707</v>
      </c>
      <c r="K234" s="355" t="str">
        <f t="shared" si="11"/>
        <v>09Б0220460</v>
      </c>
    </row>
    <row r="235" spans="1:11">
      <c r="A235" s="90" t="str">
        <f t="shared" si="9"/>
        <v>607070709Б0320460611</v>
      </c>
      <c r="B235" s="325">
        <v>607</v>
      </c>
      <c r="C235" s="324">
        <v>707</v>
      </c>
      <c r="D235" s="323" t="s">
        <v>1216</v>
      </c>
      <c r="E235" s="322" t="s">
        <v>67</v>
      </c>
      <c r="F235" s="339">
        <v>180000</v>
      </c>
      <c r="G235" s="339">
        <v>180000</v>
      </c>
      <c r="H235" s="339">
        <v>180000</v>
      </c>
      <c r="I235" s="353"/>
      <c r="J235" s="354" t="str">
        <f t="shared" si="10"/>
        <v>0707</v>
      </c>
      <c r="K235" s="355" t="str">
        <f t="shared" si="11"/>
        <v>09Б0320460</v>
      </c>
    </row>
    <row r="236" spans="1:11">
      <c r="A236" s="90" t="str">
        <f t="shared" si="9"/>
        <v>607070709Б0420460611</v>
      </c>
      <c r="B236" s="325">
        <v>607</v>
      </c>
      <c r="C236" s="324">
        <v>707</v>
      </c>
      <c r="D236" s="323" t="s">
        <v>1218</v>
      </c>
      <c r="E236" s="322" t="s">
        <v>67</v>
      </c>
      <c r="F236" s="339">
        <v>310000</v>
      </c>
      <c r="G236" s="339">
        <v>310000</v>
      </c>
      <c r="H236" s="339">
        <v>310000</v>
      </c>
      <c r="I236" s="353"/>
      <c r="J236" s="354" t="str">
        <f t="shared" si="10"/>
        <v>0707</v>
      </c>
      <c r="K236" s="355" t="str">
        <f t="shared" si="11"/>
        <v>09Б0420460</v>
      </c>
    </row>
    <row r="237" spans="1:11">
      <c r="A237" s="90" t="str">
        <f t="shared" si="9"/>
        <v>607070709Б0520460611</v>
      </c>
      <c r="B237" s="325">
        <v>607</v>
      </c>
      <c r="C237" s="324">
        <v>707</v>
      </c>
      <c r="D237" s="323" t="s">
        <v>1220</v>
      </c>
      <c r="E237" s="322" t="s">
        <v>67</v>
      </c>
      <c r="F237" s="339">
        <v>429350</v>
      </c>
      <c r="G237" s="339">
        <v>25540</v>
      </c>
      <c r="H237" s="339">
        <v>25540</v>
      </c>
      <c r="I237" s="353"/>
      <c r="J237" s="354" t="str">
        <f t="shared" si="10"/>
        <v>0707</v>
      </c>
      <c r="K237" s="355" t="str">
        <f t="shared" si="11"/>
        <v>09Б0520460</v>
      </c>
    </row>
    <row r="238" spans="1:11">
      <c r="A238" s="90" t="str">
        <f t="shared" si="9"/>
        <v>607070709Б0611010611</v>
      </c>
      <c r="B238" s="325">
        <v>607</v>
      </c>
      <c r="C238" s="324">
        <v>707</v>
      </c>
      <c r="D238" s="323" t="s">
        <v>1222</v>
      </c>
      <c r="E238" s="322" t="s">
        <v>67</v>
      </c>
      <c r="F238" s="339">
        <v>2755660</v>
      </c>
      <c r="G238" s="339">
        <v>2755660</v>
      </c>
      <c r="H238" s="339">
        <v>2755660</v>
      </c>
      <c r="I238" s="353"/>
      <c r="J238" s="354" t="str">
        <f t="shared" si="10"/>
        <v>0707</v>
      </c>
      <c r="K238" s="355" t="str">
        <f t="shared" si="11"/>
        <v>09Б0611010</v>
      </c>
    </row>
    <row r="239" spans="1:11">
      <c r="A239" s="90" t="str">
        <f t="shared" si="9"/>
        <v>607080103301L0270612</v>
      </c>
      <c r="B239" s="325">
        <v>607</v>
      </c>
      <c r="C239" s="324">
        <v>801</v>
      </c>
      <c r="D239" s="323" t="s">
        <v>1223</v>
      </c>
      <c r="E239" s="322" t="s">
        <v>1046</v>
      </c>
      <c r="F239" s="339">
        <v>448920</v>
      </c>
      <c r="G239" s="339">
        <v>0</v>
      </c>
      <c r="H239" s="339">
        <v>0</v>
      </c>
      <c r="I239" s="353"/>
      <c r="J239" s="354" t="str">
        <f t="shared" si="10"/>
        <v>0801</v>
      </c>
      <c r="K239" s="355" t="str">
        <f t="shared" si="11"/>
        <v>03301L0270</v>
      </c>
    </row>
    <row r="240" spans="1:11">
      <c r="A240" s="90" t="str">
        <f t="shared" si="9"/>
        <v>60708010710120060611</v>
      </c>
      <c r="B240" s="325">
        <v>607</v>
      </c>
      <c r="C240" s="324">
        <v>801</v>
      </c>
      <c r="D240" s="323" t="s">
        <v>1295</v>
      </c>
      <c r="E240" s="322" t="s">
        <v>67</v>
      </c>
      <c r="F240" s="339">
        <v>3642500</v>
      </c>
      <c r="G240" s="339">
        <v>3642500</v>
      </c>
      <c r="H240" s="339">
        <v>3642500</v>
      </c>
      <c r="I240" s="353"/>
      <c r="J240" s="354" t="str">
        <f t="shared" si="10"/>
        <v>0801</v>
      </c>
      <c r="K240" s="355" t="str">
        <f t="shared" si="11"/>
        <v>0710120060</v>
      </c>
    </row>
    <row r="241" spans="1:11">
      <c r="A241" s="90" t="str">
        <f t="shared" si="9"/>
        <v>60708010710120060621</v>
      </c>
      <c r="B241" s="325">
        <v>607</v>
      </c>
      <c r="C241" s="324">
        <v>801</v>
      </c>
      <c r="D241" s="323" t="s">
        <v>1295</v>
      </c>
      <c r="E241" s="322" t="s">
        <v>16</v>
      </c>
      <c r="F241" s="339">
        <v>1951000</v>
      </c>
      <c r="G241" s="339">
        <v>1330500</v>
      </c>
      <c r="H241" s="339">
        <v>1330500</v>
      </c>
      <c r="I241" s="353"/>
      <c r="J241" s="354" t="str">
        <f t="shared" si="10"/>
        <v>0801</v>
      </c>
      <c r="K241" s="355" t="str">
        <f t="shared" si="11"/>
        <v>0710120060</v>
      </c>
    </row>
    <row r="242" spans="1:11">
      <c r="A242" s="90" t="str">
        <f t="shared" si="9"/>
        <v>60708010720211010611</v>
      </c>
      <c r="B242" s="325">
        <v>607</v>
      </c>
      <c r="C242" s="324">
        <v>801</v>
      </c>
      <c r="D242" s="323" t="s">
        <v>1345</v>
      </c>
      <c r="E242" s="322" t="s">
        <v>67</v>
      </c>
      <c r="F242" s="339">
        <v>32804000</v>
      </c>
      <c r="G242" s="339">
        <v>32804000</v>
      </c>
      <c r="H242" s="339">
        <v>32804000</v>
      </c>
      <c r="I242" s="353"/>
      <c r="J242" s="354" t="str">
        <f t="shared" si="10"/>
        <v>0801</v>
      </c>
      <c r="K242" s="355" t="str">
        <f t="shared" si="11"/>
        <v>0720211010</v>
      </c>
    </row>
    <row r="243" spans="1:11">
      <c r="A243" s="90" t="str">
        <f t="shared" si="9"/>
        <v>60708010720211010621</v>
      </c>
      <c r="B243" s="325">
        <v>607</v>
      </c>
      <c r="C243" s="324">
        <v>801</v>
      </c>
      <c r="D243" s="323" t="s">
        <v>1345</v>
      </c>
      <c r="E243" s="322" t="s">
        <v>16</v>
      </c>
      <c r="F243" s="339">
        <v>16886560</v>
      </c>
      <c r="G243" s="339">
        <v>17762200</v>
      </c>
      <c r="H243" s="339">
        <v>17762200</v>
      </c>
      <c r="I243" s="353"/>
      <c r="J243" s="354" t="str">
        <f t="shared" si="10"/>
        <v>0801</v>
      </c>
      <c r="K243" s="355" t="str">
        <f t="shared" si="11"/>
        <v>0720211010</v>
      </c>
    </row>
    <row r="244" spans="1:11">
      <c r="A244" s="90" t="str">
        <f t="shared" si="9"/>
        <v>60708010720311010611</v>
      </c>
      <c r="B244" s="325">
        <v>607</v>
      </c>
      <c r="C244" s="324">
        <v>801</v>
      </c>
      <c r="D244" s="323" t="s">
        <v>1346</v>
      </c>
      <c r="E244" s="322" t="s">
        <v>67</v>
      </c>
      <c r="F244" s="339">
        <v>3081380</v>
      </c>
      <c r="G244" s="339">
        <v>3102840</v>
      </c>
      <c r="H244" s="339">
        <v>3102840</v>
      </c>
      <c r="I244" s="353"/>
      <c r="J244" s="354" t="str">
        <f t="shared" si="10"/>
        <v>0801</v>
      </c>
      <c r="K244" s="355" t="str">
        <f t="shared" si="11"/>
        <v>0720311010</v>
      </c>
    </row>
    <row r="245" spans="1:11">
      <c r="A245" s="90" t="str">
        <f t="shared" si="9"/>
        <v>60708010720411010611</v>
      </c>
      <c r="B245" s="325">
        <v>607</v>
      </c>
      <c r="C245" s="324">
        <v>801</v>
      </c>
      <c r="D245" s="323" t="s">
        <v>1347</v>
      </c>
      <c r="E245" s="322" t="s">
        <v>67</v>
      </c>
      <c r="F245" s="339">
        <v>38768700</v>
      </c>
      <c r="G245" s="339">
        <v>38890990</v>
      </c>
      <c r="H245" s="339">
        <v>38890990</v>
      </c>
      <c r="I245" s="353"/>
      <c r="J245" s="354" t="str">
        <f t="shared" si="10"/>
        <v>0801</v>
      </c>
      <c r="K245" s="355" t="str">
        <f t="shared" si="11"/>
        <v>0720411010</v>
      </c>
    </row>
    <row r="246" spans="1:11">
      <c r="A246" s="90" t="str">
        <f t="shared" si="9"/>
        <v>607080107204L5194611</v>
      </c>
      <c r="B246" s="325">
        <v>607</v>
      </c>
      <c r="C246" s="324">
        <v>801</v>
      </c>
      <c r="D246" s="323" t="s">
        <v>1224</v>
      </c>
      <c r="E246" s="322" t="s">
        <v>67</v>
      </c>
      <c r="F246" s="339">
        <v>600000</v>
      </c>
      <c r="G246" s="339">
        <v>600000</v>
      </c>
      <c r="H246" s="339">
        <v>600000</v>
      </c>
      <c r="I246" s="353"/>
      <c r="J246" s="354" t="str">
        <f t="shared" si="10"/>
        <v>0801</v>
      </c>
      <c r="K246" s="355" t="str">
        <f t="shared" si="11"/>
        <v>07204L5194</v>
      </c>
    </row>
    <row r="247" spans="1:11">
      <c r="A247" s="90" t="str">
        <f t="shared" si="9"/>
        <v>60708010720511010611</v>
      </c>
      <c r="B247" s="325">
        <v>607</v>
      </c>
      <c r="C247" s="324">
        <v>801</v>
      </c>
      <c r="D247" s="323" t="s">
        <v>1348</v>
      </c>
      <c r="E247" s="322" t="s">
        <v>67</v>
      </c>
      <c r="F247" s="339">
        <v>40597320</v>
      </c>
      <c r="G247" s="339">
        <v>40616040</v>
      </c>
      <c r="H247" s="339">
        <v>40616040</v>
      </c>
      <c r="I247" s="353"/>
      <c r="J247" s="354" t="str">
        <f t="shared" si="10"/>
        <v>0801</v>
      </c>
      <c r="K247" s="355" t="str">
        <f t="shared" si="11"/>
        <v>0720511010</v>
      </c>
    </row>
    <row r="248" spans="1:11">
      <c r="A248" s="90" t="str">
        <f t="shared" si="9"/>
        <v>60708010720511010621</v>
      </c>
      <c r="B248" s="325">
        <v>607</v>
      </c>
      <c r="C248" s="324">
        <v>801</v>
      </c>
      <c r="D248" s="323" t="s">
        <v>1348</v>
      </c>
      <c r="E248" s="322" t="s">
        <v>16</v>
      </c>
      <c r="F248" s="339">
        <v>8168660</v>
      </c>
      <c r="G248" s="339">
        <v>8168660</v>
      </c>
      <c r="H248" s="339">
        <v>8168660</v>
      </c>
      <c r="I248" s="353"/>
      <c r="J248" s="354" t="str">
        <f t="shared" si="10"/>
        <v>0801</v>
      </c>
      <c r="K248" s="355" t="str">
        <f t="shared" si="11"/>
        <v>0720511010</v>
      </c>
    </row>
    <row r="249" spans="1:11">
      <c r="A249" s="90" t="str">
        <f t="shared" si="9"/>
        <v>60708010720620400612</v>
      </c>
      <c r="B249" s="371">
        <v>607</v>
      </c>
      <c r="C249" s="372">
        <v>801</v>
      </c>
      <c r="D249" s="373" t="s">
        <v>1340</v>
      </c>
      <c r="E249" s="374" t="s">
        <v>1046</v>
      </c>
      <c r="F249" s="375">
        <v>0</v>
      </c>
      <c r="G249" s="375">
        <v>2595960</v>
      </c>
      <c r="H249" s="375">
        <v>0</v>
      </c>
      <c r="I249" s="353"/>
      <c r="J249" s="354" t="str">
        <f t="shared" si="10"/>
        <v>0801</v>
      </c>
      <c r="K249" s="355" t="str">
        <f t="shared" si="11"/>
        <v>0720620400</v>
      </c>
    </row>
    <row r="250" spans="1:11">
      <c r="A250" s="90" t="str">
        <f t="shared" si="9"/>
        <v>60708010720821230612</v>
      </c>
      <c r="B250" s="325">
        <v>607</v>
      </c>
      <c r="C250" s="324">
        <v>801</v>
      </c>
      <c r="D250" s="323" t="s">
        <v>1341</v>
      </c>
      <c r="E250" s="322" t="s">
        <v>1046</v>
      </c>
      <c r="F250" s="339">
        <v>150000</v>
      </c>
      <c r="G250" s="339">
        <v>150000</v>
      </c>
      <c r="H250" s="339">
        <v>150000</v>
      </c>
      <c r="I250" s="353"/>
      <c r="J250" s="354" t="str">
        <f t="shared" si="10"/>
        <v>0801</v>
      </c>
      <c r="K250" s="355" t="str">
        <f t="shared" si="11"/>
        <v>0720821230</v>
      </c>
    </row>
    <row r="251" spans="1:11">
      <c r="A251" s="90" t="str">
        <f t="shared" si="9"/>
        <v>60708010720921280612</v>
      </c>
      <c r="B251" s="325">
        <v>607</v>
      </c>
      <c r="C251" s="324">
        <v>801</v>
      </c>
      <c r="D251" s="323" t="s">
        <v>1342</v>
      </c>
      <c r="E251" s="322" t="s">
        <v>1046</v>
      </c>
      <c r="F251" s="339">
        <v>940000</v>
      </c>
      <c r="G251" s="339">
        <v>817600</v>
      </c>
      <c r="H251" s="339">
        <v>817600</v>
      </c>
      <c r="I251" s="353"/>
      <c r="J251" s="354" t="str">
        <f t="shared" si="10"/>
        <v>0801</v>
      </c>
      <c r="K251" s="355" t="str">
        <f t="shared" si="11"/>
        <v>0720921280</v>
      </c>
    </row>
    <row r="252" spans="1:11">
      <c r="A252" s="90" t="str">
        <f t="shared" si="9"/>
        <v>60708010721160160632</v>
      </c>
      <c r="B252" s="325">
        <v>607</v>
      </c>
      <c r="C252" s="324">
        <v>801</v>
      </c>
      <c r="D252" s="323" t="s">
        <v>1349</v>
      </c>
      <c r="E252" s="322" t="s">
        <v>1055</v>
      </c>
      <c r="F252" s="339">
        <v>156160020</v>
      </c>
      <c r="G252" s="339">
        <v>0</v>
      </c>
      <c r="H252" s="339">
        <v>0</v>
      </c>
      <c r="I252" s="353"/>
      <c r="J252" s="354" t="str">
        <f t="shared" si="10"/>
        <v>0801</v>
      </c>
      <c r="K252" s="355" t="str">
        <f t="shared" si="11"/>
        <v>0721160160</v>
      </c>
    </row>
    <row r="253" spans="1:11">
      <c r="A253" s="90" t="str">
        <f t="shared" si="9"/>
        <v>607080107212S6660612</v>
      </c>
      <c r="B253" s="325">
        <v>607</v>
      </c>
      <c r="C253" s="324">
        <v>801</v>
      </c>
      <c r="D253" s="323" t="s">
        <v>1350</v>
      </c>
      <c r="E253" s="322" t="s">
        <v>1046</v>
      </c>
      <c r="F253" s="339">
        <v>440000</v>
      </c>
      <c r="G253" s="339">
        <v>0</v>
      </c>
      <c r="H253" s="339">
        <v>0</v>
      </c>
      <c r="I253" s="353"/>
      <c r="J253" s="354" t="str">
        <f t="shared" si="10"/>
        <v>0801</v>
      </c>
      <c r="K253" s="355" t="str">
        <f t="shared" si="11"/>
        <v>07212S6660</v>
      </c>
    </row>
    <row r="254" spans="1:11">
      <c r="A254" s="90" t="str">
        <f t="shared" si="9"/>
        <v>60708011510120350612</v>
      </c>
      <c r="B254" s="325">
        <v>607</v>
      </c>
      <c r="C254" s="324">
        <v>801</v>
      </c>
      <c r="D254" s="323" t="s">
        <v>1280</v>
      </c>
      <c r="E254" s="322" t="s">
        <v>1046</v>
      </c>
      <c r="F254" s="339">
        <v>85000</v>
      </c>
      <c r="G254" s="339">
        <v>76500</v>
      </c>
      <c r="H254" s="339">
        <v>76500</v>
      </c>
      <c r="I254" s="353"/>
      <c r="J254" s="354" t="str">
        <f t="shared" si="10"/>
        <v>0801</v>
      </c>
      <c r="K254" s="355" t="str">
        <f t="shared" si="11"/>
        <v>1510120350</v>
      </c>
    </row>
    <row r="255" spans="1:11">
      <c r="A255" s="90" t="str">
        <f t="shared" si="9"/>
        <v>60708011620220550612</v>
      </c>
      <c r="B255" s="325">
        <v>607</v>
      </c>
      <c r="C255" s="324">
        <v>801</v>
      </c>
      <c r="D255" s="323" t="s">
        <v>1316</v>
      </c>
      <c r="E255" s="322" t="s">
        <v>1046</v>
      </c>
      <c r="F255" s="339">
        <v>652360</v>
      </c>
      <c r="G255" s="339">
        <v>547850</v>
      </c>
      <c r="H255" s="339">
        <v>547850</v>
      </c>
      <c r="I255" s="353"/>
      <c r="J255" s="354" t="str">
        <f t="shared" si="10"/>
        <v>0801</v>
      </c>
      <c r="K255" s="355" t="str">
        <f t="shared" si="11"/>
        <v>1620220550</v>
      </c>
    </row>
    <row r="256" spans="1:11">
      <c r="A256" s="90" t="str">
        <f t="shared" si="9"/>
        <v>607080117Б0120490612</v>
      </c>
      <c r="B256" s="325">
        <v>607</v>
      </c>
      <c r="C256" s="324">
        <v>801</v>
      </c>
      <c r="D256" s="323" t="s">
        <v>1209</v>
      </c>
      <c r="E256" s="322" t="s">
        <v>1046</v>
      </c>
      <c r="F256" s="339">
        <v>184335.12</v>
      </c>
      <c r="G256" s="339">
        <v>0</v>
      </c>
      <c r="H256" s="339">
        <v>0</v>
      </c>
      <c r="I256" s="353"/>
      <c r="J256" s="354" t="str">
        <f t="shared" si="10"/>
        <v>0801</v>
      </c>
      <c r="K256" s="355" t="str">
        <f t="shared" si="11"/>
        <v>17Б0120490</v>
      </c>
    </row>
    <row r="257" spans="1:11">
      <c r="A257" s="90" t="str">
        <f t="shared" si="9"/>
        <v>60708047610010010122</v>
      </c>
      <c r="B257" s="325">
        <v>607</v>
      </c>
      <c r="C257" s="324">
        <v>804</v>
      </c>
      <c r="D257" s="323" t="s">
        <v>1351</v>
      </c>
      <c r="E257" s="322" t="s">
        <v>1059</v>
      </c>
      <c r="F257" s="339">
        <v>274450</v>
      </c>
      <c r="G257" s="339">
        <v>274450</v>
      </c>
      <c r="H257" s="339">
        <v>274450</v>
      </c>
      <c r="I257" s="353"/>
      <c r="J257" s="354" t="str">
        <f t="shared" si="10"/>
        <v>0804</v>
      </c>
      <c r="K257" s="355" t="str">
        <f t="shared" si="11"/>
        <v>7610010010</v>
      </c>
    </row>
    <row r="258" spans="1:11">
      <c r="A258" s="90" t="str">
        <f t="shared" si="9"/>
        <v>60708047610010010129</v>
      </c>
      <c r="B258" s="325">
        <v>607</v>
      </c>
      <c r="C258" s="324">
        <v>804</v>
      </c>
      <c r="D258" s="323" t="s">
        <v>1351</v>
      </c>
      <c r="E258" s="322" t="s">
        <v>1060</v>
      </c>
      <c r="F258" s="339">
        <v>82880</v>
      </c>
      <c r="G258" s="339">
        <v>82880</v>
      </c>
      <c r="H258" s="339">
        <v>82880</v>
      </c>
      <c r="I258" s="353"/>
      <c r="J258" s="354" t="str">
        <f t="shared" si="10"/>
        <v>0804</v>
      </c>
      <c r="K258" s="355" t="str">
        <f t="shared" si="11"/>
        <v>7610010010</v>
      </c>
    </row>
    <row r="259" spans="1:11">
      <c r="A259" s="90" t="str">
        <f t="shared" si="9"/>
        <v>60708047610010010244</v>
      </c>
      <c r="B259" s="325">
        <v>607</v>
      </c>
      <c r="C259" s="324">
        <v>804</v>
      </c>
      <c r="D259" s="323" t="s">
        <v>1351</v>
      </c>
      <c r="E259" s="322" t="s">
        <v>1043</v>
      </c>
      <c r="F259" s="339">
        <v>933790</v>
      </c>
      <c r="G259" s="339">
        <v>941810</v>
      </c>
      <c r="H259" s="339">
        <v>941810</v>
      </c>
      <c r="I259" s="353"/>
      <c r="J259" s="354" t="str">
        <f t="shared" si="10"/>
        <v>0804</v>
      </c>
      <c r="K259" s="355" t="str">
        <f t="shared" si="11"/>
        <v>7610010010</v>
      </c>
    </row>
    <row r="260" spans="1:11">
      <c r="A260" s="90" t="str">
        <f t="shared" si="9"/>
        <v>60708047610010010851</v>
      </c>
      <c r="B260" s="325">
        <v>607</v>
      </c>
      <c r="C260" s="324">
        <v>804</v>
      </c>
      <c r="D260" s="323" t="s">
        <v>1351</v>
      </c>
      <c r="E260" s="322" t="s">
        <v>1061</v>
      </c>
      <c r="F260" s="339">
        <v>174200</v>
      </c>
      <c r="G260" s="339">
        <v>174200</v>
      </c>
      <c r="H260" s="339">
        <v>174200</v>
      </c>
      <c r="I260" s="353"/>
      <c r="J260" s="354" t="str">
        <f t="shared" si="10"/>
        <v>0804</v>
      </c>
      <c r="K260" s="355" t="str">
        <f t="shared" si="11"/>
        <v>7610010010</v>
      </c>
    </row>
    <row r="261" spans="1:11">
      <c r="A261" s="90" t="str">
        <f t="shared" si="9"/>
        <v>60708047610010010852</v>
      </c>
      <c r="B261" s="325">
        <v>607</v>
      </c>
      <c r="C261" s="324">
        <v>804</v>
      </c>
      <c r="D261" s="323" t="s">
        <v>1351</v>
      </c>
      <c r="E261" s="322" t="s">
        <v>1062</v>
      </c>
      <c r="F261" s="339">
        <v>7000</v>
      </c>
      <c r="G261" s="339">
        <v>7000</v>
      </c>
      <c r="H261" s="339">
        <v>7000</v>
      </c>
      <c r="I261" s="353"/>
      <c r="J261" s="354" t="str">
        <f t="shared" si="10"/>
        <v>0804</v>
      </c>
      <c r="K261" s="355" t="str">
        <f t="shared" si="11"/>
        <v>7610010010</v>
      </c>
    </row>
    <row r="262" spans="1:11">
      <c r="A262" s="90" t="str">
        <f t="shared" si="9"/>
        <v>60708047610010020121</v>
      </c>
      <c r="B262" s="325">
        <v>607</v>
      </c>
      <c r="C262" s="324">
        <v>804</v>
      </c>
      <c r="D262" s="323" t="s">
        <v>1352</v>
      </c>
      <c r="E262" s="322" t="s">
        <v>1063</v>
      </c>
      <c r="F262" s="339">
        <v>9193640</v>
      </c>
      <c r="G262" s="339">
        <v>9193640</v>
      </c>
      <c r="H262" s="339">
        <v>9193640</v>
      </c>
      <c r="I262" s="353"/>
      <c r="J262" s="354" t="str">
        <f t="shared" si="10"/>
        <v>0804</v>
      </c>
      <c r="K262" s="355" t="str">
        <f t="shared" si="11"/>
        <v>7610010020</v>
      </c>
    </row>
    <row r="263" spans="1:11">
      <c r="A263" s="90" t="str">
        <f t="shared" si="9"/>
        <v>60708047610010020129</v>
      </c>
      <c r="B263" s="325">
        <v>607</v>
      </c>
      <c r="C263" s="324">
        <v>804</v>
      </c>
      <c r="D263" s="323" t="s">
        <v>1352</v>
      </c>
      <c r="E263" s="322" t="s">
        <v>1060</v>
      </c>
      <c r="F263" s="339">
        <v>2776480</v>
      </c>
      <c r="G263" s="339">
        <v>2776480</v>
      </c>
      <c r="H263" s="339">
        <v>2776480</v>
      </c>
      <c r="I263" s="353"/>
      <c r="J263" s="354" t="str">
        <f t="shared" si="10"/>
        <v>0804</v>
      </c>
      <c r="K263" s="355" t="str">
        <f t="shared" si="11"/>
        <v>7610010020</v>
      </c>
    </row>
    <row r="264" spans="1:11">
      <c r="A264" s="90" t="str">
        <f t="shared" si="9"/>
        <v>60708047620020250244</v>
      </c>
      <c r="B264" s="325">
        <v>607</v>
      </c>
      <c r="C264" s="324">
        <v>804</v>
      </c>
      <c r="D264" s="323" t="s">
        <v>1353</v>
      </c>
      <c r="E264" s="322" t="s">
        <v>1043</v>
      </c>
      <c r="F264" s="339">
        <v>160000</v>
      </c>
      <c r="G264" s="339">
        <v>160000</v>
      </c>
      <c r="H264" s="339">
        <v>160000</v>
      </c>
      <c r="I264" s="353"/>
      <c r="J264" s="354" t="str">
        <f t="shared" si="10"/>
        <v>0804</v>
      </c>
      <c r="K264" s="355" t="str">
        <f t="shared" si="11"/>
        <v>7620020250</v>
      </c>
    </row>
    <row r="265" spans="1:11">
      <c r="A265" s="90" t="str">
        <f t="shared" si="9"/>
        <v>609011311Б0121120244</v>
      </c>
      <c r="B265" s="325">
        <v>609</v>
      </c>
      <c r="C265" s="324">
        <v>113</v>
      </c>
      <c r="D265" s="323" t="s">
        <v>1189</v>
      </c>
      <c r="E265" s="322" t="s">
        <v>1043</v>
      </c>
      <c r="F265" s="339">
        <v>6594</v>
      </c>
      <c r="G265" s="339">
        <v>6590</v>
      </c>
      <c r="H265" s="339">
        <v>6590</v>
      </c>
      <c r="I265" s="353"/>
      <c r="J265" s="354" t="str">
        <f t="shared" si="10"/>
        <v>0113</v>
      </c>
      <c r="K265" s="355" t="str">
        <f t="shared" si="11"/>
        <v>11Б0121120</v>
      </c>
    </row>
    <row r="266" spans="1:11">
      <c r="A266" s="90" t="str">
        <f t="shared" ref="A266:A329" si="12">CONCATENATE(B266,J266,K266,E266)</f>
        <v>60901137710010050122</v>
      </c>
      <c r="B266" s="325">
        <v>609</v>
      </c>
      <c r="C266" s="324">
        <v>113</v>
      </c>
      <c r="D266" s="323" t="s">
        <v>1354</v>
      </c>
      <c r="E266" s="322" t="s">
        <v>1059</v>
      </c>
      <c r="F266" s="339">
        <v>301922</v>
      </c>
      <c r="G266" s="339">
        <v>0</v>
      </c>
      <c r="H266" s="339">
        <v>0</v>
      </c>
      <c r="I266" s="353"/>
      <c r="J266" s="354" t="str">
        <f t="shared" si="10"/>
        <v>0113</v>
      </c>
      <c r="K266" s="355" t="str">
        <f t="shared" si="11"/>
        <v>7710010050</v>
      </c>
    </row>
    <row r="267" spans="1:11">
      <c r="A267" s="90" t="str">
        <f t="shared" si="12"/>
        <v>60901137710010050129</v>
      </c>
      <c r="B267" s="325">
        <v>609</v>
      </c>
      <c r="C267" s="324">
        <v>113</v>
      </c>
      <c r="D267" s="323" t="s">
        <v>1354</v>
      </c>
      <c r="E267" s="322" t="s">
        <v>1060</v>
      </c>
      <c r="F267" s="339">
        <v>82424.710000000006</v>
      </c>
      <c r="G267" s="339">
        <v>0</v>
      </c>
      <c r="H267" s="339">
        <v>0</v>
      </c>
      <c r="I267" s="353"/>
      <c r="J267" s="354" t="str">
        <f t="shared" ref="J267:J330" si="13">TEXT(C267,"0000")</f>
        <v>0113</v>
      </c>
      <c r="K267" s="355" t="str">
        <f t="shared" ref="K267:K330" si="14">TEXT(D267,"0000000000")</f>
        <v>7710010050</v>
      </c>
    </row>
    <row r="268" spans="1:11">
      <c r="A268" s="90" t="str">
        <f t="shared" si="12"/>
        <v>60910030310152200244</v>
      </c>
      <c r="B268" s="325">
        <v>609</v>
      </c>
      <c r="C268" s="324">
        <v>1003</v>
      </c>
      <c r="D268" s="323" t="s">
        <v>1355</v>
      </c>
      <c r="E268" s="322" t="s">
        <v>1043</v>
      </c>
      <c r="F268" s="339">
        <v>230456.26</v>
      </c>
      <c r="G268" s="339">
        <v>229840</v>
      </c>
      <c r="H268" s="339">
        <v>229840</v>
      </c>
      <c r="I268" s="353"/>
      <c r="J268" s="354" t="str">
        <f t="shared" si="13"/>
        <v>1003</v>
      </c>
      <c r="K268" s="355" t="str">
        <f t="shared" si="14"/>
        <v>0310152200</v>
      </c>
    </row>
    <row r="269" spans="1:11">
      <c r="A269" s="90" t="str">
        <f t="shared" si="12"/>
        <v>60910030310152200313</v>
      </c>
      <c r="B269" s="325">
        <v>609</v>
      </c>
      <c r="C269" s="324">
        <v>1003</v>
      </c>
      <c r="D269" s="323" t="s">
        <v>1355</v>
      </c>
      <c r="E269" s="322" t="s">
        <v>1064</v>
      </c>
      <c r="F269" s="339">
        <v>15363750.949999999</v>
      </c>
      <c r="G269" s="339">
        <v>15323160</v>
      </c>
      <c r="H269" s="339">
        <v>15323160</v>
      </c>
      <c r="I269" s="353"/>
      <c r="J269" s="354" t="str">
        <f t="shared" si="13"/>
        <v>1003</v>
      </c>
      <c r="K269" s="355" t="str">
        <f t="shared" si="14"/>
        <v>0310152200</v>
      </c>
    </row>
    <row r="270" spans="1:11">
      <c r="A270" s="90" t="str">
        <f t="shared" si="12"/>
        <v>60910030310152500121</v>
      </c>
      <c r="B270" s="325">
        <v>609</v>
      </c>
      <c r="C270" s="324">
        <v>1003</v>
      </c>
      <c r="D270" s="323" t="s">
        <v>1356</v>
      </c>
      <c r="E270" s="322" t="s">
        <v>1063</v>
      </c>
      <c r="F270" s="339">
        <v>1300000</v>
      </c>
      <c r="G270" s="339">
        <v>1300000</v>
      </c>
      <c r="H270" s="339">
        <v>1300000</v>
      </c>
      <c r="I270" s="353"/>
      <c r="J270" s="354" t="str">
        <f t="shared" si="13"/>
        <v>1003</v>
      </c>
      <c r="K270" s="355" t="str">
        <f t="shared" si="14"/>
        <v>0310152500</v>
      </c>
    </row>
    <row r="271" spans="1:11">
      <c r="A271" s="90" t="str">
        <f t="shared" si="12"/>
        <v>60910030310152500129</v>
      </c>
      <c r="B271" s="325">
        <v>609</v>
      </c>
      <c r="C271" s="324">
        <v>1003</v>
      </c>
      <c r="D271" s="323" t="s">
        <v>1356</v>
      </c>
      <c r="E271" s="322" t="s">
        <v>1060</v>
      </c>
      <c r="F271" s="339">
        <v>354900</v>
      </c>
      <c r="G271" s="339">
        <v>354900</v>
      </c>
      <c r="H271" s="339">
        <v>354900</v>
      </c>
      <c r="I271" s="353"/>
      <c r="J271" s="354" t="str">
        <f t="shared" si="13"/>
        <v>1003</v>
      </c>
      <c r="K271" s="355" t="str">
        <f t="shared" si="14"/>
        <v>0310152500</v>
      </c>
    </row>
    <row r="272" spans="1:11">
      <c r="A272" s="90" t="str">
        <f t="shared" si="12"/>
        <v>60910030310152500244</v>
      </c>
      <c r="B272" s="325">
        <v>609</v>
      </c>
      <c r="C272" s="324">
        <v>1003</v>
      </c>
      <c r="D272" s="323" t="s">
        <v>1356</v>
      </c>
      <c r="E272" s="322" t="s">
        <v>1043</v>
      </c>
      <c r="F272" s="339">
        <v>3369700</v>
      </c>
      <c r="G272" s="339">
        <v>3374920</v>
      </c>
      <c r="H272" s="339">
        <v>3371900</v>
      </c>
      <c r="I272" s="353"/>
      <c r="J272" s="354" t="str">
        <f t="shared" si="13"/>
        <v>1003</v>
      </c>
      <c r="K272" s="355" t="str">
        <f t="shared" si="14"/>
        <v>0310152500</v>
      </c>
    </row>
    <row r="273" spans="1:11">
      <c r="A273" s="90" t="str">
        <f t="shared" si="12"/>
        <v>60910030310152500313</v>
      </c>
      <c r="B273" s="325">
        <v>609</v>
      </c>
      <c r="C273" s="324">
        <v>1003</v>
      </c>
      <c r="D273" s="323" t="s">
        <v>1356</v>
      </c>
      <c r="E273" s="322" t="s">
        <v>1064</v>
      </c>
      <c r="F273" s="339">
        <v>335023000</v>
      </c>
      <c r="G273" s="339">
        <v>335325200</v>
      </c>
      <c r="H273" s="339">
        <v>335119020</v>
      </c>
      <c r="I273" s="353"/>
      <c r="J273" s="354" t="str">
        <f t="shared" si="13"/>
        <v>1003</v>
      </c>
      <c r="K273" s="355" t="str">
        <f t="shared" si="14"/>
        <v>0310152500</v>
      </c>
    </row>
    <row r="274" spans="1:11">
      <c r="A274" s="90" t="str">
        <f t="shared" si="12"/>
        <v>60910030310152800244</v>
      </c>
      <c r="B274" s="325">
        <v>609</v>
      </c>
      <c r="C274" s="324">
        <v>1003</v>
      </c>
      <c r="D274" s="323" t="s">
        <v>1357</v>
      </c>
      <c r="E274" s="322" t="s">
        <v>1043</v>
      </c>
      <c r="F274" s="339">
        <v>1600</v>
      </c>
      <c r="G274" s="339">
        <v>1590</v>
      </c>
      <c r="H274" s="339">
        <v>1590</v>
      </c>
      <c r="I274" s="353"/>
      <c r="J274" s="354" t="str">
        <f t="shared" si="13"/>
        <v>1003</v>
      </c>
      <c r="K274" s="355" t="str">
        <f t="shared" si="14"/>
        <v>0310152800</v>
      </c>
    </row>
    <row r="275" spans="1:11">
      <c r="A275" s="90" t="str">
        <f t="shared" si="12"/>
        <v>60910030310152800313</v>
      </c>
      <c r="B275" s="325">
        <v>609</v>
      </c>
      <c r="C275" s="324">
        <v>1003</v>
      </c>
      <c r="D275" s="323" t="s">
        <v>1357</v>
      </c>
      <c r="E275" s="322" t="s">
        <v>1064</v>
      </c>
      <c r="F275" s="339">
        <v>118500</v>
      </c>
      <c r="G275" s="339">
        <v>118410</v>
      </c>
      <c r="H275" s="339">
        <v>118410</v>
      </c>
      <c r="I275" s="353"/>
      <c r="J275" s="354" t="str">
        <f t="shared" si="13"/>
        <v>1003</v>
      </c>
      <c r="K275" s="355" t="str">
        <f t="shared" si="14"/>
        <v>0310152800</v>
      </c>
    </row>
    <row r="276" spans="1:11">
      <c r="A276" s="90" t="str">
        <f t="shared" si="12"/>
        <v>60910030310176240313</v>
      </c>
      <c r="B276" s="325">
        <v>609</v>
      </c>
      <c r="C276" s="324">
        <v>1003</v>
      </c>
      <c r="D276" s="323" t="s">
        <v>1358</v>
      </c>
      <c r="E276" s="322" t="s">
        <v>1064</v>
      </c>
      <c r="F276" s="339">
        <v>7891750</v>
      </c>
      <c r="G276" s="339">
        <v>7891750</v>
      </c>
      <c r="H276" s="339">
        <v>7891750</v>
      </c>
      <c r="I276" s="353"/>
      <c r="J276" s="354" t="str">
        <f t="shared" si="13"/>
        <v>1003</v>
      </c>
      <c r="K276" s="355" t="str">
        <f t="shared" si="14"/>
        <v>0310176240</v>
      </c>
    </row>
    <row r="277" spans="1:11">
      <c r="A277" s="90" t="str">
        <f t="shared" si="12"/>
        <v>60910030310176250313</v>
      </c>
      <c r="B277" s="325">
        <v>609</v>
      </c>
      <c r="C277" s="324">
        <v>1003</v>
      </c>
      <c r="D277" s="323" t="s">
        <v>1359</v>
      </c>
      <c r="E277" s="322" t="s">
        <v>1064</v>
      </c>
      <c r="F277" s="339">
        <v>443418</v>
      </c>
      <c r="G277" s="339">
        <v>0</v>
      </c>
      <c r="H277" s="339">
        <v>0</v>
      </c>
      <c r="I277" s="353"/>
      <c r="J277" s="354" t="str">
        <f t="shared" si="13"/>
        <v>1003</v>
      </c>
      <c r="K277" s="355" t="str">
        <f t="shared" si="14"/>
        <v>0310176250</v>
      </c>
    </row>
    <row r="278" spans="1:11">
      <c r="A278" s="90" t="str">
        <f t="shared" si="12"/>
        <v>60910030310178210244</v>
      </c>
      <c r="B278" s="325">
        <v>609</v>
      </c>
      <c r="C278" s="324">
        <v>1003</v>
      </c>
      <c r="D278" s="323" t="s">
        <v>1360</v>
      </c>
      <c r="E278" s="322" t="s">
        <v>1043</v>
      </c>
      <c r="F278" s="339">
        <v>5354776</v>
      </c>
      <c r="G278" s="339">
        <v>4594000</v>
      </c>
      <c r="H278" s="339">
        <v>5332000</v>
      </c>
      <c r="I278" s="353"/>
      <c r="J278" s="354" t="str">
        <f t="shared" si="13"/>
        <v>1003</v>
      </c>
      <c r="K278" s="355" t="str">
        <f t="shared" si="14"/>
        <v>0310178210</v>
      </c>
    </row>
    <row r="279" spans="1:11">
      <c r="A279" s="90" t="str">
        <f t="shared" si="12"/>
        <v>60910030310178210313</v>
      </c>
      <c r="B279" s="325">
        <v>609</v>
      </c>
      <c r="C279" s="324">
        <v>1003</v>
      </c>
      <c r="D279" s="323" t="s">
        <v>1360</v>
      </c>
      <c r="E279" s="322" t="s">
        <v>1064</v>
      </c>
      <c r="F279" s="339">
        <v>348434364</v>
      </c>
      <c r="G279" s="339">
        <v>297271380</v>
      </c>
      <c r="H279" s="339">
        <v>344966340</v>
      </c>
      <c r="I279" s="353"/>
      <c r="J279" s="354" t="str">
        <f t="shared" si="13"/>
        <v>1003</v>
      </c>
      <c r="K279" s="355" t="str">
        <f t="shared" si="14"/>
        <v>0310178210</v>
      </c>
    </row>
    <row r="280" spans="1:11">
      <c r="A280" s="90" t="str">
        <f t="shared" si="12"/>
        <v>60910030310178220244</v>
      </c>
      <c r="B280" s="325">
        <v>609</v>
      </c>
      <c r="C280" s="324">
        <v>1003</v>
      </c>
      <c r="D280" s="323" t="s">
        <v>1361</v>
      </c>
      <c r="E280" s="322" t="s">
        <v>1043</v>
      </c>
      <c r="F280" s="339">
        <v>3549363</v>
      </c>
      <c r="G280" s="339">
        <v>2885000</v>
      </c>
      <c r="H280" s="339">
        <v>3390000</v>
      </c>
      <c r="I280" s="353"/>
      <c r="J280" s="354" t="str">
        <f t="shared" si="13"/>
        <v>1003</v>
      </c>
      <c r="K280" s="355" t="str">
        <f t="shared" si="14"/>
        <v>0310178220</v>
      </c>
    </row>
    <row r="281" spans="1:11">
      <c r="A281" s="90" t="str">
        <f t="shared" si="12"/>
        <v>60910030310178220313</v>
      </c>
      <c r="B281" s="325">
        <v>609</v>
      </c>
      <c r="C281" s="324">
        <v>1003</v>
      </c>
      <c r="D281" s="323" t="s">
        <v>1361</v>
      </c>
      <c r="E281" s="322" t="s">
        <v>1064</v>
      </c>
      <c r="F281" s="339">
        <v>254581727</v>
      </c>
      <c r="G281" s="339">
        <v>206927870</v>
      </c>
      <c r="H281" s="339">
        <v>243145940</v>
      </c>
      <c r="I281" s="353"/>
      <c r="J281" s="354" t="str">
        <f t="shared" si="13"/>
        <v>1003</v>
      </c>
      <c r="K281" s="355" t="str">
        <f t="shared" si="14"/>
        <v>0310178220</v>
      </c>
    </row>
    <row r="282" spans="1:11">
      <c r="A282" s="90" t="str">
        <f t="shared" si="12"/>
        <v>60910030310178230244</v>
      </c>
      <c r="B282" s="325">
        <v>609</v>
      </c>
      <c r="C282" s="324">
        <v>1003</v>
      </c>
      <c r="D282" s="323" t="s">
        <v>1362</v>
      </c>
      <c r="E282" s="322" t="s">
        <v>1043</v>
      </c>
      <c r="F282" s="339">
        <v>93840</v>
      </c>
      <c r="G282" s="339">
        <v>89200</v>
      </c>
      <c r="H282" s="339">
        <v>86640</v>
      </c>
      <c r="I282" s="353"/>
      <c r="J282" s="354" t="str">
        <f t="shared" si="13"/>
        <v>1003</v>
      </c>
      <c r="K282" s="355" t="str">
        <f t="shared" si="14"/>
        <v>0310178230</v>
      </c>
    </row>
    <row r="283" spans="1:11">
      <c r="A283" s="90" t="str">
        <f t="shared" si="12"/>
        <v>60910030310178230313</v>
      </c>
      <c r="B283" s="325">
        <v>609</v>
      </c>
      <c r="C283" s="324">
        <v>1003</v>
      </c>
      <c r="D283" s="323" t="s">
        <v>1362</v>
      </c>
      <c r="E283" s="322" t="s">
        <v>1064</v>
      </c>
      <c r="F283" s="339">
        <v>5961760</v>
      </c>
      <c r="G283" s="339">
        <v>5665730</v>
      </c>
      <c r="H283" s="339">
        <v>5502910</v>
      </c>
      <c r="I283" s="353"/>
      <c r="J283" s="354" t="str">
        <f t="shared" si="13"/>
        <v>1003</v>
      </c>
      <c r="K283" s="355" t="str">
        <f t="shared" si="14"/>
        <v>0310178230</v>
      </c>
    </row>
    <row r="284" spans="1:11">
      <c r="A284" s="90" t="str">
        <f t="shared" si="12"/>
        <v>60910030310178240244</v>
      </c>
      <c r="B284" s="325">
        <v>609</v>
      </c>
      <c r="C284" s="324">
        <v>1003</v>
      </c>
      <c r="D284" s="323" t="s">
        <v>1363</v>
      </c>
      <c r="E284" s="322" t="s">
        <v>1043</v>
      </c>
      <c r="F284" s="339">
        <v>1081</v>
      </c>
      <c r="G284" s="339">
        <v>1060</v>
      </c>
      <c r="H284" s="339">
        <v>1060</v>
      </c>
      <c r="I284" s="353"/>
      <c r="J284" s="354" t="str">
        <f t="shared" si="13"/>
        <v>1003</v>
      </c>
      <c r="K284" s="355" t="str">
        <f t="shared" si="14"/>
        <v>0310178240</v>
      </c>
    </row>
    <row r="285" spans="1:11">
      <c r="A285" s="90" t="str">
        <f t="shared" si="12"/>
        <v>60910030310178240313</v>
      </c>
      <c r="B285" s="325">
        <v>609</v>
      </c>
      <c r="C285" s="324">
        <v>1003</v>
      </c>
      <c r="D285" s="323" t="s">
        <v>1363</v>
      </c>
      <c r="E285" s="322" t="s">
        <v>1064</v>
      </c>
      <c r="F285" s="339">
        <v>199719</v>
      </c>
      <c r="G285" s="339">
        <v>195820</v>
      </c>
      <c r="H285" s="339">
        <v>195820</v>
      </c>
      <c r="I285" s="353"/>
      <c r="J285" s="354" t="str">
        <f t="shared" si="13"/>
        <v>1003</v>
      </c>
      <c r="K285" s="355" t="str">
        <f t="shared" si="14"/>
        <v>0310178240</v>
      </c>
    </row>
    <row r="286" spans="1:11">
      <c r="A286" s="90" t="str">
        <f t="shared" si="12"/>
        <v>60910030310178250244</v>
      </c>
      <c r="B286" s="325">
        <v>609</v>
      </c>
      <c r="C286" s="324">
        <v>1003</v>
      </c>
      <c r="D286" s="323" t="s">
        <v>1364</v>
      </c>
      <c r="E286" s="322" t="s">
        <v>1043</v>
      </c>
      <c r="F286" s="339">
        <v>7558</v>
      </c>
      <c r="G286" s="339">
        <v>7410</v>
      </c>
      <c r="H286" s="339">
        <v>7410</v>
      </c>
      <c r="I286" s="353"/>
      <c r="J286" s="354" t="str">
        <f t="shared" si="13"/>
        <v>1003</v>
      </c>
      <c r="K286" s="355" t="str">
        <f t="shared" si="14"/>
        <v>0310178250</v>
      </c>
    </row>
    <row r="287" spans="1:11">
      <c r="A287" s="90" t="str">
        <f t="shared" si="12"/>
        <v>60910030310178250313</v>
      </c>
      <c r="B287" s="325">
        <v>609</v>
      </c>
      <c r="C287" s="324">
        <v>1003</v>
      </c>
      <c r="D287" s="323" t="s">
        <v>1364</v>
      </c>
      <c r="E287" s="322" t="s">
        <v>1064</v>
      </c>
      <c r="F287" s="339">
        <v>559942</v>
      </c>
      <c r="G287" s="339">
        <v>548990</v>
      </c>
      <c r="H287" s="339">
        <v>548990</v>
      </c>
      <c r="I287" s="353"/>
      <c r="J287" s="354" t="str">
        <f t="shared" si="13"/>
        <v>1003</v>
      </c>
      <c r="K287" s="355" t="str">
        <f t="shared" si="14"/>
        <v>0310178250</v>
      </c>
    </row>
    <row r="288" spans="1:11">
      <c r="A288" s="90" t="str">
        <f t="shared" si="12"/>
        <v>60910030310178260244</v>
      </c>
      <c r="B288" s="325">
        <v>609</v>
      </c>
      <c r="C288" s="324">
        <v>1003</v>
      </c>
      <c r="D288" s="323" t="s">
        <v>1365</v>
      </c>
      <c r="E288" s="322" t="s">
        <v>1043</v>
      </c>
      <c r="F288" s="339">
        <v>4159539</v>
      </c>
      <c r="G288" s="339">
        <v>3092360</v>
      </c>
      <c r="H288" s="339">
        <v>3726000</v>
      </c>
      <c r="I288" s="353"/>
      <c r="J288" s="354" t="str">
        <f t="shared" si="13"/>
        <v>1003</v>
      </c>
      <c r="K288" s="355" t="str">
        <f t="shared" si="14"/>
        <v>0310178260</v>
      </c>
    </row>
    <row r="289" spans="1:11">
      <c r="A289" s="90" t="str">
        <f t="shared" si="12"/>
        <v>60910030310178260313</v>
      </c>
      <c r="B289" s="325">
        <v>609</v>
      </c>
      <c r="C289" s="324">
        <v>1003</v>
      </c>
      <c r="D289" s="323" t="s">
        <v>1365</v>
      </c>
      <c r="E289" s="322" t="s">
        <v>1064</v>
      </c>
      <c r="F289" s="339">
        <v>307608461</v>
      </c>
      <c r="G289" s="339">
        <v>229423670</v>
      </c>
      <c r="H289" s="339">
        <v>276413800</v>
      </c>
      <c r="I289" s="353"/>
      <c r="J289" s="354" t="str">
        <f t="shared" si="13"/>
        <v>1003</v>
      </c>
      <c r="K289" s="355" t="str">
        <f t="shared" si="14"/>
        <v>0310178260</v>
      </c>
    </row>
    <row r="290" spans="1:11">
      <c r="A290" s="90" t="str">
        <f t="shared" si="12"/>
        <v>60910030310178270244</v>
      </c>
      <c r="B290" s="371">
        <v>609</v>
      </c>
      <c r="C290" s="372">
        <v>1003</v>
      </c>
      <c r="D290" s="373" t="s">
        <v>1366</v>
      </c>
      <c r="E290" s="374" t="s">
        <v>1043</v>
      </c>
      <c r="F290" s="375">
        <v>0</v>
      </c>
      <c r="G290" s="375">
        <v>0</v>
      </c>
      <c r="H290" s="375">
        <v>0</v>
      </c>
      <c r="I290" s="353"/>
      <c r="J290" s="354" t="str">
        <f t="shared" si="13"/>
        <v>1003</v>
      </c>
      <c r="K290" s="355" t="str">
        <f t="shared" si="14"/>
        <v>0310178270</v>
      </c>
    </row>
    <row r="291" spans="1:11">
      <c r="A291" s="90" t="str">
        <f t="shared" si="12"/>
        <v>60910030310178270313</v>
      </c>
      <c r="B291" s="371">
        <v>609</v>
      </c>
      <c r="C291" s="372">
        <v>1003</v>
      </c>
      <c r="D291" s="373" t="s">
        <v>1366</v>
      </c>
      <c r="E291" s="374" t="s">
        <v>1064</v>
      </c>
      <c r="F291" s="375">
        <v>0</v>
      </c>
      <c r="G291" s="375">
        <v>0</v>
      </c>
      <c r="H291" s="375">
        <v>0</v>
      </c>
      <c r="I291" s="353"/>
      <c r="J291" s="354" t="str">
        <f t="shared" si="13"/>
        <v>1003</v>
      </c>
      <c r="K291" s="355" t="str">
        <f t="shared" si="14"/>
        <v>0310178270</v>
      </c>
    </row>
    <row r="292" spans="1:11">
      <c r="A292" s="90" t="str">
        <f t="shared" si="12"/>
        <v>609100303101R4620244</v>
      </c>
      <c r="B292" s="325">
        <v>609</v>
      </c>
      <c r="C292" s="324">
        <v>1003</v>
      </c>
      <c r="D292" s="323" t="s">
        <v>1367</v>
      </c>
      <c r="E292" s="322" t="s">
        <v>1043</v>
      </c>
      <c r="F292" s="339">
        <v>84300</v>
      </c>
      <c r="G292" s="339">
        <v>61000</v>
      </c>
      <c r="H292" s="339">
        <v>61000</v>
      </c>
      <c r="I292" s="353"/>
      <c r="J292" s="354" t="str">
        <f t="shared" si="13"/>
        <v>1003</v>
      </c>
      <c r="K292" s="355" t="str">
        <f t="shared" si="14"/>
        <v>03101R4620</v>
      </c>
    </row>
    <row r="293" spans="1:11">
      <c r="A293" s="90" t="str">
        <f t="shared" si="12"/>
        <v>609100303101R4620313</v>
      </c>
      <c r="B293" s="325">
        <v>609</v>
      </c>
      <c r="C293" s="324">
        <v>1003</v>
      </c>
      <c r="D293" s="323" t="s">
        <v>1367</v>
      </c>
      <c r="E293" s="322" t="s">
        <v>1064</v>
      </c>
      <c r="F293" s="339">
        <v>7236930</v>
      </c>
      <c r="G293" s="339">
        <v>5318230</v>
      </c>
      <c r="H293" s="339">
        <v>5318230</v>
      </c>
      <c r="I293" s="353"/>
      <c r="J293" s="354" t="str">
        <f t="shared" si="13"/>
        <v>1003</v>
      </c>
      <c r="K293" s="355" t="str">
        <f t="shared" si="14"/>
        <v>03101R4620</v>
      </c>
    </row>
    <row r="294" spans="1:11">
      <c r="A294" s="90" t="str">
        <f t="shared" si="12"/>
        <v>60910030310253800313</v>
      </c>
      <c r="B294" s="325">
        <v>609</v>
      </c>
      <c r="C294" s="324">
        <v>1003</v>
      </c>
      <c r="D294" s="323" t="s">
        <v>1368</v>
      </c>
      <c r="E294" s="322" t="s">
        <v>1064</v>
      </c>
      <c r="F294" s="339">
        <v>168353500</v>
      </c>
      <c r="G294" s="339">
        <v>168938600</v>
      </c>
      <c r="H294" s="339">
        <v>169829300</v>
      </c>
      <c r="I294" s="353"/>
      <c r="J294" s="354" t="str">
        <f t="shared" si="13"/>
        <v>1003</v>
      </c>
      <c r="K294" s="355" t="str">
        <f t="shared" si="14"/>
        <v>0310253800</v>
      </c>
    </row>
    <row r="295" spans="1:11">
      <c r="A295" s="90" t="str">
        <f t="shared" si="12"/>
        <v>60910030310276260244</v>
      </c>
      <c r="B295" s="325">
        <v>609</v>
      </c>
      <c r="C295" s="324">
        <v>1003</v>
      </c>
      <c r="D295" s="323" t="s">
        <v>1369</v>
      </c>
      <c r="E295" s="322" t="s">
        <v>1043</v>
      </c>
      <c r="F295" s="339">
        <v>5402.79</v>
      </c>
      <c r="G295" s="339">
        <v>5760</v>
      </c>
      <c r="H295" s="339">
        <v>5760</v>
      </c>
      <c r="I295" s="353"/>
      <c r="J295" s="354" t="str">
        <f t="shared" si="13"/>
        <v>1003</v>
      </c>
      <c r="K295" s="355" t="str">
        <f t="shared" si="14"/>
        <v>0310276260</v>
      </c>
    </row>
    <row r="296" spans="1:11">
      <c r="A296" s="90" t="str">
        <f t="shared" si="12"/>
        <v>60910030310276260313</v>
      </c>
      <c r="B296" s="325">
        <v>609</v>
      </c>
      <c r="C296" s="324">
        <v>1003</v>
      </c>
      <c r="D296" s="323" t="s">
        <v>1369</v>
      </c>
      <c r="E296" s="322" t="s">
        <v>1064</v>
      </c>
      <c r="F296" s="339">
        <v>400207.21</v>
      </c>
      <c r="G296" s="339">
        <v>384070</v>
      </c>
      <c r="H296" s="339">
        <v>384070</v>
      </c>
      <c r="I296" s="353"/>
      <c r="J296" s="354" t="str">
        <f t="shared" si="13"/>
        <v>1003</v>
      </c>
      <c r="K296" s="355" t="str">
        <f t="shared" si="14"/>
        <v>0310276260</v>
      </c>
    </row>
    <row r="297" spans="1:11">
      <c r="A297" s="90" t="str">
        <f t="shared" si="12"/>
        <v>60910030310276270313</v>
      </c>
      <c r="B297" s="325">
        <v>609</v>
      </c>
      <c r="C297" s="324">
        <v>1003</v>
      </c>
      <c r="D297" s="323" t="s">
        <v>1370</v>
      </c>
      <c r="E297" s="322" t="s">
        <v>1064</v>
      </c>
      <c r="F297" s="339">
        <v>109869600</v>
      </c>
      <c r="G297" s="339">
        <v>93066000</v>
      </c>
      <c r="H297" s="339">
        <v>107715280</v>
      </c>
      <c r="I297" s="353"/>
      <c r="J297" s="354" t="str">
        <f t="shared" si="13"/>
        <v>1003</v>
      </c>
      <c r="K297" s="355" t="str">
        <f t="shared" si="14"/>
        <v>0310276270</v>
      </c>
    </row>
    <row r="298" spans="1:11">
      <c r="A298" s="90" t="str">
        <f t="shared" si="12"/>
        <v>60910030310277190244</v>
      </c>
      <c r="B298" s="325">
        <v>609</v>
      </c>
      <c r="C298" s="324">
        <v>1003</v>
      </c>
      <c r="D298" s="323" t="s">
        <v>1371</v>
      </c>
      <c r="E298" s="322" t="s">
        <v>1043</v>
      </c>
      <c r="F298" s="339">
        <v>26000</v>
      </c>
      <c r="G298" s="339">
        <v>25000</v>
      </c>
      <c r="H298" s="339">
        <v>25000</v>
      </c>
      <c r="I298" s="353"/>
      <c r="J298" s="354" t="str">
        <f t="shared" si="13"/>
        <v>1003</v>
      </c>
      <c r="K298" s="355" t="str">
        <f t="shared" si="14"/>
        <v>0310277190</v>
      </c>
    </row>
    <row r="299" spans="1:11">
      <c r="A299" s="90" t="str">
        <f t="shared" si="12"/>
        <v>60910030310277190313</v>
      </c>
      <c r="B299" s="325">
        <v>609</v>
      </c>
      <c r="C299" s="324">
        <v>1003</v>
      </c>
      <c r="D299" s="323" t="s">
        <v>1371</v>
      </c>
      <c r="E299" s="322" t="s">
        <v>1064</v>
      </c>
      <c r="F299" s="339">
        <v>2599000</v>
      </c>
      <c r="G299" s="339">
        <v>2499000</v>
      </c>
      <c r="H299" s="339">
        <v>2499000</v>
      </c>
      <c r="I299" s="353"/>
      <c r="J299" s="354" t="str">
        <f t="shared" si="13"/>
        <v>1003</v>
      </c>
      <c r="K299" s="355" t="str">
        <f t="shared" si="14"/>
        <v>0310277190</v>
      </c>
    </row>
    <row r="300" spans="1:11">
      <c r="A300" s="90" t="str">
        <f t="shared" si="12"/>
        <v>60910030310278280244</v>
      </c>
      <c r="B300" s="325">
        <v>609</v>
      </c>
      <c r="C300" s="324">
        <v>1003</v>
      </c>
      <c r="D300" s="323" t="s">
        <v>1372</v>
      </c>
      <c r="E300" s="322" t="s">
        <v>1043</v>
      </c>
      <c r="F300" s="339">
        <v>494273</v>
      </c>
      <c r="G300" s="339">
        <v>571760</v>
      </c>
      <c r="H300" s="339">
        <v>674660</v>
      </c>
      <c r="I300" s="353"/>
      <c r="J300" s="354" t="str">
        <f t="shared" si="13"/>
        <v>1003</v>
      </c>
      <c r="K300" s="355" t="str">
        <f t="shared" si="14"/>
        <v>0310278280</v>
      </c>
    </row>
    <row r="301" spans="1:11">
      <c r="A301" s="90" t="str">
        <f t="shared" si="12"/>
        <v>60910030310278280313</v>
      </c>
      <c r="B301" s="325">
        <v>609</v>
      </c>
      <c r="C301" s="324">
        <v>1003</v>
      </c>
      <c r="D301" s="323" t="s">
        <v>1372</v>
      </c>
      <c r="E301" s="322" t="s">
        <v>1064</v>
      </c>
      <c r="F301" s="339">
        <v>39538727</v>
      </c>
      <c r="G301" s="339">
        <v>45740690</v>
      </c>
      <c r="H301" s="339">
        <v>53973020</v>
      </c>
      <c r="I301" s="353"/>
      <c r="J301" s="354" t="str">
        <f t="shared" si="13"/>
        <v>1003</v>
      </c>
      <c r="K301" s="355" t="str">
        <f t="shared" si="14"/>
        <v>0310278280</v>
      </c>
    </row>
    <row r="302" spans="1:11">
      <c r="A302" s="90" t="str">
        <f t="shared" si="12"/>
        <v>60910030320180030313</v>
      </c>
      <c r="B302" s="325">
        <v>609</v>
      </c>
      <c r="C302" s="324">
        <v>1003</v>
      </c>
      <c r="D302" s="323" t="s">
        <v>1373</v>
      </c>
      <c r="E302" s="322" t="s">
        <v>1064</v>
      </c>
      <c r="F302" s="339">
        <v>6350000</v>
      </c>
      <c r="G302" s="339">
        <v>6350000</v>
      </c>
      <c r="H302" s="339">
        <v>6350000</v>
      </c>
      <c r="I302" s="353"/>
      <c r="J302" s="354" t="str">
        <f t="shared" si="13"/>
        <v>1003</v>
      </c>
      <c r="K302" s="355" t="str">
        <f t="shared" si="14"/>
        <v>0320180030</v>
      </c>
    </row>
    <row r="303" spans="1:11">
      <c r="A303" s="90" t="str">
        <f t="shared" si="12"/>
        <v>60910030320180070313</v>
      </c>
      <c r="B303" s="325">
        <v>609</v>
      </c>
      <c r="C303" s="324">
        <v>1003</v>
      </c>
      <c r="D303" s="323" t="s">
        <v>1374</v>
      </c>
      <c r="E303" s="322" t="s">
        <v>1064</v>
      </c>
      <c r="F303" s="339">
        <v>694280</v>
      </c>
      <c r="G303" s="339">
        <v>694280</v>
      </c>
      <c r="H303" s="339">
        <v>694280</v>
      </c>
      <c r="I303" s="353"/>
      <c r="J303" s="354" t="str">
        <f t="shared" si="13"/>
        <v>1003</v>
      </c>
      <c r="K303" s="355" t="str">
        <f t="shared" si="14"/>
        <v>0320180070</v>
      </c>
    </row>
    <row r="304" spans="1:11">
      <c r="A304" s="90" t="str">
        <f t="shared" si="12"/>
        <v>60910030320180100313</v>
      </c>
      <c r="B304" s="325">
        <v>609</v>
      </c>
      <c r="C304" s="324">
        <v>1003</v>
      </c>
      <c r="D304" s="323" t="s">
        <v>1375</v>
      </c>
      <c r="E304" s="322" t="s">
        <v>1064</v>
      </c>
      <c r="F304" s="339">
        <v>5718000</v>
      </c>
      <c r="G304" s="339">
        <v>5718000</v>
      </c>
      <c r="H304" s="339">
        <v>5718000</v>
      </c>
      <c r="I304" s="353"/>
      <c r="J304" s="354" t="str">
        <f t="shared" si="13"/>
        <v>1003</v>
      </c>
      <c r="K304" s="355" t="str">
        <f t="shared" si="14"/>
        <v>0320180100</v>
      </c>
    </row>
    <row r="305" spans="1:11">
      <c r="A305" s="90" t="str">
        <f t="shared" si="12"/>
        <v>60910030320180110313</v>
      </c>
      <c r="B305" s="325">
        <v>609</v>
      </c>
      <c r="C305" s="324">
        <v>1003</v>
      </c>
      <c r="D305" s="323" t="s">
        <v>1376</v>
      </c>
      <c r="E305" s="322" t="s">
        <v>1064</v>
      </c>
      <c r="F305" s="339">
        <v>1080000</v>
      </c>
      <c r="G305" s="339">
        <v>1080000</v>
      </c>
      <c r="H305" s="339">
        <v>1080000</v>
      </c>
      <c r="I305" s="353"/>
      <c r="J305" s="354" t="str">
        <f t="shared" si="13"/>
        <v>1003</v>
      </c>
      <c r="K305" s="355" t="str">
        <f t="shared" si="14"/>
        <v>0320180110</v>
      </c>
    </row>
    <row r="306" spans="1:11">
      <c r="A306" s="90" t="str">
        <f t="shared" si="12"/>
        <v>60910030320180120313</v>
      </c>
      <c r="B306" s="325">
        <v>609</v>
      </c>
      <c r="C306" s="324">
        <v>1003</v>
      </c>
      <c r="D306" s="323" t="s">
        <v>1377</v>
      </c>
      <c r="E306" s="322" t="s">
        <v>1064</v>
      </c>
      <c r="F306" s="339">
        <v>1025460</v>
      </c>
      <c r="G306" s="339">
        <v>1025460</v>
      </c>
      <c r="H306" s="339">
        <v>1025460</v>
      </c>
      <c r="I306" s="353"/>
      <c r="J306" s="354" t="str">
        <f t="shared" si="13"/>
        <v>1003</v>
      </c>
      <c r="K306" s="355" t="str">
        <f t="shared" si="14"/>
        <v>0320180120</v>
      </c>
    </row>
    <row r="307" spans="1:11">
      <c r="A307" s="90" t="str">
        <f t="shared" si="12"/>
        <v>60910030320180140313</v>
      </c>
      <c r="B307" s="325">
        <v>609</v>
      </c>
      <c r="C307" s="324">
        <v>1003</v>
      </c>
      <c r="D307" s="323" t="s">
        <v>1378</v>
      </c>
      <c r="E307" s="322" t="s">
        <v>1064</v>
      </c>
      <c r="F307" s="339">
        <v>714000</v>
      </c>
      <c r="G307" s="339">
        <v>714000</v>
      </c>
      <c r="H307" s="339">
        <v>714000</v>
      </c>
      <c r="I307" s="353"/>
      <c r="J307" s="354" t="str">
        <f t="shared" si="13"/>
        <v>1003</v>
      </c>
      <c r="K307" s="355" t="str">
        <f t="shared" si="14"/>
        <v>0320180140</v>
      </c>
    </row>
    <row r="308" spans="1:11">
      <c r="A308" s="90" t="str">
        <f t="shared" si="12"/>
        <v>60910030320180150313</v>
      </c>
      <c r="B308" s="325">
        <v>609</v>
      </c>
      <c r="C308" s="324">
        <v>1003</v>
      </c>
      <c r="D308" s="323" t="s">
        <v>1379</v>
      </c>
      <c r="E308" s="322" t="s">
        <v>1064</v>
      </c>
      <c r="F308" s="339">
        <v>1350000</v>
      </c>
      <c r="G308" s="339">
        <v>0</v>
      </c>
      <c r="H308" s="339">
        <v>0</v>
      </c>
      <c r="I308" s="353"/>
      <c r="J308" s="354" t="str">
        <f t="shared" si="13"/>
        <v>1003</v>
      </c>
      <c r="K308" s="355" t="str">
        <f t="shared" si="14"/>
        <v>0320180150</v>
      </c>
    </row>
    <row r="309" spans="1:11">
      <c r="A309" s="90" t="str">
        <f t="shared" si="12"/>
        <v>60910030320180160313</v>
      </c>
      <c r="B309" s="325">
        <v>609</v>
      </c>
      <c r="C309" s="324">
        <v>1003</v>
      </c>
      <c r="D309" s="323" t="s">
        <v>1380</v>
      </c>
      <c r="E309" s="322" t="s">
        <v>1064</v>
      </c>
      <c r="F309" s="339">
        <v>1000000</v>
      </c>
      <c r="G309" s="339">
        <v>1000000</v>
      </c>
      <c r="H309" s="339">
        <v>1000000</v>
      </c>
      <c r="I309" s="353"/>
      <c r="J309" s="354" t="str">
        <f t="shared" si="13"/>
        <v>1003</v>
      </c>
      <c r="K309" s="355" t="str">
        <f t="shared" si="14"/>
        <v>0320180160</v>
      </c>
    </row>
    <row r="310" spans="1:11">
      <c r="A310" s="90" t="str">
        <f t="shared" si="12"/>
        <v>60910030320180180313</v>
      </c>
      <c r="B310" s="325">
        <v>609</v>
      </c>
      <c r="C310" s="324">
        <v>1003</v>
      </c>
      <c r="D310" s="323" t="s">
        <v>1381</v>
      </c>
      <c r="E310" s="322" t="s">
        <v>1064</v>
      </c>
      <c r="F310" s="339">
        <v>1854000</v>
      </c>
      <c r="G310" s="339">
        <v>1854000</v>
      </c>
      <c r="H310" s="339">
        <v>1854000</v>
      </c>
      <c r="I310" s="353"/>
      <c r="J310" s="354" t="str">
        <f t="shared" si="13"/>
        <v>1003</v>
      </c>
      <c r="K310" s="355" t="str">
        <f t="shared" si="14"/>
        <v>0320180180</v>
      </c>
    </row>
    <row r="311" spans="1:11">
      <c r="A311" s="90" t="str">
        <f t="shared" si="12"/>
        <v>60910030320180190313</v>
      </c>
      <c r="B311" s="325">
        <v>609</v>
      </c>
      <c r="C311" s="324">
        <v>1003</v>
      </c>
      <c r="D311" s="323" t="s">
        <v>1382</v>
      </c>
      <c r="E311" s="322" t="s">
        <v>1064</v>
      </c>
      <c r="F311" s="339">
        <v>40000</v>
      </c>
      <c r="G311" s="339">
        <v>40000</v>
      </c>
      <c r="H311" s="339">
        <v>40000</v>
      </c>
      <c r="I311" s="353"/>
      <c r="J311" s="354" t="str">
        <f t="shared" si="13"/>
        <v>1003</v>
      </c>
      <c r="K311" s="355" t="str">
        <f t="shared" si="14"/>
        <v>0320180190</v>
      </c>
    </row>
    <row r="312" spans="1:11">
      <c r="A312" s="90" t="str">
        <f t="shared" si="12"/>
        <v>60910030320180210313</v>
      </c>
      <c r="B312" s="325">
        <v>609</v>
      </c>
      <c r="C312" s="324">
        <v>1003</v>
      </c>
      <c r="D312" s="323" t="s">
        <v>1383</v>
      </c>
      <c r="E312" s="322" t="s">
        <v>1064</v>
      </c>
      <c r="F312" s="339">
        <v>100000</v>
      </c>
      <c r="G312" s="339">
        <v>100000</v>
      </c>
      <c r="H312" s="339">
        <v>100000</v>
      </c>
      <c r="I312" s="353"/>
      <c r="J312" s="354" t="str">
        <f t="shared" si="13"/>
        <v>1003</v>
      </c>
      <c r="K312" s="355" t="str">
        <f t="shared" si="14"/>
        <v>0320180210</v>
      </c>
    </row>
    <row r="313" spans="1:11">
      <c r="A313" s="90" t="str">
        <f t="shared" si="12"/>
        <v>60910030320520500244</v>
      </c>
      <c r="B313" s="325">
        <v>609</v>
      </c>
      <c r="C313" s="324">
        <v>1003</v>
      </c>
      <c r="D313" s="323" t="s">
        <v>1384</v>
      </c>
      <c r="E313" s="322" t="s">
        <v>1043</v>
      </c>
      <c r="F313" s="339">
        <v>1209000</v>
      </c>
      <c r="G313" s="339">
        <v>1077980</v>
      </c>
      <c r="H313" s="339">
        <v>1077980</v>
      </c>
      <c r="I313" s="353"/>
      <c r="J313" s="354" t="str">
        <f t="shared" si="13"/>
        <v>1003</v>
      </c>
      <c r="K313" s="355" t="str">
        <f t="shared" si="14"/>
        <v>0320520500</v>
      </c>
    </row>
    <row r="314" spans="1:11">
      <c r="A314" s="90" t="str">
        <f t="shared" si="12"/>
        <v>60910030320520500323</v>
      </c>
      <c r="B314" s="325">
        <v>609</v>
      </c>
      <c r="C314" s="324">
        <v>1003</v>
      </c>
      <c r="D314" s="323" t="s">
        <v>1384</v>
      </c>
      <c r="E314" s="322" t="s">
        <v>1065</v>
      </c>
      <c r="F314" s="339">
        <v>78750</v>
      </c>
      <c r="G314" s="339">
        <v>81000</v>
      </c>
      <c r="H314" s="339">
        <v>81000</v>
      </c>
      <c r="I314" s="353"/>
      <c r="J314" s="354" t="str">
        <f t="shared" si="13"/>
        <v>1003</v>
      </c>
      <c r="K314" s="355" t="str">
        <f t="shared" si="14"/>
        <v>0320520500</v>
      </c>
    </row>
    <row r="315" spans="1:11">
      <c r="A315" s="90" t="str">
        <f t="shared" si="12"/>
        <v>60910030320620520244</v>
      </c>
      <c r="B315" s="325">
        <v>609</v>
      </c>
      <c r="C315" s="324">
        <v>1003</v>
      </c>
      <c r="D315" s="323" t="s">
        <v>1385</v>
      </c>
      <c r="E315" s="322" t="s">
        <v>1043</v>
      </c>
      <c r="F315" s="339">
        <v>251000</v>
      </c>
      <c r="G315" s="339">
        <v>251000</v>
      </c>
      <c r="H315" s="339">
        <v>251000</v>
      </c>
      <c r="I315" s="353"/>
      <c r="J315" s="354" t="str">
        <f t="shared" si="13"/>
        <v>1003</v>
      </c>
      <c r="K315" s="355" t="str">
        <f t="shared" si="14"/>
        <v>0320620520</v>
      </c>
    </row>
    <row r="316" spans="1:11">
      <c r="A316" s="90" t="str">
        <f t="shared" si="12"/>
        <v>60910030320820510244</v>
      </c>
      <c r="B316" s="325">
        <v>609</v>
      </c>
      <c r="C316" s="324">
        <v>1003</v>
      </c>
      <c r="D316" s="323" t="s">
        <v>1386</v>
      </c>
      <c r="E316" s="322" t="s">
        <v>1043</v>
      </c>
      <c r="F316" s="339">
        <v>371880</v>
      </c>
      <c r="G316" s="339">
        <v>334690</v>
      </c>
      <c r="H316" s="339">
        <v>334690</v>
      </c>
      <c r="I316" s="353"/>
      <c r="J316" s="354" t="str">
        <f t="shared" si="13"/>
        <v>1003</v>
      </c>
      <c r="K316" s="355" t="str">
        <f t="shared" si="14"/>
        <v>0320820510</v>
      </c>
    </row>
    <row r="317" spans="1:11">
      <c r="A317" s="90" t="str">
        <f t="shared" si="12"/>
        <v>60910030330120530323</v>
      </c>
      <c r="B317" s="325">
        <v>609</v>
      </c>
      <c r="C317" s="324">
        <v>1003</v>
      </c>
      <c r="D317" s="323" t="s">
        <v>1387</v>
      </c>
      <c r="E317" s="322" t="s">
        <v>1065</v>
      </c>
      <c r="F317" s="339">
        <v>1702525</v>
      </c>
      <c r="G317" s="339">
        <v>1739000</v>
      </c>
      <c r="H317" s="339">
        <v>1739000</v>
      </c>
      <c r="I317" s="353"/>
      <c r="J317" s="354" t="str">
        <f t="shared" si="13"/>
        <v>1003</v>
      </c>
      <c r="K317" s="355" t="str">
        <f t="shared" si="14"/>
        <v>0330120530</v>
      </c>
    </row>
    <row r="318" spans="1:11">
      <c r="A318" s="90" t="str">
        <f t="shared" si="12"/>
        <v>60910039820080080313</v>
      </c>
      <c r="B318" s="325">
        <v>609</v>
      </c>
      <c r="C318" s="324">
        <v>1003</v>
      </c>
      <c r="D318" s="323" t="s">
        <v>1388</v>
      </c>
      <c r="E318" s="322" t="s">
        <v>1064</v>
      </c>
      <c r="F318" s="339">
        <v>33168.839999999997</v>
      </c>
      <c r="G318" s="339">
        <v>0</v>
      </c>
      <c r="H318" s="339">
        <v>0</v>
      </c>
      <c r="I318" s="353"/>
      <c r="J318" s="354" t="str">
        <f t="shared" si="13"/>
        <v>1003</v>
      </c>
      <c r="K318" s="355" t="str">
        <f t="shared" si="14"/>
        <v>9820080080</v>
      </c>
    </row>
    <row r="319" spans="1:11">
      <c r="A319" s="90" t="str">
        <f t="shared" si="12"/>
        <v>60910040310252700313</v>
      </c>
      <c r="B319" s="325">
        <v>609</v>
      </c>
      <c r="C319" s="324">
        <v>1004</v>
      </c>
      <c r="D319" s="323" t="s">
        <v>1389</v>
      </c>
      <c r="E319" s="322" t="s">
        <v>1064</v>
      </c>
      <c r="F319" s="339">
        <v>1500100</v>
      </c>
      <c r="G319" s="339">
        <v>1791500</v>
      </c>
      <c r="H319" s="339">
        <v>1863500</v>
      </c>
      <c r="I319" s="353"/>
      <c r="J319" s="354" t="str">
        <f t="shared" si="13"/>
        <v>1004</v>
      </c>
      <c r="K319" s="355" t="str">
        <f t="shared" si="14"/>
        <v>0310252700</v>
      </c>
    </row>
    <row r="320" spans="1:11">
      <c r="A320" s="90" t="str">
        <f t="shared" si="12"/>
        <v>609100403102R0840313</v>
      </c>
      <c r="B320" s="325">
        <v>609</v>
      </c>
      <c r="C320" s="324">
        <v>1004</v>
      </c>
      <c r="D320" s="323" t="s">
        <v>1225</v>
      </c>
      <c r="E320" s="322" t="s">
        <v>1064</v>
      </c>
      <c r="F320" s="339">
        <v>148215740</v>
      </c>
      <c r="G320" s="339">
        <v>126215740</v>
      </c>
      <c r="H320" s="339">
        <v>126215740</v>
      </c>
      <c r="I320" s="353"/>
      <c r="J320" s="354" t="str">
        <f t="shared" si="13"/>
        <v>1004</v>
      </c>
      <c r="K320" s="355" t="str">
        <f t="shared" si="14"/>
        <v>03102R0840</v>
      </c>
    </row>
    <row r="321" spans="1:11">
      <c r="A321" s="90" t="str">
        <f t="shared" si="12"/>
        <v>60910060320760040632</v>
      </c>
      <c r="B321" s="325">
        <v>609</v>
      </c>
      <c r="C321" s="324">
        <v>1006</v>
      </c>
      <c r="D321" s="323" t="s">
        <v>1390</v>
      </c>
      <c r="E321" s="322" t="s">
        <v>1055</v>
      </c>
      <c r="F321" s="339">
        <v>1289450</v>
      </c>
      <c r="G321" s="339">
        <v>1160510</v>
      </c>
      <c r="H321" s="339">
        <v>1160510</v>
      </c>
      <c r="I321" s="353"/>
      <c r="J321" s="354" t="str">
        <f t="shared" si="13"/>
        <v>1006</v>
      </c>
      <c r="K321" s="355" t="str">
        <f t="shared" si="14"/>
        <v>0320760040</v>
      </c>
    </row>
    <row r="322" spans="1:11">
      <c r="A322" s="90" t="str">
        <f t="shared" si="12"/>
        <v>60910060330120530244</v>
      </c>
      <c r="B322" s="325">
        <v>609</v>
      </c>
      <c r="C322" s="324">
        <v>1006</v>
      </c>
      <c r="D322" s="323" t="s">
        <v>1387</v>
      </c>
      <c r="E322" s="322" t="s">
        <v>1043</v>
      </c>
      <c r="F322" s="339">
        <v>608590</v>
      </c>
      <c r="G322" s="339">
        <v>71690</v>
      </c>
      <c r="H322" s="339">
        <v>71690</v>
      </c>
      <c r="I322" s="353"/>
      <c r="J322" s="354" t="str">
        <f t="shared" si="13"/>
        <v>1006</v>
      </c>
      <c r="K322" s="355" t="str">
        <f t="shared" si="14"/>
        <v>0330120530</v>
      </c>
    </row>
    <row r="323" spans="1:11">
      <c r="A323" s="90" t="str">
        <f t="shared" si="12"/>
        <v>60910060330120530851</v>
      </c>
      <c r="B323" s="325">
        <v>609</v>
      </c>
      <c r="C323" s="324">
        <v>1006</v>
      </c>
      <c r="D323" s="323" t="s">
        <v>1387</v>
      </c>
      <c r="E323" s="322" t="s">
        <v>1061</v>
      </c>
      <c r="F323" s="339">
        <v>25100</v>
      </c>
      <c r="G323" s="339">
        <v>25100</v>
      </c>
      <c r="H323" s="339">
        <v>25100</v>
      </c>
      <c r="I323" s="353"/>
      <c r="J323" s="354" t="str">
        <f t="shared" si="13"/>
        <v>1006</v>
      </c>
      <c r="K323" s="355" t="str">
        <f t="shared" si="14"/>
        <v>0330120530</v>
      </c>
    </row>
    <row r="324" spans="1:11">
      <c r="A324" s="90" t="str">
        <f t="shared" si="12"/>
        <v>60910060330120530852</v>
      </c>
      <c r="B324" s="325">
        <v>609</v>
      </c>
      <c r="C324" s="324">
        <v>1006</v>
      </c>
      <c r="D324" s="323" t="s">
        <v>1387</v>
      </c>
      <c r="E324" s="322" t="s">
        <v>1062</v>
      </c>
      <c r="F324" s="339">
        <v>5380</v>
      </c>
      <c r="G324" s="339">
        <v>2170</v>
      </c>
      <c r="H324" s="339">
        <v>2170</v>
      </c>
      <c r="I324" s="353"/>
      <c r="J324" s="354" t="str">
        <f t="shared" si="13"/>
        <v>1006</v>
      </c>
      <c r="K324" s="355" t="str">
        <f t="shared" si="14"/>
        <v>0330120530</v>
      </c>
    </row>
    <row r="325" spans="1:11">
      <c r="A325" s="90" t="str">
        <f t="shared" si="12"/>
        <v>609100603301L0270244</v>
      </c>
      <c r="B325" s="325">
        <v>609</v>
      </c>
      <c r="C325" s="324">
        <v>1006</v>
      </c>
      <c r="D325" s="323" t="s">
        <v>1223</v>
      </c>
      <c r="E325" s="322" t="s">
        <v>1043</v>
      </c>
      <c r="F325" s="339">
        <v>973250</v>
      </c>
      <c r="G325" s="339">
        <v>875930</v>
      </c>
      <c r="H325" s="339">
        <v>875930</v>
      </c>
      <c r="I325" s="353"/>
      <c r="J325" s="354" t="str">
        <f t="shared" si="13"/>
        <v>1006</v>
      </c>
      <c r="K325" s="355" t="str">
        <f t="shared" si="14"/>
        <v>03301L0270</v>
      </c>
    </row>
    <row r="326" spans="1:11">
      <c r="A326" s="90" t="str">
        <f t="shared" si="12"/>
        <v>60910067710010010122</v>
      </c>
      <c r="B326" s="325">
        <v>609</v>
      </c>
      <c r="C326" s="324">
        <v>1006</v>
      </c>
      <c r="D326" s="323" t="s">
        <v>1391</v>
      </c>
      <c r="E326" s="322" t="s">
        <v>1059</v>
      </c>
      <c r="F326" s="339">
        <v>102120</v>
      </c>
      <c r="G326" s="339">
        <v>102120</v>
      </c>
      <c r="H326" s="339">
        <v>102120</v>
      </c>
      <c r="I326" s="353"/>
      <c r="J326" s="354" t="str">
        <f t="shared" si="13"/>
        <v>1006</v>
      </c>
      <c r="K326" s="355" t="str">
        <f t="shared" si="14"/>
        <v>7710010010</v>
      </c>
    </row>
    <row r="327" spans="1:11">
      <c r="A327" s="90" t="str">
        <f t="shared" si="12"/>
        <v>60910067710010010129</v>
      </c>
      <c r="B327" s="325">
        <v>609</v>
      </c>
      <c r="C327" s="324">
        <v>1006</v>
      </c>
      <c r="D327" s="323" t="s">
        <v>1391</v>
      </c>
      <c r="E327" s="322" t="s">
        <v>1060</v>
      </c>
      <c r="F327" s="339">
        <v>30840</v>
      </c>
      <c r="G327" s="339">
        <v>30840</v>
      </c>
      <c r="H327" s="339">
        <v>30840</v>
      </c>
      <c r="I327" s="353"/>
      <c r="J327" s="354" t="str">
        <f t="shared" si="13"/>
        <v>1006</v>
      </c>
      <c r="K327" s="355" t="str">
        <f t="shared" si="14"/>
        <v>7710010010</v>
      </c>
    </row>
    <row r="328" spans="1:11">
      <c r="A328" s="90" t="str">
        <f t="shared" si="12"/>
        <v>60910067710010010244</v>
      </c>
      <c r="B328" s="325">
        <v>609</v>
      </c>
      <c r="C328" s="324">
        <v>1006</v>
      </c>
      <c r="D328" s="323" t="s">
        <v>1391</v>
      </c>
      <c r="E328" s="322" t="s">
        <v>1043</v>
      </c>
      <c r="F328" s="339">
        <v>703926</v>
      </c>
      <c r="G328" s="339">
        <v>713070</v>
      </c>
      <c r="H328" s="339">
        <v>713070</v>
      </c>
      <c r="I328" s="353"/>
      <c r="J328" s="354" t="str">
        <f t="shared" si="13"/>
        <v>1006</v>
      </c>
      <c r="K328" s="355" t="str">
        <f t="shared" si="14"/>
        <v>7710010010</v>
      </c>
    </row>
    <row r="329" spans="1:11">
      <c r="A329" s="90" t="str">
        <f t="shared" si="12"/>
        <v>60910067710010010852</v>
      </c>
      <c r="B329" s="325">
        <v>609</v>
      </c>
      <c r="C329" s="324">
        <v>1006</v>
      </c>
      <c r="D329" s="323" t="s">
        <v>1391</v>
      </c>
      <c r="E329" s="322" t="s">
        <v>1062</v>
      </c>
      <c r="F329" s="339">
        <v>10000</v>
      </c>
      <c r="G329" s="339">
        <v>10000</v>
      </c>
      <c r="H329" s="339">
        <v>10000</v>
      </c>
      <c r="I329" s="353"/>
      <c r="J329" s="354" t="str">
        <f t="shared" si="13"/>
        <v>1006</v>
      </c>
      <c r="K329" s="355" t="str">
        <f t="shared" si="14"/>
        <v>7710010010</v>
      </c>
    </row>
    <row r="330" spans="1:11">
      <c r="A330" s="90" t="str">
        <f t="shared" ref="A330:A393" si="15">CONCATENATE(B330,J330,K330,E330)</f>
        <v>60910067710010020121</v>
      </c>
      <c r="B330" s="325">
        <v>609</v>
      </c>
      <c r="C330" s="324">
        <v>1006</v>
      </c>
      <c r="D330" s="323" t="s">
        <v>1392</v>
      </c>
      <c r="E330" s="322" t="s">
        <v>1063</v>
      </c>
      <c r="F330" s="339">
        <v>4705800</v>
      </c>
      <c r="G330" s="339">
        <v>4705800</v>
      </c>
      <c r="H330" s="339">
        <v>4705800</v>
      </c>
      <c r="I330" s="353"/>
      <c r="J330" s="354" t="str">
        <f t="shared" si="13"/>
        <v>1006</v>
      </c>
      <c r="K330" s="355" t="str">
        <f t="shared" si="14"/>
        <v>7710010020</v>
      </c>
    </row>
    <row r="331" spans="1:11">
      <c r="A331" s="90" t="str">
        <f t="shared" si="15"/>
        <v>60910067710010020129</v>
      </c>
      <c r="B331" s="325">
        <v>609</v>
      </c>
      <c r="C331" s="324">
        <v>1006</v>
      </c>
      <c r="D331" s="323" t="s">
        <v>1392</v>
      </c>
      <c r="E331" s="322" t="s">
        <v>1060</v>
      </c>
      <c r="F331" s="339">
        <v>1421150</v>
      </c>
      <c r="G331" s="339">
        <v>1421150</v>
      </c>
      <c r="H331" s="339">
        <v>1421150</v>
      </c>
      <c r="I331" s="353"/>
      <c r="J331" s="354" t="str">
        <f t="shared" ref="J331:J394" si="16">TEXT(C331,"0000")</f>
        <v>1006</v>
      </c>
      <c r="K331" s="355" t="str">
        <f t="shared" ref="K331:K394" si="17">TEXT(D331,"0000000000")</f>
        <v>7710010020</v>
      </c>
    </row>
    <row r="332" spans="1:11">
      <c r="A332" s="90" t="str">
        <f t="shared" si="15"/>
        <v>60910067710076100121</v>
      </c>
      <c r="B332" s="325">
        <v>609</v>
      </c>
      <c r="C332" s="324">
        <v>1006</v>
      </c>
      <c r="D332" s="323" t="s">
        <v>1393</v>
      </c>
      <c r="E332" s="322" t="s">
        <v>1063</v>
      </c>
      <c r="F332" s="339">
        <v>1077130</v>
      </c>
      <c r="G332" s="339">
        <v>1077130</v>
      </c>
      <c r="H332" s="339">
        <v>1077130</v>
      </c>
      <c r="I332" s="353"/>
      <c r="J332" s="354" t="str">
        <f t="shared" si="16"/>
        <v>1006</v>
      </c>
      <c r="K332" s="355" t="str">
        <f t="shared" si="17"/>
        <v>7710076100</v>
      </c>
    </row>
    <row r="333" spans="1:11">
      <c r="A333" s="90" t="str">
        <f t="shared" si="15"/>
        <v>60910067710076100122</v>
      </c>
      <c r="B333" s="325">
        <v>609</v>
      </c>
      <c r="C333" s="324">
        <v>1006</v>
      </c>
      <c r="D333" s="323" t="s">
        <v>1393</v>
      </c>
      <c r="E333" s="322" t="s">
        <v>1059</v>
      </c>
      <c r="F333" s="339">
        <v>38295</v>
      </c>
      <c r="G333" s="339">
        <v>38295</v>
      </c>
      <c r="H333" s="339">
        <v>38295</v>
      </c>
      <c r="I333" s="353"/>
      <c r="J333" s="354" t="str">
        <f t="shared" si="16"/>
        <v>1006</v>
      </c>
      <c r="K333" s="355" t="str">
        <f t="shared" si="17"/>
        <v>7710076100</v>
      </c>
    </row>
    <row r="334" spans="1:11">
      <c r="A334" s="90" t="str">
        <f t="shared" si="15"/>
        <v>60910067710076100129</v>
      </c>
      <c r="B334" s="325">
        <v>609</v>
      </c>
      <c r="C334" s="324">
        <v>1006</v>
      </c>
      <c r="D334" s="323" t="s">
        <v>1393</v>
      </c>
      <c r="E334" s="322" t="s">
        <v>1060</v>
      </c>
      <c r="F334" s="339">
        <v>336861.35</v>
      </c>
      <c r="G334" s="339">
        <v>336861.35</v>
      </c>
      <c r="H334" s="339">
        <v>336861.35</v>
      </c>
      <c r="I334" s="353"/>
      <c r="J334" s="354" t="str">
        <f t="shared" si="16"/>
        <v>1006</v>
      </c>
      <c r="K334" s="355" t="str">
        <f t="shared" si="17"/>
        <v>7710076100</v>
      </c>
    </row>
    <row r="335" spans="1:11">
      <c r="A335" s="90" t="str">
        <f t="shared" si="15"/>
        <v>60910067710076210121</v>
      </c>
      <c r="B335" s="325">
        <v>609</v>
      </c>
      <c r="C335" s="324">
        <v>1006</v>
      </c>
      <c r="D335" s="323" t="s">
        <v>1394</v>
      </c>
      <c r="E335" s="322" t="s">
        <v>1063</v>
      </c>
      <c r="F335" s="339">
        <v>38700000</v>
      </c>
      <c r="G335" s="339">
        <v>38700000</v>
      </c>
      <c r="H335" s="339">
        <v>38700000</v>
      </c>
      <c r="I335" s="353"/>
      <c r="J335" s="354" t="str">
        <f t="shared" si="16"/>
        <v>1006</v>
      </c>
      <c r="K335" s="355" t="str">
        <f t="shared" si="17"/>
        <v>7710076210</v>
      </c>
    </row>
    <row r="336" spans="1:11">
      <c r="A336" s="90" t="str">
        <f t="shared" si="15"/>
        <v>60910067710076210122</v>
      </c>
      <c r="B336" s="325">
        <v>609</v>
      </c>
      <c r="C336" s="324">
        <v>1006</v>
      </c>
      <c r="D336" s="323" t="s">
        <v>1394</v>
      </c>
      <c r="E336" s="322" t="s">
        <v>1059</v>
      </c>
      <c r="F336" s="339">
        <v>1404150</v>
      </c>
      <c r="G336" s="339">
        <v>1404150</v>
      </c>
      <c r="H336" s="339">
        <v>1404150</v>
      </c>
      <c r="I336" s="353"/>
      <c r="J336" s="354" t="str">
        <f t="shared" si="16"/>
        <v>1006</v>
      </c>
      <c r="K336" s="355" t="str">
        <f t="shared" si="17"/>
        <v>7710076210</v>
      </c>
    </row>
    <row r="337" spans="1:11">
      <c r="A337" s="90" t="str">
        <f t="shared" si="15"/>
        <v>60910067710076210129</v>
      </c>
      <c r="B337" s="325">
        <v>609</v>
      </c>
      <c r="C337" s="324">
        <v>1006</v>
      </c>
      <c r="D337" s="323" t="s">
        <v>1394</v>
      </c>
      <c r="E337" s="322" t="s">
        <v>1060</v>
      </c>
      <c r="F337" s="339">
        <v>11726040</v>
      </c>
      <c r="G337" s="339">
        <v>11726040</v>
      </c>
      <c r="H337" s="339">
        <v>11726040</v>
      </c>
      <c r="I337" s="353"/>
      <c r="J337" s="354" t="str">
        <f t="shared" si="16"/>
        <v>1006</v>
      </c>
      <c r="K337" s="355" t="str">
        <f t="shared" si="17"/>
        <v>7710076210</v>
      </c>
    </row>
    <row r="338" spans="1:11">
      <c r="A338" s="90" t="str">
        <f t="shared" si="15"/>
        <v>60910067710076210244</v>
      </c>
      <c r="B338" s="325">
        <v>609</v>
      </c>
      <c r="C338" s="324">
        <v>1006</v>
      </c>
      <c r="D338" s="323" t="s">
        <v>1394</v>
      </c>
      <c r="E338" s="322" t="s">
        <v>1043</v>
      </c>
      <c r="F338" s="339">
        <v>1459540</v>
      </c>
      <c r="G338" s="339">
        <v>1479800</v>
      </c>
      <c r="H338" s="339">
        <v>1479800</v>
      </c>
      <c r="I338" s="353"/>
      <c r="J338" s="354" t="str">
        <f t="shared" si="16"/>
        <v>1006</v>
      </c>
      <c r="K338" s="355" t="str">
        <f t="shared" si="17"/>
        <v>7710076210</v>
      </c>
    </row>
    <row r="339" spans="1:11">
      <c r="A339" s="90" t="str">
        <f t="shared" si="15"/>
        <v>60910067710076210851</v>
      </c>
      <c r="B339" s="325">
        <v>609</v>
      </c>
      <c r="C339" s="324">
        <v>1006</v>
      </c>
      <c r="D339" s="323" t="s">
        <v>1394</v>
      </c>
      <c r="E339" s="322" t="s">
        <v>1061</v>
      </c>
      <c r="F339" s="339">
        <v>100000</v>
      </c>
      <c r="G339" s="339">
        <v>100000</v>
      </c>
      <c r="H339" s="339">
        <v>100000</v>
      </c>
      <c r="I339" s="353"/>
      <c r="J339" s="354" t="str">
        <f t="shared" si="16"/>
        <v>1006</v>
      </c>
      <c r="K339" s="355" t="str">
        <f t="shared" si="17"/>
        <v>7710076210</v>
      </c>
    </row>
    <row r="340" spans="1:11">
      <c r="A340" s="90" t="str">
        <f t="shared" si="15"/>
        <v>60910067710076210852</v>
      </c>
      <c r="B340" s="325">
        <v>609</v>
      </c>
      <c r="C340" s="324">
        <v>1006</v>
      </c>
      <c r="D340" s="323" t="s">
        <v>1394</v>
      </c>
      <c r="E340" s="322" t="s">
        <v>1062</v>
      </c>
      <c r="F340" s="339">
        <v>10000</v>
      </c>
      <c r="G340" s="339">
        <v>10000</v>
      </c>
      <c r="H340" s="339">
        <v>10000</v>
      </c>
      <c r="I340" s="353"/>
      <c r="J340" s="354" t="str">
        <f t="shared" si="16"/>
        <v>1006</v>
      </c>
      <c r="K340" s="355" t="str">
        <f t="shared" si="17"/>
        <v>7710076210</v>
      </c>
    </row>
    <row r="341" spans="1:11">
      <c r="A341" s="90" t="str">
        <f t="shared" si="15"/>
        <v>60910069820020530244</v>
      </c>
      <c r="B341" s="325">
        <v>609</v>
      </c>
      <c r="C341" s="324">
        <v>1006</v>
      </c>
      <c r="D341" s="323" t="s">
        <v>1395</v>
      </c>
      <c r="E341" s="322" t="s">
        <v>1043</v>
      </c>
      <c r="F341" s="339">
        <v>3606.68</v>
      </c>
      <c r="G341" s="339">
        <v>0</v>
      </c>
      <c r="H341" s="339">
        <v>0</v>
      </c>
      <c r="I341" s="353"/>
      <c r="J341" s="354" t="str">
        <f t="shared" si="16"/>
        <v>1006</v>
      </c>
      <c r="K341" s="355" t="str">
        <f t="shared" si="17"/>
        <v>9820020530</v>
      </c>
    </row>
    <row r="342" spans="1:11">
      <c r="A342" s="90" t="str">
        <f t="shared" si="15"/>
        <v>61107030810111010611</v>
      </c>
      <c r="B342" s="325">
        <v>611</v>
      </c>
      <c r="C342" s="324">
        <v>703</v>
      </c>
      <c r="D342" s="323" t="s">
        <v>1396</v>
      </c>
      <c r="E342" s="322" t="s">
        <v>67</v>
      </c>
      <c r="F342" s="339">
        <v>147588280</v>
      </c>
      <c r="G342" s="339">
        <v>147736110</v>
      </c>
      <c r="H342" s="339">
        <v>147736110</v>
      </c>
      <c r="I342" s="353"/>
      <c r="J342" s="354" t="str">
        <f t="shared" si="16"/>
        <v>0703</v>
      </c>
      <c r="K342" s="355" t="str">
        <f t="shared" si="17"/>
        <v>0810111010</v>
      </c>
    </row>
    <row r="343" spans="1:11">
      <c r="A343" s="90" t="str">
        <f t="shared" si="15"/>
        <v>61107030810177250611</v>
      </c>
      <c r="B343" s="325">
        <v>611</v>
      </c>
      <c r="C343" s="324">
        <v>703</v>
      </c>
      <c r="D343" s="323" t="s">
        <v>1397</v>
      </c>
      <c r="E343" s="322" t="s">
        <v>67</v>
      </c>
      <c r="F343" s="339">
        <v>112490</v>
      </c>
      <c r="G343" s="339">
        <v>0</v>
      </c>
      <c r="H343" s="339">
        <v>0</v>
      </c>
      <c r="I343" s="353"/>
      <c r="J343" s="354" t="str">
        <f t="shared" si="16"/>
        <v>0703</v>
      </c>
      <c r="K343" s="355" t="str">
        <f t="shared" si="17"/>
        <v>0810177250</v>
      </c>
    </row>
    <row r="344" spans="1:11">
      <c r="A344" s="90" t="str">
        <f t="shared" si="15"/>
        <v>61107031620220550612</v>
      </c>
      <c r="B344" s="325">
        <v>611</v>
      </c>
      <c r="C344" s="324">
        <v>703</v>
      </c>
      <c r="D344" s="323" t="s">
        <v>1316</v>
      </c>
      <c r="E344" s="322" t="s">
        <v>1046</v>
      </c>
      <c r="F344" s="339">
        <v>259490</v>
      </c>
      <c r="G344" s="339">
        <v>233550</v>
      </c>
      <c r="H344" s="339">
        <v>233550</v>
      </c>
      <c r="I344" s="353"/>
      <c r="J344" s="354" t="str">
        <f t="shared" si="16"/>
        <v>0703</v>
      </c>
      <c r="K344" s="355" t="str">
        <f t="shared" si="17"/>
        <v>1620220550</v>
      </c>
    </row>
    <row r="345" spans="1:11">
      <c r="A345" s="90" t="str">
        <f t="shared" si="15"/>
        <v>611070317Б0120490612</v>
      </c>
      <c r="B345" s="325">
        <v>611</v>
      </c>
      <c r="C345" s="324">
        <v>703</v>
      </c>
      <c r="D345" s="323" t="s">
        <v>1209</v>
      </c>
      <c r="E345" s="322" t="s">
        <v>1046</v>
      </c>
      <c r="F345" s="339">
        <v>425000</v>
      </c>
      <c r="G345" s="339">
        <v>0</v>
      </c>
      <c r="H345" s="339">
        <v>0</v>
      </c>
      <c r="I345" s="353"/>
      <c r="J345" s="354" t="str">
        <f t="shared" si="16"/>
        <v>0703</v>
      </c>
      <c r="K345" s="355" t="str">
        <f t="shared" si="17"/>
        <v>17Б0120490</v>
      </c>
    </row>
    <row r="346" spans="1:11">
      <c r="A346" s="90" t="str">
        <f t="shared" si="15"/>
        <v>61111010810211010611</v>
      </c>
      <c r="B346" s="325">
        <v>611</v>
      </c>
      <c r="C346" s="324">
        <v>1101</v>
      </c>
      <c r="D346" s="323" t="s">
        <v>1398</v>
      </c>
      <c r="E346" s="322" t="s">
        <v>67</v>
      </c>
      <c r="F346" s="339">
        <v>2976140</v>
      </c>
      <c r="G346" s="339">
        <v>2977180</v>
      </c>
      <c r="H346" s="339">
        <v>2977180</v>
      </c>
      <c r="I346" s="353"/>
      <c r="J346" s="354" t="str">
        <f t="shared" si="16"/>
        <v>1101</v>
      </c>
      <c r="K346" s="355" t="str">
        <f t="shared" si="17"/>
        <v>0810211010</v>
      </c>
    </row>
    <row r="347" spans="1:11">
      <c r="A347" s="90" t="str">
        <f t="shared" si="15"/>
        <v>61111010810277250611</v>
      </c>
      <c r="B347" s="325">
        <v>611</v>
      </c>
      <c r="C347" s="324">
        <v>1101</v>
      </c>
      <c r="D347" s="323" t="s">
        <v>1399</v>
      </c>
      <c r="E347" s="322" t="s">
        <v>67</v>
      </c>
      <c r="F347" s="339">
        <v>4690</v>
      </c>
      <c r="G347" s="339">
        <v>0</v>
      </c>
      <c r="H347" s="339">
        <v>0</v>
      </c>
      <c r="I347" s="353"/>
      <c r="J347" s="354" t="str">
        <f t="shared" si="16"/>
        <v>1101</v>
      </c>
      <c r="K347" s="355" t="str">
        <f t="shared" si="17"/>
        <v>0810277250</v>
      </c>
    </row>
    <row r="348" spans="1:11">
      <c r="A348" s="90" t="str">
        <f t="shared" si="15"/>
        <v>61111020810311010611</v>
      </c>
      <c r="B348" s="325">
        <v>611</v>
      </c>
      <c r="C348" s="324">
        <v>1102</v>
      </c>
      <c r="D348" s="323" t="s">
        <v>1400</v>
      </c>
      <c r="E348" s="322" t="s">
        <v>67</v>
      </c>
      <c r="F348" s="339">
        <v>8206770</v>
      </c>
      <c r="G348" s="339">
        <v>7386090</v>
      </c>
      <c r="H348" s="339">
        <v>7386090</v>
      </c>
      <c r="I348" s="353"/>
      <c r="J348" s="354" t="str">
        <f t="shared" si="16"/>
        <v>1102</v>
      </c>
      <c r="K348" s="355" t="str">
        <f t="shared" si="17"/>
        <v>0810311010</v>
      </c>
    </row>
    <row r="349" spans="1:11">
      <c r="A349" s="90" t="str">
        <f t="shared" si="15"/>
        <v>61111020820120420113</v>
      </c>
      <c r="B349" s="325">
        <v>611</v>
      </c>
      <c r="C349" s="324">
        <v>1102</v>
      </c>
      <c r="D349" s="323" t="s">
        <v>1401</v>
      </c>
      <c r="E349" s="322" t="s">
        <v>1071</v>
      </c>
      <c r="F349" s="339">
        <v>3052000</v>
      </c>
      <c r="G349" s="339">
        <v>2577000</v>
      </c>
      <c r="H349" s="339">
        <v>2577000</v>
      </c>
      <c r="I349" s="353"/>
      <c r="J349" s="354" t="str">
        <f t="shared" si="16"/>
        <v>1102</v>
      </c>
      <c r="K349" s="355" t="str">
        <f t="shared" si="17"/>
        <v>0820120420</v>
      </c>
    </row>
    <row r="350" spans="1:11">
      <c r="A350" s="90" t="str">
        <f t="shared" si="15"/>
        <v>61111020820120420244</v>
      </c>
      <c r="B350" s="325">
        <v>611</v>
      </c>
      <c r="C350" s="324">
        <v>1102</v>
      </c>
      <c r="D350" s="323" t="s">
        <v>1401</v>
      </c>
      <c r="E350" s="322" t="s">
        <v>1043</v>
      </c>
      <c r="F350" s="339">
        <v>1698000</v>
      </c>
      <c r="G350" s="339">
        <v>1698000</v>
      </c>
      <c r="H350" s="339">
        <v>1698000</v>
      </c>
      <c r="I350" s="353"/>
      <c r="J350" s="354" t="str">
        <f t="shared" si="16"/>
        <v>1102</v>
      </c>
      <c r="K350" s="355" t="str">
        <f t="shared" si="17"/>
        <v>0820120420</v>
      </c>
    </row>
    <row r="351" spans="1:11">
      <c r="A351" s="90" t="str">
        <f t="shared" si="15"/>
        <v>61111020820220440244</v>
      </c>
      <c r="B351" s="325">
        <v>611</v>
      </c>
      <c r="C351" s="324">
        <v>1102</v>
      </c>
      <c r="D351" s="323" t="s">
        <v>1402</v>
      </c>
      <c r="E351" s="322" t="s">
        <v>1043</v>
      </c>
      <c r="F351" s="339">
        <v>15000</v>
      </c>
      <c r="G351" s="339">
        <v>11250</v>
      </c>
      <c r="H351" s="339">
        <v>11250</v>
      </c>
      <c r="I351" s="353"/>
      <c r="J351" s="354" t="str">
        <f t="shared" si="16"/>
        <v>1102</v>
      </c>
      <c r="K351" s="355" t="str">
        <f t="shared" si="17"/>
        <v>0820220440</v>
      </c>
    </row>
    <row r="352" spans="1:11">
      <c r="A352" s="90" t="str">
        <f t="shared" si="15"/>
        <v>61111020820321060244</v>
      </c>
      <c r="B352" s="325">
        <v>611</v>
      </c>
      <c r="C352" s="324">
        <v>1102</v>
      </c>
      <c r="D352" s="323" t="s">
        <v>1403</v>
      </c>
      <c r="E352" s="322" t="s">
        <v>1043</v>
      </c>
      <c r="F352" s="339">
        <v>75000</v>
      </c>
      <c r="G352" s="339">
        <v>56250</v>
      </c>
      <c r="H352" s="339">
        <v>56250</v>
      </c>
      <c r="I352" s="353"/>
      <c r="J352" s="354" t="str">
        <f t="shared" si="16"/>
        <v>1102</v>
      </c>
      <c r="K352" s="355" t="str">
        <f t="shared" si="17"/>
        <v>0820321060</v>
      </c>
    </row>
    <row r="353" spans="1:11">
      <c r="A353" s="90" t="str">
        <f t="shared" si="15"/>
        <v>61111030820460120632</v>
      </c>
      <c r="B353" s="325">
        <v>611</v>
      </c>
      <c r="C353" s="324">
        <v>1103</v>
      </c>
      <c r="D353" s="323" t="s">
        <v>1404</v>
      </c>
      <c r="E353" s="322" t="s">
        <v>1055</v>
      </c>
      <c r="F353" s="339">
        <v>1105000</v>
      </c>
      <c r="G353" s="339">
        <v>0</v>
      </c>
      <c r="H353" s="339">
        <v>0</v>
      </c>
      <c r="I353" s="353"/>
      <c r="J353" s="354" t="str">
        <f t="shared" si="16"/>
        <v>1103</v>
      </c>
      <c r="K353" s="355" t="str">
        <f t="shared" si="17"/>
        <v>0820460120</v>
      </c>
    </row>
    <row r="354" spans="1:11">
      <c r="A354" s="90" t="str">
        <f t="shared" si="15"/>
        <v>61111030820460150632</v>
      </c>
      <c r="B354" s="325">
        <v>611</v>
      </c>
      <c r="C354" s="324">
        <v>1103</v>
      </c>
      <c r="D354" s="323" t="s">
        <v>1405</v>
      </c>
      <c r="E354" s="322" t="s">
        <v>1055</v>
      </c>
      <c r="F354" s="339">
        <v>20500000</v>
      </c>
      <c r="G354" s="339">
        <v>0</v>
      </c>
      <c r="H354" s="339">
        <v>0</v>
      </c>
      <c r="I354" s="353"/>
      <c r="J354" s="354" t="str">
        <f t="shared" si="16"/>
        <v>1103</v>
      </c>
      <c r="K354" s="355" t="str">
        <f t="shared" si="17"/>
        <v>0820460150</v>
      </c>
    </row>
    <row r="355" spans="1:11">
      <c r="A355" s="90" t="str">
        <f t="shared" si="15"/>
        <v>61111057810010010122</v>
      </c>
      <c r="B355" s="325">
        <v>611</v>
      </c>
      <c r="C355" s="324">
        <v>1105</v>
      </c>
      <c r="D355" s="323" t="s">
        <v>1406</v>
      </c>
      <c r="E355" s="322" t="s">
        <v>1059</v>
      </c>
      <c r="F355" s="339">
        <v>180840</v>
      </c>
      <c r="G355" s="339">
        <v>180840</v>
      </c>
      <c r="H355" s="339">
        <v>180840</v>
      </c>
      <c r="I355" s="353"/>
      <c r="J355" s="354" t="str">
        <f t="shared" si="16"/>
        <v>1105</v>
      </c>
      <c r="K355" s="355" t="str">
        <f t="shared" si="17"/>
        <v>7810010010</v>
      </c>
    </row>
    <row r="356" spans="1:11">
      <c r="A356" s="90" t="str">
        <f t="shared" si="15"/>
        <v>61111057810010010129</v>
      </c>
      <c r="B356" s="325">
        <v>611</v>
      </c>
      <c r="C356" s="324">
        <v>1105</v>
      </c>
      <c r="D356" s="323" t="s">
        <v>1406</v>
      </c>
      <c r="E356" s="322" t="s">
        <v>1060</v>
      </c>
      <c r="F356" s="339">
        <v>54610</v>
      </c>
      <c r="G356" s="339">
        <v>54610</v>
      </c>
      <c r="H356" s="339">
        <v>54610</v>
      </c>
      <c r="I356" s="353"/>
      <c r="J356" s="354" t="str">
        <f t="shared" si="16"/>
        <v>1105</v>
      </c>
      <c r="K356" s="355" t="str">
        <f t="shared" si="17"/>
        <v>7810010010</v>
      </c>
    </row>
    <row r="357" spans="1:11">
      <c r="A357" s="90" t="str">
        <f t="shared" si="15"/>
        <v>61111057810010010244</v>
      </c>
      <c r="B357" s="325">
        <v>611</v>
      </c>
      <c r="C357" s="324">
        <v>1105</v>
      </c>
      <c r="D357" s="323" t="s">
        <v>1406</v>
      </c>
      <c r="E357" s="322" t="s">
        <v>1043</v>
      </c>
      <c r="F357" s="339">
        <v>786300</v>
      </c>
      <c r="G357" s="339">
        <v>786300</v>
      </c>
      <c r="H357" s="339">
        <v>786300</v>
      </c>
      <c r="I357" s="353"/>
      <c r="J357" s="354" t="str">
        <f t="shared" si="16"/>
        <v>1105</v>
      </c>
      <c r="K357" s="355" t="str">
        <f t="shared" si="17"/>
        <v>7810010010</v>
      </c>
    </row>
    <row r="358" spans="1:11">
      <c r="A358" s="90" t="str">
        <f t="shared" si="15"/>
        <v>61111057810010010851</v>
      </c>
      <c r="B358" s="325">
        <v>611</v>
      </c>
      <c r="C358" s="324">
        <v>1105</v>
      </c>
      <c r="D358" s="323" t="s">
        <v>1406</v>
      </c>
      <c r="E358" s="322" t="s">
        <v>1061</v>
      </c>
      <c r="F358" s="339">
        <v>7000</v>
      </c>
      <c r="G358" s="339">
        <v>2000</v>
      </c>
      <c r="H358" s="339">
        <v>2000</v>
      </c>
      <c r="I358" s="353"/>
      <c r="J358" s="354" t="str">
        <f t="shared" si="16"/>
        <v>1105</v>
      </c>
      <c r="K358" s="355" t="str">
        <f t="shared" si="17"/>
        <v>7810010010</v>
      </c>
    </row>
    <row r="359" spans="1:11">
      <c r="A359" s="90" t="str">
        <f t="shared" si="15"/>
        <v>61111057810010010852</v>
      </c>
      <c r="B359" s="371">
        <v>611</v>
      </c>
      <c r="C359" s="372">
        <v>1105</v>
      </c>
      <c r="D359" s="373" t="s">
        <v>1406</v>
      </c>
      <c r="E359" s="374" t="s">
        <v>1062</v>
      </c>
      <c r="F359" s="375">
        <v>0</v>
      </c>
      <c r="G359" s="375">
        <v>5000</v>
      </c>
      <c r="H359" s="375">
        <v>5000</v>
      </c>
      <c r="I359" s="353"/>
      <c r="J359" s="354" t="str">
        <f t="shared" si="16"/>
        <v>1105</v>
      </c>
      <c r="K359" s="355" t="str">
        <f t="shared" si="17"/>
        <v>7810010010</v>
      </c>
    </row>
    <row r="360" spans="1:11">
      <c r="A360" s="90" t="str">
        <f t="shared" si="15"/>
        <v>61111057810010020121</v>
      </c>
      <c r="B360" s="325">
        <v>611</v>
      </c>
      <c r="C360" s="324">
        <v>1105</v>
      </c>
      <c r="D360" s="323" t="s">
        <v>1407</v>
      </c>
      <c r="E360" s="322" t="s">
        <v>1063</v>
      </c>
      <c r="F360" s="339">
        <v>6730780</v>
      </c>
      <c r="G360" s="339">
        <v>6730780</v>
      </c>
      <c r="H360" s="339">
        <v>6730780</v>
      </c>
      <c r="I360" s="353"/>
      <c r="J360" s="354" t="str">
        <f t="shared" si="16"/>
        <v>1105</v>
      </c>
      <c r="K360" s="355" t="str">
        <f t="shared" si="17"/>
        <v>7810010020</v>
      </c>
    </row>
    <row r="361" spans="1:11">
      <c r="A361" s="90" t="str">
        <f t="shared" si="15"/>
        <v>61111057810010020129</v>
      </c>
      <c r="B361" s="325">
        <v>611</v>
      </c>
      <c r="C361" s="324">
        <v>1105</v>
      </c>
      <c r="D361" s="323" t="s">
        <v>1407</v>
      </c>
      <c r="E361" s="322" t="s">
        <v>1060</v>
      </c>
      <c r="F361" s="339">
        <v>2032700</v>
      </c>
      <c r="G361" s="339">
        <v>2032700</v>
      </c>
      <c r="H361" s="339">
        <v>2032700</v>
      </c>
      <c r="I361" s="353"/>
      <c r="J361" s="354" t="str">
        <f t="shared" si="16"/>
        <v>1105</v>
      </c>
      <c r="K361" s="355" t="str">
        <f t="shared" si="17"/>
        <v>7810010020</v>
      </c>
    </row>
    <row r="362" spans="1:11">
      <c r="A362" s="90" t="str">
        <f t="shared" si="15"/>
        <v>61701048010010010122</v>
      </c>
      <c r="B362" s="325">
        <v>617</v>
      </c>
      <c r="C362" s="324">
        <v>104</v>
      </c>
      <c r="D362" s="323" t="s">
        <v>1408</v>
      </c>
      <c r="E362" s="322" t="s">
        <v>1059</v>
      </c>
      <c r="F362" s="339">
        <v>476560</v>
      </c>
      <c r="G362" s="339">
        <v>476560</v>
      </c>
      <c r="H362" s="339">
        <v>476560</v>
      </c>
      <c r="I362" s="353"/>
      <c r="J362" s="354" t="str">
        <f t="shared" si="16"/>
        <v>0104</v>
      </c>
      <c r="K362" s="355" t="str">
        <f t="shared" si="17"/>
        <v>8010010010</v>
      </c>
    </row>
    <row r="363" spans="1:11">
      <c r="A363" s="90" t="str">
        <f t="shared" si="15"/>
        <v>61701048010010010129</v>
      </c>
      <c r="B363" s="325">
        <v>617</v>
      </c>
      <c r="C363" s="324">
        <v>104</v>
      </c>
      <c r="D363" s="323" t="s">
        <v>1408</v>
      </c>
      <c r="E363" s="322" t="s">
        <v>1060</v>
      </c>
      <c r="F363" s="339">
        <v>143900</v>
      </c>
      <c r="G363" s="339">
        <v>143900</v>
      </c>
      <c r="H363" s="339">
        <v>143900</v>
      </c>
      <c r="I363" s="353"/>
      <c r="J363" s="354" t="str">
        <f t="shared" si="16"/>
        <v>0104</v>
      </c>
      <c r="K363" s="355" t="str">
        <f t="shared" si="17"/>
        <v>8010010010</v>
      </c>
    </row>
    <row r="364" spans="1:11">
      <c r="A364" s="90" t="str">
        <f t="shared" si="15"/>
        <v>61701048010010010244</v>
      </c>
      <c r="B364" s="325">
        <v>617</v>
      </c>
      <c r="C364" s="324">
        <v>104</v>
      </c>
      <c r="D364" s="323" t="s">
        <v>1408</v>
      </c>
      <c r="E364" s="322" t="s">
        <v>1043</v>
      </c>
      <c r="F364" s="339">
        <v>2805870</v>
      </c>
      <c r="G364" s="339">
        <v>2820750</v>
      </c>
      <c r="H364" s="339">
        <v>2820750</v>
      </c>
      <c r="I364" s="353"/>
      <c r="J364" s="354" t="str">
        <f t="shared" si="16"/>
        <v>0104</v>
      </c>
      <c r="K364" s="355" t="str">
        <f t="shared" si="17"/>
        <v>8010010010</v>
      </c>
    </row>
    <row r="365" spans="1:11">
      <c r="A365" s="90" t="str">
        <f t="shared" si="15"/>
        <v>61701048010010010851</v>
      </c>
      <c r="B365" s="325">
        <v>617</v>
      </c>
      <c r="C365" s="324">
        <v>104</v>
      </c>
      <c r="D365" s="323" t="s">
        <v>1408</v>
      </c>
      <c r="E365" s="322" t="s">
        <v>1061</v>
      </c>
      <c r="F365" s="339">
        <v>77000</v>
      </c>
      <c r="G365" s="339">
        <v>77000</v>
      </c>
      <c r="H365" s="339">
        <v>77000</v>
      </c>
      <c r="I365" s="353"/>
      <c r="J365" s="354" t="str">
        <f t="shared" si="16"/>
        <v>0104</v>
      </c>
      <c r="K365" s="355" t="str">
        <f t="shared" si="17"/>
        <v>8010010010</v>
      </c>
    </row>
    <row r="366" spans="1:11">
      <c r="A366" s="90" t="str">
        <f t="shared" si="15"/>
        <v>61701048010010010852</v>
      </c>
      <c r="B366" s="325">
        <v>617</v>
      </c>
      <c r="C366" s="324">
        <v>104</v>
      </c>
      <c r="D366" s="323" t="s">
        <v>1408</v>
      </c>
      <c r="E366" s="322" t="s">
        <v>1062</v>
      </c>
      <c r="F366" s="339">
        <v>16980.900000000001</v>
      </c>
      <c r="G366" s="339">
        <v>20000</v>
      </c>
      <c r="H366" s="339">
        <v>20000</v>
      </c>
      <c r="I366" s="353"/>
      <c r="J366" s="354" t="str">
        <f t="shared" si="16"/>
        <v>0104</v>
      </c>
      <c r="K366" s="355" t="str">
        <f t="shared" si="17"/>
        <v>8010010010</v>
      </c>
    </row>
    <row r="367" spans="1:11">
      <c r="A367" s="90" t="str">
        <f t="shared" si="15"/>
        <v>61701048010010010853</v>
      </c>
      <c r="B367" s="325">
        <v>617</v>
      </c>
      <c r="C367" s="324">
        <v>104</v>
      </c>
      <c r="D367" s="323" t="s">
        <v>1408</v>
      </c>
      <c r="E367" s="322" t="s">
        <v>1066</v>
      </c>
      <c r="F367" s="339">
        <v>3019.1</v>
      </c>
      <c r="G367" s="339">
        <v>0</v>
      </c>
      <c r="H367" s="339">
        <v>0</v>
      </c>
      <c r="I367" s="353"/>
      <c r="J367" s="354" t="str">
        <f t="shared" si="16"/>
        <v>0104</v>
      </c>
      <c r="K367" s="355" t="str">
        <f t="shared" si="17"/>
        <v>8010010010</v>
      </c>
    </row>
    <row r="368" spans="1:11">
      <c r="A368" s="90" t="str">
        <f t="shared" si="15"/>
        <v>61701048010010020121</v>
      </c>
      <c r="B368" s="325">
        <v>617</v>
      </c>
      <c r="C368" s="324">
        <v>104</v>
      </c>
      <c r="D368" s="323" t="s">
        <v>1409</v>
      </c>
      <c r="E368" s="322" t="s">
        <v>1063</v>
      </c>
      <c r="F368" s="339">
        <v>21264040</v>
      </c>
      <c r="G368" s="339">
        <v>21264040</v>
      </c>
      <c r="H368" s="339">
        <v>21264040</v>
      </c>
      <c r="I368" s="353"/>
      <c r="J368" s="354" t="str">
        <f t="shared" si="16"/>
        <v>0104</v>
      </c>
      <c r="K368" s="355" t="str">
        <f t="shared" si="17"/>
        <v>8010010020</v>
      </c>
    </row>
    <row r="369" spans="1:11">
      <c r="A369" s="90" t="str">
        <f t="shared" si="15"/>
        <v>61701048010010020129</v>
      </c>
      <c r="B369" s="325">
        <v>617</v>
      </c>
      <c r="C369" s="324">
        <v>104</v>
      </c>
      <c r="D369" s="323" t="s">
        <v>1409</v>
      </c>
      <c r="E369" s="322" t="s">
        <v>1060</v>
      </c>
      <c r="F369" s="339">
        <v>6359725.5599999996</v>
      </c>
      <c r="G369" s="339">
        <v>6421740</v>
      </c>
      <c r="H369" s="339">
        <v>6421740</v>
      </c>
      <c r="I369" s="353"/>
      <c r="J369" s="354" t="str">
        <f t="shared" si="16"/>
        <v>0104</v>
      </c>
      <c r="K369" s="355" t="str">
        <f t="shared" si="17"/>
        <v>8010010020</v>
      </c>
    </row>
    <row r="370" spans="1:11">
      <c r="A370" s="90" t="str">
        <f t="shared" si="15"/>
        <v>61701048010076200121</v>
      </c>
      <c r="B370" s="325">
        <v>617</v>
      </c>
      <c r="C370" s="324">
        <v>104</v>
      </c>
      <c r="D370" s="323" t="s">
        <v>1410</v>
      </c>
      <c r="E370" s="322" t="s">
        <v>1063</v>
      </c>
      <c r="F370" s="339">
        <v>721560</v>
      </c>
      <c r="G370" s="339">
        <v>721560</v>
      </c>
      <c r="H370" s="339">
        <v>721560</v>
      </c>
      <c r="I370" s="353"/>
      <c r="J370" s="354" t="str">
        <f t="shared" si="16"/>
        <v>0104</v>
      </c>
      <c r="K370" s="355" t="str">
        <f t="shared" si="17"/>
        <v>8010076200</v>
      </c>
    </row>
    <row r="371" spans="1:11">
      <c r="A371" s="90" t="str">
        <f t="shared" si="15"/>
        <v>61701048010076200122</v>
      </c>
      <c r="B371" s="325">
        <v>617</v>
      </c>
      <c r="C371" s="324">
        <v>104</v>
      </c>
      <c r="D371" s="323" t="s">
        <v>1410</v>
      </c>
      <c r="E371" s="322" t="s">
        <v>1059</v>
      </c>
      <c r="F371" s="339">
        <v>38300</v>
      </c>
      <c r="G371" s="339">
        <v>38300</v>
      </c>
      <c r="H371" s="339">
        <v>38300</v>
      </c>
      <c r="I371" s="353"/>
      <c r="J371" s="354" t="str">
        <f t="shared" si="16"/>
        <v>0104</v>
      </c>
      <c r="K371" s="355" t="str">
        <f t="shared" si="17"/>
        <v>8010076200</v>
      </c>
    </row>
    <row r="372" spans="1:11">
      <c r="A372" s="90" t="str">
        <f t="shared" si="15"/>
        <v>61701048010076200129</v>
      </c>
      <c r="B372" s="325">
        <v>617</v>
      </c>
      <c r="C372" s="324">
        <v>104</v>
      </c>
      <c r="D372" s="323" t="s">
        <v>1410</v>
      </c>
      <c r="E372" s="322" t="s">
        <v>1060</v>
      </c>
      <c r="F372" s="339">
        <v>229470</v>
      </c>
      <c r="G372" s="339">
        <v>229470</v>
      </c>
      <c r="H372" s="339">
        <v>229470</v>
      </c>
      <c r="I372" s="353"/>
      <c r="J372" s="354" t="str">
        <f t="shared" si="16"/>
        <v>0104</v>
      </c>
      <c r="K372" s="355" t="str">
        <f t="shared" si="17"/>
        <v>8010076200</v>
      </c>
    </row>
    <row r="373" spans="1:11">
      <c r="A373" s="90" t="str">
        <f t="shared" si="15"/>
        <v>61701048010076200244</v>
      </c>
      <c r="B373" s="325">
        <v>617</v>
      </c>
      <c r="C373" s="324">
        <v>104</v>
      </c>
      <c r="D373" s="323" t="s">
        <v>1410</v>
      </c>
      <c r="E373" s="322" t="s">
        <v>1043</v>
      </c>
      <c r="F373" s="339">
        <v>58420</v>
      </c>
      <c r="G373" s="339">
        <v>58420</v>
      </c>
      <c r="H373" s="339">
        <v>58420</v>
      </c>
      <c r="I373" s="353"/>
      <c r="J373" s="354" t="str">
        <f t="shared" si="16"/>
        <v>0104</v>
      </c>
      <c r="K373" s="355" t="str">
        <f t="shared" si="17"/>
        <v>8010076200</v>
      </c>
    </row>
    <row r="374" spans="1:11">
      <c r="A374" s="90" t="str">
        <f t="shared" si="15"/>
        <v>61701048010076360244</v>
      </c>
      <c r="B374" s="325">
        <v>617</v>
      </c>
      <c r="C374" s="324">
        <v>104</v>
      </c>
      <c r="D374" s="323" t="s">
        <v>1411</v>
      </c>
      <c r="E374" s="322" t="s">
        <v>1043</v>
      </c>
      <c r="F374" s="339">
        <v>51740</v>
      </c>
      <c r="G374" s="339">
        <v>51740</v>
      </c>
      <c r="H374" s="339">
        <v>51740</v>
      </c>
      <c r="I374" s="353"/>
      <c r="J374" s="354" t="str">
        <f t="shared" si="16"/>
        <v>0104</v>
      </c>
      <c r="K374" s="355" t="str">
        <f t="shared" si="17"/>
        <v>8010076360</v>
      </c>
    </row>
    <row r="375" spans="1:11">
      <c r="A375" s="90" t="str">
        <f t="shared" si="15"/>
        <v>617011311Б0120840244</v>
      </c>
      <c r="B375" s="325">
        <v>617</v>
      </c>
      <c r="C375" s="324">
        <v>113</v>
      </c>
      <c r="D375" s="323" t="s">
        <v>1226</v>
      </c>
      <c r="E375" s="322" t="s">
        <v>1043</v>
      </c>
      <c r="F375" s="339">
        <v>350000</v>
      </c>
      <c r="G375" s="339">
        <v>350000</v>
      </c>
      <c r="H375" s="339">
        <v>350000</v>
      </c>
      <c r="I375" s="353"/>
      <c r="J375" s="354" t="str">
        <f t="shared" si="16"/>
        <v>0113</v>
      </c>
      <c r="K375" s="355" t="str">
        <f t="shared" si="17"/>
        <v>11Б0120840</v>
      </c>
    </row>
    <row r="376" spans="1:11">
      <c r="A376" s="90" t="str">
        <f t="shared" si="15"/>
        <v>617011311Б0121120244</v>
      </c>
      <c r="B376" s="325">
        <v>617</v>
      </c>
      <c r="C376" s="324">
        <v>113</v>
      </c>
      <c r="D376" s="323" t="s">
        <v>1189</v>
      </c>
      <c r="E376" s="322" t="s">
        <v>1043</v>
      </c>
      <c r="F376" s="339">
        <v>40200</v>
      </c>
      <c r="G376" s="339">
        <v>40200</v>
      </c>
      <c r="H376" s="339">
        <v>40200</v>
      </c>
      <c r="I376" s="353"/>
      <c r="J376" s="354" t="str">
        <f t="shared" si="16"/>
        <v>0113</v>
      </c>
      <c r="K376" s="355" t="str">
        <f t="shared" si="17"/>
        <v>11Б0121120</v>
      </c>
    </row>
    <row r="377" spans="1:11">
      <c r="A377" s="90" t="str">
        <f t="shared" si="15"/>
        <v>61701138010020050831</v>
      </c>
      <c r="B377" s="325">
        <v>617</v>
      </c>
      <c r="C377" s="324">
        <v>113</v>
      </c>
      <c r="D377" s="323" t="s">
        <v>1412</v>
      </c>
      <c r="E377" s="322" t="s">
        <v>1045</v>
      </c>
      <c r="F377" s="339">
        <v>62014.44</v>
      </c>
      <c r="G377" s="339">
        <v>0</v>
      </c>
      <c r="H377" s="339">
        <v>0</v>
      </c>
      <c r="I377" s="353"/>
      <c r="J377" s="354" t="str">
        <f t="shared" si="16"/>
        <v>0113</v>
      </c>
      <c r="K377" s="355" t="str">
        <f t="shared" si="17"/>
        <v>8010020050</v>
      </c>
    </row>
    <row r="378" spans="1:11">
      <c r="A378" s="90" t="str">
        <f t="shared" si="15"/>
        <v>61704090420220820244</v>
      </c>
      <c r="B378" s="325">
        <v>617</v>
      </c>
      <c r="C378" s="324">
        <v>409</v>
      </c>
      <c r="D378" s="323" t="s">
        <v>1413</v>
      </c>
      <c r="E378" s="322" t="s">
        <v>1043</v>
      </c>
      <c r="F378" s="339">
        <v>10668700</v>
      </c>
      <c r="G378" s="339">
        <v>10379760</v>
      </c>
      <c r="H378" s="339">
        <v>10379760</v>
      </c>
      <c r="I378" s="353"/>
      <c r="J378" s="354" t="str">
        <f t="shared" si="16"/>
        <v>0409</v>
      </c>
      <c r="K378" s="355" t="str">
        <f t="shared" si="17"/>
        <v>0420220820</v>
      </c>
    </row>
    <row r="379" spans="1:11">
      <c r="A379" s="90" t="str">
        <f t="shared" si="15"/>
        <v>61704090420221030244</v>
      </c>
      <c r="B379" s="325">
        <v>617</v>
      </c>
      <c r="C379" s="324">
        <v>409</v>
      </c>
      <c r="D379" s="323" t="s">
        <v>1414</v>
      </c>
      <c r="E379" s="322" t="s">
        <v>1043</v>
      </c>
      <c r="F379" s="339">
        <v>32839290</v>
      </c>
      <c r="G379" s="339">
        <v>0</v>
      </c>
      <c r="H379" s="339">
        <v>0</v>
      </c>
      <c r="I379" s="353"/>
      <c r="J379" s="354" t="str">
        <f t="shared" si="16"/>
        <v>0409</v>
      </c>
      <c r="K379" s="355" t="str">
        <f t="shared" si="17"/>
        <v>0420221030</v>
      </c>
    </row>
    <row r="380" spans="1:11">
      <c r="A380" s="90" t="str">
        <f t="shared" si="15"/>
        <v>61704090420221090244</v>
      </c>
      <c r="B380" s="325">
        <v>617</v>
      </c>
      <c r="C380" s="324">
        <v>409</v>
      </c>
      <c r="D380" s="323" t="s">
        <v>1415</v>
      </c>
      <c r="E380" s="322" t="s">
        <v>1043</v>
      </c>
      <c r="F380" s="339">
        <v>23989960</v>
      </c>
      <c r="G380" s="339">
        <v>51146330</v>
      </c>
      <c r="H380" s="339">
        <v>51146330</v>
      </c>
      <c r="I380" s="353"/>
      <c r="J380" s="354" t="str">
        <f t="shared" si="16"/>
        <v>0409</v>
      </c>
      <c r="K380" s="355" t="str">
        <f t="shared" si="17"/>
        <v>0420221090</v>
      </c>
    </row>
    <row r="381" spans="1:11">
      <c r="A381" s="90" t="str">
        <f t="shared" si="15"/>
        <v>61705010410120190243</v>
      </c>
      <c r="B381" s="325">
        <v>617</v>
      </c>
      <c r="C381" s="324">
        <v>501</v>
      </c>
      <c r="D381" s="323" t="s">
        <v>1416</v>
      </c>
      <c r="E381" s="322" t="s">
        <v>1070</v>
      </c>
      <c r="F381" s="339">
        <v>501730</v>
      </c>
      <c r="G381" s="339">
        <v>535850</v>
      </c>
      <c r="H381" s="339">
        <v>535850</v>
      </c>
      <c r="I381" s="353"/>
      <c r="J381" s="354" t="str">
        <f t="shared" si="16"/>
        <v>0501</v>
      </c>
      <c r="K381" s="355" t="str">
        <f t="shared" si="17"/>
        <v>0410120190</v>
      </c>
    </row>
    <row r="382" spans="1:11">
      <c r="A382" s="90" t="str">
        <f t="shared" si="15"/>
        <v>61705010410120190244</v>
      </c>
      <c r="B382" s="325">
        <v>617</v>
      </c>
      <c r="C382" s="324">
        <v>501</v>
      </c>
      <c r="D382" s="323" t="s">
        <v>1416</v>
      </c>
      <c r="E382" s="322" t="s">
        <v>1043</v>
      </c>
      <c r="F382" s="339">
        <v>1100000</v>
      </c>
      <c r="G382" s="339">
        <v>1100000</v>
      </c>
      <c r="H382" s="339">
        <v>1100000</v>
      </c>
      <c r="I382" s="353"/>
      <c r="J382" s="354" t="str">
        <f t="shared" si="16"/>
        <v>0501</v>
      </c>
      <c r="K382" s="355" t="str">
        <f t="shared" si="17"/>
        <v>0410120190</v>
      </c>
    </row>
    <row r="383" spans="1:11">
      <c r="A383" s="90" t="str">
        <f t="shared" si="15"/>
        <v>61705019820020190243</v>
      </c>
      <c r="B383" s="325">
        <v>617</v>
      </c>
      <c r="C383" s="324">
        <v>501</v>
      </c>
      <c r="D383" s="323" t="s">
        <v>1417</v>
      </c>
      <c r="E383" s="322" t="s">
        <v>1070</v>
      </c>
      <c r="F383" s="339">
        <v>12297.03</v>
      </c>
      <c r="G383" s="339">
        <v>0</v>
      </c>
      <c r="H383" s="339">
        <v>0</v>
      </c>
      <c r="I383" s="353"/>
      <c r="J383" s="354" t="str">
        <f t="shared" si="16"/>
        <v>0501</v>
      </c>
      <c r="K383" s="355" t="str">
        <f t="shared" si="17"/>
        <v>9820020190</v>
      </c>
    </row>
    <row r="384" spans="1:11">
      <c r="A384" s="90" t="str">
        <f t="shared" si="15"/>
        <v>61705030430420300244</v>
      </c>
      <c r="B384" s="325">
        <v>617</v>
      </c>
      <c r="C384" s="324">
        <v>503</v>
      </c>
      <c r="D384" s="323" t="s">
        <v>1344</v>
      </c>
      <c r="E384" s="322" t="s">
        <v>1043</v>
      </c>
      <c r="F384" s="339">
        <v>6649916.5999999996</v>
      </c>
      <c r="G384" s="339">
        <v>8259320</v>
      </c>
      <c r="H384" s="339">
        <v>8259320</v>
      </c>
      <c r="I384" s="353"/>
      <c r="J384" s="354" t="str">
        <f t="shared" si="16"/>
        <v>0503</v>
      </c>
      <c r="K384" s="355" t="str">
        <f t="shared" si="17"/>
        <v>0430420300</v>
      </c>
    </row>
    <row r="385" spans="1:11">
      <c r="A385" s="90" t="str">
        <f t="shared" si="15"/>
        <v>61705030430421070244</v>
      </c>
      <c r="B385" s="325">
        <v>617</v>
      </c>
      <c r="C385" s="324">
        <v>503</v>
      </c>
      <c r="D385" s="323" t="s">
        <v>1418</v>
      </c>
      <c r="E385" s="322" t="s">
        <v>1043</v>
      </c>
      <c r="F385" s="339">
        <v>594768.25</v>
      </c>
      <c r="G385" s="339">
        <v>941720</v>
      </c>
      <c r="H385" s="339">
        <v>941720</v>
      </c>
      <c r="I385" s="353"/>
      <c r="J385" s="354" t="str">
        <f t="shared" si="16"/>
        <v>0503</v>
      </c>
      <c r="K385" s="355" t="str">
        <f t="shared" si="17"/>
        <v>0430421070</v>
      </c>
    </row>
    <row r="386" spans="1:11">
      <c r="A386" s="90" t="str">
        <f t="shared" si="15"/>
        <v>61705030430421080244</v>
      </c>
      <c r="B386" s="325">
        <v>617</v>
      </c>
      <c r="C386" s="324">
        <v>503</v>
      </c>
      <c r="D386" s="323" t="s">
        <v>1419</v>
      </c>
      <c r="E386" s="322" t="s">
        <v>1043</v>
      </c>
      <c r="F386" s="339">
        <v>9476080</v>
      </c>
      <c r="G386" s="339">
        <v>9476080</v>
      </c>
      <c r="H386" s="339">
        <v>9476080</v>
      </c>
      <c r="I386" s="353"/>
      <c r="J386" s="354" t="str">
        <f t="shared" si="16"/>
        <v>0503</v>
      </c>
      <c r="K386" s="355" t="str">
        <f t="shared" si="17"/>
        <v>0430421080</v>
      </c>
    </row>
    <row r="387" spans="1:11">
      <c r="A387" s="90" t="str">
        <f t="shared" si="15"/>
        <v>61708010710120060244</v>
      </c>
      <c r="B387" s="325">
        <v>617</v>
      </c>
      <c r="C387" s="324">
        <v>801</v>
      </c>
      <c r="D387" s="323" t="s">
        <v>1295</v>
      </c>
      <c r="E387" s="322" t="s">
        <v>1043</v>
      </c>
      <c r="F387" s="339">
        <v>1145000</v>
      </c>
      <c r="G387" s="339">
        <v>1095450</v>
      </c>
      <c r="H387" s="339">
        <v>1095450</v>
      </c>
      <c r="I387" s="353"/>
      <c r="J387" s="354" t="str">
        <f t="shared" si="16"/>
        <v>0801</v>
      </c>
      <c r="K387" s="355" t="str">
        <f t="shared" si="17"/>
        <v>0710120060</v>
      </c>
    </row>
    <row r="388" spans="1:11">
      <c r="A388" s="90" t="str">
        <f t="shared" si="15"/>
        <v>61708010710121130244</v>
      </c>
      <c r="B388" s="325">
        <v>617</v>
      </c>
      <c r="C388" s="324">
        <v>801</v>
      </c>
      <c r="D388" s="323" t="s">
        <v>1420</v>
      </c>
      <c r="E388" s="322" t="s">
        <v>1043</v>
      </c>
      <c r="F388" s="339">
        <v>490000</v>
      </c>
      <c r="G388" s="339">
        <v>495550</v>
      </c>
      <c r="H388" s="339">
        <v>495550</v>
      </c>
      <c r="I388" s="353"/>
      <c r="J388" s="354" t="str">
        <f t="shared" si="16"/>
        <v>0801</v>
      </c>
      <c r="K388" s="355" t="str">
        <f t="shared" si="17"/>
        <v>0710121130</v>
      </c>
    </row>
    <row r="389" spans="1:11">
      <c r="A389" s="90" t="str">
        <f t="shared" si="15"/>
        <v>61801048110010010122</v>
      </c>
      <c r="B389" s="325">
        <v>618</v>
      </c>
      <c r="C389" s="324">
        <v>104</v>
      </c>
      <c r="D389" s="323" t="s">
        <v>1421</v>
      </c>
      <c r="E389" s="322" t="s">
        <v>1059</v>
      </c>
      <c r="F389" s="339">
        <v>489330</v>
      </c>
      <c r="G389" s="339">
        <v>489330</v>
      </c>
      <c r="H389" s="339">
        <v>489330</v>
      </c>
      <c r="I389" s="353"/>
      <c r="J389" s="354" t="str">
        <f t="shared" si="16"/>
        <v>0104</v>
      </c>
      <c r="K389" s="355" t="str">
        <f t="shared" si="17"/>
        <v>8110010010</v>
      </c>
    </row>
    <row r="390" spans="1:11">
      <c r="A390" s="90" t="str">
        <f t="shared" si="15"/>
        <v>61801048110010010129</v>
      </c>
      <c r="B390" s="325">
        <v>618</v>
      </c>
      <c r="C390" s="324">
        <v>104</v>
      </c>
      <c r="D390" s="323" t="s">
        <v>1421</v>
      </c>
      <c r="E390" s="322" t="s">
        <v>1060</v>
      </c>
      <c r="F390" s="339">
        <v>147780</v>
      </c>
      <c r="G390" s="339">
        <v>147780</v>
      </c>
      <c r="H390" s="339">
        <v>147780</v>
      </c>
      <c r="I390" s="353"/>
      <c r="J390" s="354" t="str">
        <f t="shared" si="16"/>
        <v>0104</v>
      </c>
      <c r="K390" s="355" t="str">
        <f t="shared" si="17"/>
        <v>8110010010</v>
      </c>
    </row>
    <row r="391" spans="1:11">
      <c r="A391" s="90" t="str">
        <f t="shared" si="15"/>
        <v>61801048110010010244</v>
      </c>
      <c r="B391" s="325">
        <v>618</v>
      </c>
      <c r="C391" s="324">
        <v>104</v>
      </c>
      <c r="D391" s="323" t="s">
        <v>1421</v>
      </c>
      <c r="E391" s="322" t="s">
        <v>1043</v>
      </c>
      <c r="F391" s="339">
        <v>3080790</v>
      </c>
      <c r="G391" s="339">
        <v>3110070</v>
      </c>
      <c r="H391" s="339">
        <v>3110070</v>
      </c>
      <c r="I391" s="353"/>
      <c r="J391" s="354" t="str">
        <f t="shared" si="16"/>
        <v>0104</v>
      </c>
      <c r="K391" s="355" t="str">
        <f t="shared" si="17"/>
        <v>8110010010</v>
      </c>
    </row>
    <row r="392" spans="1:11">
      <c r="A392" s="90" t="str">
        <f t="shared" si="15"/>
        <v>61801048110010010851</v>
      </c>
      <c r="B392" s="325">
        <v>618</v>
      </c>
      <c r="C392" s="324">
        <v>104</v>
      </c>
      <c r="D392" s="323" t="s">
        <v>1421</v>
      </c>
      <c r="E392" s="322" t="s">
        <v>1061</v>
      </c>
      <c r="F392" s="339">
        <v>22800</v>
      </c>
      <c r="G392" s="339">
        <v>22800</v>
      </c>
      <c r="H392" s="339">
        <v>22800</v>
      </c>
      <c r="I392" s="353"/>
      <c r="J392" s="354" t="str">
        <f t="shared" si="16"/>
        <v>0104</v>
      </c>
      <c r="K392" s="355" t="str">
        <f t="shared" si="17"/>
        <v>8110010010</v>
      </c>
    </row>
    <row r="393" spans="1:11">
      <c r="A393" s="90" t="str">
        <f t="shared" si="15"/>
        <v>61801048110010010852</v>
      </c>
      <c r="B393" s="325">
        <v>618</v>
      </c>
      <c r="C393" s="324">
        <v>104</v>
      </c>
      <c r="D393" s="323" t="s">
        <v>1421</v>
      </c>
      <c r="E393" s="322" t="s">
        <v>1062</v>
      </c>
      <c r="F393" s="339">
        <v>19100</v>
      </c>
      <c r="G393" s="339">
        <v>19100</v>
      </c>
      <c r="H393" s="339">
        <v>19100</v>
      </c>
      <c r="I393" s="353"/>
      <c r="J393" s="354" t="str">
        <f t="shared" si="16"/>
        <v>0104</v>
      </c>
      <c r="K393" s="355" t="str">
        <f t="shared" si="17"/>
        <v>8110010010</v>
      </c>
    </row>
    <row r="394" spans="1:11">
      <c r="A394" s="90" t="str">
        <f t="shared" ref="A394:A457" si="18">CONCATENATE(B394,J394,K394,E394)</f>
        <v>61801048110010020121</v>
      </c>
      <c r="B394" s="325">
        <v>618</v>
      </c>
      <c r="C394" s="324">
        <v>104</v>
      </c>
      <c r="D394" s="323" t="s">
        <v>1422</v>
      </c>
      <c r="E394" s="322" t="s">
        <v>1063</v>
      </c>
      <c r="F394" s="339">
        <v>19618280</v>
      </c>
      <c r="G394" s="339">
        <v>19618280</v>
      </c>
      <c r="H394" s="339">
        <v>19618280</v>
      </c>
      <c r="I394" s="353"/>
      <c r="J394" s="354" t="str">
        <f t="shared" si="16"/>
        <v>0104</v>
      </c>
      <c r="K394" s="355" t="str">
        <f t="shared" si="17"/>
        <v>8110010020</v>
      </c>
    </row>
    <row r="395" spans="1:11">
      <c r="A395" s="90" t="str">
        <f t="shared" si="18"/>
        <v>61801048110010020129</v>
      </c>
      <c r="B395" s="325">
        <v>618</v>
      </c>
      <c r="C395" s="324">
        <v>104</v>
      </c>
      <c r="D395" s="323" t="s">
        <v>1422</v>
      </c>
      <c r="E395" s="322" t="s">
        <v>1060</v>
      </c>
      <c r="F395" s="339">
        <v>5924720</v>
      </c>
      <c r="G395" s="339">
        <v>5924720</v>
      </c>
      <c r="H395" s="339">
        <v>5924720</v>
      </c>
      <c r="I395" s="353"/>
      <c r="J395" s="354" t="str">
        <f t="shared" ref="J395:J458" si="19">TEXT(C395,"0000")</f>
        <v>0104</v>
      </c>
      <c r="K395" s="355" t="str">
        <f t="shared" ref="K395:K458" si="20">TEXT(D395,"0000000000")</f>
        <v>8110010020</v>
      </c>
    </row>
    <row r="396" spans="1:11">
      <c r="A396" s="90" t="str">
        <f t="shared" si="18"/>
        <v>61801048110076200121</v>
      </c>
      <c r="B396" s="325">
        <v>618</v>
      </c>
      <c r="C396" s="324">
        <v>104</v>
      </c>
      <c r="D396" s="323" t="s">
        <v>1423</v>
      </c>
      <c r="E396" s="322" t="s">
        <v>1063</v>
      </c>
      <c r="F396" s="339">
        <v>775600</v>
      </c>
      <c r="G396" s="339">
        <v>775600</v>
      </c>
      <c r="H396" s="339">
        <v>775600</v>
      </c>
      <c r="I396" s="353"/>
      <c r="J396" s="354" t="str">
        <f t="shared" si="19"/>
        <v>0104</v>
      </c>
      <c r="K396" s="355" t="str">
        <f t="shared" si="20"/>
        <v>8110076200</v>
      </c>
    </row>
    <row r="397" spans="1:11">
      <c r="A397" s="90" t="str">
        <f t="shared" si="18"/>
        <v>61801048110076200122</v>
      </c>
      <c r="B397" s="325">
        <v>618</v>
      </c>
      <c r="C397" s="324">
        <v>104</v>
      </c>
      <c r="D397" s="323" t="s">
        <v>1423</v>
      </c>
      <c r="E397" s="322" t="s">
        <v>1059</v>
      </c>
      <c r="F397" s="339">
        <v>38300</v>
      </c>
      <c r="G397" s="339">
        <v>38300</v>
      </c>
      <c r="H397" s="339">
        <v>38300</v>
      </c>
      <c r="I397" s="353"/>
      <c r="J397" s="354" t="str">
        <f t="shared" si="19"/>
        <v>0104</v>
      </c>
      <c r="K397" s="355" t="str">
        <f t="shared" si="20"/>
        <v>8110076200</v>
      </c>
    </row>
    <row r="398" spans="1:11">
      <c r="A398" s="90" t="str">
        <f t="shared" si="18"/>
        <v>61801048110076200129</v>
      </c>
      <c r="B398" s="325">
        <v>618</v>
      </c>
      <c r="C398" s="324">
        <v>104</v>
      </c>
      <c r="D398" s="323" t="s">
        <v>1423</v>
      </c>
      <c r="E398" s="322" t="s">
        <v>1060</v>
      </c>
      <c r="F398" s="339">
        <v>245810</v>
      </c>
      <c r="G398" s="339">
        <v>245810</v>
      </c>
      <c r="H398" s="339">
        <v>245810</v>
      </c>
      <c r="I398" s="353"/>
      <c r="J398" s="354" t="str">
        <f t="shared" si="19"/>
        <v>0104</v>
      </c>
      <c r="K398" s="355" t="str">
        <f t="shared" si="20"/>
        <v>8110076200</v>
      </c>
    </row>
    <row r="399" spans="1:11">
      <c r="A399" s="90" t="str">
        <f t="shared" si="18"/>
        <v>61801048110076200244</v>
      </c>
      <c r="B399" s="325">
        <v>618</v>
      </c>
      <c r="C399" s="324">
        <v>104</v>
      </c>
      <c r="D399" s="323" t="s">
        <v>1423</v>
      </c>
      <c r="E399" s="322" t="s">
        <v>1043</v>
      </c>
      <c r="F399" s="339">
        <v>158920</v>
      </c>
      <c r="G399" s="339">
        <v>158920</v>
      </c>
      <c r="H399" s="339">
        <v>158920</v>
      </c>
      <c r="I399" s="353"/>
      <c r="J399" s="354" t="str">
        <f t="shared" si="19"/>
        <v>0104</v>
      </c>
      <c r="K399" s="355" t="str">
        <f t="shared" si="20"/>
        <v>8110076200</v>
      </c>
    </row>
    <row r="400" spans="1:11">
      <c r="A400" s="90" t="str">
        <f t="shared" si="18"/>
        <v>61801048110076360244</v>
      </c>
      <c r="B400" s="325">
        <v>618</v>
      </c>
      <c r="C400" s="324">
        <v>104</v>
      </c>
      <c r="D400" s="323" t="s">
        <v>1424</v>
      </c>
      <c r="E400" s="322" t="s">
        <v>1043</v>
      </c>
      <c r="F400" s="339">
        <v>51740</v>
      </c>
      <c r="G400" s="339">
        <v>51740</v>
      </c>
      <c r="H400" s="339">
        <v>51740</v>
      </c>
      <c r="I400" s="353"/>
      <c r="J400" s="354" t="str">
        <f t="shared" si="19"/>
        <v>0104</v>
      </c>
      <c r="K400" s="355" t="str">
        <f t="shared" si="20"/>
        <v>8110076360</v>
      </c>
    </row>
    <row r="401" spans="1:11">
      <c r="A401" s="90" t="str">
        <f t="shared" si="18"/>
        <v>618011311Б0120840244</v>
      </c>
      <c r="B401" s="325">
        <v>618</v>
      </c>
      <c r="C401" s="324">
        <v>113</v>
      </c>
      <c r="D401" s="323" t="s">
        <v>1226</v>
      </c>
      <c r="E401" s="322" t="s">
        <v>1043</v>
      </c>
      <c r="F401" s="339">
        <v>354300</v>
      </c>
      <c r="G401" s="339">
        <v>357850</v>
      </c>
      <c r="H401" s="339">
        <v>357850</v>
      </c>
      <c r="I401" s="353"/>
      <c r="J401" s="354" t="str">
        <f t="shared" si="19"/>
        <v>0113</v>
      </c>
      <c r="K401" s="355" t="str">
        <f t="shared" si="20"/>
        <v>11Б0120840</v>
      </c>
    </row>
    <row r="402" spans="1:11">
      <c r="A402" s="90" t="str">
        <f t="shared" si="18"/>
        <v>61804090420220820244</v>
      </c>
      <c r="B402" s="325">
        <v>618</v>
      </c>
      <c r="C402" s="324">
        <v>409</v>
      </c>
      <c r="D402" s="323" t="s">
        <v>1413</v>
      </c>
      <c r="E402" s="322" t="s">
        <v>1043</v>
      </c>
      <c r="F402" s="339">
        <v>11400000</v>
      </c>
      <c r="G402" s="339">
        <v>10087430</v>
      </c>
      <c r="H402" s="339">
        <v>10087430</v>
      </c>
      <c r="I402" s="353"/>
      <c r="J402" s="354" t="str">
        <f t="shared" si="19"/>
        <v>0409</v>
      </c>
      <c r="K402" s="355" t="str">
        <f t="shared" si="20"/>
        <v>0420220820</v>
      </c>
    </row>
    <row r="403" spans="1:11">
      <c r="A403" s="90" t="str">
        <f t="shared" si="18"/>
        <v>61804090420221030244</v>
      </c>
      <c r="B403" s="325">
        <v>618</v>
      </c>
      <c r="C403" s="324">
        <v>409</v>
      </c>
      <c r="D403" s="323" t="s">
        <v>1414</v>
      </c>
      <c r="E403" s="322" t="s">
        <v>1043</v>
      </c>
      <c r="F403" s="339">
        <v>25672000</v>
      </c>
      <c r="G403" s="339">
        <v>0</v>
      </c>
      <c r="H403" s="339">
        <v>0</v>
      </c>
      <c r="I403" s="353"/>
      <c r="J403" s="354" t="str">
        <f t="shared" si="19"/>
        <v>0409</v>
      </c>
      <c r="K403" s="355" t="str">
        <f t="shared" si="20"/>
        <v>0420221030</v>
      </c>
    </row>
    <row r="404" spans="1:11">
      <c r="A404" s="90" t="str">
        <f t="shared" si="18"/>
        <v>61804090420221090244</v>
      </c>
      <c r="B404" s="325">
        <v>618</v>
      </c>
      <c r="C404" s="324">
        <v>409</v>
      </c>
      <c r="D404" s="323" t="s">
        <v>1415</v>
      </c>
      <c r="E404" s="322" t="s">
        <v>1043</v>
      </c>
      <c r="F404" s="339">
        <v>19708750</v>
      </c>
      <c r="G404" s="339">
        <v>39888510</v>
      </c>
      <c r="H404" s="339">
        <v>39888510</v>
      </c>
      <c r="I404" s="353"/>
      <c r="J404" s="354" t="str">
        <f t="shared" si="19"/>
        <v>0409</v>
      </c>
      <c r="K404" s="355" t="str">
        <f t="shared" si="20"/>
        <v>0420221090</v>
      </c>
    </row>
    <row r="405" spans="1:11">
      <c r="A405" s="90" t="str">
        <f t="shared" si="18"/>
        <v>61805010410120190243</v>
      </c>
      <c r="B405" s="325">
        <v>618</v>
      </c>
      <c r="C405" s="324">
        <v>501</v>
      </c>
      <c r="D405" s="323" t="s">
        <v>1416</v>
      </c>
      <c r="E405" s="322" t="s">
        <v>1070</v>
      </c>
      <c r="F405" s="339">
        <v>259120</v>
      </c>
      <c r="G405" s="339">
        <v>222520</v>
      </c>
      <c r="H405" s="339">
        <v>222520</v>
      </c>
      <c r="I405" s="353"/>
      <c r="J405" s="354" t="str">
        <f t="shared" si="19"/>
        <v>0501</v>
      </c>
      <c r="K405" s="355" t="str">
        <f t="shared" si="20"/>
        <v>0410120190</v>
      </c>
    </row>
    <row r="406" spans="1:11">
      <c r="A406" s="90" t="str">
        <f t="shared" si="18"/>
        <v>61805010410120190244</v>
      </c>
      <c r="B406" s="325">
        <v>618</v>
      </c>
      <c r="C406" s="324">
        <v>501</v>
      </c>
      <c r="D406" s="323" t="s">
        <v>1416</v>
      </c>
      <c r="E406" s="322" t="s">
        <v>1043</v>
      </c>
      <c r="F406" s="339">
        <v>997540</v>
      </c>
      <c r="G406" s="339">
        <v>997540</v>
      </c>
      <c r="H406" s="339">
        <v>997540</v>
      </c>
      <c r="I406" s="353"/>
      <c r="J406" s="354" t="str">
        <f t="shared" si="19"/>
        <v>0501</v>
      </c>
      <c r="K406" s="355" t="str">
        <f t="shared" si="20"/>
        <v>0410120190</v>
      </c>
    </row>
    <row r="407" spans="1:11">
      <c r="A407" s="90" t="str">
        <f t="shared" si="18"/>
        <v>61805019820020190243</v>
      </c>
      <c r="B407" s="325">
        <v>618</v>
      </c>
      <c r="C407" s="324">
        <v>501</v>
      </c>
      <c r="D407" s="323" t="s">
        <v>1417</v>
      </c>
      <c r="E407" s="322" t="s">
        <v>1070</v>
      </c>
      <c r="F407" s="339">
        <v>186472.7</v>
      </c>
      <c r="G407" s="339">
        <v>0</v>
      </c>
      <c r="H407" s="339">
        <v>0</v>
      </c>
      <c r="I407" s="353"/>
      <c r="J407" s="354" t="str">
        <f t="shared" si="19"/>
        <v>0501</v>
      </c>
      <c r="K407" s="355" t="str">
        <f t="shared" si="20"/>
        <v>9820020190</v>
      </c>
    </row>
    <row r="408" spans="1:11">
      <c r="A408" s="90" t="str">
        <f t="shared" si="18"/>
        <v>61805030430420300244</v>
      </c>
      <c r="B408" s="325">
        <v>618</v>
      </c>
      <c r="C408" s="324">
        <v>503</v>
      </c>
      <c r="D408" s="323" t="s">
        <v>1344</v>
      </c>
      <c r="E408" s="322" t="s">
        <v>1043</v>
      </c>
      <c r="F408" s="339">
        <v>9907440</v>
      </c>
      <c r="G408" s="339">
        <v>10599220</v>
      </c>
      <c r="H408" s="339">
        <v>10599220</v>
      </c>
      <c r="I408" s="353"/>
      <c r="J408" s="354" t="str">
        <f t="shared" si="19"/>
        <v>0503</v>
      </c>
      <c r="K408" s="355" t="str">
        <f t="shared" si="20"/>
        <v>0430420300</v>
      </c>
    </row>
    <row r="409" spans="1:11">
      <c r="A409" s="90" t="str">
        <f t="shared" si="18"/>
        <v>61805030430421070244</v>
      </c>
      <c r="B409" s="325">
        <v>618</v>
      </c>
      <c r="C409" s="324">
        <v>503</v>
      </c>
      <c r="D409" s="323" t="s">
        <v>1418</v>
      </c>
      <c r="E409" s="322" t="s">
        <v>1043</v>
      </c>
      <c r="F409" s="339">
        <v>1046350</v>
      </c>
      <c r="G409" s="339">
        <v>941720</v>
      </c>
      <c r="H409" s="339">
        <v>941720</v>
      </c>
      <c r="I409" s="353"/>
      <c r="J409" s="354" t="str">
        <f t="shared" si="19"/>
        <v>0503</v>
      </c>
      <c r="K409" s="355" t="str">
        <f t="shared" si="20"/>
        <v>0430421070</v>
      </c>
    </row>
    <row r="410" spans="1:11">
      <c r="A410" s="90" t="str">
        <f t="shared" si="18"/>
        <v>61805030430421080244</v>
      </c>
      <c r="B410" s="325">
        <v>618</v>
      </c>
      <c r="C410" s="324">
        <v>503</v>
      </c>
      <c r="D410" s="323" t="s">
        <v>1419</v>
      </c>
      <c r="E410" s="322" t="s">
        <v>1043</v>
      </c>
      <c r="F410" s="339">
        <v>6996870</v>
      </c>
      <c r="G410" s="339">
        <v>6996870</v>
      </c>
      <c r="H410" s="339">
        <v>6996870</v>
      </c>
      <c r="I410" s="353"/>
      <c r="J410" s="354" t="str">
        <f t="shared" si="19"/>
        <v>0503</v>
      </c>
      <c r="K410" s="355" t="str">
        <f t="shared" si="20"/>
        <v>0430421080</v>
      </c>
    </row>
    <row r="411" spans="1:11">
      <c r="A411" s="90" t="str">
        <f t="shared" si="18"/>
        <v>61808010710120060244</v>
      </c>
      <c r="B411" s="325">
        <v>618</v>
      </c>
      <c r="C411" s="324">
        <v>801</v>
      </c>
      <c r="D411" s="323" t="s">
        <v>1295</v>
      </c>
      <c r="E411" s="322" t="s">
        <v>1043</v>
      </c>
      <c r="F411" s="339">
        <v>975000</v>
      </c>
      <c r="G411" s="339">
        <v>919000</v>
      </c>
      <c r="H411" s="339">
        <v>919000</v>
      </c>
      <c r="I411" s="353"/>
      <c r="J411" s="354" t="str">
        <f t="shared" si="19"/>
        <v>0801</v>
      </c>
      <c r="K411" s="355" t="str">
        <f t="shared" si="20"/>
        <v>0710120060</v>
      </c>
    </row>
    <row r="412" spans="1:11">
      <c r="A412" s="90" t="str">
        <f t="shared" si="18"/>
        <v>61808010710121130244</v>
      </c>
      <c r="B412" s="325">
        <v>618</v>
      </c>
      <c r="C412" s="324">
        <v>801</v>
      </c>
      <c r="D412" s="323" t="s">
        <v>1420</v>
      </c>
      <c r="E412" s="322" t="s">
        <v>1043</v>
      </c>
      <c r="F412" s="339">
        <v>561000</v>
      </c>
      <c r="G412" s="339">
        <v>561000</v>
      </c>
      <c r="H412" s="339">
        <v>561000</v>
      </c>
      <c r="I412" s="353"/>
      <c r="J412" s="354" t="str">
        <f t="shared" si="19"/>
        <v>0801</v>
      </c>
      <c r="K412" s="355" t="str">
        <f t="shared" si="20"/>
        <v>0710121130</v>
      </c>
    </row>
    <row r="413" spans="1:11">
      <c r="A413" s="90" t="str">
        <f t="shared" si="18"/>
        <v>61901048210010010122</v>
      </c>
      <c r="B413" s="325">
        <v>619</v>
      </c>
      <c r="C413" s="324">
        <v>104</v>
      </c>
      <c r="D413" s="323" t="s">
        <v>1425</v>
      </c>
      <c r="E413" s="322" t="s">
        <v>1059</v>
      </c>
      <c r="F413" s="339">
        <v>616980</v>
      </c>
      <c r="G413" s="339">
        <v>616980</v>
      </c>
      <c r="H413" s="339">
        <v>616980</v>
      </c>
      <c r="I413" s="353"/>
      <c r="J413" s="354" t="str">
        <f t="shared" si="19"/>
        <v>0104</v>
      </c>
      <c r="K413" s="355" t="str">
        <f t="shared" si="20"/>
        <v>8210010010</v>
      </c>
    </row>
    <row r="414" spans="1:11">
      <c r="A414" s="90" t="str">
        <f t="shared" si="18"/>
        <v>61901048210010010129</v>
      </c>
      <c r="B414" s="325">
        <v>619</v>
      </c>
      <c r="C414" s="324">
        <v>104</v>
      </c>
      <c r="D414" s="323" t="s">
        <v>1425</v>
      </c>
      <c r="E414" s="322" t="s">
        <v>1060</v>
      </c>
      <c r="F414" s="339">
        <v>186330</v>
      </c>
      <c r="G414" s="339">
        <v>186330</v>
      </c>
      <c r="H414" s="339">
        <v>186330</v>
      </c>
      <c r="I414" s="353"/>
      <c r="J414" s="354" t="str">
        <f t="shared" si="19"/>
        <v>0104</v>
      </c>
      <c r="K414" s="355" t="str">
        <f t="shared" si="20"/>
        <v>8210010010</v>
      </c>
    </row>
    <row r="415" spans="1:11">
      <c r="A415" s="90" t="str">
        <f t="shared" si="18"/>
        <v>61901048210010010244</v>
      </c>
      <c r="B415" s="325">
        <v>619</v>
      </c>
      <c r="C415" s="324">
        <v>104</v>
      </c>
      <c r="D415" s="323" t="s">
        <v>1425</v>
      </c>
      <c r="E415" s="322" t="s">
        <v>1043</v>
      </c>
      <c r="F415" s="339">
        <v>3462048.7</v>
      </c>
      <c r="G415" s="339">
        <v>3495760</v>
      </c>
      <c r="H415" s="339">
        <v>3495760</v>
      </c>
      <c r="I415" s="353"/>
      <c r="J415" s="354" t="str">
        <f t="shared" si="19"/>
        <v>0104</v>
      </c>
      <c r="K415" s="355" t="str">
        <f t="shared" si="20"/>
        <v>8210010010</v>
      </c>
    </row>
    <row r="416" spans="1:11">
      <c r="A416" s="90" t="str">
        <f t="shared" si="18"/>
        <v>61901048210010010851</v>
      </c>
      <c r="B416" s="325">
        <v>619</v>
      </c>
      <c r="C416" s="324">
        <v>104</v>
      </c>
      <c r="D416" s="323" t="s">
        <v>1425</v>
      </c>
      <c r="E416" s="322" t="s">
        <v>1061</v>
      </c>
      <c r="F416" s="339">
        <v>260000</v>
      </c>
      <c r="G416" s="339">
        <v>260000</v>
      </c>
      <c r="H416" s="339">
        <v>260000</v>
      </c>
      <c r="I416" s="353"/>
      <c r="J416" s="354" t="str">
        <f t="shared" si="19"/>
        <v>0104</v>
      </c>
      <c r="K416" s="355" t="str">
        <f t="shared" si="20"/>
        <v>8210010010</v>
      </c>
    </row>
    <row r="417" spans="1:11">
      <c r="A417" s="90" t="str">
        <f t="shared" si="18"/>
        <v>61901048210010010852</v>
      </c>
      <c r="B417" s="325">
        <v>619</v>
      </c>
      <c r="C417" s="324">
        <v>104</v>
      </c>
      <c r="D417" s="323" t="s">
        <v>1425</v>
      </c>
      <c r="E417" s="322" t="s">
        <v>1062</v>
      </c>
      <c r="F417" s="339">
        <v>10198.17</v>
      </c>
      <c r="G417" s="339">
        <v>20000</v>
      </c>
      <c r="H417" s="339">
        <v>20000</v>
      </c>
      <c r="I417" s="353"/>
      <c r="J417" s="354" t="str">
        <f t="shared" si="19"/>
        <v>0104</v>
      </c>
      <c r="K417" s="355" t="str">
        <f t="shared" si="20"/>
        <v>8210010010</v>
      </c>
    </row>
    <row r="418" spans="1:11">
      <c r="A418" s="90" t="str">
        <f t="shared" si="18"/>
        <v>61901048210010010853</v>
      </c>
      <c r="B418" s="325">
        <v>619</v>
      </c>
      <c r="C418" s="324">
        <v>104</v>
      </c>
      <c r="D418" s="323" t="s">
        <v>1425</v>
      </c>
      <c r="E418" s="322" t="s">
        <v>1066</v>
      </c>
      <c r="F418" s="339">
        <v>9801.83</v>
      </c>
      <c r="G418" s="339">
        <v>0</v>
      </c>
      <c r="H418" s="339">
        <v>0</v>
      </c>
      <c r="I418" s="353"/>
      <c r="J418" s="354" t="str">
        <f t="shared" si="19"/>
        <v>0104</v>
      </c>
      <c r="K418" s="355" t="str">
        <f t="shared" si="20"/>
        <v>8210010010</v>
      </c>
    </row>
    <row r="419" spans="1:11">
      <c r="A419" s="90" t="str">
        <f t="shared" si="18"/>
        <v>61901048210010020121</v>
      </c>
      <c r="B419" s="325">
        <v>619</v>
      </c>
      <c r="C419" s="324">
        <v>104</v>
      </c>
      <c r="D419" s="323" t="s">
        <v>1426</v>
      </c>
      <c r="E419" s="322" t="s">
        <v>1063</v>
      </c>
      <c r="F419" s="339">
        <v>26867180</v>
      </c>
      <c r="G419" s="339">
        <v>26867180</v>
      </c>
      <c r="H419" s="339">
        <v>26867180</v>
      </c>
      <c r="I419" s="353"/>
      <c r="J419" s="354" t="str">
        <f t="shared" si="19"/>
        <v>0104</v>
      </c>
      <c r="K419" s="355" t="str">
        <f t="shared" si="20"/>
        <v>8210010020</v>
      </c>
    </row>
    <row r="420" spans="1:11">
      <c r="A420" s="90" t="str">
        <f t="shared" si="18"/>
        <v>61901048210010020129</v>
      </c>
      <c r="B420" s="325">
        <v>619</v>
      </c>
      <c r="C420" s="324">
        <v>104</v>
      </c>
      <c r="D420" s="323" t="s">
        <v>1426</v>
      </c>
      <c r="E420" s="322" t="s">
        <v>1060</v>
      </c>
      <c r="F420" s="339">
        <v>8113890</v>
      </c>
      <c r="G420" s="339">
        <v>8113890</v>
      </c>
      <c r="H420" s="339">
        <v>8113890</v>
      </c>
      <c r="I420" s="353"/>
      <c r="J420" s="354" t="str">
        <f t="shared" si="19"/>
        <v>0104</v>
      </c>
      <c r="K420" s="355" t="str">
        <f t="shared" si="20"/>
        <v>8210010020</v>
      </c>
    </row>
    <row r="421" spans="1:11">
      <c r="A421" s="90" t="str">
        <f t="shared" si="18"/>
        <v>61901048210076200121</v>
      </c>
      <c r="B421" s="325">
        <v>619</v>
      </c>
      <c r="C421" s="324">
        <v>104</v>
      </c>
      <c r="D421" s="323" t="s">
        <v>1427</v>
      </c>
      <c r="E421" s="322" t="s">
        <v>1063</v>
      </c>
      <c r="F421" s="339">
        <v>977110</v>
      </c>
      <c r="G421" s="339">
        <v>977110</v>
      </c>
      <c r="H421" s="339">
        <v>977110</v>
      </c>
      <c r="I421" s="353"/>
      <c r="J421" s="354" t="str">
        <f t="shared" si="19"/>
        <v>0104</v>
      </c>
      <c r="K421" s="355" t="str">
        <f t="shared" si="20"/>
        <v>8210076200</v>
      </c>
    </row>
    <row r="422" spans="1:11">
      <c r="A422" s="90" t="str">
        <f t="shared" si="18"/>
        <v>61901048210076200122</v>
      </c>
      <c r="B422" s="325">
        <v>619</v>
      </c>
      <c r="C422" s="324">
        <v>104</v>
      </c>
      <c r="D422" s="323" t="s">
        <v>1427</v>
      </c>
      <c r="E422" s="322" t="s">
        <v>1059</v>
      </c>
      <c r="F422" s="339">
        <v>51060</v>
      </c>
      <c r="G422" s="339">
        <v>51060</v>
      </c>
      <c r="H422" s="339">
        <v>51060</v>
      </c>
      <c r="I422" s="353"/>
      <c r="J422" s="354" t="str">
        <f t="shared" si="19"/>
        <v>0104</v>
      </c>
      <c r="K422" s="355" t="str">
        <f t="shared" si="20"/>
        <v>8210076200</v>
      </c>
    </row>
    <row r="423" spans="1:11">
      <c r="A423" s="90" t="str">
        <f t="shared" si="18"/>
        <v>61901048210076200129</v>
      </c>
      <c r="B423" s="325">
        <v>619</v>
      </c>
      <c r="C423" s="324">
        <v>104</v>
      </c>
      <c r="D423" s="323" t="s">
        <v>1427</v>
      </c>
      <c r="E423" s="322" t="s">
        <v>1060</v>
      </c>
      <c r="F423" s="339">
        <v>310510</v>
      </c>
      <c r="G423" s="339">
        <v>310510</v>
      </c>
      <c r="H423" s="339">
        <v>310510</v>
      </c>
      <c r="I423" s="353"/>
      <c r="J423" s="354" t="str">
        <f t="shared" si="19"/>
        <v>0104</v>
      </c>
      <c r="K423" s="355" t="str">
        <f t="shared" si="20"/>
        <v>8210076200</v>
      </c>
    </row>
    <row r="424" spans="1:11">
      <c r="A424" s="90" t="str">
        <f t="shared" si="18"/>
        <v>61901048210076200244</v>
      </c>
      <c r="B424" s="325">
        <v>619</v>
      </c>
      <c r="C424" s="324">
        <v>104</v>
      </c>
      <c r="D424" s="323" t="s">
        <v>1427</v>
      </c>
      <c r="E424" s="322" t="s">
        <v>1043</v>
      </c>
      <c r="F424" s="339">
        <v>196300</v>
      </c>
      <c r="G424" s="339">
        <v>196300</v>
      </c>
      <c r="H424" s="339">
        <v>196300</v>
      </c>
      <c r="I424" s="353"/>
      <c r="J424" s="354" t="str">
        <f t="shared" si="19"/>
        <v>0104</v>
      </c>
      <c r="K424" s="355" t="str">
        <f t="shared" si="20"/>
        <v>8210076200</v>
      </c>
    </row>
    <row r="425" spans="1:11">
      <c r="A425" s="90" t="str">
        <f t="shared" si="18"/>
        <v>61901048210076360244</v>
      </c>
      <c r="B425" s="325">
        <v>619</v>
      </c>
      <c r="C425" s="324">
        <v>104</v>
      </c>
      <c r="D425" s="323" t="s">
        <v>1428</v>
      </c>
      <c r="E425" s="322" t="s">
        <v>1043</v>
      </c>
      <c r="F425" s="339">
        <v>51740</v>
      </c>
      <c r="G425" s="339">
        <v>51740</v>
      </c>
      <c r="H425" s="339">
        <v>51740</v>
      </c>
      <c r="I425" s="353"/>
      <c r="J425" s="354" t="str">
        <f t="shared" si="19"/>
        <v>0104</v>
      </c>
      <c r="K425" s="355" t="str">
        <f t="shared" si="20"/>
        <v>8210076360</v>
      </c>
    </row>
    <row r="426" spans="1:11">
      <c r="A426" s="90" t="str">
        <f t="shared" si="18"/>
        <v>619011311Б0120840244</v>
      </c>
      <c r="B426" s="325">
        <v>619</v>
      </c>
      <c r="C426" s="324">
        <v>113</v>
      </c>
      <c r="D426" s="323" t="s">
        <v>1226</v>
      </c>
      <c r="E426" s="322" t="s">
        <v>1043</v>
      </c>
      <c r="F426" s="339">
        <v>472810</v>
      </c>
      <c r="G426" s="339">
        <v>476640</v>
      </c>
      <c r="H426" s="339">
        <v>476640</v>
      </c>
      <c r="I426" s="353"/>
      <c r="J426" s="354" t="str">
        <f t="shared" si="19"/>
        <v>0113</v>
      </c>
      <c r="K426" s="355" t="str">
        <f t="shared" si="20"/>
        <v>11Б0120840</v>
      </c>
    </row>
    <row r="427" spans="1:11">
      <c r="A427" s="90" t="str">
        <f t="shared" si="18"/>
        <v>619011311Б0121120244</v>
      </c>
      <c r="B427" s="325">
        <v>619</v>
      </c>
      <c r="C427" s="324">
        <v>113</v>
      </c>
      <c r="D427" s="323" t="s">
        <v>1189</v>
      </c>
      <c r="E427" s="322" t="s">
        <v>1043</v>
      </c>
      <c r="F427" s="339">
        <v>82260</v>
      </c>
      <c r="G427" s="339">
        <v>82260</v>
      </c>
      <c r="H427" s="339">
        <v>82260</v>
      </c>
      <c r="I427" s="353"/>
      <c r="J427" s="354" t="str">
        <f t="shared" si="19"/>
        <v>0113</v>
      </c>
      <c r="K427" s="355" t="str">
        <f t="shared" si="20"/>
        <v>11Б0121120</v>
      </c>
    </row>
    <row r="428" spans="1:11">
      <c r="A428" s="90" t="str">
        <f t="shared" si="18"/>
        <v>61901138210020050831</v>
      </c>
      <c r="B428" s="325">
        <v>619</v>
      </c>
      <c r="C428" s="324">
        <v>113</v>
      </c>
      <c r="D428" s="323" t="s">
        <v>1429</v>
      </c>
      <c r="E428" s="322" t="s">
        <v>1045</v>
      </c>
      <c r="F428" s="339">
        <v>18871.98</v>
      </c>
      <c r="G428" s="339">
        <v>0</v>
      </c>
      <c r="H428" s="339">
        <v>0</v>
      </c>
      <c r="I428" s="353"/>
      <c r="J428" s="354" t="str">
        <f t="shared" si="19"/>
        <v>0113</v>
      </c>
      <c r="K428" s="355" t="str">
        <f t="shared" si="20"/>
        <v>8210020050</v>
      </c>
    </row>
    <row r="429" spans="1:11">
      <c r="A429" s="90" t="str">
        <f t="shared" si="18"/>
        <v>61904090420220820244</v>
      </c>
      <c r="B429" s="325">
        <v>619</v>
      </c>
      <c r="C429" s="324">
        <v>409</v>
      </c>
      <c r="D429" s="323" t="s">
        <v>1413</v>
      </c>
      <c r="E429" s="322" t="s">
        <v>1043</v>
      </c>
      <c r="F429" s="339">
        <v>10900210</v>
      </c>
      <c r="G429" s="339">
        <v>9495510</v>
      </c>
      <c r="H429" s="339">
        <v>9495510</v>
      </c>
      <c r="I429" s="353"/>
      <c r="J429" s="354" t="str">
        <f t="shared" si="19"/>
        <v>0409</v>
      </c>
      <c r="K429" s="355" t="str">
        <f t="shared" si="20"/>
        <v>0420220820</v>
      </c>
    </row>
    <row r="430" spans="1:11">
      <c r="A430" s="90" t="str">
        <f t="shared" si="18"/>
        <v>61904090420221030244</v>
      </c>
      <c r="B430" s="325">
        <v>619</v>
      </c>
      <c r="C430" s="324">
        <v>409</v>
      </c>
      <c r="D430" s="323" t="s">
        <v>1414</v>
      </c>
      <c r="E430" s="322" t="s">
        <v>1043</v>
      </c>
      <c r="F430" s="339">
        <v>54306000</v>
      </c>
      <c r="G430" s="339">
        <v>0</v>
      </c>
      <c r="H430" s="339">
        <v>0</v>
      </c>
      <c r="I430" s="353"/>
      <c r="J430" s="354" t="str">
        <f t="shared" si="19"/>
        <v>0409</v>
      </c>
      <c r="K430" s="355" t="str">
        <f t="shared" si="20"/>
        <v>0420221030</v>
      </c>
    </row>
    <row r="431" spans="1:11">
      <c r="A431" s="90" t="str">
        <f t="shared" si="18"/>
        <v>61904090420221090244</v>
      </c>
      <c r="B431" s="325">
        <v>619</v>
      </c>
      <c r="C431" s="324">
        <v>409</v>
      </c>
      <c r="D431" s="323" t="s">
        <v>1415</v>
      </c>
      <c r="E431" s="322" t="s">
        <v>1043</v>
      </c>
      <c r="F431" s="339">
        <v>39618360</v>
      </c>
      <c r="G431" s="339">
        <v>84946930</v>
      </c>
      <c r="H431" s="339">
        <v>84946930</v>
      </c>
      <c r="I431" s="353"/>
      <c r="J431" s="354" t="str">
        <f t="shared" si="19"/>
        <v>0409</v>
      </c>
      <c r="K431" s="355" t="str">
        <f t="shared" si="20"/>
        <v>0420221090</v>
      </c>
    </row>
    <row r="432" spans="1:11">
      <c r="A432" s="90" t="str">
        <f t="shared" si="18"/>
        <v>61905010410120190243</v>
      </c>
      <c r="B432" s="325">
        <v>619</v>
      </c>
      <c r="C432" s="324">
        <v>501</v>
      </c>
      <c r="D432" s="323" t="s">
        <v>1416</v>
      </c>
      <c r="E432" s="322" t="s">
        <v>1070</v>
      </c>
      <c r="F432" s="339">
        <v>870000</v>
      </c>
      <c r="G432" s="339">
        <v>730000</v>
      </c>
      <c r="H432" s="339">
        <v>730000</v>
      </c>
      <c r="I432" s="353"/>
      <c r="J432" s="354" t="str">
        <f t="shared" si="19"/>
        <v>0501</v>
      </c>
      <c r="K432" s="355" t="str">
        <f t="shared" si="20"/>
        <v>0410120190</v>
      </c>
    </row>
    <row r="433" spans="1:11">
      <c r="A433" s="90" t="str">
        <f t="shared" si="18"/>
        <v>61905010410120190244</v>
      </c>
      <c r="B433" s="325">
        <v>619</v>
      </c>
      <c r="C433" s="324">
        <v>501</v>
      </c>
      <c r="D433" s="323" t="s">
        <v>1416</v>
      </c>
      <c r="E433" s="322" t="s">
        <v>1043</v>
      </c>
      <c r="F433" s="339">
        <v>2577930</v>
      </c>
      <c r="G433" s="339">
        <v>2492930</v>
      </c>
      <c r="H433" s="339">
        <v>2492930</v>
      </c>
      <c r="I433" s="353"/>
      <c r="J433" s="354" t="str">
        <f t="shared" si="19"/>
        <v>0501</v>
      </c>
      <c r="K433" s="355" t="str">
        <f t="shared" si="20"/>
        <v>0410120190</v>
      </c>
    </row>
    <row r="434" spans="1:11">
      <c r="A434" s="90" t="str">
        <f t="shared" si="18"/>
        <v>61905019820020190243</v>
      </c>
      <c r="B434" s="325">
        <v>619</v>
      </c>
      <c r="C434" s="324">
        <v>501</v>
      </c>
      <c r="D434" s="323" t="s">
        <v>1417</v>
      </c>
      <c r="E434" s="322" t="s">
        <v>1070</v>
      </c>
      <c r="F434" s="339">
        <v>138451.81</v>
      </c>
      <c r="G434" s="339">
        <v>0</v>
      </c>
      <c r="H434" s="339">
        <v>0</v>
      </c>
      <c r="I434" s="353"/>
      <c r="J434" s="354" t="str">
        <f t="shared" si="19"/>
        <v>0501</v>
      </c>
      <c r="K434" s="355" t="str">
        <f t="shared" si="20"/>
        <v>9820020190</v>
      </c>
    </row>
    <row r="435" spans="1:11">
      <c r="A435" s="90" t="str">
        <f t="shared" si="18"/>
        <v>61905030430420300244</v>
      </c>
      <c r="B435" s="325">
        <v>619</v>
      </c>
      <c r="C435" s="324">
        <v>503</v>
      </c>
      <c r="D435" s="323" t="s">
        <v>1344</v>
      </c>
      <c r="E435" s="322" t="s">
        <v>1043</v>
      </c>
      <c r="F435" s="339">
        <v>15007510</v>
      </c>
      <c r="G435" s="339">
        <v>14275070</v>
      </c>
      <c r="H435" s="339">
        <v>14275070</v>
      </c>
      <c r="I435" s="353"/>
      <c r="J435" s="354" t="str">
        <f t="shared" si="19"/>
        <v>0503</v>
      </c>
      <c r="K435" s="355" t="str">
        <f t="shared" si="20"/>
        <v>0430420300</v>
      </c>
    </row>
    <row r="436" spans="1:11">
      <c r="A436" s="90" t="str">
        <f t="shared" si="18"/>
        <v>61905030430421070244</v>
      </c>
      <c r="B436" s="325">
        <v>619</v>
      </c>
      <c r="C436" s="324">
        <v>503</v>
      </c>
      <c r="D436" s="323" t="s">
        <v>1418</v>
      </c>
      <c r="E436" s="322" t="s">
        <v>1043</v>
      </c>
      <c r="F436" s="339">
        <v>1046350</v>
      </c>
      <c r="G436" s="339">
        <v>941720</v>
      </c>
      <c r="H436" s="339">
        <v>941720</v>
      </c>
      <c r="I436" s="353"/>
      <c r="J436" s="354" t="str">
        <f t="shared" si="19"/>
        <v>0503</v>
      </c>
      <c r="K436" s="355" t="str">
        <f t="shared" si="20"/>
        <v>0430421070</v>
      </c>
    </row>
    <row r="437" spans="1:11">
      <c r="A437" s="90" t="str">
        <f t="shared" si="18"/>
        <v>61908010710120060244</v>
      </c>
      <c r="B437" s="325">
        <v>619</v>
      </c>
      <c r="C437" s="324">
        <v>801</v>
      </c>
      <c r="D437" s="323" t="s">
        <v>1295</v>
      </c>
      <c r="E437" s="322" t="s">
        <v>1043</v>
      </c>
      <c r="F437" s="339">
        <v>975000</v>
      </c>
      <c r="G437" s="339">
        <v>911500</v>
      </c>
      <c r="H437" s="339">
        <v>911500</v>
      </c>
      <c r="I437" s="353"/>
      <c r="J437" s="354" t="str">
        <f t="shared" si="19"/>
        <v>0801</v>
      </c>
      <c r="K437" s="355" t="str">
        <f t="shared" si="20"/>
        <v>0710120060</v>
      </c>
    </row>
    <row r="438" spans="1:11">
      <c r="A438" s="90" t="str">
        <f t="shared" si="18"/>
        <v>61908010710121130244</v>
      </c>
      <c r="B438" s="325">
        <v>619</v>
      </c>
      <c r="C438" s="324">
        <v>801</v>
      </c>
      <c r="D438" s="323" t="s">
        <v>1420</v>
      </c>
      <c r="E438" s="322" t="s">
        <v>1043</v>
      </c>
      <c r="F438" s="339">
        <v>637500</v>
      </c>
      <c r="G438" s="339">
        <v>637500</v>
      </c>
      <c r="H438" s="339">
        <v>637500</v>
      </c>
      <c r="I438" s="353"/>
      <c r="J438" s="354" t="str">
        <f t="shared" si="19"/>
        <v>0801</v>
      </c>
      <c r="K438" s="355" t="str">
        <f t="shared" si="20"/>
        <v>0710121130</v>
      </c>
    </row>
    <row r="439" spans="1:11">
      <c r="A439" s="90" t="str">
        <f t="shared" si="18"/>
        <v>620011311Б0121120244</v>
      </c>
      <c r="B439" s="325">
        <v>620</v>
      </c>
      <c r="C439" s="324">
        <v>113</v>
      </c>
      <c r="D439" s="323" t="s">
        <v>1189</v>
      </c>
      <c r="E439" s="322" t="s">
        <v>1043</v>
      </c>
      <c r="F439" s="339">
        <v>57230</v>
      </c>
      <c r="G439" s="339">
        <v>57230</v>
      </c>
      <c r="H439" s="339">
        <v>57230</v>
      </c>
      <c r="I439" s="353"/>
      <c r="J439" s="354" t="str">
        <f t="shared" si="19"/>
        <v>0113</v>
      </c>
      <c r="K439" s="355" t="str">
        <f t="shared" si="20"/>
        <v>11Б0121120</v>
      </c>
    </row>
    <row r="440" spans="1:11">
      <c r="A440" s="90" t="str">
        <f t="shared" si="18"/>
        <v>62001138310010010244</v>
      </c>
      <c r="B440" s="325">
        <v>620</v>
      </c>
      <c r="C440" s="324">
        <v>113</v>
      </c>
      <c r="D440" s="323" t="s">
        <v>1430</v>
      </c>
      <c r="E440" s="322" t="s">
        <v>1043</v>
      </c>
      <c r="F440" s="339">
        <v>1317500</v>
      </c>
      <c r="G440" s="339">
        <v>1162500</v>
      </c>
      <c r="H440" s="339">
        <v>1162500</v>
      </c>
      <c r="I440" s="353"/>
      <c r="J440" s="354" t="str">
        <f t="shared" si="19"/>
        <v>0113</v>
      </c>
      <c r="K440" s="355" t="str">
        <f t="shared" si="20"/>
        <v>8310010010</v>
      </c>
    </row>
    <row r="441" spans="1:11">
      <c r="A441" s="90" t="str">
        <f t="shared" si="18"/>
        <v>62001138310020050831</v>
      </c>
      <c r="B441" s="325">
        <v>620</v>
      </c>
      <c r="C441" s="324">
        <v>113</v>
      </c>
      <c r="D441" s="323" t="s">
        <v>1431</v>
      </c>
      <c r="E441" s="322" t="s">
        <v>1045</v>
      </c>
      <c r="F441" s="339">
        <v>850476</v>
      </c>
      <c r="G441" s="339">
        <v>500000</v>
      </c>
      <c r="H441" s="339">
        <v>500000</v>
      </c>
      <c r="I441" s="353"/>
      <c r="J441" s="354" t="str">
        <f t="shared" si="19"/>
        <v>0113</v>
      </c>
      <c r="K441" s="355" t="str">
        <f t="shared" si="20"/>
        <v>8310020050</v>
      </c>
    </row>
    <row r="442" spans="1:11">
      <c r="A442" s="90" t="str">
        <f t="shared" si="18"/>
        <v>62001138310021040831</v>
      </c>
      <c r="B442" s="325">
        <v>620</v>
      </c>
      <c r="C442" s="324">
        <v>113</v>
      </c>
      <c r="D442" s="323" t="s">
        <v>1432</v>
      </c>
      <c r="E442" s="322" t="s">
        <v>1045</v>
      </c>
      <c r="F442" s="339">
        <v>50000</v>
      </c>
      <c r="G442" s="339">
        <v>0</v>
      </c>
      <c r="H442" s="339">
        <v>0</v>
      </c>
      <c r="I442" s="353"/>
      <c r="J442" s="354" t="str">
        <f t="shared" si="19"/>
        <v>0113</v>
      </c>
      <c r="K442" s="355" t="str">
        <f t="shared" si="20"/>
        <v>8310021040</v>
      </c>
    </row>
    <row r="443" spans="1:11">
      <c r="A443" s="90" t="str">
        <f t="shared" si="18"/>
        <v>62001138310021040853</v>
      </c>
      <c r="B443" s="325">
        <v>620</v>
      </c>
      <c r="C443" s="324">
        <v>113</v>
      </c>
      <c r="D443" s="323" t="s">
        <v>1432</v>
      </c>
      <c r="E443" s="322" t="s">
        <v>1066</v>
      </c>
      <c r="F443" s="339">
        <v>3150000</v>
      </c>
      <c r="G443" s="339">
        <v>0</v>
      </c>
      <c r="H443" s="339">
        <v>0</v>
      </c>
      <c r="I443" s="353"/>
      <c r="J443" s="354" t="str">
        <f t="shared" si="19"/>
        <v>0113</v>
      </c>
      <c r="K443" s="355" t="str">
        <f t="shared" si="20"/>
        <v>8310021040</v>
      </c>
    </row>
    <row r="444" spans="1:11">
      <c r="A444" s="90" t="str">
        <f t="shared" si="18"/>
        <v>62004070430111010611</v>
      </c>
      <c r="B444" s="325">
        <v>620</v>
      </c>
      <c r="C444" s="324">
        <v>407</v>
      </c>
      <c r="D444" s="323" t="s">
        <v>1433</v>
      </c>
      <c r="E444" s="322" t="s">
        <v>67</v>
      </c>
      <c r="F444" s="339">
        <v>11976360</v>
      </c>
      <c r="G444" s="339">
        <v>11978970</v>
      </c>
      <c r="H444" s="339">
        <v>11978970</v>
      </c>
      <c r="I444" s="353"/>
      <c r="J444" s="354" t="str">
        <f t="shared" si="19"/>
        <v>0407</v>
      </c>
      <c r="K444" s="355" t="str">
        <f t="shared" si="20"/>
        <v>0430111010</v>
      </c>
    </row>
    <row r="445" spans="1:11">
      <c r="A445" s="90" t="str">
        <f t="shared" si="18"/>
        <v>62004070430111010612</v>
      </c>
      <c r="B445" s="325">
        <v>620</v>
      </c>
      <c r="C445" s="324">
        <v>407</v>
      </c>
      <c r="D445" s="323" t="s">
        <v>1433</v>
      </c>
      <c r="E445" s="322" t="s">
        <v>1046</v>
      </c>
      <c r="F445" s="339">
        <v>550000</v>
      </c>
      <c r="G445" s="339">
        <v>550000</v>
      </c>
      <c r="H445" s="339">
        <v>550000</v>
      </c>
      <c r="I445" s="353"/>
      <c r="J445" s="354" t="str">
        <f t="shared" si="19"/>
        <v>0407</v>
      </c>
      <c r="K445" s="355" t="str">
        <f t="shared" si="20"/>
        <v>0430111010</v>
      </c>
    </row>
    <row r="446" spans="1:11">
      <c r="A446" s="90" t="str">
        <f t="shared" si="18"/>
        <v>620040803301L0270244</v>
      </c>
      <c r="B446" s="371">
        <v>620</v>
      </c>
      <c r="C446" s="372">
        <v>408</v>
      </c>
      <c r="D446" s="373" t="s">
        <v>1223</v>
      </c>
      <c r="E446" s="374" t="s">
        <v>1043</v>
      </c>
      <c r="F446" s="375">
        <v>0</v>
      </c>
      <c r="G446" s="375">
        <v>875930</v>
      </c>
      <c r="H446" s="375">
        <v>875930</v>
      </c>
      <c r="I446" s="353"/>
      <c r="J446" s="354" t="str">
        <f t="shared" si="19"/>
        <v>0408</v>
      </c>
      <c r="K446" s="355" t="str">
        <f t="shared" si="20"/>
        <v>03301L0270</v>
      </c>
    </row>
    <row r="447" spans="1:11">
      <c r="A447" s="90" t="str">
        <f t="shared" si="18"/>
        <v>62004080420111010611</v>
      </c>
      <c r="B447" s="325">
        <v>620</v>
      </c>
      <c r="C447" s="324">
        <v>408</v>
      </c>
      <c r="D447" s="323" t="s">
        <v>1434</v>
      </c>
      <c r="E447" s="322" t="s">
        <v>67</v>
      </c>
      <c r="F447" s="339">
        <v>4018800</v>
      </c>
      <c r="G447" s="339">
        <v>4023940</v>
      </c>
      <c r="H447" s="339">
        <v>4023940</v>
      </c>
      <c r="I447" s="353"/>
      <c r="J447" s="354" t="str">
        <f t="shared" si="19"/>
        <v>0408</v>
      </c>
      <c r="K447" s="355" t="str">
        <f t="shared" si="20"/>
        <v>0420111010</v>
      </c>
    </row>
    <row r="448" spans="1:11">
      <c r="A448" s="90" t="str">
        <f t="shared" si="18"/>
        <v>62004080420160020812</v>
      </c>
      <c r="B448" s="325">
        <v>620</v>
      </c>
      <c r="C448" s="324">
        <v>408</v>
      </c>
      <c r="D448" s="323" t="s">
        <v>1435</v>
      </c>
      <c r="E448" s="322" t="s">
        <v>1051</v>
      </c>
      <c r="F448" s="339">
        <v>5575098</v>
      </c>
      <c r="G448" s="339">
        <v>5302670</v>
      </c>
      <c r="H448" s="339">
        <v>5302670</v>
      </c>
      <c r="I448" s="353"/>
      <c r="J448" s="354" t="str">
        <f t="shared" si="19"/>
        <v>0408</v>
      </c>
      <c r="K448" s="355" t="str">
        <f t="shared" si="20"/>
        <v>0420160020</v>
      </c>
    </row>
    <row r="449" spans="1:11">
      <c r="A449" s="90" t="str">
        <f t="shared" si="18"/>
        <v>62004080420160070812</v>
      </c>
      <c r="B449" s="325">
        <v>620</v>
      </c>
      <c r="C449" s="324">
        <v>408</v>
      </c>
      <c r="D449" s="323" t="s">
        <v>1436</v>
      </c>
      <c r="E449" s="322" t="s">
        <v>1051</v>
      </c>
      <c r="F449" s="339">
        <v>120226323.33</v>
      </c>
      <c r="G449" s="339">
        <v>36669953.259999998</v>
      </c>
      <c r="H449" s="339">
        <v>39225506.439999998</v>
      </c>
      <c r="I449" s="353"/>
      <c r="J449" s="354" t="str">
        <f t="shared" si="19"/>
        <v>0408</v>
      </c>
      <c r="K449" s="355" t="str">
        <f t="shared" si="20"/>
        <v>0420160070</v>
      </c>
    </row>
    <row r="450" spans="1:11">
      <c r="A450" s="90" t="str">
        <f t="shared" si="18"/>
        <v>620040902Б0120560244</v>
      </c>
      <c r="B450" s="325">
        <v>620</v>
      </c>
      <c r="C450" s="324">
        <v>409</v>
      </c>
      <c r="D450" s="323" t="s">
        <v>1228</v>
      </c>
      <c r="E450" s="322" t="s">
        <v>1043</v>
      </c>
      <c r="F450" s="339">
        <v>5251460</v>
      </c>
      <c r="G450" s="339">
        <v>5251460</v>
      </c>
      <c r="H450" s="339">
        <v>5251460</v>
      </c>
      <c r="I450" s="353"/>
      <c r="J450" s="354" t="str">
        <f t="shared" si="19"/>
        <v>0409</v>
      </c>
      <c r="K450" s="355" t="str">
        <f t="shared" si="20"/>
        <v>02Б0120560</v>
      </c>
    </row>
    <row r="451" spans="1:11">
      <c r="A451" s="90" t="str">
        <f t="shared" si="18"/>
        <v>62004090420220130244</v>
      </c>
      <c r="B451" s="325">
        <v>620</v>
      </c>
      <c r="C451" s="324">
        <v>409</v>
      </c>
      <c r="D451" s="323" t="s">
        <v>1437</v>
      </c>
      <c r="E451" s="322" t="s">
        <v>1043</v>
      </c>
      <c r="F451" s="339">
        <v>36181838.359999999</v>
      </c>
      <c r="G451" s="339">
        <v>62280580</v>
      </c>
      <c r="H451" s="339">
        <v>62280580</v>
      </c>
      <c r="I451" s="353"/>
      <c r="J451" s="354" t="str">
        <f t="shared" si="19"/>
        <v>0409</v>
      </c>
      <c r="K451" s="355" t="str">
        <f t="shared" si="20"/>
        <v>0420220130</v>
      </c>
    </row>
    <row r="452" spans="1:11">
      <c r="A452" s="90" t="str">
        <f t="shared" si="18"/>
        <v>62004090420220810244</v>
      </c>
      <c r="B452" s="325">
        <v>620</v>
      </c>
      <c r="C452" s="324">
        <v>409</v>
      </c>
      <c r="D452" s="323" t="s">
        <v>1438</v>
      </c>
      <c r="E452" s="322" t="s">
        <v>1043</v>
      </c>
      <c r="F452" s="339">
        <v>40000000</v>
      </c>
      <c r="G452" s="339">
        <v>17586290</v>
      </c>
      <c r="H452" s="339">
        <v>17586290</v>
      </c>
      <c r="I452" s="353"/>
      <c r="J452" s="354" t="str">
        <f t="shared" si="19"/>
        <v>0409</v>
      </c>
      <c r="K452" s="355" t="str">
        <f t="shared" si="20"/>
        <v>0420220810</v>
      </c>
    </row>
    <row r="453" spans="1:11">
      <c r="A453" s="90" t="str">
        <f t="shared" si="18"/>
        <v>62004090420220830244</v>
      </c>
      <c r="B453" s="371">
        <v>620</v>
      </c>
      <c r="C453" s="372">
        <v>409</v>
      </c>
      <c r="D453" s="373" t="s">
        <v>1439</v>
      </c>
      <c r="E453" s="374" t="s">
        <v>1043</v>
      </c>
      <c r="F453" s="375">
        <v>0</v>
      </c>
      <c r="G453" s="375">
        <v>1350000</v>
      </c>
      <c r="H453" s="375">
        <v>1350000</v>
      </c>
      <c r="I453" s="353"/>
      <c r="J453" s="354" t="str">
        <f t="shared" si="19"/>
        <v>0409</v>
      </c>
      <c r="K453" s="355" t="str">
        <f t="shared" si="20"/>
        <v>0420220830</v>
      </c>
    </row>
    <row r="454" spans="1:11">
      <c r="A454" s="90" t="str">
        <f t="shared" si="18"/>
        <v>62004090420221180414</v>
      </c>
      <c r="B454" s="371">
        <v>620</v>
      </c>
      <c r="C454" s="372">
        <v>409</v>
      </c>
      <c r="D454" s="373" t="s">
        <v>1440</v>
      </c>
      <c r="E454" s="374" t="s">
        <v>1052</v>
      </c>
      <c r="F454" s="375">
        <v>0</v>
      </c>
      <c r="G454" s="375">
        <v>13566600</v>
      </c>
      <c r="H454" s="375">
        <v>13566600</v>
      </c>
      <c r="I454" s="353"/>
      <c r="J454" s="354" t="str">
        <f t="shared" si="19"/>
        <v>0409</v>
      </c>
      <c r="K454" s="355" t="str">
        <f t="shared" si="20"/>
        <v>0420221180</v>
      </c>
    </row>
    <row r="455" spans="1:11">
      <c r="A455" s="90" t="str">
        <f t="shared" si="18"/>
        <v>62004090420260090811</v>
      </c>
      <c r="B455" s="325">
        <v>620</v>
      </c>
      <c r="C455" s="324">
        <v>409</v>
      </c>
      <c r="D455" s="323" t="s">
        <v>1441</v>
      </c>
      <c r="E455" s="322" t="s">
        <v>1050</v>
      </c>
      <c r="F455" s="339">
        <v>20119440</v>
      </c>
      <c r="G455" s="339">
        <v>23087760</v>
      </c>
      <c r="H455" s="339">
        <v>23087760</v>
      </c>
      <c r="I455" s="353"/>
      <c r="J455" s="354" t="str">
        <f t="shared" si="19"/>
        <v>0409</v>
      </c>
      <c r="K455" s="355" t="str">
        <f t="shared" si="20"/>
        <v>0420260090</v>
      </c>
    </row>
    <row r="456" spans="1:11">
      <c r="A456" s="90" t="str">
        <f t="shared" si="18"/>
        <v>62004090420276460244</v>
      </c>
      <c r="B456" s="325">
        <v>620</v>
      </c>
      <c r="C456" s="324">
        <v>409</v>
      </c>
      <c r="D456" s="323" t="s">
        <v>1442</v>
      </c>
      <c r="E456" s="322" t="s">
        <v>1043</v>
      </c>
      <c r="F456" s="339">
        <v>300000000</v>
      </c>
      <c r="G456" s="339">
        <v>0</v>
      </c>
      <c r="H456" s="339">
        <v>0</v>
      </c>
      <c r="I456" s="353"/>
      <c r="J456" s="354" t="str">
        <f t="shared" si="19"/>
        <v>0409</v>
      </c>
      <c r="K456" s="355" t="str">
        <f t="shared" si="20"/>
        <v>0420276460</v>
      </c>
    </row>
    <row r="457" spans="1:11">
      <c r="A457" s="90" t="str">
        <f t="shared" si="18"/>
        <v>620040904202S6460244</v>
      </c>
      <c r="B457" s="325">
        <v>620</v>
      </c>
      <c r="C457" s="324">
        <v>409</v>
      </c>
      <c r="D457" s="323" t="s">
        <v>1229</v>
      </c>
      <c r="E457" s="322" t="s">
        <v>1043</v>
      </c>
      <c r="F457" s="339">
        <v>17460317.460000001</v>
      </c>
      <c r="G457" s="339">
        <v>0</v>
      </c>
      <c r="H457" s="339">
        <v>0</v>
      </c>
      <c r="I457" s="353"/>
      <c r="J457" s="354" t="str">
        <f t="shared" si="19"/>
        <v>0409</v>
      </c>
      <c r="K457" s="355" t="str">
        <f t="shared" si="20"/>
        <v>04202S6460</v>
      </c>
    </row>
    <row r="458" spans="1:11">
      <c r="A458" s="90" t="str">
        <f t="shared" ref="A458:A521" si="21">CONCATENATE(B458,J458,K458,E458)</f>
        <v>620040904202S6470244</v>
      </c>
      <c r="B458" s="325">
        <v>620</v>
      </c>
      <c r="C458" s="324">
        <v>409</v>
      </c>
      <c r="D458" s="323" t="s">
        <v>1230</v>
      </c>
      <c r="E458" s="322" t="s">
        <v>1043</v>
      </c>
      <c r="F458" s="339">
        <v>3282002.25</v>
      </c>
      <c r="G458" s="339">
        <v>0</v>
      </c>
      <c r="H458" s="339">
        <v>0</v>
      </c>
      <c r="I458" s="353"/>
      <c r="J458" s="354" t="str">
        <f t="shared" si="19"/>
        <v>0409</v>
      </c>
      <c r="K458" s="355" t="str">
        <f t="shared" si="20"/>
        <v>04202S6470</v>
      </c>
    </row>
    <row r="459" spans="1:11">
      <c r="A459" s="90" t="str">
        <f t="shared" si="21"/>
        <v>62004090420320570244</v>
      </c>
      <c r="B459" s="325">
        <v>620</v>
      </c>
      <c r="C459" s="324">
        <v>409</v>
      </c>
      <c r="D459" s="323" t="s">
        <v>1443</v>
      </c>
      <c r="E459" s="322" t="s">
        <v>1043</v>
      </c>
      <c r="F459" s="339">
        <v>54580660</v>
      </c>
      <c r="G459" s="339">
        <v>37921910</v>
      </c>
      <c r="H459" s="339">
        <v>37921910</v>
      </c>
      <c r="I459" s="353"/>
      <c r="J459" s="354" t="str">
        <f t="shared" ref="J459:J522" si="22">TEXT(C459,"0000")</f>
        <v>0409</v>
      </c>
      <c r="K459" s="355" t="str">
        <f t="shared" ref="K459:K522" si="23">TEXT(D459,"0000000000")</f>
        <v>0420320570</v>
      </c>
    </row>
    <row r="460" spans="1:11">
      <c r="A460" s="90" t="str">
        <f t="shared" si="21"/>
        <v>62004090420320920244</v>
      </c>
      <c r="B460" s="371">
        <v>620</v>
      </c>
      <c r="C460" s="372">
        <v>409</v>
      </c>
      <c r="D460" s="373" t="s">
        <v>1444</v>
      </c>
      <c r="E460" s="374" t="s">
        <v>1043</v>
      </c>
      <c r="F460" s="375">
        <v>0</v>
      </c>
      <c r="G460" s="375">
        <v>1102700</v>
      </c>
      <c r="H460" s="375">
        <v>1102700</v>
      </c>
      <c r="I460" s="353"/>
      <c r="J460" s="354" t="str">
        <f t="shared" si="22"/>
        <v>0409</v>
      </c>
      <c r="K460" s="355" t="str">
        <f t="shared" si="23"/>
        <v>0420320920</v>
      </c>
    </row>
    <row r="461" spans="1:11">
      <c r="A461" s="90" t="str">
        <f t="shared" si="21"/>
        <v>62004099820020130244</v>
      </c>
      <c r="B461" s="325">
        <v>620</v>
      </c>
      <c r="C461" s="324">
        <v>409</v>
      </c>
      <c r="D461" s="323" t="s">
        <v>1445</v>
      </c>
      <c r="E461" s="322" t="s">
        <v>1043</v>
      </c>
      <c r="F461" s="339">
        <v>195381</v>
      </c>
      <c r="G461" s="339">
        <v>0</v>
      </c>
      <c r="H461" s="339">
        <v>0</v>
      </c>
      <c r="I461" s="353"/>
      <c r="J461" s="354" t="str">
        <f t="shared" si="22"/>
        <v>0409</v>
      </c>
      <c r="K461" s="355" t="str">
        <f t="shared" si="23"/>
        <v>9820020130</v>
      </c>
    </row>
    <row r="462" spans="1:11">
      <c r="A462" s="90" t="str">
        <f t="shared" si="21"/>
        <v>62004099820020130414</v>
      </c>
      <c r="B462" s="325">
        <v>620</v>
      </c>
      <c r="C462" s="324">
        <v>409</v>
      </c>
      <c r="D462" s="323" t="s">
        <v>1445</v>
      </c>
      <c r="E462" s="322" t="s">
        <v>1052</v>
      </c>
      <c r="F462" s="339">
        <v>553442.80000000005</v>
      </c>
      <c r="G462" s="339">
        <v>0</v>
      </c>
      <c r="H462" s="339">
        <v>0</v>
      </c>
      <c r="I462" s="353"/>
      <c r="J462" s="354" t="str">
        <f t="shared" si="22"/>
        <v>0409</v>
      </c>
      <c r="K462" s="355" t="str">
        <f t="shared" si="23"/>
        <v>9820020130</v>
      </c>
    </row>
    <row r="463" spans="1:11">
      <c r="A463" s="90" t="str">
        <f t="shared" si="21"/>
        <v>62004099820020560244</v>
      </c>
      <c r="B463" s="325">
        <v>620</v>
      </c>
      <c r="C463" s="324">
        <v>409</v>
      </c>
      <c r="D463" s="323" t="s">
        <v>1446</v>
      </c>
      <c r="E463" s="322" t="s">
        <v>1043</v>
      </c>
      <c r="F463" s="339">
        <v>31388</v>
      </c>
      <c r="G463" s="339">
        <v>0</v>
      </c>
      <c r="H463" s="339">
        <v>0</v>
      </c>
      <c r="I463" s="353"/>
      <c r="J463" s="354" t="str">
        <f t="shared" si="22"/>
        <v>0409</v>
      </c>
      <c r="K463" s="355" t="str">
        <f t="shared" si="23"/>
        <v>9820020560</v>
      </c>
    </row>
    <row r="464" spans="1:11">
      <c r="A464" s="90" t="str">
        <f t="shared" si="21"/>
        <v>62004099820020570244</v>
      </c>
      <c r="B464" s="325">
        <v>620</v>
      </c>
      <c r="C464" s="324">
        <v>409</v>
      </c>
      <c r="D464" s="323" t="s">
        <v>1447</v>
      </c>
      <c r="E464" s="322" t="s">
        <v>1043</v>
      </c>
      <c r="F464" s="339">
        <v>586316.94999999995</v>
      </c>
      <c r="G464" s="339">
        <v>0</v>
      </c>
      <c r="H464" s="339">
        <v>0</v>
      </c>
      <c r="I464" s="353"/>
      <c r="J464" s="354" t="str">
        <f t="shared" si="22"/>
        <v>0409</v>
      </c>
      <c r="K464" s="355" t="str">
        <f t="shared" si="23"/>
        <v>9820020570</v>
      </c>
    </row>
    <row r="465" spans="1:11">
      <c r="A465" s="90" t="str">
        <f t="shared" si="21"/>
        <v>62004099820060090811</v>
      </c>
      <c r="B465" s="325">
        <v>620</v>
      </c>
      <c r="C465" s="324">
        <v>409</v>
      </c>
      <c r="D465" s="323" t="s">
        <v>1448</v>
      </c>
      <c r="E465" s="322" t="s">
        <v>1050</v>
      </c>
      <c r="F465" s="339">
        <v>992982.96</v>
      </c>
      <c r="G465" s="339">
        <v>0</v>
      </c>
      <c r="H465" s="339">
        <v>0</v>
      </c>
      <c r="I465" s="353"/>
      <c r="J465" s="354" t="str">
        <f t="shared" si="22"/>
        <v>0409</v>
      </c>
      <c r="K465" s="355" t="str">
        <f t="shared" si="23"/>
        <v>9820060090</v>
      </c>
    </row>
    <row r="466" spans="1:11">
      <c r="A466" s="90" t="str">
        <f t="shared" si="21"/>
        <v>620040998200S6470244</v>
      </c>
      <c r="B466" s="325">
        <v>620</v>
      </c>
      <c r="C466" s="324">
        <v>409</v>
      </c>
      <c r="D466" s="323" t="s">
        <v>1231</v>
      </c>
      <c r="E466" s="322" t="s">
        <v>1043</v>
      </c>
      <c r="F466" s="339">
        <v>234824.55</v>
      </c>
      <c r="G466" s="339">
        <v>0</v>
      </c>
      <c r="H466" s="339">
        <v>0</v>
      </c>
      <c r="I466" s="353"/>
      <c r="J466" s="354" t="str">
        <f t="shared" si="22"/>
        <v>0409</v>
      </c>
      <c r="K466" s="355" t="str">
        <f t="shared" si="23"/>
        <v>98200S6470</v>
      </c>
    </row>
    <row r="467" spans="1:11">
      <c r="A467" s="90" t="str">
        <f t="shared" si="21"/>
        <v>62005010410120200244</v>
      </c>
      <c r="B467" s="325">
        <v>620</v>
      </c>
      <c r="C467" s="324">
        <v>501</v>
      </c>
      <c r="D467" s="323" t="s">
        <v>1449</v>
      </c>
      <c r="E467" s="322" t="s">
        <v>1043</v>
      </c>
      <c r="F467" s="339">
        <v>90000</v>
      </c>
      <c r="G467" s="339">
        <v>90000</v>
      </c>
      <c r="H467" s="339">
        <v>90000</v>
      </c>
      <c r="I467" s="353"/>
      <c r="J467" s="354" t="str">
        <f t="shared" si="22"/>
        <v>0501</v>
      </c>
      <c r="K467" s="355" t="str">
        <f t="shared" si="23"/>
        <v>0410120200</v>
      </c>
    </row>
    <row r="468" spans="1:11">
      <c r="A468" s="90" t="str">
        <f t="shared" si="21"/>
        <v>62005018320020200412</v>
      </c>
      <c r="B468" s="325">
        <v>620</v>
      </c>
      <c r="C468" s="324">
        <v>501</v>
      </c>
      <c r="D468" s="323" t="s">
        <v>1450</v>
      </c>
      <c r="E468" s="322" t="s">
        <v>1151</v>
      </c>
      <c r="F468" s="339">
        <v>3206441.29</v>
      </c>
      <c r="G468" s="339">
        <v>0</v>
      </c>
      <c r="H468" s="339">
        <v>0</v>
      </c>
      <c r="I468" s="353"/>
      <c r="J468" s="354" t="str">
        <f t="shared" si="22"/>
        <v>0501</v>
      </c>
      <c r="K468" s="355" t="str">
        <f t="shared" si="23"/>
        <v>8320020200</v>
      </c>
    </row>
    <row r="469" spans="1:11">
      <c r="A469" s="90" t="str">
        <f t="shared" si="21"/>
        <v>62005019820021310853</v>
      </c>
      <c r="B469" s="325">
        <v>620</v>
      </c>
      <c r="C469" s="324">
        <v>501</v>
      </c>
      <c r="D469" s="323" t="s">
        <v>1451</v>
      </c>
      <c r="E469" s="322" t="s">
        <v>1066</v>
      </c>
      <c r="F469" s="339">
        <v>839021.26</v>
      </c>
      <c r="G469" s="339">
        <v>0</v>
      </c>
      <c r="H469" s="339">
        <v>0</v>
      </c>
      <c r="I469" s="353"/>
      <c r="J469" s="354" t="str">
        <f t="shared" si="22"/>
        <v>0501</v>
      </c>
      <c r="K469" s="355" t="str">
        <f t="shared" si="23"/>
        <v>9820021310</v>
      </c>
    </row>
    <row r="470" spans="1:11">
      <c r="A470" s="90" t="str">
        <f t="shared" si="21"/>
        <v>62005019820021320853</v>
      </c>
      <c r="B470" s="325">
        <v>620</v>
      </c>
      <c r="C470" s="324">
        <v>501</v>
      </c>
      <c r="D470" s="323" t="s">
        <v>1452</v>
      </c>
      <c r="E470" s="322" t="s">
        <v>1066</v>
      </c>
      <c r="F470" s="339">
        <v>736298.02</v>
      </c>
      <c r="G470" s="339">
        <v>0</v>
      </c>
      <c r="H470" s="339">
        <v>0</v>
      </c>
      <c r="I470" s="353"/>
      <c r="J470" s="354" t="str">
        <f t="shared" si="22"/>
        <v>0501</v>
      </c>
      <c r="K470" s="355" t="str">
        <f t="shared" si="23"/>
        <v>9820021320</v>
      </c>
    </row>
    <row r="471" spans="1:11">
      <c r="A471" s="90" t="str">
        <f t="shared" si="21"/>
        <v>62005019820076910412</v>
      </c>
      <c r="B471" s="325">
        <v>620</v>
      </c>
      <c r="C471" s="324">
        <v>501</v>
      </c>
      <c r="D471" s="323" t="s">
        <v>1453</v>
      </c>
      <c r="E471" s="322" t="s">
        <v>1151</v>
      </c>
      <c r="F471" s="339">
        <v>6641700</v>
      </c>
      <c r="G471" s="339">
        <v>0</v>
      </c>
      <c r="H471" s="339">
        <v>0</v>
      </c>
      <c r="I471" s="353"/>
      <c r="J471" s="354" t="str">
        <f t="shared" si="22"/>
        <v>0501</v>
      </c>
      <c r="K471" s="355" t="str">
        <f t="shared" si="23"/>
        <v>9820076910</v>
      </c>
    </row>
    <row r="472" spans="1:11">
      <c r="A472" s="90" t="str">
        <f t="shared" si="21"/>
        <v>620050198200S6910412</v>
      </c>
      <c r="B472" s="325">
        <v>620</v>
      </c>
      <c r="C472" s="324">
        <v>501</v>
      </c>
      <c r="D472" s="323" t="s">
        <v>1232</v>
      </c>
      <c r="E472" s="322" t="s">
        <v>1151</v>
      </c>
      <c r="F472" s="339">
        <v>2213900</v>
      </c>
      <c r="G472" s="339">
        <v>0</v>
      </c>
      <c r="H472" s="339">
        <v>0</v>
      </c>
      <c r="I472" s="353"/>
      <c r="J472" s="354" t="str">
        <f t="shared" si="22"/>
        <v>0501</v>
      </c>
      <c r="K472" s="355" t="str">
        <f t="shared" si="23"/>
        <v>98200S6910</v>
      </c>
    </row>
    <row r="473" spans="1:11">
      <c r="A473" s="90" t="str">
        <f t="shared" si="21"/>
        <v>62005020410220220244</v>
      </c>
      <c r="B473" s="325">
        <v>620</v>
      </c>
      <c r="C473" s="324">
        <v>502</v>
      </c>
      <c r="D473" s="323" t="s">
        <v>1454</v>
      </c>
      <c r="E473" s="322" t="s">
        <v>1043</v>
      </c>
      <c r="F473" s="339">
        <v>20000</v>
      </c>
      <c r="G473" s="339">
        <v>20000</v>
      </c>
      <c r="H473" s="339">
        <v>20000</v>
      </c>
      <c r="I473" s="353"/>
      <c r="J473" s="354" t="str">
        <f t="shared" si="22"/>
        <v>0502</v>
      </c>
      <c r="K473" s="355" t="str">
        <f t="shared" si="23"/>
        <v>0410220220</v>
      </c>
    </row>
    <row r="474" spans="1:11">
      <c r="A474" s="90" t="str">
        <f t="shared" si="21"/>
        <v>62005030430220290244</v>
      </c>
      <c r="B474" s="325">
        <v>620</v>
      </c>
      <c r="C474" s="324">
        <v>503</v>
      </c>
      <c r="D474" s="323" t="s">
        <v>1455</v>
      </c>
      <c r="E474" s="322" t="s">
        <v>1043</v>
      </c>
      <c r="F474" s="339">
        <v>19081259.739999998</v>
      </c>
      <c r="G474" s="339">
        <v>14107150</v>
      </c>
      <c r="H474" s="339">
        <v>14107150</v>
      </c>
      <c r="I474" s="353"/>
      <c r="J474" s="354" t="str">
        <f t="shared" si="22"/>
        <v>0503</v>
      </c>
      <c r="K474" s="355" t="str">
        <f t="shared" si="23"/>
        <v>0430220290</v>
      </c>
    </row>
    <row r="475" spans="1:11">
      <c r="A475" s="90" t="str">
        <f t="shared" si="21"/>
        <v>62005030430220290414</v>
      </c>
      <c r="B475" s="325">
        <v>620</v>
      </c>
      <c r="C475" s="324">
        <v>503</v>
      </c>
      <c r="D475" s="323" t="s">
        <v>1455</v>
      </c>
      <c r="E475" s="322" t="s">
        <v>1052</v>
      </c>
      <c r="F475" s="339">
        <v>10000000</v>
      </c>
      <c r="G475" s="339">
        <v>0</v>
      </c>
      <c r="H475" s="339">
        <v>0</v>
      </c>
      <c r="I475" s="353"/>
      <c r="J475" s="354" t="str">
        <f t="shared" si="22"/>
        <v>0503</v>
      </c>
      <c r="K475" s="355" t="str">
        <f t="shared" si="23"/>
        <v>0430220290</v>
      </c>
    </row>
    <row r="476" spans="1:11">
      <c r="A476" s="90" t="str">
        <f t="shared" si="21"/>
        <v>62005030430377150244</v>
      </c>
      <c r="B476" s="325">
        <v>620</v>
      </c>
      <c r="C476" s="324">
        <v>503</v>
      </c>
      <c r="D476" s="323" t="s">
        <v>1456</v>
      </c>
      <c r="E476" s="322" t="s">
        <v>1043</v>
      </c>
      <c r="F476" s="339">
        <v>2284560</v>
      </c>
      <c r="G476" s="339">
        <v>2284560</v>
      </c>
      <c r="H476" s="339">
        <v>2284560</v>
      </c>
      <c r="I476" s="353"/>
      <c r="J476" s="354" t="str">
        <f t="shared" si="22"/>
        <v>0503</v>
      </c>
      <c r="K476" s="355" t="str">
        <f t="shared" si="23"/>
        <v>0430377150</v>
      </c>
    </row>
    <row r="477" spans="1:11">
      <c r="A477" s="90" t="str">
        <f t="shared" si="21"/>
        <v>62005030430411010611</v>
      </c>
      <c r="B477" s="325">
        <v>620</v>
      </c>
      <c r="C477" s="324">
        <v>503</v>
      </c>
      <c r="D477" s="323" t="s">
        <v>1457</v>
      </c>
      <c r="E477" s="322" t="s">
        <v>67</v>
      </c>
      <c r="F477" s="339">
        <v>10982050</v>
      </c>
      <c r="G477" s="339">
        <v>10984230</v>
      </c>
      <c r="H477" s="339">
        <v>10984230</v>
      </c>
      <c r="I477" s="353"/>
      <c r="J477" s="354" t="str">
        <f t="shared" si="22"/>
        <v>0503</v>
      </c>
      <c r="K477" s="355" t="str">
        <f t="shared" si="23"/>
        <v>0430411010</v>
      </c>
    </row>
    <row r="478" spans="1:11">
      <c r="A478" s="90" t="str">
        <f t="shared" si="21"/>
        <v>62005030430420280244</v>
      </c>
      <c r="B478" s="325">
        <v>620</v>
      </c>
      <c r="C478" s="324">
        <v>503</v>
      </c>
      <c r="D478" s="323" t="s">
        <v>1458</v>
      </c>
      <c r="E478" s="322" t="s">
        <v>1043</v>
      </c>
      <c r="F478" s="339">
        <v>109804480</v>
      </c>
      <c r="G478" s="339">
        <v>105492620</v>
      </c>
      <c r="H478" s="339">
        <v>105492620</v>
      </c>
      <c r="I478" s="353"/>
      <c r="J478" s="354" t="str">
        <f t="shared" si="22"/>
        <v>0503</v>
      </c>
      <c r="K478" s="355" t="str">
        <f t="shared" si="23"/>
        <v>0430420280</v>
      </c>
    </row>
    <row r="479" spans="1:11">
      <c r="A479" s="90" t="str">
        <f t="shared" si="21"/>
        <v>62005030430420300244</v>
      </c>
      <c r="B479" s="325">
        <v>620</v>
      </c>
      <c r="C479" s="324">
        <v>503</v>
      </c>
      <c r="D479" s="323" t="s">
        <v>1344</v>
      </c>
      <c r="E479" s="322" t="s">
        <v>1043</v>
      </c>
      <c r="F479" s="339">
        <v>19955030</v>
      </c>
      <c r="G479" s="339">
        <v>19255340</v>
      </c>
      <c r="H479" s="339">
        <v>19255340</v>
      </c>
      <c r="I479" s="353"/>
      <c r="J479" s="354" t="str">
        <f t="shared" si="22"/>
        <v>0503</v>
      </c>
      <c r="K479" s="355" t="str">
        <f t="shared" si="23"/>
        <v>0430420300</v>
      </c>
    </row>
    <row r="480" spans="1:11">
      <c r="A480" s="90" t="str">
        <f t="shared" si="21"/>
        <v>62005030430420300414</v>
      </c>
      <c r="B480" s="325">
        <v>620</v>
      </c>
      <c r="C480" s="324">
        <v>503</v>
      </c>
      <c r="D480" s="323" t="s">
        <v>1344</v>
      </c>
      <c r="E480" s="322" t="s">
        <v>1052</v>
      </c>
      <c r="F480" s="339">
        <v>1607640</v>
      </c>
      <c r="G480" s="339">
        <v>0</v>
      </c>
      <c r="H480" s="339">
        <v>0</v>
      </c>
      <c r="I480" s="353"/>
      <c r="J480" s="354" t="str">
        <f t="shared" si="22"/>
        <v>0503</v>
      </c>
      <c r="K480" s="355" t="str">
        <f t="shared" si="23"/>
        <v>0430420300</v>
      </c>
    </row>
    <row r="481" spans="1:11">
      <c r="A481" s="90" t="str">
        <f t="shared" si="21"/>
        <v>62005030430420300880</v>
      </c>
      <c r="B481" s="371">
        <v>620</v>
      </c>
      <c r="C481" s="372">
        <v>503</v>
      </c>
      <c r="D481" s="373" t="s">
        <v>1344</v>
      </c>
      <c r="E481" s="374" t="s">
        <v>105</v>
      </c>
      <c r="F481" s="375">
        <v>0</v>
      </c>
      <c r="G481" s="375">
        <v>150000</v>
      </c>
      <c r="H481" s="375">
        <v>150000</v>
      </c>
      <c r="I481" s="353"/>
      <c r="J481" s="354" t="str">
        <f t="shared" si="22"/>
        <v>0503</v>
      </c>
      <c r="K481" s="355" t="str">
        <f t="shared" si="23"/>
        <v>0430420300</v>
      </c>
    </row>
    <row r="482" spans="1:11">
      <c r="A482" s="90" t="str">
        <f t="shared" si="21"/>
        <v>62005030430420780244</v>
      </c>
      <c r="B482" s="325">
        <v>620</v>
      </c>
      <c r="C482" s="324">
        <v>503</v>
      </c>
      <c r="D482" s="323" t="s">
        <v>1459</v>
      </c>
      <c r="E482" s="322" t="s">
        <v>1043</v>
      </c>
      <c r="F482" s="339">
        <v>25550000</v>
      </c>
      <c r="G482" s="339">
        <v>42159690</v>
      </c>
      <c r="H482" s="339">
        <v>42159690</v>
      </c>
      <c r="I482" s="353"/>
      <c r="J482" s="354" t="str">
        <f t="shared" si="22"/>
        <v>0503</v>
      </c>
      <c r="K482" s="355" t="str">
        <f t="shared" si="23"/>
        <v>0430420780</v>
      </c>
    </row>
    <row r="483" spans="1:11">
      <c r="A483" s="90" t="str">
        <f t="shared" si="21"/>
        <v>62005030430420790244</v>
      </c>
      <c r="B483" s="325">
        <v>620</v>
      </c>
      <c r="C483" s="324">
        <v>503</v>
      </c>
      <c r="D483" s="323" t="s">
        <v>1460</v>
      </c>
      <c r="E483" s="322" t="s">
        <v>1043</v>
      </c>
      <c r="F483" s="339">
        <v>36909760</v>
      </c>
      <c r="G483" s="339">
        <v>14838060</v>
      </c>
      <c r="H483" s="339">
        <v>14838060</v>
      </c>
      <c r="I483" s="353"/>
      <c r="J483" s="354" t="str">
        <f t="shared" si="22"/>
        <v>0503</v>
      </c>
      <c r="K483" s="355" t="str">
        <f t="shared" si="23"/>
        <v>0430420790</v>
      </c>
    </row>
    <row r="484" spans="1:11">
      <c r="A484" s="90" t="str">
        <f t="shared" si="21"/>
        <v>620050304304L5550244</v>
      </c>
      <c r="B484" s="325">
        <v>620</v>
      </c>
      <c r="C484" s="324">
        <v>503</v>
      </c>
      <c r="D484" s="323" t="s">
        <v>1233</v>
      </c>
      <c r="E484" s="322" t="s">
        <v>1043</v>
      </c>
      <c r="F484" s="339">
        <v>5238095.24</v>
      </c>
      <c r="G484" s="339">
        <v>0</v>
      </c>
      <c r="H484" s="339">
        <v>0</v>
      </c>
      <c r="I484" s="353"/>
      <c r="J484" s="354" t="str">
        <f t="shared" si="22"/>
        <v>0503</v>
      </c>
      <c r="K484" s="355" t="str">
        <f t="shared" si="23"/>
        <v>04304L5550</v>
      </c>
    </row>
    <row r="485" spans="1:11">
      <c r="A485" s="90" t="str">
        <f t="shared" si="21"/>
        <v>620050317Б0220490244</v>
      </c>
      <c r="B485" s="325">
        <v>620</v>
      </c>
      <c r="C485" s="324">
        <v>503</v>
      </c>
      <c r="D485" s="323" t="s">
        <v>1235</v>
      </c>
      <c r="E485" s="322" t="s">
        <v>1043</v>
      </c>
      <c r="F485" s="339">
        <v>3761680</v>
      </c>
      <c r="G485" s="339">
        <v>3385520</v>
      </c>
      <c r="H485" s="339">
        <v>3385520</v>
      </c>
      <c r="I485" s="353"/>
      <c r="J485" s="354" t="str">
        <f t="shared" si="22"/>
        <v>0503</v>
      </c>
      <c r="K485" s="355" t="str">
        <f t="shared" si="23"/>
        <v>17Б0220490</v>
      </c>
    </row>
    <row r="486" spans="1:11">
      <c r="A486" s="90" t="str">
        <f t="shared" si="21"/>
        <v>62005038320020780244</v>
      </c>
      <c r="B486" s="325">
        <v>620</v>
      </c>
      <c r="C486" s="324">
        <v>503</v>
      </c>
      <c r="D486" s="323" t="s">
        <v>1461</v>
      </c>
      <c r="E486" s="322" t="s">
        <v>1043</v>
      </c>
      <c r="F486" s="339">
        <v>2467085</v>
      </c>
      <c r="G486" s="339">
        <v>0</v>
      </c>
      <c r="H486" s="339">
        <v>0</v>
      </c>
      <c r="I486" s="353"/>
      <c r="J486" s="354" t="str">
        <f t="shared" si="22"/>
        <v>0503</v>
      </c>
      <c r="K486" s="355" t="str">
        <f t="shared" si="23"/>
        <v>8320020780</v>
      </c>
    </row>
    <row r="487" spans="1:11">
      <c r="A487" s="90" t="str">
        <f t="shared" si="21"/>
        <v>62005039820020280414</v>
      </c>
      <c r="B487" s="325">
        <v>620</v>
      </c>
      <c r="C487" s="324">
        <v>503</v>
      </c>
      <c r="D487" s="323" t="s">
        <v>1462</v>
      </c>
      <c r="E487" s="322" t="s">
        <v>1052</v>
      </c>
      <c r="F487" s="339">
        <v>145940.81</v>
      </c>
      <c r="G487" s="339">
        <v>0</v>
      </c>
      <c r="H487" s="339">
        <v>0</v>
      </c>
      <c r="I487" s="353"/>
      <c r="J487" s="354" t="str">
        <f t="shared" si="22"/>
        <v>0503</v>
      </c>
      <c r="K487" s="355" t="str">
        <f t="shared" si="23"/>
        <v>9820020280</v>
      </c>
    </row>
    <row r="488" spans="1:11">
      <c r="A488" s="90" t="str">
        <f t="shared" si="21"/>
        <v>62005039820020290244</v>
      </c>
      <c r="B488" s="325">
        <v>620</v>
      </c>
      <c r="C488" s="324">
        <v>503</v>
      </c>
      <c r="D488" s="323" t="s">
        <v>1463</v>
      </c>
      <c r="E488" s="322" t="s">
        <v>1043</v>
      </c>
      <c r="F488" s="339">
        <v>190011.29</v>
      </c>
      <c r="G488" s="339">
        <v>0</v>
      </c>
      <c r="H488" s="339">
        <v>0</v>
      </c>
      <c r="I488" s="353"/>
      <c r="J488" s="354" t="str">
        <f t="shared" si="22"/>
        <v>0503</v>
      </c>
      <c r="K488" s="355" t="str">
        <f t="shared" si="23"/>
        <v>9820020290</v>
      </c>
    </row>
    <row r="489" spans="1:11">
      <c r="A489" s="90" t="str">
        <f t="shared" si="21"/>
        <v>62005039820020300244</v>
      </c>
      <c r="B489" s="325">
        <v>620</v>
      </c>
      <c r="C489" s="324">
        <v>503</v>
      </c>
      <c r="D489" s="323" t="s">
        <v>1464</v>
      </c>
      <c r="E489" s="322" t="s">
        <v>1043</v>
      </c>
      <c r="F489" s="339">
        <v>543651.97</v>
      </c>
      <c r="G489" s="339">
        <v>0</v>
      </c>
      <c r="H489" s="339">
        <v>0</v>
      </c>
      <c r="I489" s="353"/>
      <c r="J489" s="354" t="str">
        <f t="shared" si="22"/>
        <v>0503</v>
      </c>
      <c r="K489" s="355" t="str">
        <f t="shared" si="23"/>
        <v>9820020300</v>
      </c>
    </row>
    <row r="490" spans="1:11">
      <c r="A490" s="90" t="str">
        <f t="shared" si="21"/>
        <v>62005039820020300414</v>
      </c>
      <c r="B490" s="325">
        <v>620</v>
      </c>
      <c r="C490" s="324">
        <v>503</v>
      </c>
      <c r="D490" s="323" t="s">
        <v>1464</v>
      </c>
      <c r="E490" s="322" t="s">
        <v>1052</v>
      </c>
      <c r="F490" s="339">
        <v>643933.99</v>
      </c>
      <c r="G490" s="339">
        <v>0</v>
      </c>
      <c r="H490" s="339">
        <v>0</v>
      </c>
      <c r="I490" s="353"/>
      <c r="J490" s="354" t="str">
        <f t="shared" si="22"/>
        <v>0503</v>
      </c>
      <c r="K490" s="355" t="str">
        <f t="shared" si="23"/>
        <v>9820020300</v>
      </c>
    </row>
    <row r="491" spans="1:11">
      <c r="A491" s="90" t="str">
        <f t="shared" si="21"/>
        <v>62005039820020780244</v>
      </c>
      <c r="B491" s="325">
        <v>620</v>
      </c>
      <c r="C491" s="324">
        <v>503</v>
      </c>
      <c r="D491" s="323" t="s">
        <v>1465</v>
      </c>
      <c r="E491" s="322" t="s">
        <v>1043</v>
      </c>
      <c r="F491" s="339">
        <v>138871</v>
      </c>
      <c r="G491" s="339">
        <v>0</v>
      </c>
      <c r="H491" s="339">
        <v>0</v>
      </c>
      <c r="I491" s="353"/>
      <c r="J491" s="354" t="str">
        <f t="shared" si="22"/>
        <v>0503</v>
      </c>
      <c r="K491" s="355" t="str">
        <f t="shared" si="23"/>
        <v>9820020780</v>
      </c>
    </row>
    <row r="492" spans="1:11">
      <c r="A492" s="90" t="str">
        <f t="shared" si="21"/>
        <v>620050519Б0109602244</v>
      </c>
      <c r="B492" s="325">
        <v>620</v>
      </c>
      <c r="C492" s="324">
        <v>505</v>
      </c>
      <c r="D492" s="323" t="s">
        <v>1238</v>
      </c>
      <c r="E492" s="322" t="s">
        <v>1043</v>
      </c>
      <c r="F492" s="339">
        <v>1100000</v>
      </c>
      <c r="G492" s="339">
        <v>0</v>
      </c>
      <c r="H492" s="339">
        <v>0</v>
      </c>
      <c r="I492" s="353"/>
      <c r="J492" s="354" t="str">
        <f t="shared" si="22"/>
        <v>0505</v>
      </c>
      <c r="K492" s="355" t="str">
        <f t="shared" si="23"/>
        <v>19Б0109602</v>
      </c>
    </row>
    <row r="493" spans="1:11">
      <c r="A493" s="90" t="str">
        <f t="shared" si="21"/>
        <v>62005058310010010122</v>
      </c>
      <c r="B493" s="325">
        <v>620</v>
      </c>
      <c r="C493" s="324">
        <v>505</v>
      </c>
      <c r="D493" s="323" t="s">
        <v>1430</v>
      </c>
      <c r="E493" s="322" t="s">
        <v>1059</v>
      </c>
      <c r="F493" s="339">
        <v>1082900</v>
      </c>
      <c r="G493" s="339">
        <v>1082900</v>
      </c>
      <c r="H493" s="339">
        <v>1082900</v>
      </c>
      <c r="I493" s="353"/>
      <c r="J493" s="354" t="str">
        <f t="shared" si="22"/>
        <v>0505</v>
      </c>
      <c r="K493" s="355" t="str">
        <f t="shared" si="23"/>
        <v>8310010010</v>
      </c>
    </row>
    <row r="494" spans="1:11">
      <c r="A494" s="90" t="str">
        <f t="shared" si="21"/>
        <v>62005058310010010129</v>
      </c>
      <c r="B494" s="325">
        <v>620</v>
      </c>
      <c r="C494" s="324">
        <v>505</v>
      </c>
      <c r="D494" s="323" t="s">
        <v>1430</v>
      </c>
      <c r="E494" s="322" t="s">
        <v>1060</v>
      </c>
      <c r="F494" s="339">
        <v>327000</v>
      </c>
      <c r="G494" s="339">
        <v>327000</v>
      </c>
      <c r="H494" s="339">
        <v>327000</v>
      </c>
      <c r="I494" s="353"/>
      <c r="J494" s="354" t="str">
        <f t="shared" si="22"/>
        <v>0505</v>
      </c>
      <c r="K494" s="355" t="str">
        <f t="shared" si="23"/>
        <v>8310010010</v>
      </c>
    </row>
    <row r="495" spans="1:11">
      <c r="A495" s="90" t="str">
        <f t="shared" si="21"/>
        <v>62005058310010010244</v>
      </c>
      <c r="B495" s="325">
        <v>620</v>
      </c>
      <c r="C495" s="324">
        <v>505</v>
      </c>
      <c r="D495" s="323" t="s">
        <v>1430</v>
      </c>
      <c r="E495" s="322" t="s">
        <v>1043</v>
      </c>
      <c r="F495" s="339">
        <v>5665515.0499999998</v>
      </c>
      <c r="G495" s="339">
        <v>5619370</v>
      </c>
      <c r="H495" s="339">
        <v>5619370</v>
      </c>
      <c r="I495" s="353"/>
      <c r="J495" s="354" t="str">
        <f t="shared" si="22"/>
        <v>0505</v>
      </c>
      <c r="K495" s="355" t="str">
        <f t="shared" si="23"/>
        <v>8310010010</v>
      </c>
    </row>
    <row r="496" spans="1:11">
      <c r="A496" s="90" t="str">
        <f t="shared" si="21"/>
        <v>62005058310010010851</v>
      </c>
      <c r="B496" s="325">
        <v>620</v>
      </c>
      <c r="C496" s="324">
        <v>505</v>
      </c>
      <c r="D496" s="323" t="s">
        <v>1430</v>
      </c>
      <c r="E496" s="322" t="s">
        <v>1061</v>
      </c>
      <c r="F496" s="339">
        <v>69000</v>
      </c>
      <c r="G496" s="339">
        <v>69000</v>
      </c>
      <c r="H496" s="339">
        <v>69000</v>
      </c>
      <c r="I496" s="353"/>
      <c r="J496" s="354" t="str">
        <f t="shared" si="22"/>
        <v>0505</v>
      </c>
      <c r="K496" s="355" t="str">
        <f t="shared" si="23"/>
        <v>8310010010</v>
      </c>
    </row>
    <row r="497" spans="1:11">
      <c r="A497" s="90" t="str">
        <f t="shared" si="21"/>
        <v>62005058310010010852</v>
      </c>
      <c r="B497" s="325">
        <v>620</v>
      </c>
      <c r="C497" s="324">
        <v>505</v>
      </c>
      <c r="D497" s="323" t="s">
        <v>1430</v>
      </c>
      <c r="E497" s="322" t="s">
        <v>1062</v>
      </c>
      <c r="F497" s="339">
        <v>33999.699999999997</v>
      </c>
      <c r="G497" s="339">
        <v>40000</v>
      </c>
      <c r="H497" s="339">
        <v>40000</v>
      </c>
      <c r="I497" s="353"/>
      <c r="J497" s="354" t="str">
        <f t="shared" si="22"/>
        <v>0505</v>
      </c>
      <c r="K497" s="355" t="str">
        <f t="shared" si="23"/>
        <v>8310010010</v>
      </c>
    </row>
    <row r="498" spans="1:11">
      <c r="A498" s="90" t="str">
        <f t="shared" si="21"/>
        <v>62005058310010010853</v>
      </c>
      <c r="B498" s="325">
        <v>620</v>
      </c>
      <c r="C498" s="324">
        <v>505</v>
      </c>
      <c r="D498" s="323" t="s">
        <v>1430</v>
      </c>
      <c r="E498" s="322" t="s">
        <v>1066</v>
      </c>
      <c r="F498" s="339">
        <v>6000.3</v>
      </c>
      <c r="G498" s="339">
        <v>0</v>
      </c>
      <c r="H498" s="339">
        <v>0</v>
      </c>
      <c r="I498" s="353"/>
      <c r="J498" s="354" t="str">
        <f t="shared" si="22"/>
        <v>0505</v>
      </c>
      <c r="K498" s="355" t="str">
        <f t="shared" si="23"/>
        <v>8310010010</v>
      </c>
    </row>
    <row r="499" spans="1:11">
      <c r="A499" s="90" t="str">
        <f t="shared" si="21"/>
        <v>62005058310010020121</v>
      </c>
      <c r="B499" s="325">
        <v>620</v>
      </c>
      <c r="C499" s="324">
        <v>505</v>
      </c>
      <c r="D499" s="323" t="s">
        <v>1466</v>
      </c>
      <c r="E499" s="322" t="s">
        <v>1063</v>
      </c>
      <c r="F499" s="339">
        <v>37631920</v>
      </c>
      <c r="G499" s="339">
        <v>37631920</v>
      </c>
      <c r="H499" s="339">
        <v>37631920</v>
      </c>
      <c r="I499" s="353"/>
      <c r="J499" s="354" t="str">
        <f t="shared" si="22"/>
        <v>0505</v>
      </c>
      <c r="K499" s="355" t="str">
        <f t="shared" si="23"/>
        <v>8310010020</v>
      </c>
    </row>
    <row r="500" spans="1:11">
      <c r="A500" s="90" t="str">
        <f t="shared" si="21"/>
        <v>62005058310010020129</v>
      </c>
      <c r="B500" s="325">
        <v>620</v>
      </c>
      <c r="C500" s="324">
        <v>505</v>
      </c>
      <c r="D500" s="323" t="s">
        <v>1466</v>
      </c>
      <c r="E500" s="322" t="s">
        <v>1060</v>
      </c>
      <c r="F500" s="339">
        <v>10814364</v>
      </c>
      <c r="G500" s="339">
        <v>11364840</v>
      </c>
      <c r="H500" s="339">
        <v>11364840</v>
      </c>
      <c r="I500" s="353"/>
      <c r="J500" s="354" t="str">
        <f t="shared" si="22"/>
        <v>0505</v>
      </c>
      <c r="K500" s="355" t="str">
        <f t="shared" si="23"/>
        <v>8310010020</v>
      </c>
    </row>
    <row r="501" spans="1:11">
      <c r="A501" s="90" t="str">
        <f t="shared" si="21"/>
        <v>62005058320020950244</v>
      </c>
      <c r="B501" s="325">
        <v>620</v>
      </c>
      <c r="C501" s="324">
        <v>505</v>
      </c>
      <c r="D501" s="323" t="s">
        <v>1467</v>
      </c>
      <c r="E501" s="322" t="s">
        <v>1043</v>
      </c>
      <c r="F501" s="339">
        <v>19014.84</v>
      </c>
      <c r="G501" s="339">
        <v>0</v>
      </c>
      <c r="H501" s="339">
        <v>0</v>
      </c>
      <c r="I501" s="353"/>
      <c r="J501" s="354" t="str">
        <f t="shared" si="22"/>
        <v>0505</v>
      </c>
      <c r="K501" s="355" t="str">
        <f t="shared" si="23"/>
        <v>8320020950</v>
      </c>
    </row>
    <row r="502" spans="1:11">
      <c r="A502" s="90" t="str">
        <f t="shared" si="21"/>
        <v>62005058320021120244</v>
      </c>
      <c r="B502" s="325">
        <v>620</v>
      </c>
      <c r="C502" s="324">
        <v>505</v>
      </c>
      <c r="D502" s="323" t="s">
        <v>1468</v>
      </c>
      <c r="E502" s="322" t="s">
        <v>1043</v>
      </c>
      <c r="F502" s="339">
        <v>15670.26</v>
      </c>
      <c r="G502" s="339">
        <v>0</v>
      </c>
      <c r="H502" s="339">
        <v>0</v>
      </c>
      <c r="I502" s="353"/>
      <c r="J502" s="354" t="str">
        <f t="shared" si="22"/>
        <v>0505</v>
      </c>
      <c r="K502" s="355" t="str">
        <f t="shared" si="23"/>
        <v>8320021120</v>
      </c>
    </row>
    <row r="503" spans="1:11">
      <c r="A503" s="90" t="str">
        <f t="shared" si="21"/>
        <v>62010030320380020811</v>
      </c>
      <c r="B503" s="325">
        <v>620</v>
      </c>
      <c r="C503" s="324">
        <v>1003</v>
      </c>
      <c r="D503" s="323" t="s">
        <v>1469</v>
      </c>
      <c r="E503" s="322" t="s">
        <v>1050</v>
      </c>
      <c r="F503" s="339">
        <v>2757000</v>
      </c>
      <c r="G503" s="339">
        <v>2109260</v>
      </c>
      <c r="H503" s="339">
        <v>2109260</v>
      </c>
      <c r="I503" s="353"/>
      <c r="J503" s="354" t="str">
        <f t="shared" si="22"/>
        <v>1003</v>
      </c>
      <c r="K503" s="355" t="str">
        <f t="shared" si="23"/>
        <v>0320380020</v>
      </c>
    </row>
    <row r="504" spans="1:11">
      <c r="A504" s="90" t="str">
        <f t="shared" si="21"/>
        <v>62010030320480220812</v>
      </c>
      <c r="B504" s="325">
        <v>620</v>
      </c>
      <c r="C504" s="324">
        <v>1003</v>
      </c>
      <c r="D504" s="323" t="s">
        <v>1470</v>
      </c>
      <c r="E504" s="322" t="s">
        <v>1051</v>
      </c>
      <c r="F504" s="339">
        <v>28762230</v>
      </c>
      <c r="G504" s="339">
        <v>27870720</v>
      </c>
      <c r="H504" s="339">
        <v>27870720</v>
      </c>
      <c r="I504" s="353"/>
      <c r="J504" s="354" t="str">
        <f t="shared" si="22"/>
        <v>1003</v>
      </c>
      <c r="K504" s="355" t="str">
        <f t="shared" si="23"/>
        <v>0320480220</v>
      </c>
    </row>
    <row r="505" spans="1:11">
      <c r="A505" s="90" t="str">
        <f t="shared" si="21"/>
        <v>620100306Б01L0200322</v>
      </c>
      <c r="B505" s="325">
        <v>620</v>
      </c>
      <c r="C505" s="324">
        <v>1003</v>
      </c>
      <c r="D505" s="323" t="s">
        <v>1241</v>
      </c>
      <c r="E505" s="322" t="s">
        <v>1053</v>
      </c>
      <c r="F505" s="339">
        <v>3160700</v>
      </c>
      <c r="G505" s="339">
        <v>2604630</v>
      </c>
      <c r="H505" s="339">
        <v>2604630</v>
      </c>
      <c r="I505" s="353"/>
      <c r="J505" s="354" t="str">
        <f t="shared" si="22"/>
        <v>1003</v>
      </c>
      <c r="K505" s="355" t="str">
        <f t="shared" si="23"/>
        <v>06Б01L0200</v>
      </c>
    </row>
    <row r="506" spans="1:11">
      <c r="A506" s="90" t="str">
        <f t="shared" si="21"/>
        <v>62010039820080020811</v>
      </c>
      <c r="B506" s="325">
        <v>620</v>
      </c>
      <c r="C506" s="324">
        <v>1003</v>
      </c>
      <c r="D506" s="323" t="s">
        <v>1471</v>
      </c>
      <c r="E506" s="322" t="s">
        <v>1050</v>
      </c>
      <c r="F506" s="339">
        <v>19120.48</v>
      </c>
      <c r="G506" s="339">
        <v>0</v>
      </c>
      <c r="H506" s="339">
        <v>0</v>
      </c>
      <c r="I506" s="353"/>
      <c r="J506" s="354" t="str">
        <f t="shared" si="22"/>
        <v>1003</v>
      </c>
      <c r="K506" s="355" t="str">
        <f t="shared" si="23"/>
        <v>9820080020</v>
      </c>
    </row>
    <row r="507" spans="1:11">
      <c r="A507" s="90" t="str">
        <f t="shared" si="21"/>
        <v>62101131410220630244</v>
      </c>
      <c r="B507" s="325">
        <v>621</v>
      </c>
      <c r="C507" s="324">
        <v>113</v>
      </c>
      <c r="D507" s="323" t="s">
        <v>1275</v>
      </c>
      <c r="E507" s="322" t="s">
        <v>1043</v>
      </c>
      <c r="F507" s="339">
        <v>1000000</v>
      </c>
      <c r="G507" s="339">
        <v>765000</v>
      </c>
      <c r="H507" s="339">
        <v>765000</v>
      </c>
      <c r="I507" s="353"/>
      <c r="J507" s="354" t="str">
        <f t="shared" si="22"/>
        <v>0113</v>
      </c>
      <c r="K507" s="355" t="str">
        <f t="shared" si="23"/>
        <v>1410220630</v>
      </c>
    </row>
    <row r="508" spans="1:11">
      <c r="A508" s="90" t="str">
        <f t="shared" si="21"/>
        <v>62101138410010010122</v>
      </c>
      <c r="B508" s="325">
        <v>621</v>
      </c>
      <c r="C508" s="324">
        <v>113</v>
      </c>
      <c r="D508" s="323" t="s">
        <v>1472</v>
      </c>
      <c r="E508" s="322" t="s">
        <v>1059</v>
      </c>
      <c r="F508" s="339">
        <v>772770</v>
      </c>
      <c r="G508" s="339">
        <v>763770</v>
      </c>
      <c r="H508" s="339">
        <v>763770</v>
      </c>
      <c r="I508" s="353"/>
      <c r="J508" s="354" t="str">
        <f t="shared" si="22"/>
        <v>0113</v>
      </c>
      <c r="K508" s="355" t="str">
        <f t="shared" si="23"/>
        <v>8410010010</v>
      </c>
    </row>
    <row r="509" spans="1:11">
      <c r="A509" s="90" t="str">
        <f t="shared" si="21"/>
        <v>62101138410010010129</v>
      </c>
      <c r="B509" s="325">
        <v>621</v>
      </c>
      <c r="C509" s="324">
        <v>113</v>
      </c>
      <c r="D509" s="323" t="s">
        <v>1472</v>
      </c>
      <c r="E509" s="322" t="s">
        <v>1060</v>
      </c>
      <c r="F509" s="339">
        <v>230660</v>
      </c>
      <c r="G509" s="339">
        <v>230660</v>
      </c>
      <c r="H509" s="339">
        <v>230660</v>
      </c>
      <c r="I509" s="353"/>
      <c r="J509" s="354" t="str">
        <f t="shared" si="22"/>
        <v>0113</v>
      </c>
      <c r="K509" s="355" t="str">
        <f t="shared" si="23"/>
        <v>8410010010</v>
      </c>
    </row>
    <row r="510" spans="1:11">
      <c r="A510" s="90" t="str">
        <f t="shared" si="21"/>
        <v>62101138410010010244</v>
      </c>
      <c r="B510" s="325">
        <v>621</v>
      </c>
      <c r="C510" s="324">
        <v>113</v>
      </c>
      <c r="D510" s="323" t="s">
        <v>1472</v>
      </c>
      <c r="E510" s="322" t="s">
        <v>1043</v>
      </c>
      <c r="F510" s="339">
        <v>2829940</v>
      </c>
      <c r="G510" s="339">
        <v>2843500</v>
      </c>
      <c r="H510" s="339">
        <v>2843500</v>
      </c>
      <c r="I510" s="353"/>
      <c r="J510" s="354" t="str">
        <f t="shared" si="22"/>
        <v>0113</v>
      </c>
      <c r="K510" s="355" t="str">
        <f t="shared" si="23"/>
        <v>8410010010</v>
      </c>
    </row>
    <row r="511" spans="1:11">
      <c r="A511" s="90" t="str">
        <f t="shared" si="21"/>
        <v>62101138410010010851</v>
      </c>
      <c r="B511" s="325">
        <v>621</v>
      </c>
      <c r="C511" s="324">
        <v>113</v>
      </c>
      <c r="D511" s="323" t="s">
        <v>1472</v>
      </c>
      <c r="E511" s="322" t="s">
        <v>1061</v>
      </c>
      <c r="F511" s="339">
        <v>226350</v>
      </c>
      <c r="G511" s="339">
        <v>226350</v>
      </c>
      <c r="H511" s="339">
        <v>226350</v>
      </c>
      <c r="I511" s="353"/>
      <c r="J511" s="354" t="str">
        <f t="shared" si="22"/>
        <v>0113</v>
      </c>
      <c r="K511" s="355" t="str">
        <f t="shared" si="23"/>
        <v>8410010010</v>
      </c>
    </row>
    <row r="512" spans="1:11">
      <c r="A512" s="90" t="str">
        <f t="shared" si="21"/>
        <v>62101138410010010852</v>
      </c>
      <c r="B512" s="325">
        <v>621</v>
      </c>
      <c r="C512" s="324">
        <v>113</v>
      </c>
      <c r="D512" s="323" t="s">
        <v>1472</v>
      </c>
      <c r="E512" s="322" t="s">
        <v>1062</v>
      </c>
      <c r="F512" s="339">
        <v>20300</v>
      </c>
      <c r="G512" s="339">
        <v>20300</v>
      </c>
      <c r="H512" s="339">
        <v>20300</v>
      </c>
      <c r="I512" s="353"/>
      <c r="J512" s="354" t="str">
        <f t="shared" si="22"/>
        <v>0113</v>
      </c>
      <c r="K512" s="355" t="str">
        <f t="shared" si="23"/>
        <v>8410010010</v>
      </c>
    </row>
    <row r="513" spans="1:11">
      <c r="A513" s="90" t="str">
        <f t="shared" si="21"/>
        <v>62101138410010020121</v>
      </c>
      <c r="B513" s="325">
        <v>621</v>
      </c>
      <c r="C513" s="324">
        <v>113</v>
      </c>
      <c r="D513" s="323" t="s">
        <v>1473</v>
      </c>
      <c r="E513" s="322" t="s">
        <v>1063</v>
      </c>
      <c r="F513" s="339">
        <v>32896600</v>
      </c>
      <c r="G513" s="339">
        <v>32896600</v>
      </c>
      <c r="H513" s="339">
        <v>32896600</v>
      </c>
      <c r="I513" s="353"/>
      <c r="J513" s="354" t="str">
        <f t="shared" si="22"/>
        <v>0113</v>
      </c>
      <c r="K513" s="355" t="str">
        <f t="shared" si="23"/>
        <v>8410010020</v>
      </c>
    </row>
    <row r="514" spans="1:11">
      <c r="A514" s="90" t="str">
        <f t="shared" si="21"/>
        <v>62101138410010020129</v>
      </c>
      <c r="B514" s="325">
        <v>621</v>
      </c>
      <c r="C514" s="324">
        <v>113</v>
      </c>
      <c r="D514" s="323" t="s">
        <v>1473</v>
      </c>
      <c r="E514" s="322" t="s">
        <v>1060</v>
      </c>
      <c r="F514" s="339">
        <v>9925770</v>
      </c>
      <c r="G514" s="339">
        <v>9934770</v>
      </c>
      <c r="H514" s="339">
        <v>9934770</v>
      </c>
      <c r="I514" s="353"/>
      <c r="J514" s="354" t="str">
        <f t="shared" si="22"/>
        <v>0113</v>
      </c>
      <c r="K514" s="355" t="str">
        <f t="shared" si="23"/>
        <v>8410010020</v>
      </c>
    </row>
    <row r="515" spans="1:11">
      <c r="A515" s="90" t="str">
        <f t="shared" si="21"/>
        <v>62101138410020050831</v>
      </c>
      <c r="B515" s="325">
        <v>621</v>
      </c>
      <c r="C515" s="324">
        <v>113</v>
      </c>
      <c r="D515" s="323" t="s">
        <v>1474</v>
      </c>
      <c r="E515" s="322" t="s">
        <v>1045</v>
      </c>
      <c r="F515" s="339">
        <v>20200</v>
      </c>
      <c r="G515" s="339">
        <v>0</v>
      </c>
      <c r="H515" s="339">
        <v>0</v>
      </c>
      <c r="I515" s="353"/>
      <c r="J515" s="354" t="str">
        <f t="shared" si="22"/>
        <v>0113</v>
      </c>
      <c r="K515" s="355" t="str">
        <f t="shared" si="23"/>
        <v>8410020050</v>
      </c>
    </row>
    <row r="516" spans="1:11">
      <c r="A516" s="90" t="str">
        <f t="shared" si="21"/>
        <v>62101138420020740244</v>
      </c>
      <c r="B516" s="325">
        <v>621</v>
      </c>
      <c r="C516" s="324">
        <v>113</v>
      </c>
      <c r="D516" s="323" t="s">
        <v>1475</v>
      </c>
      <c r="E516" s="322" t="s">
        <v>1043</v>
      </c>
      <c r="F516" s="339">
        <v>579800</v>
      </c>
      <c r="G516" s="339">
        <v>600000</v>
      </c>
      <c r="H516" s="339">
        <v>600000</v>
      </c>
      <c r="I516" s="353"/>
      <c r="J516" s="354" t="str">
        <f t="shared" si="22"/>
        <v>0113</v>
      </c>
      <c r="K516" s="355" t="str">
        <f t="shared" si="23"/>
        <v>8420020740</v>
      </c>
    </row>
    <row r="517" spans="1:11">
      <c r="A517" s="90" t="str">
        <f t="shared" si="21"/>
        <v>62101138420021100244</v>
      </c>
      <c r="B517" s="325">
        <v>621</v>
      </c>
      <c r="C517" s="324">
        <v>113</v>
      </c>
      <c r="D517" s="323" t="s">
        <v>1476</v>
      </c>
      <c r="E517" s="322" t="s">
        <v>1043</v>
      </c>
      <c r="F517" s="339">
        <v>3500000</v>
      </c>
      <c r="G517" s="339">
        <v>3500000</v>
      </c>
      <c r="H517" s="339">
        <v>3500000</v>
      </c>
      <c r="I517" s="353"/>
      <c r="J517" s="354" t="str">
        <f t="shared" si="22"/>
        <v>0113</v>
      </c>
      <c r="K517" s="355" t="str">
        <f t="shared" si="23"/>
        <v>8420021100</v>
      </c>
    </row>
    <row r="518" spans="1:11">
      <c r="A518" s="90" t="str">
        <f t="shared" si="21"/>
        <v>62101138420021330244</v>
      </c>
      <c r="B518" s="325">
        <v>621</v>
      </c>
      <c r="C518" s="324">
        <v>113</v>
      </c>
      <c r="D518" s="323" t="s">
        <v>1477</v>
      </c>
      <c r="E518" s="322" t="s">
        <v>1043</v>
      </c>
      <c r="F518" s="339">
        <v>100000</v>
      </c>
      <c r="G518" s="339">
        <v>0</v>
      </c>
      <c r="H518" s="339">
        <v>0</v>
      </c>
      <c r="I518" s="353"/>
      <c r="J518" s="354" t="str">
        <f t="shared" si="22"/>
        <v>0113</v>
      </c>
      <c r="K518" s="355" t="str">
        <f t="shared" si="23"/>
        <v>8420021330</v>
      </c>
    </row>
    <row r="519" spans="1:11">
      <c r="A519" s="90" t="str">
        <f t="shared" si="21"/>
        <v>621041205Б0120390244</v>
      </c>
      <c r="B519" s="325">
        <v>621</v>
      </c>
      <c r="C519" s="324">
        <v>412</v>
      </c>
      <c r="D519" s="323" t="s">
        <v>1244</v>
      </c>
      <c r="E519" s="322" t="s">
        <v>1043</v>
      </c>
      <c r="F519" s="339">
        <v>403000</v>
      </c>
      <c r="G519" s="339">
        <v>403000</v>
      </c>
      <c r="H519" s="339">
        <v>9488300</v>
      </c>
      <c r="I519" s="353"/>
      <c r="J519" s="354" t="str">
        <f t="shared" si="22"/>
        <v>0412</v>
      </c>
      <c r="K519" s="355" t="str">
        <f t="shared" si="23"/>
        <v>05Б0120390</v>
      </c>
    </row>
    <row r="520" spans="1:11">
      <c r="A520" s="90" t="str">
        <f t="shared" si="21"/>
        <v>621041205Б0221190244</v>
      </c>
      <c r="B520" s="325">
        <v>621</v>
      </c>
      <c r="C520" s="324">
        <v>412</v>
      </c>
      <c r="D520" s="323" t="s">
        <v>1246</v>
      </c>
      <c r="E520" s="322" t="s">
        <v>1043</v>
      </c>
      <c r="F520" s="339">
        <v>6000000</v>
      </c>
      <c r="G520" s="339">
        <v>9085300</v>
      </c>
      <c r="H520" s="339">
        <v>0</v>
      </c>
      <c r="I520" s="353"/>
      <c r="J520" s="354" t="str">
        <f t="shared" si="22"/>
        <v>0412</v>
      </c>
      <c r="K520" s="355" t="str">
        <f t="shared" si="23"/>
        <v>05Б0221190</v>
      </c>
    </row>
    <row r="521" spans="1:11">
      <c r="A521" s="90" t="str">
        <f t="shared" si="21"/>
        <v>62104128420021210244</v>
      </c>
      <c r="B521" s="325">
        <v>621</v>
      </c>
      <c r="C521" s="324">
        <v>412</v>
      </c>
      <c r="D521" s="323" t="s">
        <v>1478</v>
      </c>
      <c r="E521" s="322" t="s">
        <v>1043</v>
      </c>
      <c r="F521" s="339">
        <v>100000</v>
      </c>
      <c r="G521" s="339">
        <v>100000</v>
      </c>
      <c r="H521" s="339">
        <v>100000</v>
      </c>
      <c r="I521" s="353"/>
      <c r="J521" s="354" t="str">
        <f t="shared" si="22"/>
        <v>0412</v>
      </c>
      <c r="K521" s="355" t="str">
        <f t="shared" si="23"/>
        <v>8420021210</v>
      </c>
    </row>
    <row r="522" spans="1:11">
      <c r="A522" s="90" t="str">
        <f t="shared" ref="A522:A568" si="24">CONCATENATE(B522,J522,K522,E522)</f>
        <v>62104129820020390244</v>
      </c>
      <c r="B522" s="325">
        <v>621</v>
      </c>
      <c r="C522" s="324">
        <v>412</v>
      </c>
      <c r="D522" s="323" t="s">
        <v>1479</v>
      </c>
      <c r="E522" s="322" t="s">
        <v>1043</v>
      </c>
      <c r="F522" s="339">
        <v>3596700</v>
      </c>
      <c r="G522" s="339">
        <v>0</v>
      </c>
      <c r="H522" s="339">
        <v>0</v>
      </c>
      <c r="I522" s="353"/>
      <c r="J522" s="354" t="str">
        <f t="shared" si="22"/>
        <v>0412</v>
      </c>
      <c r="K522" s="355" t="str">
        <f t="shared" si="23"/>
        <v>9820020390</v>
      </c>
    </row>
    <row r="523" spans="1:11">
      <c r="A523" s="90" t="str">
        <f t="shared" si="24"/>
        <v>62105018420020200244</v>
      </c>
      <c r="B523" s="325">
        <v>621</v>
      </c>
      <c r="C523" s="324">
        <v>501</v>
      </c>
      <c r="D523" s="323" t="s">
        <v>1480</v>
      </c>
      <c r="E523" s="322" t="s">
        <v>1043</v>
      </c>
      <c r="F523" s="339">
        <v>1300000</v>
      </c>
      <c r="G523" s="339">
        <v>0</v>
      </c>
      <c r="H523" s="339">
        <v>0</v>
      </c>
      <c r="I523" s="353"/>
      <c r="J523" s="354" t="str">
        <f t="shared" ref="J523:J568" si="25">TEXT(C523,"0000")</f>
        <v>0501</v>
      </c>
      <c r="K523" s="355" t="str">
        <f t="shared" ref="K523:K568" si="26">TEXT(D523,"0000000000")</f>
        <v>8420020200</v>
      </c>
    </row>
    <row r="524" spans="1:11">
      <c r="A524" s="90" t="str">
        <f t="shared" si="24"/>
        <v>62105030430420300244</v>
      </c>
      <c r="B524" s="325">
        <v>621</v>
      </c>
      <c r="C524" s="324">
        <v>503</v>
      </c>
      <c r="D524" s="323" t="s">
        <v>1344</v>
      </c>
      <c r="E524" s="322" t="s">
        <v>1043</v>
      </c>
      <c r="F524" s="339">
        <v>37499680</v>
      </c>
      <c r="G524" s="339">
        <v>0</v>
      </c>
      <c r="H524" s="339">
        <v>0</v>
      </c>
      <c r="I524" s="353"/>
      <c r="J524" s="354" t="str">
        <f t="shared" si="25"/>
        <v>0503</v>
      </c>
      <c r="K524" s="355" t="str">
        <f t="shared" si="26"/>
        <v>0430420300</v>
      </c>
    </row>
    <row r="525" spans="1:11">
      <c r="A525" s="90" t="str">
        <f t="shared" si="24"/>
        <v>62105030430420800244</v>
      </c>
      <c r="B525" s="325">
        <v>621</v>
      </c>
      <c r="C525" s="324">
        <v>503</v>
      </c>
      <c r="D525" s="323" t="s">
        <v>1481</v>
      </c>
      <c r="E525" s="322" t="s">
        <v>1043</v>
      </c>
      <c r="F525" s="339">
        <v>150000000</v>
      </c>
      <c r="G525" s="339">
        <v>0</v>
      </c>
      <c r="H525" s="339">
        <v>0</v>
      </c>
      <c r="I525" s="353"/>
      <c r="J525" s="354" t="str">
        <f t="shared" si="25"/>
        <v>0503</v>
      </c>
      <c r="K525" s="355" t="str">
        <f t="shared" si="26"/>
        <v>0430420800</v>
      </c>
    </row>
    <row r="526" spans="1:11">
      <c r="A526" s="90" t="str">
        <f t="shared" si="24"/>
        <v>62105039820020800414</v>
      </c>
      <c r="B526" s="325">
        <v>621</v>
      </c>
      <c r="C526" s="324">
        <v>503</v>
      </c>
      <c r="D526" s="323" t="s">
        <v>1482</v>
      </c>
      <c r="E526" s="322" t="s">
        <v>1052</v>
      </c>
      <c r="F526" s="339">
        <v>191778298.88</v>
      </c>
      <c r="G526" s="339">
        <v>0</v>
      </c>
      <c r="H526" s="339">
        <v>0</v>
      </c>
      <c r="I526" s="353"/>
      <c r="J526" s="354" t="str">
        <f t="shared" si="25"/>
        <v>0503</v>
      </c>
      <c r="K526" s="355" t="str">
        <f t="shared" si="26"/>
        <v>9820020800</v>
      </c>
    </row>
    <row r="527" spans="1:11">
      <c r="A527" s="90" t="str">
        <f t="shared" si="24"/>
        <v>62107010120140010414</v>
      </c>
      <c r="B527" s="325">
        <v>621</v>
      </c>
      <c r="C527" s="324">
        <v>701</v>
      </c>
      <c r="D527" s="323" t="s">
        <v>1320</v>
      </c>
      <c r="E527" s="322" t="s">
        <v>1052</v>
      </c>
      <c r="F527" s="339">
        <v>600000</v>
      </c>
      <c r="G527" s="339">
        <v>9800000</v>
      </c>
      <c r="H527" s="339">
        <v>7613030</v>
      </c>
      <c r="I527" s="353"/>
      <c r="J527" s="354" t="str">
        <f t="shared" si="25"/>
        <v>0701</v>
      </c>
      <c r="K527" s="355" t="str">
        <f t="shared" si="26"/>
        <v>0120140010</v>
      </c>
    </row>
    <row r="528" spans="1:11">
      <c r="A528" s="90" t="str">
        <f t="shared" si="24"/>
        <v>62107020120140010414</v>
      </c>
      <c r="B528" s="325">
        <v>621</v>
      </c>
      <c r="C528" s="324">
        <v>702</v>
      </c>
      <c r="D528" s="323" t="s">
        <v>1320</v>
      </c>
      <c r="E528" s="322" t="s">
        <v>1052</v>
      </c>
      <c r="F528" s="339">
        <v>150000</v>
      </c>
      <c r="G528" s="339">
        <v>0</v>
      </c>
      <c r="H528" s="339">
        <v>7613020</v>
      </c>
      <c r="I528" s="353"/>
      <c r="J528" s="354" t="str">
        <f t="shared" si="25"/>
        <v>0702</v>
      </c>
      <c r="K528" s="355" t="str">
        <f t="shared" si="26"/>
        <v>0120140010</v>
      </c>
    </row>
    <row r="529" spans="1:11">
      <c r="A529" s="90" t="str">
        <f t="shared" si="24"/>
        <v>621070201201L5201414</v>
      </c>
      <c r="B529" s="325">
        <v>621</v>
      </c>
      <c r="C529" s="324">
        <v>702</v>
      </c>
      <c r="D529" s="323" t="s">
        <v>1247</v>
      </c>
      <c r="E529" s="322" t="s">
        <v>1052</v>
      </c>
      <c r="F529" s="339">
        <v>14430380</v>
      </c>
      <c r="G529" s="339">
        <v>0</v>
      </c>
      <c r="H529" s="339">
        <v>0</v>
      </c>
      <c r="I529" s="353"/>
      <c r="J529" s="354" t="str">
        <f t="shared" si="25"/>
        <v>0702</v>
      </c>
      <c r="K529" s="355" t="str">
        <f t="shared" si="26"/>
        <v>01201L5201</v>
      </c>
    </row>
    <row r="530" spans="1:11">
      <c r="A530" s="90" t="str">
        <f t="shared" si="24"/>
        <v>621070201201R5200414</v>
      </c>
      <c r="B530" s="325">
        <v>621</v>
      </c>
      <c r="C530" s="324">
        <v>702</v>
      </c>
      <c r="D530" s="323" t="s">
        <v>1248</v>
      </c>
      <c r="E530" s="322" t="s">
        <v>1052</v>
      </c>
      <c r="F530" s="339">
        <v>766324980</v>
      </c>
      <c r="G530" s="339">
        <v>0</v>
      </c>
      <c r="H530" s="339">
        <v>0</v>
      </c>
      <c r="I530" s="353"/>
      <c r="J530" s="354" t="str">
        <f t="shared" si="25"/>
        <v>0702</v>
      </c>
      <c r="K530" s="355" t="str">
        <f t="shared" si="26"/>
        <v>01201R5200</v>
      </c>
    </row>
    <row r="531" spans="1:11">
      <c r="A531" s="90" t="str">
        <f t="shared" si="24"/>
        <v>621070298200L1122414</v>
      </c>
      <c r="B531" s="325">
        <v>621</v>
      </c>
      <c r="C531" s="324">
        <v>702</v>
      </c>
      <c r="D531" s="323" t="s">
        <v>1249</v>
      </c>
      <c r="E531" s="322" t="s">
        <v>1052</v>
      </c>
      <c r="F531" s="339">
        <v>1807726.78</v>
      </c>
      <c r="G531" s="339">
        <v>0</v>
      </c>
      <c r="H531" s="339">
        <v>0</v>
      </c>
      <c r="I531" s="353"/>
      <c r="J531" s="354" t="str">
        <f t="shared" si="25"/>
        <v>0702</v>
      </c>
      <c r="K531" s="355" t="str">
        <f t="shared" si="26"/>
        <v>98200L1122</v>
      </c>
    </row>
    <row r="532" spans="1:11">
      <c r="A532" s="90" t="str">
        <f t="shared" si="24"/>
        <v>62108010710120060244</v>
      </c>
      <c r="B532" s="325">
        <v>621</v>
      </c>
      <c r="C532" s="324">
        <v>801</v>
      </c>
      <c r="D532" s="323" t="s">
        <v>1295</v>
      </c>
      <c r="E532" s="322" t="s">
        <v>1043</v>
      </c>
      <c r="F532" s="339">
        <v>800000</v>
      </c>
      <c r="G532" s="339">
        <v>720000</v>
      </c>
      <c r="H532" s="339">
        <v>720000</v>
      </c>
      <c r="I532" s="353"/>
      <c r="J532" s="354" t="str">
        <f t="shared" si="25"/>
        <v>0801</v>
      </c>
      <c r="K532" s="355" t="str">
        <f t="shared" si="26"/>
        <v>0710120060</v>
      </c>
    </row>
    <row r="533" spans="1:11">
      <c r="A533" s="90" t="str">
        <f t="shared" si="24"/>
        <v>62108010721340020414</v>
      </c>
      <c r="B533" s="325">
        <v>621</v>
      </c>
      <c r="C533" s="324">
        <v>801</v>
      </c>
      <c r="D533" s="323" t="s">
        <v>1483</v>
      </c>
      <c r="E533" s="322" t="s">
        <v>1052</v>
      </c>
      <c r="F533" s="339">
        <v>100000000</v>
      </c>
      <c r="G533" s="339">
        <v>0</v>
      </c>
      <c r="H533" s="339">
        <v>0</v>
      </c>
      <c r="I533" s="353"/>
      <c r="J533" s="354" t="str">
        <f t="shared" si="25"/>
        <v>0801</v>
      </c>
      <c r="K533" s="355" t="str">
        <f t="shared" si="26"/>
        <v>0721340020</v>
      </c>
    </row>
    <row r="534" spans="1:11">
      <c r="A534" s="90" t="str">
        <f t="shared" si="24"/>
        <v>62108010721440010414</v>
      </c>
      <c r="B534" s="325">
        <v>621</v>
      </c>
      <c r="C534" s="324">
        <v>801</v>
      </c>
      <c r="D534" s="323" t="s">
        <v>1484</v>
      </c>
      <c r="E534" s="322" t="s">
        <v>1052</v>
      </c>
      <c r="F534" s="339">
        <v>3309876.59</v>
      </c>
      <c r="G534" s="339">
        <v>0</v>
      </c>
      <c r="H534" s="339">
        <v>0</v>
      </c>
      <c r="I534" s="353"/>
      <c r="J534" s="354" t="str">
        <f t="shared" si="25"/>
        <v>0801</v>
      </c>
      <c r="K534" s="355" t="str">
        <f t="shared" si="26"/>
        <v>0721440010</v>
      </c>
    </row>
    <row r="535" spans="1:11">
      <c r="A535" s="90" t="str">
        <f t="shared" si="24"/>
        <v>62108019820040010414</v>
      </c>
      <c r="B535" s="325">
        <v>621</v>
      </c>
      <c r="C535" s="324">
        <v>801</v>
      </c>
      <c r="D535" s="323" t="s">
        <v>1485</v>
      </c>
      <c r="E535" s="322" t="s">
        <v>1052</v>
      </c>
      <c r="F535" s="339">
        <v>1364479.25</v>
      </c>
      <c r="G535" s="339">
        <v>0</v>
      </c>
      <c r="H535" s="339">
        <v>0</v>
      </c>
      <c r="I535" s="353"/>
      <c r="J535" s="354" t="str">
        <f t="shared" si="25"/>
        <v>0801</v>
      </c>
      <c r="K535" s="355" t="str">
        <f t="shared" si="26"/>
        <v>9820040010</v>
      </c>
    </row>
    <row r="536" spans="1:11">
      <c r="A536" s="90" t="str">
        <f t="shared" si="24"/>
        <v>62111029820040010414</v>
      </c>
      <c r="B536" s="325">
        <v>621</v>
      </c>
      <c r="C536" s="324">
        <v>1102</v>
      </c>
      <c r="D536" s="323" t="s">
        <v>1485</v>
      </c>
      <c r="E536" s="322" t="s">
        <v>1052</v>
      </c>
      <c r="F536" s="339">
        <v>17399265.52</v>
      </c>
      <c r="G536" s="339">
        <v>0</v>
      </c>
      <c r="H536" s="339">
        <v>0</v>
      </c>
      <c r="I536" s="353"/>
      <c r="J536" s="354" t="str">
        <f t="shared" si="25"/>
        <v>1102</v>
      </c>
      <c r="K536" s="355" t="str">
        <f t="shared" si="26"/>
        <v>9820040010</v>
      </c>
    </row>
    <row r="537" spans="1:11">
      <c r="A537" s="90" t="str">
        <f t="shared" si="24"/>
        <v>62403091530221290244</v>
      </c>
      <c r="B537" s="325">
        <v>624</v>
      </c>
      <c r="C537" s="324">
        <v>309</v>
      </c>
      <c r="D537" s="323" t="s">
        <v>1486</v>
      </c>
      <c r="E537" s="322" t="s">
        <v>1043</v>
      </c>
      <c r="F537" s="339">
        <v>25500</v>
      </c>
      <c r="G537" s="339">
        <v>22950</v>
      </c>
      <c r="H537" s="339">
        <v>22950</v>
      </c>
      <c r="I537" s="353"/>
      <c r="J537" s="354" t="str">
        <f t="shared" si="25"/>
        <v>0309</v>
      </c>
      <c r="K537" s="355" t="str">
        <f t="shared" si="26"/>
        <v>1530221290</v>
      </c>
    </row>
    <row r="538" spans="1:11">
      <c r="A538" s="90" t="str">
        <f t="shared" si="24"/>
        <v>62403091610120120244</v>
      </c>
      <c r="B538" s="325">
        <v>624</v>
      </c>
      <c r="C538" s="324">
        <v>309</v>
      </c>
      <c r="D538" s="323" t="s">
        <v>1487</v>
      </c>
      <c r="E538" s="322" t="s">
        <v>1043</v>
      </c>
      <c r="F538" s="339">
        <v>100000</v>
      </c>
      <c r="G538" s="339">
        <v>100000</v>
      </c>
      <c r="H538" s="339">
        <v>100000</v>
      </c>
      <c r="I538" s="353"/>
      <c r="J538" s="354" t="str">
        <f t="shared" si="25"/>
        <v>0309</v>
      </c>
      <c r="K538" s="355" t="str">
        <f t="shared" si="26"/>
        <v>1610120120</v>
      </c>
    </row>
    <row r="539" spans="1:11">
      <c r="A539" s="90" t="str">
        <f t="shared" si="24"/>
        <v>62403091610211010111</v>
      </c>
      <c r="B539" s="325">
        <v>624</v>
      </c>
      <c r="C539" s="324">
        <v>309</v>
      </c>
      <c r="D539" s="323" t="s">
        <v>1488</v>
      </c>
      <c r="E539" s="322" t="s">
        <v>1056</v>
      </c>
      <c r="F539" s="339">
        <v>17703930</v>
      </c>
      <c r="G539" s="339">
        <v>17703930</v>
      </c>
      <c r="H539" s="339">
        <v>17703930</v>
      </c>
      <c r="I539" s="353"/>
      <c r="J539" s="354" t="str">
        <f t="shared" si="25"/>
        <v>0309</v>
      </c>
      <c r="K539" s="355" t="str">
        <f t="shared" si="26"/>
        <v>1610211010</v>
      </c>
    </row>
    <row r="540" spans="1:11">
      <c r="A540" s="90" t="str">
        <f t="shared" si="24"/>
        <v>62403091610211010119</v>
      </c>
      <c r="B540" s="325">
        <v>624</v>
      </c>
      <c r="C540" s="324">
        <v>309</v>
      </c>
      <c r="D540" s="323" t="s">
        <v>1488</v>
      </c>
      <c r="E540" s="322" t="s">
        <v>1057</v>
      </c>
      <c r="F540" s="339">
        <v>5346590</v>
      </c>
      <c r="G540" s="339">
        <v>5346590</v>
      </c>
      <c r="H540" s="339">
        <v>5346590</v>
      </c>
      <c r="I540" s="353"/>
      <c r="J540" s="354" t="str">
        <f t="shared" si="25"/>
        <v>0309</v>
      </c>
      <c r="K540" s="355" t="str">
        <f t="shared" si="26"/>
        <v>1610211010</v>
      </c>
    </row>
    <row r="541" spans="1:11">
      <c r="A541" s="90" t="str">
        <f t="shared" si="24"/>
        <v>62403091610211010244</v>
      </c>
      <c r="B541" s="325">
        <v>624</v>
      </c>
      <c r="C541" s="324">
        <v>309</v>
      </c>
      <c r="D541" s="323" t="s">
        <v>1488</v>
      </c>
      <c r="E541" s="322" t="s">
        <v>1043</v>
      </c>
      <c r="F541" s="339">
        <v>4044270</v>
      </c>
      <c r="G541" s="339">
        <v>4264220</v>
      </c>
      <c r="H541" s="339">
        <v>4264220</v>
      </c>
      <c r="I541" s="353"/>
      <c r="J541" s="354" t="str">
        <f t="shared" si="25"/>
        <v>0309</v>
      </c>
      <c r="K541" s="355" t="str">
        <f t="shared" si="26"/>
        <v>1610211010</v>
      </c>
    </row>
    <row r="542" spans="1:11">
      <c r="A542" s="90" t="str">
        <f t="shared" si="24"/>
        <v>62403091610211010851</v>
      </c>
      <c r="B542" s="325">
        <v>624</v>
      </c>
      <c r="C542" s="324">
        <v>309</v>
      </c>
      <c r="D542" s="323" t="s">
        <v>1488</v>
      </c>
      <c r="E542" s="322" t="s">
        <v>1061</v>
      </c>
      <c r="F542" s="339">
        <v>1080000</v>
      </c>
      <c r="G542" s="339">
        <v>901000</v>
      </c>
      <c r="H542" s="339">
        <v>901000</v>
      </c>
      <c r="I542" s="353"/>
      <c r="J542" s="354" t="str">
        <f t="shared" si="25"/>
        <v>0309</v>
      </c>
      <c r="K542" s="355" t="str">
        <f t="shared" si="26"/>
        <v>1610211010</v>
      </c>
    </row>
    <row r="543" spans="1:11">
      <c r="A543" s="90" t="str">
        <f t="shared" si="24"/>
        <v>62403091610211010852</v>
      </c>
      <c r="B543" s="325">
        <v>624</v>
      </c>
      <c r="C543" s="324">
        <v>309</v>
      </c>
      <c r="D543" s="323" t="s">
        <v>1488</v>
      </c>
      <c r="E543" s="322" t="s">
        <v>1062</v>
      </c>
      <c r="F543" s="339">
        <v>39000</v>
      </c>
      <c r="G543" s="339">
        <v>40000</v>
      </c>
      <c r="H543" s="339">
        <v>40000</v>
      </c>
      <c r="I543" s="353"/>
      <c r="J543" s="354" t="str">
        <f t="shared" si="25"/>
        <v>0309</v>
      </c>
      <c r="K543" s="355" t="str">
        <f t="shared" si="26"/>
        <v>1610211010</v>
      </c>
    </row>
    <row r="544" spans="1:11">
      <c r="A544" s="90" t="str">
        <f t="shared" si="24"/>
        <v>62403091610320120244</v>
      </c>
      <c r="B544" s="325">
        <v>624</v>
      </c>
      <c r="C544" s="324">
        <v>309</v>
      </c>
      <c r="D544" s="323" t="s">
        <v>1489</v>
      </c>
      <c r="E544" s="322" t="s">
        <v>1043</v>
      </c>
      <c r="F544" s="339">
        <v>430000</v>
      </c>
      <c r="G544" s="339">
        <v>430000</v>
      </c>
      <c r="H544" s="339">
        <v>430000</v>
      </c>
      <c r="I544" s="353"/>
      <c r="J544" s="354" t="str">
        <f t="shared" si="25"/>
        <v>0309</v>
      </c>
      <c r="K544" s="355" t="str">
        <f t="shared" si="26"/>
        <v>1610320120</v>
      </c>
    </row>
    <row r="545" spans="1:11">
      <c r="A545" s="90" t="str">
        <f t="shared" si="24"/>
        <v>62403091620120540244</v>
      </c>
      <c r="B545" s="325">
        <v>624</v>
      </c>
      <c r="C545" s="324">
        <v>309</v>
      </c>
      <c r="D545" s="323" t="s">
        <v>1490</v>
      </c>
      <c r="E545" s="322" t="s">
        <v>1043</v>
      </c>
      <c r="F545" s="339">
        <v>1712740</v>
      </c>
      <c r="G545" s="339">
        <v>435000</v>
      </c>
      <c r="H545" s="339">
        <v>435000</v>
      </c>
      <c r="I545" s="353"/>
      <c r="J545" s="354" t="str">
        <f t="shared" si="25"/>
        <v>0309</v>
      </c>
      <c r="K545" s="355" t="str">
        <f t="shared" si="26"/>
        <v>1620120540</v>
      </c>
    </row>
    <row r="546" spans="1:11">
      <c r="A546" s="90" t="str">
        <f t="shared" si="24"/>
        <v>62403091630111010111</v>
      </c>
      <c r="B546" s="325">
        <v>624</v>
      </c>
      <c r="C546" s="324">
        <v>309</v>
      </c>
      <c r="D546" s="323" t="s">
        <v>1491</v>
      </c>
      <c r="E546" s="322" t="s">
        <v>1056</v>
      </c>
      <c r="F546" s="339">
        <v>13054850</v>
      </c>
      <c r="G546" s="339">
        <v>13054850</v>
      </c>
      <c r="H546" s="339">
        <v>13054850</v>
      </c>
      <c r="I546" s="353"/>
      <c r="J546" s="354" t="str">
        <f t="shared" si="25"/>
        <v>0309</v>
      </c>
      <c r="K546" s="355" t="str">
        <f t="shared" si="26"/>
        <v>1630111010</v>
      </c>
    </row>
    <row r="547" spans="1:11">
      <c r="A547" s="90" t="str">
        <f t="shared" si="24"/>
        <v>62403091630111010119</v>
      </c>
      <c r="B547" s="325">
        <v>624</v>
      </c>
      <c r="C547" s="324">
        <v>309</v>
      </c>
      <c r="D547" s="323" t="s">
        <v>1491</v>
      </c>
      <c r="E547" s="322" t="s">
        <v>1057</v>
      </c>
      <c r="F547" s="339">
        <v>3942570</v>
      </c>
      <c r="G547" s="339">
        <v>3942570</v>
      </c>
      <c r="H547" s="339">
        <v>3942570</v>
      </c>
      <c r="I547" s="353"/>
      <c r="J547" s="354" t="str">
        <f t="shared" si="25"/>
        <v>0309</v>
      </c>
      <c r="K547" s="355" t="str">
        <f t="shared" si="26"/>
        <v>1630111010</v>
      </c>
    </row>
    <row r="548" spans="1:11">
      <c r="A548" s="90" t="str">
        <f t="shared" si="24"/>
        <v>62403091630111010244</v>
      </c>
      <c r="B548" s="325">
        <v>624</v>
      </c>
      <c r="C548" s="324">
        <v>309</v>
      </c>
      <c r="D548" s="323" t="s">
        <v>1491</v>
      </c>
      <c r="E548" s="322" t="s">
        <v>1043</v>
      </c>
      <c r="F548" s="339">
        <v>1338160</v>
      </c>
      <c r="G548" s="339">
        <v>1338160</v>
      </c>
      <c r="H548" s="339">
        <v>1338160</v>
      </c>
      <c r="I548" s="353"/>
      <c r="J548" s="354" t="str">
        <f t="shared" si="25"/>
        <v>0309</v>
      </c>
      <c r="K548" s="355" t="str">
        <f t="shared" si="26"/>
        <v>1630111010</v>
      </c>
    </row>
    <row r="549" spans="1:11">
      <c r="A549" s="90" t="str">
        <f t="shared" si="24"/>
        <v>62403091630111010851</v>
      </c>
      <c r="B549" s="325">
        <v>624</v>
      </c>
      <c r="C549" s="324">
        <v>309</v>
      </c>
      <c r="D549" s="323" t="s">
        <v>1491</v>
      </c>
      <c r="E549" s="322" t="s">
        <v>1061</v>
      </c>
      <c r="F549" s="339">
        <v>350000</v>
      </c>
      <c r="G549" s="339">
        <v>350000</v>
      </c>
      <c r="H549" s="339">
        <v>350000</v>
      </c>
      <c r="I549" s="353"/>
      <c r="J549" s="354" t="str">
        <f t="shared" si="25"/>
        <v>0309</v>
      </c>
      <c r="K549" s="355" t="str">
        <f t="shared" si="26"/>
        <v>1630111010</v>
      </c>
    </row>
    <row r="550" spans="1:11">
      <c r="A550" s="90" t="str">
        <f t="shared" si="24"/>
        <v>62403091630111010852</v>
      </c>
      <c r="B550" s="325">
        <v>624</v>
      </c>
      <c r="C550" s="324">
        <v>309</v>
      </c>
      <c r="D550" s="323" t="s">
        <v>1491</v>
      </c>
      <c r="E550" s="322" t="s">
        <v>1062</v>
      </c>
      <c r="F550" s="339">
        <v>3100.12</v>
      </c>
      <c r="G550" s="339">
        <v>7000</v>
      </c>
      <c r="H550" s="339">
        <v>7000</v>
      </c>
      <c r="I550" s="353"/>
      <c r="J550" s="354" t="str">
        <f t="shared" si="25"/>
        <v>0309</v>
      </c>
      <c r="K550" s="355" t="str">
        <f t="shared" si="26"/>
        <v>1630111010</v>
      </c>
    </row>
    <row r="551" spans="1:11">
      <c r="A551" s="90" t="str">
        <f t="shared" si="24"/>
        <v>62403091630111010853</v>
      </c>
      <c r="B551" s="325">
        <v>624</v>
      </c>
      <c r="C551" s="324">
        <v>309</v>
      </c>
      <c r="D551" s="323" t="s">
        <v>1491</v>
      </c>
      <c r="E551" s="322" t="s">
        <v>1066</v>
      </c>
      <c r="F551" s="339">
        <v>3899.88</v>
      </c>
      <c r="G551" s="339">
        <v>0</v>
      </c>
      <c r="H551" s="339">
        <v>0</v>
      </c>
      <c r="I551" s="353"/>
      <c r="J551" s="354" t="str">
        <f t="shared" si="25"/>
        <v>0309</v>
      </c>
      <c r="K551" s="355" t="str">
        <f t="shared" si="26"/>
        <v>1630111010</v>
      </c>
    </row>
    <row r="552" spans="1:11">
      <c r="A552" s="90" t="str">
        <f t="shared" si="24"/>
        <v>62403091630220690244</v>
      </c>
      <c r="B552" s="325">
        <v>624</v>
      </c>
      <c r="C552" s="324">
        <v>309</v>
      </c>
      <c r="D552" s="323" t="s">
        <v>1492</v>
      </c>
      <c r="E552" s="322" t="s">
        <v>1043</v>
      </c>
      <c r="F552" s="339">
        <v>2553670</v>
      </c>
      <c r="G552" s="339">
        <v>2201810</v>
      </c>
      <c r="H552" s="339">
        <v>2201810</v>
      </c>
      <c r="I552" s="353"/>
      <c r="J552" s="354" t="str">
        <f t="shared" si="25"/>
        <v>0309</v>
      </c>
      <c r="K552" s="355" t="str">
        <f t="shared" si="26"/>
        <v>1630220690</v>
      </c>
    </row>
    <row r="553" spans="1:11">
      <c r="A553" s="90" t="str">
        <f t="shared" si="24"/>
        <v>62403091630320350244</v>
      </c>
      <c r="B553" s="325">
        <v>624</v>
      </c>
      <c r="C553" s="324">
        <v>309</v>
      </c>
      <c r="D553" s="323" t="s">
        <v>1493</v>
      </c>
      <c r="E553" s="322" t="s">
        <v>1043</v>
      </c>
      <c r="F553" s="339">
        <v>2700000</v>
      </c>
      <c r="G553" s="339">
        <v>2430000</v>
      </c>
      <c r="H553" s="339">
        <v>2430000</v>
      </c>
      <c r="I553" s="353"/>
      <c r="J553" s="354" t="str">
        <f t="shared" si="25"/>
        <v>0309</v>
      </c>
      <c r="K553" s="355" t="str">
        <f t="shared" si="26"/>
        <v>1630320350</v>
      </c>
    </row>
    <row r="554" spans="1:11">
      <c r="A554" s="90" t="str">
        <f t="shared" si="24"/>
        <v>62403091630420350244</v>
      </c>
      <c r="B554" s="325">
        <v>624</v>
      </c>
      <c r="C554" s="324">
        <v>309</v>
      </c>
      <c r="D554" s="323" t="s">
        <v>1494</v>
      </c>
      <c r="E554" s="322" t="s">
        <v>1043</v>
      </c>
      <c r="F554" s="339">
        <v>2930000</v>
      </c>
      <c r="G554" s="339">
        <v>765000</v>
      </c>
      <c r="H554" s="339">
        <v>765000</v>
      </c>
      <c r="I554" s="353"/>
      <c r="J554" s="354" t="str">
        <f t="shared" si="25"/>
        <v>0309</v>
      </c>
      <c r="K554" s="355" t="str">
        <f t="shared" si="26"/>
        <v>1630420350</v>
      </c>
    </row>
    <row r="555" spans="1:11">
      <c r="A555" s="90" t="str">
        <f t="shared" si="24"/>
        <v>62403098510010010122</v>
      </c>
      <c r="B555" s="325">
        <v>624</v>
      </c>
      <c r="C555" s="324">
        <v>309</v>
      </c>
      <c r="D555" s="323" t="s">
        <v>1495</v>
      </c>
      <c r="E555" s="322" t="s">
        <v>1059</v>
      </c>
      <c r="F555" s="339">
        <v>303080</v>
      </c>
      <c r="G555" s="339">
        <v>303080</v>
      </c>
      <c r="H555" s="339">
        <v>303080</v>
      </c>
      <c r="I555" s="353"/>
      <c r="J555" s="354" t="str">
        <f t="shared" si="25"/>
        <v>0309</v>
      </c>
      <c r="K555" s="355" t="str">
        <f t="shared" si="26"/>
        <v>8510010010</v>
      </c>
    </row>
    <row r="556" spans="1:11">
      <c r="A556" s="90" t="str">
        <f t="shared" si="24"/>
        <v>62403098510010010129</v>
      </c>
      <c r="B556" s="325">
        <v>624</v>
      </c>
      <c r="C556" s="324">
        <v>309</v>
      </c>
      <c r="D556" s="323" t="s">
        <v>1495</v>
      </c>
      <c r="E556" s="322" t="s">
        <v>1060</v>
      </c>
      <c r="F556" s="339">
        <v>84170</v>
      </c>
      <c r="G556" s="339">
        <v>84170</v>
      </c>
      <c r="H556" s="339">
        <v>84170</v>
      </c>
      <c r="I556" s="353"/>
      <c r="J556" s="354" t="str">
        <f t="shared" si="25"/>
        <v>0309</v>
      </c>
      <c r="K556" s="355" t="str">
        <f t="shared" si="26"/>
        <v>8510010010</v>
      </c>
    </row>
    <row r="557" spans="1:11">
      <c r="A557" s="90" t="str">
        <f t="shared" si="24"/>
        <v>62403098510010010244</v>
      </c>
      <c r="B557" s="325">
        <v>624</v>
      </c>
      <c r="C557" s="324">
        <v>309</v>
      </c>
      <c r="D557" s="323" t="s">
        <v>1495</v>
      </c>
      <c r="E557" s="322" t="s">
        <v>1043</v>
      </c>
      <c r="F557" s="339">
        <v>1183980</v>
      </c>
      <c r="G557" s="339">
        <v>1183980</v>
      </c>
      <c r="H557" s="339">
        <v>1183980</v>
      </c>
      <c r="I557" s="353"/>
      <c r="J557" s="354" t="str">
        <f t="shared" si="25"/>
        <v>0309</v>
      </c>
      <c r="K557" s="355" t="str">
        <f t="shared" si="26"/>
        <v>8510010010</v>
      </c>
    </row>
    <row r="558" spans="1:11">
      <c r="A558" s="90" t="str">
        <f t="shared" si="24"/>
        <v>62403098510010010851</v>
      </c>
      <c r="B558" s="325">
        <v>624</v>
      </c>
      <c r="C558" s="324">
        <v>309</v>
      </c>
      <c r="D558" s="323" t="s">
        <v>1495</v>
      </c>
      <c r="E558" s="322" t="s">
        <v>1061</v>
      </c>
      <c r="F558" s="339">
        <v>172710</v>
      </c>
      <c r="G558" s="339">
        <v>172710</v>
      </c>
      <c r="H558" s="339">
        <v>172710</v>
      </c>
      <c r="I558" s="353"/>
      <c r="J558" s="354" t="str">
        <f t="shared" si="25"/>
        <v>0309</v>
      </c>
      <c r="K558" s="355" t="str">
        <f t="shared" si="26"/>
        <v>8510010010</v>
      </c>
    </row>
    <row r="559" spans="1:11">
      <c r="A559" s="90" t="str">
        <f t="shared" si="24"/>
        <v>62403098510010010852</v>
      </c>
      <c r="B559" s="325">
        <v>624</v>
      </c>
      <c r="C559" s="324">
        <v>309</v>
      </c>
      <c r="D559" s="323" t="s">
        <v>1495</v>
      </c>
      <c r="E559" s="322" t="s">
        <v>1062</v>
      </c>
      <c r="F559" s="339">
        <v>1000</v>
      </c>
      <c r="G559" s="339">
        <v>29000</v>
      </c>
      <c r="H559" s="339">
        <v>29000</v>
      </c>
      <c r="I559" s="353"/>
      <c r="J559" s="354" t="str">
        <f t="shared" si="25"/>
        <v>0309</v>
      </c>
      <c r="K559" s="355" t="str">
        <f t="shared" si="26"/>
        <v>8510010010</v>
      </c>
    </row>
    <row r="560" spans="1:11">
      <c r="A560" s="90" t="str">
        <f t="shared" si="24"/>
        <v>62403098510010010853</v>
      </c>
      <c r="B560" s="325">
        <v>624</v>
      </c>
      <c r="C560" s="324">
        <v>309</v>
      </c>
      <c r="D560" s="323" t="s">
        <v>1495</v>
      </c>
      <c r="E560" s="322" t="s">
        <v>1066</v>
      </c>
      <c r="F560" s="339">
        <v>28000</v>
      </c>
      <c r="G560" s="339">
        <v>0</v>
      </c>
      <c r="H560" s="339">
        <v>0</v>
      </c>
      <c r="I560" s="353"/>
      <c r="J560" s="354" t="str">
        <f t="shared" si="25"/>
        <v>0309</v>
      </c>
      <c r="K560" s="355" t="str">
        <f t="shared" si="26"/>
        <v>8510010010</v>
      </c>
    </row>
    <row r="561" spans="1:11">
      <c r="A561" s="90" t="str">
        <f t="shared" si="24"/>
        <v>62403098510010020121</v>
      </c>
      <c r="B561" s="325">
        <v>624</v>
      </c>
      <c r="C561" s="324">
        <v>309</v>
      </c>
      <c r="D561" s="323" t="s">
        <v>1496</v>
      </c>
      <c r="E561" s="322" t="s">
        <v>1063</v>
      </c>
      <c r="F561" s="339">
        <v>10427460</v>
      </c>
      <c r="G561" s="339">
        <v>10427460</v>
      </c>
      <c r="H561" s="339">
        <v>10427460</v>
      </c>
      <c r="I561" s="353"/>
      <c r="J561" s="354" t="str">
        <f t="shared" si="25"/>
        <v>0309</v>
      </c>
      <c r="K561" s="355" t="str">
        <f t="shared" si="26"/>
        <v>8510010020</v>
      </c>
    </row>
    <row r="562" spans="1:11">
      <c r="A562" s="90" t="str">
        <f t="shared" si="24"/>
        <v>62403098510010020129</v>
      </c>
      <c r="B562" s="325">
        <v>624</v>
      </c>
      <c r="C562" s="324">
        <v>309</v>
      </c>
      <c r="D562" s="323" t="s">
        <v>1496</v>
      </c>
      <c r="E562" s="322" t="s">
        <v>1060</v>
      </c>
      <c r="F562" s="339">
        <v>3149090</v>
      </c>
      <c r="G562" s="339">
        <v>3149090</v>
      </c>
      <c r="H562" s="339">
        <v>3149090</v>
      </c>
      <c r="I562" s="353"/>
      <c r="J562" s="354" t="str">
        <f t="shared" si="25"/>
        <v>0309</v>
      </c>
      <c r="K562" s="355" t="str">
        <f t="shared" si="26"/>
        <v>8510010020</v>
      </c>
    </row>
    <row r="563" spans="1:11">
      <c r="A563" s="90" t="str">
        <f t="shared" si="24"/>
        <v>64301068610010010122</v>
      </c>
      <c r="B563" s="325">
        <v>643</v>
      </c>
      <c r="C563" s="324">
        <v>106</v>
      </c>
      <c r="D563" s="323" t="s">
        <v>1497</v>
      </c>
      <c r="E563" s="322" t="s">
        <v>1059</v>
      </c>
      <c r="F563" s="339">
        <v>376500</v>
      </c>
      <c r="G563" s="339">
        <v>376500</v>
      </c>
      <c r="H563" s="339">
        <v>376500</v>
      </c>
      <c r="I563" s="353"/>
      <c r="J563" s="354" t="str">
        <f t="shared" si="25"/>
        <v>0106</v>
      </c>
      <c r="K563" s="355" t="str">
        <f t="shared" si="26"/>
        <v>8610010010</v>
      </c>
    </row>
    <row r="564" spans="1:11">
      <c r="A564" s="90" t="str">
        <f t="shared" si="24"/>
        <v>64301068610010010129</v>
      </c>
      <c r="B564" s="325">
        <v>643</v>
      </c>
      <c r="C564" s="324">
        <v>106</v>
      </c>
      <c r="D564" s="323" t="s">
        <v>1497</v>
      </c>
      <c r="E564" s="322" t="s">
        <v>1060</v>
      </c>
      <c r="F564" s="339">
        <v>70030</v>
      </c>
      <c r="G564" s="339">
        <v>70030</v>
      </c>
      <c r="H564" s="339">
        <v>70030</v>
      </c>
      <c r="I564" s="353"/>
      <c r="J564" s="354" t="str">
        <f t="shared" si="25"/>
        <v>0106</v>
      </c>
      <c r="K564" s="355" t="str">
        <f t="shared" si="26"/>
        <v>8610010010</v>
      </c>
    </row>
    <row r="565" spans="1:11">
      <c r="A565" s="90" t="str">
        <f t="shared" si="24"/>
        <v>64301068610010010244</v>
      </c>
      <c r="B565" s="325">
        <v>643</v>
      </c>
      <c r="C565" s="324">
        <v>106</v>
      </c>
      <c r="D565" s="323" t="s">
        <v>1497</v>
      </c>
      <c r="E565" s="322" t="s">
        <v>1043</v>
      </c>
      <c r="F565" s="339">
        <v>2496980</v>
      </c>
      <c r="G565" s="339">
        <v>2508860</v>
      </c>
      <c r="H565" s="339">
        <v>2508860</v>
      </c>
      <c r="I565" s="353"/>
      <c r="J565" s="354" t="str">
        <f t="shared" si="25"/>
        <v>0106</v>
      </c>
      <c r="K565" s="355" t="str">
        <f t="shared" si="26"/>
        <v>8610010010</v>
      </c>
    </row>
    <row r="566" spans="1:11">
      <c r="A566" s="90" t="str">
        <f t="shared" si="24"/>
        <v>64301068610010010853</v>
      </c>
      <c r="B566" s="325">
        <v>643</v>
      </c>
      <c r="C566" s="324">
        <v>106</v>
      </c>
      <c r="D566" s="323" t="s">
        <v>1497</v>
      </c>
      <c r="E566" s="322" t="s">
        <v>1066</v>
      </c>
      <c r="F566" s="339">
        <v>19000</v>
      </c>
      <c r="G566" s="339">
        <v>19000</v>
      </c>
      <c r="H566" s="339">
        <v>19000</v>
      </c>
      <c r="I566" s="353"/>
      <c r="J566" s="354" t="str">
        <f t="shared" si="25"/>
        <v>0106</v>
      </c>
      <c r="K566" s="355" t="str">
        <f t="shared" si="26"/>
        <v>8610010010</v>
      </c>
    </row>
    <row r="567" spans="1:11">
      <c r="A567" s="90" t="str">
        <f t="shared" si="24"/>
        <v>64301068610010020121</v>
      </c>
      <c r="B567" s="325">
        <v>643</v>
      </c>
      <c r="C567" s="324">
        <v>106</v>
      </c>
      <c r="D567" s="323" t="s">
        <v>1498</v>
      </c>
      <c r="E567" s="322" t="s">
        <v>1063</v>
      </c>
      <c r="F567" s="339">
        <v>8039780</v>
      </c>
      <c r="G567" s="339">
        <v>8039780</v>
      </c>
      <c r="H567" s="339">
        <v>8039780</v>
      </c>
      <c r="I567" s="353"/>
      <c r="J567" s="354" t="str">
        <f t="shared" si="25"/>
        <v>0106</v>
      </c>
      <c r="K567" s="355" t="str">
        <f t="shared" si="26"/>
        <v>8610010020</v>
      </c>
    </row>
    <row r="568" spans="1:11" ht="18.75" thickBot="1">
      <c r="A568" s="90" t="str">
        <f t="shared" si="24"/>
        <v>64301068610010020129</v>
      </c>
      <c r="B568" s="321">
        <v>643</v>
      </c>
      <c r="C568" s="320">
        <v>106</v>
      </c>
      <c r="D568" s="319" t="s">
        <v>1498</v>
      </c>
      <c r="E568" s="318" t="s">
        <v>1060</v>
      </c>
      <c r="F568" s="340">
        <v>2428010</v>
      </c>
      <c r="G568" s="340">
        <v>2428010</v>
      </c>
      <c r="H568" s="340">
        <v>2428010</v>
      </c>
      <c r="I568" s="353"/>
      <c r="J568" s="354" t="str">
        <f t="shared" si="25"/>
        <v>0106</v>
      </c>
      <c r="K568" s="355" t="str">
        <f t="shared" si="26"/>
        <v>8610010020</v>
      </c>
    </row>
    <row r="569" spans="1:11" ht="18.75" thickBot="1">
      <c r="B569" s="316"/>
      <c r="C569" s="316"/>
      <c r="D569" s="317"/>
      <c r="E569" s="317"/>
      <c r="F569" s="341">
        <v>9446451130.4800014</v>
      </c>
      <c r="G569" s="342">
        <v>7104546162.3700008</v>
      </c>
      <c r="H569" s="342">
        <v>7569030147.5699997</v>
      </c>
      <c r="I569" s="356"/>
      <c r="J569" s="357"/>
      <c r="K569" s="357"/>
    </row>
    <row r="570" spans="1:11">
      <c r="B570" s="315"/>
      <c r="C570" s="315"/>
      <c r="D570" s="315"/>
      <c r="E570" s="315"/>
      <c r="F570" s="337"/>
      <c r="G570" s="337"/>
      <c r="H570" s="337"/>
      <c r="I570" s="344"/>
      <c r="J570" s="345"/>
      <c r="K570" s="345"/>
    </row>
    <row r="571" spans="1:11">
      <c r="B571" s="314"/>
      <c r="C571" s="314"/>
      <c r="D571" s="314"/>
      <c r="E571" s="314"/>
      <c r="F571" s="337"/>
      <c r="G571" s="337"/>
      <c r="H571" s="337"/>
      <c r="I571" s="344"/>
      <c r="J571" s="345"/>
      <c r="K571" s="345"/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B8"/>
  <sheetViews>
    <sheetView workbookViewId="0">
      <selection activeCell="B8" sqref="B8"/>
    </sheetView>
  </sheetViews>
  <sheetFormatPr defaultRowHeight="18"/>
  <sheetData>
    <row r="8" spans="2:2" ht="25.5">
      <c r="B8" s="232" t="s">
        <v>1038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O1717"/>
  <sheetViews>
    <sheetView view="pageBreakPreview" topLeftCell="B322" zoomScaleNormal="100" zoomScaleSheetLayoutView="100" workbookViewId="0">
      <selection activeCell="G602" sqref="G602:I602"/>
    </sheetView>
  </sheetViews>
  <sheetFormatPr defaultColWidth="8.7265625" defaultRowHeight="15.75"/>
  <cols>
    <col min="1" max="1" width="35.90625" style="6" customWidth="1"/>
    <col min="2" max="2" width="5" style="62" customWidth="1"/>
    <col min="3" max="3" width="3.36328125" style="63" customWidth="1"/>
    <col min="4" max="4" width="3" style="63" customWidth="1"/>
    <col min="5" max="5" width="8.90625" style="63" customWidth="1"/>
    <col min="6" max="6" width="4" style="63" customWidth="1"/>
    <col min="7" max="8" width="11.453125" style="64" bestFit="1" customWidth="1"/>
    <col min="9" max="9" width="11.453125" style="67" bestFit="1" customWidth="1"/>
    <col min="10" max="10" width="10.36328125" style="67" customWidth="1"/>
    <col min="11" max="11" width="10.36328125" style="176" customWidth="1"/>
    <col min="12" max="12" width="10.36328125" style="67" customWidth="1"/>
    <col min="13" max="13" width="10.36328125" style="176" customWidth="1"/>
    <col min="14" max="14" width="10.36328125" style="67" customWidth="1"/>
    <col min="15" max="15" width="10.36328125" style="176" customWidth="1"/>
    <col min="16" max="16384" width="8.7265625" style="5"/>
  </cols>
  <sheetData>
    <row r="1" spans="1:15" s="2" customFormat="1">
      <c r="A1" s="1"/>
      <c r="B1" s="48"/>
      <c r="C1" s="33"/>
      <c r="D1" s="53"/>
      <c r="E1" s="53"/>
      <c r="F1" s="53"/>
      <c r="G1" s="48"/>
      <c r="H1" s="48"/>
      <c r="I1" s="66"/>
      <c r="J1" s="66"/>
      <c r="K1" s="165"/>
      <c r="L1" s="66"/>
      <c r="M1" s="165"/>
      <c r="N1" s="66"/>
      <c r="O1" s="165"/>
    </row>
    <row r="2" spans="1:15" s="2" customFormat="1" ht="16.5" thickBot="1">
      <c r="A2" s="7"/>
      <c r="B2" s="54"/>
      <c r="C2" s="55"/>
      <c r="D2" s="55"/>
      <c r="F2" s="73"/>
      <c r="G2" s="73"/>
      <c r="H2" s="51"/>
      <c r="I2" s="69" t="s">
        <v>193</v>
      </c>
      <c r="J2" s="78"/>
      <c r="K2" s="166"/>
      <c r="L2" s="78"/>
      <c r="M2" s="166"/>
      <c r="N2" s="78"/>
      <c r="O2" s="166"/>
    </row>
    <row r="3" spans="1:15" s="2" customFormat="1" ht="67.150000000000006" customHeight="1" thickBot="1">
      <c r="A3" s="75" t="s">
        <v>42</v>
      </c>
      <c r="B3" s="56" t="s">
        <v>43</v>
      </c>
      <c r="C3" s="57" t="s">
        <v>23</v>
      </c>
      <c r="D3" s="57" t="s">
        <v>44</v>
      </c>
      <c r="E3" s="57" t="s">
        <v>45</v>
      </c>
      <c r="F3" s="58" t="s">
        <v>46</v>
      </c>
      <c r="G3" s="59" t="s">
        <v>719</v>
      </c>
      <c r="H3" s="59" t="s">
        <v>720</v>
      </c>
      <c r="I3" s="59" t="s">
        <v>721</v>
      </c>
      <c r="J3" s="59" t="s">
        <v>719</v>
      </c>
      <c r="K3" s="167" t="s">
        <v>59</v>
      </c>
      <c r="L3" s="59" t="s">
        <v>720</v>
      </c>
      <c r="M3" s="167" t="s">
        <v>59</v>
      </c>
      <c r="N3" s="59" t="s">
        <v>721</v>
      </c>
      <c r="O3" s="167" t="s">
        <v>59</v>
      </c>
    </row>
    <row r="4" spans="1:15" s="68" customFormat="1" ht="16.5" thickBot="1">
      <c r="A4" s="8">
        <v>1</v>
      </c>
      <c r="B4" s="60">
        <v>2</v>
      </c>
      <c r="C4" s="60">
        <v>3</v>
      </c>
      <c r="D4" s="60" t="s">
        <v>552</v>
      </c>
      <c r="E4" s="60">
        <v>5</v>
      </c>
      <c r="F4" s="60">
        <v>6</v>
      </c>
      <c r="G4" s="60">
        <v>7</v>
      </c>
      <c r="H4" s="60">
        <v>8</v>
      </c>
      <c r="I4" s="60">
        <v>9</v>
      </c>
      <c r="J4" s="60">
        <v>7</v>
      </c>
      <c r="K4" s="168"/>
      <c r="L4" s="60">
        <v>8</v>
      </c>
      <c r="M4" s="168"/>
      <c r="N4" s="60">
        <v>9</v>
      </c>
      <c r="O4" s="168"/>
    </row>
    <row r="5" spans="1:15" s="3" customFormat="1">
      <c r="A5" s="107" t="s">
        <v>47</v>
      </c>
      <c r="B5" s="14" t="s">
        <v>48</v>
      </c>
      <c r="C5" s="15" t="s">
        <v>51</v>
      </c>
      <c r="D5" s="15" t="s">
        <v>51</v>
      </c>
      <c r="E5" s="15" t="s">
        <v>196</v>
      </c>
      <c r="F5" s="15" t="s">
        <v>58</v>
      </c>
      <c r="G5" s="16">
        <f>G6+G48</f>
        <v>55105770</v>
      </c>
      <c r="H5" s="16">
        <f>H6+H48</f>
        <v>55107760</v>
      </c>
      <c r="I5" s="16">
        <f>I6+I48</f>
        <v>55107760</v>
      </c>
      <c r="J5" s="16">
        <f>'БА в тыс. руб.'!G5*1000</f>
        <v>55105770</v>
      </c>
      <c r="K5" s="169">
        <f>J5-G5</f>
        <v>0</v>
      </c>
      <c r="L5" s="16">
        <f>'БА в тыс. руб.'!H5*1000</f>
        <v>55107760</v>
      </c>
      <c r="M5" s="169">
        <f>L5-H5</f>
        <v>0</v>
      </c>
      <c r="N5" s="16">
        <f>'БА в тыс. руб.'!I5*1000</f>
        <v>55107760</v>
      </c>
      <c r="O5" s="169">
        <f>N5-I5</f>
        <v>0</v>
      </c>
    </row>
    <row r="6" spans="1:15" s="3" customFormat="1">
      <c r="A6" s="17" t="s">
        <v>64</v>
      </c>
      <c r="B6" s="18" t="s">
        <v>48</v>
      </c>
      <c r="C6" s="19" t="s">
        <v>65</v>
      </c>
      <c r="D6" s="19" t="s">
        <v>51</v>
      </c>
      <c r="E6" s="19" t="s">
        <v>196</v>
      </c>
      <c r="F6" s="19" t="s">
        <v>58</v>
      </c>
      <c r="G6" s="20">
        <f>G7+G42</f>
        <v>48015270</v>
      </c>
      <c r="H6" s="20">
        <f>H7+H42</f>
        <v>48017260</v>
      </c>
      <c r="I6" s="20">
        <f>I7+I42</f>
        <v>48017260</v>
      </c>
      <c r="J6" s="16">
        <f>'БА в тыс. руб.'!G6*1000</f>
        <v>48015270</v>
      </c>
      <c r="K6" s="169">
        <f t="shared" ref="K6:K69" si="0">J6-G6</f>
        <v>0</v>
      </c>
      <c r="L6" s="16">
        <f>'БА в тыс. руб.'!H6*1000</f>
        <v>48017260</v>
      </c>
      <c r="M6" s="169">
        <f t="shared" ref="M6:M69" si="1">L6-H6</f>
        <v>0</v>
      </c>
      <c r="N6" s="16">
        <f>'БА в тыс. руб.'!I6*1000</f>
        <v>48017260</v>
      </c>
      <c r="O6" s="169">
        <f t="shared" ref="O6:O69" si="2">N6-I6</f>
        <v>0</v>
      </c>
    </row>
    <row r="7" spans="1:15" s="3" customFormat="1" ht="38.25">
      <c r="A7" s="21" t="s">
        <v>56</v>
      </c>
      <c r="B7" s="22" t="s">
        <v>48</v>
      </c>
      <c r="C7" s="23" t="s">
        <v>65</v>
      </c>
      <c r="D7" s="23" t="s">
        <v>53</v>
      </c>
      <c r="E7" s="23" t="s">
        <v>196</v>
      </c>
      <c r="F7" s="23" t="s">
        <v>58</v>
      </c>
      <c r="G7" s="24">
        <f>G8</f>
        <v>47515270</v>
      </c>
      <c r="H7" s="24">
        <f>H8</f>
        <v>47517260</v>
      </c>
      <c r="I7" s="24">
        <f>I8</f>
        <v>47517260</v>
      </c>
      <c r="J7" s="16">
        <f>'БА в тыс. руб.'!G7*1000</f>
        <v>47515270</v>
      </c>
      <c r="K7" s="169">
        <f t="shared" si="0"/>
        <v>0</v>
      </c>
      <c r="L7" s="16">
        <f>'БА в тыс. руб.'!H7*1000</f>
        <v>47517260</v>
      </c>
      <c r="M7" s="169">
        <f t="shared" si="1"/>
        <v>0</v>
      </c>
      <c r="N7" s="16">
        <f>'БА в тыс. руб.'!I7*1000</f>
        <v>47517260</v>
      </c>
      <c r="O7" s="169">
        <f t="shared" si="2"/>
        <v>0</v>
      </c>
    </row>
    <row r="8" spans="1:15" s="3" customFormat="1">
      <c r="A8" s="11" t="s">
        <v>124</v>
      </c>
      <c r="B8" s="25" t="s">
        <v>48</v>
      </c>
      <c r="C8" s="26" t="s">
        <v>65</v>
      </c>
      <c r="D8" s="26" t="s">
        <v>53</v>
      </c>
      <c r="E8" s="26" t="s">
        <v>197</v>
      </c>
      <c r="F8" s="26" t="s">
        <v>58</v>
      </c>
      <c r="G8" s="27">
        <f>G9+G33+G24</f>
        <v>47515270</v>
      </c>
      <c r="H8" s="27">
        <f>H9+H33+H24</f>
        <v>47517260</v>
      </c>
      <c r="I8" s="27">
        <f>I9+I33+I24</f>
        <v>47517260</v>
      </c>
      <c r="J8" s="16">
        <f>'БА в тыс. руб.'!G8*1000</f>
        <v>47515270</v>
      </c>
      <c r="K8" s="169">
        <f t="shared" si="0"/>
        <v>0</v>
      </c>
      <c r="L8" s="16">
        <f>'БА в тыс. руб.'!H8*1000</f>
        <v>47517260</v>
      </c>
      <c r="M8" s="169">
        <f t="shared" si="1"/>
        <v>0</v>
      </c>
      <c r="N8" s="16">
        <f>'БА в тыс. руб.'!I8*1000</f>
        <v>47517260</v>
      </c>
      <c r="O8" s="169">
        <f t="shared" si="2"/>
        <v>0</v>
      </c>
    </row>
    <row r="9" spans="1:15" s="3" customFormat="1" ht="25.5">
      <c r="A9" s="11" t="s">
        <v>125</v>
      </c>
      <c r="B9" s="25" t="s">
        <v>48</v>
      </c>
      <c r="C9" s="26" t="s">
        <v>65</v>
      </c>
      <c r="D9" s="26" t="s">
        <v>53</v>
      </c>
      <c r="E9" s="26" t="s">
        <v>200</v>
      </c>
      <c r="F9" s="26" t="s">
        <v>58</v>
      </c>
      <c r="G9" s="27">
        <f>G10+G20</f>
        <v>43813450</v>
      </c>
      <c r="H9" s="27">
        <f>H10+H20</f>
        <v>43815440</v>
      </c>
      <c r="I9" s="27">
        <f>I10+I20</f>
        <v>43815440</v>
      </c>
      <c r="J9" s="16">
        <f>'БА в тыс. руб.'!G9*1000</f>
        <v>43813450</v>
      </c>
      <c r="K9" s="169">
        <f t="shared" si="0"/>
        <v>0</v>
      </c>
      <c r="L9" s="16">
        <f>'БА в тыс. руб.'!H9*1000</f>
        <v>43815440</v>
      </c>
      <c r="M9" s="169">
        <f t="shared" si="1"/>
        <v>0</v>
      </c>
      <c r="N9" s="16">
        <f>'БА в тыс. руб.'!I9*1000</f>
        <v>43815440</v>
      </c>
      <c r="O9" s="169">
        <f t="shared" si="2"/>
        <v>0</v>
      </c>
    </row>
    <row r="10" spans="1:15" s="3" customFormat="1" ht="25.5">
      <c r="A10" s="11" t="s">
        <v>114</v>
      </c>
      <c r="B10" s="25" t="s">
        <v>48</v>
      </c>
      <c r="C10" s="26" t="s">
        <v>65</v>
      </c>
      <c r="D10" s="26" t="s">
        <v>53</v>
      </c>
      <c r="E10" s="26" t="s">
        <v>201</v>
      </c>
      <c r="F10" s="26" t="s">
        <v>58</v>
      </c>
      <c r="G10" s="27">
        <f>G11+G15+G17</f>
        <v>10533430</v>
      </c>
      <c r="H10" s="27">
        <f>H11+H15+H17</f>
        <v>10535420</v>
      </c>
      <c r="I10" s="27">
        <f>I11+I15+I17</f>
        <v>10535420</v>
      </c>
      <c r="J10" s="16">
        <f>'БА в тыс. руб.'!G10*1000</f>
        <v>10533430</v>
      </c>
      <c r="K10" s="169">
        <f t="shared" si="0"/>
        <v>0</v>
      </c>
      <c r="L10" s="16">
        <f>'БА в тыс. руб.'!H10*1000</f>
        <v>10535420.000000002</v>
      </c>
      <c r="M10" s="169">
        <f t="shared" si="1"/>
        <v>0</v>
      </c>
      <c r="N10" s="16">
        <f>'БА в тыс. руб.'!I10*1000</f>
        <v>10535420.000000002</v>
      </c>
      <c r="O10" s="169">
        <f t="shared" si="2"/>
        <v>0</v>
      </c>
    </row>
    <row r="11" spans="1:15" s="3" customFormat="1" ht="25.5">
      <c r="A11" s="12" t="s">
        <v>107</v>
      </c>
      <c r="B11" s="25" t="s">
        <v>48</v>
      </c>
      <c r="C11" s="26" t="s">
        <v>65</v>
      </c>
      <c r="D11" s="26" t="s">
        <v>53</v>
      </c>
      <c r="E11" s="26" t="s">
        <v>201</v>
      </c>
      <c r="F11" s="26" t="s">
        <v>115</v>
      </c>
      <c r="G11" s="27">
        <f>SUM(G12:G14)</f>
        <v>3836780</v>
      </c>
      <c r="H11" s="27">
        <f t="shared" ref="H11:I11" si="3">SUM(H12:H14)</f>
        <v>3836780</v>
      </c>
      <c r="I11" s="27">
        <f t="shared" si="3"/>
        <v>3836780</v>
      </c>
      <c r="J11" s="16">
        <f>'БА в тыс. руб.'!G11*1000</f>
        <v>3836779.9999999995</v>
      </c>
      <c r="K11" s="169">
        <f t="shared" si="0"/>
        <v>0</v>
      </c>
      <c r="L11" s="16">
        <f>'БА в тыс. руб.'!H11*1000</f>
        <v>3836779.9999999995</v>
      </c>
      <c r="M11" s="169">
        <f t="shared" si="1"/>
        <v>0</v>
      </c>
      <c r="N11" s="16">
        <f>'БА в тыс. руб.'!I11*1000</f>
        <v>3836779.9999999995</v>
      </c>
      <c r="O11" s="169">
        <f t="shared" si="2"/>
        <v>0</v>
      </c>
    </row>
    <row r="12" spans="1:15" s="3" customFormat="1" ht="25.5">
      <c r="A12" s="12" t="s">
        <v>937</v>
      </c>
      <c r="B12" s="25" t="s">
        <v>48</v>
      </c>
      <c r="C12" s="26" t="s">
        <v>65</v>
      </c>
      <c r="D12" s="26" t="s">
        <v>53</v>
      </c>
      <c r="E12" s="26" t="s">
        <v>201</v>
      </c>
      <c r="F12" s="26" t="s">
        <v>1059</v>
      </c>
      <c r="G12" s="27">
        <f>J12</f>
        <v>1273000</v>
      </c>
      <c r="H12" s="27">
        <f>L12</f>
        <v>1273000</v>
      </c>
      <c r="I12" s="27">
        <f>N12</f>
        <v>1273000</v>
      </c>
      <c r="J12" s="16">
        <f>'БА в тыс. руб.'!G12*1000</f>
        <v>1273000</v>
      </c>
      <c r="K12" s="169"/>
      <c r="L12" s="16">
        <f>'БА в тыс. руб.'!H12*1000</f>
        <v>1273000</v>
      </c>
      <c r="M12" s="169"/>
      <c r="N12" s="16">
        <f>'БА в тыс. руб.'!I12*1000</f>
        <v>1273000</v>
      </c>
      <c r="O12" s="169"/>
    </row>
    <row r="13" spans="1:15" s="4" customFormat="1" ht="38.25">
      <c r="A13" s="12" t="s">
        <v>938</v>
      </c>
      <c r="B13" s="25" t="s">
        <v>48</v>
      </c>
      <c r="C13" s="26" t="s">
        <v>65</v>
      </c>
      <c r="D13" s="26" t="s">
        <v>53</v>
      </c>
      <c r="E13" s="26" t="s">
        <v>201</v>
      </c>
      <c r="F13" s="26" t="s">
        <v>1068</v>
      </c>
      <c r="G13" s="27">
        <f t="shared" ref="G13:G14" si="4">J13</f>
        <v>2333120</v>
      </c>
      <c r="H13" s="27">
        <f t="shared" ref="H13:H14" si="5">L13</f>
        <v>2333120</v>
      </c>
      <c r="I13" s="27">
        <f t="shared" ref="I13:I14" si="6">N13</f>
        <v>2333120</v>
      </c>
      <c r="J13" s="16">
        <f>'БА в тыс. руб.'!G13*1000</f>
        <v>2333120</v>
      </c>
      <c r="K13" s="169">
        <f t="shared" si="0"/>
        <v>0</v>
      </c>
      <c r="L13" s="16">
        <f>'БА в тыс. руб.'!H13*1000</f>
        <v>2333120</v>
      </c>
      <c r="M13" s="169">
        <f t="shared" si="1"/>
        <v>0</v>
      </c>
      <c r="N13" s="16">
        <f>'БА в тыс. руб.'!I13*1000</f>
        <v>2333120</v>
      </c>
      <c r="O13" s="169">
        <f t="shared" si="2"/>
        <v>0</v>
      </c>
    </row>
    <row r="14" spans="1:15" s="4" customFormat="1" ht="38.25">
      <c r="A14" s="12" t="s">
        <v>939</v>
      </c>
      <c r="B14" s="25" t="s">
        <v>48</v>
      </c>
      <c r="C14" s="26" t="s">
        <v>65</v>
      </c>
      <c r="D14" s="26" t="s">
        <v>53</v>
      </c>
      <c r="E14" s="26" t="s">
        <v>201</v>
      </c>
      <c r="F14" s="26" t="s">
        <v>1060</v>
      </c>
      <c r="G14" s="27">
        <f t="shared" si="4"/>
        <v>230660</v>
      </c>
      <c r="H14" s="27">
        <f t="shared" si="5"/>
        <v>230660</v>
      </c>
      <c r="I14" s="27">
        <f t="shared" si="6"/>
        <v>230660</v>
      </c>
      <c r="J14" s="16">
        <f>'БА в тыс. руб.'!G14*1000</f>
        <v>230660</v>
      </c>
      <c r="K14" s="169">
        <f t="shared" si="0"/>
        <v>0</v>
      </c>
      <c r="L14" s="16">
        <f>'БА в тыс. руб.'!H14*1000</f>
        <v>230660</v>
      </c>
      <c r="M14" s="169">
        <f t="shared" si="1"/>
        <v>0</v>
      </c>
      <c r="N14" s="16">
        <f>'БА в тыс. руб.'!I14*1000</f>
        <v>230660</v>
      </c>
      <c r="O14" s="169">
        <f t="shared" si="2"/>
        <v>0</v>
      </c>
    </row>
    <row r="15" spans="1:15" s="3" customFormat="1" ht="25.5">
      <c r="A15" s="11" t="s">
        <v>108</v>
      </c>
      <c r="B15" s="25" t="s">
        <v>48</v>
      </c>
      <c r="C15" s="26" t="s">
        <v>65</v>
      </c>
      <c r="D15" s="26" t="s">
        <v>53</v>
      </c>
      <c r="E15" s="26" t="s">
        <v>201</v>
      </c>
      <c r="F15" s="26" t="s">
        <v>116</v>
      </c>
      <c r="G15" s="27">
        <f>G16</f>
        <v>6532610</v>
      </c>
      <c r="H15" s="27">
        <f t="shared" ref="H15:I15" si="7">H16</f>
        <v>6534600</v>
      </c>
      <c r="I15" s="27">
        <f t="shared" si="7"/>
        <v>6534600</v>
      </c>
      <c r="J15" s="16">
        <f>'БА в тыс. руб.'!G15*1000</f>
        <v>6532610</v>
      </c>
      <c r="K15" s="169">
        <f t="shared" si="0"/>
        <v>0</v>
      </c>
      <c r="L15" s="16">
        <f>'БА в тыс. руб.'!H15*1000</f>
        <v>6534600</v>
      </c>
      <c r="M15" s="169">
        <f t="shared" si="1"/>
        <v>0</v>
      </c>
      <c r="N15" s="16">
        <f>'БА в тыс. руб.'!I15*1000</f>
        <v>6534600</v>
      </c>
      <c r="O15" s="169">
        <f t="shared" si="2"/>
        <v>0</v>
      </c>
    </row>
    <row r="16" spans="1:15" s="4" customFormat="1" ht="25.5">
      <c r="A16" s="12" t="s">
        <v>973</v>
      </c>
      <c r="B16" s="25" t="s">
        <v>48</v>
      </c>
      <c r="C16" s="26" t="s">
        <v>65</v>
      </c>
      <c r="D16" s="26" t="s">
        <v>53</v>
      </c>
      <c r="E16" s="26" t="s">
        <v>201</v>
      </c>
      <c r="F16" s="26" t="s">
        <v>1043</v>
      </c>
      <c r="G16" s="27">
        <f>J16</f>
        <v>6532610</v>
      </c>
      <c r="H16" s="27">
        <f>L16</f>
        <v>6534600</v>
      </c>
      <c r="I16" s="27">
        <f>N16</f>
        <v>6534600</v>
      </c>
      <c r="J16" s="16">
        <f>'БА в тыс. руб.'!G16*1000</f>
        <v>6532610</v>
      </c>
      <c r="K16" s="169">
        <f t="shared" si="0"/>
        <v>0</v>
      </c>
      <c r="L16" s="16">
        <f>'БА в тыс. руб.'!H16*1000</f>
        <v>6534600</v>
      </c>
      <c r="M16" s="169">
        <f t="shared" si="1"/>
        <v>0</v>
      </c>
      <c r="N16" s="16">
        <f>'БА в тыс. руб.'!I16*1000</f>
        <v>6534600</v>
      </c>
      <c r="O16" s="169">
        <f t="shared" si="2"/>
        <v>0</v>
      </c>
    </row>
    <row r="17" spans="1:15" s="3" customFormat="1">
      <c r="A17" s="11" t="s">
        <v>97</v>
      </c>
      <c r="B17" s="25" t="s">
        <v>48</v>
      </c>
      <c r="C17" s="26" t="s">
        <v>65</v>
      </c>
      <c r="D17" s="26" t="s">
        <v>53</v>
      </c>
      <c r="E17" s="26" t="s">
        <v>201</v>
      </c>
      <c r="F17" s="26" t="s">
        <v>118</v>
      </c>
      <c r="G17" s="27">
        <f>SUM(G18:G19)</f>
        <v>164040</v>
      </c>
      <c r="H17" s="27">
        <f t="shared" ref="H17:I17" si="8">SUM(H18:H19)</f>
        <v>164040</v>
      </c>
      <c r="I17" s="27">
        <f t="shared" si="8"/>
        <v>164040</v>
      </c>
      <c r="J17" s="16">
        <f>'БА в тыс. руб.'!G17*1000</f>
        <v>164040.00000000003</v>
      </c>
      <c r="K17" s="169">
        <f t="shared" si="0"/>
        <v>0</v>
      </c>
      <c r="L17" s="16">
        <f>'БА в тыс. руб.'!H17*1000</f>
        <v>164040.00000000003</v>
      </c>
      <c r="M17" s="169">
        <f t="shared" si="1"/>
        <v>0</v>
      </c>
      <c r="N17" s="16">
        <f>'БА в тыс. руб.'!I17*1000</f>
        <v>164040.00000000003</v>
      </c>
      <c r="O17" s="169">
        <f t="shared" si="2"/>
        <v>0</v>
      </c>
    </row>
    <row r="18" spans="1:15" s="3" customFormat="1">
      <c r="A18" s="11" t="s">
        <v>1036</v>
      </c>
      <c r="B18" s="25" t="s">
        <v>48</v>
      </c>
      <c r="C18" s="26" t="s">
        <v>65</v>
      </c>
      <c r="D18" s="26" t="s">
        <v>53</v>
      </c>
      <c r="E18" s="26" t="s">
        <v>201</v>
      </c>
      <c r="F18" s="26" t="s">
        <v>1061</v>
      </c>
      <c r="G18" s="27">
        <f t="shared" ref="G18:G19" si="9">J18</f>
        <v>78370</v>
      </c>
      <c r="H18" s="27">
        <f t="shared" ref="H18:H19" si="10">L18</f>
        <v>78370</v>
      </c>
      <c r="I18" s="27">
        <f t="shared" ref="I18:I19" si="11">N18</f>
        <v>78370</v>
      </c>
      <c r="J18" s="16">
        <f>'БА в тыс. руб.'!G18*1000</f>
        <v>78370</v>
      </c>
      <c r="K18" s="169">
        <f t="shared" si="0"/>
        <v>0</v>
      </c>
      <c r="L18" s="16">
        <f>'БА в тыс. руб.'!H18*1000</f>
        <v>78370</v>
      </c>
      <c r="M18" s="169">
        <f t="shared" si="1"/>
        <v>0</v>
      </c>
      <c r="N18" s="16">
        <f>'БА в тыс. руб.'!I18*1000</f>
        <v>78370</v>
      </c>
      <c r="O18" s="169">
        <f t="shared" si="2"/>
        <v>0</v>
      </c>
    </row>
    <row r="19" spans="1:15" s="3" customFormat="1">
      <c r="A19" s="11" t="s">
        <v>1037</v>
      </c>
      <c r="B19" s="25" t="s">
        <v>48</v>
      </c>
      <c r="C19" s="26" t="s">
        <v>65</v>
      </c>
      <c r="D19" s="26" t="s">
        <v>53</v>
      </c>
      <c r="E19" s="26" t="s">
        <v>201</v>
      </c>
      <c r="F19" s="26" t="s">
        <v>1062</v>
      </c>
      <c r="G19" s="27">
        <f t="shared" si="9"/>
        <v>85670</v>
      </c>
      <c r="H19" s="27">
        <f t="shared" si="10"/>
        <v>85670</v>
      </c>
      <c r="I19" s="27">
        <f t="shared" si="11"/>
        <v>85670</v>
      </c>
      <c r="J19" s="16">
        <f>'БА в тыс. руб.'!G19*1000</f>
        <v>85670</v>
      </c>
      <c r="K19" s="169">
        <f t="shared" si="0"/>
        <v>0</v>
      </c>
      <c r="L19" s="16">
        <f>'БА в тыс. руб.'!H19*1000</f>
        <v>85670</v>
      </c>
      <c r="M19" s="169">
        <f t="shared" si="1"/>
        <v>0</v>
      </c>
      <c r="N19" s="16">
        <f>'БА в тыс. руб.'!I19*1000</f>
        <v>85670</v>
      </c>
      <c r="O19" s="169">
        <f t="shared" si="2"/>
        <v>0</v>
      </c>
    </row>
    <row r="20" spans="1:15" s="3" customFormat="1" ht="25.5">
      <c r="A20" s="11" t="s">
        <v>126</v>
      </c>
      <c r="B20" s="25" t="s">
        <v>48</v>
      </c>
      <c r="C20" s="26" t="s">
        <v>65</v>
      </c>
      <c r="D20" s="26" t="s">
        <v>53</v>
      </c>
      <c r="E20" s="26" t="s">
        <v>202</v>
      </c>
      <c r="F20" s="26" t="s">
        <v>58</v>
      </c>
      <c r="G20" s="27">
        <f>G21</f>
        <v>33280020</v>
      </c>
      <c r="H20" s="27">
        <f>H21</f>
        <v>33280020</v>
      </c>
      <c r="I20" s="27">
        <f>I21</f>
        <v>33280020</v>
      </c>
      <c r="J20" s="16">
        <f>'БА в тыс. руб.'!G20*1000</f>
        <v>33280019.999999996</v>
      </c>
      <c r="K20" s="169">
        <f t="shared" si="0"/>
        <v>0</v>
      </c>
      <c r="L20" s="16">
        <f>'БА в тыс. руб.'!H20*1000</f>
        <v>33280019.999999996</v>
      </c>
      <c r="M20" s="169">
        <f t="shared" si="1"/>
        <v>0</v>
      </c>
      <c r="N20" s="16">
        <f>'БА в тыс. руб.'!I20*1000</f>
        <v>33280019.999999996</v>
      </c>
      <c r="O20" s="169">
        <f t="shared" si="2"/>
        <v>0</v>
      </c>
    </row>
    <row r="21" spans="1:15" s="3" customFormat="1" ht="25.5">
      <c r="A21" s="11" t="s">
        <v>107</v>
      </c>
      <c r="B21" s="25" t="s">
        <v>48</v>
      </c>
      <c r="C21" s="26" t="s">
        <v>65</v>
      </c>
      <c r="D21" s="26" t="s">
        <v>53</v>
      </c>
      <c r="E21" s="26" t="s">
        <v>202</v>
      </c>
      <c r="F21" s="26" t="s">
        <v>115</v>
      </c>
      <c r="G21" s="27">
        <f>SUM(G22:G23)</f>
        <v>33280020</v>
      </c>
      <c r="H21" s="27">
        <f t="shared" ref="H21:I21" si="12">SUM(H22:H23)</f>
        <v>33280020</v>
      </c>
      <c r="I21" s="27">
        <f t="shared" si="12"/>
        <v>33280020</v>
      </c>
      <c r="J21" s="16">
        <f>'БА в тыс. руб.'!G21*1000</f>
        <v>33280019.999999996</v>
      </c>
      <c r="K21" s="169">
        <f t="shared" si="0"/>
        <v>0</v>
      </c>
      <c r="L21" s="16">
        <f>'БА в тыс. руб.'!H21*1000</f>
        <v>33280019.999999996</v>
      </c>
      <c r="M21" s="169">
        <f t="shared" si="1"/>
        <v>0</v>
      </c>
      <c r="N21" s="16">
        <f>'БА в тыс. руб.'!I21*1000</f>
        <v>33280019.999999996</v>
      </c>
      <c r="O21" s="169">
        <f t="shared" si="2"/>
        <v>0</v>
      </c>
    </row>
    <row r="22" spans="1:15" s="3" customFormat="1">
      <c r="A22" s="11" t="s">
        <v>936</v>
      </c>
      <c r="B22" s="25" t="s">
        <v>48</v>
      </c>
      <c r="C22" s="26" t="s">
        <v>65</v>
      </c>
      <c r="D22" s="26" t="s">
        <v>53</v>
      </c>
      <c r="E22" s="26" t="s">
        <v>202</v>
      </c>
      <c r="F22" s="26" t="s">
        <v>1063</v>
      </c>
      <c r="G22" s="27">
        <f t="shared" ref="G22:G23" si="13">J22</f>
        <v>25560710</v>
      </c>
      <c r="H22" s="27">
        <f t="shared" ref="H22:H23" si="14">L22</f>
        <v>25560710</v>
      </c>
      <c r="I22" s="27">
        <f t="shared" ref="I22:I23" si="15">N22</f>
        <v>25560710</v>
      </c>
      <c r="J22" s="16">
        <f>'БА в тыс. руб.'!G22*1000</f>
        <v>25560710</v>
      </c>
      <c r="K22" s="169">
        <f t="shared" si="0"/>
        <v>0</v>
      </c>
      <c r="L22" s="16">
        <f>'БА в тыс. руб.'!H22*1000</f>
        <v>25560710</v>
      </c>
      <c r="M22" s="169">
        <f t="shared" si="1"/>
        <v>0</v>
      </c>
      <c r="N22" s="16">
        <f>'БА в тыс. руб.'!I22*1000</f>
        <v>25560710</v>
      </c>
      <c r="O22" s="169">
        <f t="shared" si="2"/>
        <v>0</v>
      </c>
    </row>
    <row r="23" spans="1:15" s="3" customFormat="1" ht="38.25">
      <c r="A23" s="11" t="s">
        <v>939</v>
      </c>
      <c r="B23" s="25" t="s">
        <v>48</v>
      </c>
      <c r="C23" s="26" t="s">
        <v>65</v>
      </c>
      <c r="D23" s="26" t="s">
        <v>53</v>
      </c>
      <c r="E23" s="26" t="s">
        <v>202</v>
      </c>
      <c r="F23" s="26" t="s">
        <v>1060</v>
      </c>
      <c r="G23" s="27">
        <f t="shared" si="13"/>
        <v>7719309.9999999991</v>
      </c>
      <c r="H23" s="27">
        <f t="shared" si="14"/>
        <v>7719309.9999999991</v>
      </c>
      <c r="I23" s="27">
        <f t="shared" si="15"/>
        <v>7719309.9999999991</v>
      </c>
      <c r="J23" s="16">
        <f>'БА в тыс. руб.'!G23*1000</f>
        <v>7719309.9999999991</v>
      </c>
      <c r="K23" s="169">
        <f t="shared" si="0"/>
        <v>0</v>
      </c>
      <c r="L23" s="16">
        <f>'БА в тыс. руб.'!H23*1000</f>
        <v>7719309.9999999991</v>
      </c>
      <c r="M23" s="169">
        <f t="shared" si="1"/>
        <v>0</v>
      </c>
      <c r="N23" s="16">
        <f>'БА в тыс. руб.'!I23*1000</f>
        <v>7719309.9999999991</v>
      </c>
      <c r="O23" s="169">
        <f t="shared" si="2"/>
        <v>0</v>
      </c>
    </row>
    <row r="24" spans="1:15" s="3" customFormat="1" ht="25.5">
      <c r="A24" s="11" t="s">
        <v>831</v>
      </c>
      <c r="B24" s="25" t="s">
        <v>48</v>
      </c>
      <c r="C24" s="26" t="s">
        <v>65</v>
      </c>
      <c r="D24" s="26" t="s">
        <v>53</v>
      </c>
      <c r="E24" s="26" t="s">
        <v>198</v>
      </c>
      <c r="F24" s="26" t="s">
        <v>58</v>
      </c>
      <c r="G24" s="27">
        <f>G29+G25</f>
        <v>1593550</v>
      </c>
      <c r="H24" s="27">
        <f>H29+H25</f>
        <v>1593550</v>
      </c>
      <c r="I24" s="27">
        <f>I29+I25</f>
        <v>1593550</v>
      </c>
      <c r="J24" s="16">
        <f>'БА в тыс. руб.'!G24*1000</f>
        <v>1593550</v>
      </c>
      <c r="K24" s="169">
        <f t="shared" si="0"/>
        <v>0</v>
      </c>
      <c r="L24" s="16">
        <f>'БА в тыс. руб.'!H24*1000</f>
        <v>1593550</v>
      </c>
      <c r="M24" s="169">
        <f t="shared" si="1"/>
        <v>0</v>
      </c>
      <c r="N24" s="16">
        <f>'БА в тыс. руб.'!I24*1000</f>
        <v>1593550</v>
      </c>
      <c r="O24" s="169">
        <f t="shared" si="2"/>
        <v>0</v>
      </c>
    </row>
    <row r="25" spans="1:15" s="3" customFormat="1" ht="25.5">
      <c r="A25" s="11" t="s">
        <v>114</v>
      </c>
      <c r="B25" s="25" t="s">
        <v>48</v>
      </c>
      <c r="C25" s="26" t="s">
        <v>65</v>
      </c>
      <c r="D25" s="26" t="s">
        <v>53</v>
      </c>
      <c r="E25" s="26" t="s">
        <v>628</v>
      </c>
      <c r="F25" s="26" t="s">
        <v>58</v>
      </c>
      <c r="G25" s="27">
        <f>G26</f>
        <v>41550</v>
      </c>
      <c r="H25" s="27">
        <f>H26</f>
        <v>41550</v>
      </c>
      <c r="I25" s="27">
        <f>I26</f>
        <v>41550</v>
      </c>
      <c r="J25" s="16">
        <f>'БА в тыс. руб.'!G25*1000</f>
        <v>41550</v>
      </c>
      <c r="K25" s="169">
        <f t="shared" si="0"/>
        <v>0</v>
      </c>
      <c r="L25" s="16">
        <f>'БА в тыс. руб.'!H25*1000</f>
        <v>41550</v>
      </c>
      <c r="M25" s="169">
        <f t="shared" si="1"/>
        <v>0</v>
      </c>
      <c r="N25" s="16">
        <f>'БА в тыс. руб.'!I25*1000</f>
        <v>41550</v>
      </c>
      <c r="O25" s="169">
        <f t="shared" si="2"/>
        <v>0</v>
      </c>
    </row>
    <row r="26" spans="1:15" s="3" customFormat="1" ht="25.5">
      <c r="A26" s="11" t="s">
        <v>107</v>
      </c>
      <c r="B26" s="25" t="s">
        <v>48</v>
      </c>
      <c r="C26" s="26" t="s">
        <v>65</v>
      </c>
      <c r="D26" s="26" t="s">
        <v>53</v>
      </c>
      <c r="E26" s="26" t="s">
        <v>628</v>
      </c>
      <c r="F26" s="26" t="s">
        <v>115</v>
      </c>
      <c r="G26" s="27">
        <f>SUM(G27:G28)</f>
        <v>41550</v>
      </c>
      <c r="H26" s="27">
        <f t="shared" ref="H26:I26" si="16">SUM(H27:H28)</f>
        <v>41550</v>
      </c>
      <c r="I26" s="27">
        <f t="shared" si="16"/>
        <v>41550</v>
      </c>
      <c r="J26" s="16">
        <f>'БА в тыс. руб.'!G26*1000</f>
        <v>41550</v>
      </c>
      <c r="K26" s="169">
        <f t="shared" si="0"/>
        <v>0</v>
      </c>
      <c r="L26" s="16">
        <f>'БА в тыс. руб.'!H26*1000</f>
        <v>41550</v>
      </c>
      <c r="M26" s="169">
        <f t="shared" si="1"/>
        <v>0</v>
      </c>
      <c r="N26" s="16">
        <f>'БА в тыс. руб.'!I26*1000</f>
        <v>41550</v>
      </c>
      <c r="O26" s="169">
        <f t="shared" si="2"/>
        <v>0</v>
      </c>
    </row>
    <row r="27" spans="1:15" s="3" customFormat="1" ht="25.5">
      <c r="A27" s="11" t="s">
        <v>937</v>
      </c>
      <c r="B27" s="25" t="s">
        <v>48</v>
      </c>
      <c r="C27" s="26" t="s">
        <v>65</v>
      </c>
      <c r="D27" s="26" t="s">
        <v>53</v>
      </c>
      <c r="E27" s="26" t="s">
        <v>628</v>
      </c>
      <c r="F27" s="26" t="s">
        <v>1059</v>
      </c>
      <c r="G27" s="27">
        <f t="shared" ref="G27:G28" si="17">J27</f>
        <v>31910</v>
      </c>
      <c r="H27" s="27">
        <f t="shared" ref="H27:H28" si="18">L27</f>
        <v>31910</v>
      </c>
      <c r="I27" s="27">
        <f t="shared" ref="I27:I28" si="19">N27</f>
        <v>31910</v>
      </c>
      <c r="J27" s="16">
        <f>'БА в тыс. руб.'!G27*1000</f>
        <v>31910</v>
      </c>
      <c r="K27" s="169">
        <f t="shared" si="0"/>
        <v>0</v>
      </c>
      <c r="L27" s="16">
        <f>'БА в тыс. руб.'!H27*1000</f>
        <v>31910</v>
      </c>
      <c r="M27" s="169">
        <f t="shared" si="1"/>
        <v>0</v>
      </c>
      <c r="N27" s="16">
        <f>'БА в тыс. руб.'!I27*1000</f>
        <v>31910</v>
      </c>
      <c r="O27" s="169">
        <f t="shared" si="2"/>
        <v>0</v>
      </c>
    </row>
    <row r="28" spans="1:15" s="3" customFormat="1" ht="38.25">
      <c r="A28" s="11" t="s">
        <v>939</v>
      </c>
      <c r="B28" s="25" t="s">
        <v>48</v>
      </c>
      <c r="C28" s="26" t="s">
        <v>65</v>
      </c>
      <c r="D28" s="26" t="s">
        <v>53</v>
      </c>
      <c r="E28" s="26" t="s">
        <v>628</v>
      </c>
      <c r="F28" s="26" t="s">
        <v>1060</v>
      </c>
      <c r="G28" s="27">
        <f t="shared" si="17"/>
        <v>9640</v>
      </c>
      <c r="H28" s="27">
        <f t="shared" si="18"/>
        <v>9640</v>
      </c>
      <c r="I28" s="27">
        <f t="shared" si="19"/>
        <v>9640</v>
      </c>
      <c r="J28" s="16">
        <f>'БА в тыс. руб.'!G28*1000</f>
        <v>9640</v>
      </c>
      <c r="K28" s="169">
        <f t="shared" si="0"/>
        <v>0</v>
      </c>
      <c r="L28" s="16">
        <f>'БА в тыс. руб.'!H28*1000</f>
        <v>9640</v>
      </c>
      <c r="M28" s="169">
        <f t="shared" si="1"/>
        <v>0</v>
      </c>
      <c r="N28" s="16">
        <f>'БА в тыс. руб.'!I28*1000</f>
        <v>9640</v>
      </c>
      <c r="O28" s="169">
        <f t="shared" si="2"/>
        <v>0</v>
      </c>
    </row>
    <row r="29" spans="1:15" s="3" customFormat="1" ht="25.5">
      <c r="A29" s="11" t="s">
        <v>126</v>
      </c>
      <c r="B29" s="25" t="s">
        <v>48</v>
      </c>
      <c r="C29" s="26" t="s">
        <v>65</v>
      </c>
      <c r="D29" s="26" t="s">
        <v>53</v>
      </c>
      <c r="E29" s="26" t="s">
        <v>199</v>
      </c>
      <c r="F29" s="26" t="s">
        <v>58</v>
      </c>
      <c r="G29" s="27">
        <f>G30</f>
        <v>1552000</v>
      </c>
      <c r="H29" s="27">
        <f>H30</f>
        <v>1552000</v>
      </c>
      <c r="I29" s="27">
        <f>I30</f>
        <v>1552000</v>
      </c>
      <c r="J29" s="16">
        <f>'БА в тыс. руб.'!G29*1000</f>
        <v>1552000</v>
      </c>
      <c r="K29" s="169">
        <f t="shared" si="0"/>
        <v>0</v>
      </c>
      <c r="L29" s="16">
        <f>'БА в тыс. руб.'!H29*1000</f>
        <v>1552000</v>
      </c>
      <c r="M29" s="169">
        <f t="shared" si="1"/>
        <v>0</v>
      </c>
      <c r="N29" s="16">
        <f>'БА в тыс. руб.'!I29*1000</f>
        <v>1552000</v>
      </c>
      <c r="O29" s="169">
        <f t="shared" si="2"/>
        <v>0</v>
      </c>
    </row>
    <row r="30" spans="1:15" s="3" customFormat="1" ht="25.5">
      <c r="A30" s="11" t="s">
        <v>107</v>
      </c>
      <c r="B30" s="25" t="s">
        <v>48</v>
      </c>
      <c r="C30" s="26" t="s">
        <v>65</v>
      </c>
      <c r="D30" s="26" t="s">
        <v>53</v>
      </c>
      <c r="E30" s="26" t="s">
        <v>199</v>
      </c>
      <c r="F30" s="26" t="s">
        <v>115</v>
      </c>
      <c r="G30" s="27">
        <f>SUM(G31:G32)</f>
        <v>1552000</v>
      </c>
      <c r="H30" s="27">
        <f t="shared" ref="H30:I30" si="20">SUM(H31:H32)</f>
        <v>1552000</v>
      </c>
      <c r="I30" s="27">
        <f t="shared" si="20"/>
        <v>1552000</v>
      </c>
      <c r="J30" s="16">
        <f>'БА в тыс. руб.'!G30*1000</f>
        <v>1552000</v>
      </c>
      <c r="K30" s="169">
        <f t="shared" si="0"/>
        <v>0</v>
      </c>
      <c r="L30" s="16">
        <f>'БА в тыс. руб.'!H30*1000</f>
        <v>1552000</v>
      </c>
      <c r="M30" s="169">
        <f t="shared" si="1"/>
        <v>0</v>
      </c>
      <c r="N30" s="16">
        <f>'БА в тыс. руб.'!I30*1000</f>
        <v>1552000</v>
      </c>
      <c r="O30" s="169">
        <f t="shared" si="2"/>
        <v>0</v>
      </c>
    </row>
    <row r="31" spans="1:15" s="3" customFormat="1">
      <c r="A31" s="11" t="s">
        <v>936</v>
      </c>
      <c r="B31" s="25" t="s">
        <v>48</v>
      </c>
      <c r="C31" s="26" t="s">
        <v>65</v>
      </c>
      <c r="D31" s="26" t="s">
        <v>53</v>
      </c>
      <c r="E31" s="26" t="s">
        <v>199</v>
      </c>
      <c r="F31" s="26" t="s">
        <v>1063</v>
      </c>
      <c r="G31" s="27">
        <f t="shared" ref="G31:G32" si="21">J31</f>
        <v>1192000</v>
      </c>
      <c r="H31" s="27">
        <f t="shared" ref="H31:H32" si="22">L31</f>
        <v>1192000</v>
      </c>
      <c r="I31" s="27">
        <f t="shared" ref="I31:I32" si="23">N31</f>
        <v>1192000</v>
      </c>
      <c r="J31" s="16">
        <f>'БА в тыс. руб.'!G31*1000</f>
        <v>1192000</v>
      </c>
      <c r="K31" s="169">
        <f t="shared" si="0"/>
        <v>0</v>
      </c>
      <c r="L31" s="16">
        <f>'БА в тыс. руб.'!H31*1000</f>
        <v>1192000</v>
      </c>
      <c r="M31" s="169">
        <f t="shared" si="1"/>
        <v>0</v>
      </c>
      <c r="N31" s="16">
        <f>'БА в тыс. руб.'!I31*1000</f>
        <v>1192000</v>
      </c>
      <c r="O31" s="169">
        <f t="shared" si="2"/>
        <v>0</v>
      </c>
    </row>
    <row r="32" spans="1:15" s="3" customFormat="1" ht="38.25">
      <c r="A32" s="11" t="s">
        <v>939</v>
      </c>
      <c r="B32" s="25" t="s">
        <v>48</v>
      </c>
      <c r="C32" s="26" t="s">
        <v>65</v>
      </c>
      <c r="D32" s="26" t="s">
        <v>53</v>
      </c>
      <c r="E32" s="26" t="s">
        <v>199</v>
      </c>
      <c r="F32" s="26" t="s">
        <v>1060</v>
      </c>
      <c r="G32" s="27">
        <f t="shared" si="21"/>
        <v>360000</v>
      </c>
      <c r="H32" s="27">
        <f t="shared" si="22"/>
        <v>360000</v>
      </c>
      <c r="I32" s="27">
        <f t="shared" si="23"/>
        <v>360000</v>
      </c>
      <c r="J32" s="16">
        <f>'БА в тыс. руб.'!G32*1000</f>
        <v>360000</v>
      </c>
      <c r="K32" s="169">
        <f t="shared" si="0"/>
        <v>0</v>
      </c>
      <c r="L32" s="16">
        <f>'БА в тыс. руб.'!H32*1000</f>
        <v>360000</v>
      </c>
      <c r="M32" s="169">
        <f t="shared" si="1"/>
        <v>0</v>
      </c>
      <c r="N32" s="16">
        <f>'БА в тыс. руб.'!I32*1000</f>
        <v>360000</v>
      </c>
      <c r="O32" s="169">
        <f t="shared" si="2"/>
        <v>0</v>
      </c>
    </row>
    <row r="33" spans="1:15" s="3" customFormat="1">
      <c r="A33" s="11" t="s">
        <v>28</v>
      </c>
      <c r="B33" s="25" t="s">
        <v>48</v>
      </c>
      <c r="C33" s="26" t="s">
        <v>65</v>
      </c>
      <c r="D33" s="26" t="s">
        <v>53</v>
      </c>
      <c r="E33" s="26" t="s">
        <v>203</v>
      </c>
      <c r="F33" s="26" t="s">
        <v>58</v>
      </c>
      <c r="G33" s="27">
        <f>G38+G34</f>
        <v>2108270</v>
      </c>
      <c r="H33" s="27">
        <f>H38+H34</f>
        <v>2108270</v>
      </c>
      <c r="I33" s="27">
        <f>I38+I34</f>
        <v>2108270</v>
      </c>
      <c r="J33" s="16">
        <f>'БА в тыс. руб.'!G33*1000</f>
        <v>2108270</v>
      </c>
      <c r="K33" s="169">
        <f t="shared" si="0"/>
        <v>0</v>
      </c>
      <c r="L33" s="16">
        <f>'БА в тыс. руб.'!H33*1000</f>
        <v>2108270</v>
      </c>
      <c r="M33" s="169">
        <f t="shared" si="1"/>
        <v>0</v>
      </c>
      <c r="N33" s="16">
        <f>'БА в тыс. руб.'!I33*1000</f>
        <v>2108270</v>
      </c>
      <c r="O33" s="169">
        <f t="shared" si="2"/>
        <v>0</v>
      </c>
    </row>
    <row r="34" spans="1:15" s="3" customFormat="1" ht="25.5">
      <c r="A34" s="11" t="s">
        <v>114</v>
      </c>
      <c r="B34" s="25" t="s">
        <v>48</v>
      </c>
      <c r="C34" s="26" t="s">
        <v>65</v>
      </c>
      <c r="D34" s="26" t="s">
        <v>53</v>
      </c>
      <c r="E34" s="26" t="s">
        <v>643</v>
      </c>
      <c r="F34" s="26" t="s">
        <v>58</v>
      </c>
      <c r="G34" s="27">
        <f>G35</f>
        <v>83110</v>
      </c>
      <c r="H34" s="27">
        <f>H35</f>
        <v>83110</v>
      </c>
      <c r="I34" s="27">
        <f>I35</f>
        <v>83110</v>
      </c>
      <c r="J34" s="16">
        <f>'БА в тыс. руб.'!G34*1000</f>
        <v>83110</v>
      </c>
      <c r="K34" s="169">
        <f t="shared" si="0"/>
        <v>0</v>
      </c>
      <c r="L34" s="16">
        <f>'БА в тыс. руб.'!H34*1000</f>
        <v>83110</v>
      </c>
      <c r="M34" s="169">
        <f t="shared" si="1"/>
        <v>0</v>
      </c>
      <c r="N34" s="16">
        <f>'БА в тыс. руб.'!I34*1000</f>
        <v>83110</v>
      </c>
      <c r="O34" s="169">
        <f t="shared" si="2"/>
        <v>0</v>
      </c>
    </row>
    <row r="35" spans="1:15" s="3" customFormat="1" ht="25.5">
      <c r="A35" s="11" t="s">
        <v>107</v>
      </c>
      <c r="B35" s="25" t="s">
        <v>48</v>
      </c>
      <c r="C35" s="26" t="s">
        <v>65</v>
      </c>
      <c r="D35" s="26" t="s">
        <v>53</v>
      </c>
      <c r="E35" s="26" t="s">
        <v>643</v>
      </c>
      <c r="F35" s="26" t="s">
        <v>115</v>
      </c>
      <c r="G35" s="27">
        <f>SUM(G36:G37)</f>
        <v>83110</v>
      </c>
      <c r="H35" s="27">
        <f t="shared" ref="H35:I35" si="24">SUM(H36:H37)</f>
        <v>83110</v>
      </c>
      <c r="I35" s="27">
        <f t="shared" si="24"/>
        <v>83110</v>
      </c>
      <c r="J35" s="16">
        <f>'БА в тыс. руб.'!G35*1000</f>
        <v>83110</v>
      </c>
      <c r="K35" s="169">
        <f t="shared" si="0"/>
        <v>0</v>
      </c>
      <c r="L35" s="16">
        <f>'БА в тыс. руб.'!H35*1000</f>
        <v>83110</v>
      </c>
      <c r="M35" s="169">
        <f t="shared" si="1"/>
        <v>0</v>
      </c>
      <c r="N35" s="16">
        <f>'БА в тыс. руб.'!I35*1000</f>
        <v>83110</v>
      </c>
      <c r="O35" s="169">
        <f t="shared" si="2"/>
        <v>0</v>
      </c>
    </row>
    <row r="36" spans="1:15" s="3" customFormat="1" ht="25.5">
      <c r="A36" s="11" t="s">
        <v>937</v>
      </c>
      <c r="B36" s="25" t="s">
        <v>48</v>
      </c>
      <c r="C36" s="26" t="s">
        <v>65</v>
      </c>
      <c r="D36" s="26" t="s">
        <v>53</v>
      </c>
      <c r="E36" s="26" t="s">
        <v>643</v>
      </c>
      <c r="F36" s="26" t="s">
        <v>1059</v>
      </c>
      <c r="G36" s="27">
        <f t="shared" ref="G36:G37" si="25">J36</f>
        <v>63830</v>
      </c>
      <c r="H36" s="27">
        <f t="shared" ref="H36:H37" si="26">L36</f>
        <v>63830</v>
      </c>
      <c r="I36" s="27">
        <f t="shared" ref="I36:I37" si="27">N36</f>
        <v>63830</v>
      </c>
      <c r="J36" s="16">
        <f>'БА в тыс. руб.'!G36*1000</f>
        <v>63830</v>
      </c>
      <c r="K36" s="169">
        <f t="shared" si="0"/>
        <v>0</v>
      </c>
      <c r="L36" s="16">
        <f>'БА в тыс. руб.'!H36*1000</f>
        <v>63830</v>
      </c>
      <c r="M36" s="169">
        <f t="shared" si="1"/>
        <v>0</v>
      </c>
      <c r="N36" s="16">
        <f>'БА в тыс. руб.'!I36*1000</f>
        <v>63830</v>
      </c>
      <c r="O36" s="169">
        <f t="shared" si="2"/>
        <v>0</v>
      </c>
    </row>
    <row r="37" spans="1:15" s="3" customFormat="1" ht="38.25">
      <c r="A37" s="11" t="s">
        <v>939</v>
      </c>
      <c r="B37" s="25" t="s">
        <v>48</v>
      </c>
      <c r="C37" s="26" t="s">
        <v>65</v>
      </c>
      <c r="D37" s="26" t="s">
        <v>53</v>
      </c>
      <c r="E37" s="26" t="s">
        <v>643</v>
      </c>
      <c r="F37" s="26" t="s">
        <v>1060</v>
      </c>
      <c r="G37" s="27">
        <f t="shared" si="25"/>
        <v>19280</v>
      </c>
      <c r="H37" s="27">
        <f t="shared" si="26"/>
        <v>19280</v>
      </c>
      <c r="I37" s="27">
        <f t="shared" si="27"/>
        <v>19280</v>
      </c>
      <c r="J37" s="16">
        <f>'БА в тыс. руб.'!G37*1000</f>
        <v>19280</v>
      </c>
      <c r="K37" s="169">
        <f t="shared" si="0"/>
        <v>0</v>
      </c>
      <c r="L37" s="16">
        <f>'БА в тыс. руб.'!H37*1000</f>
        <v>19280</v>
      </c>
      <c r="M37" s="169">
        <f t="shared" si="1"/>
        <v>0</v>
      </c>
      <c r="N37" s="16">
        <f>'БА в тыс. руб.'!I37*1000</f>
        <v>19280</v>
      </c>
      <c r="O37" s="169">
        <f t="shared" si="2"/>
        <v>0</v>
      </c>
    </row>
    <row r="38" spans="1:15" s="3" customFormat="1" ht="25.5">
      <c r="A38" s="11" t="s">
        <v>126</v>
      </c>
      <c r="B38" s="25" t="s">
        <v>48</v>
      </c>
      <c r="C38" s="26" t="s">
        <v>65</v>
      </c>
      <c r="D38" s="26" t="s">
        <v>53</v>
      </c>
      <c r="E38" s="26" t="s">
        <v>204</v>
      </c>
      <c r="F38" s="26" t="s">
        <v>58</v>
      </c>
      <c r="G38" s="27">
        <f>G39</f>
        <v>2025160</v>
      </c>
      <c r="H38" s="27">
        <f>H39</f>
        <v>2025160</v>
      </c>
      <c r="I38" s="27">
        <f>I39</f>
        <v>2025160</v>
      </c>
      <c r="J38" s="16">
        <f>'БА в тыс. руб.'!G38*1000</f>
        <v>2025160</v>
      </c>
      <c r="K38" s="169">
        <f t="shared" si="0"/>
        <v>0</v>
      </c>
      <c r="L38" s="16">
        <f>'БА в тыс. руб.'!H38*1000</f>
        <v>2025160</v>
      </c>
      <c r="M38" s="169">
        <f t="shared" si="1"/>
        <v>0</v>
      </c>
      <c r="N38" s="16">
        <f>'БА в тыс. руб.'!I38*1000</f>
        <v>2025160</v>
      </c>
      <c r="O38" s="169">
        <f t="shared" si="2"/>
        <v>0</v>
      </c>
    </row>
    <row r="39" spans="1:15" s="3" customFormat="1" ht="25.5">
      <c r="A39" s="11" t="s">
        <v>107</v>
      </c>
      <c r="B39" s="25" t="s">
        <v>48</v>
      </c>
      <c r="C39" s="26" t="s">
        <v>65</v>
      </c>
      <c r="D39" s="26" t="s">
        <v>53</v>
      </c>
      <c r="E39" s="26" t="s">
        <v>204</v>
      </c>
      <c r="F39" s="26" t="s">
        <v>115</v>
      </c>
      <c r="G39" s="27">
        <f>SUM(G40:G41)</f>
        <v>2025160</v>
      </c>
      <c r="H39" s="27">
        <f t="shared" ref="H39:I39" si="28">SUM(H40:H41)</f>
        <v>2025160</v>
      </c>
      <c r="I39" s="27">
        <f t="shared" si="28"/>
        <v>2025160</v>
      </c>
      <c r="J39" s="16">
        <f>'БА в тыс. руб.'!G39*1000</f>
        <v>2025160</v>
      </c>
      <c r="K39" s="169">
        <f t="shared" si="0"/>
        <v>0</v>
      </c>
      <c r="L39" s="16">
        <f>'БА в тыс. руб.'!H39*1000</f>
        <v>2025160</v>
      </c>
      <c r="M39" s="169">
        <f t="shared" si="1"/>
        <v>0</v>
      </c>
      <c r="N39" s="16">
        <f>'БА в тыс. руб.'!I39*1000</f>
        <v>2025160</v>
      </c>
      <c r="O39" s="169">
        <f t="shared" si="2"/>
        <v>0</v>
      </c>
    </row>
    <row r="40" spans="1:15" s="3" customFormat="1">
      <c r="A40" s="11" t="s">
        <v>936</v>
      </c>
      <c r="B40" s="25" t="s">
        <v>48</v>
      </c>
      <c r="C40" s="26" t="s">
        <v>65</v>
      </c>
      <c r="D40" s="26" t="s">
        <v>53</v>
      </c>
      <c r="E40" s="26" t="s">
        <v>204</v>
      </c>
      <c r="F40" s="26" t="s">
        <v>1063</v>
      </c>
      <c r="G40" s="27">
        <f t="shared" ref="G40:G41" si="29">J40</f>
        <v>1555420</v>
      </c>
      <c r="H40" s="27">
        <f t="shared" ref="H40:H41" si="30">L40</f>
        <v>1555420</v>
      </c>
      <c r="I40" s="27">
        <f t="shared" ref="I40:I41" si="31">N40</f>
        <v>1555420</v>
      </c>
      <c r="J40" s="16">
        <f>'БА в тыс. руб.'!G40*1000</f>
        <v>1555420</v>
      </c>
      <c r="K40" s="169">
        <f t="shared" si="0"/>
        <v>0</v>
      </c>
      <c r="L40" s="16">
        <f>'БА в тыс. руб.'!H40*1000</f>
        <v>1555420</v>
      </c>
      <c r="M40" s="169">
        <f t="shared" si="1"/>
        <v>0</v>
      </c>
      <c r="N40" s="16">
        <f>'БА в тыс. руб.'!I40*1000</f>
        <v>1555420</v>
      </c>
      <c r="O40" s="169">
        <f t="shared" si="2"/>
        <v>0</v>
      </c>
    </row>
    <row r="41" spans="1:15" s="3" customFormat="1" ht="38.25">
      <c r="A41" s="11" t="s">
        <v>939</v>
      </c>
      <c r="B41" s="25" t="s">
        <v>48</v>
      </c>
      <c r="C41" s="26" t="s">
        <v>65</v>
      </c>
      <c r="D41" s="26" t="s">
        <v>53</v>
      </c>
      <c r="E41" s="26" t="s">
        <v>204</v>
      </c>
      <c r="F41" s="26" t="s">
        <v>1060</v>
      </c>
      <c r="G41" s="27">
        <f t="shared" si="29"/>
        <v>469740</v>
      </c>
      <c r="H41" s="27">
        <f t="shared" si="30"/>
        <v>469740</v>
      </c>
      <c r="I41" s="27">
        <f t="shared" si="31"/>
        <v>469740</v>
      </c>
      <c r="J41" s="16">
        <f>'БА в тыс. руб.'!G41*1000</f>
        <v>469740</v>
      </c>
      <c r="K41" s="169">
        <f t="shared" si="0"/>
        <v>0</v>
      </c>
      <c r="L41" s="16">
        <f>'БА в тыс. руб.'!H41*1000</f>
        <v>469740</v>
      </c>
      <c r="M41" s="169">
        <f t="shared" si="1"/>
        <v>0</v>
      </c>
      <c r="N41" s="16">
        <f>'БА в тыс. руб.'!I41*1000</f>
        <v>469740</v>
      </c>
      <c r="O41" s="169">
        <f t="shared" si="2"/>
        <v>0</v>
      </c>
    </row>
    <row r="42" spans="1:15" s="3" customFormat="1">
      <c r="A42" s="21" t="s">
        <v>38</v>
      </c>
      <c r="B42" s="22" t="s">
        <v>48</v>
      </c>
      <c r="C42" s="23" t="s">
        <v>65</v>
      </c>
      <c r="D42" s="23" t="s">
        <v>84</v>
      </c>
      <c r="E42" s="23" t="s">
        <v>196</v>
      </c>
      <c r="F42" s="23" t="s">
        <v>58</v>
      </c>
      <c r="G42" s="24">
        <f t="shared" ref="G42:I44" si="32">G43</f>
        <v>500000</v>
      </c>
      <c r="H42" s="24">
        <f t="shared" si="32"/>
        <v>500000</v>
      </c>
      <c r="I42" s="24">
        <f t="shared" si="32"/>
        <v>500000</v>
      </c>
      <c r="J42" s="16">
        <f>'БА в тыс. руб.'!G42*1000</f>
        <v>500000</v>
      </c>
      <c r="K42" s="169">
        <f t="shared" si="0"/>
        <v>0</v>
      </c>
      <c r="L42" s="16">
        <f>'БА в тыс. руб.'!H42*1000</f>
        <v>500000</v>
      </c>
      <c r="M42" s="169">
        <f t="shared" si="1"/>
        <v>0</v>
      </c>
      <c r="N42" s="16">
        <f>'БА в тыс. руб.'!I42*1000</f>
        <v>500000</v>
      </c>
      <c r="O42" s="169">
        <f t="shared" si="2"/>
        <v>0</v>
      </c>
    </row>
    <row r="43" spans="1:15" s="3" customFormat="1">
      <c r="A43" s="11" t="s">
        <v>124</v>
      </c>
      <c r="B43" s="25" t="s">
        <v>48</v>
      </c>
      <c r="C43" s="26" t="s">
        <v>65</v>
      </c>
      <c r="D43" s="26" t="s">
        <v>84</v>
      </c>
      <c r="E43" s="26" t="s">
        <v>197</v>
      </c>
      <c r="F43" s="26" t="s">
        <v>58</v>
      </c>
      <c r="G43" s="27">
        <f>G44</f>
        <v>500000</v>
      </c>
      <c r="H43" s="27">
        <f t="shared" si="32"/>
        <v>500000</v>
      </c>
      <c r="I43" s="27">
        <f t="shared" si="32"/>
        <v>500000</v>
      </c>
      <c r="J43" s="16">
        <f>'БА в тыс. руб.'!G43*1000</f>
        <v>500000</v>
      </c>
      <c r="K43" s="169">
        <f t="shared" si="0"/>
        <v>0</v>
      </c>
      <c r="L43" s="16">
        <f>'БА в тыс. руб.'!H43*1000</f>
        <v>500000</v>
      </c>
      <c r="M43" s="169">
        <f t="shared" si="1"/>
        <v>0</v>
      </c>
      <c r="N43" s="16">
        <f>'БА в тыс. руб.'!I43*1000</f>
        <v>500000</v>
      </c>
      <c r="O43" s="169">
        <f t="shared" si="2"/>
        <v>0</v>
      </c>
    </row>
    <row r="44" spans="1:15" s="3" customFormat="1">
      <c r="A44" s="11" t="s">
        <v>175</v>
      </c>
      <c r="B44" s="25" t="s">
        <v>48</v>
      </c>
      <c r="C44" s="26" t="s">
        <v>65</v>
      </c>
      <c r="D44" s="26" t="s">
        <v>84</v>
      </c>
      <c r="E44" s="26" t="s">
        <v>205</v>
      </c>
      <c r="F44" s="26" t="s">
        <v>58</v>
      </c>
      <c r="G44" s="27">
        <f>G45</f>
        <v>500000</v>
      </c>
      <c r="H44" s="27">
        <f t="shared" si="32"/>
        <v>500000</v>
      </c>
      <c r="I44" s="27">
        <f t="shared" si="32"/>
        <v>500000</v>
      </c>
      <c r="J44" s="16">
        <f>'БА в тыс. руб.'!G44*1000</f>
        <v>500000</v>
      </c>
      <c r="K44" s="169">
        <f t="shared" si="0"/>
        <v>0</v>
      </c>
      <c r="L44" s="16">
        <f>'БА в тыс. руб.'!H44*1000</f>
        <v>500000</v>
      </c>
      <c r="M44" s="169">
        <f t="shared" si="1"/>
        <v>0</v>
      </c>
      <c r="N44" s="16">
        <f>'БА в тыс. руб.'!I44*1000</f>
        <v>500000</v>
      </c>
      <c r="O44" s="169">
        <f t="shared" si="2"/>
        <v>0</v>
      </c>
    </row>
    <row r="45" spans="1:15" s="3" customFormat="1" ht="63.75">
      <c r="A45" s="34" t="s">
        <v>846</v>
      </c>
      <c r="B45" s="25" t="s">
        <v>48</v>
      </c>
      <c r="C45" s="26" t="s">
        <v>65</v>
      </c>
      <c r="D45" s="26" t="s">
        <v>84</v>
      </c>
      <c r="E45" s="26" t="s">
        <v>832</v>
      </c>
      <c r="F45" s="26" t="s">
        <v>58</v>
      </c>
      <c r="G45" s="27">
        <f t="shared" ref="G45:I46" si="33">G46</f>
        <v>500000</v>
      </c>
      <c r="H45" s="27">
        <f t="shared" si="33"/>
        <v>500000</v>
      </c>
      <c r="I45" s="27">
        <f t="shared" si="33"/>
        <v>500000</v>
      </c>
      <c r="J45" s="16">
        <f>'БА в тыс. руб.'!G45*1000</f>
        <v>500000</v>
      </c>
      <c r="K45" s="169">
        <f t="shared" si="0"/>
        <v>0</v>
      </c>
      <c r="L45" s="16">
        <f>'БА в тыс. руб.'!H45*1000</f>
        <v>500000</v>
      </c>
      <c r="M45" s="169">
        <f t="shared" si="1"/>
        <v>0</v>
      </c>
      <c r="N45" s="16">
        <f>'БА в тыс. руб.'!I45*1000</f>
        <v>500000</v>
      </c>
      <c r="O45" s="169">
        <f t="shared" si="2"/>
        <v>0</v>
      </c>
    </row>
    <row r="46" spans="1:15" s="3" customFormat="1" ht="25.5">
      <c r="A46" s="11" t="s">
        <v>108</v>
      </c>
      <c r="B46" s="25" t="s">
        <v>48</v>
      </c>
      <c r="C46" s="26" t="s">
        <v>65</v>
      </c>
      <c r="D46" s="26" t="s">
        <v>84</v>
      </c>
      <c r="E46" s="26" t="s">
        <v>832</v>
      </c>
      <c r="F46" s="26" t="s">
        <v>116</v>
      </c>
      <c r="G46" s="27">
        <f>G47</f>
        <v>500000</v>
      </c>
      <c r="H46" s="27">
        <f t="shared" si="33"/>
        <v>500000</v>
      </c>
      <c r="I46" s="27">
        <f t="shared" si="33"/>
        <v>500000</v>
      </c>
      <c r="J46" s="16">
        <f>'БА в тыс. руб.'!G46*1000</f>
        <v>500000</v>
      </c>
      <c r="K46" s="169">
        <f t="shared" si="0"/>
        <v>0</v>
      </c>
      <c r="L46" s="16">
        <f>'БА в тыс. руб.'!H46*1000</f>
        <v>500000</v>
      </c>
      <c r="M46" s="169">
        <f t="shared" si="1"/>
        <v>0</v>
      </c>
      <c r="N46" s="16">
        <f>'БА в тыс. руб.'!I46*1000</f>
        <v>500000</v>
      </c>
      <c r="O46" s="169">
        <f t="shared" si="2"/>
        <v>0</v>
      </c>
    </row>
    <row r="47" spans="1:15" s="4" customFormat="1" ht="25.5">
      <c r="A47" s="12" t="s">
        <v>973</v>
      </c>
      <c r="B47" s="25" t="s">
        <v>48</v>
      </c>
      <c r="C47" s="26" t="s">
        <v>65</v>
      </c>
      <c r="D47" s="26" t="s">
        <v>84</v>
      </c>
      <c r="E47" s="26" t="s">
        <v>832</v>
      </c>
      <c r="F47" s="26" t="s">
        <v>1043</v>
      </c>
      <c r="G47" s="27">
        <f t="shared" ref="G47" si="34">J47</f>
        <v>500000</v>
      </c>
      <c r="H47" s="27">
        <f>L47</f>
        <v>500000</v>
      </c>
      <c r="I47" s="27">
        <f>N47</f>
        <v>500000</v>
      </c>
      <c r="J47" s="16">
        <f>'БА в тыс. руб.'!G47*1000</f>
        <v>500000</v>
      </c>
      <c r="K47" s="169">
        <f t="shared" si="0"/>
        <v>0</v>
      </c>
      <c r="L47" s="16">
        <f>'БА в тыс. руб.'!H47*1000</f>
        <v>500000</v>
      </c>
      <c r="M47" s="169">
        <f t="shared" si="1"/>
        <v>0</v>
      </c>
      <c r="N47" s="16">
        <f>'БА в тыс. руб.'!I47*1000</f>
        <v>500000</v>
      </c>
      <c r="O47" s="169">
        <f t="shared" si="2"/>
        <v>0</v>
      </c>
    </row>
    <row r="48" spans="1:15" s="2" customFormat="1">
      <c r="A48" s="17" t="s">
        <v>77</v>
      </c>
      <c r="B48" s="18" t="s">
        <v>48</v>
      </c>
      <c r="C48" s="19" t="s">
        <v>40</v>
      </c>
      <c r="D48" s="19" t="s">
        <v>51</v>
      </c>
      <c r="E48" s="19" t="s">
        <v>196</v>
      </c>
      <c r="F48" s="19" t="s">
        <v>58</v>
      </c>
      <c r="G48" s="20">
        <f>G55+G49</f>
        <v>7090500</v>
      </c>
      <c r="H48" s="20">
        <f t="shared" ref="H48:I48" si="35">H55+H49</f>
        <v>7090500</v>
      </c>
      <c r="I48" s="20">
        <f t="shared" si="35"/>
        <v>7090500</v>
      </c>
      <c r="J48" s="16">
        <f>'БА в тыс. руб.'!G48*1000</f>
        <v>7090500</v>
      </c>
      <c r="K48" s="169">
        <f t="shared" si="0"/>
        <v>0</v>
      </c>
      <c r="L48" s="16">
        <f>'БА в тыс. руб.'!H48*1000</f>
        <v>7090500</v>
      </c>
      <c r="M48" s="169">
        <f t="shared" si="1"/>
        <v>0</v>
      </c>
      <c r="N48" s="16">
        <f>'БА в тыс. руб.'!I48*1000</f>
        <v>7090500</v>
      </c>
      <c r="O48" s="169">
        <f t="shared" si="2"/>
        <v>0</v>
      </c>
    </row>
    <row r="49" spans="1:15" s="2" customFormat="1">
      <c r="A49" s="21" t="s">
        <v>906</v>
      </c>
      <c r="B49" s="22" t="s">
        <v>48</v>
      </c>
      <c r="C49" s="23" t="s">
        <v>40</v>
      </c>
      <c r="D49" s="23" t="s">
        <v>65</v>
      </c>
      <c r="E49" s="23" t="s">
        <v>196</v>
      </c>
      <c r="F49" s="23" t="s">
        <v>58</v>
      </c>
      <c r="G49" s="24">
        <f>G50</f>
        <v>5900500</v>
      </c>
      <c r="H49" s="24">
        <f t="shared" ref="H49:I50" si="36">H50</f>
        <v>5900500</v>
      </c>
      <c r="I49" s="24">
        <f t="shared" si="36"/>
        <v>5900500</v>
      </c>
      <c r="J49" s="16">
        <f>'БА в тыс. руб.'!G49*1000</f>
        <v>5900500</v>
      </c>
      <c r="K49" s="169">
        <f t="shared" si="0"/>
        <v>0</v>
      </c>
      <c r="L49" s="16">
        <f>'БА в тыс. руб.'!H49*1000</f>
        <v>5900500</v>
      </c>
      <c r="M49" s="169">
        <f t="shared" si="1"/>
        <v>0</v>
      </c>
      <c r="N49" s="16">
        <f>'БА в тыс. руб.'!I49*1000</f>
        <v>5900500</v>
      </c>
      <c r="O49" s="169">
        <f t="shared" si="2"/>
        <v>0</v>
      </c>
    </row>
    <row r="50" spans="1:15" s="3" customFormat="1">
      <c r="A50" s="11" t="s">
        <v>124</v>
      </c>
      <c r="B50" s="25" t="s">
        <v>48</v>
      </c>
      <c r="C50" s="26" t="s">
        <v>40</v>
      </c>
      <c r="D50" s="26" t="s">
        <v>65</v>
      </c>
      <c r="E50" s="26" t="s">
        <v>197</v>
      </c>
      <c r="F50" s="26" t="s">
        <v>58</v>
      </c>
      <c r="G50" s="27">
        <f>G51</f>
        <v>5900500</v>
      </c>
      <c r="H50" s="27">
        <f t="shared" si="36"/>
        <v>5900500</v>
      </c>
      <c r="I50" s="27">
        <f t="shared" si="36"/>
        <v>5900500</v>
      </c>
      <c r="J50" s="16">
        <f>'БА в тыс. руб.'!G50*1000</f>
        <v>5900500</v>
      </c>
      <c r="K50" s="169">
        <f t="shared" si="0"/>
        <v>0</v>
      </c>
      <c r="L50" s="16">
        <f>'БА в тыс. руб.'!H50*1000</f>
        <v>5900500</v>
      </c>
      <c r="M50" s="169">
        <f t="shared" si="1"/>
        <v>0</v>
      </c>
      <c r="N50" s="16">
        <f>'БА в тыс. руб.'!I50*1000</f>
        <v>5900500</v>
      </c>
      <c r="O50" s="169">
        <f t="shared" si="2"/>
        <v>0</v>
      </c>
    </row>
    <row r="51" spans="1:15" s="3" customFormat="1">
      <c r="A51" s="11" t="s">
        <v>175</v>
      </c>
      <c r="B51" s="25" t="s">
        <v>48</v>
      </c>
      <c r="C51" s="26" t="s">
        <v>40</v>
      </c>
      <c r="D51" s="26" t="s">
        <v>65</v>
      </c>
      <c r="E51" s="26" t="s">
        <v>205</v>
      </c>
      <c r="F51" s="26" t="s">
        <v>58</v>
      </c>
      <c r="G51" s="27">
        <f t="shared" ref="G51:I53" si="37">G52</f>
        <v>5900500</v>
      </c>
      <c r="H51" s="27">
        <f t="shared" si="37"/>
        <v>5900500</v>
      </c>
      <c r="I51" s="27">
        <f t="shared" si="37"/>
        <v>5900500</v>
      </c>
      <c r="J51" s="16">
        <f>'БА в тыс. руб.'!G51*1000</f>
        <v>5900500</v>
      </c>
      <c r="K51" s="169">
        <f t="shared" si="0"/>
        <v>0</v>
      </c>
      <c r="L51" s="16">
        <f>'БА в тыс. руб.'!H51*1000</f>
        <v>5900500</v>
      </c>
      <c r="M51" s="169">
        <f t="shared" si="1"/>
        <v>0</v>
      </c>
      <c r="N51" s="16">
        <f>'БА в тыс. руб.'!I51*1000</f>
        <v>5900500</v>
      </c>
      <c r="O51" s="169">
        <f t="shared" si="2"/>
        <v>0</v>
      </c>
    </row>
    <row r="52" spans="1:15" s="3" customFormat="1" ht="25.5">
      <c r="A52" s="11" t="s">
        <v>120</v>
      </c>
      <c r="B52" s="25" t="s">
        <v>48</v>
      </c>
      <c r="C52" s="26" t="s">
        <v>40</v>
      </c>
      <c r="D52" s="26" t="s">
        <v>65</v>
      </c>
      <c r="E52" s="26" t="s">
        <v>928</v>
      </c>
      <c r="F52" s="26" t="s">
        <v>58</v>
      </c>
      <c r="G52" s="27">
        <f t="shared" si="37"/>
        <v>5900500</v>
      </c>
      <c r="H52" s="27">
        <f t="shared" si="37"/>
        <v>5900500</v>
      </c>
      <c r="I52" s="27">
        <f t="shared" si="37"/>
        <v>5900500</v>
      </c>
      <c r="J52" s="16">
        <f>'БА в тыс. руб.'!G52*1000</f>
        <v>5900500</v>
      </c>
      <c r="K52" s="169">
        <f t="shared" si="0"/>
        <v>0</v>
      </c>
      <c r="L52" s="16">
        <f>'БА в тыс. руб.'!H52*1000</f>
        <v>5900500</v>
      </c>
      <c r="M52" s="169">
        <f t="shared" si="1"/>
        <v>0</v>
      </c>
      <c r="N52" s="16">
        <f>'БА в тыс. руб.'!I52*1000</f>
        <v>5900500</v>
      </c>
      <c r="O52" s="169">
        <f t="shared" si="2"/>
        <v>0</v>
      </c>
    </row>
    <row r="53" spans="1:15" s="3" customFormat="1" ht="25.5">
      <c r="A53" s="11" t="s">
        <v>108</v>
      </c>
      <c r="B53" s="25" t="s">
        <v>48</v>
      </c>
      <c r="C53" s="26" t="s">
        <v>40</v>
      </c>
      <c r="D53" s="26" t="s">
        <v>65</v>
      </c>
      <c r="E53" s="26" t="s">
        <v>928</v>
      </c>
      <c r="F53" s="26" t="s">
        <v>116</v>
      </c>
      <c r="G53" s="27">
        <f>G54</f>
        <v>5900500</v>
      </c>
      <c r="H53" s="27">
        <f t="shared" si="37"/>
        <v>5900500</v>
      </c>
      <c r="I53" s="27">
        <f t="shared" si="37"/>
        <v>5900500</v>
      </c>
      <c r="J53" s="16">
        <f>'БА в тыс. руб.'!G53*1000</f>
        <v>5900500</v>
      </c>
      <c r="K53" s="169">
        <f t="shared" si="0"/>
        <v>0</v>
      </c>
      <c r="L53" s="16">
        <f>'БА в тыс. руб.'!H53*1000</f>
        <v>5900500</v>
      </c>
      <c r="M53" s="169">
        <f t="shared" si="1"/>
        <v>0</v>
      </c>
      <c r="N53" s="16">
        <f>'БА в тыс. руб.'!I53*1000</f>
        <v>5900500</v>
      </c>
      <c r="O53" s="169">
        <f t="shared" si="2"/>
        <v>0</v>
      </c>
    </row>
    <row r="54" spans="1:15" s="4" customFormat="1" ht="25.5">
      <c r="A54" s="12" t="s">
        <v>973</v>
      </c>
      <c r="B54" s="25" t="s">
        <v>48</v>
      </c>
      <c r="C54" s="26" t="s">
        <v>40</v>
      </c>
      <c r="D54" s="26" t="s">
        <v>65</v>
      </c>
      <c r="E54" s="26" t="s">
        <v>928</v>
      </c>
      <c r="F54" s="26" t="s">
        <v>1043</v>
      </c>
      <c r="G54" s="27">
        <f t="shared" ref="G54" si="38">J54</f>
        <v>5900500</v>
      </c>
      <c r="H54" s="27">
        <f>L54</f>
        <v>5900500</v>
      </c>
      <c r="I54" s="27">
        <f>N54</f>
        <v>5900500</v>
      </c>
      <c r="J54" s="16">
        <f>'БА в тыс. руб.'!G54*1000</f>
        <v>5900500</v>
      </c>
      <c r="K54" s="169">
        <f t="shared" si="0"/>
        <v>0</v>
      </c>
      <c r="L54" s="16">
        <f>'БА в тыс. руб.'!H54*1000</f>
        <v>5900500</v>
      </c>
      <c r="M54" s="169">
        <f t="shared" si="1"/>
        <v>0</v>
      </c>
      <c r="N54" s="16">
        <f>'БА в тыс. руб.'!I54*1000</f>
        <v>5900500</v>
      </c>
      <c r="O54" s="169">
        <f t="shared" si="2"/>
        <v>0</v>
      </c>
    </row>
    <row r="55" spans="1:15" s="3" customFormat="1">
      <c r="A55" s="21" t="s">
        <v>52</v>
      </c>
      <c r="B55" s="22" t="s">
        <v>48</v>
      </c>
      <c r="C55" s="23" t="s">
        <v>40</v>
      </c>
      <c r="D55" s="23" t="s">
        <v>66</v>
      </c>
      <c r="E55" s="23" t="s">
        <v>196</v>
      </c>
      <c r="F55" s="23" t="s">
        <v>58</v>
      </c>
      <c r="G55" s="24">
        <f t="shared" ref="G55:I59" si="39">G56</f>
        <v>1190000</v>
      </c>
      <c r="H55" s="24">
        <f t="shared" si="39"/>
        <v>1190000</v>
      </c>
      <c r="I55" s="24">
        <f t="shared" si="39"/>
        <v>1190000</v>
      </c>
      <c r="J55" s="16">
        <f>'БА в тыс. руб.'!G55*1000</f>
        <v>1190000</v>
      </c>
      <c r="K55" s="169">
        <f t="shared" si="0"/>
        <v>0</v>
      </c>
      <c r="L55" s="16">
        <f>'БА в тыс. руб.'!H55*1000</f>
        <v>1190000</v>
      </c>
      <c r="M55" s="169">
        <f t="shared" si="1"/>
        <v>0</v>
      </c>
      <c r="N55" s="16">
        <f>'БА в тыс. руб.'!I55*1000</f>
        <v>1190000</v>
      </c>
      <c r="O55" s="169">
        <f t="shared" si="2"/>
        <v>0</v>
      </c>
    </row>
    <row r="56" spans="1:15" s="3" customFormat="1">
      <c r="A56" s="11" t="s">
        <v>124</v>
      </c>
      <c r="B56" s="25" t="s">
        <v>48</v>
      </c>
      <c r="C56" s="26" t="s">
        <v>40</v>
      </c>
      <c r="D56" s="26" t="s">
        <v>66</v>
      </c>
      <c r="E56" s="26" t="s">
        <v>197</v>
      </c>
      <c r="F56" s="26" t="s">
        <v>58</v>
      </c>
      <c r="G56" s="27">
        <f>G57</f>
        <v>1190000</v>
      </c>
      <c r="H56" s="27">
        <f t="shared" si="39"/>
        <v>1190000</v>
      </c>
      <c r="I56" s="27">
        <f t="shared" si="39"/>
        <v>1190000</v>
      </c>
      <c r="J56" s="16">
        <f>'БА в тыс. руб.'!G56*1000</f>
        <v>1190000</v>
      </c>
      <c r="K56" s="169">
        <f t="shared" si="0"/>
        <v>0</v>
      </c>
      <c r="L56" s="16">
        <f>'БА в тыс. руб.'!H56*1000</f>
        <v>1190000</v>
      </c>
      <c r="M56" s="169">
        <f t="shared" si="1"/>
        <v>0</v>
      </c>
      <c r="N56" s="16">
        <f>'БА в тыс. руб.'!I56*1000</f>
        <v>1190000</v>
      </c>
      <c r="O56" s="169">
        <f t="shared" si="2"/>
        <v>0</v>
      </c>
    </row>
    <row r="57" spans="1:15" s="3" customFormat="1">
      <c r="A57" s="11" t="s">
        <v>175</v>
      </c>
      <c r="B57" s="25" t="s">
        <v>48</v>
      </c>
      <c r="C57" s="26" t="s">
        <v>40</v>
      </c>
      <c r="D57" s="26" t="s">
        <v>66</v>
      </c>
      <c r="E57" s="26" t="s">
        <v>205</v>
      </c>
      <c r="F57" s="26" t="s">
        <v>58</v>
      </c>
      <c r="G57" s="27">
        <f>G58</f>
        <v>1190000</v>
      </c>
      <c r="H57" s="27">
        <f t="shared" si="39"/>
        <v>1190000</v>
      </c>
      <c r="I57" s="27">
        <f t="shared" si="39"/>
        <v>1190000</v>
      </c>
      <c r="J57" s="16">
        <f>'БА в тыс. руб.'!G57*1000</f>
        <v>1190000</v>
      </c>
      <c r="K57" s="169">
        <f t="shared" si="0"/>
        <v>0</v>
      </c>
      <c r="L57" s="16">
        <f>'БА в тыс. руб.'!H57*1000</f>
        <v>1190000</v>
      </c>
      <c r="M57" s="169">
        <f t="shared" si="1"/>
        <v>0</v>
      </c>
      <c r="N57" s="16">
        <f>'БА в тыс. руб.'!I57*1000</f>
        <v>1190000</v>
      </c>
      <c r="O57" s="169">
        <f t="shared" si="2"/>
        <v>0</v>
      </c>
    </row>
    <row r="58" spans="1:15" s="3" customFormat="1" ht="25.5">
      <c r="A58" s="11" t="s">
        <v>120</v>
      </c>
      <c r="B58" s="25" t="s">
        <v>48</v>
      </c>
      <c r="C58" s="26" t="s">
        <v>40</v>
      </c>
      <c r="D58" s="26" t="s">
        <v>66</v>
      </c>
      <c r="E58" s="26" t="s">
        <v>928</v>
      </c>
      <c r="F58" s="26" t="s">
        <v>58</v>
      </c>
      <c r="G58" s="27">
        <f>G59</f>
        <v>1190000</v>
      </c>
      <c r="H58" s="27">
        <f t="shared" si="39"/>
        <v>1190000</v>
      </c>
      <c r="I58" s="27">
        <f t="shared" si="39"/>
        <v>1190000</v>
      </c>
      <c r="J58" s="16">
        <f>'БА в тыс. руб.'!G58*1000</f>
        <v>1190000</v>
      </c>
      <c r="K58" s="169">
        <f t="shared" si="0"/>
        <v>0</v>
      </c>
      <c r="L58" s="16">
        <f>'БА в тыс. руб.'!H58*1000</f>
        <v>1190000</v>
      </c>
      <c r="M58" s="169">
        <f t="shared" si="1"/>
        <v>0</v>
      </c>
      <c r="N58" s="16">
        <f>'БА в тыс. руб.'!I58*1000</f>
        <v>1190000</v>
      </c>
      <c r="O58" s="169">
        <f t="shared" si="2"/>
        <v>0</v>
      </c>
    </row>
    <row r="59" spans="1:15" s="3" customFormat="1" ht="25.5">
      <c r="A59" s="11" t="s">
        <v>108</v>
      </c>
      <c r="B59" s="25" t="s">
        <v>48</v>
      </c>
      <c r="C59" s="26" t="s">
        <v>40</v>
      </c>
      <c r="D59" s="26" t="s">
        <v>66</v>
      </c>
      <c r="E59" s="26" t="s">
        <v>928</v>
      </c>
      <c r="F59" s="26" t="s">
        <v>116</v>
      </c>
      <c r="G59" s="27">
        <f>G60</f>
        <v>1190000</v>
      </c>
      <c r="H59" s="27">
        <f t="shared" si="39"/>
        <v>1190000</v>
      </c>
      <c r="I59" s="27">
        <f t="shared" si="39"/>
        <v>1190000</v>
      </c>
      <c r="J59" s="16">
        <f>'БА в тыс. руб.'!G59*1000</f>
        <v>1190000</v>
      </c>
      <c r="K59" s="169">
        <f t="shared" si="0"/>
        <v>0</v>
      </c>
      <c r="L59" s="16">
        <f>'БА в тыс. руб.'!H59*1000</f>
        <v>1190000</v>
      </c>
      <c r="M59" s="169">
        <f t="shared" si="1"/>
        <v>0</v>
      </c>
      <c r="N59" s="16">
        <f>'БА в тыс. руб.'!I59*1000</f>
        <v>1190000</v>
      </c>
      <c r="O59" s="169">
        <f t="shared" si="2"/>
        <v>0</v>
      </c>
    </row>
    <row r="60" spans="1:15" s="4" customFormat="1" ht="25.5">
      <c r="A60" s="12" t="s">
        <v>973</v>
      </c>
      <c r="B60" s="25" t="s">
        <v>48</v>
      </c>
      <c r="C60" s="26" t="s">
        <v>40</v>
      </c>
      <c r="D60" s="26" t="s">
        <v>66</v>
      </c>
      <c r="E60" s="26" t="s">
        <v>928</v>
      </c>
      <c r="F60" s="26" t="s">
        <v>1043</v>
      </c>
      <c r="G60" s="27">
        <f t="shared" ref="G60:G61" si="40">J60</f>
        <v>1190000</v>
      </c>
      <c r="H60" s="27">
        <f t="shared" ref="H60:H61" si="41">L60</f>
        <v>1190000</v>
      </c>
      <c r="I60" s="27">
        <f t="shared" ref="I60:I61" si="42">N60</f>
        <v>1190000</v>
      </c>
      <c r="J60" s="16">
        <f>'БА в тыс. руб.'!G60*1000</f>
        <v>1190000</v>
      </c>
      <c r="K60" s="169">
        <f t="shared" si="0"/>
        <v>0</v>
      </c>
      <c r="L60" s="16">
        <f>'БА в тыс. руб.'!H60*1000</f>
        <v>1190000</v>
      </c>
      <c r="M60" s="169">
        <f t="shared" si="1"/>
        <v>0</v>
      </c>
      <c r="N60" s="16">
        <f>'БА в тыс. руб.'!I60*1000</f>
        <v>1190000</v>
      </c>
      <c r="O60" s="169">
        <f t="shared" si="2"/>
        <v>0</v>
      </c>
    </row>
    <row r="61" spans="1:15" s="71" customFormat="1">
      <c r="A61" s="79"/>
      <c r="B61" s="92"/>
      <c r="C61" s="70"/>
      <c r="D61" s="70"/>
      <c r="E61" s="70"/>
      <c r="F61" s="70"/>
      <c r="G61" s="27">
        <f t="shared" si="40"/>
        <v>0</v>
      </c>
      <c r="H61" s="27">
        <f t="shared" si="41"/>
        <v>0</v>
      </c>
      <c r="I61" s="27">
        <f t="shared" si="42"/>
        <v>0</v>
      </c>
      <c r="J61" s="16">
        <f>'БА в тыс. руб.'!G61*1000</f>
        <v>0</v>
      </c>
      <c r="K61" s="169">
        <f t="shared" si="0"/>
        <v>0</v>
      </c>
      <c r="L61" s="16">
        <f>'БА в тыс. руб.'!H61*1000</f>
        <v>0</v>
      </c>
      <c r="M61" s="169">
        <f t="shared" si="1"/>
        <v>0</v>
      </c>
      <c r="N61" s="16">
        <f>'БА в тыс. руб.'!I61*1000</f>
        <v>0</v>
      </c>
      <c r="O61" s="169">
        <f t="shared" si="2"/>
        <v>0</v>
      </c>
    </row>
    <row r="62" spans="1:15" s="3" customFormat="1">
      <c r="A62" s="28" t="s">
        <v>54</v>
      </c>
      <c r="B62" s="14" t="s">
        <v>55</v>
      </c>
      <c r="C62" s="15" t="s">
        <v>51</v>
      </c>
      <c r="D62" s="15" t="s">
        <v>51</v>
      </c>
      <c r="E62" s="15" t="s">
        <v>196</v>
      </c>
      <c r="F62" s="15" t="s">
        <v>58</v>
      </c>
      <c r="G62" s="29">
        <f>G63+G212+G239+G247+G255</f>
        <v>272499480</v>
      </c>
      <c r="H62" s="29">
        <f>H63+H212+H239+H247+H255</f>
        <v>261700520</v>
      </c>
      <c r="I62" s="29">
        <f>I63+I212+I239+I247+I255</f>
        <v>261700520</v>
      </c>
      <c r="J62" s="16">
        <f>'БА в тыс. руб.'!G62*1000</f>
        <v>272499480</v>
      </c>
      <c r="K62" s="169">
        <f t="shared" si="0"/>
        <v>0</v>
      </c>
      <c r="L62" s="16">
        <f>'БА в тыс. руб.'!H62*1000</f>
        <v>261700519.99999997</v>
      </c>
      <c r="M62" s="169">
        <f t="shared" si="1"/>
        <v>0</v>
      </c>
      <c r="N62" s="16">
        <f>'БА в тыс. руб.'!I62*1000</f>
        <v>261700519.99999997</v>
      </c>
      <c r="O62" s="169">
        <f t="shared" si="2"/>
        <v>0</v>
      </c>
    </row>
    <row r="63" spans="1:15" s="2" customFormat="1">
      <c r="A63" s="17" t="s">
        <v>64</v>
      </c>
      <c r="B63" s="18" t="s">
        <v>55</v>
      </c>
      <c r="C63" s="19" t="s">
        <v>65</v>
      </c>
      <c r="D63" s="19" t="s">
        <v>51</v>
      </c>
      <c r="E63" s="19" t="s">
        <v>196</v>
      </c>
      <c r="F63" s="19" t="s">
        <v>58</v>
      </c>
      <c r="G63" s="20">
        <f>G75+G102+G108+G64</f>
        <v>242383980</v>
      </c>
      <c r="H63" s="20">
        <f>H75+H102+H108+H64</f>
        <v>232624520</v>
      </c>
      <c r="I63" s="20">
        <f>I75+I102+I108+I64</f>
        <v>232624520</v>
      </c>
      <c r="J63" s="16">
        <f>'БА в тыс. руб.'!G63*1000</f>
        <v>242383979.99999997</v>
      </c>
      <c r="K63" s="169">
        <f t="shared" si="0"/>
        <v>0</v>
      </c>
      <c r="L63" s="16">
        <f>'БА в тыс. руб.'!H63*1000</f>
        <v>232624519.99999997</v>
      </c>
      <c r="M63" s="169">
        <f t="shared" si="1"/>
        <v>0</v>
      </c>
      <c r="N63" s="16">
        <f>'БА в тыс. руб.'!I63*1000</f>
        <v>232624519.99999997</v>
      </c>
      <c r="O63" s="169">
        <f t="shared" si="2"/>
        <v>0</v>
      </c>
    </row>
    <row r="64" spans="1:15" s="2" customFormat="1" ht="25.5">
      <c r="A64" s="21" t="s">
        <v>33</v>
      </c>
      <c r="B64" s="22" t="s">
        <v>55</v>
      </c>
      <c r="C64" s="23" t="s">
        <v>65</v>
      </c>
      <c r="D64" s="23" t="s">
        <v>66</v>
      </c>
      <c r="E64" s="23" t="s">
        <v>196</v>
      </c>
      <c r="F64" s="23" t="s">
        <v>58</v>
      </c>
      <c r="G64" s="24">
        <f>G65</f>
        <v>1593550</v>
      </c>
      <c r="H64" s="24">
        <f t="shared" ref="H64:I65" si="43">H65</f>
        <v>1593550</v>
      </c>
      <c r="I64" s="24">
        <f t="shared" si="43"/>
        <v>1593550</v>
      </c>
      <c r="J64" s="16">
        <f>'БА в тыс. руб.'!G64*1000</f>
        <v>1593550</v>
      </c>
      <c r="K64" s="169">
        <f t="shared" si="0"/>
        <v>0</v>
      </c>
      <c r="L64" s="16">
        <f>'БА в тыс. руб.'!H64*1000</f>
        <v>1593550</v>
      </c>
      <c r="M64" s="169">
        <f t="shared" si="1"/>
        <v>0</v>
      </c>
      <c r="N64" s="16">
        <f>'БА в тыс. руб.'!I64*1000</f>
        <v>1593550</v>
      </c>
      <c r="O64" s="169">
        <f t="shared" si="2"/>
        <v>0</v>
      </c>
    </row>
    <row r="65" spans="1:15" s="3" customFormat="1">
      <c r="A65" s="11" t="s">
        <v>112</v>
      </c>
      <c r="B65" s="25" t="s">
        <v>55</v>
      </c>
      <c r="C65" s="26" t="s">
        <v>65</v>
      </c>
      <c r="D65" s="26" t="s">
        <v>66</v>
      </c>
      <c r="E65" s="26" t="s">
        <v>206</v>
      </c>
      <c r="F65" s="26" t="s">
        <v>58</v>
      </c>
      <c r="G65" s="27">
        <f>G66</f>
        <v>1593550</v>
      </c>
      <c r="H65" s="27">
        <f t="shared" si="43"/>
        <v>1593550</v>
      </c>
      <c r="I65" s="27">
        <f t="shared" si="43"/>
        <v>1593550</v>
      </c>
      <c r="J65" s="16">
        <f>'БА в тыс. руб.'!G65*1000</f>
        <v>1593550</v>
      </c>
      <c r="K65" s="169">
        <f t="shared" si="0"/>
        <v>0</v>
      </c>
      <c r="L65" s="16">
        <f>'БА в тыс. руб.'!H65*1000</f>
        <v>1593550</v>
      </c>
      <c r="M65" s="169">
        <f t="shared" si="1"/>
        <v>0</v>
      </c>
      <c r="N65" s="16">
        <f>'БА в тыс. руб.'!I65*1000</f>
        <v>1593550</v>
      </c>
      <c r="O65" s="169">
        <f t="shared" si="2"/>
        <v>0</v>
      </c>
    </row>
    <row r="66" spans="1:15" s="3" customFormat="1">
      <c r="A66" s="11" t="s">
        <v>34</v>
      </c>
      <c r="B66" s="25" t="s">
        <v>55</v>
      </c>
      <c r="C66" s="26" t="s">
        <v>65</v>
      </c>
      <c r="D66" s="26" t="s">
        <v>66</v>
      </c>
      <c r="E66" s="26" t="s">
        <v>213</v>
      </c>
      <c r="F66" s="26" t="s">
        <v>58</v>
      </c>
      <c r="G66" s="27">
        <f>G67+G71</f>
        <v>1593550</v>
      </c>
      <c r="H66" s="27">
        <f t="shared" ref="H66:I66" si="44">H67+H71</f>
        <v>1593550</v>
      </c>
      <c r="I66" s="27">
        <f t="shared" si="44"/>
        <v>1593550</v>
      </c>
      <c r="J66" s="16">
        <f>'БА в тыс. руб.'!G66*1000</f>
        <v>1593550</v>
      </c>
      <c r="K66" s="169">
        <f t="shared" si="0"/>
        <v>0</v>
      </c>
      <c r="L66" s="16">
        <f>'БА в тыс. руб.'!H66*1000</f>
        <v>1593550</v>
      </c>
      <c r="M66" s="169">
        <f t="shared" si="1"/>
        <v>0</v>
      </c>
      <c r="N66" s="16">
        <f>'БА в тыс. руб.'!I66*1000</f>
        <v>1593550</v>
      </c>
      <c r="O66" s="169">
        <f t="shared" si="2"/>
        <v>0</v>
      </c>
    </row>
    <row r="67" spans="1:15" s="3" customFormat="1" ht="25.5">
      <c r="A67" s="11" t="s">
        <v>114</v>
      </c>
      <c r="B67" s="25" t="s">
        <v>55</v>
      </c>
      <c r="C67" s="26" t="s">
        <v>65</v>
      </c>
      <c r="D67" s="26" t="s">
        <v>66</v>
      </c>
      <c r="E67" s="26" t="s">
        <v>585</v>
      </c>
      <c r="F67" s="26" t="s">
        <v>58</v>
      </c>
      <c r="G67" s="27">
        <f>G68</f>
        <v>41550</v>
      </c>
      <c r="H67" s="27">
        <f t="shared" ref="H67:I67" si="45">H68</f>
        <v>41550</v>
      </c>
      <c r="I67" s="27">
        <f t="shared" si="45"/>
        <v>41550</v>
      </c>
      <c r="J67" s="16">
        <f>'БА в тыс. руб.'!G67*1000</f>
        <v>41550</v>
      </c>
      <c r="K67" s="169">
        <f t="shared" si="0"/>
        <v>0</v>
      </c>
      <c r="L67" s="16">
        <f>'БА в тыс. руб.'!H67*1000</f>
        <v>41550</v>
      </c>
      <c r="M67" s="169">
        <f t="shared" si="1"/>
        <v>0</v>
      </c>
      <c r="N67" s="16">
        <f>'БА в тыс. руб.'!I67*1000</f>
        <v>41550</v>
      </c>
      <c r="O67" s="169">
        <f t="shared" si="2"/>
        <v>0</v>
      </c>
    </row>
    <row r="68" spans="1:15" s="3" customFormat="1" ht="25.5">
      <c r="A68" s="11" t="s">
        <v>107</v>
      </c>
      <c r="B68" s="25" t="s">
        <v>55</v>
      </c>
      <c r="C68" s="26" t="s">
        <v>65</v>
      </c>
      <c r="D68" s="26" t="s">
        <v>66</v>
      </c>
      <c r="E68" s="26" t="s">
        <v>585</v>
      </c>
      <c r="F68" s="26" t="s">
        <v>115</v>
      </c>
      <c r="G68" s="27">
        <f>SUM(G69:G70)</f>
        <v>41550</v>
      </c>
      <c r="H68" s="27">
        <f t="shared" ref="H68:I68" si="46">SUM(H69:H70)</f>
        <v>41550</v>
      </c>
      <c r="I68" s="27">
        <f t="shared" si="46"/>
        <v>41550</v>
      </c>
      <c r="J68" s="16">
        <f>'БА в тыс. руб.'!G68*1000</f>
        <v>41550</v>
      </c>
      <c r="K68" s="169">
        <f t="shared" si="0"/>
        <v>0</v>
      </c>
      <c r="L68" s="16">
        <f>'БА в тыс. руб.'!H68*1000</f>
        <v>41550</v>
      </c>
      <c r="M68" s="169">
        <f t="shared" si="1"/>
        <v>0</v>
      </c>
      <c r="N68" s="16">
        <f>'БА в тыс. руб.'!I68*1000</f>
        <v>41550</v>
      </c>
      <c r="O68" s="169">
        <f t="shared" si="2"/>
        <v>0</v>
      </c>
    </row>
    <row r="69" spans="1:15" s="3" customFormat="1" ht="25.5">
      <c r="A69" s="11" t="s">
        <v>937</v>
      </c>
      <c r="B69" s="25" t="s">
        <v>55</v>
      </c>
      <c r="C69" s="26" t="s">
        <v>65</v>
      </c>
      <c r="D69" s="26" t="s">
        <v>66</v>
      </c>
      <c r="E69" s="26" t="s">
        <v>585</v>
      </c>
      <c r="F69" s="26" t="s">
        <v>1059</v>
      </c>
      <c r="G69" s="27">
        <f t="shared" ref="G69:G70" si="47">J69</f>
        <v>31910</v>
      </c>
      <c r="H69" s="27">
        <f t="shared" ref="H69:H70" si="48">L69</f>
        <v>31910</v>
      </c>
      <c r="I69" s="27">
        <f t="shared" ref="I69:I70" si="49">N69</f>
        <v>31910</v>
      </c>
      <c r="J69" s="16">
        <f>'БА в тыс. руб.'!G69*1000</f>
        <v>31910</v>
      </c>
      <c r="K69" s="169">
        <f t="shared" si="0"/>
        <v>0</v>
      </c>
      <c r="L69" s="16">
        <f>'БА в тыс. руб.'!H69*1000</f>
        <v>31910</v>
      </c>
      <c r="M69" s="169">
        <f t="shared" si="1"/>
        <v>0</v>
      </c>
      <c r="N69" s="16">
        <f>'БА в тыс. руб.'!I69*1000</f>
        <v>31910</v>
      </c>
      <c r="O69" s="169">
        <f t="shared" si="2"/>
        <v>0</v>
      </c>
    </row>
    <row r="70" spans="1:15" s="3" customFormat="1" ht="38.25">
      <c r="A70" s="11" t="s">
        <v>939</v>
      </c>
      <c r="B70" s="25" t="s">
        <v>55</v>
      </c>
      <c r="C70" s="26" t="s">
        <v>65</v>
      </c>
      <c r="D70" s="26" t="s">
        <v>66</v>
      </c>
      <c r="E70" s="26" t="s">
        <v>585</v>
      </c>
      <c r="F70" s="26" t="s">
        <v>1060</v>
      </c>
      <c r="G70" s="27">
        <f t="shared" si="47"/>
        <v>9640</v>
      </c>
      <c r="H70" s="27">
        <f t="shared" si="48"/>
        <v>9640</v>
      </c>
      <c r="I70" s="27">
        <f t="shared" si="49"/>
        <v>9640</v>
      </c>
      <c r="J70" s="16">
        <f>'БА в тыс. руб.'!G70*1000</f>
        <v>9640</v>
      </c>
      <c r="K70" s="169">
        <f t="shared" ref="K70:K133" si="50">J70-G70</f>
        <v>0</v>
      </c>
      <c r="L70" s="16">
        <f>'БА в тыс. руб.'!H70*1000</f>
        <v>9640</v>
      </c>
      <c r="M70" s="169">
        <f t="shared" ref="M70:M133" si="51">L70-H70</f>
        <v>0</v>
      </c>
      <c r="N70" s="16">
        <f>'БА в тыс. руб.'!I70*1000</f>
        <v>9640</v>
      </c>
      <c r="O70" s="169">
        <f t="shared" ref="O70:O133" si="52">N70-I70</f>
        <v>0</v>
      </c>
    </row>
    <row r="71" spans="1:15" s="3" customFormat="1" ht="25.5">
      <c r="A71" s="11" t="s">
        <v>126</v>
      </c>
      <c r="B71" s="25" t="s">
        <v>55</v>
      </c>
      <c r="C71" s="26" t="s">
        <v>65</v>
      </c>
      <c r="D71" s="26" t="s">
        <v>66</v>
      </c>
      <c r="E71" s="26" t="s">
        <v>214</v>
      </c>
      <c r="F71" s="26" t="s">
        <v>58</v>
      </c>
      <c r="G71" s="27">
        <f>G72</f>
        <v>1552000</v>
      </c>
      <c r="H71" s="27">
        <f t="shared" ref="H71:I71" si="53">H72</f>
        <v>1552000</v>
      </c>
      <c r="I71" s="27">
        <f t="shared" si="53"/>
        <v>1552000</v>
      </c>
      <c r="J71" s="16">
        <f>'БА в тыс. руб.'!G71*1000</f>
        <v>1552000</v>
      </c>
      <c r="K71" s="169">
        <f t="shared" si="50"/>
        <v>0</v>
      </c>
      <c r="L71" s="16">
        <f>'БА в тыс. руб.'!H71*1000</f>
        <v>1552000</v>
      </c>
      <c r="M71" s="169">
        <f t="shared" si="51"/>
        <v>0</v>
      </c>
      <c r="N71" s="16">
        <f>'БА в тыс. руб.'!I71*1000</f>
        <v>1552000</v>
      </c>
      <c r="O71" s="169">
        <f t="shared" si="52"/>
        <v>0</v>
      </c>
    </row>
    <row r="72" spans="1:15" s="3" customFormat="1" ht="25.5">
      <c r="A72" s="12" t="s">
        <v>107</v>
      </c>
      <c r="B72" s="25" t="s">
        <v>55</v>
      </c>
      <c r="C72" s="26" t="s">
        <v>65</v>
      </c>
      <c r="D72" s="26" t="s">
        <v>66</v>
      </c>
      <c r="E72" s="26" t="s">
        <v>214</v>
      </c>
      <c r="F72" s="26" t="s">
        <v>115</v>
      </c>
      <c r="G72" s="27">
        <f>SUM(G73:G74)</f>
        <v>1552000</v>
      </c>
      <c r="H72" s="27">
        <f t="shared" ref="H72:I72" si="54">SUM(H73:H74)</f>
        <v>1552000</v>
      </c>
      <c r="I72" s="27">
        <f t="shared" si="54"/>
        <v>1552000</v>
      </c>
      <c r="J72" s="16">
        <f>'БА в тыс. руб.'!G72*1000</f>
        <v>1552000</v>
      </c>
      <c r="K72" s="169">
        <f t="shared" si="50"/>
        <v>0</v>
      </c>
      <c r="L72" s="16">
        <f>'БА в тыс. руб.'!H72*1000</f>
        <v>1552000</v>
      </c>
      <c r="M72" s="169">
        <f t="shared" si="51"/>
        <v>0</v>
      </c>
      <c r="N72" s="16">
        <f>'БА в тыс. руб.'!I72*1000</f>
        <v>1552000</v>
      </c>
      <c r="O72" s="169">
        <f t="shared" si="52"/>
        <v>0</v>
      </c>
    </row>
    <row r="73" spans="1:15" s="4" customFormat="1">
      <c r="A73" s="12" t="s">
        <v>936</v>
      </c>
      <c r="B73" s="25" t="s">
        <v>55</v>
      </c>
      <c r="C73" s="26" t="s">
        <v>65</v>
      </c>
      <c r="D73" s="26" t="s">
        <v>66</v>
      </c>
      <c r="E73" s="26" t="s">
        <v>214</v>
      </c>
      <c r="F73" s="26" t="s">
        <v>1063</v>
      </c>
      <c r="G73" s="27">
        <f t="shared" ref="G73:G74" si="55">J73</f>
        <v>1192000</v>
      </c>
      <c r="H73" s="27">
        <f t="shared" ref="H73:H74" si="56">L73</f>
        <v>1192000</v>
      </c>
      <c r="I73" s="27">
        <f t="shared" ref="I73:I74" si="57">N73</f>
        <v>1192000</v>
      </c>
      <c r="J73" s="16">
        <f>'БА в тыс. руб.'!G73*1000</f>
        <v>1192000</v>
      </c>
      <c r="K73" s="169">
        <f t="shared" si="50"/>
        <v>0</v>
      </c>
      <c r="L73" s="16">
        <f>'БА в тыс. руб.'!H73*1000</f>
        <v>1192000</v>
      </c>
      <c r="M73" s="169">
        <f t="shared" si="51"/>
        <v>0</v>
      </c>
      <c r="N73" s="16">
        <f>'БА в тыс. руб.'!I73*1000</f>
        <v>1192000</v>
      </c>
      <c r="O73" s="169">
        <f t="shared" si="52"/>
        <v>0</v>
      </c>
    </row>
    <row r="74" spans="1:15" s="4" customFormat="1" ht="38.25">
      <c r="A74" s="12" t="s">
        <v>939</v>
      </c>
      <c r="B74" s="25" t="s">
        <v>55</v>
      </c>
      <c r="C74" s="26" t="s">
        <v>65</v>
      </c>
      <c r="D74" s="26" t="s">
        <v>66</v>
      </c>
      <c r="E74" s="26" t="s">
        <v>214</v>
      </c>
      <c r="F74" s="26" t="s">
        <v>1060</v>
      </c>
      <c r="G74" s="27">
        <f t="shared" si="55"/>
        <v>360000</v>
      </c>
      <c r="H74" s="27">
        <f t="shared" si="56"/>
        <v>360000</v>
      </c>
      <c r="I74" s="27">
        <f t="shared" si="57"/>
        <v>360000</v>
      </c>
      <c r="J74" s="16">
        <f>'БА в тыс. руб.'!G74*1000</f>
        <v>360000</v>
      </c>
      <c r="K74" s="169">
        <f t="shared" si="50"/>
        <v>0</v>
      </c>
      <c r="L74" s="16">
        <f>'БА в тыс. руб.'!H74*1000</f>
        <v>360000</v>
      </c>
      <c r="M74" s="169">
        <f t="shared" si="51"/>
        <v>0</v>
      </c>
      <c r="N74" s="16">
        <f>'БА в тыс. руб.'!I74*1000</f>
        <v>360000</v>
      </c>
      <c r="O74" s="169">
        <f t="shared" si="52"/>
        <v>0</v>
      </c>
    </row>
    <row r="75" spans="1:15" s="3" customFormat="1" ht="38.25">
      <c r="A75" s="21" t="s">
        <v>31</v>
      </c>
      <c r="B75" s="22" t="s">
        <v>55</v>
      </c>
      <c r="C75" s="23" t="s">
        <v>65</v>
      </c>
      <c r="D75" s="23" t="s">
        <v>37</v>
      </c>
      <c r="E75" s="23" t="s">
        <v>196</v>
      </c>
      <c r="F75" s="23" t="s">
        <v>58</v>
      </c>
      <c r="G75" s="24">
        <f>G76</f>
        <v>107847470</v>
      </c>
      <c r="H75" s="24">
        <f>H76</f>
        <v>107847470</v>
      </c>
      <c r="I75" s="24">
        <f>I76</f>
        <v>107847470</v>
      </c>
      <c r="J75" s="16">
        <f>'БА в тыс. руб.'!G75*1000</f>
        <v>107847470</v>
      </c>
      <c r="K75" s="169">
        <f t="shared" si="50"/>
        <v>0</v>
      </c>
      <c r="L75" s="16">
        <f>'БА в тыс. руб.'!H75*1000</f>
        <v>107847470</v>
      </c>
      <c r="M75" s="169">
        <f t="shared" si="51"/>
        <v>0</v>
      </c>
      <c r="N75" s="16">
        <f>'БА в тыс. руб.'!I75*1000</f>
        <v>107847470</v>
      </c>
      <c r="O75" s="169">
        <f t="shared" si="52"/>
        <v>0</v>
      </c>
    </row>
    <row r="76" spans="1:15" s="3" customFormat="1">
      <c r="A76" s="34" t="s">
        <v>112</v>
      </c>
      <c r="B76" s="25" t="s">
        <v>55</v>
      </c>
      <c r="C76" s="26" t="s">
        <v>65</v>
      </c>
      <c r="D76" s="26" t="s">
        <v>37</v>
      </c>
      <c r="E76" s="26" t="s">
        <v>206</v>
      </c>
      <c r="F76" s="26" t="s">
        <v>58</v>
      </c>
      <c r="G76" s="27">
        <f>G77</f>
        <v>107847470</v>
      </c>
      <c r="H76" s="27">
        <f t="shared" ref="H76:I76" si="58">H77</f>
        <v>107847470</v>
      </c>
      <c r="I76" s="27">
        <f t="shared" si="58"/>
        <v>107847470</v>
      </c>
      <c r="J76" s="16">
        <f>'БА в тыс. руб.'!G76*1000</f>
        <v>107847470</v>
      </c>
      <c r="K76" s="169">
        <f t="shared" si="50"/>
        <v>0</v>
      </c>
      <c r="L76" s="16">
        <f>'БА в тыс. руб.'!H76*1000</f>
        <v>107847470</v>
      </c>
      <c r="M76" s="169">
        <f t="shared" si="51"/>
        <v>0</v>
      </c>
      <c r="N76" s="16">
        <f>'БА в тыс. руб.'!I76*1000</f>
        <v>107847470</v>
      </c>
      <c r="O76" s="169">
        <f t="shared" si="52"/>
        <v>0</v>
      </c>
    </row>
    <row r="77" spans="1:15" s="3" customFormat="1" ht="25.5">
      <c r="A77" s="34" t="s">
        <v>113</v>
      </c>
      <c r="B77" s="25" t="s">
        <v>55</v>
      </c>
      <c r="C77" s="26" t="s">
        <v>65</v>
      </c>
      <c r="D77" s="26" t="s">
        <v>37</v>
      </c>
      <c r="E77" s="26" t="s">
        <v>207</v>
      </c>
      <c r="F77" s="26" t="s">
        <v>58</v>
      </c>
      <c r="G77" s="27">
        <f>G78+G86+G90+G93+G99</f>
        <v>107847470</v>
      </c>
      <c r="H77" s="27">
        <f>H78+H86+H90+H93+H99</f>
        <v>107847470</v>
      </c>
      <c r="I77" s="27">
        <f>I78+I86+I90+I93+I99</f>
        <v>107847470</v>
      </c>
      <c r="J77" s="16">
        <f>'БА в тыс. руб.'!G77*1000</f>
        <v>107847470</v>
      </c>
      <c r="K77" s="169">
        <f t="shared" si="50"/>
        <v>0</v>
      </c>
      <c r="L77" s="16">
        <f>'БА в тыс. руб.'!H77*1000</f>
        <v>107847470</v>
      </c>
      <c r="M77" s="169">
        <f t="shared" si="51"/>
        <v>0</v>
      </c>
      <c r="N77" s="16">
        <f>'БА в тыс. руб.'!I77*1000</f>
        <v>107847470</v>
      </c>
      <c r="O77" s="169">
        <f t="shared" si="52"/>
        <v>0</v>
      </c>
    </row>
    <row r="78" spans="1:15" s="3" customFormat="1" ht="25.5">
      <c r="A78" s="34" t="s">
        <v>114</v>
      </c>
      <c r="B78" s="35" t="s">
        <v>55</v>
      </c>
      <c r="C78" s="36" t="s">
        <v>65</v>
      </c>
      <c r="D78" s="36" t="s">
        <v>37</v>
      </c>
      <c r="E78" s="36" t="s">
        <v>208</v>
      </c>
      <c r="F78" s="36" t="s">
        <v>58</v>
      </c>
      <c r="G78" s="37">
        <f>G79+G82+G84</f>
        <v>12309690</v>
      </c>
      <c r="H78" s="37">
        <f t="shared" ref="H78:I78" si="59">H79+H82+H84</f>
        <v>12309690</v>
      </c>
      <c r="I78" s="37">
        <f t="shared" si="59"/>
        <v>12309690</v>
      </c>
      <c r="J78" s="16">
        <f>'БА в тыс. руб.'!G78*1000</f>
        <v>12309690</v>
      </c>
      <c r="K78" s="169">
        <f t="shared" si="50"/>
        <v>0</v>
      </c>
      <c r="L78" s="16">
        <f>'БА в тыс. руб.'!H78*1000</f>
        <v>12309690</v>
      </c>
      <c r="M78" s="169">
        <f t="shared" si="51"/>
        <v>0</v>
      </c>
      <c r="N78" s="16">
        <f>'БА в тыс. руб.'!I78*1000</f>
        <v>12309690</v>
      </c>
      <c r="O78" s="169">
        <f t="shared" si="52"/>
        <v>0</v>
      </c>
    </row>
    <row r="79" spans="1:15" s="3" customFormat="1" ht="25.5">
      <c r="A79" s="12" t="s">
        <v>107</v>
      </c>
      <c r="B79" s="35" t="s">
        <v>55</v>
      </c>
      <c r="C79" s="36" t="s">
        <v>65</v>
      </c>
      <c r="D79" s="36" t="s">
        <v>37</v>
      </c>
      <c r="E79" s="36" t="s">
        <v>208</v>
      </c>
      <c r="F79" s="26" t="s">
        <v>115</v>
      </c>
      <c r="G79" s="27">
        <f>SUM(G80:G81)</f>
        <v>4384020</v>
      </c>
      <c r="H79" s="27">
        <f t="shared" ref="H79:I79" si="60">SUM(H80:H81)</f>
        <v>4384020</v>
      </c>
      <c r="I79" s="27">
        <f t="shared" si="60"/>
        <v>4384020</v>
      </c>
      <c r="J79" s="16">
        <f>'БА в тыс. руб.'!G79*1000</f>
        <v>4384020</v>
      </c>
      <c r="K79" s="169">
        <f t="shared" si="50"/>
        <v>0</v>
      </c>
      <c r="L79" s="16">
        <f>'БА в тыс. руб.'!H79*1000</f>
        <v>4384020</v>
      </c>
      <c r="M79" s="169">
        <f t="shared" si="51"/>
        <v>0</v>
      </c>
      <c r="N79" s="16">
        <f>'БА в тыс. руб.'!I79*1000</f>
        <v>4384020</v>
      </c>
      <c r="O79" s="169">
        <f t="shared" si="52"/>
        <v>0</v>
      </c>
    </row>
    <row r="80" spans="1:15" s="3" customFormat="1" ht="25.5">
      <c r="A80" s="11" t="s">
        <v>937</v>
      </c>
      <c r="B80" s="25" t="s">
        <v>55</v>
      </c>
      <c r="C80" s="26" t="s">
        <v>65</v>
      </c>
      <c r="D80" s="26" t="s">
        <v>37</v>
      </c>
      <c r="E80" s="26" t="s">
        <v>208</v>
      </c>
      <c r="F80" s="26" t="s">
        <v>1059</v>
      </c>
      <c r="G80" s="27">
        <f t="shared" ref="G80:G81" si="61">J80</f>
        <v>3681770</v>
      </c>
      <c r="H80" s="27">
        <f t="shared" ref="H80:H81" si="62">L80</f>
        <v>3681770</v>
      </c>
      <c r="I80" s="27">
        <f t="shared" ref="I80:I81" si="63">N80</f>
        <v>3681770</v>
      </c>
      <c r="J80" s="16">
        <f>'БА в тыс. руб.'!G80*1000</f>
        <v>3681770</v>
      </c>
      <c r="K80" s="169">
        <f t="shared" si="50"/>
        <v>0</v>
      </c>
      <c r="L80" s="16">
        <f>'БА в тыс. руб.'!H80*1000</f>
        <v>3681770</v>
      </c>
      <c r="M80" s="169">
        <f t="shared" si="51"/>
        <v>0</v>
      </c>
      <c r="N80" s="16">
        <f>'БА в тыс. руб.'!I80*1000</f>
        <v>3681770</v>
      </c>
      <c r="O80" s="169">
        <f t="shared" si="52"/>
        <v>0</v>
      </c>
    </row>
    <row r="81" spans="1:15" s="3" customFormat="1" ht="38.25">
      <c r="A81" s="11" t="s">
        <v>939</v>
      </c>
      <c r="B81" s="25" t="s">
        <v>55</v>
      </c>
      <c r="C81" s="26" t="s">
        <v>65</v>
      </c>
      <c r="D81" s="26" t="s">
        <v>37</v>
      </c>
      <c r="E81" s="26" t="s">
        <v>208</v>
      </c>
      <c r="F81" s="26" t="s">
        <v>1060</v>
      </c>
      <c r="G81" s="27">
        <f t="shared" si="61"/>
        <v>702250</v>
      </c>
      <c r="H81" s="27">
        <f t="shared" si="62"/>
        <v>702250</v>
      </c>
      <c r="I81" s="27">
        <f t="shared" si="63"/>
        <v>702250</v>
      </c>
      <c r="J81" s="16">
        <f>'БА в тыс. руб.'!G81*1000</f>
        <v>702250</v>
      </c>
      <c r="K81" s="169">
        <f t="shared" si="50"/>
        <v>0</v>
      </c>
      <c r="L81" s="16">
        <f>'БА в тыс. руб.'!H81*1000</f>
        <v>702250</v>
      </c>
      <c r="M81" s="169">
        <f t="shared" si="51"/>
        <v>0</v>
      </c>
      <c r="N81" s="16">
        <f>'БА в тыс. руб.'!I81*1000</f>
        <v>702250</v>
      </c>
      <c r="O81" s="169">
        <f t="shared" si="52"/>
        <v>0</v>
      </c>
    </row>
    <row r="82" spans="1:15" s="3" customFormat="1" ht="25.5">
      <c r="A82" s="11" t="s">
        <v>108</v>
      </c>
      <c r="B82" s="35" t="s">
        <v>55</v>
      </c>
      <c r="C82" s="36" t="s">
        <v>65</v>
      </c>
      <c r="D82" s="36" t="s">
        <v>37</v>
      </c>
      <c r="E82" s="36" t="s">
        <v>208</v>
      </c>
      <c r="F82" s="26" t="s">
        <v>116</v>
      </c>
      <c r="G82" s="27">
        <f>G83</f>
        <v>7901670</v>
      </c>
      <c r="H82" s="27">
        <f t="shared" ref="H82:I82" si="64">H83</f>
        <v>7901670</v>
      </c>
      <c r="I82" s="27">
        <f t="shared" si="64"/>
        <v>7901670</v>
      </c>
      <c r="J82" s="16">
        <f>'БА в тыс. руб.'!G82*1000</f>
        <v>7901670</v>
      </c>
      <c r="K82" s="169">
        <f t="shared" si="50"/>
        <v>0</v>
      </c>
      <c r="L82" s="16">
        <f>'БА в тыс. руб.'!H82*1000</f>
        <v>7901670</v>
      </c>
      <c r="M82" s="169">
        <f t="shared" si="51"/>
        <v>0</v>
      </c>
      <c r="N82" s="16">
        <f>'БА в тыс. руб.'!I82*1000</f>
        <v>7901670</v>
      </c>
      <c r="O82" s="169">
        <f t="shared" si="52"/>
        <v>0</v>
      </c>
    </row>
    <row r="83" spans="1:15" s="4" customFormat="1" ht="25.5">
      <c r="A83" s="12" t="s">
        <v>973</v>
      </c>
      <c r="B83" s="35" t="s">
        <v>55</v>
      </c>
      <c r="C83" s="36" t="s">
        <v>65</v>
      </c>
      <c r="D83" s="36" t="s">
        <v>37</v>
      </c>
      <c r="E83" s="36" t="s">
        <v>208</v>
      </c>
      <c r="F83" s="26" t="s">
        <v>1043</v>
      </c>
      <c r="G83" s="27">
        <f t="shared" ref="G83" si="65">J83</f>
        <v>7901670</v>
      </c>
      <c r="H83" s="27">
        <f>L83</f>
        <v>7901670</v>
      </c>
      <c r="I83" s="27">
        <f>N83</f>
        <v>7901670</v>
      </c>
      <c r="J83" s="16">
        <f>'БА в тыс. руб.'!G83*1000</f>
        <v>7901670</v>
      </c>
      <c r="K83" s="169">
        <f t="shared" si="50"/>
        <v>0</v>
      </c>
      <c r="L83" s="16">
        <f>'БА в тыс. руб.'!H83*1000</f>
        <v>7901670</v>
      </c>
      <c r="M83" s="169">
        <f t="shared" si="51"/>
        <v>0</v>
      </c>
      <c r="N83" s="16">
        <f>'БА в тыс. руб.'!I83*1000</f>
        <v>7901670</v>
      </c>
      <c r="O83" s="169">
        <f t="shared" si="52"/>
        <v>0</v>
      </c>
    </row>
    <row r="84" spans="1:15" s="3" customFormat="1">
      <c r="A84" s="11" t="s">
        <v>97</v>
      </c>
      <c r="B84" s="35" t="s">
        <v>55</v>
      </c>
      <c r="C84" s="36" t="s">
        <v>65</v>
      </c>
      <c r="D84" s="36" t="s">
        <v>37</v>
      </c>
      <c r="E84" s="36" t="s">
        <v>208</v>
      </c>
      <c r="F84" s="26" t="s">
        <v>118</v>
      </c>
      <c r="G84" s="27">
        <f>G85</f>
        <v>24000</v>
      </c>
      <c r="H84" s="27">
        <f t="shared" ref="H84:I84" si="66">H85</f>
        <v>24000</v>
      </c>
      <c r="I84" s="27">
        <f t="shared" si="66"/>
        <v>24000</v>
      </c>
      <c r="J84" s="16">
        <f>'БА в тыс. руб.'!G84*1000</f>
        <v>24000</v>
      </c>
      <c r="K84" s="169">
        <f t="shared" si="50"/>
        <v>0</v>
      </c>
      <c r="L84" s="16">
        <f>'БА в тыс. руб.'!H84*1000</f>
        <v>24000</v>
      </c>
      <c r="M84" s="169">
        <f t="shared" si="51"/>
        <v>0</v>
      </c>
      <c r="N84" s="16">
        <f>'БА в тыс. руб.'!I84*1000</f>
        <v>24000</v>
      </c>
      <c r="O84" s="169">
        <f t="shared" si="52"/>
        <v>0</v>
      </c>
    </row>
    <row r="85" spans="1:15" s="4" customFormat="1">
      <c r="A85" s="12" t="s">
        <v>1037</v>
      </c>
      <c r="B85" s="35" t="s">
        <v>55</v>
      </c>
      <c r="C85" s="36" t="s">
        <v>65</v>
      </c>
      <c r="D85" s="36" t="s">
        <v>37</v>
      </c>
      <c r="E85" s="36" t="s">
        <v>208</v>
      </c>
      <c r="F85" s="26" t="s">
        <v>1062</v>
      </c>
      <c r="G85" s="27">
        <f t="shared" ref="G85" si="67">J85</f>
        <v>24000</v>
      </c>
      <c r="H85" s="27">
        <f>L85</f>
        <v>24000</v>
      </c>
      <c r="I85" s="27">
        <f>N85</f>
        <v>24000</v>
      </c>
      <c r="J85" s="16">
        <f>'БА в тыс. руб.'!G85*1000</f>
        <v>24000</v>
      </c>
      <c r="K85" s="169">
        <f t="shared" si="50"/>
        <v>0</v>
      </c>
      <c r="L85" s="16">
        <f>'БА в тыс. руб.'!H85*1000</f>
        <v>24000</v>
      </c>
      <c r="M85" s="169">
        <f t="shared" si="51"/>
        <v>0</v>
      </c>
      <c r="N85" s="16">
        <f>'БА в тыс. руб.'!I85*1000</f>
        <v>24000</v>
      </c>
      <c r="O85" s="169">
        <f t="shared" si="52"/>
        <v>0</v>
      </c>
    </row>
    <row r="86" spans="1:15" s="3" customFormat="1" ht="25.5">
      <c r="A86" s="34" t="s">
        <v>126</v>
      </c>
      <c r="B86" s="25" t="s">
        <v>55</v>
      </c>
      <c r="C86" s="26" t="s">
        <v>65</v>
      </c>
      <c r="D86" s="26" t="s">
        <v>37</v>
      </c>
      <c r="E86" s="26" t="s">
        <v>209</v>
      </c>
      <c r="F86" s="36" t="s">
        <v>58</v>
      </c>
      <c r="G86" s="27">
        <f>G87</f>
        <v>94314410</v>
      </c>
      <c r="H86" s="27">
        <f t="shared" ref="H86:I86" si="68">H87</f>
        <v>94314410</v>
      </c>
      <c r="I86" s="27">
        <f t="shared" si="68"/>
        <v>94314410</v>
      </c>
      <c r="J86" s="16">
        <f>'БА в тыс. руб.'!G86*1000</f>
        <v>94314410</v>
      </c>
      <c r="K86" s="169">
        <f t="shared" si="50"/>
        <v>0</v>
      </c>
      <c r="L86" s="16">
        <f>'БА в тыс. руб.'!H86*1000</f>
        <v>94314410</v>
      </c>
      <c r="M86" s="169">
        <f t="shared" si="51"/>
        <v>0</v>
      </c>
      <c r="N86" s="16">
        <f>'БА в тыс. руб.'!I86*1000</f>
        <v>94314410</v>
      </c>
      <c r="O86" s="169">
        <f t="shared" si="52"/>
        <v>0</v>
      </c>
    </row>
    <row r="87" spans="1:15" s="3" customFormat="1" ht="25.5">
      <c r="A87" s="12" t="s">
        <v>107</v>
      </c>
      <c r="B87" s="25" t="s">
        <v>55</v>
      </c>
      <c r="C87" s="26" t="s">
        <v>65</v>
      </c>
      <c r="D87" s="26" t="s">
        <v>37</v>
      </c>
      <c r="E87" s="26" t="s">
        <v>209</v>
      </c>
      <c r="F87" s="36" t="s">
        <v>115</v>
      </c>
      <c r="G87" s="27">
        <f>SUM(G88:G89)</f>
        <v>94314410</v>
      </c>
      <c r="H87" s="27">
        <f t="shared" ref="H87:I87" si="69">SUM(H88:H89)</f>
        <v>94314410</v>
      </c>
      <c r="I87" s="27">
        <f t="shared" si="69"/>
        <v>94314410</v>
      </c>
      <c r="J87" s="16">
        <f>'БА в тыс. руб.'!G87*1000</f>
        <v>94314410</v>
      </c>
      <c r="K87" s="169">
        <f t="shared" si="50"/>
        <v>0</v>
      </c>
      <c r="L87" s="16">
        <f>'БА в тыс. руб.'!H87*1000</f>
        <v>94314410</v>
      </c>
      <c r="M87" s="169">
        <f t="shared" si="51"/>
        <v>0</v>
      </c>
      <c r="N87" s="16">
        <f>'БА в тыс. руб.'!I87*1000</f>
        <v>94314410</v>
      </c>
      <c r="O87" s="169">
        <f t="shared" si="52"/>
        <v>0</v>
      </c>
    </row>
    <row r="88" spans="1:15" s="4" customFormat="1">
      <c r="A88" s="12" t="s">
        <v>936</v>
      </c>
      <c r="B88" s="25" t="s">
        <v>55</v>
      </c>
      <c r="C88" s="26" t="s">
        <v>65</v>
      </c>
      <c r="D88" s="26" t="s">
        <v>37</v>
      </c>
      <c r="E88" s="26" t="s">
        <v>209</v>
      </c>
      <c r="F88" s="26" t="s">
        <v>1063</v>
      </c>
      <c r="G88" s="27">
        <f t="shared" ref="G88:G89" si="70">J88</f>
        <v>72438120</v>
      </c>
      <c r="H88" s="27">
        <f t="shared" ref="H88:H89" si="71">L88</f>
        <v>72438120</v>
      </c>
      <c r="I88" s="27">
        <f t="shared" ref="I88:I89" si="72">N88</f>
        <v>72438120</v>
      </c>
      <c r="J88" s="16">
        <f>'БА в тыс. руб.'!G88*1000</f>
        <v>72438120</v>
      </c>
      <c r="K88" s="169">
        <f t="shared" si="50"/>
        <v>0</v>
      </c>
      <c r="L88" s="16">
        <f>'БА в тыс. руб.'!H88*1000</f>
        <v>72438120</v>
      </c>
      <c r="M88" s="169">
        <f t="shared" si="51"/>
        <v>0</v>
      </c>
      <c r="N88" s="16">
        <f>'БА в тыс. руб.'!I88*1000</f>
        <v>72438120</v>
      </c>
      <c r="O88" s="169">
        <f t="shared" si="52"/>
        <v>0</v>
      </c>
    </row>
    <row r="89" spans="1:15" s="4" customFormat="1" ht="38.25">
      <c r="A89" s="12" t="s">
        <v>939</v>
      </c>
      <c r="B89" s="25" t="s">
        <v>55</v>
      </c>
      <c r="C89" s="26" t="s">
        <v>65</v>
      </c>
      <c r="D89" s="26" t="s">
        <v>37</v>
      </c>
      <c r="E89" s="26" t="s">
        <v>209</v>
      </c>
      <c r="F89" s="26" t="s">
        <v>1060</v>
      </c>
      <c r="G89" s="27">
        <f t="shared" si="70"/>
        <v>21876290</v>
      </c>
      <c r="H89" s="27">
        <f t="shared" si="71"/>
        <v>21876290</v>
      </c>
      <c r="I89" s="27">
        <f t="shared" si="72"/>
        <v>21876290</v>
      </c>
      <c r="J89" s="16">
        <f>'БА в тыс. руб.'!G89*1000</f>
        <v>21876290</v>
      </c>
      <c r="K89" s="169">
        <f t="shared" si="50"/>
        <v>0</v>
      </c>
      <c r="L89" s="16">
        <f>'БА в тыс. руб.'!H89*1000</f>
        <v>21876290</v>
      </c>
      <c r="M89" s="169">
        <f t="shared" si="51"/>
        <v>0</v>
      </c>
      <c r="N89" s="16">
        <f>'БА в тыс. руб.'!I89*1000</f>
        <v>21876290</v>
      </c>
      <c r="O89" s="169">
        <f t="shared" si="52"/>
        <v>0</v>
      </c>
    </row>
    <row r="90" spans="1:15" s="3" customFormat="1" ht="51">
      <c r="A90" s="34" t="s">
        <v>870</v>
      </c>
      <c r="B90" s="25" t="s">
        <v>55</v>
      </c>
      <c r="C90" s="26" t="s">
        <v>65</v>
      </c>
      <c r="D90" s="26" t="s">
        <v>37</v>
      </c>
      <c r="E90" s="26" t="s">
        <v>210</v>
      </c>
      <c r="F90" s="36" t="s">
        <v>58</v>
      </c>
      <c r="G90" s="27">
        <f>G91</f>
        <v>51730</v>
      </c>
      <c r="H90" s="27">
        <f>H91</f>
        <v>51730</v>
      </c>
      <c r="I90" s="27">
        <f>I91</f>
        <v>51730</v>
      </c>
      <c r="J90" s="16">
        <f>'БА в тыс. руб.'!G90*1000</f>
        <v>51730</v>
      </c>
      <c r="K90" s="169">
        <f t="shared" si="50"/>
        <v>0</v>
      </c>
      <c r="L90" s="16">
        <f>'БА в тыс. руб.'!H90*1000</f>
        <v>51730</v>
      </c>
      <c r="M90" s="169">
        <f t="shared" si="51"/>
        <v>0</v>
      </c>
      <c r="N90" s="16">
        <f>'БА в тыс. руб.'!I90*1000</f>
        <v>51730</v>
      </c>
      <c r="O90" s="169">
        <f t="shared" si="52"/>
        <v>0</v>
      </c>
    </row>
    <row r="91" spans="1:15" s="3" customFormat="1" ht="25.5">
      <c r="A91" s="11" t="s">
        <v>108</v>
      </c>
      <c r="B91" s="25" t="s">
        <v>55</v>
      </c>
      <c r="C91" s="26" t="s">
        <v>65</v>
      </c>
      <c r="D91" s="26" t="s">
        <v>37</v>
      </c>
      <c r="E91" s="26" t="s">
        <v>210</v>
      </c>
      <c r="F91" s="26" t="s">
        <v>116</v>
      </c>
      <c r="G91" s="27">
        <f>G92</f>
        <v>51730</v>
      </c>
      <c r="H91" s="27">
        <f t="shared" ref="H91:I91" si="73">H92</f>
        <v>51730</v>
      </c>
      <c r="I91" s="27">
        <f t="shared" si="73"/>
        <v>51730</v>
      </c>
      <c r="J91" s="16">
        <f>'БА в тыс. руб.'!G91*1000</f>
        <v>51730</v>
      </c>
      <c r="K91" s="169">
        <f t="shared" si="50"/>
        <v>0</v>
      </c>
      <c r="L91" s="16">
        <f>'БА в тыс. руб.'!H91*1000</f>
        <v>51730</v>
      </c>
      <c r="M91" s="169">
        <f t="shared" si="51"/>
        <v>0</v>
      </c>
      <c r="N91" s="16">
        <f>'БА в тыс. руб.'!I91*1000</f>
        <v>51730</v>
      </c>
      <c r="O91" s="169">
        <f t="shared" si="52"/>
        <v>0</v>
      </c>
    </row>
    <row r="92" spans="1:15" s="4" customFormat="1" ht="25.5">
      <c r="A92" s="12" t="s">
        <v>973</v>
      </c>
      <c r="B92" s="25" t="s">
        <v>55</v>
      </c>
      <c r="C92" s="26" t="s">
        <v>65</v>
      </c>
      <c r="D92" s="26" t="s">
        <v>37</v>
      </c>
      <c r="E92" s="26" t="s">
        <v>210</v>
      </c>
      <c r="F92" s="26" t="s">
        <v>1043</v>
      </c>
      <c r="G92" s="27">
        <f t="shared" ref="G92" si="74">J92</f>
        <v>51730</v>
      </c>
      <c r="H92" s="27">
        <f>L92</f>
        <v>51730</v>
      </c>
      <c r="I92" s="27">
        <f>N92</f>
        <v>51730</v>
      </c>
      <c r="J92" s="16">
        <f>'БА в тыс. руб.'!G92*1000</f>
        <v>51730</v>
      </c>
      <c r="K92" s="169">
        <f t="shared" si="50"/>
        <v>0</v>
      </c>
      <c r="L92" s="16">
        <f>'БА в тыс. руб.'!H92*1000</f>
        <v>51730</v>
      </c>
      <c r="M92" s="169">
        <f t="shared" si="51"/>
        <v>0</v>
      </c>
      <c r="N92" s="16">
        <f>'БА в тыс. руб.'!I92*1000</f>
        <v>51730</v>
      </c>
      <c r="O92" s="169">
        <f t="shared" si="52"/>
        <v>0</v>
      </c>
    </row>
    <row r="93" spans="1:15" s="3" customFormat="1" ht="51">
      <c r="A93" s="11" t="s">
        <v>597</v>
      </c>
      <c r="B93" s="35" t="s">
        <v>55</v>
      </c>
      <c r="C93" s="36" t="s">
        <v>65</v>
      </c>
      <c r="D93" s="36" t="s">
        <v>37</v>
      </c>
      <c r="E93" s="36" t="s">
        <v>211</v>
      </c>
      <c r="F93" s="36" t="s">
        <v>58</v>
      </c>
      <c r="G93" s="27">
        <f>G94+G97</f>
        <v>1162640</v>
      </c>
      <c r="H93" s="27">
        <f t="shared" ref="H93:I93" si="75">H94+H97</f>
        <v>1162640</v>
      </c>
      <c r="I93" s="27">
        <f t="shared" si="75"/>
        <v>1162640</v>
      </c>
      <c r="J93" s="16">
        <f>'БА в тыс. руб.'!G93*1000</f>
        <v>1162640</v>
      </c>
      <c r="K93" s="169">
        <f t="shared" si="50"/>
        <v>0</v>
      </c>
      <c r="L93" s="16">
        <f>'БА в тыс. руб.'!H93*1000</f>
        <v>1162640</v>
      </c>
      <c r="M93" s="169">
        <f t="shared" si="51"/>
        <v>0</v>
      </c>
      <c r="N93" s="16">
        <f>'БА в тыс. руб.'!I93*1000</f>
        <v>1162640</v>
      </c>
      <c r="O93" s="169">
        <f t="shared" si="52"/>
        <v>0</v>
      </c>
    </row>
    <row r="94" spans="1:15" s="3" customFormat="1" ht="25.5">
      <c r="A94" s="12" t="s">
        <v>107</v>
      </c>
      <c r="B94" s="35" t="s">
        <v>55</v>
      </c>
      <c r="C94" s="36" t="s">
        <v>65</v>
      </c>
      <c r="D94" s="36" t="s">
        <v>37</v>
      </c>
      <c r="E94" s="36" t="s">
        <v>211</v>
      </c>
      <c r="F94" s="36" t="s">
        <v>115</v>
      </c>
      <c r="G94" s="27">
        <f>SUM(G95:G96)</f>
        <v>855700</v>
      </c>
      <c r="H94" s="27">
        <f t="shared" ref="H94:I94" si="76">SUM(H95:H96)</f>
        <v>855700</v>
      </c>
      <c r="I94" s="27">
        <f t="shared" si="76"/>
        <v>855700</v>
      </c>
      <c r="J94" s="16">
        <f>'БА в тыс. руб.'!G94*1000</f>
        <v>855700</v>
      </c>
      <c r="K94" s="169">
        <f t="shared" si="50"/>
        <v>0</v>
      </c>
      <c r="L94" s="16">
        <f>'БА в тыс. руб.'!H94*1000</f>
        <v>855700</v>
      </c>
      <c r="M94" s="169">
        <f t="shared" si="51"/>
        <v>0</v>
      </c>
      <c r="N94" s="16">
        <f>'БА в тыс. руб.'!I94*1000</f>
        <v>855700</v>
      </c>
      <c r="O94" s="169">
        <f t="shared" si="52"/>
        <v>0</v>
      </c>
    </row>
    <row r="95" spans="1:15" s="4" customFormat="1">
      <c r="A95" s="12" t="s">
        <v>936</v>
      </c>
      <c r="B95" s="35" t="s">
        <v>55</v>
      </c>
      <c r="C95" s="36" t="s">
        <v>65</v>
      </c>
      <c r="D95" s="36" t="s">
        <v>37</v>
      </c>
      <c r="E95" s="36" t="s">
        <v>211</v>
      </c>
      <c r="F95" s="26" t="s">
        <v>1063</v>
      </c>
      <c r="G95" s="27">
        <f t="shared" ref="G95:G96" si="77">J95</f>
        <v>657220</v>
      </c>
      <c r="H95" s="27">
        <f t="shared" ref="H95:H96" si="78">L95</f>
        <v>657220</v>
      </c>
      <c r="I95" s="27">
        <f t="shared" ref="I95:I96" si="79">N95</f>
        <v>657220</v>
      </c>
      <c r="J95" s="16">
        <f>'БА в тыс. руб.'!G95*1000</f>
        <v>657220</v>
      </c>
      <c r="K95" s="169">
        <f t="shared" si="50"/>
        <v>0</v>
      </c>
      <c r="L95" s="16">
        <f>'БА в тыс. руб.'!H95*1000</f>
        <v>657220</v>
      </c>
      <c r="M95" s="169">
        <f t="shared" si="51"/>
        <v>0</v>
      </c>
      <c r="N95" s="16">
        <f>'БА в тыс. руб.'!I95*1000</f>
        <v>657220</v>
      </c>
      <c r="O95" s="169">
        <f t="shared" si="52"/>
        <v>0</v>
      </c>
    </row>
    <row r="96" spans="1:15" s="4" customFormat="1" ht="38.25">
      <c r="A96" s="12" t="s">
        <v>939</v>
      </c>
      <c r="B96" s="35" t="s">
        <v>55</v>
      </c>
      <c r="C96" s="36" t="s">
        <v>65</v>
      </c>
      <c r="D96" s="36" t="s">
        <v>37</v>
      </c>
      <c r="E96" s="36" t="s">
        <v>211</v>
      </c>
      <c r="F96" s="26" t="s">
        <v>1060</v>
      </c>
      <c r="G96" s="27">
        <f t="shared" si="77"/>
        <v>198480</v>
      </c>
      <c r="H96" s="27">
        <f t="shared" si="78"/>
        <v>198480</v>
      </c>
      <c r="I96" s="27">
        <f t="shared" si="79"/>
        <v>198480</v>
      </c>
      <c r="J96" s="16">
        <f>'БА в тыс. руб.'!G96*1000</f>
        <v>198480</v>
      </c>
      <c r="K96" s="169">
        <f t="shared" si="50"/>
        <v>0</v>
      </c>
      <c r="L96" s="16">
        <f>'БА в тыс. руб.'!H96*1000</f>
        <v>198480</v>
      </c>
      <c r="M96" s="169">
        <f t="shared" si="51"/>
        <v>0</v>
      </c>
      <c r="N96" s="16">
        <f>'БА в тыс. руб.'!I96*1000</f>
        <v>198480</v>
      </c>
      <c r="O96" s="169">
        <f t="shared" si="52"/>
        <v>0</v>
      </c>
    </row>
    <row r="97" spans="1:15" s="3" customFormat="1" ht="25.5">
      <c r="A97" s="11" t="s">
        <v>108</v>
      </c>
      <c r="B97" s="35" t="s">
        <v>55</v>
      </c>
      <c r="C97" s="36" t="s">
        <v>65</v>
      </c>
      <c r="D97" s="36" t="s">
        <v>37</v>
      </c>
      <c r="E97" s="36" t="s">
        <v>211</v>
      </c>
      <c r="F97" s="36" t="s">
        <v>116</v>
      </c>
      <c r="G97" s="27">
        <f>G98</f>
        <v>306940</v>
      </c>
      <c r="H97" s="27">
        <f t="shared" ref="H97:I97" si="80">H98</f>
        <v>306940</v>
      </c>
      <c r="I97" s="27">
        <f t="shared" si="80"/>
        <v>306940</v>
      </c>
      <c r="J97" s="16">
        <f>'БА в тыс. руб.'!G97*1000</f>
        <v>306940</v>
      </c>
      <c r="K97" s="169">
        <f t="shared" si="50"/>
        <v>0</v>
      </c>
      <c r="L97" s="16">
        <f>'БА в тыс. руб.'!H97*1000</f>
        <v>306940</v>
      </c>
      <c r="M97" s="169">
        <f t="shared" si="51"/>
        <v>0</v>
      </c>
      <c r="N97" s="16">
        <f>'БА в тыс. руб.'!I97*1000</f>
        <v>306940</v>
      </c>
      <c r="O97" s="169">
        <f t="shared" si="52"/>
        <v>0</v>
      </c>
    </row>
    <row r="98" spans="1:15" s="3" customFormat="1" ht="25.5">
      <c r="A98" s="12" t="s">
        <v>973</v>
      </c>
      <c r="B98" s="35" t="s">
        <v>55</v>
      </c>
      <c r="C98" s="36" t="s">
        <v>65</v>
      </c>
      <c r="D98" s="36" t="s">
        <v>37</v>
      </c>
      <c r="E98" s="36" t="s">
        <v>211</v>
      </c>
      <c r="F98" s="36" t="s">
        <v>1043</v>
      </c>
      <c r="G98" s="27">
        <f t="shared" ref="G98" si="81">J98</f>
        <v>306940</v>
      </c>
      <c r="H98" s="27">
        <f>L98</f>
        <v>306940</v>
      </c>
      <c r="I98" s="27">
        <f>N98</f>
        <v>306940</v>
      </c>
      <c r="J98" s="16">
        <f>'БА в тыс. руб.'!G98*1000</f>
        <v>306940</v>
      </c>
      <c r="K98" s="169">
        <f t="shared" si="50"/>
        <v>0</v>
      </c>
      <c r="L98" s="16">
        <f>'БА в тыс. руб.'!H98*1000</f>
        <v>306940</v>
      </c>
      <c r="M98" s="169">
        <f t="shared" si="51"/>
        <v>0</v>
      </c>
      <c r="N98" s="16">
        <f>'БА в тыс. руб.'!I98*1000</f>
        <v>306940</v>
      </c>
      <c r="O98" s="169">
        <f t="shared" si="52"/>
        <v>0</v>
      </c>
    </row>
    <row r="99" spans="1:15" s="3" customFormat="1" ht="38.25">
      <c r="A99" s="34" t="s">
        <v>596</v>
      </c>
      <c r="B99" s="35" t="s">
        <v>55</v>
      </c>
      <c r="C99" s="36" t="s">
        <v>65</v>
      </c>
      <c r="D99" s="36" t="s">
        <v>37</v>
      </c>
      <c r="E99" s="36" t="s">
        <v>212</v>
      </c>
      <c r="F99" s="36" t="s">
        <v>58</v>
      </c>
      <c r="G99" s="37">
        <f>G100</f>
        <v>9000</v>
      </c>
      <c r="H99" s="37">
        <f>H100</f>
        <v>9000</v>
      </c>
      <c r="I99" s="37">
        <f>I100</f>
        <v>9000</v>
      </c>
      <c r="J99" s="16">
        <f>'БА в тыс. руб.'!G99*1000</f>
        <v>9000</v>
      </c>
      <c r="K99" s="169">
        <f t="shared" si="50"/>
        <v>0</v>
      </c>
      <c r="L99" s="16">
        <f>'БА в тыс. руб.'!H99*1000</f>
        <v>9000</v>
      </c>
      <c r="M99" s="169">
        <f t="shared" si="51"/>
        <v>0</v>
      </c>
      <c r="N99" s="16">
        <f>'БА в тыс. руб.'!I99*1000</f>
        <v>9000</v>
      </c>
      <c r="O99" s="169">
        <f t="shared" si="52"/>
        <v>0</v>
      </c>
    </row>
    <row r="100" spans="1:15" s="3" customFormat="1" ht="25.5">
      <c r="A100" s="11" t="s">
        <v>108</v>
      </c>
      <c r="B100" s="35" t="s">
        <v>55</v>
      </c>
      <c r="C100" s="36" t="s">
        <v>65</v>
      </c>
      <c r="D100" s="36" t="s">
        <v>37</v>
      </c>
      <c r="E100" s="36" t="s">
        <v>212</v>
      </c>
      <c r="F100" s="36" t="s">
        <v>116</v>
      </c>
      <c r="G100" s="27">
        <f>G101</f>
        <v>9000</v>
      </c>
      <c r="H100" s="27">
        <f t="shared" ref="H100:I100" si="82">H101</f>
        <v>9000</v>
      </c>
      <c r="I100" s="27">
        <f t="shared" si="82"/>
        <v>9000</v>
      </c>
      <c r="J100" s="16">
        <f>'БА в тыс. руб.'!G100*1000</f>
        <v>9000</v>
      </c>
      <c r="K100" s="169">
        <f t="shared" si="50"/>
        <v>0</v>
      </c>
      <c r="L100" s="16">
        <f>'БА в тыс. руб.'!H100*1000</f>
        <v>9000</v>
      </c>
      <c r="M100" s="169">
        <f t="shared" si="51"/>
        <v>0</v>
      </c>
      <c r="N100" s="16">
        <f>'БА в тыс. руб.'!I100*1000</f>
        <v>9000</v>
      </c>
      <c r="O100" s="169">
        <f t="shared" si="52"/>
        <v>0</v>
      </c>
    </row>
    <row r="101" spans="1:15" s="4" customFormat="1" ht="25.5">
      <c r="A101" s="12" t="s">
        <v>973</v>
      </c>
      <c r="B101" s="35" t="s">
        <v>55</v>
      </c>
      <c r="C101" s="36" t="s">
        <v>65</v>
      </c>
      <c r="D101" s="36" t="s">
        <v>37</v>
      </c>
      <c r="E101" s="36" t="s">
        <v>212</v>
      </c>
      <c r="F101" s="36" t="s">
        <v>1043</v>
      </c>
      <c r="G101" s="27">
        <f t="shared" ref="G101" si="83">J101</f>
        <v>9000</v>
      </c>
      <c r="H101" s="27">
        <f>L101</f>
        <v>9000</v>
      </c>
      <c r="I101" s="27">
        <f>N101</f>
        <v>9000</v>
      </c>
      <c r="J101" s="16">
        <f>'БА в тыс. руб.'!G101*1000</f>
        <v>9000</v>
      </c>
      <c r="K101" s="169">
        <f t="shared" si="50"/>
        <v>0</v>
      </c>
      <c r="L101" s="16">
        <f>'БА в тыс. руб.'!H101*1000</f>
        <v>9000</v>
      </c>
      <c r="M101" s="169">
        <f t="shared" si="51"/>
        <v>0</v>
      </c>
      <c r="N101" s="16">
        <f>'БА в тыс. руб.'!I101*1000</f>
        <v>9000</v>
      </c>
      <c r="O101" s="169">
        <f t="shared" si="52"/>
        <v>0</v>
      </c>
    </row>
    <row r="102" spans="1:15" s="3" customFormat="1">
      <c r="A102" s="21" t="s">
        <v>57</v>
      </c>
      <c r="B102" s="22" t="s">
        <v>55</v>
      </c>
      <c r="C102" s="23" t="s">
        <v>65</v>
      </c>
      <c r="D102" s="23" t="s">
        <v>8</v>
      </c>
      <c r="E102" s="23" t="s">
        <v>196</v>
      </c>
      <c r="F102" s="23" t="s">
        <v>58</v>
      </c>
      <c r="G102" s="24">
        <f>G103</f>
        <v>136800</v>
      </c>
      <c r="H102" s="24">
        <f>H103</f>
        <v>136800</v>
      </c>
      <c r="I102" s="24">
        <f>I103</f>
        <v>136800</v>
      </c>
      <c r="J102" s="16">
        <f>'БА в тыс. руб.'!G102*1000</f>
        <v>136800</v>
      </c>
      <c r="K102" s="169">
        <f t="shared" si="50"/>
        <v>0</v>
      </c>
      <c r="L102" s="16">
        <f>'БА в тыс. руб.'!H102*1000</f>
        <v>136800</v>
      </c>
      <c r="M102" s="169">
        <f t="shared" si="51"/>
        <v>0</v>
      </c>
      <c r="N102" s="16">
        <f>'БА в тыс. руб.'!I102*1000</f>
        <v>136800</v>
      </c>
      <c r="O102" s="169">
        <f t="shared" si="52"/>
        <v>0</v>
      </c>
    </row>
    <row r="103" spans="1:15" s="3" customFormat="1" ht="38.25">
      <c r="A103" s="11" t="s">
        <v>683</v>
      </c>
      <c r="B103" s="25" t="s">
        <v>55</v>
      </c>
      <c r="C103" s="26" t="s">
        <v>65</v>
      </c>
      <c r="D103" s="36" t="s">
        <v>8</v>
      </c>
      <c r="E103" s="26" t="s">
        <v>680</v>
      </c>
      <c r="F103" s="26" t="s">
        <v>58</v>
      </c>
      <c r="G103" s="27">
        <f t="shared" ref="G103:I106" si="84">G104</f>
        <v>136800</v>
      </c>
      <c r="H103" s="27">
        <f t="shared" si="84"/>
        <v>136800</v>
      </c>
      <c r="I103" s="27">
        <f t="shared" si="84"/>
        <v>136800</v>
      </c>
      <c r="J103" s="16">
        <f>'БА в тыс. руб.'!G103*1000</f>
        <v>136800</v>
      </c>
      <c r="K103" s="169">
        <f t="shared" si="50"/>
        <v>0</v>
      </c>
      <c r="L103" s="16">
        <f>'БА в тыс. руб.'!H103*1000</f>
        <v>136800</v>
      </c>
      <c r="M103" s="169">
        <f t="shared" si="51"/>
        <v>0</v>
      </c>
      <c r="N103" s="16">
        <f>'БА в тыс. руб.'!I103*1000</f>
        <v>136800</v>
      </c>
      <c r="O103" s="169">
        <f t="shared" si="52"/>
        <v>0</v>
      </c>
    </row>
    <row r="104" spans="1:15" s="3" customFormat="1">
      <c r="A104" s="11" t="s">
        <v>684</v>
      </c>
      <c r="B104" s="25" t="s">
        <v>55</v>
      </c>
      <c r="C104" s="26" t="s">
        <v>65</v>
      </c>
      <c r="D104" s="36" t="s">
        <v>8</v>
      </c>
      <c r="E104" s="26" t="s">
        <v>681</v>
      </c>
      <c r="F104" s="26" t="s">
        <v>58</v>
      </c>
      <c r="G104" s="27">
        <f t="shared" si="84"/>
        <v>136800</v>
      </c>
      <c r="H104" s="27">
        <f t="shared" si="84"/>
        <v>136800</v>
      </c>
      <c r="I104" s="27">
        <f t="shared" si="84"/>
        <v>136800</v>
      </c>
      <c r="J104" s="16">
        <f>'БА в тыс. руб.'!G104*1000</f>
        <v>136800</v>
      </c>
      <c r="K104" s="169">
        <f t="shared" si="50"/>
        <v>0</v>
      </c>
      <c r="L104" s="16">
        <f>'БА в тыс. руб.'!H104*1000</f>
        <v>136800</v>
      </c>
      <c r="M104" s="169">
        <f t="shared" si="51"/>
        <v>0</v>
      </c>
      <c r="N104" s="16">
        <f>'БА в тыс. руб.'!I104*1000</f>
        <v>136800</v>
      </c>
      <c r="O104" s="169">
        <f t="shared" si="52"/>
        <v>0</v>
      </c>
    </row>
    <row r="105" spans="1:15" s="3" customFormat="1" ht="38.25">
      <c r="A105" s="34" t="s">
        <v>903</v>
      </c>
      <c r="B105" s="35" t="s">
        <v>55</v>
      </c>
      <c r="C105" s="36" t="s">
        <v>65</v>
      </c>
      <c r="D105" s="36" t="s">
        <v>8</v>
      </c>
      <c r="E105" s="36" t="s">
        <v>682</v>
      </c>
      <c r="F105" s="36" t="s">
        <v>58</v>
      </c>
      <c r="G105" s="37">
        <f t="shared" si="84"/>
        <v>136800</v>
      </c>
      <c r="H105" s="37">
        <f t="shared" si="84"/>
        <v>136800</v>
      </c>
      <c r="I105" s="37">
        <f t="shared" si="84"/>
        <v>136800</v>
      </c>
      <c r="J105" s="16">
        <f>'БА в тыс. руб.'!G105*1000</f>
        <v>136800</v>
      </c>
      <c r="K105" s="169">
        <f t="shared" si="50"/>
        <v>0</v>
      </c>
      <c r="L105" s="16">
        <f>'БА в тыс. руб.'!H105*1000</f>
        <v>136800</v>
      </c>
      <c r="M105" s="169">
        <f t="shared" si="51"/>
        <v>0</v>
      </c>
      <c r="N105" s="16">
        <f>'БА в тыс. руб.'!I105*1000</f>
        <v>136800</v>
      </c>
      <c r="O105" s="169">
        <f t="shared" si="52"/>
        <v>0</v>
      </c>
    </row>
    <row r="106" spans="1:15" s="3" customFormat="1" ht="25.5">
      <c r="A106" s="11" t="s">
        <v>108</v>
      </c>
      <c r="B106" s="35" t="s">
        <v>55</v>
      </c>
      <c r="C106" s="36" t="s">
        <v>65</v>
      </c>
      <c r="D106" s="36" t="s">
        <v>8</v>
      </c>
      <c r="E106" s="36" t="s">
        <v>682</v>
      </c>
      <c r="F106" s="36" t="s">
        <v>116</v>
      </c>
      <c r="G106" s="27">
        <f>G107</f>
        <v>136800</v>
      </c>
      <c r="H106" s="27">
        <f t="shared" si="84"/>
        <v>136800</v>
      </c>
      <c r="I106" s="27">
        <f t="shared" si="84"/>
        <v>136800</v>
      </c>
      <c r="J106" s="16">
        <f>'БА в тыс. руб.'!G106*1000</f>
        <v>136800</v>
      </c>
      <c r="K106" s="169">
        <f t="shared" si="50"/>
        <v>0</v>
      </c>
      <c r="L106" s="16">
        <f>'БА в тыс. руб.'!H106*1000</f>
        <v>136800</v>
      </c>
      <c r="M106" s="169">
        <f t="shared" si="51"/>
        <v>0</v>
      </c>
      <c r="N106" s="16">
        <f>'БА в тыс. руб.'!I106*1000</f>
        <v>136800</v>
      </c>
      <c r="O106" s="169">
        <f t="shared" si="52"/>
        <v>0</v>
      </c>
    </row>
    <row r="107" spans="1:15" s="4" customFormat="1" ht="25.5">
      <c r="A107" s="12" t="s">
        <v>973</v>
      </c>
      <c r="B107" s="35" t="s">
        <v>55</v>
      </c>
      <c r="C107" s="36" t="s">
        <v>65</v>
      </c>
      <c r="D107" s="36" t="s">
        <v>8</v>
      </c>
      <c r="E107" s="36" t="s">
        <v>682</v>
      </c>
      <c r="F107" s="36" t="s">
        <v>1043</v>
      </c>
      <c r="G107" s="27">
        <f t="shared" ref="G107" si="85">J107</f>
        <v>136800</v>
      </c>
      <c r="H107" s="27">
        <f>L107</f>
        <v>136800</v>
      </c>
      <c r="I107" s="27">
        <f>N107</f>
        <v>136800</v>
      </c>
      <c r="J107" s="16">
        <f>'БА в тыс. руб.'!G107*1000</f>
        <v>136800</v>
      </c>
      <c r="K107" s="169">
        <f t="shared" si="50"/>
        <v>0</v>
      </c>
      <c r="L107" s="16">
        <f>'БА в тыс. руб.'!H107*1000</f>
        <v>136800</v>
      </c>
      <c r="M107" s="169">
        <f t="shared" si="51"/>
        <v>0</v>
      </c>
      <c r="N107" s="16">
        <f>'БА в тыс. руб.'!I107*1000</f>
        <v>136800</v>
      </c>
      <c r="O107" s="169">
        <f t="shared" si="52"/>
        <v>0</v>
      </c>
    </row>
    <row r="108" spans="1:15" s="3" customFormat="1">
      <c r="A108" s="21" t="s">
        <v>38</v>
      </c>
      <c r="B108" s="22" t="s">
        <v>55</v>
      </c>
      <c r="C108" s="23" t="s">
        <v>65</v>
      </c>
      <c r="D108" s="23" t="s">
        <v>84</v>
      </c>
      <c r="E108" s="23" t="s">
        <v>196</v>
      </c>
      <c r="F108" s="23" t="s">
        <v>58</v>
      </c>
      <c r="G108" s="24">
        <f>G109+G118+G124+G158+G187+G193+G206</f>
        <v>132806160</v>
      </c>
      <c r="H108" s="24">
        <f>H109+H118+H124+H158+H187+H193+H206</f>
        <v>123046700</v>
      </c>
      <c r="I108" s="24">
        <f>I109+I118+I124+I158+I187+I193+I206</f>
        <v>123046700</v>
      </c>
      <c r="J108" s="16">
        <f>'БА в тыс. руб.'!G108*1000</f>
        <v>132806159.99999997</v>
      </c>
      <c r="K108" s="169">
        <f t="shared" si="50"/>
        <v>0</v>
      </c>
      <c r="L108" s="16">
        <f>'БА в тыс. руб.'!H108*1000</f>
        <v>123046699.99999999</v>
      </c>
      <c r="M108" s="169">
        <f t="shared" si="51"/>
        <v>0</v>
      </c>
      <c r="N108" s="16">
        <f>'БА в тыс. руб.'!I108*1000</f>
        <v>123046699.99999999</v>
      </c>
      <c r="O108" s="169">
        <f t="shared" si="52"/>
        <v>0</v>
      </c>
    </row>
    <row r="109" spans="1:15" s="3" customFormat="1" ht="25.5">
      <c r="A109" s="34" t="s">
        <v>747</v>
      </c>
      <c r="B109" s="25" t="s">
        <v>55</v>
      </c>
      <c r="C109" s="26" t="s">
        <v>65</v>
      </c>
      <c r="D109" s="26" t="s">
        <v>84</v>
      </c>
      <c r="E109" s="26" t="s">
        <v>215</v>
      </c>
      <c r="F109" s="26" t="s">
        <v>58</v>
      </c>
      <c r="G109" s="27">
        <f t="shared" ref="G109:I110" si="86">G110</f>
        <v>2195000</v>
      </c>
      <c r="H109" s="27">
        <f t="shared" si="86"/>
        <v>1975500</v>
      </c>
      <c r="I109" s="27">
        <f t="shared" si="86"/>
        <v>1975500</v>
      </c>
      <c r="J109" s="16">
        <f>'БА в тыс. руб.'!G109*1000</f>
        <v>2195000</v>
      </c>
      <c r="K109" s="169">
        <f t="shared" si="50"/>
        <v>0</v>
      </c>
      <c r="L109" s="16">
        <f>'БА в тыс. руб.'!H109*1000</f>
        <v>1975500</v>
      </c>
      <c r="M109" s="169">
        <f t="shared" si="51"/>
        <v>0</v>
      </c>
      <c r="N109" s="16">
        <f>'БА в тыс. руб.'!I109*1000</f>
        <v>1975500</v>
      </c>
      <c r="O109" s="169">
        <f t="shared" si="52"/>
        <v>0</v>
      </c>
    </row>
    <row r="110" spans="1:15" s="3" customFormat="1" ht="25.5">
      <c r="A110" s="34" t="s">
        <v>765</v>
      </c>
      <c r="B110" s="25" t="s">
        <v>55</v>
      </c>
      <c r="C110" s="26" t="s">
        <v>65</v>
      </c>
      <c r="D110" s="26" t="s">
        <v>84</v>
      </c>
      <c r="E110" s="26" t="s">
        <v>216</v>
      </c>
      <c r="F110" s="26" t="s">
        <v>58</v>
      </c>
      <c r="G110" s="27">
        <f t="shared" si="86"/>
        <v>2195000</v>
      </c>
      <c r="H110" s="27">
        <f t="shared" si="86"/>
        <v>1975500</v>
      </c>
      <c r="I110" s="27">
        <f t="shared" si="86"/>
        <v>1975500</v>
      </c>
      <c r="J110" s="16">
        <f>'БА в тыс. руб.'!G110*1000</f>
        <v>2195000</v>
      </c>
      <c r="K110" s="169">
        <f t="shared" si="50"/>
        <v>0</v>
      </c>
      <c r="L110" s="16">
        <f>'БА в тыс. руб.'!H110*1000</f>
        <v>1975500</v>
      </c>
      <c r="M110" s="169">
        <f t="shared" si="51"/>
        <v>0</v>
      </c>
      <c r="N110" s="16">
        <f>'БА в тыс. руб.'!I110*1000</f>
        <v>1975500</v>
      </c>
      <c r="O110" s="169">
        <f t="shared" si="52"/>
        <v>0</v>
      </c>
    </row>
    <row r="111" spans="1:15" s="3" customFormat="1" ht="38.25">
      <c r="A111" s="34" t="s">
        <v>845</v>
      </c>
      <c r="B111" s="25" t="s">
        <v>55</v>
      </c>
      <c r="C111" s="26" t="s">
        <v>65</v>
      </c>
      <c r="D111" s="26" t="s">
        <v>84</v>
      </c>
      <c r="E111" s="26" t="s">
        <v>217</v>
      </c>
      <c r="F111" s="26" t="s">
        <v>58</v>
      </c>
      <c r="G111" s="27">
        <f>G112+G115</f>
        <v>2195000</v>
      </c>
      <c r="H111" s="27">
        <f>H112+H115</f>
        <v>1975500</v>
      </c>
      <c r="I111" s="27">
        <f>I112+I115</f>
        <v>1975500</v>
      </c>
      <c r="J111" s="16">
        <f>'БА в тыс. руб.'!G111*1000</f>
        <v>2195000</v>
      </c>
      <c r="K111" s="169">
        <f t="shared" si="50"/>
        <v>0</v>
      </c>
      <c r="L111" s="16">
        <f>'БА в тыс. руб.'!H111*1000</f>
        <v>1975500</v>
      </c>
      <c r="M111" s="169">
        <f t="shared" si="51"/>
        <v>0</v>
      </c>
      <c r="N111" s="16">
        <f>'БА в тыс. руб.'!I111*1000</f>
        <v>1975500</v>
      </c>
      <c r="O111" s="169">
        <f t="shared" si="52"/>
        <v>0</v>
      </c>
    </row>
    <row r="112" spans="1:15" s="3" customFormat="1" ht="38.25">
      <c r="A112" s="34" t="s">
        <v>844</v>
      </c>
      <c r="B112" s="25" t="s">
        <v>55</v>
      </c>
      <c r="C112" s="26" t="s">
        <v>65</v>
      </c>
      <c r="D112" s="26" t="s">
        <v>84</v>
      </c>
      <c r="E112" s="26" t="s">
        <v>218</v>
      </c>
      <c r="F112" s="26" t="s">
        <v>58</v>
      </c>
      <c r="G112" s="27">
        <f>G113</f>
        <v>1405000</v>
      </c>
      <c r="H112" s="27">
        <f>H113</f>
        <v>1185500</v>
      </c>
      <c r="I112" s="27">
        <f>I113</f>
        <v>1185500</v>
      </c>
      <c r="J112" s="16">
        <f>'БА в тыс. руб.'!G112*1000</f>
        <v>1405000</v>
      </c>
      <c r="K112" s="169">
        <f t="shared" si="50"/>
        <v>0</v>
      </c>
      <c r="L112" s="16">
        <f>'БА в тыс. руб.'!H112*1000</f>
        <v>1185500</v>
      </c>
      <c r="M112" s="169">
        <f t="shared" si="51"/>
        <v>0</v>
      </c>
      <c r="N112" s="16">
        <f>'БА в тыс. руб.'!I112*1000</f>
        <v>1185500</v>
      </c>
      <c r="O112" s="169">
        <f t="shared" si="52"/>
        <v>0</v>
      </c>
    </row>
    <row r="113" spans="1:15" s="3" customFormat="1">
      <c r="A113" s="11" t="s">
        <v>97</v>
      </c>
      <c r="B113" s="25" t="s">
        <v>55</v>
      </c>
      <c r="C113" s="26" t="s">
        <v>65</v>
      </c>
      <c r="D113" s="26" t="s">
        <v>84</v>
      </c>
      <c r="E113" s="26" t="s">
        <v>218</v>
      </c>
      <c r="F113" s="26" t="s">
        <v>118</v>
      </c>
      <c r="G113" s="27">
        <f>G114</f>
        <v>1405000</v>
      </c>
      <c r="H113" s="27">
        <f t="shared" ref="H113:I113" si="87">H114</f>
        <v>1185500</v>
      </c>
      <c r="I113" s="27">
        <f t="shared" si="87"/>
        <v>1185500</v>
      </c>
      <c r="J113" s="16">
        <f>'БА в тыс. руб.'!G113*1000</f>
        <v>1405000</v>
      </c>
      <c r="K113" s="169">
        <f t="shared" si="50"/>
        <v>0</v>
      </c>
      <c r="L113" s="16">
        <f>'БА в тыс. руб.'!H113*1000</f>
        <v>1185500</v>
      </c>
      <c r="M113" s="169">
        <f t="shared" si="51"/>
        <v>0</v>
      </c>
      <c r="N113" s="16">
        <f>'БА в тыс. руб.'!I113*1000</f>
        <v>1185500</v>
      </c>
      <c r="O113" s="169">
        <f t="shared" si="52"/>
        <v>0</v>
      </c>
    </row>
    <row r="114" spans="1:15" s="4" customFormat="1">
      <c r="A114" s="12" t="s">
        <v>1038</v>
      </c>
      <c r="B114" s="25" t="s">
        <v>55</v>
      </c>
      <c r="C114" s="26" t="s">
        <v>65</v>
      </c>
      <c r="D114" s="26" t="s">
        <v>84</v>
      </c>
      <c r="E114" s="26" t="s">
        <v>218</v>
      </c>
      <c r="F114" s="26" t="s">
        <v>1066</v>
      </c>
      <c r="G114" s="27">
        <f t="shared" ref="G114" si="88">J114</f>
        <v>1405000</v>
      </c>
      <c r="H114" s="27">
        <f>L114</f>
        <v>1185500</v>
      </c>
      <c r="I114" s="27">
        <f>N114</f>
        <v>1185500</v>
      </c>
      <c r="J114" s="16">
        <f>'БА в тыс. руб.'!G114*1000</f>
        <v>1405000</v>
      </c>
      <c r="K114" s="169">
        <f t="shared" si="50"/>
        <v>0</v>
      </c>
      <c r="L114" s="16">
        <f>'БА в тыс. руб.'!H114*1000</f>
        <v>1185500</v>
      </c>
      <c r="M114" s="169">
        <f t="shared" si="51"/>
        <v>0</v>
      </c>
      <c r="N114" s="16">
        <f>'БА в тыс. руб.'!I114*1000</f>
        <v>1185500</v>
      </c>
      <c r="O114" s="169">
        <f t="shared" si="52"/>
        <v>0</v>
      </c>
    </row>
    <row r="115" spans="1:15" s="3" customFormat="1" ht="63.75">
      <c r="A115" s="34" t="s">
        <v>846</v>
      </c>
      <c r="B115" s="25" t="s">
        <v>55</v>
      </c>
      <c r="C115" s="26" t="s">
        <v>65</v>
      </c>
      <c r="D115" s="26" t="s">
        <v>84</v>
      </c>
      <c r="E115" s="26" t="s">
        <v>219</v>
      </c>
      <c r="F115" s="26" t="s">
        <v>58</v>
      </c>
      <c r="G115" s="27">
        <f>G116</f>
        <v>790000</v>
      </c>
      <c r="H115" s="27">
        <f>H116</f>
        <v>790000</v>
      </c>
      <c r="I115" s="27">
        <f>I116</f>
        <v>790000</v>
      </c>
      <c r="J115" s="16">
        <f>'БА в тыс. руб.'!G115*1000</f>
        <v>790000</v>
      </c>
      <c r="K115" s="169">
        <f t="shared" si="50"/>
        <v>0</v>
      </c>
      <c r="L115" s="16">
        <f>'БА в тыс. руб.'!H115*1000</f>
        <v>790000</v>
      </c>
      <c r="M115" s="169">
        <f t="shared" si="51"/>
        <v>0</v>
      </c>
      <c r="N115" s="16">
        <f>'БА в тыс. руб.'!I115*1000</f>
        <v>790000</v>
      </c>
      <c r="O115" s="169">
        <f t="shared" si="52"/>
        <v>0</v>
      </c>
    </row>
    <row r="116" spans="1:15" s="3" customFormat="1" ht="25.5">
      <c r="A116" s="11" t="s">
        <v>108</v>
      </c>
      <c r="B116" s="25" t="s">
        <v>55</v>
      </c>
      <c r="C116" s="26" t="s">
        <v>65</v>
      </c>
      <c r="D116" s="26" t="s">
        <v>84</v>
      </c>
      <c r="E116" s="26" t="s">
        <v>219</v>
      </c>
      <c r="F116" s="26" t="s">
        <v>116</v>
      </c>
      <c r="G116" s="27">
        <f>J116</f>
        <v>790000</v>
      </c>
      <c r="H116" s="27">
        <f>L116</f>
        <v>790000</v>
      </c>
      <c r="I116" s="27">
        <f>N116</f>
        <v>790000</v>
      </c>
      <c r="J116" s="16">
        <f>'БА в тыс. руб.'!G116*1000</f>
        <v>790000</v>
      </c>
      <c r="K116" s="169">
        <f t="shared" si="50"/>
        <v>0</v>
      </c>
      <c r="L116" s="16">
        <f>'БА в тыс. руб.'!H116*1000</f>
        <v>790000</v>
      </c>
      <c r="M116" s="169">
        <f t="shared" si="51"/>
        <v>0</v>
      </c>
      <c r="N116" s="16">
        <f>'БА в тыс. руб.'!I116*1000</f>
        <v>790000</v>
      </c>
      <c r="O116" s="169">
        <f t="shared" si="52"/>
        <v>0</v>
      </c>
    </row>
    <row r="117" spans="1:15" s="3" customFormat="1" ht="25.5">
      <c r="A117" s="12" t="s">
        <v>973</v>
      </c>
      <c r="B117" s="25" t="s">
        <v>55</v>
      </c>
      <c r="C117" s="26" t="s">
        <v>65</v>
      </c>
      <c r="D117" s="26" t="s">
        <v>84</v>
      </c>
      <c r="E117" s="26" t="s">
        <v>219</v>
      </c>
      <c r="F117" s="26" t="s">
        <v>1043</v>
      </c>
      <c r="G117" s="27">
        <f t="shared" ref="G117" si="89">J117</f>
        <v>790000</v>
      </c>
      <c r="H117" s="27">
        <f>L117</f>
        <v>790000</v>
      </c>
      <c r="I117" s="27">
        <f>N117</f>
        <v>790000</v>
      </c>
      <c r="J117" s="16">
        <f>'БА в тыс. руб.'!G117*1000</f>
        <v>790000</v>
      </c>
      <c r="K117" s="169">
        <f t="shared" si="50"/>
        <v>0</v>
      </c>
      <c r="L117" s="16">
        <f>'БА в тыс. руб.'!H117*1000</f>
        <v>790000</v>
      </c>
      <c r="M117" s="169">
        <f t="shared" si="51"/>
        <v>0</v>
      </c>
      <c r="N117" s="16">
        <f>'БА в тыс. руб.'!I117*1000</f>
        <v>790000</v>
      </c>
      <c r="O117" s="169">
        <f t="shared" si="52"/>
        <v>0</v>
      </c>
    </row>
    <row r="118" spans="1:15" s="3" customFormat="1" ht="25.5">
      <c r="A118" s="34" t="s">
        <v>748</v>
      </c>
      <c r="B118" s="25" t="s">
        <v>55</v>
      </c>
      <c r="C118" s="26" t="s">
        <v>65</v>
      </c>
      <c r="D118" s="26" t="s">
        <v>84</v>
      </c>
      <c r="E118" s="26" t="s">
        <v>220</v>
      </c>
      <c r="F118" s="26" t="s">
        <v>58</v>
      </c>
      <c r="G118" s="27">
        <f>G119</f>
        <v>145000</v>
      </c>
      <c r="H118" s="27">
        <f>H119</f>
        <v>100000</v>
      </c>
      <c r="I118" s="27">
        <f>I119</f>
        <v>100000</v>
      </c>
      <c r="J118" s="16">
        <f>'БА в тыс. руб.'!G118*1000</f>
        <v>145000</v>
      </c>
      <c r="K118" s="169">
        <f t="shared" si="50"/>
        <v>0</v>
      </c>
      <c r="L118" s="16">
        <f>'БА в тыс. руб.'!H118*1000</f>
        <v>100000</v>
      </c>
      <c r="M118" s="169">
        <f t="shared" si="51"/>
        <v>0</v>
      </c>
      <c r="N118" s="16">
        <f>'БА в тыс. руб.'!I118*1000</f>
        <v>100000</v>
      </c>
      <c r="O118" s="169">
        <f t="shared" si="52"/>
        <v>0</v>
      </c>
    </row>
    <row r="119" spans="1:15" s="3" customFormat="1" ht="25.5">
      <c r="A119" s="11" t="s">
        <v>750</v>
      </c>
      <c r="B119" s="25" t="s">
        <v>55</v>
      </c>
      <c r="C119" s="26" t="s">
        <v>65</v>
      </c>
      <c r="D119" s="26" t="s">
        <v>84</v>
      </c>
      <c r="E119" s="26" t="s">
        <v>225</v>
      </c>
      <c r="F119" s="26" t="s">
        <v>58</v>
      </c>
      <c r="G119" s="27">
        <f>G120</f>
        <v>145000</v>
      </c>
      <c r="H119" s="27">
        <f t="shared" ref="H119:I119" si="90">H120</f>
        <v>100000</v>
      </c>
      <c r="I119" s="27">
        <f t="shared" si="90"/>
        <v>100000</v>
      </c>
      <c r="J119" s="16">
        <f>'БА в тыс. руб.'!G119*1000</f>
        <v>145000</v>
      </c>
      <c r="K119" s="169">
        <f t="shared" si="50"/>
        <v>0</v>
      </c>
      <c r="L119" s="16">
        <f>'БА в тыс. руб.'!H119*1000</f>
        <v>100000</v>
      </c>
      <c r="M119" s="169">
        <f t="shared" si="51"/>
        <v>0</v>
      </c>
      <c r="N119" s="16">
        <f>'БА в тыс. руб.'!I119*1000</f>
        <v>100000</v>
      </c>
      <c r="O119" s="169">
        <f t="shared" si="52"/>
        <v>0</v>
      </c>
    </row>
    <row r="120" spans="1:15" s="3" customFormat="1" ht="25.5">
      <c r="A120" s="34" t="s">
        <v>228</v>
      </c>
      <c r="B120" s="25" t="s">
        <v>55</v>
      </c>
      <c r="C120" s="26" t="s">
        <v>65</v>
      </c>
      <c r="D120" s="26" t="s">
        <v>84</v>
      </c>
      <c r="E120" s="26" t="s">
        <v>226</v>
      </c>
      <c r="F120" s="26" t="s">
        <v>58</v>
      </c>
      <c r="G120" s="27">
        <f>G121</f>
        <v>145000</v>
      </c>
      <c r="H120" s="27">
        <f>H121</f>
        <v>100000</v>
      </c>
      <c r="I120" s="27">
        <f>I121</f>
        <v>100000</v>
      </c>
      <c r="J120" s="16">
        <f>'БА в тыс. руб.'!G120*1000</f>
        <v>145000</v>
      </c>
      <c r="K120" s="169">
        <f t="shared" si="50"/>
        <v>0</v>
      </c>
      <c r="L120" s="16">
        <f>'БА в тыс. руб.'!H120*1000</f>
        <v>100000</v>
      </c>
      <c r="M120" s="169">
        <f t="shared" si="51"/>
        <v>0</v>
      </c>
      <c r="N120" s="16">
        <f>'БА в тыс. руб.'!I120*1000</f>
        <v>100000</v>
      </c>
      <c r="O120" s="169">
        <f t="shared" si="52"/>
        <v>0</v>
      </c>
    </row>
    <row r="121" spans="1:15" s="3" customFormat="1" ht="38.25">
      <c r="A121" s="34" t="s">
        <v>169</v>
      </c>
      <c r="B121" s="25" t="s">
        <v>55</v>
      </c>
      <c r="C121" s="26" t="s">
        <v>65</v>
      </c>
      <c r="D121" s="26" t="s">
        <v>84</v>
      </c>
      <c r="E121" s="26" t="s">
        <v>227</v>
      </c>
      <c r="F121" s="26" t="s">
        <v>58</v>
      </c>
      <c r="G121" s="27">
        <f>G122</f>
        <v>145000</v>
      </c>
      <c r="H121" s="27">
        <f>H122</f>
        <v>100000</v>
      </c>
      <c r="I121" s="27">
        <f>I122</f>
        <v>100000</v>
      </c>
      <c r="J121" s="16">
        <f>'БА в тыс. руб.'!G121*1000</f>
        <v>145000</v>
      </c>
      <c r="K121" s="169">
        <f t="shared" si="50"/>
        <v>0</v>
      </c>
      <c r="L121" s="16">
        <f>'БА в тыс. руб.'!H121*1000</f>
        <v>100000</v>
      </c>
      <c r="M121" s="169">
        <f t="shared" si="51"/>
        <v>0</v>
      </c>
      <c r="N121" s="16">
        <f>'БА в тыс. руб.'!I121*1000</f>
        <v>100000</v>
      </c>
      <c r="O121" s="169">
        <f t="shared" si="52"/>
        <v>0</v>
      </c>
    </row>
    <row r="122" spans="1:15" s="3" customFormat="1" ht="25.5">
      <c r="A122" s="11" t="s">
        <v>108</v>
      </c>
      <c r="B122" s="25" t="s">
        <v>55</v>
      </c>
      <c r="C122" s="26" t="s">
        <v>65</v>
      </c>
      <c r="D122" s="26" t="s">
        <v>84</v>
      </c>
      <c r="E122" s="26" t="s">
        <v>227</v>
      </c>
      <c r="F122" s="26" t="s">
        <v>116</v>
      </c>
      <c r="G122" s="27">
        <f>G123</f>
        <v>145000</v>
      </c>
      <c r="H122" s="27">
        <f t="shared" ref="H122:I122" si="91">H123</f>
        <v>100000</v>
      </c>
      <c r="I122" s="27">
        <f t="shared" si="91"/>
        <v>100000</v>
      </c>
      <c r="J122" s="16">
        <f>'БА в тыс. руб.'!G122*1000</f>
        <v>145000</v>
      </c>
      <c r="K122" s="169">
        <f t="shared" si="50"/>
        <v>0</v>
      </c>
      <c r="L122" s="16">
        <f>'БА в тыс. руб.'!H122*1000</f>
        <v>100000</v>
      </c>
      <c r="M122" s="169">
        <f t="shared" si="51"/>
        <v>0</v>
      </c>
      <c r="N122" s="16">
        <f>'БА в тыс. руб.'!I122*1000</f>
        <v>100000</v>
      </c>
      <c r="O122" s="169">
        <f t="shared" si="52"/>
        <v>0</v>
      </c>
    </row>
    <row r="123" spans="1:15" s="4" customFormat="1" ht="25.5">
      <c r="A123" s="12" t="s">
        <v>973</v>
      </c>
      <c r="B123" s="25" t="s">
        <v>55</v>
      </c>
      <c r="C123" s="26" t="s">
        <v>65</v>
      </c>
      <c r="D123" s="26" t="s">
        <v>84</v>
      </c>
      <c r="E123" s="26" t="s">
        <v>227</v>
      </c>
      <c r="F123" s="26" t="s">
        <v>1043</v>
      </c>
      <c r="G123" s="27">
        <f t="shared" ref="G123" si="92">J123</f>
        <v>145000</v>
      </c>
      <c r="H123" s="27">
        <f>L123</f>
        <v>100000</v>
      </c>
      <c r="I123" s="27">
        <f>N123</f>
        <v>100000</v>
      </c>
      <c r="J123" s="16">
        <f>'БА в тыс. руб.'!G123*1000</f>
        <v>145000</v>
      </c>
      <c r="K123" s="169">
        <f t="shared" si="50"/>
        <v>0</v>
      </c>
      <c r="L123" s="16">
        <f>'БА в тыс. руб.'!H123*1000</f>
        <v>100000</v>
      </c>
      <c r="M123" s="169">
        <f t="shared" si="51"/>
        <v>0</v>
      </c>
      <c r="N123" s="16">
        <f>'БА в тыс. руб.'!I123*1000</f>
        <v>100000</v>
      </c>
      <c r="O123" s="169">
        <f t="shared" si="52"/>
        <v>0</v>
      </c>
    </row>
    <row r="124" spans="1:15" s="3" customFormat="1" ht="38.25">
      <c r="A124" s="34" t="s">
        <v>751</v>
      </c>
      <c r="B124" s="25" t="s">
        <v>55</v>
      </c>
      <c r="C124" s="26" t="s">
        <v>65</v>
      </c>
      <c r="D124" s="26" t="s">
        <v>84</v>
      </c>
      <c r="E124" s="26" t="s">
        <v>229</v>
      </c>
      <c r="F124" s="26" t="s">
        <v>58</v>
      </c>
      <c r="G124" s="27">
        <f>G125+G134</f>
        <v>79419770</v>
      </c>
      <c r="H124" s="27">
        <f>H125+H134</f>
        <v>78133710</v>
      </c>
      <c r="I124" s="27">
        <f>I125+I134</f>
        <v>78133710</v>
      </c>
      <c r="J124" s="16">
        <f>'БА в тыс. руб.'!G124*1000</f>
        <v>79419769.999999985</v>
      </c>
      <c r="K124" s="169">
        <f t="shared" si="50"/>
        <v>0</v>
      </c>
      <c r="L124" s="16">
        <f>'БА в тыс. руб.'!H124*1000</f>
        <v>78133709.999999985</v>
      </c>
      <c r="M124" s="169">
        <f t="shared" si="51"/>
        <v>0</v>
      </c>
      <c r="N124" s="16">
        <f>'БА в тыс. руб.'!I124*1000</f>
        <v>78133709.999999985</v>
      </c>
      <c r="O124" s="169">
        <f t="shared" si="52"/>
        <v>0</v>
      </c>
    </row>
    <row r="125" spans="1:15" s="3" customFormat="1" ht="25.5">
      <c r="A125" s="34" t="s">
        <v>119</v>
      </c>
      <c r="B125" s="25" t="s">
        <v>55</v>
      </c>
      <c r="C125" s="26" t="s">
        <v>65</v>
      </c>
      <c r="D125" s="26" t="s">
        <v>84</v>
      </c>
      <c r="E125" s="26" t="s">
        <v>230</v>
      </c>
      <c r="F125" s="26" t="s">
        <v>58</v>
      </c>
      <c r="G125" s="27">
        <f>G126+G130</f>
        <v>12176540</v>
      </c>
      <c r="H125" s="27">
        <f t="shared" ref="H125:I125" si="93">H126+H130</f>
        <v>10818880</v>
      </c>
      <c r="I125" s="27">
        <f t="shared" si="93"/>
        <v>10818880</v>
      </c>
      <c r="J125" s="16">
        <f>'БА в тыс. руб.'!G125*1000</f>
        <v>12176540</v>
      </c>
      <c r="K125" s="169">
        <f t="shared" si="50"/>
        <v>0</v>
      </c>
      <c r="L125" s="16">
        <f>'БА в тыс. руб.'!H125*1000</f>
        <v>10818880.000000002</v>
      </c>
      <c r="M125" s="169">
        <f t="shared" si="51"/>
        <v>0</v>
      </c>
      <c r="N125" s="16">
        <f>'БА в тыс. руб.'!I125*1000</f>
        <v>10818880.000000002</v>
      </c>
      <c r="O125" s="169">
        <f t="shared" si="52"/>
        <v>0</v>
      </c>
    </row>
    <row r="126" spans="1:15" s="3" customFormat="1" ht="38.25">
      <c r="A126" s="34" t="s">
        <v>231</v>
      </c>
      <c r="B126" s="25" t="s">
        <v>55</v>
      </c>
      <c r="C126" s="26" t="s">
        <v>65</v>
      </c>
      <c r="D126" s="26" t="s">
        <v>84</v>
      </c>
      <c r="E126" s="26" t="s">
        <v>232</v>
      </c>
      <c r="F126" s="26" t="s">
        <v>58</v>
      </c>
      <c r="G126" s="27">
        <f t="shared" ref="G126:I128" si="94">G127</f>
        <v>9323170</v>
      </c>
      <c r="H126" s="27">
        <f t="shared" si="94"/>
        <v>8250850</v>
      </c>
      <c r="I126" s="27">
        <f t="shared" si="94"/>
        <v>8250850</v>
      </c>
      <c r="J126" s="16">
        <f>'БА в тыс. руб.'!G126*1000</f>
        <v>9323170</v>
      </c>
      <c r="K126" s="169">
        <f t="shared" si="50"/>
        <v>0</v>
      </c>
      <c r="L126" s="16">
        <f>'БА в тыс. руб.'!H126*1000</f>
        <v>8250850</v>
      </c>
      <c r="M126" s="169">
        <f t="shared" si="51"/>
        <v>0</v>
      </c>
      <c r="N126" s="16">
        <f>'БА в тыс. руб.'!I126*1000</f>
        <v>8250850</v>
      </c>
      <c r="O126" s="169">
        <f t="shared" si="52"/>
        <v>0</v>
      </c>
    </row>
    <row r="127" spans="1:15" s="3" customFormat="1" ht="25.5">
      <c r="A127" s="34" t="s">
        <v>170</v>
      </c>
      <c r="B127" s="25" t="s">
        <v>55</v>
      </c>
      <c r="C127" s="26" t="s">
        <v>65</v>
      </c>
      <c r="D127" s="26" t="s">
        <v>84</v>
      </c>
      <c r="E127" s="26" t="s">
        <v>233</v>
      </c>
      <c r="F127" s="26" t="s">
        <v>58</v>
      </c>
      <c r="G127" s="27">
        <f t="shared" si="94"/>
        <v>9323170</v>
      </c>
      <c r="H127" s="27">
        <f t="shared" si="94"/>
        <v>8250850</v>
      </c>
      <c r="I127" s="27">
        <f t="shared" si="94"/>
        <v>8250850</v>
      </c>
      <c r="J127" s="16">
        <f>'БА в тыс. руб.'!G127*1000</f>
        <v>9323170</v>
      </c>
      <c r="K127" s="169">
        <f t="shared" si="50"/>
        <v>0</v>
      </c>
      <c r="L127" s="16">
        <f>'БА в тыс. руб.'!H127*1000</f>
        <v>8250850</v>
      </c>
      <c r="M127" s="169">
        <f t="shared" si="51"/>
        <v>0</v>
      </c>
      <c r="N127" s="16">
        <f>'БА в тыс. руб.'!I127*1000</f>
        <v>8250850</v>
      </c>
      <c r="O127" s="169">
        <f t="shared" si="52"/>
        <v>0</v>
      </c>
    </row>
    <row r="128" spans="1:15" s="3" customFormat="1" ht="25.5">
      <c r="A128" s="11" t="s">
        <v>108</v>
      </c>
      <c r="B128" s="25" t="s">
        <v>55</v>
      </c>
      <c r="C128" s="26" t="s">
        <v>65</v>
      </c>
      <c r="D128" s="26" t="s">
        <v>84</v>
      </c>
      <c r="E128" s="26" t="s">
        <v>233</v>
      </c>
      <c r="F128" s="26" t="s">
        <v>116</v>
      </c>
      <c r="G128" s="27">
        <f>G129</f>
        <v>9323170</v>
      </c>
      <c r="H128" s="27">
        <f t="shared" si="94"/>
        <v>8250850</v>
      </c>
      <c r="I128" s="27">
        <f t="shared" si="94"/>
        <v>8250850</v>
      </c>
      <c r="J128" s="16">
        <f>'БА в тыс. руб.'!G128*1000</f>
        <v>9323170</v>
      </c>
      <c r="K128" s="169">
        <f t="shared" si="50"/>
        <v>0</v>
      </c>
      <c r="L128" s="16">
        <f>'БА в тыс. руб.'!H128*1000</f>
        <v>8250850</v>
      </c>
      <c r="M128" s="169">
        <f t="shared" si="51"/>
        <v>0</v>
      </c>
      <c r="N128" s="16">
        <f>'БА в тыс. руб.'!I128*1000</f>
        <v>8250850</v>
      </c>
      <c r="O128" s="169">
        <f t="shared" si="52"/>
        <v>0</v>
      </c>
    </row>
    <row r="129" spans="1:15" s="4" customFormat="1" ht="25.5">
      <c r="A129" s="12" t="s">
        <v>973</v>
      </c>
      <c r="B129" s="25" t="s">
        <v>55</v>
      </c>
      <c r="C129" s="26" t="s">
        <v>65</v>
      </c>
      <c r="D129" s="26" t="s">
        <v>84</v>
      </c>
      <c r="E129" s="26" t="s">
        <v>233</v>
      </c>
      <c r="F129" s="26" t="s">
        <v>1043</v>
      </c>
      <c r="G129" s="27">
        <f t="shared" ref="G129" si="95">J129</f>
        <v>9323170</v>
      </c>
      <c r="H129" s="27">
        <f>L129</f>
        <v>8250850</v>
      </c>
      <c r="I129" s="27">
        <f>N129</f>
        <v>8250850</v>
      </c>
      <c r="J129" s="16">
        <f>'БА в тыс. руб.'!G129*1000</f>
        <v>9323170</v>
      </c>
      <c r="K129" s="169">
        <f t="shared" si="50"/>
        <v>0</v>
      </c>
      <c r="L129" s="16">
        <f>'БА в тыс. руб.'!H129*1000</f>
        <v>8250850</v>
      </c>
      <c r="M129" s="169">
        <f t="shared" si="51"/>
        <v>0</v>
      </c>
      <c r="N129" s="16">
        <f>'БА в тыс. руб.'!I129*1000</f>
        <v>8250850</v>
      </c>
      <c r="O129" s="169">
        <f t="shared" si="52"/>
        <v>0</v>
      </c>
    </row>
    <row r="130" spans="1:15" s="3" customFormat="1" ht="38.25">
      <c r="A130" s="34" t="s">
        <v>234</v>
      </c>
      <c r="B130" s="25" t="s">
        <v>55</v>
      </c>
      <c r="C130" s="26" t="s">
        <v>65</v>
      </c>
      <c r="D130" s="26" t="s">
        <v>84</v>
      </c>
      <c r="E130" s="26" t="s">
        <v>235</v>
      </c>
      <c r="F130" s="26" t="s">
        <v>58</v>
      </c>
      <c r="G130" s="27">
        <f t="shared" ref="G130:I132" si="96">G131</f>
        <v>2853370</v>
      </c>
      <c r="H130" s="27">
        <f t="shared" si="96"/>
        <v>2568030</v>
      </c>
      <c r="I130" s="27">
        <f t="shared" si="96"/>
        <v>2568030</v>
      </c>
      <c r="J130" s="16">
        <f>'БА в тыс. руб.'!G130*1000</f>
        <v>2853370</v>
      </c>
      <c r="K130" s="169">
        <f t="shared" si="50"/>
        <v>0</v>
      </c>
      <c r="L130" s="16">
        <f>'БА в тыс. руб.'!H130*1000</f>
        <v>2568030</v>
      </c>
      <c r="M130" s="169">
        <f t="shared" si="51"/>
        <v>0</v>
      </c>
      <c r="N130" s="16">
        <f>'БА в тыс. руб.'!I130*1000</f>
        <v>2568030</v>
      </c>
      <c r="O130" s="169">
        <f t="shared" si="52"/>
        <v>0</v>
      </c>
    </row>
    <row r="131" spans="1:15" s="3" customFormat="1" ht="25.5">
      <c r="A131" s="34" t="s">
        <v>170</v>
      </c>
      <c r="B131" s="25" t="s">
        <v>55</v>
      </c>
      <c r="C131" s="26" t="s">
        <v>65</v>
      </c>
      <c r="D131" s="26" t="s">
        <v>84</v>
      </c>
      <c r="E131" s="26" t="s">
        <v>236</v>
      </c>
      <c r="F131" s="26" t="s">
        <v>58</v>
      </c>
      <c r="G131" s="27">
        <f t="shared" si="96"/>
        <v>2853370</v>
      </c>
      <c r="H131" s="27">
        <f t="shared" si="96"/>
        <v>2568030</v>
      </c>
      <c r="I131" s="27">
        <f t="shared" si="96"/>
        <v>2568030</v>
      </c>
      <c r="J131" s="16">
        <f>'БА в тыс. руб.'!G131*1000</f>
        <v>2853370</v>
      </c>
      <c r="K131" s="169">
        <f t="shared" si="50"/>
        <v>0</v>
      </c>
      <c r="L131" s="16">
        <f>'БА в тыс. руб.'!H131*1000</f>
        <v>2568030</v>
      </c>
      <c r="M131" s="169">
        <f t="shared" si="51"/>
        <v>0</v>
      </c>
      <c r="N131" s="16">
        <f>'БА в тыс. руб.'!I131*1000</f>
        <v>2568030</v>
      </c>
      <c r="O131" s="169">
        <f t="shared" si="52"/>
        <v>0</v>
      </c>
    </row>
    <row r="132" spans="1:15" s="3" customFormat="1" ht="25.5">
      <c r="A132" s="11" t="s">
        <v>108</v>
      </c>
      <c r="B132" s="25" t="s">
        <v>55</v>
      </c>
      <c r="C132" s="26" t="s">
        <v>65</v>
      </c>
      <c r="D132" s="26" t="s">
        <v>84</v>
      </c>
      <c r="E132" s="26" t="s">
        <v>236</v>
      </c>
      <c r="F132" s="26" t="s">
        <v>116</v>
      </c>
      <c r="G132" s="27">
        <f>G133</f>
        <v>2853370</v>
      </c>
      <c r="H132" s="27">
        <f t="shared" si="96"/>
        <v>2568030</v>
      </c>
      <c r="I132" s="27">
        <f t="shared" si="96"/>
        <v>2568030</v>
      </c>
      <c r="J132" s="16">
        <f>'БА в тыс. руб.'!G132*1000</f>
        <v>2853370</v>
      </c>
      <c r="K132" s="169">
        <f t="shared" si="50"/>
        <v>0</v>
      </c>
      <c r="L132" s="16">
        <f>'БА в тыс. руб.'!H132*1000</f>
        <v>2568030</v>
      </c>
      <c r="M132" s="169">
        <f t="shared" si="51"/>
        <v>0</v>
      </c>
      <c r="N132" s="16">
        <f>'БА в тыс. руб.'!I132*1000</f>
        <v>2568030</v>
      </c>
      <c r="O132" s="169">
        <f t="shared" si="52"/>
        <v>0</v>
      </c>
    </row>
    <row r="133" spans="1:15" s="4" customFormat="1" ht="25.5">
      <c r="A133" s="12" t="s">
        <v>973</v>
      </c>
      <c r="B133" s="25" t="s">
        <v>55</v>
      </c>
      <c r="C133" s="26" t="s">
        <v>65</v>
      </c>
      <c r="D133" s="26" t="s">
        <v>84</v>
      </c>
      <c r="E133" s="26" t="s">
        <v>236</v>
      </c>
      <c r="F133" s="26" t="s">
        <v>1043</v>
      </c>
      <c r="G133" s="27">
        <f t="shared" ref="G133" si="97">J133</f>
        <v>2853370</v>
      </c>
      <c r="H133" s="27">
        <f>L133</f>
        <v>2568030</v>
      </c>
      <c r="I133" s="27">
        <f>N133</f>
        <v>2568030</v>
      </c>
      <c r="J133" s="16">
        <f>'БА в тыс. руб.'!G133*1000</f>
        <v>2853370</v>
      </c>
      <c r="K133" s="169">
        <f t="shared" si="50"/>
        <v>0</v>
      </c>
      <c r="L133" s="16">
        <f>'БА в тыс. руб.'!H133*1000</f>
        <v>2568030</v>
      </c>
      <c r="M133" s="169">
        <f t="shared" si="51"/>
        <v>0</v>
      </c>
      <c r="N133" s="16">
        <f>'БА в тыс. руб.'!I133*1000</f>
        <v>2568030</v>
      </c>
      <c r="O133" s="169">
        <f t="shared" si="52"/>
        <v>0</v>
      </c>
    </row>
    <row r="134" spans="1:15" s="3" customFormat="1" ht="38.25">
      <c r="A134" s="34" t="s">
        <v>871</v>
      </c>
      <c r="B134" s="25" t="s">
        <v>55</v>
      </c>
      <c r="C134" s="26" t="s">
        <v>65</v>
      </c>
      <c r="D134" s="26" t="s">
        <v>84</v>
      </c>
      <c r="E134" s="26" t="s">
        <v>240</v>
      </c>
      <c r="F134" s="26" t="s">
        <v>58</v>
      </c>
      <c r="G134" s="27">
        <f>G135+G139+G147+G143</f>
        <v>67243230</v>
      </c>
      <c r="H134" s="27">
        <f t="shared" ref="H134:I134" si="98">H135+H139+H147+H143</f>
        <v>67314830</v>
      </c>
      <c r="I134" s="27">
        <f t="shared" si="98"/>
        <v>67314830</v>
      </c>
      <c r="J134" s="16">
        <f>'БА в тыс. руб.'!G134*1000</f>
        <v>67243230</v>
      </c>
      <c r="K134" s="169">
        <f t="shared" ref="K134:K197" si="99">J134-G134</f>
        <v>0</v>
      </c>
      <c r="L134" s="16">
        <f>'БА в тыс. руб.'!H134*1000</f>
        <v>67314829.999999985</v>
      </c>
      <c r="M134" s="169">
        <f t="shared" ref="M134:M197" si="100">L134-H134</f>
        <v>0</v>
      </c>
      <c r="N134" s="16">
        <f>'БА в тыс. руб.'!I134*1000</f>
        <v>67314829.999999985</v>
      </c>
      <c r="O134" s="169">
        <f t="shared" ref="O134:O197" si="101">N134-I134</f>
        <v>0</v>
      </c>
    </row>
    <row r="135" spans="1:15" s="3" customFormat="1" ht="25.5">
      <c r="A135" s="34" t="s">
        <v>849</v>
      </c>
      <c r="B135" s="25" t="s">
        <v>55</v>
      </c>
      <c r="C135" s="26" t="s">
        <v>65</v>
      </c>
      <c r="D135" s="26" t="s">
        <v>84</v>
      </c>
      <c r="E135" s="26" t="s">
        <v>241</v>
      </c>
      <c r="F135" s="26" t="s">
        <v>58</v>
      </c>
      <c r="G135" s="27">
        <f t="shared" ref="G135:I137" si="102">G136</f>
        <v>450000</v>
      </c>
      <c r="H135" s="27">
        <f t="shared" si="102"/>
        <v>450000</v>
      </c>
      <c r="I135" s="27">
        <f t="shared" si="102"/>
        <v>450000</v>
      </c>
      <c r="J135" s="16">
        <f>'БА в тыс. руб.'!G135*1000</f>
        <v>450000</v>
      </c>
      <c r="K135" s="169">
        <f t="shared" si="99"/>
        <v>0</v>
      </c>
      <c r="L135" s="16">
        <f>'БА в тыс. руб.'!H135*1000</f>
        <v>450000</v>
      </c>
      <c r="M135" s="169">
        <f t="shared" si="100"/>
        <v>0</v>
      </c>
      <c r="N135" s="16">
        <f>'БА в тыс. руб.'!I135*1000</f>
        <v>450000</v>
      </c>
      <c r="O135" s="169">
        <f t="shared" si="101"/>
        <v>0</v>
      </c>
    </row>
    <row r="136" spans="1:15" s="3" customFormat="1" ht="38.25">
      <c r="A136" s="34" t="s">
        <v>872</v>
      </c>
      <c r="B136" s="25" t="s">
        <v>55</v>
      </c>
      <c r="C136" s="26" t="s">
        <v>65</v>
      </c>
      <c r="D136" s="26" t="s">
        <v>84</v>
      </c>
      <c r="E136" s="26" t="s">
        <v>242</v>
      </c>
      <c r="F136" s="26" t="s">
        <v>58</v>
      </c>
      <c r="G136" s="27">
        <f t="shared" si="102"/>
        <v>450000</v>
      </c>
      <c r="H136" s="27">
        <f t="shared" si="102"/>
        <v>450000</v>
      </c>
      <c r="I136" s="27">
        <f t="shared" si="102"/>
        <v>450000</v>
      </c>
      <c r="J136" s="16">
        <f>'БА в тыс. руб.'!G136*1000</f>
        <v>450000</v>
      </c>
      <c r="K136" s="169">
        <f t="shared" si="99"/>
        <v>0</v>
      </c>
      <c r="L136" s="16">
        <f>'БА в тыс. руб.'!H136*1000</f>
        <v>450000</v>
      </c>
      <c r="M136" s="169">
        <f t="shared" si="100"/>
        <v>0</v>
      </c>
      <c r="N136" s="16">
        <f>'БА в тыс. руб.'!I136*1000</f>
        <v>450000</v>
      </c>
      <c r="O136" s="169">
        <f t="shared" si="101"/>
        <v>0</v>
      </c>
    </row>
    <row r="137" spans="1:15" s="3" customFormat="1" ht="25.5">
      <c r="A137" s="11" t="s">
        <v>108</v>
      </c>
      <c r="B137" s="25" t="s">
        <v>55</v>
      </c>
      <c r="C137" s="26" t="s">
        <v>65</v>
      </c>
      <c r="D137" s="26" t="s">
        <v>84</v>
      </c>
      <c r="E137" s="26" t="s">
        <v>242</v>
      </c>
      <c r="F137" s="26" t="s">
        <v>116</v>
      </c>
      <c r="G137" s="27">
        <f>G138</f>
        <v>450000</v>
      </c>
      <c r="H137" s="27">
        <f t="shared" si="102"/>
        <v>450000</v>
      </c>
      <c r="I137" s="27">
        <f t="shared" si="102"/>
        <v>450000</v>
      </c>
      <c r="J137" s="16">
        <f>'БА в тыс. руб.'!G137*1000</f>
        <v>450000</v>
      </c>
      <c r="K137" s="169">
        <f t="shared" si="99"/>
        <v>0</v>
      </c>
      <c r="L137" s="16">
        <f>'БА в тыс. руб.'!H137*1000</f>
        <v>450000</v>
      </c>
      <c r="M137" s="169">
        <f t="shared" si="100"/>
        <v>0</v>
      </c>
      <c r="N137" s="16">
        <f>'БА в тыс. руб.'!I137*1000</f>
        <v>450000</v>
      </c>
      <c r="O137" s="169">
        <f t="shared" si="101"/>
        <v>0</v>
      </c>
    </row>
    <row r="138" spans="1:15" s="4" customFormat="1" ht="25.5">
      <c r="A138" s="12" t="s">
        <v>973</v>
      </c>
      <c r="B138" s="25" t="s">
        <v>55</v>
      </c>
      <c r="C138" s="26" t="s">
        <v>65</v>
      </c>
      <c r="D138" s="26" t="s">
        <v>84</v>
      </c>
      <c r="E138" s="26" t="s">
        <v>242</v>
      </c>
      <c r="F138" s="26" t="s">
        <v>1043</v>
      </c>
      <c r="G138" s="27">
        <f t="shared" ref="G138" si="103">J138</f>
        <v>450000</v>
      </c>
      <c r="H138" s="27">
        <f>L138</f>
        <v>450000</v>
      </c>
      <c r="I138" s="27">
        <f>N138</f>
        <v>450000</v>
      </c>
      <c r="J138" s="16">
        <f>'БА в тыс. руб.'!G138*1000</f>
        <v>450000</v>
      </c>
      <c r="K138" s="169">
        <f t="shared" si="99"/>
        <v>0</v>
      </c>
      <c r="L138" s="16">
        <f>'БА в тыс. руб.'!H138*1000</f>
        <v>450000</v>
      </c>
      <c r="M138" s="169">
        <f t="shared" si="100"/>
        <v>0</v>
      </c>
      <c r="N138" s="16">
        <f>'БА в тыс. руб.'!I138*1000</f>
        <v>450000</v>
      </c>
      <c r="O138" s="169">
        <f t="shared" si="101"/>
        <v>0</v>
      </c>
    </row>
    <row r="139" spans="1:15" s="3" customFormat="1" ht="51">
      <c r="A139" s="34" t="s">
        <v>604</v>
      </c>
      <c r="B139" s="25" t="s">
        <v>55</v>
      </c>
      <c r="C139" s="26" t="s">
        <v>65</v>
      </c>
      <c r="D139" s="26" t="s">
        <v>84</v>
      </c>
      <c r="E139" s="26" t="s">
        <v>243</v>
      </c>
      <c r="F139" s="26" t="s">
        <v>58</v>
      </c>
      <c r="G139" s="27">
        <f t="shared" ref="G139:I141" si="104">G140</f>
        <v>85000</v>
      </c>
      <c r="H139" s="27">
        <f t="shared" si="104"/>
        <v>76500</v>
      </c>
      <c r="I139" s="27">
        <f t="shared" si="104"/>
        <v>76500</v>
      </c>
      <c r="J139" s="16">
        <f>'БА в тыс. руб.'!G139*1000</f>
        <v>85000</v>
      </c>
      <c r="K139" s="169">
        <f t="shared" si="99"/>
        <v>0</v>
      </c>
      <c r="L139" s="16">
        <f>'БА в тыс. руб.'!H139*1000</f>
        <v>76500</v>
      </c>
      <c r="M139" s="169">
        <f t="shared" si="100"/>
        <v>0</v>
      </c>
      <c r="N139" s="16">
        <f>'БА в тыс. руб.'!I139*1000</f>
        <v>76500</v>
      </c>
      <c r="O139" s="169">
        <f t="shared" si="101"/>
        <v>0</v>
      </c>
    </row>
    <row r="140" spans="1:15" s="3" customFormat="1" ht="38.25">
      <c r="A140" s="34" t="s">
        <v>872</v>
      </c>
      <c r="B140" s="25" t="s">
        <v>55</v>
      </c>
      <c r="C140" s="26" t="s">
        <v>65</v>
      </c>
      <c r="D140" s="26" t="s">
        <v>84</v>
      </c>
      <c r="E140" s="26" t="s">
        <v>244</v>
      </c>
      <c r="F140" s="26" t="s">
        <v>58</v>
      </c>
      <c r="G140" s="27">
        <f t="shared" si="104"/>
        <v>85000</v>
      </c>
      <c r="H140" s="27">
        <f t="shared" si="104"/>
        <v>76500</v>
      </c>
      <c r="I140" s="27">
        <f t="shared" si="104"/>
        <v>76500</v>
      </c>
      <c r="J140" s="16">
        <f>'БА в тыс. руб.'!G140*1000</f>
        <v>85000</v>
      </c>
      <c r="K140" s="169">
        <f t="shared" si="99"/>
        <v>0</v>
      </c>
      <c r="L140" s="16">
        <f>'БА в тыс. руб.'!H140*1000</f>
        <v>76500</v>
      </c>
      <c r="M140" s="169">
        <f t="shared" si="100"/>
        <v>0</v>
      </c>
      <c r="N140" s="16">
        <f>'БА в тыс. руб.'!I140*1000</f>
        <v>76500</v>
      </c>
      <c r="O140" s="169">
        <f t="shared" si="101"/>
        <v>0</v>
      </c>
    </row>
    <row r="141" spans="1:15" s="3" customFormat="1" ht="25.5">
      <c r="A141" s="11" t="s">
        <v>108</v>
      </c>
      <c r="B141" s="25" t="s">
        <v>55</v>
      </c>
      <c r="C141" s="26" t="s">
        <v>65</v>
      </c>
      <c r="D141" s="26" t="s">
        <v>84</v>
      </c>
      <c r="E141" s="26" t="s">
        <v>244</v>
      </c>
      <c r="F141" s="26" t="s">
        <v>116</v>
      </c>
      <c r="G141" s="27">
        <f>G142</f>
        <v>85000</v>
      </c>
      <c r="H141" s="27">
        <f t="shared" si="104"/>
        <v>76500</v>
      </c>
      <c r="I141" s="27">
        <f t="shared" si="104"/>
        <v>76500</v>
      </c>
      <c r="J141" s="16">
        <f>'БА в тыс. руб.'!G141*1000</f>
        <v>85000</v>
      </c>
      <c r="K141" s="169">
        <f t="shared" si="99"/>
        <v>0</v>
      </c>
      <c r="L141" s="16">
        <f>'БА в тыс. руб.'!H141*1000</f>
        <v>76500</v>
      </c>
      <c r="M141" s="169">
        <f t="shared" si="100"/>
        <v>0</v>
      </c>
      <c r="N141" s="16">
        <f>'БА в тыс. руб.'!I141*1000</f>
        <v>76500</v>
      </c>
      <c r="O141" s="169">
        <f t="shared" si="101"/>
        <v>0</v>
      </c>
    </row>
    <row r="142" spans="1:15" s="4" customFormat="1" ht="25.5">
      <c r="A142" s="12" t="s">
        <v>973</v>
      </c>
      <c r="B142" s="25" t="s">
        <v>55</v>
      </c>
      <c r="C142" s="26" t="s">
        <v>65</v>
      </c>
      <c r="D142" s="26" t="s">
        <v>84</v>
      </c>
      <c r="E142" s="26" t="s">
        <v>244</v>
      </c>
      <c r="F142" s="26" t="s">
        <v>1043</v>
      </c>
      <c r="G142" s="27">
        <f t="shared" ref="G142" si="105">J142</f>
        <v>85000</v>
      </c>
      <c r="H142" s="27">
        <f>L142</f>
        <v>76500</v>
      </c>
      <c r="I142" s="27">
        <f>N142</f>
        <v>76500</v>
      </c>
      <c r="J142" s="16">
        <f>'БА в тыс. руб.'!G142*1000</f>
        <v>85000</v>
      </c>
      <c r="K142" s="169">
        <f t="shared" si="99"/>
        <v>0</v>
      </c>
      <c r="L142" s="16">
        <f>'БА в тыс. руб.'!H142*1000</f>
        <v>76500</v>
      </c>
      <c r="M142" s="169">
        <f t="shared" si="100"/>
        <v>0</v>
      </c>
      <c r="N142" s="16">
        <f>'БА в тыс. руб.'!I142*1000</f>
        <v>76500</v>
      </c>
      <c r="O142" s="169">
        <f t="shared" si="101"/>
        <v>0</v>
      </c>
    </row>
    <row r="143" spans="1:15" s="3" customFormat="1" ht="51">
      <c r="A143" s="34" t="s">
        <v>771</v>
      </c>
      <c r="B143" s="25" t="s">
        <v>55</v>
      </c>
      <c r="C143" s="26" t="s">
        <v>65</v>
      </c>
      <c r="D143" s="26" t="s">
        <v>84</v>
      </c>
      <c r="E143" s="26" t="s">
        <v>772</v>
      </c>
      <c r="F143" s="26" t="s">
        <v>58</v>
      </c>
      <c r="G143" s="27">
        <f>G144</f>
        <v>85000</v>
      </c>
      <c r="H143" s="27">
        <f t="shared" ref="H143:I145" si="106">H144</f>
        <v>76500</v>
      </c>
      <c r="I143" s="27">
        <f t="shared" si="106"/>
        <v>76500</v>
      </c>
      <c r="J143" s="16">
        <f>'БА в тыс. руб.'!G143*1000</f>
        <v>85000</v>
      </c>
      <c r="K143" s="169">
        <f t="shared" si="99"/>
        <v>0</v>
      </c>
      <c r="L143" s="16">
        <f>'БА в тыс. руб.'!H143*1000</f>
        <v>76500</v>
      </c>
      <c r="M143" s="169">
        <f t="shared" si="100"/>
        <v>0</v>
      </c>
      <c r="N143" s="16">
        <f>'БА в тыс. руб.'!I143*1000</f>
        <v>76500</v>
      </c>
      <c r="O143" s="169">
        <f t="shared" si="101"/>
        <v>0</v>
      </c>
    </row>
    <row r="144" spans="1:15" s="3" customFormat="1" ht="38.25">
      <c r="A144" s="34" t="s">
        <v>872</v>
      </c>
      <c r="B144" s="25" t="s">
        <v>55</v>
      </c>
      <c r="C144" s="26" t="s">
        <v>65</v>
      </c>
      <c r="D144" s="26" t="s">
        <v>84</v>
      </c>
      <c r="E144" s="26" t="s">
        <v>773</v>
      </c>
      <c r="F144" s="26" t="s">
        <v>58</v>
      </c>
      <c r="G144" s="27">
        <f>G145</f>
        <v>85000</v>
      </c>
      <c r="H144" s="27">
        <f t="shared" si="106"/>
        <v>76500</v>
      </c>
      <c r="I144" s="27">
        <f t="shared" si="106"/>
        <v>76500</v>
      </c>
      <c r="J144" s="16">
        <f>'БА в тыс. руб.'!G144*1000</f>
        <v>85000</v>
      </c>
      <c r="K144" s="169">
        <f t="shared" si="99"/>
        <v>0</v>
      </c>
      <c r="L144" s="16">
        <f>'БА в тыс. руб.'!H144*1000</f>
        <v>76500</v>
      </c>
      <c r="M144" s="169">
        <f t="shared" si="100"/>
        <v>0</v>
      </c>
      <c r="N144" s="16">
        <f>'БА в тыс. руб.'!I144*1000</f>
        <v>76500</v>
      </c>
      <c r="O144" s="169">
        <f t="shared" si="101"/>
        <v>0</v>
      </c>
    </row>
    <row r="145" spans="1:15" s="3" customFormat="1" ht="25.5">
      <c r="A145" s="11" t="s">
        <v>108</v>
      </c>
      <c r="B145" s="25" t="s">
        <v>55</v>
      </c>
      <c r="C145" s="26" t="s">
        <v>65</v>
      </c>
      <c r="D145" s="26" t="s">
        <v>84</v>
      </c>
      <c r="E145" s="26" t="s">
        <v>773</v>
      </c>
      <c r="F145" s="26" t="s">
        <v>116</v>
      </c>
      <c r="G145" s="27">
        <f>G146</f>
        <v>85000</v>
      </c>
      <c r="H145" s="27">
        <f t="shared" si="106"/>
        <v>76500</v>
      </c>
      <c r="I145" s="27">
        <f t="shared" si="106"/>
        <v>76500</v>
      </c>
      <c r="J145" s="16">
        <f>'БА в тыс. руб.'!G145*1000</f>
        <v>85000</v>
      </c>
      <c r="K145" s="169">
        <f t="shared" si="99"/>
        <v>0</v>
      </c>
      <c r="L145" s="16">
        <f>'БА в тыс. руб.'!H145*1000</f>
        <v>76500</v>
      </c>
      <c r="M145" s="169">
        <f t="shared" si="100"/>
        <v>0</v>
      </c>
      <c r="N145" s="16">
        <f>'БА в тыс. руб.'!I145*1000</f>
        <v>76500</v>
      </c>
      <c r="O145" s="169">
        <f t="shared" si="101"/>
        <v>0</v>
      </c>
    </row>
    <row r="146" spans="1:15" s="4" customFormat="1" ht="25.5">
      <c r="A146" s="12" t="s">
        <v>973</v>
      </c>
      <c r="B146" s="25" t="s">
        <v>55</v>
      </c>
      <c r="C146" s="26" t="s">
        <v>65</v>
      </c>
      <c r="D146" s="26" t="s">
        <v>84</v>
      </c>
      <c r="E146" s="26" t="s">
        <v>773</v>
      </c>
      <c r="F146" s="26" t="s">
        <v>1043</v>
      </c>
      <c r="G146" s="27">
        <f t="shared" ref="G146" si="107">J146</f>
        <v>85000</v>
      </c>
      <c r="H146" s="27">
        <f>L146</f>
        <v>76500</v>
      </c>
      <c r="I146" s="27">
        <f>N146</f>
        <v>76500</v>
      </c>
      <c r="J146" s="16">
        <f>'БА в тыс. руб.'!G146*1000</f>
        <v>85000</v>
      </c>
      <c r="K146" s="169">
        <f t="shared" si="99"/>
        <v>0</v>
      </c>
      <c r="L146" s="16">
        <f>'БА в тыс. руб.'!H146*1000</f>
        <v>76500</v>
      </c>
      <c r="M146" s="169">
        <f t="shared" si="100"/>
        <v>0</v>
      </c>
      <c r="N146" s="16">
        <f>'БА в тыс. руб.'!I146*1000</f>
        <v>76500</v>
      </c>
      <c r="O146" s="169">
        <f t="shared" si="101"/>
        <v>0</v>
      </c>
    </row>
    <row r="147" spans="1:15" s="3" customFormat="1" ht="38.25">
      <c r="A147" s="34" t="s">
        <v>245</v>
      </c>
      <c r="B147" s="25" t="s">
        <v>55</v>
      </c>
      <c r="C147" s="26" t="s">
        <v>65</v>
      </c>
      <c r="D147" s="26" t="s">
        <v>84</v>
      </c>
      <c r="E147" s="26" t="s">
        <v>246</v>
      </c>
      <c r="F147" s="26" t="s">
        <v>58</v>
      </c>
      <c r="G147" s="27">
        <f>G148</f>
        <v>66623230</v>
      </c>
      <c r="H147" s="27">
        <f>H148</f>
        <v>66711830</v>
      </c>
      <c r="I147" s="27">
        <f>I148</f>
        <v>66711830</v>
      </c>
      <c r="J147" s="16">
        <f>'БА в тыс. руб.'!G147*1000</f>
        <v>66623229.999999993</v>
      </c>
      <c r="K147" s="169">
        <f t="shared" si="99"/>
        <v>0</v>
      </c>
      <c r="L147" s="16">
        <f>'БА в тыс. руб.'!H147*1000</f>
        <v>66711829.999999985</v>
      </c>
      <c r="M147" s="169">
        <f t="shared" si="100"/>
        <v>0</v>
      </c>
      <c r="N147" s="16">
        <f>'БА в тыс. руб.'!I147*1000</f>
        <v>66711829.999999985</v>
      </c>
      <c r="O147" s="169">
        <f t="shared" si="101"/>
        <v>0</v>
      </c>
    </row>
    <row r="148" spans="1:15" s="3" customFormat="1" ht="25.5">
      <c r="A148" s="34" t="s">
        <v>247</v>
      </c>
      <c r="B148" s="25" t="s">
        <v>55</v>
      </c>
      <c r="C148" s="26" t="s">
        <v>65</v>
      </c>
      <c r="D148" s="26" t="s">
        <v>84</v>
      </c>
      <c r="E148" s="26" t="s">
        <v>248</v>
      </c>
      <c r="F148" s="26" t="s">
        <v>58</v>
      </c>
      <c r="G148" s="27">
        <f>G149+G153+G155</f>
        <v>66623230</v>
      </c>
      <c r="H148" s="27">
        <f t="shared" ref="H148:I148" si="108">H149+H153+H155</f>
        <v>66711830</v>
      </c>
      <c r="I148" s="27">
        <f t="shared" si="108"/>
        <v>66711830</v>
      </c>
      <c r="J148" s="16">
        <f>'БА в тыс. руб.'!G148*1000</f>
        <v>66623229.999999993</v>
      </c>
      <c r="K148" s="169">
        <f t="shared" si="99"/>
        <v>0</v>
      </c>
      <c r="L148" s="16">
        <f>'БА в тыс. руб.'!H148*1000</f>
        <v>66711829.999999985</v>
      </c>
      <c r="M148" s="169">
        <f t="shared" si="100"/>
        <v>0</v>
      </c>
      <c r="N148" s="16">
        <f>'БА в тыс. руб.'!I148*1000</f>
        <v>66711829.999999985</v>
      </c>
      <c r="O148" s="169">
        <f t="shared" si="101"/>
        <v>0</v>
      </c>
    </row>
    <row r="149" spans="1:15" s="3" customFormat="1">
      <c r="A149" s="13" t="s">
        <v>106</v>
      </c>
      <c r="B149" s="25" t="s">
        <v>55</v>
      </c>
      <c r="C149" s="26" t="s">
        <v>65</v>
      </c>
      <c r="D149" s="26" t="s">
        <v>84</v>
      </c>
      <c r="E149" s="26" t="s">
        <v>248</v>
      </c>
      <c r="F149" s="26" t="s">
        <v>121</v>
      </c>
      <c r="G149" s="27">
        <f>SUM(G150:G152)</f>
        <v>58134480</v>
      </c>
      <c r="H149" s="27">
        <f t="shared" ref="H149:I149" si="109">SUM(H150:H152)</f>
        <v>58134480</v>
      </c>
      <c r="I149" s="27">
        <f t="shared" si="109"/>
        <v>58134480</v>
      </c>
      <c r="J149" s="16">
        <f>'БА в тыс. руб.'!G149*1000</f>
        <v>58134479.999999993</v>
      </c>
      <c r="K149" s="169">
        <f t="shared" si="99"/>
        <v>0</v>
      </c>
      <c r="L149" s="16">
        <f>'БА в тыс. руб.'!H149*1000</f>
        <v>58134479.999999993</v>
      </c>
      <c r="M149" s="169">
        <f t="shared" si="100"/>
        <v>0</v>
      </c>
      <c r="N149" s="16">
        <f>'БА в тыс. руб.'!I149*1000</f>
        <v>58134479.999999993</v>
      </c>
      <c r="O149" s="169">
        <f t="shared" si="101"/>
        <v>0</v>
      </c>
    </row>
    <row r="150" spans="1:15" s="4" customFormat="1">
      <c r="A150" s="12" t="s">
        <v>932</v>
      </c>
      <c r="B150" s="25" t="s">
        <v>55</v>
      </c>
      <c r="C150" s="26" t="s">
        <v>65</v>
      </c>
      <c r="D150" s="26" t="s">
        <v>84</v>
      </c>
      <c r="E150" s="26" t="s">
        <v>248</v>
      </c>
      <c r="F150" s="26" t="s">
        <v>1056</v>
      </c>
      <c r="G150" s="27">
        <f t="shared" ref="G150:G152" si="110">J150</f>
        <v>44638770</v>
      </c>
      <c r="H150" s="27">
        <f t="shared" ref="H150:H152" si="111">L150</f>
        <v>44638770</v>
      </c>
      <c r="I150" s="27">
        <f t="shared" ref="I150:I152" si="112">N150</f>
        <v>44638770</v>
      </c>
      <c r="J150" s="16">
        <f>'БА в тыс. руб.'!G150*1000</f>
        <v>44638770</v>
      </c>
      <c r="K150" s="169">
        <f t="shared" si="99"/>
        <v>0</v>
      </c>
      <c r="L150" s="16">
        <f>'БА в тыс. руб.'!H150*1000</f>
        <v>44638770</v>
      </c>
      <c r="M150" s="169">
        <f t="shared" si="100"/>
        <v>0</v>
      </c>
      <c r="N150" s="16">
        <f>'БА в тыс. руб.'!I150*1000</f>
        <v>44638770</v>
      </c>
      <c r="O150" s="169">
        <f t="shared" si="101"/>
        <v>0</v>
      </c>
    </row>
    <row r="151" spans="1:15" s="4" customFormat="1" ht="25.5">
      <c r="A151" s="12" t="s">
        <v>933</v>
      </c>
      <c r="B151" s="25" t="s">
        <v>55</v>
      </c>
      <c r="C151" s="26" t="s">
        <v>65</v>
      </c>
      <c r="D151" s="26" t="s">
        <v>84</v>
      </c>
      <c r="E151" s="26" t="s">
        <v>248</v>
      </c>
      <c r="F151" s="26" t="s">
        <v>1069</v>
      </c>
      <c r="G151" s="27">
        <f t="shared" si="110"/>
        <v>14800</v>
      </c>
      <c r="H151" s="27">
        <f t="shared" si="111"/>
        <v>14800</v>
      </c>
      <c r="I151" s="27">
        <f t="shared" si="112"/>
        <v>14800</v>
      </c>
      <c r="J151" s="16">
        <f>'БА в тыс. руб.'!G151*1000</f>
        <v>14800</v>
      </c>
      <c r="K151" s="169"/>
      <c r="L151" s="16">
        <f>'БА в тыс. руб.'!H151*1000</f>
        <v>14800</v>
      </c>
      <c r="M151" s="169"/>
      <c r="N151" s="16">
        <f>'БА в тыс. руб.'!I151*1000</f>
        <v>14800</v>
      </c>
      <c r="O151" s="169"/>
    </row>
    <row r="152" spans="1:15" s="4" customFormat="1" ht="38.25">
      <c r="A152" s="12" t="s">
        <v>935</v>
      </c>
      <c r="B152" s="25" t="s">
        <v>55</v>
      </c>
      <c r="C152" s="26" t="s">
        <v>65</v>
      </c>
      <c r="D152" s="26" t="s">
        <v>84</v>
      </c>
      <c r="E152" s="26" t="s">
        <v>248</v>
      </c>
      <c r="F152" s="26" t="s">
        <v>1057</v>
      </c>
      <c r="G152" s="27">
        <f t="shared" si="110"/>
        <v>13480910</v>
      </c>
      <c r="H152" s="27">
        <f t="shared" si="111"/>
        <v>13480910</v>
      </c>
      <c r="I152" s="27">
        <f t="shared" si="112"/>
        <v>13480910</v>
      </c>
      <c r="J152" s="16">
        <f>'БА в тыс. руб.'!G152*1000</f>
        <v>13480910</v>
      </c>
      <c r="K152" s="169">
        <f t="shared" si="99"/>
        <v>0</v>
      </c>
      <c r="L152" s="16">
        <f>'БА в тыс. руб.'!H152*1000</f>
        <v>13480910</v>
      </c>
      <c r="M152" s="169">
        <f t="shared" si="100"/>
        <v>0</v>
      </c>
      <c r="N152" s="16">
        <f>'БА в тыс. руб.'!I152*1000</f>
        <v>13480910</v>
      </c>
      <c r="O152" s="169">
        <f t="shared" si="101"/>
        <v>0</v>
      </c>
    </row>
    <row r="153" spans="1:15" s="3" customFormat="1" ht="25.5">
      <c r="A153" s="11" t="s">
        <v>108</v>
      </c>
      <c r="B153" s="25" t="s">
        <v>55</v>
      </c>
      <c r="C153" s="26" t="s">
        <v>65</v>
      </c>
      <c r="D153" s="26" t="s">
        <v>84</v>
      </c>
      <c r="E153" s="26" t="s">
        <v>248</v>
      </c>
      <c r="F153" s="26" t="s">
        <v>116</v>
      </c>
      <c r="G153" s="27">
        <f>G154</f>
        <v>7191320</v>
      </c>
      <c r="H153" s="27">
        <f t="shared" ref="H153:I153" si="113">H154</f>
        <v>7279920</v>
      </c>
      <c r="I153" s="27">
        <f t="shared" si="113"/>
        <v>7279920</v>
      </c>
      <c r="J153" s="16">
        <f>'БА в тыс. руб.'!G153*1000</f>
        <v>7191320</v>
      </c>
      <c r="K153" s="169">
        <f t="shared" si="99"/>
        <v>0</v>
      </c>
      <c r="L153" s="16">
        <f>'БА в тыс. руб.'!H153*1000</f>
        <v>7279920</v>
      </c>
      <c r="M153" s="169">
        <f t="shared" si="100"/>
        <v>0</v>
      </c>
      <c r="N153" s="16">
        <f>'БА в тыс. руб.'!I153*1000</f>
        <v>7279920</v>
      </c>
      <c r="O153" s="169">
        <f t="shared" si="101"/>
        <v>0</v>
      </c>
    </row>
    <row r="154" spans="1:15" s="4" customFormat="1" ht="25.5">
      <c r="A154" s="12" t="s">
        <v>973</v>
      </c>
      <c r="B154" s="25" t="s">
        <v>55</v>
      </c>
      <c r="C154" s="26" t="s">
        <v>65</v>
      </c>
      <c r="D154" s="26" t="s">
        <v>84</v>
      </c>
      <c r="E154" s="26" t="s">
        <v>248</v>
      </c>
      <c r="F154" s="26" t="s">
        <v>1043</v>
      </c>
      <c r="G154" s="27">
        <f t="shared" ref="G154" si="114">J154</f>
        <v>7191320</v>
      </c>
      <c r="H154" s="27">
        <f>L154</f>
        <v>7279920</v>
      </c>
      <c r="I154" s="27">
        <f>N154</f>
        <v>7279920</v>
      </c>
      <c r="J154" s="16">
        <f>'БА в тыс. руб.'!G154*1000</f>
        <v>7191320</v>
      </c>
      <c r="K154" s="169">
        <f t="shared" si="99"/>
        <v>0</v>
      </c>
      <c r="L154" s="16">
        <f>'БА в тыс. руб.'!H154*1000</f>
        <v>7279920</v>
      </c>
      <c r="M154" s="169">
        <f t="shared" si="100"/>
        <v>0</v>
      </c>
      <c r="N154" s="16">
        <f>'БА в тыс. руб.'!I154*1000</f>
        <v>7279920</v>
      </c>
      <c r="O154" s="169">
        <f t="shared" si="101"/>
        <v>0</v>
      </c>
    </row>
    <row r="155" spans="1:15" s="3" customFormat="1">
      <c r="A155" s="11" t="s">
        <v>97</v>
      </c>
      <c r="B155" s="25" t="s">
        <v>55</v>
      </c>
      <c r="C155" s="26" t="s">
        <v>65</v>
      </c>
      <c r="D155" s="26" t="s">
        <v>84</v>
      </c>
      <c r="E155" s="26" t="s">
        <v>248</v>
      </c>
      <c r="F155" s="108">
        <v>850</v>
      </c>
      <c r="G155" s="27">
        <f>SUM(G156:G157)</f>
        <v>1297430</v>
      </c>
      <c r="H155" s="27">
        <f t="shared" ref="H155:I155" si="115">SUM(H156:H157)</f>
        <v>1297430</v>
      </c>
      <c r="I155" s="27">
        <f t="shared" si="115"/>
        <v>1297430</v>
      </c>
      <c r="J155" s="16">
        <f>'БА в тыс. руб.'!G155*1000</f>
        <v>1297429.9999999998</v>
      </c>
      <c r="K155" s="169">
        <f t="shared" si="99"/>
        <v>0</v>
      </c>
      <c r="L155" s="16">
        <f>'БА в тыс. руб.'!H155*1000</f>
        <v>1297429.9999999998</v>
      </c>
      <c r="M155" s="169">
        <f t="shared" si="100"/>
        <v>0</v>
      </c>
      <c r="N155" s="16">
        <f>'БА в тыс. руб.'!I155*1000</f>
        <v>1297429.9999999998</v>
      </c>
      <c r="O155" s="169">
        <f t="shared" si="101"/>
        <v>0</v>
      </c>
    </row>
    <row r="156" spans="1:15" s="4" customFormat="1">
      <c r="A156" s="12" t="s">
        <v>1036</v>
      </c>
      <c r="B156" s="25" t="s">
        <v>55</v>
      </c>
      <c r="C156" s="26" t="s">
        <v>65</v>
      </c>
      <c r="D156" s="26" t="s">
        <v>84</v>
      </c>
      <c r="E156" s="26" t="s">
        <v>248</v>
      </c>
      <c r="F156" s="47">
        <v>851</v>
      </c>
      <c r="G156" s="27">
        <f t="shared" ref="G156:G157" si="116">J156</f>
        <v>1283590</v>
      </c>
      <c r="H156" s="27">
        <f t="shared" ref="H156:H157" si="117">L156</f>
        <v>1283590</v>
      </c>
      <c r="I156" s="27">
        <f t="shared" ref="I156:I157" si="118">N156</f>
        <v>1283590</v>
      </c>
      <c r="J156" s="16">
        <f>'БА в тыс. руб.'!G156*1000</f>
        <v>1283590</v>
      </c>
      <c r="K156" s="169">
        <f t="shared" si="99"/>
        <v>0</v>
      </c>
      <c r="L156" s="16">
        <f>'БА в тыс. руб.'!H156*1000</f>
        <v>1283590</v>
      </c>
      <c r="M156" s="169">
        <f t="shared" si="100"/>
        <v>0</v>
      </c>
      <c r="N156" s="16">
        <f>'БА в тыс. руб.'!I156*1000</f>
        <v>1283590</v>
      </c>
      <c r="O156" s="169">
        <f t="shared" si="101"/>
        <v>0</v>
      </c>
    </row>
    <row r="157" spans="1:15" s="4" customFormat="1">
      <c r="A157" s="12" t="s">
        <v>1037</v>
      </c>
      <c r="B157" s="25" t="s">
        <v>55</v>
      </c>
      <c r="C157" s="26" t="s">
        <v>65</v>
      </c>
      <c r="D157" s="26" t="s">
        <v>84</v>
      </c>
      <c r="E157" s="26" t="s">
        <v>248</v>
      </c>
      <c r="F157" s="47">
        <v>852</v>
      </c>
      <c r="G157" s="27">
        <f t="shared" si="116"/>
        <v>13840</v>
      </c>
      <c r="H157" s="27">
        <f t="shared" si="117"/>
        <v>13840</v>
      </c>
      <c r="I157" s="27">
        <f t="shared" si="118"/>
        <v>13840</v>
      </c>
      <c r="J157" s="16">
        <f>'БА в тыс. руб.'!G157*1000</f>
        <v>13840</v>
      </c>
      <c r="K157" s="169">
        <f t="shared" si="99"/>
        <v>0</v>
      </c>
      <c r="L157" s="16">
        <f>'БА в тыс. руб.'!H157*1000</f>
        <v>13840</v>
      </c>
      <c r="M157" s="169">
        <f t="shared" si="100"/>
        <v>0</v>
      </c>
      <c r="N157" s="16">
        <f>'БА в тыс. руб.'!I157*1000</f>
        <v>13840</v>
      </c>
      <c r="O157" s="169">
        <f t="shared" si="101"/>
        <v>0</v>
      </c>
    </row>
    <row r="158" spans="1:15" s="3" customFormat="1" ht="38.25">
      <c r="A158" s="12" t="s">
        <v>752</v>
      </c>
      <c r="B158" s="35">
        <v>601</v>
      </c>
      <c r="C158" s="35" t="s">
        <v>65</v>
      </c>
      <c r="D158" s="35">
        <v>13</v>
      </c>
      <c r="E158" s="35" t="s">
        <v>249</v>
      </c>
      <c r="F158" s="35" t="s">
        <v>58</v>
      </c>
      <c r="G158" s="38">
        <f>G159+G168+G183</f>
        <v>1113100</v>
      </c>
      <c r="H158" s="38">
        <f>H159+H168+H183</f>
        <v>1001790</v>
      </c>
      <c r="I158" s="38">
        <f>I159+I168+I183</f>
        <v>1001790</v>
      </c>
      <c r="J158" s="16">
        <f>'БА в тыс. руб.'!G158*1000</f>
        <v>1113100</v>
      </c>
      <c r="K158" s="169">
        <f t="shared" si="99"/>
        <v>0</v>
      </c>
      <c r="L158" s="16">
        <f>'БА в тыс. руб.'!H158*1000</f>
        <v>1001790</v>
      </c>
      <c r="M158" s="169">
        <f t="shared" si="100"/>
        <v>0</v>
      </c>
      <c r="N158" s="16">
        <f>'БА в тыс. руб.'!I158*1000</f>
        <v>1001790</v>
      </c>
      <c r="O158" s="169">
        <f t="shared" si="101"/>
        <v>0</v>
      </c>
    </row>
    <row r="159" spans="1:15" s="3" customFormat="1">
      <c r="A159" s="11" t="s">
        <v>753</v>
      </c>
      <c r="B159" s="35">
        <v>601</v>
      </c>
      <c r="C159" s="35" t="s">
        <v>65</v>
      </c>
      <c r="D159" s="35">
        <v>13</v>
      </c>
      <c r="E159" s="35" t="s">
        <v>250</v>
      </c>
      <c r="F159" s="35" t="s">
        <v>58</v>
      </c>
      <c r="G159" s="38">
        <f>G160+G164</f>
        <v>374000</v>
      </c>
      <c r="H159" s="38">
        <f>H160+H164</f>
        <v>336600</v>
      </c>
      <c r="I159" s="38">
        <f>I160+I164</f>
        <v>336600</v>
      </c>
      <c r="J159" s="16">
        <f>'БА в тыс. руб.'!G159*1000</f>
        <v>374000</v>
      </c>
      <c r="K159" s="169">
        <f t="shared" si="99"/>
        <v>0</v>
      </c>
      <c r="L159" s="16">
        <f>'БА в тыс. руб.'!H159*1000</f>
        <v>336600</v>
      </c>
      <c r="M159" s="169">
        <f t="shared" si="100"/>
        <v>0</v>
      </c>
      <c r="N159" s="16">
        <f>'БА в тыс. руб.'!I159*1000</f>
        <v>336600</v>
      </c>
      <c r="O159" s="169">
        <f t="shared" si="101"/>
        <v>0</v>
      </c>
    </row>
    <row r="160" spans="1:15" s="3" customFormat="1" ht="38.25">
      <c r="A160" s="34" t="s">
        <v>880</v>
      </c>
      <c r="B160" s="35">
        <v>601</v>
      </c>
      <c r="C160" s="35" t="s">
        <v>65</v>
      </c>
      <c r="D160" s="35">
        <v>13</v>
      </c>
      <c r="E160" s="35" t="s">
        <v>538</v>
      </c>
      <c r="F160" s="35" t="s">
        <v>58</v>
      </c>
      <c r="G160" s="38">
        <f>G161</f>
        <v>357000</v>
      </c>
      <c r="H160" s="38">
        <f>H161</f>
        <v>321300</v>
      </c>
      <c r="I160" s="38">
        <f>I161</f>
        <v>321300</v>
      </c>
      <c r="J160" s="16">
        <f>'БА в тыс. руб.'!G160*1000</f>
        <v>357000</v>
      </c>
      <c r="K160" s="169">
        <f t="shared" si="99"/>
        <v>0</v>
      </c>
      <c r="L160" s="16">
        <f>'БА в тыс. руб.'!H160*1000</f>
        <v>321300</v>
      </c>
      <c r="M160" s="169">
        <f t="shared" si="100"/>
        <v>0</v>
      </c>
      <c r="N160" s="16">
        <f>'БА в тыс. руб.'!I160*1000</f>
        <v>321300</v>
      </c>
      <c r="O160" s="169">
        <f t="shared" si="101"/>
        <v>0</v>
      </c>
    </row>
    <row r="161" spans="1:15" s="3" customFormat="1" ht="25.5">
      <c r="A161" s="34" t="s">
        <v>122</v>
      </c>
      <c r="B161" s="35">
        <v>601</v>
      </c>
      <c r="C161" s="35" t="s">
        <v>65</v>
      </c>
      <c r="D161" s="35">
        <v>13</v>
      </c>
      <c r="E161" s="35" t="s">
        <v>539</v>
      </c>
      <c r="F161" s="35" t="s">
        <v>58</v>
      </c>
      <c r="G161" s="38">
        <f>SUM(G162:G162)</f>
        <v>357000</v>
      </c>
      <c r="H161" s="38">
        <f>SUM(H162:H162)</f>
        <v>321300</v>
      </c>
      <c r="I161" s="38">
        <f>SUM(I162:I162)</f>
        <v>321300</v>
      </c>
      <c r="J161" s="16">
        <f>'БА в тыс. руб.'!G161*1000</f>
        <v>357000</v>
      </c>
      <c r="K161" s="169">
        <f t="shared" si="99"/>
        <v>0</v>
      </c>
      <c r="L161" s="16">
        <f>'БА в тыс. руб.'!H161*1000</f>
        <v>321300</v>
      </c>
      <c r="M161" s="169">
        <f t="shared" si="100"/>
        <v>0</v>
      </c>
      <c r="N161" s="16">
        <f>'БА в тыс. руб.'!I161*1000</f>
        <v>321300</v>
      </c>
      <c r="O161" s="169">
        <f t="shared" si="101"/>
        <v>0</v>
      </c>
    </row>
    <row r="162" spans="1:15" s="3" customFormat="1" ht="25.5">
      <c r="A162" s="31" t="s">
        <v>108</v>
      </c>
      <c r="B162" s="35">
        <v>601</v>
      </c>
      <c r="C162" s="35" t="s">
        <v>65</v>
      </c>
      <c r="D162" s="35">
        <v>13</v>
      </c>
      <c r="E162" s="35" t="s">
        <v>539</v>
      </c>
      <c r="F162" s="35" t="s">
        <v>116</v>
      </c>
      <c r="G162" s="27">
        <f>G163</f>
        <v>357000</v>
      </c>
      <c r="H162" s="27">
        <f t="shared" ref="H162:I162" si="119">H163</f>
        <v>321300</v>
      </c>
      <c r="I162" s="27">
        <f t="shared" si="119"/>
        <v>321300</v>
      </c>
      <c r="J162" s="16">
        <f>'БА в тыс. руб.'!G162*1000</f>
        <v>357000</v>
      </c>
      <c r="K162" s="169">
        <f t="shared" si="99"/>
        <v>0</v>
      </c>
      <c r="L162" s="16">
        <f>'БА в тыс. руб.'!H162*1000</f>
        <v>321300</v>
      </c>
      <c r="M162" s="169">
        <f t="shared" si="100"/>
        <v>0</v>
      </c>
      <c r="N162" s="16">
        <f>'БА в тыс. руб.'!I162*1000</f>
        <v>321300</v>
      </c>
      <c r="O162" s="169">
        <f t="shared" si="101"/>
        <v>0</v>
      </c>
    </row>
    <row r="163" spans="1:15" s="4" customFormat="1" ht="25.5">
      <c r="A163" s="12" t="s">
        <v>973</v>
      </c>
      <c r="B163" s="35">
        <v>601</v>
      </c>
      <c r="C163" s="35" t="s">
        <v>65</v>
      </c>
      <c r="D163" s="35">
        <v>13</v>
      </c>
      <c r="E163" s="35" t="s">
        <v>539</v>
      </c>
      <c r="F163" s="35" t="s">
        <v>1043</v>
      </c>
      <c r="G163" s="27">
        <f t="shared" ref="G163" si="120">J163</f>
        <v>357000</v>
      </c>
      <c r="H163" s="27">
        <f>L163</f>
        <v>321300</v>
      </c>
      <c r="I163" s="27">
        <f>N163</f>
        <v>321300</v>
      </c>
      <c r="J163" s="16">
        <f>'БА в тыс. руб.'!G163*1000</f>
        <v>357000</v>
      </c>
      <c r="K163" s="169">
        <f t="shared" si="99"/>
        <v>0</v>
      </c>
      <c r="L163" s="16">
        <f>'БА в тыс. руб.'!H163*1000</f>
        <v>321300</v>
      </c>
      <c r="M163" s="169">
        <f t="shared" si="100"/>
        <v>0</v>
      </c>
      <c r="N163" s="16">
        <f>'БА в тыс. руб.'!I163*1000</f>
        <v>321300</v>
      </c>
      <c r="O163" s="169">
        <f t="shared" si="101"/>
        <v>0</v>
      </c>
    </row>
    <row r="164" spans="1:15" s="3" customFormat="1" ht="25.5">
      <c r="A164" s="31" t="s">
        <v>618</v>
      </c>
      <c r="B164" s="35">
        <v>601</v>
      </c>
      <c r="C164" s="35" t="s">
        <v>65</v>
      </c>
      <c r="D164" s="35">
        <v>13</v>
      </c>
      <c r="E164" s="35" t="s">
        <v>540</v>
      </c>
      <c r="F164" s="35" t="s">
        <v>58</v>
      </c>
      <c r="G164" s="38">
        <f t="shared" ref="G164:I166" si="121">G165</f>
        <v>17000</v>
      </c>
      <c r="H164" s="38">
        <f t="shared" si="121"/>
        <v>15300</v>
      </c>
      <c r="I164" s="38">
        <f t="shared" si="121"/>
        <v>15300</v>
      </c>
      <c r="J164" s="16">
        <f>'БА в тыс. руб.'!G164*1000</f>
        <v>17000</v>
      </c>
      <c r="K164" s="169">
        <f t="shared" si="99"/>
        <v>0</v>
      </c>
      <c r="L164" s="16">
        <f>'БА в тыс. руб.'!H164*1000</f>
        <v>15300</v>
      </c>
      <c r="M164" s="169">
        <f t="shared" si="100"/>
        <v>0</v>
      </c>
      <c r="N164" s="16">
        <f>'БА в тыс. руб.'!I164*1000</f>
        <v>15300</v>
      </c>
      <c r="O164" s="169">
        <f t="shared" si="101"/>
        <v>0</v>
      </c>
    </row>
    <row r="165" spans="1:15" s="3" customFormat="1" ht="25.5">
      <c r="A165" s="31" t="s">
        <v>122</v>
      </c>
      <c r="B165" s="35">
        <v>601</v>
      </c>
      <c r="C165" s="35" t="s">
        <v>65</v>
      </c>
      <c r="D165" s="35">
        <v>13</v>
      </c>
      <c r="E165" s="35" t="s">
        <v>571</v>
      </c>
      <c r="F165" s="35" t="s">
        <v>58</v>
      </c>
      <c r="G165" s="38">
        <f t="shared" si="121"/>
        <v>17000</v>
      </c>
      <c r="H165" s="38">
        <f t="shared" si="121"/>
        <v>15300</v>
      </c>
      <c r="I165" s="38">
        <f t="shared" si="121"/>
        <v>15300</v>
      </c>
      <c r="J165" s="16">
        <f>'БА в тыс. руб.'!G165*1000</f>
        <v>17000</v>
      </c>
      <c r="K165" s="169">
        <f t="shared" si="99"/>
        <v>0</v>
      </c>
      <c r="L165" s="16">
        <f>'БА в тыс. руб.'!H165*1000</f>
        <v>15300</v>
      </c>
      <c r="M165" s="169">
        <f t="shared" si="100"/>
        <v>0</v>
      </c>
      <c r="N165" s="16">
        <f>'БА в тыс. руб.'!I165*1000</f>
        <v>15300</v>
      </c>
      <c r="O165" s="169">
        <f t="shared" si="101"/>
        <v>0</v>
      </c>
    </row>
    <row r="166" spans="1:15" s="3" customFormat="1" ht="25.5">
      <c r="A166" s="31" t="s">
        <v>108</v>
      </c>
      <c r="B166" s="35">
        <v>601</v>
      </c>
      <c r="C166" s="35" t="s">
        <v>65</v>
      </c>
      <c r="D166" s="35">
        <v>13</v>
      </c>
      <c r="E166" s="35" t="s">
        <v>571</v>
      </c>
      <c r="F166" s="35" t="s">
        <v>116</v>
      </c>
      <c r="G166" s="27">
        <f>G167</f>
        <v>17000</v>
      </c>
      <c r="H166" s="27">
        <f t="shared" si="121"/>
        <v>15300</v>
      </c>
      <c r="I166" s="27">
        <f t="shared" si="121"/>
        <v>15300</v>
      </c>
      <c r="J166" s="16">
        <f>'БА в тыс. руб.'!G166*1000</f>
        <v>17000</v>
      </c>
      <c r="K166" s="169">
        <f t="shared" si="99"/>
        <v>0</v>
      </c>
      <c r="L166" s="16">
        <f>'БА в тыс. руб.'!H166*1000</f>
        <v>15300</v>
      </c>
      <c r="M166" s="169">
        <f t="shared" si="100"/>
        <v>0</v>
      </c>
      <c r="N166" s="16">
        <f>'БА в тыс. руб.'!I166*1000</f>
        <v>15300</v>
      </c>
      <c r="O166" s="169">
        <f t="shared" si="101"/>
        <v>0</v>
      </c>
    </row>
    <row r="167" spans="1:15" s="4" customFormat="1" ht="25.5">
      <c r="A167" s="12" t="s">
        <v>973</v>
      </c>
      <c r="B167" s="35">
        <v>601</v>
      </c>
      <c r="C167" s="35" t="s">
        <v>65</v>
      </c>
      <c r="D167" s="35">
        <v>13</v>
      </c>
      <c r="E167" s="35" t="s">
        <v>571</v>
      </c>
      <c r="F167" s="35" t="s">
        <v>1043</v>
      </c>
      <c r="G167" s="27">
        <f t="shared" ref="G167" si="122">J167</f>
        <v>17000</v>
      </c>
      <c r="H167" s="27">
        <f>L167</f>
        <v>15300</v>
      </c>
      <c r="I167" s="27">
        <f>N167</f>
        <v>15300</v>
      </c>
      <c r="J167" s="16">
        <f>'БА в тыс. руб.'!G167*1000</f>
        <v>17000</v>
      </c>
      <c r="K167" s="169">
        <f t="shared" si="99"/>
        <v>0</v>
      </c>
      <c r="L167" s="16">
        <f>'БА в тыс. руб.'!H167*1000</f>
        <v>15300</v>
      </c>
      <c r="M167" s="169">
        <f t="shared" si="100"/>
        <v>0</v>
      </c>
      <c r="N167" s="16">
        <f>'БА в тыс. руб.'!I167*1000</f>
        <v>15300</v>
      </c>
      <c r="O167" s="169">
        <f t="shared" si="101"/>
        <v>0</v>
      </c>
    </row>
    <row r="168" spans="1:15" s="3" customFormat="1">
      <c r="A168" s="12" t="s">
        <v>754</v>
      </c>
      <c r="B168" s="108">
        <v>601</v>
      </c>
      <c r="C168" s="35" t="s">
        <v>65</v>
      </c>
      <c r="D168" s="35">
        <v>13</v>
      </c>
      <c r="E168" s="35" t="s">
        <v>251</v>
      </c>
      <c r="F168" s="35" t="s">
        <v>58</v>
      </c>
      <c r="G168" s="38">
        <f>G173+G178+G169</f>
        <v>460300</v>
      </c>
      <c r="H168" s="38">
        <f t="shared" ref="H168:I168" si="123">H173+H178+H169</f>
        <v>414270</v>
      </c>
      <c r="I168" s="38">
        <f t="shared" si="123"/>
        <v>414270</v>
      </c>
      <c r="J168" s="16">
        <f>'БА в тыс. руб.'!G168*1000</f>
        <v>460300</v>
      </c>
      <c r="K168" s="169">
        <f t="shared" si="99"/>
        <v>0</v>
      </c>
      <c r="L168" s="16">
        <f>'БА в тыс. руб.'!H168*1000</f>
        <v>414270</v>
      </c>
      <c r="M168" s="169">
        <f t="shared" si="100"/>
        <v>0</v>
      </c>
      <c r="N168" s="16">
        <f>'БА в тыс. руб.'!I168*1000</f>
        <v>414270</v>
      </c>
      <c r="O168" s="169">
        <f t="shared" si="101"/>
        <v>0</v>
      </c>
    </row>
    <row r="169" spans="1:15" s="3" customFormat="1" ht="38.25">
      <c r="A169" s="34" t="s">
        <v>774</v>
      </c>
      <c r="B169" s="108">
        <v>601</v>
      </c>
      <c r="C169" s="35" t="s">
        <v>65</v>
      </c>
      <c r="D169" s="35">
        <v>13</v>
      </c>
      <c r="E169" s="35" t="s">
        <v>775</v>
      </c>
      <c r="F169" s="35" t="s">
        <v>58</v>
      </c>
      <c r="G169" s="38">
        <f>G170</f>
        <v>83300</v>
      </c>
      <c r="H169" s="38">
        <f t="shared" ref="H169:I171" si="124">H170</f>
        <v>74970</v>
      </c>
      <c r="I169" s="38">
        <f t="shared" si="124"/>
        <v>74970</v>
      </c>
      <c r="J169" s="16">
        <f>'БА в тыс. руб.'!G169*1000</f>
        <v>83300</v>
      </c>
      <c r="K169" s="169">
        <f t="shared" si="99"/>
        <v>0</v>
      </c>
      <c r="L169" s="16">
        <f>'БА в тыс. руб.'!H169*1000</f>
        <v>74970</v>
      </c>
      <c r="M169" s="169">
        <f t="shared" si="100"/>
        <v>0</v>
      </c>
      <c r="N169" s="16">
        <f>'БА в тыс. руб.'!I169*1000</f>
        <v>74970</v>
      </c>
      <c r="O169" s="169">
        <f t="shared" si="101"/>
        <v>0</v>
      </c>
    </row>
    <row r="170" spans="1:15" s="3" customFormat="1" ht="51">
      <c r="A170" s="34" t="s">
        <v>873</v>
      </c>
      <c r="B170" s="108">
        <v>601</v>
      </c>
      <c r="C170" s="35" t="s">
        <v>65</v>
      </c>
      <c r="D170" s="35">
        <v>13</v>
      </c>
      <c r="E170" s="35" t="s">
        <v>776</v>
      </c>
      <c r="F170" s="35" t="s">
        <v>58</v>
      </c>
      <c r="G170" s="27">
        <f>G171</f>
        <v>83300</v>
      </c>
      <c r="H170" s="27">
        <f t="shared" si="124"/>
        <v>74970</v>
      </c>
      <c r="I170" s="27">
        <f t="shared" si="124"/>
        <v>74970</v>
      </c>
      <c r="J170" s="16">
        <f>'БА в тыс. руб.'!G170*1000</f>
        <v>83300</v>
      </c>
      <c r="K170" s="169">
        <f t="shared" si="99"/>
        <v>0</v>
      </c>
      <c r="L170" s="16">
        <f>'БА в тыс. руб.'!H170*1000</f>
        <v>74970</v>
      </c>
      <c r="M170" s="169">
        <f t="shared" si="100"/>
        <v>0</v>
      </c>
      <c r="N170" s="16">
        <f>'БА в тыс. руб.'!I170*1000</f>
        <v>74970</v>
      </c>
      <c r="O170" s="169">
        <f t="shared" si="101"/>
        <v>0</v>
      </c>
    </row>
    <row r="171" spans="1:15" s="3" customFormat="1" ht="25.5">
      <c r="A171" s="11" t="s">
        <v>108</v>
      </c>
      <c r="B171" s="108">
        <v>601</v>
      </c>
      <c r="C171" s="35" t="s">
        <v>65</v>
      </c>
      <c r="D171" s="35">
        <v>13</v>
      </c>
      <c r="E171" s="35" t="s">
        <v>776</v>
      </c>
      <c r="F171" s="35" t="s">
        <v>116</v>
      </c>
      <c r="G171" s="27">
        <f>G172</f>
        <v>83300</v>
      </c>
      <c r="H171" s="27">
        <f t="shared" si="124"/>
        <v>74970</v>
      </c>
      <c r="I171" s="27">
        <f t="shared" si="124"/>
        <v>74970</v>
      </c>
      <c r="J171" s="16">
        <f>'БА в тыс. руб.'!G171*1000</f>
        <v>83300</v>
      </c>
      <c r="K171" s="169">
        <f t="shared" si="99"/>
        <v>0</v>
      </c>
      <c r="L171" s="16">
        <f>'БА в тыс. руб.'!H171*1000</f>
        <v>74970</v>
      </c>
      <c r="M171" s="169">
        <f t="shared" si="100"/>
        <v>0</v>
      </c>
      <c r="N171" s="16">
        <f>'БА в тыс. руб.'!I171*1000</f>
        <v>74970</v>
      </c>
      <c r="O171" s="169">
        <f t="shared" si="101"/>
        <v>0</v>
      </c>
    </row>
    <row r="172" spans="1:15" s="4" customFormat="1" ht="25.5">
      <c r="A172" s="12" t="s">
        <v>973</v>
      </c>
      <c r="B172" s="108">
        <v>601</v>
      </c>
      <c r="C172" s="35" t="s">
        <v>65</v>
      </c>
      <c r="D172" s="35">
        <v>13</v>
      </c>
      <c r="E172" s="35" t="s">
        <v>776</v>
      </c>
      <c r="F172" s="35" t="s">
        <v>1043</v>
      </c>
      <c r="G172" s="27">
        <f t="shared" ref="G172" si="125">J172</f>
        <v>83300</v>
      </c>
      <c r="H172" s="27">
        <f>L172</f>
        <v>74970</v>
      </c>
      <c r="I172" s="27">
        <f>N172</f>
        <v>74970</v>
      </c>
      <c r="J172" s="16">
        <f>'БА в тыс. руб.'!G172*1000</f>
        <v>83300</v>
      </c>
      <c r="K172" s="169">
        <f t="shared" si="99"/>
        <v>0</v>
      </c>
      <c r="L172" s="16">
        <f>'БА в тыс. руб.'!H172*1000</f>
        <v>74970</v>
      </c>
      <c r="M172" s="169">
        <f t="shared" si="100"/>
        <v>0</v>
      </c>
      <c r="N172" s="16">
        <f>'БА в тыс. руб.'!I172*1000</f>
        <v>74970</v>
      </c>
      <c r="O172" s="169">
        <f t="shared" si="101"/>
        <v>0</v>
      </c>
    </row>
    <row r="173" spans="1:15" s="3" customFormat="1" ht="38.25">
      <c r="A173" s="34" t="s">
        <v>611</v>
      </c>
      <c r="B173" s="108">
        <v>601</v>
      </c>
      <c r="C173" s="35" t="s">
        <v>65</v>
      </c>
      <c r="D173" s="35">
        <v>13</v>
      </c>
      <c r="E173" s="35" t="s">
        <v>252</v>
      </c>
      <c r="F173" s="26" t="s">
        <v>58</v>
      </c>
      <c r="G173" s="27">
        <f>G174</f>
        <v>175000</v>
      </c>
      <c r="H173" s="27">
        <f>H174</f>
        <v>157500</v>
      </c>
      <c r="I173" s="27">
        <f>I174</f>
        <v>157500</v>
      </c>
      <c r="J173" s="16">
        <f>'БА в тыс. руб.'!G173*1000</f>
        <v>175000</v>
      </c>
      <c r="K173" s="169">
        <f t="shared" si="99"/>
        <v>0</v>
      </c>
      <c r="L173" s="16">
        <f>'БА в тыс. руб.'!H173*1000</f>
        <v>157500</v>
      </c>
      <c r="M173" s="169">
        <f t="shared" si="100"/>
        <v>0</v>
      </c>
      <c r="N173" s="16">
        <f>'БА в тыс. руб.'!I173*1000</f>
        <v>157500</v>
      </c>
      <c r="O173" s="169">
        <f t="shared" si="101"/>
        <v>0</v>
      </c>
    </row>
    <row r="174" spans="1:15" s="3" customFormat="1" ht="51">
      <c r="A174" s="34" t="s">
        <v>873</v>
      </c>
      <c r="B174" s="108">
        <v>601</v>
      </c>
      <c r="C174" s="35" t="s">
        <v>65</v>
      </c>
      <c r="D174" s="35">
        <v>13</v>
      </c>
      <c r="E174" s="35" t="s">
        <v>253</v>
      </c>
      <c r="F174" s="26" t="s">
        <v>58</v>
      </c>
      <c r="G174" s="27">
        <f>G175+G177</f>
        <v>175000</v>
      </c>
      <c r="H174" s="27">
        <f>H175+H177</f>
        <v>157500</v>
      </c>
      <c r="I174" s="27">
        <f>I175+I177</f>
        <v>157500</v>
      </c>
      <c r="J174" s="16">
        <f>'БА в тыс. руб.'!G174*1000</f>
        <v>175000</v>
      </c>
      <c r="K174" s="169">
        <f t="shared" si="99"/>
        <v>0</v>
      </c>
      <c r="L174" s="16">
        <f>'БА в тыс. руб.'!H174*1000</f>
        <v>157500</v>
      </c>
      <c r="M174" s="169">
        <f t="shared" si="100"/>
        <v>0</v>
      </c>
      <c r="N174" s="16">
        <f>'БА в тыс. руб.'!I174*1000</f>
        <v>157500</v>
      </c>
      <c r="O174" s="169">
        <f t="shared" si="101"/>
        <v>0</v>
      </c>
    </row>
    <row r="175" spans="1:15" s="3" customFormat="1" ht="25.5">
      <c r="A175" s="11" t="s">
        <v>108</v>
      </c>
      <c r="B175" s="108">
        <v>601</v>
      </c>
      <c r="C175" s="35" t="s">
        <v>65</v>
      </c>
      <c r="D175" s="35">
        <v>13</v>
      </c>
      <c r="E175" s="35" t="s">
        <v>253</v>
      </c>
      <c r="F175" s="26" t="s">
        <v>116</v>
      </c>
      <c r="G175" s="27">
        <f>G176</f>
        <v>105000</v>
      </c>
      <c r="H175" s="27">
        <f t="shared" ref="H175:I175" si="126">H176</f>
        <v>94500</v>
      </c>
      <c r="I175" s="27">
        <f t="shared" si="126"/>
        <v>94500</v>
      </c>
      <c r="J175" s="16">
        <f>'БА в тыс. руб.'!G175*1000</f>
        <v>105000</v>
      </c>
      <c r="K175" s="169">
        <f t="shared" si="99"/>
        <v>0</v>
      </c>
      <c r="L175" s="16">
        <f>'БА в тыс. руб.'!H175*1000</f>
        <v>94500</v>
      </c>
      <c r="M175" s="169">
        <f t="shared" si="100"/>
        <v>0</v>
      </c>
      <c r="N175" s="16">
        <f>'БА в тыс. руб.'!I175*1000</f>
        <v>94500</v>
      </c>
      <c r="O175" s="169">
        <f t="shared" si="101"/>
        <v>0</v>
      </c>
    </row>
    <row r="176" spans="1:15" s="4" customFormat="1" ht="25.5">
      <c r="A176" s="12" t="s">
        <v>973</v>
      </c>
      <c r="B176" s="108">
        <v>601</v>
      </c>
      <c r="C176" s="35" t="s">
        <v>65</v>
      </c>
      <c r="D176" s="35">
        <v>13</v>
      </c>
      <c r="E176" s="35" t="s">
        <v>253</v>
      </c>
      <c r="F176" s="26" t="s">
        <v>1043</v>
      </c>
      <c r="G176" s="27">
        <f t="shared" ref="G176:G177" si="127">J176</f>
        <v>105000</v>
      </c>
      <c r="H176" s="27">
        <f t="shared" ref="H176:H177" si="128">L176</f>
        <v>94500</v>
      </c>
      <c r="I176" s="27">
        <f t="shared" ref="I176:I177" si="129">N176</f>
        <v>94500</v>
      </c>
      <c r="J176" s="16">
        <f>'БА в тыс. руб.'!G176*1000</f>
        <v>105000</v>
      </c>
      <c r="K176" s="169">
        <f t="shared" si="99"/>
        <v>0</v>
      </c>
      <c r="L176" s="16">
        <f>'БА в тыс. руб.'!H176*1000</f>
        <v>94500</v>
      </c>
      <c r="M176" s="169">
        <f t="shared" si="100"/>
        <v>0</v>
      </c>
      <c r="N176" s="16">
        <f>'БА в тыс. руб.'!I176*1000</f>
        <v>94500</v>
      </c>
      <c r="O176" s="169">
        <f t="shared" si="101"/>
        <v>0</v>
      </c>
    </row>
    <row r="177" spans="1:15" s="3" customFormat="1">
      <c r="A177" s="31" t="s">
        <v>91</v>
      </c>
      <c r="B177" s="108">
        <v>601</v>
      </c>
      <c r="C177" s="35" t="s">
        <v>65</v>
      </c>
      <c r="D177" s="35">
        <v>13</v>
      </c>
      <c r="E177" s="35" t="s">
        <v>253</v>
      </c>
      <c r="F177" s="26" t="s">
        <v>100</v>
      </c>
      <c r="G177" s="27">
        <f t="shared" si="127"/>
        <v>70000</v>
      </c>
      <c r="H177" s="27">
        <f t="shared" si="128"/>
        <v>63000</v>
      </c>
      <c r="I177" s="27">
        <f t="shared" si="129"/>
        <v>63000</v>
      </c>
      <c r="J177" s="16">
        <f>'БА в тыс. руб.'!G177*1000</f>
        <v>70000</v>
      </c>
      <c r="K177" s="169">
        <f t="shared" si="99"/>
        <v>0</v>
      </c>
      <c r="L177" s="16">
        <f>'БА в тыс. руб.'!H177*1000</f>
        <v>63000</v>
      </c>
      <c r="M177" s="169">
        <f t="shared" si="100"/>
        <v>0</v>
      </c>
      <c r="N177" s="16">
        <f>'БА в тыс. руб.'!I177*1000</f>
        <v>63000</v>
      </c>
      <c r="O177" s="169">
        <f t="shared" si="101"/>
        <v>0</v>
      </c>
    </row>
    <row r="178" spans="1:15" s="3" customFormat="1" ht="25.5">
      <c r="A178" s="34" t="s">
        <v>615</v>
      </c>
      <c r="B178" s="108">
        <v>601</v>
      </c>
      <c r="C178" s="35" t="s">
        <v>65</v>
      </c>
      <c r="D178" s="35">
        <v>13</v>
      </c>
      <c r="E178" s="35" t="s">
        <v>254</v>
      </c>
      <c r="F178" s="26" t="s">
        <v>58</v>
      </c>
      <c r="G178" s="27">
        <f>G179</f>
        <v>202000</v>
      </c>
      <c r="H178" s="27">
        <f>H179</f>
        <v>181800</v>
      </c>
      <c r="I178" s="27">
        <f>I179</f>
        <v>181800</v>
      </c>
      <c r="J178" s="16">
        <f>'БА в тыс. руб.'!G178*1000</f>
        <v>202000</v>
      </c>
      <c r="K178" s="169">
        <f t="shared" si="99"/>
        <v>0</v>
      </c>
      <c r="L178" s="16">
        <f>'БА в тыс. руб.'!H178*1000</f>
        <v>181800</v>
      </c>
      <c r="M178" s="169">
        <f t="shared" si="100"/>
        <v>0</v>
      </c>
      <c r="N178" s="16">
        <f>'БА в тыс. руб.'!I178*1000</f>
        <v>181800</v>
      </c>
      <c r="O178" s="169">
        <f t="shared" si="101"/>
        <v>0</v>
      </c>
    </row>
    <row r="179" spans="1:15" s="3" customFormat="1" ht="51">
      <c r="A179" s="34" t="s">
        <v>873</v>
      </c>
      <c r="B179" s="108">
        <v>601</v>
      </c>
      <c r="C179" s="35" t="s">
        <v>65</v>
      </c>
      <c r="D179" s="35">
        <v>13</v>
      </c>
      <c r="E179" s="35" t="s">
        <v>255</v>
      </c>
      <c r="F179" s="26" t="s">
        <v>58</v>
      </c>
      <c r="G179" s="27">
        <f>G180+G182</f>
        <v>202000</v>
      </c>
      <c r="H179" s="27">
        <f>H180+H182</f>
        <v>181800</v>
      </c>
      <c r="I179" s="27">
        <f>I180+I182</f>
        <v>181800</v>
      </c>
      <c r="J179" s="16">
        <f>'БА в тыс. руб.'!G179*1000</f>
        <v>202000</v>
      </c>
      <c r="K179" s="169">
        <f t="shared" si="99"/>
        <v>0</v>
      </c>
      <c r="L179" s="16">
        <f>'БА в тыс. руб.'!H179*1000</f>
        <v>181800</v>
      </c>
      <c r="M179" s="169">
        <f t="shared" si="100"/>
        <v>0</v>
      </c>
      <c r="N179" s="16">
        <f>'БА в тыс. руб.'!I179*1000</f>
        <v>181800</v>
      </c>
      <c r="O179" s="169">
        <f t="shared" si="101"/>
        <v>0</v>
      </c>
    </row>
    <row r="180" spans="1:15" s="3" customFormat="1" ht="25.5">
      <c r="A180" s="11" t="s">
        <v>108</v>
      </c>
      <c r="B180" s="108">
        <v>601</v>
      </c>
      <c r="C180" s="35" t="s">
        <v>65</v>
      </c>
      <c r="D180" s="35">
        <v>13</v>
      </c>
      <c r="E180" s="35" t="s">
        <v>255</v>
      </c>
      <c r="F180" s="26" t="s">
        <v>116</v>
      </c>
      <c r="G180" s="27">
        <f>G181</f>
        <v>140000</v>
      </c>
      <c r="H180" s="27">
        <f t="shared" ref="H180:I180" si="130">H181</f>
        <v>121800</v>
      </c>
      <c r="I180" s="27">
        <f t="shared" si="130"/>
        <v>121800</v>
      </c>
      <c r="J180" s="16">
        <f>'БА в тыс. руб.'!G180*1000</f>
        <v>140000</v>
      </c>
      <c r="K180" s="169">
        <f t="shared" si="99"/>
        <v>0</v>
      </c>
      <c r="L180" s="16">
        <f>'БА в тыс. руб.'!H180*1000</f>
        <v>121800</v>
      </c>
      <c r="M180" s="169">
        <f t="shared" si="100"/>
        <v>0</v>
      </c>
      <c r="N180" s="16">
        <f>'БА в тыс. руб.'!I180*1000</f>
        <v>121800</v>
      </c>
      <c r="O180" s="169">
        <f t="shared" si="101"/>
        <v>0</v>
      </c>
    </row>
    <row r="181" spans="1:15" s="4" customFormat="1" ht="25.5">
      <c r="A181" s="12" t="s">
        <v>973</v>
      </c>
      <c r="B181" s="108">
        <v>601</v>
      </c>
      <c r="C181" s="35" t="s">
        <v>65</v>
      </c>
      <c r="D181" s="35">
        <v>13</v>
      </c>
      <c r="E181" s="35" t="s">
        <v>255</v>
      </c>
      <c r="F181" s="26" t="s">
        <v>1043</v>
      </c>
      <c r="G181" s="27">
        <f t="shared" ref="G181:G182" si="131">J181</f>
        <v>140000</v>
      </c>
      <c r="H181" s="27">
        <f t="shared" ref="H181:H182" si="132">L181</f>
        <v>121800</v>
      </c>
      <c r="I181" s="27">
        <f t="shared" ref="I181:I182" si="133">N181</f>
        <v>121800</v>
      </c>
      <c r="J181" s="16">
        <f>'БА в тыс. руб.'!G181*1000</f>
        <v>140000</v>
      </c>
      <c r="K181" s="169">
        <f t="shared" si="99"/>
        <v>0</v>
      </c>
      <c r="L181" s="16">
        <f>'БА в тыс. руб.'!H181*1000</f>
        <v>121800</v>
      </c>
      <c r="M181" s="169">
        <f t="shared" si="100"/>
        <v>0</v>
      </c>
      <c r="N181" s="16">
        <f>'БА в тыс. руб.'!I181*1000</f>
        <v>121800</v>
      </c>
      <c r="O181" s="169">
        <f t="shared" si="101"/>
        <v>0</v>
      </c>
    </row>
    <row r="182" spans="1:15" s="3" customFormat="1">
      <c r="A182" s="31" t="s">
        <v>91</v>
      </c>
      <c r="B182" s="108">
        <v>601</v>
      </c>
      <c r="C182" s="35" t="s">
        <v>65</v>
      </c>
      <c r="D182" s="35">
        <v>13</v>
      </c>
      <c r="E182" s="35" t="s">
        <v>255</v>
      </c>
      <c r="F182" s="26" t="s">
        <v>100</v>
      </c>
      <c r="G182" s="27">
        <f t="shared" si="131"/>
        <v>62000</v>
      </c>
      <c r="H182" s="27">
        <f t="shared" si="132"/>
        <v>60000</v>
      </c>
      <c r="I182" s="27">
        <f t="shared" si="133"/>
        <v>60000</v>
      </c>
      <c r="J182" s="16">
        <f>'БА в тыс. руб.'!G182*1000</f>
        <v>62000</v>
      </c>
      <c r="K182" s="169">
        <f t="shared" si="99"/>
        <v>0</v>
      </c>
      <c r="L182" s="16">
        <f>'БА в тыс. руб.'!H182*1000</f>
        <v>60000</v>
      </c>
      <c r="M182" s="169">
        <f t="shared" si="100"/>
        <v>0</v>
      </c>
      <c r="N182" s="16">
        <f>'БА в тыс. руб.'!I182*1000</f>
        <v>60000</v>
      </c>
      <c r="O182" s="169">
        <f t="shared" si="101"/>
        <v>0</v>
      </c>
    </row>
    <row r="183" spans="1:15" s="3" customFormat="1" ht="25.5">
      <c r="A183" s="11" t="s">
        <v>755</v>
      </c>
      <c r="B183" s="108">
        <v>601</v>
      </c>
      <c r="C183" s="35" t="s">
        <v>65</v>
      </c>
      <c r="D183" s="35">
        <v>13</v>
      </c>
      <c r="E183" s="35" t="s">
        <v>256</v>
      </c>
      <c r="F183" s="26" t="s">
        <v>58</v>
      </c>
      <c r="G183" s="27">
        <f t="shared" ref="G183:I185" si="134">G184</f>
        <v>278800</v>
      </c>
      <c r="H183" s="27">
        <f t="shared" si="134"/>
        <v>250920</v>
      </c>
      <c r="I183" s="27">
        <f t="shared" si="134"/>
        <v>250920</v>
      </c>
      <c r="J183" s="16">
        <f>'БА в тыс. руб.'!G183*1000</f>
        <v>278800</v>
      </c>
      <c r="K183" s="169">
        <f t="shared" si="99"/>
        <v>0</v>
      </c>
      <c r="L183" s="16">
        <f>'БА в тыс. руб.'!H183*1000</f>
        <v>250920</v>
      </c>
      <c r="M183" s="169">
        <f t="shared" si="100"/>
        <v>0</v>
      </c>
      <c r="N183" s="16">
        <f>'БА в тыс. руб.'!I183*1000</f>
        <v>250920</v>
      </c>
      <c r="O183" s="169">
        <f t="shared" si="101"/>
        <v>0</v>
      </c>
    </row>
    <row r="184" spans="1:15" s="3" customFormat="1" ht="25.5">
      <c r="A184" s="11" t="s">
        <v>679</v>
      </c>
      <c r="B184" s="108">
        <v>601</v>
      </c>
      <c r="C184" s="35" t="s">
        <v>65</v>
      </c>
      <c r="D184" s="35">
        <v>13</v>
      </c>
      <c r="E184" s="35" t="s">
        <v>257</v>
      </c>
      <c r="F184" s="26" t="s">
        <v>58</v>
      </c>
      <c r="G184" s="27">
        <f t="shared" si="134"/>
        <v>278800</v>
      </c>
      <c r="H184" s="27">
        <f t="shared" si="134"/>
        <v>250920</v>
      </c>
      <c r="I184" s="27">
        <f t="shared" si="134"/>
        <v>250920</v>
      </c>
      <c r="J184" s="16">
        <f>'БА в тыс. руб.'!G184*1000</f>
        <v>278800</v>
      </c>
      <c r="K184" s="169">
        <f t="shared" si="99"/>
        <v>0</v>
      </c>
      <c r="L184" s="16">
        <f>'БА в тыс. руб.'!H184*1000</f>
        <v>250920</v>
      </c>
      <c r="M184" s="169">
        <f t="shared" si="100"/>
        <v>0</v>
      </c>
      <c r="N184" s="16">
        <f>'БА в тыс. руб.'!I184*1000</f>
        <v>250920</v>
      </c>
      <c r="O184" s="169">
        <f t="shared" si="101"/>
        <v>0</v>
      </c>
    </row>
    <row r="185" spans="1:15" s="3" customFormat="1" ht="38.25">
      <c r="A185" s="11" t="s">
        <v>678</v>
      </c>
      <c r="B185" s="108">
        <v>601</v>
      </c>
      <c r="C185" s="35" t="s">
        <v>65</v>
      </c>
      <c r="D185" s="35">
        <v>13</v>
      </c>
      <c r="E185" s="35" t="s">
        <v>258</v>
      </c>
      <c r="F185" s="26" t="s">
        <v>58</v>
      </c>
      <c r="G185" s="27">
        <f t="shared" si="134"/>
        <v>278800</v>
      </c>
      <c r="H185" s="27">
        <f t="shared" si="134"/>
        <v>250920</v>
      </c>
      <c r="I185" s="27">
        <f t="shared" si="134"/>
        <v>250920</v>
      </c>
      <c r="J185" s="16">
        <f>'БА в тыс. руб.'!G185*1000</f>
        <v>278800</v>
      </c>
      <c r="K185" s="169">
        <f t="shared" si="99"/>
        <v>0</v>
      </c>
      <c r="L185" s="16">
        <f>'БА в тыс. руб.'!H185*1000</f>
        <v>250920</v>
      </c>
      <c r="M185" s="169">
        <f t="shared" si="100"/>
        <v>0</v>
      </c>
      <c r="N185" s="16">
        <f>'БА в тыс. руб.'!I185*1000</f>
        <v>250920</v>
      </c>
      <c r="O185" s="169">
        <f t="shared" si="101"/>
        <v>0</v>
      </c>
    </row>
    <row r="186" spans="1:15" s="3" customFormat="1">
      <c r="A186" s="31" t="s">
        <v>91</v>
      </c>
      <c r="B186" s="108">
        <v>601</v>
      </c>
      <c r="C186" s="35" t="s">
        <v>65</v>
      </c>
      <c r="D186" s="35">
        <v>13</v>
      </c>
      <c r="E186" s="35" t="s">
        <v>258</v>
      </c>
      <c r="F186" s="26" t="s">
        <v>100</v>
      </c>
      <c r="G186" s="27">
        <f t="shared" ref="G186" si="135">J186</f>
        <v>278800</v>
      </c>
      <c r="H186" s="27">
        <f>L186</f>
        <v>250920</v>
      </c>
      <c r="I186" s="27">
        <f>N186</f>
        <v>250920</v>
      </c>
      <c r="J186" s="16">
        <f>'БА в тыс. руб.'!G186*1000</f>
        <v>278800</v>
      </c>
      <c r="K186" s="169">
        <f t="shared" si="99"/>
        <v>0</v>
      </c>
      <c r="L186" s="16">
        <f>'БА в тыс. руб.'!H186*1000</f>
        <v>250920</v>
      </c>
      <c r="M186" s="169">
        <f t="shared" si="100"/>
        <v>0</v>
      </c>
      <c r="N186" s="16">
        <f>'БА в тыс. руб.'!I186*1000</f>
        <v>250920</v>
      </c>
      <c r="O186" s="169">
        <f t="shared" si="101"/>
        <v>0</v>
      </c>
    </row>
    <row r="187" spans="1:15" s="3" customFormat="1" ht="25.5">
      <c r="A187" s="11" t="s">
        <v>759</v>
      </c>
      <c r="B187" s="25" t="s">
        <v>55</v>
      </c>
      <c r="C187" s="26" t="s">
        <v>65</v>
      </c>
      <c r="D187" s="26" t="s">
        <v>84</v>
      </c>
      <c r="E187" s="26" t="s">
        <v>259</v>
      </c>
      <c r="F187" s="26" t="s">
        <v>58</v>
      </c>
      <c r="G187" s="27">
        <f t="shared" ref="G187:I191" si="136">G188</f>
        <v>2292500</v>
      </c>
      <c r="H187" s="27">
        <f t="shared" si="136"/>
        <v>2292500</v>
      </c>
      <c r="I187" s="27">
        <f t="shared" si="136"/>
        <v>2292500</v>
      </c>
      <c r="J187" s="16">
        <f>'БА в тыс. руб.'!G187*1000</f>
        <v>2292500</v>
      </c>
      <c r="K187" s="169">
        <f t="shared" si="99"/>
        <v>0</v>
      </c>
      <c r="L187" s="16">
        <f>'БА в тыс. руб.'!H187*1000</f>
        <v>2292500</v>
      </c>
      <c r="M187" s="169">
        <f t="shared" si="100"/>
        <v>0</v>
      </c>
      <c r="N187" s="16">
        <f>'БА в тыс. руб.'!I187*1000</f>
        <v>2292500</v>
      </c>
      <c r="O187" s="169">
        <f t="shared" si="101"/>
        <v>0</v>
      </c>
    </row>
    <row r="188" spans="1:15" s="3" customFormat="1" ht="25.5">
      <c r="A188" s="11" t="s">
        <v>760</v>
      </c>
      <c r="B188" s="25" t="s">
        <v>55</v>
      </c>
      <c r="C188" s="26" t="s">
        <v>65</v>
      </c>
      <c r="D188" s="26" t="s">
        <v>84</v>
      </c>
      <c r="E188" s="26" t="s">
        <v>260</v>
      </c>
      <c r="F188" s="26" t="s">
        <v>58</v>
      </c>
      <c r="G188" s="27">
        <f t="shared" si="136"/>
        <v>2292500</v>
      </c>
      <c r="H188" s="27">
        <f t="shared" si="136"/>
        <v>2292500</v>
      </c>
      <c r="I188" s="27">
        <f t="shared" si="136"/>
        <v>2292500</v>
      </c>
      <c r="J188" s="16">
        <f>'БА в тыс. руб.'!G188*1000</f>
        <v>2292500</v>
      </c>
      <c r="K188" s="169">
        <f t="shared" si="99"/>
        <v>0</v>
      </c>
      <c r="L188" s="16">
        <f>'БА в тыс. руб.'!H188*1000</f>
        <v>2292500</v>
      </c>
      <c r="M188" s="169">
        <f t="shared" si="100"/>
        <v>0</v>
      </c>
      <c r="N188" s="16">
        <f>'БА в тыс. руб.'!I188*1000</f>
        <v>2292500</v>
      </c>
      <c r="O188" s="169">
        <f t="shared" si="101"/>
        <v>0</v>
      </c>
    </row>
    <row r="189" spans="1:15" s="3" customFormat="1" ht="51">
      <c r="A189" s="34" t="s">
        <v>261</v>
      </c>
      <c r="B189" s="25" t="s">
        <v>55</v>
      </c>
      <c r="C189" s="26" t="s">
        <v>65</v>
      </c>
      <c r="D189" s="26" t="s">
        <v>84</v>
      </c>
      <c r="E189" s="26" t="s">
        <v>262</v>
      </c>
      <c r="F189" s="26" t="s">
        <v>58</v>
      </c>
      <c r="G189" s="27">
        <f t="shared" si="136"/>
        <v>2292500</v>
      </c>
      <c r="H189" s="27">
        <f t="shared" si="136"/>
        <v>2292500</v>
      </c>
      <c r="I189" s="27">
        <f t="shared" si="136"/>
        <v>2292500</v>
      </c>
      <c r="J189" s="16">
        <f>'БА в тыс. руб.'!G189*1000</f>
        <v>2292500</v>
      </c>
      <c r="K189" s="169">
        <f t="shared" si="99"/>
        <v>0</v>
      </c>
      <c r="L189" s="16">
        <f>'БА в тыс. руб.'!H189*1000</f>
        <v>2292500</v>
      </c>
      <c r="M189" s="169">
        <f t="shared" si="100"/>
        <v>0</v>
      </c>
      <c r="N189" s="16">
        <f>'БА в тыс. руб.'!I189*1000</f>
        <v>2292500</v>
      </c>
      <c r="O189" s="169">
        <f t="shared" si="101"/>
        <v>0</v>
      </c>
    </row>
    <row r="190" spans="1:15" s="3" customFormat="1" ht="89.25">
      <c r="A190" s="11" t="s">
        <v>677</v>
      </c>
      <c r="B190" s="25" t="s">
        <v>55</v>
      </c>
      <c r="C190" s="26" t="s">
        <v>65</v>
      </c>
      <c r="D190" s="26" t="s">
        <v>84</v>
      </c>
      <c r="E190" s="26" t="s">
        <v>263</v>
      </c>
      <c r="F190" s="26" t="s">
        <v>58</v>
      </c>
      <c r="G190" s="27">
        <f t="shared" si="136"/>
        <v>2292500</v>
      </c>
      <c r="H190" s="27">
        <f t="shared" si="136"/>
        <v>2292500</v>
      </c>
      <c r="I190" s="27">
        <f t="shared" si="136"/>
        <v>2292500</v>
      </c>
      <c r="J190" s="16">
        <f>'БА в тыс. руб.'!G190*1000</f>
        <v>2292500</v>
      </c>
      <c r="K190" s="169">
        <f t="shared" si="99"/>
        <v>0</v>
      </c>
      <c r="L190" s="16">
        <f>'БА в тыс. руб.'!H190*1000</f>
        <v>2292500</v>
      </c>
      <c r="M190" s="169">
        <f t="shared" si="100"/>
        <v>0</v>
      </c>
      <c r="N190" s="16">
        <f>'БА в тыс. руб.'!I190*1000</f>
        <v>2292500</v>
      </c>
      <c r="O190" s="169">
        <f t="shared" si="101"/>
        <v>0</v>
      </c>
    </row>
    <row r="191" spans="1:15" s="3" customFormat="1" ht="25.5">
      <c r="A191" s="11" t="s">
        <v>111</v>
      </c>
      <c r="B191" s="25" t="s">
        <v>55</v>
      </c>
      <c r="C191" s="26" t="s">
        <v>65</v>
      </c>
      <c r="D191" s="26" t="s">
        <v>84</v>
      </c>
      <c r="E191" s="26" t="s">
        <v>263</v>
      </c>
      <c r="F191" s="26" t="s">
        <v>104</v>
      </c>
      <c r="G191" s="27">
        <f>G192</f>
        <v>2292500</v>
      </c>
      <c r="H191" s="27">
        <f t="shared" si="136"/>
        <v>2292500</v>
      </c>
      <c r="I191" s="27">
        <f t="shared" si="136"/>
        <v>2292500</v>
      </c>
      <c r="J191" s="16">
        <f>'БА в тыс. руб.'!G191*1000</f>
        <v>2292500</v>
      </c>
      <c r="K191" s="169">
        <f t="shared" si="99"/>
        <v>0</v>
      </c>
      <c r="L191" s="16">
        <f>'БА в тыс. руб.'!H191*1000</f>
        <v>2292500</v>
      </c>
      <c r="M191" s="169">
        <f t="shared" si="100"/>
        <v>0</v>
      </c>
      <c r="N191" s="16">
        <f>'БА в тыс. руб.'!I191*1000</f>
        <v>2292500</v>
      </c>
      <c r="O191" s="169">
        <f t="shared" si="101"/>
        <v>0</v>
      </c>
    </row>
    <row r="192" spans="1:15" s="4" customFormat="1" ht="76.5">
      <c r="A192" s="12" t="s">
        <v>1048</v>
      </c>
      <c r="B192" s="25" t="s">
        <v>55</v>
      </c>
      <c r="C192" s="26" t="s">
        <v>65</v>
      </c>
      <c r="D192" s="26" t="s">
        <v>84</v>
      </c>
      <c r="E192" s="26" t="s">
        <v>263</v>
      </c>
      <c r="F192" s="26" t="s">
        <v>1055</v>
      </c>
      <c r="G192" s="27">
        <f t="shared" ref="G192" si="137">J192</f>
        <v>2292500</v>
      </c>
      <c r="H192" s="27">
        <f>L192</f>
        <v>2292500</v>
      </c>
      <c r="I192" s="27">
        <f>N192</f>
        <v>2292500</v>
      </c>
      <c r="J192" s="16">
        <f>'БА в тыс. руб.'!G192*1000</f>
        <v>2292500</v>
      </c>
      <c r="K192" s="169">
        <f t="shared" si="99"/>
        <v>0</v>
      </c>
      <c r="L192" s="16">
        <f>'БА в тыс. руб.'!H192*1000</f>
        <v>2292500</v>
      </c>
      <c r="M192" s="169">
        <f t="shared" si="100"/>
        <v>0</v>
      </c>
      <c r="N192" s="16">
        <f>'БА в тыс. руб.'!I192*1000</f>
        <v>2292500</v>
      </c>
      <c r="O192" s="169">
        <f t="shared" si="101"/>
        <v>0</v>
      </c>
    </row>
    <row r="193" spans="1:15" s="3" customFormat="1">
      <c r="A193" s="34" t="s">
        <v>112</v>
      </c>
      <c r="B193" s="35" t="s">
        <v>55</v>
      </c>
      <c r="C193" s="36" t="s">
        <v>65</v>
      </c>
      <c r="D193" s="36" t="s">
        <v>84</v>
      </c>
      <c r="E193" s="36" t="s">
        <v>206</v>
      </c>
      <c r="F193" s="36" t="s">
        <v>58</v>
      </c>
      <c r="G193" s="27">
        <f>G194</f>
        <v>34270650</v>
      </c>
      <c r="H193" s="27">
        <f>H194</f>
        <v>32138510</v>
      </c>
      <c r="I193" s="27">
        <f>I194</f>
        <v>32138510</v>
      </c>
      <c r="J193" s="16">
        <f>'БА в тыс. руб.'!G193*1000</f>
        <v>34270649.999999993</v>
      </c>
      <c r="K193" s="169">
        <f t="shared" si="99"/>
        <v>0</v>
      </c>
      <c r="L193" s="16">
        <f>'БА в тыс. руб.'!H193*1000</f>
        <v>32138510</v>
      </c>
      <c r="M193" s="169">
        <f t="shared" si="100"/>
        <v>0</v>
      </c>
      <c r="N193" s="16">
        <f>'БА в тыс. руб.'!I193*1000</f>
        <v>32138510</v>
      </c>
      <c r="O193" s="169">
        <f t="shared" si="101"/>
        <v>0</v>
      </c>
    </row>
    <row r="194" spans="1:15" s="3" customFormat="1" ht="25.5">
      <c r="A194" s="34" t="s">
        <v>113</v>
      </c>
      <c r="B194" s="35" t="s">
        <v>55</v>
      </c>
      <c r="C194" s="36" t="s">
        <v>65</v>
      </c>
      <c r="D194" s="36" t="s">
        <v>84</v>
      </c>
      <c r="E194" s="36" t="s">
        <v>207</v>
      </c>
      <c r="F194" s="36" t="s">
        <v>58</v>
      </c>
      <c r="G194" s="27">
        <f>G195</f>
        <v>34270650</v>
      </c>
      <c r="H194" s="27">
        <f t="shared" ref="H194:I194" si="138">H195</f>
        <v>32138510</v>
      </c>
      <c r="I194" s="27">
        <f t="shared" si="138"/>
        <v>32138510</v>
      </c>
      <c r="J194" s="16">
        <f>'БА в тыс. руб.'!G194*1000</f>
        <v>34270649.999999993</v>
      </c>
      <c r="K194" s="169">
        <f t="shared" si="99"/>
        <v>0</v>
      </c>
      <c r="L194" s="16">
        <f>'БА в тыс. руб.'!H194*1000</f>
        <v>32138510</v>
      </c>
      <c r="M194" s="169">
        <f t="shared" si="100"/>
        <v>0</v>
      </c>
      <c r="N194" s="16">
        <f>'БА в тыс. руб.'!I194*1000</f>
        <v>32138510</v>
      </c>
      <c r="O194" s="169">
        <f t="shared" si="101"/>
        <v>0</v>
      </c>
    </row>
    <row r="195" spans="1:15" s="3" customFormat="1" ht="25.5">
      <c r="A195" s="34" t="s">
        <v>247</v>
      </c>
      <c r="B195" s="35" t="s">
        <v>55</v>
      </c>
      <c r="C195" s="36" t="s">
        <v>65</v>
      </c>
      <c r="D195" s="36" t="s">
        <v>84</v>
      </c>
      <c r="E195" s="36" t="s">
        <v>264</v>
      </c>
      <c r="F195" s="36" t="s">
        <v>58</v>
      </c>
      <c r="G195" s="37">
        <f>G196+G200+G202</f>
        <v>34270650</v>
      </c>
      <c r="H195" s="37">
        <f t="shared" ref="H195:I195" si="139">H196+H200+H202</f>
        <v>32138510</v>
      </c>
      <c r="I195" s="37">
        <f t="shared" si="139"/>
        <v>32138510</v>
      </c>
      <c r="J195" s="16">
        <f>'БА в тыс. руб.'!G195*1000</f>
        <v>34270649.999999993</v>
      </c>
      <c r="K195" s="169">
        <f t="shared" si="99"/>
        <v>0</v>
      </c>
      <c r="L195" s="16">
        <f>'БА в тыс. руб.'!H195*1000</f>
        <v>32138510</v>
      </c>
      <c r="M195" s="169">
        <f t="shared" si="100"/>
        <v>0</v>
      </c>
      <c r="N195" s="16">
        <f>'БА в тыс. руб.'!I195*1000</f>
        <v>32138510</v>
      </c>
      <c r="O195" s="169">
        <f t="shared" si="101"/>
        <v>0</v>
      </c>
    </row>
    <row r="196" spans="1:15" s="3" customFormat="1">
      <c r="A196" s="13" t="s">
        <v>106</v>
      </c>
      <c r="B196" s="35" t="s">
        <v>55</v>
      </c>
      <c r="C196" s="36" t="s">
        <v>65</v>
      </c>
      <c r="D196" s="36" t="s">
        <v>84</v>
      </c>
      <c r="E196" s="36" t="s">
        <v>264</v>
      </c>
      <c r="F196" s="36" t="s">
        <v>121</v>
      </c>
      <c r="G196" s="27">
        <f>SUM(G197:G199)</f>
        <v>12661960</v>
      </c>
      <c r="H196" s="27">
        <f t="shared" ref="H196:I196" si="140">SUM(H197:H199)</f>
        <v>12661960</v>
      </c>
      <c r="I196" s="27">
        <f t="shared" si="140"/>
        <v>12661960</v>
      </c>
      <c r="J196" s="16">
        <f>'БА в тыс. руб.'!G196*1000</f>
        <v>12661960</v>
      </c>
      <c r="K196" s="169">
        <f t="shared" si="99"/>
        <v>0</v>
      </c>
      <c r="L196" s="16">
        <f>'БА в тыс. руб.'!H196*1000</f>
        <v>12661960</v>
      </c>
      <c r="M196" s="169">
        <f t="shared" si="100"/>
        <v>0</v>
      </c>
      <c r="N196" s="16">
        <f>'БА в тыс. руб.'!I196*1000</f>
        <v>12661960</v>
      </c>
      <c r="O196" s="169">
        <f t="shared" si="101"/>
        <v>0</v>
      </c>
    </row>
    <row r="197" spans="1:15" s="4" customFormat="1">
      <c r="A197" s="12" t="s">
        <v>932</v>
      </c>
      <c r="B197" s="35" t="s">
        <v>55</v>
      </c>
      <c r="C197" s="36" t="s">
        <v>65</v>
      </c>
      <c r="D197" s="36" t="s">
        <v>84</v>
      </c>
      <c r="E197" s="36" t="s">
        <v>264</v>
      </c>
      <c r="F197" s="26" t="s">
        <v>1056</v>
      </c>
      <c r="G197" s="27">
        <f t="shared" ref="G197:G199" si="141">J197</f>
        <v>9739070</v>
      </c>
      <c r="H197" s="27">
        <f t="shared" ref="H197:H199" si="142">L197</f>
        <v>9739070</v>
      </c>
      <c r="I197" s="27">
        <f t="shared" ref="I197:I199" si="143">N197</f>
        <v>9739070</v>
      </c>
      <c r="J197" s="16">
        <f>'БА в тыс. руб.'!G197*1000</f>
        <v>9739070</v>
      </c>
      <c r="K197" s="169">
        <f t="shared" si="99"/>
        <v>0</v>
      </c>
      <c r="L197" s="16">
        <f>'БА в тыс. руб.'!H197*1000</f>
        <v>9739070</v>
      </c>
      <c r="M197" s="169">
        <f t="shared" si="100"/>
        <v>0</v>
      </c>
      <c r="N197" s="16">
        <f>'БА в тыс. руб.'!I197*1000</f>
        <v>9739070</v>
      </c>
      <c r="O197" s="169">
        <f t="shared" si="101"/>
        <v>0</v>
      </c>
    </row>
    <row r="198" spans="1:15" s="4" customFormat="1" ht="25.5">
      <c r="A198" s="12" t="s">
        <v>933</v>
      </c>
      <c r="B198" s="35" t="s">
        <v>55</v>
      </c>
      <c r="C198" s="36" t="s">
        <v>65</v>
      </c>
      <c r="D198" s="36" t="s">
        <v>84</v>
      </c>
      <c r="E198" s="36" t="s">
        <v>264</v>
      </c>
      <c r="F198" s="26" t="s">
        <v>1069</v>
      </c>
      <c r="G198" s="27">
        <f t="shared" si="141"/>
        <v>55000</v>
      </c>
      <c r="H198" s="27">
        <f t="shared" si="142"/>
        <v>55000</v>
      </c>
      <c r="I198" s="27">
        <f t="shared" si="143"/>
        <v>55000</v>
      </c>
      <c r="J198" s="16">
        <f>'БА в тыс. руб.'!G198*1000</f>
        <v>55000</v>
      </c>
      <c r="K198" s="169">
        <f t="shared" ref="K198:K263" si="144">J198-G198</f>
        <v>0</v>
      </c>
      <c r="L198" s="16">
        <f>'БА в тыс. руб.'!H198*1000</f>
        <v>55000</v>
      </c>
      <c r="M198" s="169">
        <f t="shared" ref="M198:M263" si="145">L198-H198</f>
        <v>0</v>
      </c>
      <c r="N198" s="16">
        <f>'БА в тыс. руб.'!I198*1000</f>
        <v>55000</v>
      </c>
      <c r="O198" s="169">
        <f t="shared" ref="O198:O263" si="146">N198-I198</f>
        <v>0</v>
      </c>
    </row>
    <row r="199" spans="1:15" s="4" customFormat="1" ht="38.25">
      <c r="A199" s="12" t="s">
        <v>935</v>
      </c>
      <c r="B199" s="35" t="s">
        <v>55</v>
      </c>
      <c r="C199" s="36" t="s">
        <v>65</v>
      </c>
      <c r="D199" s="36" t="s">
        <v>84</v>
      </c>
      <c r="E199" s="36" t="s">
        <v>264</v>
      </c>
      <c r="F199" s="26" t="s">
        <v>1057</v>
      </c>
      <c r="G199" s="27">
        <f t="shared" si="141"/>
        <v>2867890</v>
      </c>
      <c r="H199" s="27">
        <f t="shared" si="142"/>
        <v>2867890</v>
      </c>
      <c r="I199" s="27">
        <f t="shared" si="143"/>
        <v>2867890</v>
      </c>
      <c r="J199" s="16">
        <f>'БА в тыс. руб.'!G199*1000</f>
        <v>2867890</v>
      </c>
      <c r="K199" s="169"/>
      <c r="L199" s="16">
        <f>'БА в тыс. руб.'!H199*1000</f>
        <v>2867890</v>
      </c>
      <c r="M199" s="169"/>
      <c r="N199" s="16">
        <f>'БА в тыс. руб.'!I199*1000</f>
        <v>2867890</v>
      </c>
      <c r="O199" s="169"/>
    </row>
    <row r="200" spans="1:15" s="3" customFormat="1" ht="25.5">
      <c r="A200" s="11" t="s">
        <v>108</v>
      </c>
      <c r="B200" s="35" t="s">
        <v>55</v>
      </c>
      <c r="C200" s="36" t="s">
        <v>65</v>
      </c>
      <c r="D200" s="36" t="s">
        <v>84</v>
      </c>
      <c r="E200" s="36" t="s">
        <v>264</v>
      </c>
      <c r="F200" s="36" t="s">
        <v>116</v>
      </c>
      <c r="G200" s="27">
        <f>G201</f>
        <v>21214160</v>
      </c>
      <c r="H200" s="27">
        <f t="shared" ref="H200:I200" si="147">H201</f>
        <v>19082020</v>
      </c>
      <c r="I200" s="27">
        <f t="shared" si="147"/>
        <v>19082020</v>
      </c>
      <c r="J200" s="16">
        <f>'БА в тыс. руб.'!G200*1000</f>
        <v>21214160</v>
      </c>
      <c r="K200" s="169">
        <f t="shared" si="144"/>
        <v>0</v>
      </c>
      <c r="L200" s="16">
        <f>'БА в тыс. руб.'!H200*1000</f>
        <v>19082020</v>
      </c>
      <c r="M200" s="169">
        <f t="shared" si="145"/>
        <v>0</v>
      </c>
      <c r="N200" s="16">
        <f>'БА в тыс. руб.'!I200*1000</f>
        <v>19082020</v>
      </c>
      <c r="O200" s="169">
        <f t="shared" si="146"/>
        <v>0</v>
      </c>
    </row>
    <row r="201" spans="1:15" s="4" customFormat="1" ht="25.5">
      <c r="A201" s="12" t="s">
        <v>973</v>
      </c>
      <c r="B201" s="35" t="s">
        <v>55</v>
      </c>
      <c r="C201" s="36" t="s">
        <v>65</v>
      </c>
      <c r="D201" s="36" t="s">
        <v>84</v>
      </c>
      <c r="E201" s="36" t="s">
        <v>264</v>
      </c>
      <c r="F201" s="36" t="s">
        <v>1043</v>
      </c>
      <c r="G201" s="27">
        <f t="shared" ref="G201" si="148">J201</f>
        <v>21214160</v>
      </c>
      <c r="H201" s="27">
        <f>L201</f>
        <v>19082020</v>
      </c>
      <c r="I201" s="27">
        <f>N201</f>
        <v>19082020</v>
      </c>
      <c r="J201" s="16">
        <f>'БА в тыс. руб.'!G201*1000</f>
        <v>21214160</v>
      </c>
      <c r="K201" s="169">
        <f t="shared" si="144"/>
        <v>0</v>
      </c>
      <c r="L201" s="16">
        <f>'БА в тыс. руб.'!H201*1000</f>
        <v>19082020</v>
      </c>
      <c r="M201" s="169">
        <f t="shared" si="145"/>
        <v>0</v>
      </c>
      <c r="N201" s="16">
        <f>'БА в тыс. руб.'!I201*1000</f>
        <v>19082020</v>
      </c>
      <c r="O201" s="169">
        <f t="shared" si="146"/>
        <v>0</v>
      </c>
    </row>
    <row r="202" spans="1:15" s="3" customFormat="1">
      <c r="A202" s="11" t="s">
        <v>97</v>
      </c>
      <c r="B202" s="25" t="s">
        <v>55</v>
      </c>
      <c r="C202" s="26" t="s">
        <v>65</v>
      </c>
      <c r="D202" s="26" t="s">
        <v>84</v>
      </c>
      <c r="E202" s="26" t="s">
        <v>264</v>
      </c>
      <c r="F202" s="26" t="s">
        <v>118</v>
      </c>
      <c r="G202" s="27">
        <f>SUM(G203:G205)</f>
        <v>394530</v>
      </c>
      <c r="H202" s="27">
        <f t="shared" ref="H202:I202" si="149">SUM(H203:H205)</f>
        <v>394530</v>
      </c>
      <c r="I202" s="27">
        <f t="shared" si="149"/>
        <v>394530</v>
      </c>
      <c r="J202" s="16">
        <f>'БА в тыс. руб.'!G202*1000</f>
        <v>394530</v>
      </c>
      <c r="K202" s="169">
        <f t="shared" si="144"/>
        <v>0</v>
      </c>
      <c r="L202" s="16">
        <f>'БА в тыс. руб.'!H202*1000</f>
        <v>394530</v>
      </c>
      <c r="M202" s="169">
        <f t="shared" si="145"/>
        <v>0</v>
      </c>
      <c r="N202" s="16">
        <f>'БА в тыс. руб.'!I202*1000</f>
        <v>394530</v>
      </c>
      <c r="O202" s="169">
        <f t="shared" si="146"/>
        <v>0</v>
      </c>
    </row>
    <row r="203" spans="1:15" s="3" customFormat="1">
      <c r="A203" s="11" t="s">
        <v>1036</v>
      </c>
      <c r="B203" s="25" t="s">
        <v>55</v>
      </c>
      <c r="C203" s="26" t="s">
        <v>65</v>
      </c>
      <c r="D203" s="26" t="s">
        <v>84</v>
      </c>
      <c r="E203" s="26" t="s">
        <v>264</v>
      </c>
      <c r="F203" s="26" t="s">
        <v>1061</v>
      </c>
      <c r="G203" s="27">
        <f t="shared" ref="G203:G205" si="150">J203</f>
        <v>200000</v>
      </c>
      <c r="H203" s="27">
        <f t="shared" ref="H203:H205" si="151">L203</f>
        <v>200000</v>
      </c>
      <c r="I203" s="27">
        <f t="shared" ref="I203:I205" si="152">N203</f>
        <v>200000</v>
      </c>
      <c r="J203" s="16">
        <f>'БА в тыс. руб.'!G203*1000</f>
        <v>200000</v>
      </c>
      <c r="K203" s="169">
        <f t="shared" si="144"/>
        <v>0</v>
      </c>
      <c r="L203" s="16">
        <f>'БА в тыс. руб.'!H203*1000</f>
        <v>200000</v>
      </c>
      <c r="M203" s="169">
        <f t="shared" si="145"/>
        <v>0</v>
      </c>
      <c r="N203" s="16">
        <f>'БА в тыс. руб.'!I203*1000</f>
        <v>200000</v>
      </c>
      <c r="O203" s="169">
        <f t="shared" si="146"/>
        <v>0</v>
      </c>
    </row>
    <row r="204" spans="1:15" s="3" customFormat="1">
      <c r="A204" s="11" t="s">
        <v>1037</v>
      </c>
      <c r="B204" s="25" t="s">
        <v>55</v>
      </c>
      <c r="C204" s="26" t="s">
        <v>65</v>
      </c>
      <c r="D204" s="26" t="s">
        <v>84</v>
      </c>
      <c r="E204" s="26" t="s">
        <v>264</v>
      </c>
      <c r="F204" s="26" t="s">
        <v>1062</v>
      </c>
      <c r="G204" s="27">
        <f t="shared" si="150"/>
        <v>192530</v>
      </c>
      <c r="H204" s="27">
        <f t="shared" si="151"/>
        <v>192530</v>
      </c>
      <c r="I204" s="27">
        <f t="shared" si="152"/>
        <v>192530</v>
      </c>
      <c r="J204" s="16">
        <f>'БА в тыс. руб.'!G204*1000</f>
        <v>192530</v>
      </c>
      <c r="K204" s="169">
        <f t="shared" si="144"/>
        <v>0</v>
      </c>
      <c r="L204" s="16">
        <f>'БА в тыс. руб.'!H204*1000</f>
        <v>192530</v>
      </c>
      <c r="M204" s="169">
        <f t="shared" si="145"/>
        <v>0</v>
      </c>
      <c r="N204" s="16">
        <f>'БА в тыс. руб.'!I204*1000</f>
        <v>192530</v>
      </c>
      <c r="O204" s="169">
        <f t="shared" si="146"/>
        <v>0</v>
      </c>
    </row>
    <row r="205" spans="1:15" s="3" customFormat="1">
      <c r="A205" s="11" t="s">
        <v>1038</v>
      </c>
      <c r="B205" s="25" t="s">
        <v>55</v>
      </c>
      <c r="C205" s="26" t="s">
        <v>65</v>
      </c>
      <c r="D205" s="26" t="s">
        <v>84</v>
      </c>
      <c r="E205" s="26" t="s">
        <v>264</v>
      </c>
      <c r="F205" s="26" t="s">
        <v>1066</v>
      </c>
      <c r="G205" s="27">
        <f t="shared" si="150"/>
        <v>2000</v>
      </c>
      <c r="H205" s="27">
        <f t="shared" si="151"/>
        <v>2000</v>
      </c>
      <c r="I205" s="27">
        <f t="shared" si="152"/>
        <v>2000</v>
      </c>
      <c r="J205" s="16">
        <f>'БА в тыс. руб.'!G205*1000</f>
        <v>2000</v>
      </c>
      <c r="K205" s="169">
        <f t="shared" si="144"/>
        <v>0</v>
      </c>
      <c r="L205" s="16">
        <f>'БА в тыс. руб.'!H205*1000</f>
        <v>2000</v>
      </c>
      <c r="M205" s="169">
        <f t="shared" si="145"/>
        <v>0</v>
      </c>
      <c r="N205" s="16">
        <f>'БА в тыс. руб.'!I205*1000</f>
        <v>2000</v>
      </c>
      <c r="O205" s="169">
        <f t="shared" si="146"/>
        <v>0</v>
      </c>
    </row>
    <row r="206" spans="1:15" s="3" customFormat="1" ht="38.25">
      <c r="A206" s="11" t="s">
        <v>683</v>
      </c>
      <c r="B206" s="35" t="s">
        <v>55</v>
      </c>
      <c r="C206" s="36" t="s">
        <v>65</v>
      </c>
      <c r="D206" s="36" t="s">
        <v>84</v>
      </c>
      <c r="E206" s="36" t="s">
        <v>680</v>
      </c>
      <c r="F206" s="36" t="s">
        <v>58</v>
      </c>
      <c r="G206" s="27">
        <f>G207</f>
        <v>13370140</v>
      </c>
      <c r="H206" s="27">
        <f t="shared" ref="H206:I207" si="153">H207</f>
        <v>7404690</v>
      </c>
      <c r="I206" s="27">
        <f t="shared" si="153"/>
        <v>7404690</v>
      </c>
      <c r="J206" s="16">
        <f>'БА в тыс. руб.'!G206*1000</f>
        <v>13370140</v>
      </c>
      <c r="K206" s="169">
        <f t="shared" si="144"/>
        <v>0</v>
      </c>
      <c r="L206" s="16">
        <f>'БА в тыс. руб.'!H206*1000</f>
        <v>7404690</v>
      </c>
      <c r="M206" s="169">
        <f t="shared" si="145"/>
        <v>0</v>
      </c>
      <c r="N206" s="16">
        <f>'БА в тыс. руб.'!I206*1000</f>
        <v>7404690</v>
      </c>
      <c r="O206" s="169">
        <f t="shared" si="146"/>
        <v>0</v>
      </c>
    </row>
    <row r="207" spans="1:15" s="3" customFormat="1">
      <c r="A207" s="11" t="s">
        <v>684</v>
      </c>
      <c r="B207" s="35" t="s">
        <v>55</v>
      </c>
      <c r="C207" s="36" t="s">
        <v>65</v>
      </c>
      <c r="D207" s="36" t="s">
        <v>84</v>
      </c>
      <c r="E207" s="36" t="s">
        <v>681</v>
      </c>
      <c r="F207" s="36" t="s">
        <v>58</v>
      </c>
      <c r="G207" s="27">
        <f>G208</f>
        <v>13370140</v>
      </c>
      <c r="H207" s="27">
        <f t="shared" si="153"/>
        <v>7404690</v>
      </c>
      <c r="I207" s="27">
        <f t="shared" si="153"/>
        <v>7404690</v>
      </c>
      <c r="J207" s="16">
        <f>'БА в тыс. руб.'!G207*1000</f>
        <v>13370140</v>
      </c>
      <c r="K207" s="169">
        <f t="shared" si="144"/>
        <v>0</v>
      </c>
      <c r="L207" s="16">
        <f>'БА в тыс. руб.'!H207*1000</f>
        <v>7404690</v>
      </c>
      <c r="M207" s="169">
        <f t="shared" si="145"/>
        <v>0</v>
      </c>
      <c r="N207" s="16">
        <f>'БА в тыс. руб.'!I207*1000</f>
        <v>7404690</v>
      </c>
      <c r="O207" s="169">
        <f t="shared" si="146"/>
        <v>0</v>
      </c>
    </row>
    <row r="208" spans="1:15" s="3" customFormat="1" ht="38.25">
      <c r="A208" s="34" t="s">
        <v>265</v>
      </c>
      <c r="B208" s="35" t="s">
        <v>55</v>
      </c>
      <c r="C208" s="36" t="s">
        <v>65</v>
      </c>
      <c r="D208" s="36" t="s">
        <v>84</v>
      </c>
      <c r="E208" s="36" t="s">
        <v>770</v>
      </c>
      <c r="F208" s="36" t="s">
        <v>58</v>
      </c>
      <c r="G208" s="27">
        <f>SUM(G209:G209)</f>
        <v>13370140</v>
      </c>
      <c r="H208" s="27">
        <f>SUM(H209:H209)</f>
        <v>7404690</v>
      </c>
      <c r="I208" s="27">
        <f>SUM(I209:I209)</f>
        <v>7404690</v>
      </c>
      <c r="J208" s="16">
        <f>'БА в тыс. руб.'!G208*1000</f>
        <v>13370140</v>
      </c>
      <c r="K208" s="169">
        <f t="shared" si="144"/>
        <v>0</v>
      </c>
      <c r="L208" s="16">
        <f>'БА в тыс. руб.'!H208*1000</f>
        <v>7404690</v>
      </c>
      <c r="M208" s="169">
        <f t="shared" si="145"/>
        <v>0</v>
      </c>
      <c r="N208" s="16">
        <f>'БА в тыс. руб.'!I208*1000</f>
        <v>7404690</v>
      </c>
      <c r="O208" s="169">
        <f t="shared" si="146"/>
        <v>0</v>
      </c>
    </row>
    <row r="209" spans="1:15" s="3" customFormat="1" ht="25.5">
      <c r="A209" s="12" t="s">
        <v>107</v>
      </c>
      <c r="B209" s="35" t="s">
        <v>55</v>
      </c>
      <c r="C209" s="36" t="s">
        <v>65</v>
      </c>
      <c r="D209" s="36" t="s">
        <v>84</v>
      </c>
      <c r="E209" s="36" t="s">
        <v>770</v>
      </c>
      <c r="F209" s="36" t="s">
        <v>115</v>
      </c>
      <c r="G209" s="27">
        <f>SUM(G210:G211)</f>
        <v>13370140</v>
      </c>
      <c r="H209" s="27">
        <f t="shared" ref="H209:I209" si="154">SUM(H210:H211)</f>
        <v>7404690</v>
      </c>
      <c r="I209" s="27">
        <f t="shared" si="154"/>
        <v>7404690</v>
      </c>
      <c r="J209" s="16">
        <f>'БА в тыс. руб.'!G209*1000</f>
        <v>13370140</v>
      </c>
      <c r="K209" s="169">
        <f t="shared" si="144"/>
        <v>0</v>
      </c>
      <c r="L209" s="16">
        <f>'БА в тыс. руб.'!H209*1000</f>
        <v>7404690</v>
      </c>
      <c r="M209" s="169">
        <f t="shared" si="145"/>
        <v>0</v>
      </c>
      <c r="N209" s="16">
        <f>'БА в тыс. руб.'!I209*1000</f>
        <v>7404690</v>
      </c>
      <c r="O209" s="169">
        <f t="shared" si="146"/>
        <v>0</v>
      </c>
    </row>
    <row r="210" spans="1:15" s="4" customFormat="1">
      <c r="A210" s="12" t="s">
        <v>936</v>
      </c>
      <c r="B210" s="35" t="s">
        <v>55</v>
      </c>
      <c r="C210" s="36" t="s">
        <v>65</v>
      </c>
      <c r="D210" s="36" t="s">
        <v>84</v>
      </c>
      <c r="E210" s="36" t="s">
        <v>770</v>
      </c>
      <c r="F210" s="26" t="s">
        <v>1063</v>
      </c>
      <c r="G210" s="27">
        <f t="shared" ref="G210:G211" si="155">J210</f>
        <v>10268920</v>
      </c>
      <c r="H210" s="27">
        <f t="shared" ref="H210:H211" si="156">L210</f>
        <v>5687160</v>
      </c>
      <c r="I210" s="27">
        <f t="shared" ref="I210:I211" si="157">N210</f>
        <v>5687160</v>
      </c>
      <c r="J210" s="16">
        <f>'БА в тыс. руб.'!G210*1000</f>
        <v>10268920</v>
      </c>
      <c r="K210" s="169">
        <f t="shared" si="144"/>
        <v>0</v>
      </c>
      <c r="L210" s="16">
        <f>'БА в тыс. руб.'!H210*1000</f>
        <v>5687160</v>
      </c>
      <c r="M210" s="169">
        <f t="shared" si="145"/>
        <v>0</v>
      </c>
      <c r="N210" s="16">
        <f>'БА в тыс. руб.'!I210*1000</f>
        <v>5687160</v>
      </c>
      <c r="O210" s="169">
        <f t="shared" si="146"/>
        <v>0</v>
      </c>
    </row>
    <row r="211" spans="1:15" s="4" customFormat="1" ht="38.25">
      <c r="A211" s="12" t="s">
        <v>939</v>
      </c>
      <c r="B211" s="35" t="s">
        <v>55</v>
      </c>
      <c r="C211" s="36" t="s">
        <v>65</v>
      </c>
      <c r="D211" s="36" t="s">
        <v>84</v>
      </c>
      <c r="E211" s="36" t="s">
        <v>770</v>
      </c>
      <c r="F211" s="26" t="s">
        <v>1060</v>
      </c>
      <c r="G211" s="27">
        <f t="shared" si="155"/>
        <v>3101220.0000000005</v>
      </c>
      <c r="H211" s="27">
        <f t="shared" si="156"/>
        <v>1717530</v>
      </c>
      <c r="I211" s="27">
        <f t="shared" si="157"/>
        <v>1717530</v>
      </c>
      <c r="J211" s="16">
        <f>'БА в тыс. руб.'!G211*1000</f>
        <v>3101220.0000000005</v>
      </c>
      <c r="K211" s="169">
        <f t="shared" si="144"/>
        <v>0</v>
      </c>
      <c r="L211" s="16">
        <f>'БА в тыс. руб.'!H211*1000</f>
        <v>1717530</v>
      </c>
      <c r="M211" s="169">
        <f t="shared" si="145"/>
        <v>0</v>
      </c>
      <c r="N211" s="16">
        <f>'БА в тыс. руб.'!I211*1000</f>
        <v>1717530</v>
      </c>
      <c r="O211" s="169">
        <f t="shared" si="146"/>
        <v>0</v>
      </c>
    </row>
    <row r="212" spans="1:15" s="3" customFormat="1">
      <c r="A212" s="17" t="s">
        <v>35</v>
      </c>
      <c r="B212" s="18" t="s">
        <v>55</v>
      </c>
      <c r="C212" s="19" t="s">
        <v>37</v>
      </c>
      <c r="D212" s="19" t="s">
        <v>51</v>
      </c>
      <c r="E212" s="19" t="s">
        <v>196</v>
      </c>
      <c r="F212" s="19" t="s">
        <v>58</v>
      </c>
      <c r="G212" s="20">
        <f t="shared" ref="G212:I213" si="158">G213</f>
        <v>7375000</v>
      </c>
      <c r="H212" s="20">
        <f t="shared" si="158"/>
        <v>6547500</v>
      </c>
      <c r="I212" s="20">
        <f t="shared" si="158"/>
        <v>6547500</v>
      </c>
      <c r="J212" s="16">
        <f>'БА в тыс. руб.'!G212*1000</f>
        <v>7375000</v>
      </c>
      <c r="K212" s="169">
        <f t="shared" si="144"/>
        <v>0</v>
      </c>
      <c r="L212" s="16">
        <f>'БА в тыс. руб.'!H212*1000</f>
        <v>6547500</v>
      </c>
      <c r="M212" s="169">
        <f t="shared" si="145"/>
        <v>0</v>
      </c>
      <c r="N212" s="16">
        <f>'БА в тыс. руб.'!I212*1000</f>
        <v>6547500</v>
      </c>
      <c r="O212" s="169">
        <f t="shared" si="146"/>
        <v>0</v>
      </c>
    </row>
    <row r="213" spans="1:15" s="3" customFormat="1">
      <c r="A213" s="21" t="s">
        <v>30</v>
      </c>
      <c r="B213" s="22" t="s">
        <v>55</v>
      </c>
      <c r="C213" s="23" t="s">
        <v>37</v>
      </c>
      <c r="D213" s="23" t="s">
        <v>40</v>
      </c>
      <c r="E213" s="23" t="s">
        <v>196</v>
      </c>
      <c r="F213" s="23" t="s">
        <v>58</v>
      </c>
      <c r="G213" s="24">
        <f t="shared" si="158"/>
        <v>7375000</v>
      </c>
      <c r="H213" s="24">
        <f t="shared" si="158"/>
        <v>6547500</v>
      </c>
      <c r="I213" s="24">
        <f t="shared" si="158"/>
        <v>6547500</v>
      </c>
      <c r="J213" s="16">
        <f>'БА в тыс. руб.'!G213*1000</f>
        <v>7375000</v>
      </c>
      <c r="K213" s="169">
        <f t="shared" si="144"/>
        <v>0</v>
      </c>
      <c r="L213" s="16">
        <f>'БА в тыс. руб.'!H213*1000</f>
        <v>6547500</v>
      </c>
      <c r="M213" s="169">
        <f t="shared" si="145"/>
        <v>0</v>
      </c>
      <c r="N213" s="16">
        <f>'БА в тыс. руб.'!I213*1000</f>
        <v>6547500</v>
      </c>
      <c r="O213" s="169">
        <f t="shared" si="146"/>
        <v>0</v>
      </c>
    </row>
    <row r="214" spans="1:15" s="3" customFormat="1" ht="25.5">
      <c r="A214" s="34" t="s">
        <v>747</v>
      </c>
      <c r="B214" s="25" t="s">
        <v>55</v>
      </c>
      <c r="C214" s="26" t="s">
        <v>37</v>
      </c>
      <c r="D214" s="26" t="s">
        <v>40</v>
      </c>
      <c r="E214" s="26" t="s">
        <v>215</v>
      </c>
      <c r="F214" s="26" t="s">
        <v>58</v>
      </c>
      <c r="G214" s="27">
        <f>G215+G229</f>
        <v>7375000</v>
      </c>
      <c r="H214" s="27">
        <f t="shared" ref="H214:I214" si="159">H215+H229</f>
        <v>6547500</v>
      </c>
      <c r="I214" s="27">
        <f t="shared" si="159"/>
        <v>6547500</v>
      </c>
      <c r="J214" s="16">
        <f>'БА в тыс. руб.'!G214*1000</f>
        <v>7375000</v>
      </c>
      <c r="K214" s="169">
        <f t="shared" si="144"/>
        <v>0</v>
      </c>
      <c r="L214" s="16">
        <f>'БА в тыс. руб.'!H214*1000</f>
        <v>6547500</v>
      </c>
      <c r="M214" s="169">
        <f t="shared" si="145"/>
        <v>0</v>
      </c>
      <c r="N214" s="16">
        <f>'БА в тыс. руб.'!I214*1000</f>
        <v>6547500</v>
      </c>
      <c r="O214" s="169">
        <f t="shared" si="146"/>
        <v>0</v>
      </c>
    </row>
    <row r="215" spans="1:15" s="3" customFormat="1" ht="25.5">
      <c r="A215" s="34" t="s">
        <v>153</v>
      </c>
      <c r="B215" s="25" t="s">
        <v>55</v>
      </c>
      <c r="C215" s="26" t="s">
        <v>37</v>
      </c>
      <c r="D215" s="26" t="s">
        <v>40</v>
      </c>
      <c r="E215" s="26" t="s">
        <v>266</v>
      </c>
      <c r="F215" s="26" t="s">
        <v>58</v>
      </c>
      <c r="G215" s="27">
        <f>G216+G221+G225</f>
        <v>6600000</v>
      </c>
      <c r="H215" s="27">
        <f>H216+H221+H225</f>
        <v>5967000</v>
      </c>
      <c r="I215" s="27">
        <f>I216+I221+I225</f>
        <v>5967000</v>
      </c>
      <c r="J215" s="16">
        <f>'БА в тыс. руб.'!G215*1000</f>
        <v>6600000</v>
      </c>
      <c r="K215" s="169">
        <f t="shared" si="144"/>
        <v>0</v>
      </c>
      <c r="L215" s="16">
        <f>'БА в тыс. руб.'!H215*1000</f>
        <v>5967000</v>
      </c>
      <c r="M215" s="169">
        <f t="shared" si="145"/>
        <v>0</v>
      </c>
      <c r="N215" s="16">
        <f>'БА в тыс. руб.'!I215*1000</f>
        <v>5967000</v>
      </c>
      <c r="O215" s="169">
        <f t="shared" si="146"/>
        <v>0</v>
      </c>
    </row>
    <row r="216" spans="1:15" s="3" customFormat="1" ht="25.5">
      <c r="A216" s="34" t="s">
        <v>586</v>
      </c>
      <c r="B216" s="25" t="s">
        <v>55</v>
      </c>
      <c r="C216" s="26" t="s">
        <v>37</v>
      </c>
      <c r="D216" s="26" t="s">
        <v>40</v>
      </c>
      <c r="E216" s="26" t="s">
        <v>267</v>
      </c>
      <c r="F216" s="26" t="s">
        <v>58</v>
      </c>
      <c r="G216" s="27">
        <f t="shared" ref="G216:I217" si="160">G217</f>
        <v>5000000</v>
      </c>
      <c r="H216" s="27">
        <f t="shared" si="160"/>
        <v>4410000</v>
      </c>
      <c r="I216" s="27">
        <f t="shared" si="160"/>
        <v>4410000</v>
      </c>
      <c r="J216" s="16">
        <f>'БА в тыс. руб.'!G216*1000</f>
        <v>5000000</v>
      </c>
      <c r="K216" s="169">
        <f t="shared" si="144"/>
        <v>0</v>
      </c>
      <c r="L216" s="16">
        <f>'БА в тыс. руб.'!H216*1000</f>
        <v>4410000</v>
      </c>
      <c r="M216" s="169">
        <f t="shared" si="145"/>
        <v>0</v>
      </c>
      <c r="N216" s="16">
        <f>'БА в тыс. руб.'!I216*1000</f>
        <v>4410000</v>
      </c>
      <c r="O216" s="169">
        <f t="shared" si="146"/>
        <v>0</v>
      </c>
    </row>
    <row r="217" spans="1:15" s="3" customFormat="1" ht="38.25">
      <c r="A217" s="34" t="s">
        <v>268</v>
      </c>
      <c r="B217" s="25" t="s">
        <v>55</v>
      </c>
      <c r="C217" s="26" t="s">
        <v>37</v>
      </c>
      <c r="D217" s="26" t="s">
        <v>40</v>
      </c>
      <c r="E217" s="26" t="s">
        <v>269</v>
      </c>
      <c r="F217" s="26" t="s">
        <v>58</v>
      </c>
      <c r="G217" s="27">
        <f t="shared" si="160"/>
        <v>5000000</v>
      </c>
      <c r="H217" s="27">
        <f t="shared" si="160"/>
        <v>4410000</v>
      </c>
      <c r="I217" s="27">
        <f t="shared" si="160"/>
        <v>4410000</v>
      </c>
      <c r="J217" s="16">
        <f>'БА в тыс. руб.'!G217*1000</f>
        <v>5000000</v>
      </c>
      <c r="K217" s="169">
        <f t="shared" si="144"/>
        <v>0</v>
      </c>
      <c r="L217" s="16">
        <f>'БА в тыс. руб.'!H217*1000</f>
        <v>4410000</v>
      </c>
      <c r="M217" s="169">
        <f t="shared" si="145"/>
        <v>0</v>
      </c>
      <c r="N217" s="16">
        <f>'БА в тыс. руб.'!I217*1000</f>
        <v>4410000</v>
      </c>
      <c r="O217" s="169">
        <f t="shared" si="146"/>
        <v>0</v>
      </c>
    </row>
    <row r="218" spans="1:15" s="3" customFormat="1" ht="38.25">
      <c r="A218" s="46" t="s">
        <v>561</v>
      </c>
      <c r="B218" s="25" t="s">
        <v>55</v>
      </c>
      <c r="C218" s="26" t="s">
        <v>37</v>
      </c>
      <c r="D218" s="26" t="s">
        <v>40</v>
      </c>
      <c r="E218" s="26" t="s">
        <v>269</v>
      </c>
      <c r="F218" s="26" t="s">
        <v>101</v>
      </c>
      <c r="G218" s="27">
        <f>SUM(G219:G220)</f>
        <v>5000000</v>
      </c>
      <c r="H218" s="27">
        <f t="shared" ref="H218:I218" si="161">SUM(H219:H220)</f>
        <v>4410000</v>
      </c>
      <c r="I218" s="27">
        <f t="shared" si="161"/>
        <v>4410000</v>
      </c>
      <c r="J218" s="16">
        <f>'БА в тыс. руб.'!G218*1000</f>
        <v>5000000</v>
      </c>
      <c r="K218" s="169">
        <f t="shared" si="144"/>
        <v>0</v>
      </c>
      <c r="L218" s="16">
        <f>'БА в тыс. руб.'!H218*1000</f>
        <v>4410000</v>
      </c>
      <c r="M218" s="169">
        <f t="shared" si="145"/>
        <v>0</v>
      </c>
      <c r="N218" s="16">
        <f>'БА в тыс. руб.'!I218*1000</f>
        <v>4410000</v>
      </c>
      <c r="O218" s="169">
        <f t="shared" si="146"/>
        <v>0</v>
      </c>
    </row>
    <row r="219" spans="1:15" s="3" customFormat="1" ht="51">
      <c r="A219" s="12" t="s">
        <v>1047</v>
      </c>
      <c r="B219" s="25" t="s">
        <v>55</v>
      </c>
      <c r="C219" s="26" t="s">
        <v>37</v>
      </c>
      <c r="D219" s="26" t="s">
        <v>40</v>
      </c>
      <c r="E219" s="26" t="s">
        <v>269</v>
      </c>
      <c r="F219" s="26" t="s">
        <v>1050</v>
      </c>
      <c r="G219" s="27">
        <f t="shared" ref="G219:G220" si="162">J219</f>
        <v>2000000</v>
      </c>
      <c r="H219" s="27">
        <f t="shared" ref="H219:H220" si="163">L219</f>
        <v>1710000</v>
      </c>
      <c r="I219" s="27">
        <f t="shared" ref="I219:I220" si="164">N219</f>
        <v>2310000</v>
      </c>
      <c r="J219" s="16">
        <f>'БА в тыс. руб.'!G219*1000</f>
        <v>2000000</v>
      </c>
      <c r="K219" s="169"/>
      <c r="L219" s="16">
        <f>'БА в тыс. руб.'!H219*1000</f>
        <v>1710000</v>
      </c>
      <c r="M219" s="169"/>
      <c r="N219" s="16">
        <f>'БА в тыс. руб.'!I219*1000</f>
        <v>2310000</v>
      </c>
      <c r="O219" s="169"/>
    </row>
    <row r="220" spans="1:15" s="4" customFormat="1" ht="76.5">
      <c r="A220" s="12" t="s">
        <v>1048</v>
      </c>
      <c r="B220" s="25" t="s">
        <v>55</v>
      </c>
      <c r="C220" s="26" t="s">
        <v>37</v>
      </c>
      <c r="D220" s="26" t="s">
        <v>40</v>
      </c>
      <c r="E220" s="26" t="s">
        <v>269</v>
      </c>
      <c r="F220" s="26" t="s">
        <v>1051</v>
      </c>
      <c r="G220" s="27">
        <f t="shared" si="162"/>
        <v>3000000</v>
      </c>
      <c r="H220" s="27">
        <f t="shared" si="163"/>
        <v>2700000</v>
      </c>
      <c r="I220" s="27">
        <f t="shared" si="164"/>
        <v>2100000</v>
      </c>
      <c r="J220" s="16">
        <f>'БА в тыс. руб.'!G220*1000</f>
        <v>3000000</v>
      </c>
      <c r="K220" s="169">
        <f t="shared" si="144"/>
        <v>0</v>
      </c>
      <c r="L220" s="16">
        <f>'БА в тыс. руб.'!H220*1000</f>
        <v>2700000</v>
      </c>
      <c r="M220" s="169">
        <f t="shared" si="145"/>
        <v>0</v>
      </c>
      <c r="N220" s="16">
        <f>'БА в тыс. руб.'!I220*1000</f>
        <v>2100000</v>
      </c>
      <c r="O220" s="169">
        <f t="shared" si="146"/>
        <v>0</v>
      </c>
    </row>
    <row r="221" spans="1:15" s="3" customFormat="1" ht="38.25">
      <c r="A221" s="34" t="s">
        <v>270</v>
      </c>
      <c r="B221" s="25" t="s">
        <v>55</v>
      </c>
      <c r="C221" s="26" t="s">
        <v>37</v>
      </c>
      <c r="D221" s="26" t="s">
        <v>40</v>
      </c>
      <c r="E221" s="26" t="s">
        <v>271</v>
      </c>
      <c r="F221" s="26" t="s">
        <v>58</v>
      </c>
      <c r="G221" s="27">
        <f t="shared" ref="G221:I223" si="165">G222</f>
        <v>1150000</v>
      </c>
      <c r="H221" s="27">
        <f t="shared" si="165"/>
        <v>1150000</v>
      </c>
      <c r="I221" s="27">
        <f t="shared" si="165"/>
        <v>1150000</v>
      </c>
      <c r="J221" s="16">
        <f>'БА в тыс. руб.'!G221*1000</f>
        <v>1150000</v>
      </c>
      <c r="K221" s="169">
        <f t="shared" si="144"/>
        <v>0</v>
      </c>
      <c r="L221" s="16">
        <f>'БА в тыс. руб.'!H221*1000</f>
        <v>1150000</v>
      </c>
      <c r="M221" s="169">
        <f t="shared" si="145"/>
        <v>0</v>
      </c>
      <c r="N221" s="16">
        <f>'БА в тыс. руб.'!I221*1000</f>
        <v>1150000</v>
      </c>
      <c r="O221" s="169">
        <f t="shared" si="146"/>
        <v>0</v>
      </c>
    </row>
    <row r="222" spans="1:15" s="3" customFormat="1" ht="38.25">
      <c r="A222" s="34" t="s">
        <v>874</v>
      </c>
      <c r="B222" s="25" t="s">
        <v>55</v>
      </c>
      <c r="C222" s="26" t="s">
        <v>37</v>
      </c>
      <c r="D222" s="26" t="s">
        <v>40</v>
      </c>
      <c r="E222" s="26" t="s">
        <v>272</v>
      </c>
      <c r="F222" s="26" t="s">
        <v>58</v>
      </c>
      <c r="G222" s="27">
        <f t="shared" si="165"/>
        <v>1150000</v>
      </c>
      <c r="H222" s="27">
        <f t="shared" si="165"/>
        <v>1150000</v>
      </c>
      <c r="I222" s="27">
        <f t="shared" si="165"/>
        <v>1150000</v>
      </c>
      <c r="J222" s="16">
        <f>'БА в тыс. руб.'!G222*1000</f>
        <v>1150000</v>
      </c>
      <c r="K222" s="169">
        <f t="shared" si="144"/>
        <v>0</v>
      </c>
      <c r="L222" s="16">
        <f>'БА в тыс. руб.'!H222*1000</f>
        <v>1150000</v>
      </c>
      <c r="M222" s="169">
        <f t="shared" si="145"/>
        <v>0</v>
      </c>
      <c r="N222" s="16">
        <f>'БА в тыс. руб.'!I222*1000</f>
        <v>1150000</v>
      </c>
      <c r="O222" s="169">
        <f t="shared" si="146"/>
        <v>0</v>
      </c>
    </row>
    <row r="223" spans="1:15" s="3" customFormat="1" ht="25.5">
      <c r="A223" s="11" t="s">
        <v>108</v>
      </c>
      <c r="B223" s="25" t="s">
        <v>55</v>
      </c>
      <c r="C223" s="26" t="s">
        <v>37</v>
      </c>
      <c r="D223" s="26" t="s">
        <v>40</v>
      </c>
      <c r="E223" s="26" t="s">
        <v>272</v>
      </c>
      <c r="F223" s="26" t="s">
        <v>116</v>
      </c>
      <c r="G223" s="27">
        <f>G224</f>
        <v>1150000</v>
      </c>
      <c r="H223" s="27">
        <f t="shared" si="165"/>
        <v>1150000</v>
      </c>
      <c r="I223" s="27">
        <f t="shared" si="165"/>
        <v>1150000</v>
      </c>
      <c r="J223" s="16">
        <f>'БА в тыс. руб.'!G223*1000</f>
        <v>1150000</v>
      </c>
      <c r="K223" s="169">
        <f t="shared" si="144"/>
        <v>0</v>
      </c>
      <c r="L223" s="16">
        <f>'БА в тыс. руб.'!H223*1000</f>
        <v>1150000</v>
      </c>
      <c r="M223" s="169">
        <f t="shared" si="145"/>
        <v>0</v>
      </c>
      <c r="N223" s="16">
        <f>'БА в тыс. руб.'!I223*1000</f>
        <v>1150000</v>
      </c>
      <c r="O223" s="169">
        <f t="shared" si="146"/>
        <v>0</v>
      </c>
    </row>
    <row r="224" spans="1:15" s="94" customFormat="1" ht="25.5">
      <c r="A224" s="12" t="s">
        <v>973</v>
      </c>
      <c r="B224" s="25" t="s">
        <v>55</v>
      </c>
      <c r="C224" s="26" t="s">
        <v>37</v>
      </c>
      <c r="D224" s="26" t="s">
        <v>40</v>
      </c>
      <c r="E224" s="26" t="s">
        <v>272</v>
      </c>
      <c r="F224" s="26" t="s">
        <v>1043</v>
      </c>
      <c r="G224" s="27">
        <f t="shared" ref="G224" si="166">J224</f>
        <v>1150000</v>
      </c>
      <c r="H224" s="27">
        <f>L224</f>
        <v>1150000</v>
      </c>
      <c r="I224" s="27">
        <f>N224</f>
        <v>1150000</v>
      </c>
      <c r="J224" s="16">
        <f>'БА в тыс. руб.'!G224*1000</f>
        <v>1150000</v>
      </c>
      <c r="K224" s="169">
        <f t="shared" si="144"/>
        <v>0</v>
      </c>
      <c r="L224" s="16">
        <f>'БА в тыс. руб.'!H224*1000</f>
        <v>1150000</v>
      </c>
      <c r="M224" s="169">
        <f t="shared" si="145"/>
        <v>0</v>
      </c>
      <c r="N224" s="16">
        <f>'БА в тыс. руб.'!I224*1000</f>
        <v>1150000</v>
      </c>
      <c r="O224" s="169">
        <f t="shared" si="146"/>
        <v>0</v>
      </c>
    </row>
    <row r="225" spans="1:15" s="3" customFormat="1" ht="38.25">
      <c r="A225" s="34" t="s">
        <v>608</v>
      </c>
      <c r="B225" s="25" t="s">
        <v>55</v>
      </c>
      <c r="C225" s="26" t="s">
        <v>37</v>
      </c>
      <c r="D225" s="26" t="s">
        <v>40</v>
      </c>
      <c r="E225" s="26" t="s">
        <v>273</v>
      </c>
      <c r="F225" s="26" t="s">
        <v>58</v>
      </c>
      <c r="G225" s="27">
        <f t="shared" ref="G225:I227" si="167">G226</f>
        <v>450000</v>
      </c>
      <c r="H225" s="27">
        <f t="shared" si="167"/>
        <v>407000</v>
      </c>
      <c r="I225" s="27">
        <f t="shared" si="167"/>
        <v>407000</v>
      </c>
      <c r="J225" s="16">
        <f>'БА в тыс. руб.'!G225*1000</f>
        <v>450000</v>
      </c>
      <c r="K225" s="169">
        <f t="shared" si="144"/>
        <v>0</v>
      </c>
      <c r="L225" s="16">
        <f>'БА в тыс. руб.'!H225*1000</f>
        <v>407000</v>
      </c>
      <c r="M225" s="169">
        <f t="shared" si="145"/>
        <v>0</v>
      </c>
      <c r="N225" s="16">
        <f>'БА в тыс. руб.'!I225*1000</f>
        <v>407000</v>
      </c>
      <c r="O225" s="169">
        <f t="shared" si="146"/>
        <v>0</v>
      </c>
    </row>
    <row r="226" spans="1:15" s="3" customFormat="1" ht="38.25">
      <c r="A226" s="34" t="s">
        <v>874</v>
      </c>
      <c r="B226" s="25" t="s">
        <v>55</v>
      </c>
      <c r="C226" s="26" t="s">
        <v>37</v>
      </c>
      <c r="D226" s="26" t="s">
        <v>40</v>
      </c>
      <c r="E226" s="26" t="s">
        <v>274</v>
      </c>
      <c r="F226" s="26" t="s">
        <v>58</v>
      </c>
      <c r="G226" s="27">
        <f t="shared" si="167"/>
        <v>450000</v>
      </c>
      <c r="H226" s="27">
        <f t="shared" si="167"/>
        <v>407000</v>
      </c>
      <c r="I226" s="27">
        <f t="shared" si="167"/>
        <v>407000</v>
      </c>
      <c r="J226" s="16">
        <f>'БА в тыс. руб.'!G226*1000</f>
        <v>450000</v>
      </c>
      <c r="K226" s="169">
        <f t="shared" si="144"/>
        <v>0</v>
      </c>
      <c r="L226" s="16">
        <f>'БА в тыс. руб.'!H226*1000</f>
        <v>407000</v>
      </c>
      <c r="M226" s="169">
        <f t="shared" si="145"/>
        <v>0</v>
      </c>
      <c r="N226" s="16">
        <f>'БА в тыс. руб.'!I226*1000</f>
        <v>407000</v>
      </c>
      <c r="O226" s="169">
        <f t="shared" si="146"/>
        <v>0</v>
      </c>
    </row>
    <row r="227" spans="1:15" s="3" customFormat="1" ht="31.9" customHeight="1">
      <c r="A227" s="11" t="s">
        <v>108</v>
      </c>
      <c r="B227" s="25" t="s">
        <v>55</v>
      </c>
      <c r="C227" s="26" t="s">
        <v>37</v>
      </c>
      <c r="D227" s="26" t="s">
        <v>40</v>
      </c>
      <c r="E227" s="26" t="s">
        <v>274</v>
      </c>
      <c r="F227" s="26" t="s">
        <v>116</v>
      </c>
      <c r="G227" s="27">
        <f>G228</f>
        <v>450000</v>
      </c>
      <c r="H227" s="27">
        <f t="shared" si="167"/>
        <v>407000</v>
      </c>
      <c r="I227" s="27">
        <f t="shared" si="167"/>
        <v>407000</v>
      </c>
      <c r="J227" s="16">
        <f>'БА в тыс. руб.'!G227*1000</f>
        <v>450000</v>
      </c>
      <c r="K227" s="169">
        <f t="shared" si="144"/>
        <v>0</v>
      </c>
      <c r="L227" s="16">
        <f>'БА в тыс. руб.'!H227*1000</f>
        <v>407000</v>
      </c>
      <c r="M227" s="169">
        <f t="shared" si="145"/>
        <v>0</v>
      </c>
      <c r="N227" s="16">
        <f>'БА в тыс. руб.'!I227*1000</f>
        <v>407000</v>
      </c>
      <c r="O227" s="169">
        <f t="shared" si="146"/>
        <v>0</v>
      </c>
    </row>
    <row r="228" spans="1:15" s="4" customFormat="1" ht="25.5">
      <c r="A228" s="12" t="s">
        <v>973</v>
      </c>
      <c r="B228" s="25" t="s">
        <v>55</v>
      </c>
      <c r="C228" s="26" t="s">
        <v>37</v>
      </c>
      <c r="D228" s="26" t="s">
        <v>40</v>
      </c>
      <c r="E228" s="26" t="s">
        <v>274</v>
      </c>
      <c r="F228" s="26" t="s">
        <v>1043</v>
      </c>
      <c r="G228" s="27">
        <f t="shared" ref="G228" si="168">J228</f>
        <v>450000</v>
      </c>
      <c r="H228" s="27">
        <f>L228</f>
        <v>407000</v>
      </c>
      <c r="I228" s="27">
        <f>N228</f>
        <v>407000</v>
      </c>
      <c r="J228" s="16">
        <f>'БА в тыс. руб.'!G228*1000</f>
        <v>450000</v>
      </c>
      <c r="K228" s="169">
        <f t="shared" si="144"/>
        <v>0</v>
      </c>
      <c r="L228" s="16">
        <f>'БА в тыс. руб.'!H228*1000</f>
        <v>407000</v>
      </c>
      <c r="M228" s="169">
        <f t="shared" si="145"/>
        <v>0</v>
      </c>
      <c r="N228" s="16">
        <f>'БА в тыс. руб.'!I228*1000</f>
        <v>407000</v>
      </c>
      <c r="O228" s="169">
        <f t="shared" si="146"/>
        <v>0</v>
      </c>
    </row>
    <row r="229" spans="1:15" s="3" customFormat="1" ht="25.5">
      <c r="A229" s="11" t="s">
        <v>765</v>
      </c>
      <c r="B229" s="25" t="s">
        <v>55</v>
      </c>
      <c r="C229" s="26" t="s">
        <v>37</v>
      </c>
      <c r="D229" s="26" t="s">
        <v>40</v>
      </c>
      <c r="E229" s="26" t="s">
        <v>216</v>
      </c>
      <c r="F229" s="26" t="s">
        <v>58</v>
      </c>
      <c r="G229" s="27">
        <f>G234+G230</f>
        <v>775000</v>
      </c>
      <c r="H229" s="27">
        <f t="shared" ref="H229:I229" si="169">H234+H230</f>
        <v>580500</v>
      </c>
      <c r="I229" s="27">
        <f t="shared" si="169"/>
        <v>580500</v>
      </c>
      <c r="J229" s="16">
        <f>'БА в тыс. руб.'!G229*1000</f>
        <v>775000</v>
      </c>
      <c r="K229" s="169">
        <f t="shared" si="144"/>
        <v>0</v>
      </c>
      <c r="L229" s="16">
        <f>'БА в тыс. руб.'!H229*1000</f>
        <v>580500</v>
      </c>
      <c r="M229" s="169">
        <f t="shared" si="145"/>
        <v>0</v>
      </c>
      <c r="N229" s="16">
        <f>'БА в тыс. руб.'!I229*1000</f>
        <v>580500</v>
      </c>
      <c r="O229" s="169">
        <f t="shared" si="146"/>
        <v>0</v>
      </c>
    </row>
    <row r="230" spans="1:15" s="3" customFormat="1" ht="25.5">
      <c r="A230" s="34" t="s">
        <v>847</v>
      </c>
      <c r="B230" s="25" t="s">
        <v>55</v>
      </c>
      <c r="C230" s="26" t="s">
        <v>37</v>
      </c>
      <c r="D230" s="26" t="s">
        <v>40</v>
      </c>
      <c r="E230" s="26" t="s">
        <v>777</v>
      </c>
      <c r="F230" s="26" t="s">
        <v>58</v>
      </c>
      <c r="G230" s="27">
        <f>G231</f>
        <v>280000</v>
      </c>
      <c r="H230" s="27">
        <f t="shared" ref="H230:I232" si="170">H231</f>
        <v>252000</v>
      </c>
      <c r="I230" s="27">
        <f t="shared" si="170"/>
        <v>252000</v>
      </c>
      <c r="J230" s="16">
        <f>'БА в тыс. руб.'!G230*1000</f>
        <v>280000</v>
      </c>
      <c r="K230" s="169">
        <f t="shared" si="144"/>
        <v>0</v>
      </c>
      <c r="L230" s="16">
        <f>'БА в тыс. руб.'!H230*1000</f>
        <v>252000</v>
      </c>
      <c r="M230" s="169">
        <f t="shared" si="145"/>
        <v>0</v>
      </c>
      <c r="N230" s="16">
        <f>'БА в тыс. руб.'!I230*1000</f>
        <v>252000</v>
      </c>
      <c r="O230" s="169">
        <f t="shared" si="146"/>
        <v>0</v>
      </c>
    </row>
    <row r="231" spans="1:15" s="3" customFormat="1" ht="25.5">
      <c r="A231" s="34" t="s">
        <v>875</v>
      </c>
      <c r="B231" s="25" t="s">
        <v>55</v>
      </c>
      <c r="C231" s="26" t="s">
        <v>37</v>
      </c>
      <c r="D231" s="26" t="s">
        <v>40</v>
      </c>
      <c r="E231" s="26" t="s">
        <v>778</v>
      </c>
      <c r="F231" s="26" t="s">
        <v>58</v>
      </c>
      <c r="G231" s="27">
        <f>G232</f>
        <v>280000</v>
      </c>
      <c r="H231" s="27">
        <f t="shared" si="170"/>
        <v>252000</v>
      </c>
      <c r="I231" s="27">
        <f t="shared" si="170"/>
        <v>252000</v>
      </c>
      <c r="J231" s="16">
        <f>'БА в тыс. руб.'!G231*1000</f>
        <v>280000</v>
      </c>
      <c r="K231" s="169">
        <f t="shared" si="144"/>
        <v>0</v>
      </c>
      <c r="L231" s="16">
        <f>'БА в тыс. руб.'!H231*1000</f>
        <v>252000</v>
      </c>
      <c r="M231" s="169">
        <f t="shared" si="145"/>
        <v>0</v>
      </c>
      <c r="N231" s="16">
        <f>'БА в тыс. руб.'!I231*1000</f>
        <v>252000</v>
      </c>
      <c r="O231" s="169">
        <f t="shared" si="146"/>
        <v>0</v>
      </c>
    </row>
    <row r="232" spans="1:15" s="3" customFormat="1" ht="25.5">
      <c r="A232" s="11" t="s">
        <v>108</v>
      </c>
      <c r="B232" s="25" t="s">
        <v>55</v>
      </c>
      <c r="C232" s="26" t="s">
        <v>37</v>
      </c>
      <c r="D232" s="26" t="s">
        <v>40</v>
      </c>
      <c r="E232" s="26" t="s">
        <v>778</v>
      </c>
      <c r="F232" s="26" t="s">
        <v>116</v>
      </c>
      <c r="G232" s="27">
        <f>G233</f>
        <v>280000</v>
      </c>
      <c r="H232" s="27">
        <f t="shared" si="170"/>
        <v>252000</v>
      </c>
      <c r="I232" s="27">
        <f t="shared" si="170"/>
        <v>252000</v>
      </c>
      <c r="J232" s="16">
        <f>'БА в тыс. руб.'!G232*1000</f>
        <v>280000</v>
      </c>
      <c r="K232" s="169">
        <f t="shared" si="144"/>
        <v>0</v>
      </c>
      <c r="L232" s="16">
        <f>'БА в тыс. руб.'!H232*1000</f>
        <v>252000</v>
      </c>
      <c r="M232" s="169">
        <f t="shared" si="145"/>
        <v>0</v>
      </c>
      <c r="N232" s="16">
        <f>'БА в тыс. руб.'!I232*1000</f>
        <v>252000</v>
      </c>
      <c r="O232" s="169">
        <f t="shared" si="146"/>
        <v>0</v>
      </c>
    </row>
    <row r="233" spans="1:15" s="4" customFormat="1" ht="25.5">
      <c r="A233" s="12" t="s">
        <v>973</v>
      </c>
      <c r="B233" s="25" t="s">
        <v>55</v>
      </c>
      <c r="C233" s="26" t="s">
        <v>37</v>
      </c>
      <c r="D233" s="26" t="s">
        <v>40</v>
      </c>
      <c r="E233" s="26" t="s">
        <v>778</v>
      </c>
      <c r="F233" s="26" t="s">
        <v>1043</v>
      </c>
      <c r="G233" s="27">
        <f t="shared" ref="G233" si="171">J233</f>
        <v>280000</v>
      </c>
      <c r="H233" s="27">
        <f>L233</f>
        <v>252000</v>
      </c>
      <c r="I233" s="27">
        <f>N233</f>
        <v>252000</v>
      </c>
      <c r="J233" s="16">
        <f>'БА в тыс. руб.'!G233*1000</f>
        <v>280000</v>
      </c>
      <c r="K233" s="169">
        <f t="shared" si="144"/>
        <v>0</v>
      </c>
      <c r="L233" s="16">
        <f>'БА в тыс. руб.'!H233*1000</f>
        <v>252000</v>
      </c>
      <c r="M233" s="169">
        <f t="shared" si="145"/>
        <v>0</v>
      </c>
      <c r="N233" s="16">
        <f>'БА в тыс. руб.'!I233*1000</f>
        <v>252000</v>
      </c>
      <c r="O233" s="169">
        <f t="shared" si="146"/>
        <v>0</v>
      </c>
    </row>
    <row r="234" spans="1:15" s="3" customFormat="1" ht="25.5">
      <c r="A234" s="11" t="s">
        <v>851</v>
      </c>
      <c r="B234" s="25" t="s">
        <v>55</v>
      </c>
      <c r="C234" s="26" t="s">
        <v>37</v>
      </c>
      <c r="D234" s="26" t="s">
        <v>40</v>
      </c>
      <c r="E234" s="26" t="s">
        <v>275</v>
      </c>
      <c r="F234" s="26" t="s">
        <v>58</v>
      </c>
      <c r="G234" s="27">
        <f t="shared" ref="G234:I234" si="172">G235</f>
        <v>495000</v>
      </c>
      <c r="H234" s="27">
        <f t="shared" si="172"/>
        <v>328500</v>
      </c>
      <c r="I234" s="27">
        <f t="shared" si="172"/>
        <v>328500</v>
      </c>
      <c r="J234" s="16">
        <f>'БА в тыс. руб.'!G234*1000</f>
        <v>495000</v>
      </c>
      <c r="K234" s="169">
        <f t="shared" si="144"/>
        <v>0</v>
      </c>
      <c r="L234" s="16">
        <f>'БА в тыс. руб.'!H234*1000</f>
        <v>328500</v>
      </c>
      <c r="M234" s="169">
        <f t="shared" si="145"/>
        <v>0</v>
      </c>
      <c r="N234" s="16">
        <f>'БА в тыс. руб.'!I234*1000</f>
        <v>328500</v>
      </c>
      <c r="O234" s="169">
        <f t="shared" si="146"/>
        <v>0</v>
      </c>
    </row>
    <row r="235" spans="1:15" s="3" customFormat="1" ht="38.25">
      <c r="A235" s="34" t="s">
        <v>876</v>
      </c>
      <c r="B235" s="25" t="s">
        <v>55</v>
      </c>
      <c r="C235" s="26" t="s">
        <v>37</v>
      </c>
      <c r="D235" s="26" t="s">
        <v>40</v>
      </c>
      <c r="E235" s="26" t="s">
        <v>276</v>
      </c>
      <c r="F235" s="26" t="s">
        <v>58</v>
      </c>
      <c r="G235" s="27">
        <f>G236+G238</f>
        <v>495000</v>
      </c>
      <c r="H235" s="27">
        <f t="shared" ref="H235:I235" si="173">H236+H238</f>
        <v>328500</v>
      </c>
      <c r="I235" s="27">
        <f t="shared" si="173"/>
        <v>328500</v>
      </c>
      <c r="J235" s="16">
        <f>'БА в тыс. руб.'!G235*1000</f>
        <v>495000</v>
      </c>
      <c r="K235" s="169">
        <f t="shared" si="144"/>
        <v>0</v>
      </c>
      <c r="L235" s="16">
        <f>'БА в тыс. руб.'!H235*1000</f>
        <v>328500</v>
      </c>
      <c r="M235" s="169">
        <f t="shared" si="145"/>
        <v>0</v>
      </c>
      <c r="N235" s="16">
        <f>'БА в тыс. руб.'!I235*1000</f>
        <v>328500</v>
      </c>
      <c r="O235" s="169">
        <f t="shared" si="146"/>
        <v>0</v>
      </c>
    </row>
    <row r="236" spans="1:15" s="3" customFormat="1" ht="25.5">
      <c r="A236" s="11" t="s">
        <v>108</v>
      </c>
      <c r="B236" s="25" t="s">
        <v>55</v>
      </c>
      <c r="C236" s="26" t="s">
        <v>37</v>
      </c>
      <c r="D236" s="26" t="s">
        <v>40</v>
      </c>
      <c r="E236" s="26" t="s">
        <v>276</v>
      </c>
      <c r="F236" s="26" t="s">
        <v>116</v>
      </c>
      <c r="G236" s="27">
        <f>G237</f>
        <v>395000</v>
      </c>
      <c r="H236" s="27">
        <f t="shared" ref="H236:I236" si="174">H237</f>
        <v>328500</v>
      </c>
      <c r="I236" s="27">
        <f t="shared" si="174"/>
        <v>328500</v>
      </c>
      <c r="J236" s="16">
        <f>'БА в тыс. руб.'!G236*1000</f>
        <v>395000</v>
      </c>
      <c r="K236" s="169">
        <f t="shared" si="144"/>
        <v>0</v>
      </c>
      <c r="L236" s="16">
        <f>'БА в тыс. руб.'!H236*1000</f>
        <v>328500</v>
      </c>
      <c r="M236" s="169">
        <f t="shared" si="145"/>
        <v>0</v>
      </c>
      <c r="N236" s="16">
        <f>'БА в тыс. руб.'!I236*1000</f>
        <v>328500</v>
      </c>
      <c r="O236" s="169">
        <f t="shared" si="146"/>
        <v>0</v>
      </c>
    </row>
    <row r="237" spans="1:15" s="4" customFormat="1" ht="25.5">
      <c r="A237" s="12" t="s">
        <v>973</v>
      </c>
      <c r="B237" s="25" t="s">
        <v>55</v>
      </c>
      <c r="C237" s="26" t="s">
        <v>37</v>
      </c>
      <c r="D237" s="26" t="s">
        <v>40</v>
      </c>
      <c r="E237" s="26" t="s">
        <v>276</v>
      </c>
      <c r="F237" s="26" t="s">
        <v>1043</v>
      </c>
      <c r="G237" s="27">
        <f t="shared" ref="G237:G238" si="175">J237</f>
        <v>395000</v>
      </c>
      <c r="H237" s="27">
        <f t="shared" ref="H237:H238" si="176">L237</f>
        <v>328500</v>
      </c>
      <c r="I237" s="27">
        <f t="shared" ref="I237:I238" si="177">N237</f>
        <v>328500</v>
      </c>
      <c r="J237" s="16">
        <f>'БА в тыс. руб.'!G237*1000</f>
        <v>395000</v>
      </c>
      <c r="K237" s="169">
        <f t="shared" si="144"/>
        <v>0</v>
      </c>
      <c r="L237" s="16">
        <f>'БА в тыс. руб.'!H237*1000</f>
        <v>328500</v>
      </c>
      <c r="M237" s="169">
        <f t="shared" si="145"/>
        <v>0</v>
      </c>
      <c r="N237" s="16">
        <f>'БА в тыс. руб.'!I237*1000</f>
        <v>328500</v>
      </c>
      <c r="O237" s="169">
        <f t="shared" si="146"/>
        <v>0</v>
      </c>
    </row>
    <row r="238" spans="1:15" s="3" customFormat="1">
      <c r="A238" s="11" t="s">
        <v>99</v>
      </c>
      <c r="B238" s="25" t="s">
        <v>55</v>
      </c>
      <c r="C238" s="26" t="s">
        <v>37</v>
      </c>
      <c r="D238" s="26" t="s">
        <v>40</v>
      </c>
      <c r="E238" s="26" t="s">
        <v>276</v>
      </c>
      <c r="F238" s="26" t="s">
        <v>105</v>
      </c>
      <c r="G238" s="27">
        <f t="shared" si="175"/>
        <v>100000</v>
      </c>
      <c r="H238" s="27">
        <f t="shared" si="176"/>
        <v>0</v>
      </c>
      <c r="I238" s="27">
        <f t="shared" si="177"/>
        <v>0</v>
      </c>
      <c r="J238" s="16">
        <f>'БА в тыс. руб.'!G238*1000</f>
        <v>100000</v>
      </c>
      <c r="K238" s="169">
        <f t="shared" si="144"/>
        <v>0</v>
      </c>
      <c r="L238" s="16">
        <f>'БА в тыс. руб.'!H238*1000</f>
        <v>0</v>
      </c>
      <c r="M238" s="169">
        <f t="shared" si="145"/>
        <v>0</v>
      </c>
      <c r="N238" s="16">
        <f>'БА в тыс. руб.'!I238*1000</f>
        <v>0</v>
      </c>
      <c r="O238" s="169">
        <f t="shared" si="146"/>
        <v>0</v>
      </c>
    </row>
    <row r="239" spans="1:15" s="3" customFormat="1">
      <c r="A239" s="17" t="s">
        <v>70</v>
      </c>
      <c r="B239" s="18" t="s">
        <v>55</v>
      </c>
      <c r="C239" s="19" t="s">
        <v>71</v>
      </c>
      <c r="D239" s="19" t="s">
        <v>51</v>
      </c>
      <c r="E239" s="19" t="s">
        <v>196</v>
      </c>
      <c r="F239" s="19" t="s">
        <v>58</v>
      </c>
      <c r="G239" s="20">
        <f t="shared" ref="G239:I244" si="178">G240</f>
        <v>160000</v>
      </c>
      <c r="H239" s="20">
        <f t="shared" si="178"/>
        <v>160000</v>
      </c>
      <c r="I239" s="20">
        <f t="shared" si="178"/>
        <v>160000</v>
      </c>
      <c r="J239" s="16">
        <f>'БА в тыс. руб.'!G239*1000</f>
        <v>160000</v>
      </c>
      <c r="K239" s="169">
        <f t="shared" si="144"/>
        <v>0</v>
      </c>
      <c r="L239" s="16">
        <f>'БА в тыс. руб.'!H239*1000</f>
        <v>160000</v>
      </c>
      <c r="M239" s="169">
        <f t="shared" si="145"/>
        <v>0</v>
      </c>
      <c r="N239" s="16">
        <f>'БА в тыс. руб.'!I239*1000</f>
        <v>160000</v>
      </c>
      <c r="O239" s="169">
        <f t="shared" si="146"/>
        <v>0</v>
      </c>
    </row>
    <row r="240" spans="1:15" s="3" customFormat="1" ht="25.5">
      <c r="A240" s="21" t="s">
        <v>664</v>
      </c>
      <c r="B240" s="22" t="s">
        <v>55</v>
      </c>
      <c r="C240" s="23" t="s">
        <v>71</v>
      </c>
      <c r="D240" s="23" t="s">
        <v>8</v>
      </c>
      <c r="E240" s="23" t="s">
        <v>196</v>
      </c>
      <c r="F240" s="23" t="s">
        <v>58</v>
      </c>
      <c r="G240" s="24">
        <f t="shared" si="178"/>
        <v>160000</v>
      </c>
      <c r="H240" s="24">
        <f t="shared" si="178"/>
        <v>160000</v>
      </c>
      <c r="I240" s="24">
        <f t="shared" si="178"/>
        <v>160000</v>
      </c>
      <c r="J240" s="16">
        <f>'БА в тыс. руб.'!G240*1000</f>
        <v>160000</v>
      </c>
      <c r="K240" s="169">
        <f t="shared" si="144"/>
        <v>0</v>
      </c>
      <c r="L240" s="16">
        <f>'БА в тыс. руб.'!H240*1000</f>
        <v>160000</v>
      </c>
      <c r="M240" s="169">
        <f t="shared" si="145"/>
        <v>0</v>
      </c>
      <c r="N240" s="16">
        <f>'БА в тыс. руб.'!I240*1000</f>
        <v>160000</v>
      </c>
      <c r="O240" s="169">
        <f t="shared" si="146"/>
        <v>0</v>
      </c>
    </row>
    <row r="241" spans="1:15" s="3" customFormat="1" ht="25.5">
      <c r="A241" s="34" t="s">
        <v>748</v>
      </c>
      <c r="B241" s="25" t="s">
        <v>55</v>
      </c>
      <c r="C241" s="26" t="s">
        <v>71</v>
      </c>
      <c r="D241" s="26" t="s">
        <v>8</v>
      </c>
      <c r="E241" s="26" t="s">
        <v>220</v>
      </c>
      <c r="F241" s="26" t="s">
        <v>58</v>
      </c>
      <c r="G241" s="27">
        <f t="shared" si="178"/>
        <v>160000</v>
      </c>
      <c r="H241" s="27">
        <f t="shared" si="178"/>
        <v>160000</v>
      </c>
      <c r="I241" s="27">
        <f t="shared" si="178"/>
        <v>160000</v>
      </c>
      <c r="J241" s="16">
        <f>'БА в тыс. руб.'!G241*1000</f>
        <v>160000</v>
      </c>
      <c r="K241" s="169">
        <f t="shared" si="144"/>
        <v>0</v>
      </c>
      <c r="L241" s="16">
        <f>'БА в тыс. руб.'!H241*1000</f>
        <v>160000</v>
      </c>
      <c r="M241" s="169">
        <f t="shared" si="145"/>
        <v>0</v>
      </c>
      <c r="N241" s="16">
        <f>'БА в тыс. руб.'!I241*1000</f>
        <v>160000</v>
      </c>
      <c r="O241" s="169">
        <f t="shared" si="146"/>
        <v>0</v>
      </c>
    </row>
    <row r="242" spans="1:15" s="3" customFormat="1" ht="25.5">
      <c r="A242" s="34" t="s">
        <v>749</v>
      </c>
      <c r="B242" s="25" t="s">
        <v>55</v>
      </c>
      <c r="C242" s="26" t="s">
        <v>71</v>
      </c>
      <c r="D242" s="26" t="s">
        <v>8</v>
      </c>
      <c r="E242" s="26" t="s">
        <v>221</v>
      </c>
      <c r="F242" s="26" t="s">
        <v>58</v>
      </c>
      <c r="G242" s="27">
        <f t="shared" si="178"/>
        <v>160000</v>
      </c>
      <c r="H242" s="27">
        <f t="shared" si="178"/>
        <v>160000</v>
      </c>
      <c r="I242" s="27">
        <f t="shared" si="178"/>
        <v>160000</v>
      </c>
      <c r="J242" s="16">
        <f>'БА в тыс. руб.'!G242*1000</f>
        <v>160000</v>
      </c>
      <c r="K242" s="169">
        <f t="shared" si="144"/>
        <v>0</v>
      </c>
      <c r="L242" s="16">
        <f>'БА в тыс. руб.'!H242*1000</f>
        <v>160000</v>
      </c>
      <c r="M242" s="169">
        <f t="shared" si="145"/>
        <v>0</v>
      </c>
      <c r="N242" s="16">
        <f>'БА в тыс. руб.'!I242*1000</f>
        <v>160000</v>
      </c>
      <c r="O242" s="169">
        <f t="shared" si="146"/>
        <v>0</v>
      </c>
    </row>
    <row r="243" spans="1:15" s="3" customFormat="1" ht="38.25">
      <c r="A243" s="34" t="s">
        <v>222</v>
      </c>
      <c r="B243" s="25" t="s">
        <v>55</v>
      </c>
      <c r="C243" s="26" t="s">
        <v>71</v>
      </c>
      <c r="D243" s="26" t="s">
        <v>8</v>
      </c>
      <c r="E243" s="26" t="s">
        <v>223</v>
      </c>
      <c r="F243" s="26" t="s">
        <v>58</v>
      </c>
      <c r="G243" s="27">
        <f t="shared" si="178"/>
        <v>160000</v>
      </c>
      <c r="H243" s="27">
        <f t="shared" si="178"/>
        <v>160000</v>
      </c>
      <c r="I243" s="27">
        <f t="shared" si="178"/>
        <v>160000</v>
      </c>
      <c r="J243" s="16">
        <f>'БА в тыс. руб.'!G243*1000</f>
        <v>160000</v>
      </c>
      <c r="K243" s="169">
        <f t="shared" si="144"/>
        <v>0</v>
      </c>
      <c r="L243" s="16">
        <f>'БА в тыс. руб.'!H243*1000</f>
        <v>160000</v>
      </c>
      <c r="M243" s="169">
        <f t="shared" si="145"/>
        <v>0</v>
      </c>
      <c r="N243" s="16">
        <f>'БА в тыс. руб.'!I243*1000</f>
        <v>160000</v>
      </c>
      <c r="O243" s="169">
        <f t="shared" si="146"/>
        <v>0</v>
      </c>
    </row>
    <row r="244" spans="1:15" s="3" customFormat="1" ht="25.5">
      <c r="A244" s="34" t="s">
        <v>877</v>
      </c>
      <c r="B244" s="25" t="s">
        <v>55</v>
      </c>
      <c r="C244" s="26" t="s">
        <v>71</v>
      </c>
      <c r="D244" s="26" t="s">
        <v>8</v>
      </c>
      <c r="E244" s="26" t="s">
        <v>224</v>
      </c>
      <c r="F244" s="26" t="s">
        <v>58</v>
      </c>
      <c r="G244" s="27">
        <f t="shared" si="178"/>
        <v>160000</v>
      </c>
      <c r="H244" s="27">
        <f t="shared" si="178"/>
        <v>160000</v>
      </c>
      <c r="I244" s="27">
        <f t="shared" si="178"/>
        <v>160000</v>
      </c>
      <c r="J244" s="16">
        <f>'БА в тыс. руб.'!G244*1000</f>
        <v>160000</v>
      </c>
      <c r="K244" s="169">
        <f t="shared" si="144"/>
        <v>0</v>
      </c>
      <c r="L244" s="16">
        <f>'БА в тыс. руб.'!H244*1000</f>
        <v>160000</v>
      </c>
      <c r="M244" s="169">
        <f t="shared" si="145"/>
        <v>0</v>
      </c>
      <c r="N244" s="16">
        <f>'БА в тыс. руб.'!I244*1000</f>
        <v>160000</v>
      </c>
      <c r="O244" s="169">
        <f t="shared" si="146"/>
        <v>0</v>
      </c>
    </row>
    <row r="245" spans="1:15" s="3" customFormat="1" ht="25.5">
      <c r="A245" s="11" t="s">
        <v>108</v>
      </c>
      <c r="B245" s="25" t="s">
        <v>55</v>
      </c>
      <c r="C245" s="26" t="s">
        <v>71</v>
      </c>
      <c r="D245" s="26" t="s">
        <v>8</v>
      </c>
      <c r="E245" s="26" t="s">
        <v>224</v>
      </c>
      <c r="F245" s="26" t="s">
        <v>116</v>
      </c>
      <c r="G245" s="27">
        <f>J245</f>
        <v>160000</v>
      </c>
      <c r="H245" s="27">
        <f>L245</f>
        <v>160000</v>
      </c>
      <c r="I245" s="27">
        <f>N245</f>
        <v>160000</v>
      </c>
      <c r="J245" s="16">
        <f>'БА в тыс. руб.'!G245*1000</f>
        <v>160000</v>
      </c>
      <c r="K245" s="169">
        <f t="shared" si="144"/>
        <v>0</v>
      </c>
      <c r="L245" s="16">
        <f>'БА в тыс. руб.'!H245*1000</f>
        <v>160000</v>
      </c>
      <c r="M245" s="169">
        <f t="shared" si="145"/>
        <v>0</v>
      </c>
      <c r="N245" s="16">
        <f>'БА в тыс. руб.'!I245*1000</f>
        <v>160000</v>
      </c>
      <c r="O245" s="169">
        <f t="shared" si="146"/>
        <v>0</v>
      </c>
    </row>
    <row r="246" spans="1:15" s="4" customFormat="1" ht="25.5">
      <c r="A246" s="12" t="s">
        <v>973</v>
      </c>
      <c r="B246" s="25" t="s">
        <v>55</v>
      </c>
      <c r="C246" s="26" t="s">
        <v>71</v>
      </c>
      <c r="D246" s="26" t="s">
        <v>8</v>
      </c>
      <c r="E246" s="26" t="s">
        <v>224</v>
      </c>
      <c r="F246" s="26" t="s">
        <v>1043</v>
      </c>
      <c r="G246" s="27">
        <f t="shared" ref="G246" si="179">J246</f>
        <v>160000</v>
      </c>
      <c r="H246" s="27">
        <f>L246</f>
        <v>160000</v>
      </c>
      <c r="I246" s="27">
        <f>N246</f>
        <v>160000</v>
      </c>
      <c r="J246" s="16">
        <f>'БА в тыс. руб.'!G246*1000</f>
        <v>160000</v>
      </c>
      <c r="K246" s="169">
        <f t="shared" si="144"/>
        <v>0</v>
      </c>
      <c r="L246" s="16">
        <f>'БА в тыс. руб.'!H246*1000</f>
        <v>160000</v>
      </c>
      <c r="M246" s="169">
        <f t="shared" si="145"/>
        <v>0</v>
      </c>
      <c r="N246" s="16">
        <f>'БА в тыс. руб.'!I246*1000</f>
        <v>160000</v>
      </c>
      <c r="O246" s="169">
        <f t="shared" si="146"/>
        <v>0</v>
      </c>
    </row>
    <row r="247" spans="1:15" s="3" customFormat="1">
      <c r="A247" s="17" t="s">
        <v>499</v>
      </c>
      <c r="B247" s="18" t="s">
        <v>55</v>
      </c>
      <c r="C247" s="19" t="s">
        <v>50</v>
      </c>
      <c r="D247" s="19" t="s">
        <v>51</v>
      </c>
      <c r="E247" s="19" t="s">
        <v>196</v>
      </c>
      <c r="F247" s="19" t="s">
        <v>58</v>
      </c>
      <c r="G247" s="20">
        <f t="shared" ref="G247:I251" si="180">G248</f>
        <v>2123000</v>
      </c>
      <c r="H247" s="20">
        <f t="shared" si="180"/>
        <v>1911000</v>
      </c>
      <c r="I247" s="20">
        <f t="shared" si="180"/>
        <v>1911000</v>
      </c>
      <c r="J247" s="16">
        <f>'БА в тыс. руб.'!G247*1000</f>
        <v>2123000</v>
      </c>
      <c r="K247" s="169">
        <f t="shared" si="144"/>
        <v>0</v>
      </c>
      <c r="L247" s="16">
        <f>'БА в тыс. руб.'!H247*1000</f>
        <v>1911000</v>
      </c>
      <c r="M247" s="169">
        <f t="shared" si="145"/>
        <v>0</v>
      </c>
      <c r="N247" s="16">
        <f>'БА в тыс. руб.'!I247*1000</f>
        <v>1911000</v>
      </c>
      <c r="O247" s="169">
        <f t="shared" si="146"/>
        <v>0</v>
      </c>
    </row>
    <row r="248" spans="1:15" s="3" customFormat="1">
      <c r="A248" s="21" t="s">
        <v>27</v>
      </c>
      <c r="B248" s="22" t="s">
        <v>55</v>
      </c>
      <c r="C248" s="23" t="s">
        <v>50</v>
      </c>
      <c r="D248" s="23" t="s">
        <v>65</v>
      </c>
      <c r="E248" s="23" t="s">
        <v>196</v>
      </c>
      <c r="F248" s="23" t="s">
        <v>58</v>
      </c>
      <c r="G248" s="24">
        <f t="shared" si="180"/>
        <v>2123000</v>
      </c>
      <c r="H248" s="24">
        <f t="shared" si="180"/>
        <v>1911000</v>
      </c>
      <c r="I248" s="24">
        <f t="shared" si="180"/>
        <v>1911000</v>
      </c>
      <c r="J248" s="16">
        <f>'БА в тыс. руб.'!G248*1000</f>
        <v>2123000</v>
      </c>
      <c r="K248" s="169">
        <f t="shared" si="144"/>
        <v>0</v>
      </c>
      <c r="L248" s="16">
        <f>'БА в тыс. руб.'!H248*1000</f>
        <v>1911000</v>
      </c>
      <c r="M248" s="169">
        <f t="shared" si="145"/>
        <v>0</v>
      </c>
      <c r="N248" s="16">
        <f>'БА в тыс. руб.'!I248*1000</f>
        <v>1911000</v>
      </c>
      <c r="O248" s="169">
        <f t="shared" si="146"/>
        <v>0</v>
      </c>
    </row>
    <row r="249" spans="1:15" s="3" customFormat="1">
      <c r="A249" s="11" t="s">
        <v>739</v>
      </c>
      <c r="B249" s="25" t="s">
        <v>55</v>
      </c>
      <c r="C249" s="26" t="s">
        <v>50</v>
      </c>
      <c r="D249" s="26" t="s">
        <v>65</v>
      </c>
      <c r="E249" s="26" t="s">
        <v>277</v>
      </c>
      <c r="F249" s="26" t="s">
        <v>58</v>
      </c>
      <c r="G249" s="27">
        <f t="shared" si="180"/>
        <v>2123000</v>
      </c>
      <c r="H249" s="27">
        <f t="shared" si="180"/>
        <v>1911000</v>
      </c>
      <c r="I249" s="27">
        <f t="shared" si="180"/>
        <v>1911000</v>
      </c>
      <c r="J249" s="16">
        <f>'БА в тыс. руб.'!G249*1000</f>
        <v>2123000</v>
      </c>
      <c r="K249" s="169">
        <f t="shared" si="144"/>
        <v>0</v>
      </c>
      <c r="L249" s="16">
        <f>'БА в тыс. руб.'!H249*1000</f>
        <v>1911000</v>
      </c>
      <c r="M249" s="169">
        <f t="shared" si="145"/>
        <v>0</v>
      </c>
      <c r="N249" s="16">
        <f>'БА в тыс. руб.'!I249*1000</f>
        <v>1911000</v>
      </c>
      <c r="O249" s="169">
        <f t="shared" si="146"/>
        <v>0</v>
      </c>
    </row>
    <row r="250" spans="1:15" s="3" customFormat="1" ht="51">
      <c r="A250" s="34" t="s">
        <v>191</v>
      </c>
      <c r="B250" s="25" t="s">
        <v>55</v>
      </c>
      <c r="C250" s="26" t="s">
        <v>50</v>
      </c>
      <c r="D250" s="26" t="s">
        <v>65</v>
      </c>
      <c r="E250" s="26" t="s">
        <v>278</v>
      </c>
      <c r="F250" s="26" t="s">
        <v>58</v>
      </c>
      <c r="G250" s="27">
        <f t="shared" si="180"/>
        <v>2123000</v>
      </c>
      <c r="H250" s="27">
        <f t="shared" si="180"/>
        <v>1911000</v>
      </c>
      <c r="I250" s="27">
        <f t="shared" si="180"/>
        <v>1911000</v>
      </c>
      <c r="J250" s="16">
        <f>'БА в тыс. руб.'!G250*1000</f>
        <v>2123000</v>
      </c>
      <c r="K250" s="169">
        <f t="shared" si="144"/>
        <v>0</v>
      </c>
      <c r="L250" s="16">
        <f>'БА в тыс. руб.'!H250*1000</f>
        <v>1911000</v>
      </c>
      <c r="M250" s="169">
        <f t="shared" si="145"/>
        <v>0</v>
      </c>
      <c r="N250" s="16">
        <f>'БА в тыс. руб.'!I250*1000</f>
        <v>1911000</v>
      </c>
      <c r="O250" s="169">
        <f t="shared" si="146"/>
        <v>0</v>
      </c>
    </row>
    <row r="251" spans="1:15" s="3" customFormat="1" ht="63.75">
      <c r="A251" s="34" t="s">
        <v>605</v>
      </c>
      <c r="B251" s="25" t="s">
        <v>55</v>
      </c>
      <c r="C251" s="26" t="s">
        <v>50</v>
      </c>
      <c r="D251" s="26" t="s">
        <v>65</v>
      </c>
      <c r="E251" s="26" t="s">
        <v>279</v>
      </c>
      <c r="F251" s="26" t="s">
        <v>58</v>
      </c>
      <c r="G251" s="27">
        <f t="shared" si="180"/>
        <v>2123000</v>
      </c>
      <c r="H251" s="27">
        <f t="shared" si="180"/>
        <v>1911000</v>
      </c>
      <c r="I251" s="27">
        <f t="shared" si="180"/>
        <v>1911000</v>
      </c>
      <c r="J251" s="16">
        <f>'БА в тыс. руб.'!G251*1000</f>
        <v>2123000</v>
      </c>
      <c r="K251" s="169">
        <f t="shared" si="144"/>
        <v>0</v>
      </c>
      <c r="L251" s="16">
        <f>'БА в тыс. руб.'!H251*1000</f>
        <v>1911000</v>
      </c>
      <c r="M251" s="169">
        <f t="shared" si="145"/>
        <v>0</v>
      </c>
      <c r="N251" s="16">
        <f>'БА в тыс. руб.'!I251*1000</f>
        <v>1911000</v>
      </c>
      <c r="O251" s="169">
        <f t="shared" si="146"/>
        <v>0</v>
      </c>
    </row>
    <row r="252" spans="1:15" s="3" customFormat="1" ht="25.5">
      <c r="A252" s="34" t="s">
        <v>161</v>
      </c>
      <c r="B252" s="25" t="s">
        <v>55</v>
      </c>
      <c r="C252" s="26" t="s">
        <v>50</v>
      </c>
      <c r="D252" s="26" t="s">
        <v>65</v>
      </c>
      <c r="E252" s="26" t="s">
        <v>320</v>
      </c>
      <c r="F252" s="26" t="s">
        <v>58</v>
      </c>
      <c r="G252" s="27">
        <f>G253</f>
        <v>2123000</v>
      </c>
      <c r="H252" s="27">
        <f>H253</f>
        <v>1911000</v>
      </c>
      <c r="I252" s="27">
        <f>I253</f>
        <v>1911000</v>
      </c>
      <c r="J252" s="16">
        <f>'БА в тыс. руб.'!G252*1000</f>
        <v>2123000</v>
      </c>
      <c r="K252" s="169">
        <f t="shared" si="144"/>
        <v>0</v>
      </c>
      <c r="L252" s="16">
        <f>'БА в тыс. руб.'!H252*1000</f>
        <v>1911000</v>
      </c>
      <c r="M252" s="169">
        <f t="shared" si="145"/>
        <v>0</v>
      </c>
      <c r="N252" s="16">
        <f>'БА в тыс. руб.'!I252*1000</f>
        <v>1911000</v>
      </c>
      <c r="O252" s="169">
        <f t="shared" si="146"/>
        <v>0</v>
      </c>
    </row>
    <row r="253" spans="1:15" s="3" customFormat="1" ht="25.5">
      <c r="A253" s="11" t="s">
        <v>108</v>
      </c>
      <c r="B253" s="25" t="s">
        <v>55</v>
      </c>
      <c r="C253" s="26" t="s">
        <v>50</v>
      </c>
      <c r="D253" s="26" t="s">
        <v>65</v>
      </c>
      <c r="E253" s="26" t="s">
        <v>320</v>
      </c>
      <c r="F253" s="26" t="s">
        <v>116</v>
      </c>
      <c r="G253" s="27">
        <f>G254</f>
        <v>2123000</v>
      </c>
      <c r="H253" s="27">
        <f t="shared" ref="H253:I253" si="181">H254</f>
        <v>1911000</v>
      </c>
      <c r="I253" s="27">
        <f t="shared" si="181"/>
        <v>1911000</v>
      </c>
      <c r="J253" s="16">
        <f>'БА в тыс. руб.'!G253*1000</f>
        <v>2123000</v>
      </c>
      <c r="K253" s="169">
        <f t="shared" si="144"/>
        <v>0</v>
      </c>
      <c r="L253" s="16">
        <f>'БА в тыс. руб.'!H253*1000</f>
        <v>1911000</v>
      </c>
      <c r="M253" s="169">
        <f t="shared" si="145"/>
        <v>0</v>
      </c>
      <c r="N253" s="16">
        <f>'БА в тыс. руб.'!I253*1000</f>
        <v>1911000</v>
      </c>
      <c r="O253" s="169">
        <f t="shared" si="146"/>
        <v>0</v>
      </c>
    </row>
    <row r="254" spans="1:15" s="4" customFormat="1" ht="25.5">
      <c r="A254" s="12" t="s">
        <v>973</v>
      </c>
      <c r="B254" s="25" t="s">
        <v>55</v>
      </c>
      <c r="C254" s="26" t="s">
        <v>50</v>
      </c>
      <c r="D254" s="26" t="s">
        <v>65</v>
      </c>
      <c r="E254" s="26" t="s">
        <v>320</v>
      </c>
      <c r="F254" s="26" t="s">
        <v>1043</v>
      </c>
      <c r="G254" s="27">
        <f t="shared" ref="G254" si="182">J254</f>
        <v>2123000</v>
      </c>
      <c r="H254" s="27">
        <f>L254</f>
        <v>1911000</v>
      </c>
      <c r="I254" s="27">
        <f>N254</f>
        <v>1911000</v>
      </c>
      <c r="J254" s="16">
        <f>'БА в тыс. руб.'!G254*1000</f>
        <v>2123000</v>
      </c>
      <c r="K254" s="169">
        <f t="shared" si="144"/>
        <v>0</v>
      </c>
      <c r="L254" s="16">
        <f>'БА в тыс. руб.'!H254*1000</f>
        <v>1911000</v>
      </c>
      <c r="M254" s="169">
        <f t="shared" si="145"/>
        <v>0</v>
      </c>
      <c r="N254" s="16">
        <f>'БА в тыс. руб.'!I254*1000</f>
        <v>1911000</v>
      </c>
      <c r="O254" s="169">
        <f t="shared" si="146"/>
        <v>0</v>
      </c>
    </row>
    <row r="255" spans="1:15" s="2" customFormat="1">
      <c r="A255" s="17" t="s">
        <v>77</v>
      </c>
      <c r="B255" s="18" t="s">
        <v>55</v>
      </c>
      <c r="C255" s="19" t="s">
        <v>40</v>
      </c>
      <c r="D255" s="19" t="s">
        <v>51</v>
      </c>
      <c r="E255" s="19" t="s">
        <v>196</v>
      </c>
      <c r="F255" s="19" t="s">
        <v>58</v>
      </c>
      <c r="G255" s="20">
        <f>G263+G256</f>
        <v>20457500</v>
      </c>
      <c r="H255" s="20">
        <f>H263+H256</f>
        <v>20457500</v>
      </c>
      <c r="I255" s="20">
        <f>I263+I256</f>
        <v>20457500</v>
      </c>
      <c r="J255" s="16">
        <f>'БА в тыс. руб.'!G255*1000</f>
        <v>20457500</v>
      </c>
      <c r="K255" s="169">
        <f t="shared" si="144"/>
        <v>0</v>
      </c>
      <c r="L255" s="16">
        <f>'БА в тыс. руб.'!H255*1000</f>
        <v>20457500</v>
      </c>
      <c r="M255" s="169">
        <f t="shared" si="145"/>
        <v>0</v>
      </c>
      <c r="N255" s="16">
        <f>'БА в тыс. руб.'!I255*1000</f>
        <v>20457500</v>
      </c>
      <c r="O255" s="169">
        <f t="shared" si="146"/>
        <v>0</v>
      </c>
    </row>
    <row r="256" spans="1:15" s="2" customFormat="1">
      <c r="A256" s="21" t="s">
        <v>906</v>
      </c>
      <c r="B256" s="22" t="s">
        <v>55</v>
      </c>
      <c r="C256" s="23" t="s">
        <v>40</v>
      </c>
      <c r="D256" s="23" t="s">
        <v>65</v>
      </c>
      <c r="E256" s="23" t="s">
        <v>196</v>
      </c>
      <c r="F256" s="23" t="s">
        <v>58</v>
      </c>
      <c r="G256" s="24">
        <f t="shared" ref="G256:I261" si="183">G257</f>
        <v>5900500</v>
      </c>
      <c r="H256" s="24">
        <f t="shared" si="183"/>
        <v>5900500</v>
      </c>
      <c r="I256" s="24">
        <f t="shared" si="183"/>
        <v>5900500</v>
      </c>
      <c r="J256" s="16">
        <f>'БА в тыс. руб.'!G256*1000</f>
        <v>5900500</v>
      </c>
      <c r="K256" s="169">
        <f t="shared" si="144"/>
        <v>0</v>
      </c>
      <c r="L256" s="16">
        <f>'БА в тыс. руб.'!H256*1000</f>
        <v>5900500</v>
      </c>
      <c r="M256" s="169">
        <f t="shared" si="145"/>
        <v>0</v>
      </c>
      <c r="N256" s="16">
        <f>'БА в тыс. руб.'!I256*1000</f>
        <v>5900500</v>
      </c>
      <c r="O256" s="169">
        <f t="shared" si="146"/>
        <v>0</v>
      </c>
    </row>
    <row r="257" spans="1:15" s="2" customFormat="1" ht="38.25">
      <c r="A257" s="34" t="s">
        <v>751</v>
      </c>
      <c r="B257" s="25" t="s">
        <v>55</v>
      </c>
      <c r="C257" s="26" t="s">
        <v>40</v>
      </c>
      <c r="D257" s="26" t="s">
        <v>65</v>
      </c>
      <c r="E257" s="26" t="s">
        <v>229</v>
      </c>
      <c r="F257" s="26" t="s">
        <v>58</v>
      </c>
      <c r="G257" s="27">
        <f t="shared" si="183"/>
        <v>5900500</v>
      </c>
      <c r="H257" s="27">
        <f t="shared" si="183"/>
        <v>5900500</v>
      </c>
      <c r="I257" s="27">
        <f t="shared" si="183"/>
        <v>5900500</v>
      </c>
      <c r="J257" s="16">
        <f>'БА в тыс. руб.'!G257*1000</f>
        <v>5900500</v>
      </c>
      <c r="K257" s="169">
        <f t="shared" si="144"/>
        <v>0</v>
      </c>
      <c r="L257" s="16">
        <f>'БА в тыс. руб.'!H257*1000</f>
        <v>5900500</v>
      </c>
      <c r="M257" s="169">
        <f t="shared" si="145"/>
        <v>0</v>
      </c>
      <c r="N257" s="16">
        <f>'БА в тыс. руб.'!I257*1000</f>
        <v>5900500</v>
      </c>
      <c r="O257" s="169">
        <f t="shared" si="146"/>
        <v>0</v>
      </c>
    </row>
    <row r="258" spans="1:15" s="2" customFormat="1" ht="25.5">
      <c r="A258" s="34" t="s">
        <v>119</v>
      </c>
      <c r="B258" s="25" t="s">
        <v>55</v>
      </c>
      <c r="C258" s="26" t="s">
        <v>40</v>
      </c>
      <c r="D258" s="26" t="s">
        <v>65</v>
      </c>
      <c r="E258" s="26" t="s">
        <v>230</v>
      </c>
      <c r="F258" s="26" t="s">
        <v>58</v>
      </c>
      <c r="G258" s="27">
        <f t="shared" si="183"/>
        <v>5900500</v>
      </c>
      <c r="H258" s="27">
        <f t="shared" si="183"/>
        <v>5900500</v>
      </c>
      <c r="I258" s="27">
        <f t="shared" si="183"/>
        <v>5900500</v>
      </c>
      <c r="J258" s="16">
        <f>'БА в тыс. руб.'!G258*1000</f>
        <v>5900500</v>
      </c>
      <c r="K258" s="169">
        <f t="shared" si="144"/>
        <v>0</v>
      </c>
      <c r="L258" s="16">
        <f>'БА в тыс. руб.'!H258*1000</f>
        <v>5900500</v>
      </c>
      <c r="M258" s="169">
        <f t="shared" si="145"/>
        <v>0</v>
      </c>
      <c r="N258" s="16">
        <f>'БА в тыс. руб.'!I258*1000</f>
        <v>5900500</v>
      </c>
      <c r="O258" s="169">
        <f t="shared" si="146"/>
        <v>0</v>
      </c>
    </row>
    <row r="259" spans="1:15" s="2" customFormat="1" ht="38.25">
      <c r="A259" s="34" t="s">
        <v>237</v>
      </c>
      <c r="B259" s="25" t="s">
        <v>55</v>
      </c>
      <c r="C259" s="26" t="s">
        <v>40</v>
      </c>
      <c r="D259" s="26" t="s">
        <v>65</v>
      </c>
      <c r="E259" s="26" t="s">
        <v>238</v>
      </c>
      <c r="F259" s="26" t="s">
        <v>58</v>
      </c>
      <c r="G259" s="27">
        <f t="shared" si="183"/>
        <v>5900500</v>
      </c>
      <c r="H259" s="27">
        <f t="shared" si="183"/>
        <v>5900500</v>
      </c>
      <c r="I259" s="27">
        <f t="shared" si="183"/>
        <v>5900500</v>
      </c>
      <c r="J259" s="16">
        <f>'БА в тыс. руб.'!G259*1000</f>
        <v>5900500</v>
      </c>
      <c r="K259" s="169">
        <f t="shared" si="144"/>
        <v>0</v>
      </c>
      <c r="L259" s="16">
        <f>'БА в тыс. руб.'!H259*1000</f>
        <v>5900500</v>
      </c>
      <c r="M259" s="169">
        <f t="shared" si="145"/>
        <v>0</v>
      </c>
      <c r="N259" s="16">
        <f>'БА в тыс. руб.'!I259*1000</f>
        <v>5900500</v>
      </c>
      <c r="O259" s="169">
        <f t="shared" si="146"/>
        <v>0</v>
      </c>
    </row>
    <row r="260" spans="1:15" s="2" customFormat="1" ht="25.5">
      <c r="A260" s="34" t="s">
        <v>120</v>
      </c>
      <c r="B260" s="25" t="s">
        <v>55</v>
      </c>
      <c r="C260" s="26" t="s">
        <v>40</v>
      </c>
      <c r="D260" s="26" t="s">
        <v>65</v>
      </c>
      <c r="E260" s="26" t="s">
        <v>907</v>
      </c>
      <c r="F260" s="26" t="s">
        <v>58</v>
      </c>
      <c r="G260" s="27">
        <f t="shared" si="183"/>
        <v>5900500</v>
      </c>
      <c r="H260" s="27">
        <f t="shared" si="183"/>
        <v>5900500</v>
      </c>
      <c r="I260" s="27">
        <f t="shared" si="183"/>
        <v>5900500</v>
      </c>
      <c r="J260" s="16">
        <f>'БА в тыс. руб.'!G260*1000</f>
        <v>5900500</v>
      </c>
      <c r="K260" s="169">
        <f t="shared" si="144"/>
        <v>0</v>
      </c>
      <c r="L260" s="16">
        <f>'БА в тыс. руб.'!H260*1000</f>
        <v>5900500</v>
      </c>
      <c r="M260" s="169">
        <f t="shared" si="145"/>
        <v>0</v>
      </c>
      <c r="N260" s="16">
        <f>'БА в тыс. руб.'!I260*1000</f>
        <v>5900500</v>
      </c>
      <c r="O260" s="169">
        <f t="shared" si="146"/>
        <v>0</v>
      </c>
    </row>
    <row r="261" spans="1:15" s="2" customFormat="1" ht="25.5">
      <c r="A261" s="11" t="s">
        <v>108</v>
      </c>
      <c r="B261" s="25" t="s">
        <v>55</v>
      </c>
      <c r="C261" s="26" t="s">
        <v>40</v>
      </c>
      <c r="D261" s="26" t="s">
        <v>65</v>
      </c>
      <c r="E261" s="26" t="s">
        <v>907</v>
      </c>
      <c r="F261" s="26" t="s">
        <v>116</v>
      </c>
      <c r="G261" s="27">
        <f t="shared" si="183"/>
        <v>5900500</v>
      </c>
      <c r="H261" s="27">
        <f t="shared" si="183"/>
        <v>5900500</v>
      </c>
      <c r="I261" s="27">
        <f t="shared" si="183"/>
        <v>5900500</v>
      </c>
      <c r="J261" s="16">
        <f>'БА в тыс. руб.'!G261*1000</f>
        <v>5900500</v>
      </c>
      <c r="K261" s="169">
        <f t="shared" si="144"/>
        <v>0</v>
      </c>
      <c r="L261" s="16">
        <f>'БА в тыс. руб.'!H261*1000</f>
        <v>5900500</v>
      </c>
      <c r="M261" s="169">
        <f t="shared" si="145"/>
        <v>0</v>
      </c>
      <c r="N261" s="16">
        <f>'БА в тыс. руб.'!I261*1000</f>
        <v>5900500</v>
      </c>
      <c r="O261" s="169">
        <f t="shared" si="146"/>
        <v>0</v>
      </c>
    </row>
    <row r="262" spans="1:15" ht="25.5">
      <c r="A262" s="12" t="s">
        <v>973</v>
      </c>
      <c r="B262" s="25" t="s">
        <v>55</v>
      </c>
      <c r="C262" s="26" t="s">
        <v>40</v>
      </c>
      <c r="D262" s="26" t="s">
        <v>65</v>
      </c>
      <c r="E262" s="26" t="s">
        <v>907</v>
      </c>
      <c r="F262" s="26" t="s">
        <v>1043</v>
      </c>
      <c r="G262" s="27">
        <f t="shared" ref="G262" si="184">J262</f>
        <v>5900500</v>
      </c>
      <c r="H262" s="27">
        <f>L262</f>
        <v>5900500</v>
      </c>
      <c r="I262" s="27">
        <f>N262</f>
        <v>5900500</v>
      </c>
      <c r="J262" s="16">
        <f>'БА в тыс. руб.'!G262*1000</f>
        <v>5900500</v>
      </c>
      <c r="K262" s="169">
        <f t="shared" si="144"/>
        <v>0</v>
      </c>
      <c r="L262" s="16">
        <f>'БА в тыс. руб.'!H262*1000</f>
        <v>5900500</v>
      </c>
      <c r="M262" s="169">
        <f t="shared" si="145"/>
        <v>0</v>
      </c>
      <c r="N262" s="16">
        <f>'БА в тыс. руб.'!I262*1000</f>
        <v>5900500</v>
      </c>
      <c r="O262" s="169">
        <f t="shared" si="146"/>
        <v>0</v>
      </c>
    </row>
    <row r="263" spans="1:15" s="2" customFormat="1">
      <c r="A263" s="21" t="s">
        <v>52</v>
      </c>
      <c r="B263" s="22" t="s">
        <v>55</v>
      </c>
      <c r="C263" s="23" t="s">
        <v>40</v>
      </c>
      <c r="D263" s="23" t="s">
        <v>66</v>
      </c>
      <c r="E263" s="23" t="s">
        <v>196</v>
      </c>
      <c r="F263" s="23" t="s">
        <v>58</v>
      </c>
      <c r="G263" s="24">
        <f t="shared" ref="G263:I272" si="185">G264</f>
        <v>14557000</v>
      </c>
      <c r="H263" s="24">
        <f t="shared" si="185"/>
        <v>14557000</v>
      </c>
      <c r="I263" s="24">
        <f t="shared" si="185"/>
        <v>14557000</v>
      </c>
      <c r="J263" s="16">
        <f>'БА в тыс. руб.'!G263*1000</f>
        <v>14557000</v>
      </c>
      <c r="K263" s="169">
        <f t="shared" si="144"/>
        <v>0</v>
      </c>
      <c r="L263" s="16">
        <f>'БА в тыс. руб.'!H263*1000</f>
        <v>14557000</v>
      </c>
      <c r="M263" s="169">
        <f t="shared" si="145"/>
        <v>0</v>
      </c>
      <c r="N263" s="16">
        <f>'БА в тыс. руб.'!I263*1000</f>
        <v>14557000</v>
      </c>
      <c r="O263" s="169">
        <f t="shared" si="146"/>
        <v>0</v>
      </c>
    </row>
    <row r="264" spans="1:15" s="3" customFormat="1" ht="38.25">
      <c r="A264" s="34" t="s">
        <v>751</v>
      </c>
      <c r="B264" s="25" t="s">
        <v>55</v>
      </c>
      <c r="C264" s="26" t="s">
        <v>40</v>
      </c>
      <c r="D264" s="26" t="s">
        <v>66</v>
      </c>
      <c r="E264" s="26" t="s">
        <v>229</v>
      </c>
      <c r="F264" s="26" t="s">
        <v>58</v>
      </c>
      <c r="G264" s="27">
        <f t="shared" si="185"/>
        <v>14557000</v>
      </c>
      <c r="H264" s="27">
        <f t="shared" si="185"/>
        <v>14557000</v>
      </c>
      <c r="I264" s="27">
        <f t="shared" si="185"/>
        <v>14557000</v>
      </c>
      <c r="J264" s="16">
        <f>'БА в тыс. руб.'!G264*1000</f>
        <v>14557000</v>
      </c>
      <c r="K264" s="169">
        <f t="shared" ref="K264:K327" si="186">J264-G264</f>
        <v>0</v>
      </c>
      <c r="L264" s="16">
        <f>'БА в тыс. руб.'!H264*1000</f>
        <v>14557000</v>
      </c>
      <c r="M264" s="169">
        <f t="shared" ref="M264:M327" si="187">L264-H264</f>
        <v>0</v>
      </c>
      <c r="N264" s="16">
        <f>'БА в тыс. руб.'!I264*1000</f>
        <v>14557000</v>
      </c>
      <c r="O264" s="169">
        <f t="shared" ref="O264:O327" si="188">N264-I264</f>
        <v>0</v>
      </c>
    </row>
    <row r="265" spans="1:15" s="3" customFormat="1" ht="25.5">
      <c r="A265" s="34" t="s">
        <v>119</v>
      </c>
      <c r="B265" s="25" t="s">
        <v>55</v>
      </c>
      <c r="C265" s="26" t="s">
        <v>40</v>
      </c>
      <c r="D265" s="26" t="s">
        <v>66</v>
      </c>
      <c r="E265" s="26" t="s">
        <v>230</v>
      </c>
      <c r="F265" s="26" t="s">
        <v>58</v>
      </c>
      <c r="G265" s="27">
        <f>G270+G266</f>
        <v>14557000</v>
      </c>
      <c r="H265" s="27">
        <f t="shared" ref="H265:I265" si="189">H270+H266</f>
        <v>14557000</v>
      </c>
      <c r="I265" s="27">
        <f t="shared" si="189"/>
        <v>14557000</v>
      </c>
      <c r="J265" s="16">
        <f>'БА в тыс. руб.'!G265*1000</f>
        <v>14557000</v>
      </c>
      <c r="K265" s="169">
        <f t="shared" si="186"/>
        <v>0</v>
      </c>
      <c r="L265" s="16">
        <f>'БА в тыс. руб.'!H265*1000</f>
        <v>14557000</v>
      </c>
      <c r="M265" s="169">
        <f t="shared" si="187"/>
        <v>0</v>
      </c>
      <c r="N265" s="16">
        <f>'БА в тыс. руб.'!I265*1000</f>
        <v>14557000</v>
      </c>
      <c r="O265" s="169">
        <f t="shared" si="188"/>
        <v>0</v>
      </c>
    </row>
    <row r="266" spans="1:15" s="2" customFormat="1" ht="38.25">
      <c r="A266" s="34" t="s">
        <v>237</v>
      </c>
      <c r="B266" s="25" t="s">
        <v>55</v>
      </c>
      <c r="C266" s="26" t="s">
        <v>40</v>
      </c>
      <c r="D266" s="26" t="s">
        <v>66</v>
      </c>
      <c r="E266" s="26" t="s">
        <v>238</v>
      </c>
      <c r="F266" s="26" t="s">
        <v>58</v>
      </c>
      <c r="G266" s="27">
        <f>G267</f>
        <v>1190000</v>
      </c>
      <c r="H266" s="27">
        <f t="shared" ref="H266:I267" si="190">H267</f>
        <v>1190000</v>
      </c>
      <c r="I266" s="27">
        <f t="shared" si="190"/>
        <v>1190000</v>
      </c>
      <c r="J266" s="16">
        <f>'БА в тыс. руб.'!G266*1000</f>
        <v>1190000</v>
      </c>
      <c r="K266" s="169">
        <f t="shared" si="186"/>
        <v>0</v>
      </c>
      <c r="L266" s="16">
        <f>'БА в тыс. руб.'!H266*1000</f>
        <v>1190000</v>
      </c>
      <c r="M266" s="169">
        <f t="shared" si="187"/>
        <v>0</v>
      </c>
      <c r="N266" s="16">
        <f>'БА в тыс. руб.'!I266*1000</f>
        <v>1190000</v>
      </c>
      <c r="O266" s="169">
        <f t="shared" si="188"/>
        <v>0</v>
      </c>
    </row>
    <row r="267" spans="1:15" s="2" customFormat="1" ht="25.5">
      <c r="A267" s="34" t="s">
        <v>120</v>
      </c>
      <c r="B267" s="25" t="s">
        <v>55</v>
      </c>
      <c r="C267" s="26" t="s">
        <v>40</v>
      </c>
      <c r="D267" s="26" t="s">
        <v>66</v>
      </c>
      <c r="E267" s="26" t="s">
        <v>907</v>
      </c>
      <c r="F267" s="26" t="s">
        <v>58</v>
      </c>
      <c r="G267" s="27">
        <f>G268</f>
        <v>1190000</v>
      </c>
      <c r="H267" s="27">
        <f t="shared" si="190"/>
        <v>1190000</v>
      </c>
      <c r="I267" s="27">
        <f t="shared" si="190"/>
        <v>1190000</v>
      </c>
      <c r="J267" s="16">
        <f>'БА в тыс. руб.'!G267*1000</f>
        <v>1190000</v>
      </c>
      <c r="K267" s="169">
        <f t="shared" si="186"/>
        <v>0</v>
      </c>
      <c r="L267" s="16">
        <f>'БА в тыс. руб.'!H267*1000</f>
        <v>1190000</v>
      </c>
      <c r="M267" s="169">
        <f t="shared" si="187"/>
        <v>0</v>
      </c>
      <c r="N267" s="16">
        <f>'БА в тыс. руб.'!I267*1000</f>
        <v>1190000</v>
      </c>
      <c r="O267" s="169">
        <f t="shared" si="188"/>
        <v>0</v>
      </c>
    </row>
    <row r="268" spans="1:15" s="2" customFormat="1" ht="25.5">
      <c r="A268" s="11" t="s">
        <v>108</v>
      </c>
      <c r="B268" s="25" t="s">
        <v>55</v>
      </c>
      <c r="C268" s="26" t="s">
        <v>40</v>
      </c>
      <c r="D268" s="26" t="s">
        <v>66</v>
      </c>
      <c r="E268" s="26" t="s">
        <v>907</v>
      </c>
      <c r="F268" s="26" t="s">
        <v>116</v>
      </c>
      <c r="G268" s="27">
        <f>G269</f>
        <v>1190000</v>
      </c>
      <c r="H268" s="27">
        <f>H269</f>
        <v>1190000</v>
      </c>
      <c r="I268" s="27">
        <f>I269</f>
        <v>1190000</v>
      </c>
      <c r="J268" s="16">
        <f>'БА в тыс. руб.'!G268*1000</f>
        <v>1190000</v>
      </c>
      <c r="K268" s="169">
        <f t="shared" si="186"/>
        <v>0</v>
      </c>
      <c r="L268" s="16">
        <f>'БА в тыс. руб.'!H268*1000</f>
        <v>1190000</v>
      </c>
      <c r="M268" s="169">
        <f t="shared" si="187"/>
        <v>0</v>
      </c>
      <c r="N268" s="16">
        <f>'БА в тыс. руб.'!I268*1000</f>
        <v>1190000</v>
      </c>
      <c r="O268" s="169">
        <f t="shared" si="188"/>
        <v>0</v>
      </c>
    </row>
    <row r="269" spans="1:15" ht="25.5">
      <c r="A269" s="12" t="s">
        <v>973</v>
      </c>
      <c r="B269" s="25" t="s">
        <v>55</v>
      </c>
      <c r="C269" s="26" t="s">
        <v>40</v>
      </c>
      <c r="D269" s="26" t="s">
        <v>66</v>
      </c>
      <c r="E269" s="26" t="s">
        <v>907</v>
      </c>
      <c r="F269" s="26" t="s">
        <v>1043</v>
      </c>
      <c r="G269" s="27">
        <f t="shared" ref="G269" si="191">J269</f>
        <v>1190000</v>
      </c>
      <c r="H269" s="27">
        <f>L269</f>
        <v>1190000</v>
      </c>
      <c r="I269" s="27">
        <f>N269</f>
        <v>1190000</v>
      </c>
      <c r="J269" s="16">
        <f>'БА в тыс. руб.'!G269*1000</f>
        <v>1190000</v>
      </c>
      <c r="K269" s="169">
        <f t="shared" si="186"/>
        <v>0</v>
      </c>
      <c r="L269" s="16">
        <f>'БА в тыс. руб.'!H269*1000</f>
        <v>1190000</v>
      </c>
      <c r="M269" s="169">
        <f t="shared" si="187"/>
        <v>0</v>
      </c>
      <c r="N269" s="16">
        <f>'БА в тыс. руб.'!I269*1000</f>
        <v>1190000</v>
      </c>
      <c r="O269" s="169">
        <f t="shared" si="188"/>
        <v>0</v>
      </c>
    </row>
    <row r="270" spans="1:15" s="3" customFormat="1" ht="38.25">
      <c r="A270" s="34" t="s">
        <v>603</v>
      </c>
      <c r="B270" s="25" t="s">
        <v>55</v>
      </c>
      <c r="C270" s="26" t="s">
        <v>40</v>
      </c>
      <c r="D270" s="26" t="s">
        <v>66</v>
      </c>
      <c r="E270" s="26" t="s">
        <v>239</v>
      </c>
      <c r="F270" s="26" t="s">
        <v>58</v>
      </c>
      <c r="G270" s="27">
        <f>G271</f>
        <v>13367000</v>
      </c>
      <c r="H270" s="27">
        <f t="shared" ref="H270:I270" si="192">H271</f>
        <v>13367000</v>
      </c>
      <c r="I270" s="27">
        <f t="shared" si="192"/>
        <v>13367000</v>
      </c>
      <c r="J270" s="16">
        <f>'БА в тыс. руб.'!G270*1000</f>
        <v>13367000</v>
      </c>
      <c r="K270" s="169">
        <f t="shared" si="186"/>
        <v>0</v>
      </c>
      <c r="L270" s="16">
        <f>'БА в тыс. руб.'!H270*1000</f>
        <v>13367000</v>
      </c>
      <c r="M270" s="169">
        <f t="shared" si="187"/>
        <v>0</v>
      </c>
      <c r="N270" s="16">
        <f>'БА в тыс. руб.'!I270*1000</f>
        <v>13367000</v>
      </c>
      <c r="O270" s="169">
        <f t="shared" si="188"/>
        <v>0</v>
      </c>
    </row>
    <row r="271" spans="1:15" s="3" customFormat="1" ht="25.5">
      <c r="A271" s="34" t="s">
        <v>171</v>
      </c>
      <c r="B271" s="25" t="s">
        <v>55</v>
      </c>
      <c r="C271" s="26" t="s">
        <v>40</v>
      </c>
      <c r="D271" s="26" t="s">
        <v>66</v>
      </c>
      <c r="E271" s="26" t="s">
        <v>929</v>
      </c>
      <c r="F271" s="26" t="s">
        <v>58</v>
      </c>
      <c r="G271" s="27">
        <f t="shared" si="185"/>
        <v>13367000</v>
      </c>
      <c r="H271" s="27">
        <f t="shared" si="185"/>
        <v>13367000</v>
      </c>
      <c r="I271" s="27">
        <f t="shared" si="185"/>
        <v>13367000</v>
      </c>
      <c r="J271" s="16">
        <f>'БА в тыс. руб.'!G271*1000</f>
        <v>13367000</v>
      </c>
      <c r="K271" s="169">
        <f t="shared" si="186"/>
        <v>0</v>
      </c>
      <c r="L271" s="16">
        <f>'БА в тыс. руб.'!H271*1000</f>
        <v>13367000</v>
      </c>
      <c r="M271" s="169">
        <f t="shared" si="187"/>
        <v>0</v>
      </c>
      <c r="N271" s="16">
        <f>'БА в тыс. руб.'!I271*1000</f>
        <v>13367000</v>
      </c>
      <c r="O271" s="169">
        <f t="shared" si="188"/>
        <v>0</v>
      </c>
    </row>
    <row r="272" spans="1:15" s="3" customFormat="1" ht="38.25">
      <c r="A272" s="34" t="s">
        <v>561</v>
      </c>
      <c r="B272" s="25" t="s">
        <v>55</v>
      </c>
      <c r="C272" s="26" t="s">
        <v>40</v>
      </c>
      <c r="D272" s="26" t="s">
        <v>66</v>
      </c>
      <c r="E272" s="26" t="s">
        <v>929</v>
      </c>
      <c r="F272" s="26" t="s">
        <v>101</v>
      </c>
      <c r="G272" s="27">
        <f>G273</f>
        <v>13367000</v>
      </c>
      <c r="H272" s="27">
        <f t="shared" si="185"/>
        <v>13367000</v>
      </c>
      <c r="I272" s="27">
        <f t="shared" si="185"/>
        <v>13367000</v>
      </c>
      <c r="J272" s="16">
        <f>'БА в тыс. руб.'!G272*1000</f>
        <v>13367000</v>
      </c>
      <c r="K272" s="169">
        <f t="shared" si="186"/>
        <v>0</v>
      </c>
      <c r="L272" s="16">
        <f>'БА в тыс. руб.'!H272*1000</f>
        <v>13367000</v>
      </c>
      <c r="M272" s="169">
        <f t="shared" si="187"/>
        <v>0</v>
      </c>
      <c r="N272" s="16">
        <f>'БА в тыс. руб.'!I272*1000</f>
        <v>13367000</v>
      </c>
      <c r="O272" s="169">
        <f t="shared" si="188"/>
        <v>0</v>
      </c>
    </row>
    <row r="273" spans="1:15" s="94" customFormat="1" ht="76.5">
      <c r="A273" s="12" t="s">
        <v>1048</v>
      </c>
      <c r="B273" s="25" t="s">
        <v>55</v>
      </c>
      <c r="C273" s="26" t="s">
        <v>40</v>
      </c>
      <c r="D273" s="26" t="s">
        <v>66</v>
      </c>
      <c r="E273" s="26" t="s">
        <v>929</v>
      </c>
      <c r="F273" s="26" t="s">
        <v>1051</v>
      </c>
      <c r="G273" s="27">
        <f t="shared" ref="G273:G274" si="193">J273</f>
        <v>13367000</v>
      </c>
      <c r="H273" s="27">
        <f t="shared" ref="H273:H274" si="194">L273</f>
        <v>13367000</v>
      </c>
      <c r="I273" s="27">
        <f t="shared" ref="I273:I274" si="195">N273</f>
        <v>13367000</v>
      </c>
      <c r="J273" s="16">
        <f>'БА в тыс. руб.'!G273*1000</f>
        <v>13367000</v>
      </c>
      <c r="K273" s="169">
        <f t="shared" si="186"/>
        <v>0</v>
      </c>
      <c r="L273" s="16">
        <f>'БА в тыс. руб.'!H273*1000</f>
        <v>13367000</v>
      </c>
      <c r="M273" s="169">
        <f t="shared" si="187"/>
        <v>0</v>
      </c>
      <c r="N273" s="16">
        <f>'БА в тыс. руб.'!I273*1000</f>
        <v>13367000</v>
      </c>
      <c r="O273" s="169">
        <f t="shared" si="188"/>
        <v>0</v>
      </c>
    </row>
    <row r="274" spans="1:15" s="71" customFormat="1">
      <c r="A274" s="95"/>
      <c r="B274" s="92"/>
      <c r="C274" s="70"/>
      <c r="D274" s="70"/>
      <c r="E274" s="70"/>
      <c r="F274" s="70"/>
      <c r="G274" s="27">
        <f t="shared" si="193"/>
        <v>0</v>
      </c>
      <c r="H274" s="27">
        <f t="shared" si="194"/>
        <v>0</v>
      </c>
      <c r="I274" s="27">
        <f t="shared" si="195"/>
        <v>0</v>
      </c>
      <c r="J274" s="16">
        <f>'БА в тыс. руб.'!G274*1000</f>
        <v>0</v>
      </c>
      <c r="K274" s="169">
        <f t="shared" si="186"/>
        <v>0</v>
      </c>
      <c r="L274" s="16">
        <f>'БА в тыс. руб.'!H274*1000</f>
        <v>0</v>
      </c>
      <c r="M274" s="169">
        <f t="shared" si="187"/>
        <v>0</v>
      </c>
      <c r="N274" s="16">
        <f>'БА в тыс. руб.'!I274*1000</f>
        <v>0</v>
      </c>
      <c r="O274" s="169">
        <f t="shared" si="188"/>
        <v>0</v>
      </c>
    </row>
    <row r="275" spans="1:15" s="109" customFormat="1" ht="25.5">
      <c r="A275" s="28" t="s">
        <v>60</v>
      </c>
      <c r="B275" s="14" t="s">
        <v>29</v>
      </c>
      <c r="C275" s="15" t="s">
        <v>51</v>
      </c>
      <c r="D275" s="15" t="s">
        <v>51</v>
      </c>
      <c r="E275" s="15" t="s">
        <v>196</v>
      </c>
      <c r="F275" s="15" t="s">
        <v>58</v>
      </c>
      <c r="G275" s="29">
        <f>G276+G323</f>
        <v>81223370</v>
      </c>
      <c r="H275" s="29">
        <f>H276+H323</f>
        <v>67262680</v>
      </c>
      <c r="I275" s="29">
        <f>I276+I323</f>
        <v>67262680</v>
      </c>
      <c r="J275" s="16">
        <f>'БА в тыс. руб.'!G275*1000</f>
        <v>81223370</v>
      </c>
      <c r="K275" s="169">
        <f t="shared" si="186"/>
        <v>0</v>
      </c>
      <c r="L275" s="16">
        <f>'БА в тыс. руб.'!H275*1000</f>
        <v>67262680.000000015</v>
      </c>
      <c r="M275" s="169">
        <f t="shared" si="187"/>
        <v>0</v>
      </c>
      <c r="N275" s="16">
        <f>'БА в тыс. руб.'!I275*1000</f>
        <v>67262680.000000015</v>
      </c>
      <c r="O275" s="169">
        <f t="shared" si="188"/>
        <v>0</v>
      </c>
    </row>
    <row r="276" spans="1:15" s="109" customFormat="1" ht="12.75">
      <c r="A276" s="17" t="s">
        <v>64</v>
      </c>
      <c r="B276" s="18" t="s">
        <v>29</v>
      </c>
      <c r="C276" s="19" t="s">
        <v>65</v>
      </c>
      <c r="D276" s="19" t="s">
        <v>51</v>
      </c>
      <c r="E276" s="19" t="s">
        <v>196</v>
      </c>
      <c r="F276" s="19" t="s">
        <v>58</v>
      </c>
      <c r="G276" s="20">
        <f>G277</f>
        <v>69598090</v>
      </c>
      <c r="H276" s="20">
        <f>H277</f>
        <v>66470680</v>
      </c>
      <c r="I276" s="20">
        <f>I277</f>
        <v>66470680</v>
      </c>
      <c r="J276" s="16">
        <f>'БА в тыс. руб.'!G276*1000</f>
        <v>69598090</v>
      </c>
      <c r="K276" s="169">
        <f t="shared" si="186"/>
        <v>0</v>
      </c>
      <c r="L276" s="16">
        <f>'БА в тыс. руб.'!H276*1000</f>
        <v>66470680.000000007</v>
      </c>
      <c r="M276" s="169">
        <f t="shared" si="187"/>
        <v>0</v>
      </c>
      <c r="N276" s="16">
        <f>'БА в тыс. руб.'!I276*1000</f>
        <v>66470680.000000007</v>
      </c>
      <c r="O276" s="169">
        <f t="shared" si="188"/>
        <v>0</v>
      </c>
    </row>
    <row r="277" spans="1:15" s="109" customFormat="1" ht="12.75">
      <c r="A277" s="21" t="s">
        <v>38</v>
      </c>
      <c r="B277" s="22" t="s">
        <v>29</v>
      </c>
      <c r="C277" s="23" t="s">
        <v>65</v>
      </c>
      <c r="D277" s="23" t="s">
        <v>84</v>
      </c>
      <c r="E277" s="23" t="s">
        <v>196</v>
      </c>
      <c r="F277" s="23" t="s">
        <v>58</v>
      </c>
      <c r="G277" s="24">
        <f>G278+G308+G296+G302</f>
        <v>69598090</v>
      </c>
      <c r="H277" s="24">
        <f>H278+H308+H296+H302</f>
        <v>66470680</v>
      </c>
      <c r="I277" s="24">
        <f>I278+I308+I296+I302</f>
        <v>66470680</v>
      </c>
      <c r="J277" s="16">
        <f>'БА в тыс. руб.'!G277*1000</f>
        <v>69598090</v>
      </c>
      <c r="K277" s="169">
        <f t="shared" si="186"/>
        <v>0</v>
      </c>
      <c r="L277" s="16">
        <f>'БА в тыс. руб.'!H277*1000</f>
        <v>66470680.000000007</v>
      </c>
      <c r="M277" s="169">
        <f t="shared" si="187"/>
        <v>0</v>
      </c>
      <c r="N277" s="16">
        <f>'БА в тыс. руб.'!I277*1000</f>
        <v>66470680.000000007</v>
      </c>
      <c r="O277" s="169">
        <f t="shared" si="188"/>
        <v>0</v>
      </c>
    </row>
    <row r="278" spans="1:15" s="109" customFormat="1" ht="38.25">
      <c r="A278" s="13" t="s">
        <v>745</v>
      </c>
      <c r="B278" s="25" t="s">
        <v>29</v>
      </c>
      <c r="C278" s="26" t="s">
        <v>65</v>
      </c>
      <c r="D278" s="26" t="s">
        <v>84</v>
      </c>
      <c r="E278" s="26" t="s">
        <v>280</v>
      </c>
      <c r="F278" s="26" t="s">
        <v>58</v>
      </c>
      <c r="G278" s="27">
        <f>G279</f>
        <v>5231410</v>
      </c>
      <c r="H278" s="27">
        <f>H279</f>
        <v>5065270</v>
      </c>
      <c r="I278" s="27">
        <f>I279</f>
        <v>5065270</v>
      </c>
      <c r="J278" s="16">
        <f>'БА в тыс. руб.'!G278*1000</f>
        <v>5231410.0000000009</v>
      </c>
      <c r="K278" s="169">
        <f t="shared" si="186"/>
        <v>0</v>
      </c>
      <c r="L278" s="16">
        <f>'БА в тыс. руб.'!H278*1000</f>
        <v>5065270</v>
      </c>
      <c r="M278" s="169">
        <f t="shared" si="187"/>
        <v>0</v>
      </c>
      <c r="N278" s="16">
        <f>'БА в тыс. руб.'!I278*1000</f>
        <v>5065270</v>
      </c>
      <c r="O278" s="169">
        <f t="shared" si="188"/>
        <v>0</v>
      </c>
    </row>
    <row r="279" spans="1:15" s="109" customFormat="1" ht="51">
      <c r="A279" s="13" t="s">
        <v>746</v>
      </c>
      <c r="B279" s="25" t="s">
        <v>29</v>
      </c>
      <c r="C279" s="26" t="s">
        <v>65</v>
      </c>
      <c r="D279" s="26" t="s">
        <v>84</v>
      </c>
      <c r="E279" s="26" t="s">
        <v>281</v>
      </c>
      <c r="F279" s="26" t="s">
        <v>58</v>
      </c>
      <c r="G279" s="27">
        <f>G280+G292</f>
        <v>5231410</v>
      </c>
      <c r="H279" s="27">
        <f>H280+H292</f>
        <v>5065270</v>
      </c>
      <c r="I279" s="27">
        <f>I280+I292</f>
        <v>5065270</v>
      </c>
      <c r="J279" s="16">
        <f>'БА в тыс. руб.'!G279*1000</f>
        <v>5231410.0000000009</v>
      </c>
      <c r="K279" s="169">
        <f t="shared" si="186"/>
        <v>0</v>
      </c>
      <c r="L279" s="16">
        <f>'БА в тыс. руб.'!H279*1000</f>
        <v>5065270</v>
      </c>
      <c r="M279" s="169">
        <f t="shared" si="187"/>
        <v>0</v>
      </c>
      <c r="N279" s="16">
        <f>'БА в тыс. руб.'!I279*1000</f>
        <v>5065270</v>
      </c>
      <c r="O279" s="169">
        <f t="shared" si="188"/>
        <v>0</v>
      </c>
    </row>
    <row r="280" spans="1:15" s="109" customFormat="1" ht="38.25">
      <c r="A280" s="11" t="s">
        <v>282</v>
      </c>
      <c r="B280" s="25" t="s">
        <v>29</v>
      </c>
      <c r="C280" s="26" t="s">
        <v>65</v>
      </c>
      <c r="D280" s="26" t="s">
        <v>84</v>
      </c>
      <c r="E280" s="26" t="s">
        <v>283</v>
      </c>
      <c r="F280" s="26" t="s">
        <v>58</v>
      </c>
      <c r="G280" s="27">
        <f>G281+G286+G289</f>
        <v>4850610</v>
      </c>
      <c r="H280" s="27">
        <f>H281+H286+H289</f>
        <v>4722550</v>
      </c>
      <c r="I280" s="27">
        <f>I281+I286+I289</f>
        <v>4722550</v>
      </c>
      <c r="J280" s="16">
        <f>'БА в тыс. руб.'!G280*1000</f>
        <v>4850610.0000000009</v>
      </c>
      <c r="K280" s="169">
        <f t="shared" si="186"/>
        <v>0</v>
      </c>
      <c r="L280" s="16">
        <f>'БА в тыс. руб.'!H280*1000</f>
        <v>4722550</v>
      </c>
      <c r="M280" s="169">
        <f t="shared" si="187"/>
        <v>0</v>
      </c>
      <c r="N280" s="16">
        <f>'БА в тыс. руб.'!I280*1000</f>
        <v>4722550</v>
      </c>
      <c r="O280" s="169">
        <f t="shared" si="188"/>
        <v>0</v>
      </c>
    </row>
    <row r="281" spans="1:15" s="109" customFormat="1" ht="51">
      <c r="A281" s="11" t="s">
        <v>165</v>
      </c>
      <c r="B281" s="25" t="s">
        <v>29</v>
      </c>
      <c r="C281" s="26" t="s">
        <v>65</v>
      </c>
      <c r="D281" s="26" t="s">
        <v>84</v>
      </c>
      <c r="E281" s="26" t="s">
        <v>284</v>
      </c>
      <c r="F281" s="26" t="s">
        <v>58</v>
      </c>
      <c r="G281" s="27">
        <f>G282+G284</f>
        <v>1363000</v>
      </c>
      <c r="H281" s="27">
        <f t="shared" ref="H281:I281" si="196">H282+H284</f>
        <v>1261000</v>
      </c>
      <c r="I281" s="27">
        <f t="shared" si="196"/>
        <v>1261000</v>
      </c>
      <c r="J281" s="16">
        <f>'БА в тыс. руб.'!G281*1000</f>
        <v>1363000</v>
      </c>
      <c r="K281" s="169">
        <f t="shared" si="186"/>
        <v>0</v>
      </c>
      <c r="L281" s="16">
        <f>'БА в тыс. руб.'!H281*1000</f>
        <v>1261000</v>
      </c>
      <c r="M281" s="169">
        <f t="shared" si="187"/>
        <v>0</v>
      </c>
      <c r="N281" s="16">
        <f>'БА в тыс. руб.'!I281*1000</f>
        <v>1261000</v>
      </c>
      <c r="O281" s="169">
        <f t="shared" si="188"/>
        <v>0</v>
      </c>
    </row>
    <row r="282" spans="1:15" s="109" customFormat="1" ht="25.5">
      <c r="A282" s="11" t="s">
        <v>108</v>
      </c>
      <c r="B282" s="25" t="s">
        <v>29</v>
      </c>
      <c r="C282" s="26" t="s">
        <v>65</v>
      </c>
      <c r="D282" s="26" t="s">
        <v>84</v>
      </c>
      <c r="E282" s="26" t="s">
        <v>284</v>
      </c>
      <c r="F282" s="26" t="s">
        <v>116</v>
      </c>
      <c r="G282" s="27">
        <f>G283</f>
        <v>1350000</v>
      </c>
      <c r="H282" s="27">
        <f t="shared" ref="H282:I282" si="197">H283</f>
        <v>1250000</v>
      </c>
      <c r="I282" s="27">
        <f t="shared" si="197"/>
        <v>1250000</v>
      </c>
      <c r="J282" s="16">
        <f>'БА в тыс. руб.'!G282*1000</f>
        <v>1350000</v>
      </c>
      <c r="K282" s="169">
        <f t="shared" si="186"/>
        <v>0</v>
      </c>
      <c r="L282" s="16">
        <f>'БА в тыс. руб.'!H282*1000</f>
        <v>1250000</v>
      </c>
      <c r="M282" s="169">
        <f t="shared" si="187"/>
        <v>0</v>
      </c>
      <c r="N282" s="16">
        <f>'БА в тыс. руб.'!I282*1000</f>
        <v>1250000</v>
      </c>
      <c r="O282" s="169">
        <f t="shared" si="188"/>
        <v>0</v>
      </c>
    </row>
    <row r="283" spans="1:15" s="110" customFormat="1" ht="25.5">
      <c r="A283" s="12" t="s">
        <v>973</v>
      </c>
      <c r="B283" s="25" t="s">
        <v>29</v>
      </c>
      <c r="C283" s="26" t="s">
        <v>65</v>
      </c>
      <c r="D283" s="26" t="s">
        <v>84</v>
      </c>
      <c r="E283" s="26" t="s">
        <v>284</v>
      </c>
      <c r="F283" s="26" t="s">
        <v>1043</v>
      </c>
      <c r="G283" s="27">
        <f t="shared" ref="G283" si="198">J283</f>
        <v>1350000</v>
      </c>
      <c r="H283" s="27">
        <f>L283</f>
        <v>1250000</v>
      </c>
      <c r="I283" s="27">
        <f>N283</f>
        <v>1250000</v>
      </c>
      <c r="J283" s="16">
        <f>'БА в тыс. руб.'!G283*1000</f>
        <v>1350000</v>
      </c>
      <c r="K283" s="169">
        <f t="shared" si="186"/>
        <v>0</v>
      </c>
      <c r="L283" s="16">
        <f>'БА в тыс. руб.'!H283*1000</f>
        <v>1250000</v>
      </c>
      <c r="M283" s="169">
        <f t="shared" si="187"/>
        <v>0</v>
      </c>
      <c r="N283" s="16">
        <f>'БА в тыс. руб.'!I283*1000</f>
        <v>1250000</v>
      </c>
      <c r="O283" s="169">
        <f t="shared" si="188"/>
        <v>0</v>
      </c>
    </row>
    <row r="284" spans="1:15" s="109" customFormat="1" ht="12.75">
      <c r="A284" s="11" t="s">
        <v>97</v>
      </c>
      <c r="B284" s="25" t="s">
        <v>29</v>
      </c>
      <c r="C284" s="26" t="s">
        <v>65</v>
      </c>
      <c r="D284" s="26" t="s">
        <v>84</v>
      </c>
      <c r="E284" s="26" t="s">
        <v>284</v>
      </c>
      <c r="F284" s="26" t="s">
        <v>118</v>
      </c>
      <c r="G284" s="27">
        <f>G285</f>
        <v>13000</v>
      </c>
      <c r="H284" s="27">
        <f t="shared" ref="H284:I284" si="199">H285</f>
        <v>11000</v>
      </c>
      <c r="I284" s="27">
        <f t="shared" si="199"/>
        <v>11000</v>
      </c>
      <c r="J284" s="16">
        <f>'БА в тыс. руб.'!G284*1000</f>
        <v>13000</v>
      </c>
      <c r="K284" s="169">
        <f t="shared" si="186"/>
        <v>0</v>
      </c>
      <c r="L284" s="16">
        <f>'БА в тыс. руб.'!H284*1000</f>
        <v>11000</v>
      </c>
      <c r="M284" s="169">
        <f t="shared" si="187"/>
        <v>0</v>
      </c>
      <c r="N284" s="16">
        <f>'БА в тыс. руб.'!I284*1000</f>
        <v>11000</v>
      </c>
      <c r="O284" s="169">
        <f t="shared" si="188"/>
        <v>0</v>
      </c>
    </row>
    <row r="285" spans="1:15" s="110" customFormat="1" ht="12.75">
      <c r="A285" s="12" t="s">
        <v>1037</v>
      </c>
      <c r="B285" s="25" t="s">
        <v>29</v>
      </c>
      <c r="C285" s="26" t="s">
        <v>65</v>
      </c>
      <c r="D285" s="26" t="s">
        <v>84</v>
      </c>
      <c r="E285" s="26" t="s">
        <v>284</v>
      </c>
      <c r="F285" s="26" t="s">
        <v>1062</v>
      </c>
      <c r="G285" s="27">
        <f t="shared" ref="G285" si="200">J285</f>
        <v>13000</v>
      </c>
      <c r="H285" s="27">
        <f>L285</f>
        <v>11000</v>
      </c>
      <c r="I285" s="27">
        <f>N285</f>
        <v>11000</v>
      </c>
      <c r="J285" s="16">
        <f>'БА в тыс. руб.'!G285*1000</f>
        <v>13000</v>
      </c>
      <c r="K285" s="169">
        <f t="shared" si="186"/>
        <v>0</v>
      </c>
      <c r="L285" s="16">
        <f>'БА в тыс. руб.'!H285*1000</f>
        <v>11000</v>
      </c>
      <c r="M285" s="169">
        <f t="shared" si="187"/>
        <v>0</v>
      </c>
      <c r="N285" s="16">
        <f>'БА в тыс. руб.'!I285*1000</f>
        <v>11000</v>
      </c>
      <c r="O285" s="169">
        <f t="shared" si="188"/>
        <v>0</v>
      </c>
    </row>
    <row r="286" spans="1:15" s="109" customFormat="1" ht="27" customHeight="1">
      <c r="A286" s="11" t="s">
        <v>166</v>
      </c>
      <c r="B286" s="25" t="s">
        <v>29</v>
      </c>
      <c r="C286" s="26" t="s">
        <v>65</v>
      </c>
      <c r="D286" s="26" t="s">
        <v>84</v>
      </c>
      <c r="E286" s="26" t="s">
        <v>285</v>
      </c>
      <c r="F286" s="26" t="s">
        <v>58</v>
      </c>
      <c r="G286" s="27">
        <f>G287</f>
        <v>1729980</v>
      </c>
      <c r="H286" s="27">
        <f>H287</f>
        <v>1703920</v>
      </c>
      <c r="I286" s="27">
        <f>I287</f>
        <v>1703920</v>
      </c>
      <c r="J286" s="16">
        <f>'БА в тыс. руб.'!G286*1000</f>
        <v>1729980</v>
      </c>
      <c r="K286" s="169">
        <f t="shared" si="186"/>
        <v>0</v>
      </c>
      <c r="L286" s="16">
        <f>'БА в тыс. руб.'!H286*1000</f>
        <v>1703920</v>
      </c>
      <c r="M286" s="169">
        <f t="shared" si="187"/>
        <v>0</v>
      </c>
      <c r="N286" s="16">
        <f>'БА в тыс. руб.'!I286*1000</f>
        <v>1703920</v>
      </c>
      <c r="O286" s="169">
        <f t="shared" si="188"/>
        <v>0</v>
      </c>
    </row>
    <row r="287" spans="1:15" s="109" customFormat="1" ht="27" customHeight="1">
      <c r="A287" s="11" t="s">
        <v>108</v>
      </c>
      <c r="B287" s="25" t="s">
        <v>29</v>
      </c>
      <c r="C287" s="26" t="s">
        <v>65</v>
      </c>
      <c r="D287" s="26" t="s">
        <v>84</v>
      </c>
      <c r="E287" s="26" t="s">
        <v>285</v>
      </c>
      <c r="F287" s="26" t="s">
        <v>116</v>
      </c>
      <c r="G287" s="27">
        <f>G288</f>
        <v>1729980</v>
      </c>
      <c r="H287" s="27">
        <f t="shared" ref="H287:I287" si="201">H288</f>
        <v>1703920</v>
      </c>
      <c r="I287" s="27">
        <f t="shared" si="201"/>
        <v>1703920</v>
      </c>
      <c r="J287" s="16">
        <f>'БА в тыс. руб.'!G287*1000</f>
        <v>1729980</v>
      </c>
      <c r="K287" s="169">
        <f t="shared" si="186"/>
        <v>0</v>
      </c>
      <c r="L287" s="16">
        <f>'БА в тыс. руб.'!H287*1000</f>
        <v>1703920</v>
      </c>
      <c r="M287" s="169">
        <f t="shared" si="187"/>
        <v>0</v>
      </c>
      <c r="N287" s="16">
        <f>'БА в тыс. руб.'!I287*1000</f>
        <v>1703920</v>
      </c>
      <c r="O287" s="169">
        <f t="shared" si="188"/>
        <v>0</v>
      </c>
    </row>
    <row r="288" spans="1:15" s="110" customFormat="1" ht="27" customHeight="1">
      <c r="A288" s="12" t="s">
        <v>973</v>
      </c>
      <c r="B288" s="25" t="s">
        <v>29</v>
      </c>
      <c r="C288" s="26" t="s">
        <v>65</v>
      </c>
      <c r="D288" s="26" t="s">
        <v>84</v>
      </c>
      <c r="E288" s="26" t="s">
        <v>285</v>
      </c>
      <c r="F288" s="26" t="s">
        <v>1043</v>
      </c>
      <c r="G288" s="27">
        <f t="shared" ref="G288" si="202">J288</f>
        <v>1729980</v>
      </c>
      <c r="H288" s="27">
        <f>L288</f>
        <v>1703920</v>
      </c>
      <c r="I288" s="27">
        <f>N288</f>
        <v>1703920</v>
      </c>
      <c r="J288" s="16">
        <f>'БА в тыс. руб.'!G288*1000</f>
        <v>1729980</v>
      </c>
      <c r="K288" s="169">
        <f t="shared" si="186"/>
        <v>0</v>
      </c>
      <c r="L288" s="16">
        <f>'БА в тыс. руб.'!H288*1000</f>
        <v>1703920</v>
      </c>
      <c r="M288" s="169">
        <f t="shared" si="187"/>
        <v>0</v>
      </c>
      <c r="N288" s="16">
        <f>'БА в тыс. руб.'!I288*1000</f>
        <v>1703920</v>
      </c>
      <c r="O288" s="169">
        <f t="shared" si="188"/>
        <v>0</v>
      </c>
    </row>
    <row r="289" spans="1:15" s="109" customFormat="1" ht="27" customHeight="1">
      <c r="A289" s="11" t="s">
        <v>859</v>
      </c>
      <c r="B289" s="25" t="s">
        <v>29</v>
      </c>
      <c r="C289" s="26" t="s">
        <v>65</v>
      </c>
      <c r="D289" s="26" t="s">
        <v>84</v>
      </c>
      <c r="E289" s="26" t="s">
        <v>858</v>
      </c>
      <c r="F289" s="26" t="s">
        <v>58</v>
      </c>
      <c r="G289" s="27">
        <f>G290</f>
        <v>1757630</v>
      </c>
      <c r="H289" s="27">
        <f t="shared" ref="H289:I290" si="203">H290</f>
        <v>1757630</v>
      </c>
      <c r="I289" s="27">
        <f t="shared" si="203"/>
        <v>1757630</v>
      </c>
      <c r="J289" s="16">
        <f>'БА в тыс. руб.'!G289*1000</f>
        <v>1757630</v>
      </c>
      <c r="K289" s="169">
        <f t="shared" si="186"/>
        <v>0</v>
      </c>
      <c r="L289" s="16">
        <f>'БА в тыс. руб.'!H289*1000</f>
        <v>1757630</v>
      </c>
      <c r="M289" s="169">
        <f t="shared" si="187"/>
        <v>0</v>
      </c>
      <c r="N289" s="16">
        <f>'БА в тыс. руб.'!I289*1000</f>
        <v>1757630</v>
      </c>
      <c r="O289" s="169">
        <f t="shared" si="188"/>
        <v>0</v>
      </c>
    </row>
    <row r="290" spans="1:15" s="109" customFormat="1" ht="25.5">
      <c r="A290" s="11" t="s">
        <v>108</v>
      </c>
      <c r="B290" s="25" t="s">
        <v>29</v>
      </c>
      <c r="C290" s="26" t="s">
        <v>65</v>
      </c>
      <c r="D290" s="26" t="s">
        <v>84</v>
      </c>
      <c r="E290" s="26" t="s">
        <v>858</v>
      </c>
      <c r="F290" s="26" t="s">
        <v>116</v>
      </c>
      <c r="G290" s="27">
        <f>G291</f>
        <v>1757630</v>
      </c>
      <c r="H290" s="27">
        <f t="shared" si="203"/>
        <v>1757630</v>
      </c>
      <c r="I290" s="27">
        <f t="shared" si="203"/>
        <v>1757630</v>
      </c>
      <c r="J290" s="16">
        <f>'БА в тыс. руб.'!G290*1000</f>
        <v>1757630</v>
      </c>
      <c r="K290" s="169">
        <f t="shared" si="186"/>
        <v>0</v>
      </c>
      <c r="L290" s="16">
        <f>'БА в тыс. руб.'!H290*1000</f>
        <v>1757630</v>
      </c>
      <c r="M290" s="169">
        <f t="shared" si="187"/>
        <v>0</v>
      </c>
      <c r="N290" s="16">
        <f>'БА в тыс. руб.'!I290*1000</f>
        <v>1757630</v>
      </c>
      <c r="O290" s="169">
        <f t="shared" si="188"/>
        <v>0</v>
      </c>
    </row>
    <row r="291" spans="1:15" s="110" customFormat="1" ht="25.5">
      <c r="A291" s="12" t="s">
        <v>973</v>
      </c>
      <c r="B291" s="25" t="s">
        <v>29</v>
      </c>
      <c r="C291" s="26" t="s">
        <v>65</v>
      </c>
      <c r="D291" s="26" t="s">
        <v>84</v>
      </c>
      <c r="E291" s="26" t="s">
        <v>858</v>
      </c>
      <c r="F291" s="26" t="s">
        <v>1043</v>
      </c>
      <c r="G291" s="27">
        <f t="shared" ref="G291" si="204">J291</f>
        <v>1757630</v>
      </c>
      <c r="H291" s="27">
        <f>L291</f>
        <v>1757630</v>
      </c>
      <c r="I291" s="27">
        <f>N291</f>
        <v>1757630</v>
      </c>
      <c r="J291" s="16">
        <f>'БА в тыс. руб.'!G291*1000</f>
        <v>1757630</v>
      </c>
      <c r="K291" s="169">
        <f t="shared" si="186"/>
        <v>0</v>
      </c>
      <c r="L291" s="16">
        <f>'БА в тыс. руб.'!H291*1000</f>
        <v>1757630</v>
      </c>
      <c r="M291" s="169">
        <f t="shared" si="187"/>
        <v>0</v>
      </c>
      <c r="N291" s="16">
        <f>'БА в тыс. руб.'!I291*1000</f>
        <v>1757630</v>
      </c>
      <c r="O291" s="169">
        <f t="shared" si="188"/>
        <v>0</v>
      </c>
    </row>
    <row r="292" spans="1:15" s="109" customFormat="1" ht="51">
      <c r="A292" s="76" t="s">
        <v>852</v>
      </c>
      <c r="B292" s="25" t="s">
        <v>29</v>
      </c>
      <c r="C292" s="26" t="s">
        <v>65</v>
      </c>
      <c r="D292" s="26" t="s">
        <v>84</v>
      </c>
      <c r="E292" s="26" t="s">
        <v>289</v>
      </c>
      <c r="F292" s="26" t="s">
        <v>58</v>
      </c>
      <c r="G292" s="27">
        <f t="shared" ref="G292:I294" si="205">G293</f>
        <v>380800</v>
      </c>
      <c r="H292" s="27">
        <f t="shared" si="205"/>
        <v>342720</v>
      </c>
      <c r="I292" s="27">
        <f t="shared" si="205"/>
        <v>342720</v>
      </c>
      <c r="J292" s="16">
        <f>'БА в тыс. руб.'!G292*1000</f>
        <v>380800</v>
      </c>
      <c r="K292" s="169">
        <f t="shared" si="186"/>
        <v>0</v>
      </c>
      <c r="L292" s="16">
        <f>'БА в тыс. руб.'!H292*1000</f>
        <v>342720</v>
      </c>
      <c r="M292" s="169">
        <f t="shared" si="187"/>
        <v>0</v>
      </c>
      <c r="N292" s="16">
        <f>'БА в тыс. руб.'!I292*1000</f>
        <v>342720</v>
      </c>
      <c r="O292" s="169">
        <f t="shared" si="188"/>
        <v>0</v>
      </c>
    </row>
    <row r="293" spans="1:15" s="109" customFormat="1" ht="51">
      <c r="A293" s="11" t="s">
        <v>168</v>
      </c>
      <c r="B293" s="25" t="s">
        <v>29</v>
      </c>
      <c r="C293" s="26" t="s">
        <v>65</v>
      </c>
      <c r="D293" s="26" t="s">
        <v>84</v>
      </c>
      <c r="E293" s="26" t="s">
        <v>290</v>
      </c>
      <c r="F293" s="26" t="s">
        <v>58</v>
      </c>
      <c r="G293" s="27">
        <f t="shared" si="205"/>
        <v>380800</v>
      </c>
      <c r="H293" s="27">
        <f t="shared" si="205"/>
        <v>342720</v>
      </c>
      <c r="I293" s="27">
        <f t="shared" si="205"/>
        <v>342720</v>
      </c>
      <c r="J293" s="16">
        <f>'БА в тыс. руб.'!G293*1000</f>
        <v>380800</v>
      </c>
      <c r="K293" s="169">
        <f t="shared" si="186"/>
        <v>0</v>
      </c>
      <c r="L293" s="16">
        <f>'БА в тыс. руб.'!H293*1000</f>
        <v>342720</v>
      </c>
      <c r="M293" s="169">
        <f t="shared" si="187"/>
        <v>0</v>
      </c>
      <c r="N293" s="16">
        <f>'БА в тыс. руб.'!I293*1000</f>
        <v>342720</v>
      </c>
      <c r="O293" s="169">
        <f t="shared" si="188"/>
        <v>0</v>
      </c>
    </row>
    <row r="294" spans="1:15" s="109" customFormat="1" ht="25.5">
      <c r="A294" s="11" t="s">
        <v>108</v>
      </c>
      <c r="B294" s="25" t="s">
        <v>29</v>
      </c>
      <c r="C294" s="26" t="s">
        <v>65</v>
      </c>
      <c r="D294" s="26" t="s">
        <v>84</v>
      </c>
      <c r="E294" s="26" t="s">
        <v>290</v>
      </c>
      <c r="F294" s="26" t="s">
        <v>116</v>
      </c>
      <c r="G294" s="27">
        <f>G295</f>
        <v>380800</v>
      </c>
      <c r="H294" s="27">
        <f t="shared" si="205"/>
        <v>342720</v>
      </c>
      <c r="I294" s="27">
        <f t="shared" si="205"/>
        <v>342720</v>
      </c>
      <c r="J294" s="16">
        <f>'БА в тыс. руб.'!G294*1000</f>
        <v>380800</v>
      </c>
      <c r="K294" s="169">
        <f t="shared" si="186"/>
        <v>0</v>
      </c>
      <c r="L294" s="16">
        <f>'БА в тыс. руб.'!H294*1000</f>
        <v>342720</v>
      </c>
      <c r="M294" s="169">
        <f t="shared" si="187"/>
        <v>0</v>
      </c>
      <c r="N294" s="16">
        <f>'БА в тыс. руб.'!I294*1000</f>
        <v>342720</v>
      </c>
      <c r="O294" s="169">
        <f t="shared" si="188"/>
        <v>0</v>
      </c>
    </row>
    <row r="295" spans="1:15" s="110" customFormat="1" ht="25.5">
      <c r="A295" s="12" t="s">
        <v>973</v>
      </c>
      <c r="B295" s="25" t="s">
        <v>29</v>
      </c>
      <c r="C295" s="26" t="s">
        <v>65</v>
      </c>
      <c r="D295" s="26" t="s">
        <v>84</v>
      </c>
      <c r="E295" s="26" t="s">
        <v>290</v>
      </c>
      <c r="F295" s="26" t="s">
        <v>1043</v>
      </c>
      <c r="G295" s="27">
        <f t="shared" ref="G295" si="206">J295</f>
        <v>380800</v>
      </c>
      <c r="H295" s="27">
        <f>L295</f>
        <v>342720</v>
      </c>
      <c r="I295" s="27">
        <f>N295</f>
        <v>342720</v>
      </c>
      <c r="J295" s="16">
        <f>'БА в тыс. руб.'!G295*1000</f>
        <v>380800</v>
      </c>
      <c r="K295" s="169">
        <f t="shared" si="186"/>
        <v>0</v>
      </c>
      <c r="L295" s="16">
        <f>'БА в тыс. руб.'!H295*1000</f>
        <v>342720</v>
      </c>
      <c r="M295" s="169">
        <f t="shared" si="187"/>
        <v>0</v>
      </c>
      <c r="N295" s="16">
        <f>'БА в тыс. руб.'!I295*1000</f>
        <v>342720</v>
      </c>
      <c r="O295" s="169">
        <f t="shared" si="188"/>
        <v>0</v>
      </c>
    </row>
    <row r="296" spans="1:15" s="109" customFormat="1" ht="38.25">
      <c r="A296" s="34" t="s">
        <v>751</v>
      </c>
      <c r="B296" s="25" t="s">
        <v>29</v>
      </c>
      <c r="C296" s="26" t="s">
        <v>65</v>
      </c>
      <c r="D296" s="26" t="s">
        <v>84</v>
      </c>
      <c r="E296" s="26" t="s">
        <v>229</v>
      </c>
      <c r="F296" s="26" t="s">
        <v>58</v>
      </c>
      <c r="G296" s="27">
        <f t="shared" ref="G296:I300" si="207">G297</f>
        <v>478000</v>
      </c>
      <c r="H296" s="27">
        <f t="shared" si="207"/>
        <v>478000</v>
      </c>
      <c r="I296" s="27">
        <f t="shared" si="207"/>
        <v>478000</v>
      </c>
      <c r="J296" s="16">
        <f>'БА в тыс. руб.'!G296*1000</f>
        <v>478000</v>
      </c>
      <c r="K296" s="169">
        <f t="shared" si="186"/>
        <v>0</v>
      </c>
      <c r="L296" s="16">
        <f>'БА в тыс. руб.'!H296*1000</f>
        <v>478000</v>
      </c>
      <c r="M296" s="169">
        <f t="shared" si="187"/>
        <v>0</v>
      </c>
      <c r="N296" s="16">
        <f>'БА в тыс. руб.'!I296*1000</f>
        <v>478000</v>
      </c>
      <c r="O296" s="169">
        <f t="shared" si="188"/>
        <v>0</v>
      </c>
    </row>
    <row r="297" spans="1:15" s="109" customFormat="1" ht="25.5">
      <c r="A297" s="34" t="s">
        <v>119</v>
      </c>
      <c r="B297" s="25" t="s">
        <v>29</v>
      </c>
      <c r="C297" s="26" t="s">
        <v>65</v>
      </c>
      <c r="D297" s="26" t="s">
        <v>84</v>
      </c>
      <c r="E297" s="26" t="s">
        <v>230</v>
      </c>
      <c r="F297" s="26" t="s">
        <v>58</v>
      </c>
      <c r="G297" s="27">
        <f t="shared" si="207"/>
        <v>478000</v>
      </c>
      <c r="H297" s="27">
        <f t="shared" si="207"/>
        <v>478000</v>
      </c>
      <c r="I297" s="27">
        <f t="shared" si="207"/>
        <v>478000</v>
      </c>
      <c r="J297" s="16">
        <f>'БА в тыс. руб.'!G297*1000</f>
        <v>478000</v>
      </c>
      <c r="K297" s="169">
        <f t="shared" si="186"/>
        <v>0</v>
      </c>
      <c r="L297" s="16">
        <f>'БА в тыс. руб.'!H297*1000</f>
        <v>478000</v>
      </c>
      <c r="M297" s="169">
        <f t="shared" si="187"/>
        <v>0</v>
      </c>
      <c r="N297" s="16">
        <f>'БА в тыс. руб.'!I297*1000</f>
        <v>478000</v>
      </c>
      <c r="O297" s="169">
        <f t="shared" si="188"/>
        <v>0</v>
      </c>
    </row>
    <row r="298" spans="1:15" s="109" customFormat="1" ht="38.25">
      <c r="A298" s="34" t="s">
        <v>234</v>
      </c>
      <c r="B298" s="25" t="s">
        <v>29</v>
      </c>
      <c r="C298" s="26" t="s">
        <v>65</v>
      </c>
      <c r="D298" s="26" t="s">
        <v>84</v>
      </c>
      <c r="E298" s="26" t="s">
        <v>235</v>
      </c>
      <c r="F298" s="26" t="s">
        <v>58</v>
      </c>
      <c r="G298" s="27">
        <f t="shared" si="207"/>
        <v>478000</v>
      </c>
      <c r="H298" s="27">
        <f t="shared" si="207"/>
        <v>478000</v>
      </c>
      <c r="I298" s="27">
        <f t="shared" si="207"/>
        <v>478000</v>
      </c>
      <c r="J298" s="16">
        <f>'БА в тыс. руб.'!G298*1000</f>
        <v>478000</v>
      </c>
      <c r="K298" s="169">
        <f t="shared" si="186"/>
        <v>0</v>
      </c>
      <c r="L298" s="16">
        <f>'БА в тыс. руб.'!H298*1000</f>
        <v>478000</v>
      </c>
      <c r="M298" s="169">
        <f t="shared" si="187"/>
        <v>0</v>
      </c>
      <c r="N298" s="16">
        <f>'БА в тыс. руб.'!I298*1000</f>
        <v>478000</v>
      </c>
      <c r="O298" s="169">
        <f t="shared" si="188"/>
        <v>0</v>
      </c>
    </row>
    <row r="299" spans="1:15" s="109" customFormat="1" ht="25.5">
      <c r="A299" s="34" t="s">
        <v>170</v>
      </c>
      <c r="B299" s="25" t="s">
        <v>29</v>
      </c>
      <c r="C299" s="26" t="s">
        <v>65</v>
      </c>
      <c r="D299" s="26" t="s">
        <v>84</v>
      </c>
      <c r="E299" s="26" t="s">
        <v>236</v>
      </c>
      <c r="F299" s="26" t="s">
        <v>58</v>
      </c>
      <c r="G299" s="27">
        <f t="shared" si="207"/>
        <v>478000</v>
      </c>
      <c r="H299" s="27">
        <f t="shared" si="207"/>
        <v>478000</v>
      </c>
      <c r="I299" s="27">
        <f t="shared" si="207"/>
        <v>478000</v>
      </c>
      <c r="J299" s="16">
        <f>'БА в тыс. руб.'!G299*1000</f>
        <v>478000</v>
      </c>
      <c r="K299" s="169">
        <f t="shared" si="186"/>
        <v>0</v>
      </c>
      <c r="L299" s="16">
        <f>'БА в тыс. руб.'!H299*1000</f>
        <v>478000</v>
      </c>
      <c r="M299" s="169">
        <f t="shared" si="187"/>
        <v>0</v>
      </c>
      <c r="N299" s="16">
        <f>'БА в тыс. руб.'!I299*1000</f>
        <v>478000</v>
      </c>
      <c r="O299" s="169">
        <f t="shared" si="188"/>
        <v>0</v>
      </c>
    </row>
    <row r="300" spans="1:15" s="109" customFormat="1" ht="25.5">
      <c r="A300" s="11" t="s">
        <v>108</v>
      </c>
      <c r="B300" s="25" t="s">
        <v>29</v>
      </c>
      <c r="C300" s="26" t="s">
        <v>65</v>
      </c>
      <c r="D300" s="26" t="s">
        <v>84</v>
      </c>
      <c r="E300" s="26" t="s">
        <v>236</v>
      </c>
      <c r="F300" s="26" t="s">
        <v>116</v>
      </c>
      <c r="G300" s="27">
        <f>G301</f>
        <v>478000</v>
      </c>
      <c r="H300" s="27">
        <f t="shared" si="207"/>
        <v>478000</v>
      </c>
      <c r="I300" s="27">
        <f t="shared" si="207"/>
        <v>478000</v>
      </c>
      <c r="J300" s="16">
        <f>'БА в тыс. руб.'!G300*1000</f>
        <v>478000</v>
      </c>
      <c r="K300" s="169">
        <f t="shared" si="186"/>
        <v>0</v>
      </c>
      <c r="L300" s="16">
        <f>'БА в тыс. руб.'!H300*1000</f>
        <v>478000</v>
      </c>
      <c r="M300" s="169">
        <f t="shared" si="187"/>
        <v>0</v>
      </c>
      <c r="N300" s="16">
        <f>'БА в тыс. руб.'!I300*1000</f>
        <v>478000</v>
      </c>
      <c r="O300" s="169">
        <f t="shared" si="188"/>
        <v>0</v>
      </c>
    </row>
    <row r="301" spans="1:15" s="110" customFormat="1" ht="25.5">
      <c r="A301" s="12" t="s">
        <v>973</v>
      </c>
      <c r="B301" s="25" t="s">
        <v>29</v>
      </c>
      <c r="C301" s="26" t="s">
        <v>65</v>
      </c>
      <c r="D301" s="26" t="s">
        <v>84</v>
      </c>
      <c r="E301" s="26" t="s">
        <v>236</v>
      </c>
      <c r="F301" s="26" t="s">
        <v>1043</v>
      </c>
      <c r="G301" s="27">
        <f t="shared" ref="G301" si="208">J301</f>
        <v>478000</v>
      </c>
      <c r="H301" s="27">
        <f>L301</f>
        <v>478000</v>
      </c>
      <c r="I301" s="27">
        <f>N301</f>
        <v>478000</v>
      </c>
      <c r="J301" s="16">
        <f>'БА в тыс. руб.'!G301*1000</f>
        <v>478000</v>
      </c>
      <c r="K301" s="169">
        <f t="shared" si="186"/>
        <v>0</v>
      </c>
      <c r="L301" s="16">
        <f>'БА в тыс. руб.'!H301*1000</f>
        <v>478000</v>
      </c>
      <c r="M301" s="169">
        <f t="shared" si="187"/>
        <v>0</v>
      </c>
      <c r="N301" s="16">
        <f>'БА в тыс. руб.'!I301*1000</f>
        <v>478000</v>
      </c>
      <c r="O301" s="169">
        <f t="shared" si="188"/>
        <v>0</v>
      </c>
    </row>
    <row r="302" spans="1:15" s="3" customFormat="1" ht="38.25">
      <c r="A302" s="12" t="s">
        <v>752</v>
      </c>
      <c r="B302" s="25" t="s">
        <v>29</v>
      </c>
      <c r="C302" s="35" t="s">
        <v>65</v>
      </c>
      <c r="D302" s="35">
        <v>13</v>
      </c>
      <c r="E302" s="35" t="s">
        <v>249</v>
      </c>
      <c r="F302" s="35" t="s">
        <v>58</v>
      </c>
      <c r="G302" s="38">
        <f>G303</f>
        <v>3000000</v>
      </c>
      <c r="H302" s="38">
        <f t="shared" ref="H302:I303" si="209">H303</f>
        <v>0</v>
      </c>
      <c r="I302" s="38">
        <f t="shared" si="209"/>
        <v>0</v>
      </c>
      <c r="J302" s="16">
        <f>'БА в тыс. руб.'!G302*1000</f>
        <v>3000000</v>
      </c>
      <c r="K302" s="169">
        <f t="shared" si="186"/>
        <v>0</v>
      </c>
      <c r="L302" s="16">
        <f>'БА в тыс. руб.'!H302*1000</f>
        <v>0</v>
      </c>
      <c r="M302" s="169">
        <f t="shared" si="187"/>
        <v>0</v>
      </c>
      <c r="N302" s="16">
        <f>'БА в тыс. руб.'!I302*1000</f>
        <v>0</v>
      </c>
      <c r="O302" s="169">
        <f t="shared" si="188"/>
        <v>0</v>
      </c>
    </row>
    <row r="303" spans="1:15" s="3" customFormat="1">
      <c r="A303" s="11" t="s">
        <v>753</v>
      </c>
      <c r="B303" s="25" t="s">
        <v>29</v>
      </c>
      <c r="C303" s="35" t="s">
        <v>65</v>
      </c>
      <c r="D303" s="35">
        <v>13</v>
      </c>
      <c r="E303" s="35" t="s">
        <v>250</v>
      </c>
      <c r="F303" s="35" t="s">
        <v>58</v>
      </c>
      <c r="G303" s="38">
        <f>G304</f>
        <v>3000000</v>
      </c>
      <c r="H303" s="38">
        <f t="shared" si="209"/>
        <v>0</v>
      </c>
      <c r="I303" s="38">
        <f t="shared" si="209"/>
        <v>0</v>
      </c>
      <c r="J303" s="16">
        <f>'БА в тыс. руб.'!G303*1000</f>
        <v>3000000</v>
      </c>
      <c r="K303" s="169">
        <f t="shared" si="186"/>
        <v>0</v>
      </c>
      <c r="L303" s="16">
        <f>'БА в тыс. руб.'!H303*1000</f>
        <v>0</v>
      </c>
      <c r="M303" s="169">
        <f t="shared" si="187"/>
        <v>0</v>
      </c>
      <c r="N303" s="16">
        <f>'БА в тыс. руб.'!I303*1000</f>
        <v>0</v>
      </c>
      <c r="O303" s="169">
        <f t="shared" si="188"/>
        <v>0</v>
      </c>
    </row>
    <row r="304" spans="1:15" s="3" customFormat="1" ht="25.5">
      <c r="A304" s="31" t="s">
        <v>618</v>
      </c>
      <c r="B304" s="25" t="s">
        <v>29</v>
      </c>
      <c r="C304" s="35" t="s">
        <v>65</v>
      </c>
      <c r="D304" s="35">
        <v>13</v>
      </c>
      <c r="E304" s="35" t="s">
        <v>540</v>
      </c>
      <c r="F304" s="35" t="s">
        <v>58</v>
      </c>
      <c r="G304" s="38">
        <f t="shared" ref="G304:I306" si="210">G305</f>
        <v>3000000</v>
      </c>
      <c r="H304" s="38">
        <f t="shared" si="210"/>
        <v>0</v>
      </c>
      <c r="I304" s="38">
        <f t="shared" si="210"/>
        <v>0</v>
      </c>
      <c r="J304" s="16">
        <f>'БА в тыс. руб.'!G304*1000</f>
        <v>3000000</v>
      </c>
      <c r="K304" s="169">
        <f t="shared" si="186"/>
        <v>0</v>
      </c>
      <c r="L304" s="16">
        <f>'БА в тыс. руб.'!H304*1000</f>
        <v>0</v>
      </c>
      <c r="M304" s="169">
        <f t="shared" si="187"/>
        <v>0</v>
      </c>
      <c r="N304" s="16">
        <f>'БА в тыс. руб.'!I304*1000</f>
        <v>0</v>
      </c>
      <c r="O304" s="169">
        <f t="shared" si="188"/>
        <v>0</v>
      </c>
    </row>
    <row r="305" spans="1:15" s="3" customFormat="1" ht="25.5">
      <c r="A305" s="31" t="s">
        <v>122</v>
      </c>
      <c r="B305" s="25" t="s">
        <v>29</v>
      </c>
      <c r="C305" s="35" t="s">
        <v>65</v>
      </c>
      <c r="D305" s="35">
        <v>13</v>
      </c>
      <c r="E305" s="35" t="s">
        <v>571</v>
      </c>
      <c r="F305" s="35" t="s">
        <v>58</v>
      </c>
      <c r="G305" s="38">
        <f t="shared" si="210"/>
        <v>3000000</v>
      </c>
      <c r="H305" s="38">
        <f t="shared" si="210"/>
        <v>0</v>
      </c>
      <c r="I305" s="38">
        <f t="shared" si="210"/>
        <v>0</v>
      </c>
      <c r="J305" s="16">
        <f>'БА в тыс. руб.'!G305*1000</f>
        <v>3000000</v>
      </c>
      <c r="K305" s="169">
        <f t="shared" si="186"/>
        <v>0</v>
      </c>
      <c r="L305" s="16">
        <f>'БА в тыс. руб.'!H305*1000</f>
        <v>0</v>
      </c>
      <c r="M305" s="169">
        <f t="shared" si="187"/>
        <v>0</v>
      </c>
      <c r="N305" s="16">
        <f>'БА в тыс. руб.'!I305*1000</f>
        <v>0</v>
      </c>
      <c r="O305" s="169">
        <f t="shared" si="188"/>
        <v>0</v>
      </c>
    </row>
    <row r="306" spans="1:15" s="3" customFormat="1" ht="25.5">
      <c r="A306" s="31" t="s">
        <v>108</v>
      </c>
      <c r="B306" s="25" t="s">
        <v>29</v>
      </c>
      <c r="C306" s="35" t="s">
        <v>65</v>
      </c>
      <c r="D306" s="35">
        <v>13</v>
      </c>
      <c r="E306" s="35" t="s">
        <v>571</v>
      </c>
      <c r="F306" s="35" t="s">
        <v>116</v>
      </c>
      <c r="G306" s="27">
        <f>G307</f>
        <v>3000000</v>
      </c>
      <c r="H306" s="27">
        <f t="shared" si="210"/>
        <v>0</v>
      </c>
      <c r="I306" s="27">
        <f t="shared" si="210"/>
        <v>0</v>
      </c>
      <c r="J306" s="16">
        <f>'БА в тыс. руб.'!G306*1000</f>
        <v>3000000</v>
      </c>
      <c r="K306" s="169">
        <f t="shared" si="186"/>
        <v>0</v>
      </c>
      <c r="L306" s="16">
        <f>'БА в тыс. руб.'!H306*1000</f>
        <v>0</v>
      </c>
      <c r="M306" s="169">
        <f t="shared" si="187"/>
        <v>0</v>
      </c>
      <c r="N306" s="16">
        <f>'БА в тыс. руб.'!I306*1000</f>
        <v>0</v>
      </c>
      <c r="O306" s="169">
        <f t="shared" si="188"/>
        <v>0</v>
      </c>
    </row>
    <row r="307" spans="1:15" s="4" customFormat="1" ht="25.5">
      <c r="A307" s="12" t="s">
        <v>973</v>
      </c>
      <c r="B307" s="25" t="s">
        <v>29</v>
      </c>
      <c r="C307" s="35" t="s">
        <v>65</v>
      </c>
      <c r="D307" s="35">
        <v>13</v>
      </c>
      <c r="E307" s="35" t="s">
        <v>571</v>
      </c>
      <c r="F307" s="35" t="s">
        <v>1043</v>
      </c>
      <c r="G307" s="27">
        <f t="shared" ref="G307" si="211">J307</f>
        <v>3000000</v>
      </c>
      <c r="H307" s="27">
        <f>L307</f>
        <v>0</v>
      </c>
      <c r="I307" s="27">
        <f>N307</f>
        <v>0</v>
      </c>
      <c r="J307" s="16">
        <f>'БА в тыс. руб.'!G307*1000</f>
        <v>3000000</v>
      </c>
      <c r="K307" s="169">
        <f t="shared" si="186"/>
        <v>0</v>
      </c>
      <c r="L307" s="16">
        <f>'БА в тыс. руб.'!H307*1000</f>
        <v>0</v>
      </c>
      <c r="M307" s="169">
        <f t="shared" si="187"/>
        <v>0</v>
      </c>
      <c r="N307" s="16">
        <f>'БА в тыс. руб.'!I307*1000</f>
        <v>0</v>
      </c>
      <c r="O307" s="169">
        <f t="shared" si="188"/>
        <v>0</v>
      </c>
    </row>
    <row r="308" spans="1:15" s="109" customFormat="1" ht="25.5">
      <c r="A308" s="11" t="s">
        <v>291</v>
      </c>
      <c r="B308" s="25" t="s">
        <v>29</v>
      </c>
      <c r="C308" s="26" t="s">
        <v>65</v>
      </c>
      <c r="D308" s="26" t="s">
        <v>84</v>
      </c>
      <c r="E308" s="26" t="s">
        <v>292</v>
      </c>
      <c r="F308" s="26" t="s">
        <v>58</v>
      </c>
      <c r="G308" s="27">
        <f>G309</f>
        <v>60888680</v>
      </c>
      <c r="H308" s="27">
        <f t="shared" ref="H308:I308" si="212">H309</f>
        <v>60927410</v>
      </c>
      <c r="I308" s="27">
        <f t="shared" si="212"/>
        <v>60927410</v>
      </c>
      <c r="J308" s="16">
        <f>'БА в тыс. руб.'!G308*1000</f>
        <v>60888680</v>
      </c>
      <c r="K308" s="169">
        <f t="shared" si="186"/>
        <v>0</v>
      </c>
      <c r="L308" s="16">
        <f>'БА в тыс. руб.'!H308*1000</f>
        <v>60927410</v>
      </c>
      <c r="M308" s="169">
        <f t="shared" si="187"/>
        <v>0</v>
      </c>
      <c r="N308" s="16">
        <f>'БА в тыс. руб.'!I308*1000</f>
        <v>60927410</v>
      </c>
      <c r="O308" s="169">
        <f t="shared" si="188"/>
        <v>0</v>
      </c>
    </row>
    <row r="309" spans="1:15" s="109" customFormat="1" ht="38.25">
      <c r="A309" s="11" t="s">
        <v>581</v>
      </c>
      <c r="B309" s="25" t="s">
        <v>29</v>
      </c>
      <c r="C309" s="26" t="s">
        <v>65</v>
      </c>
      <c r="D309" s="26" t="s">
        <v>84</v>
      </c>
      <c r="E309" s="26" t="s">
        <v>293</v>
      </c>
      <c r="F309" s="26" t="s">
        <v>58</v>
      </c>
      <c r="G309" s="27">
        <f>G319+G310</f>
        <v>60888680</v>
      </c>
      <c r="H309" s="27">
        <f t="shared" ref="H309:I309" si="213">H319+H310</f>
        <v>60927410</v>
      </c>
      <c r="I309" s="27">
        <f t="shared" si="213"/>
        <v>60927410</v>
      </c>
      <c r="J309" s="16">
        <f>'БА в тыс. руб.'!G309*1000</f>
        <v>60888680</v>
      </c>
      <c r="K309" s="169">
        <f t="shared" si="186"/>
        <v>0</v>
      </c>
      <c r="L309" s="16">
        <f>'БА в тыс. руб.'!H309*1000</f>
        <v>60927410</v>
      </c>
      <c r="M309" s="169">
        <f t="shared" si="187"/>
        <v>0</v>
      </c>
      <c r="N309" s="16">
        <f>'БА в тыс. руб.'!I309*1000</f>
        <v>60927410</v>
      </c>
      <c r="O309" s="169">
        <f t="shared" si="188"/>
        <v>0</v>
      </c>
    </row>
    <row r="310" spans="1:15" s="109" customFormat="1" ht="25.5">
      <c r="A310" s="11" t="s">
        <v>114</v>
      </c>
      <c r="B310" s="25" t="s">
        <v>29</v>
      </c>
      <c r="C310" s="26" t="s">
        <v>65</v>
      </c>
      <c r="D310" s="26" t="s">
        <v>84</v>
      </c>
      <c r="E310" s="26" t="s">
        <v>294</v>
      </c>
      <c r="F310" s="26" t="s">
        <v>58</v>
      </c>
      <c r="G310" s="27">
        <f>G311+G314+G316</f>
        <v>10065110</v>
      </c>
      <c r="H310" s="27">
        <f t="shared" ref="H310:I310" si="214">H311+H314+H316</f>
        <v>10103840</v>
      </c>
      <c r="I310" s="27">
        <f t="shared" si="214"/>
        <v>10103840</v>
      </c>
      <c r="J310" s="16">
        <f>'БА в тыс. руб.'!G310*1000</f>
        <v>10065110</v>
      </c>
      <c r="K310" s="169">
        <f t="shared" si="186"/>
        <v>0</v>
      </c>
      <c r="L310" s="16">
        <f>'БА в тыс. руб.'!H310*1000</f>
        <v>10103840</v>
      </c>
      <c r="M310" s="169">
        <f t="shared" si="187"/>
        <v>0</v>
      </c>
      <c r="N310" s="16">
        <f>'БА в тыс. руб.'!I310*1000</f>
        <v>10103840</v>
      </c>
      <c r="O310" s="169">
        <f t="shared" si="188"/>
        <v>0</v>
      </c>
    </row>
    <row r="311" spans="1:15" s="109" customFormat="1" ht="25.5">
      <c r="A311" s="12" t="s">
        <v>107</v>
      </c>
      <c r="B311" s="25" t="s">
        <v>29</v>
      </c>
      <c r="C311" s="26" t="s">
        <v>65</v>
      </c>
      <c r="D311" s="26" t="s">
        <v>84</v>
      </c>
      <c r="E311" s="26" t="s">
        <v>294</v>
      </c>
      <c r="F311" s="26" t="s">
        <v>115</v>
      </c>
      <c r="G311" s="27">
        <f>SUM(G312:G313)</f>
        <v>1328030</v>
      </c>
      <c r="H311" s="27">
        <f t="shared" ref="H311:I311" si="215">SUM(H312:H313)</f>
        <v>1328030</v>
      </c>
      <c r="I311" s="27">
        <f t="shared" si="215"/>
        <v>1328030</v>
      </c>
      <c r="J311" s="16">
        <f>'БА в тыс. руб.'!G311*1000</f>
        <v>1328030</v>
      </c>
      <c r="K311" s="169">
        <f t="shared" si="186"/>
        <v>0</v>
      </c>
      <c r="L311" s="16">
        <f>'БА в тыс. руб.'!H311*1000</f>
        <v>1328030</v>
      </c>
      <c r="M311" s="169">
        <f t="shared" si="187"/>
        <v>0</v>
      </c>
      <c r="N311" s="16">
        <f>'БА в тыс. руб.'!I311*1000</f>
        <v>1328030</v>
      </c>
      <c r="O311" s="169">
        <f t="shared" si="188"/>
        <v>0</v>
      </c>
    </row>
    <row r="312" spans="1:15" s="110" customFormat="1" ht="25.5">
      <c r="A312" s="12" t="s">
        <v>937</v>
      </c>
      <c r="B312" s="25" t="s">
        <v>29</v>
      </c>
      <c r="C312" s="26" t="s">
        <v>65</v>
      </c>
      <c r="D312" s="26" t="s">
        <v>84</v>
      </c>
      <c r="E312" s="26" t="s">
        <v>294</v>
      </c>
      <c r="F312" s="26" t="s">
        <v>1059</v>
      </c>
      <c r="G312" s="27">
        <f t="shared" ref="G312:G313" si="216">J312</f>
        <v>1033119.9999999999</v>
      </c>
      <c r="H312" s="27">
        <f t="shared" ref="H312:H313" si="217">L312</f>
        <v>1033119.9999999999</v>
      </c>
      <c r="I312" s="27">
        <f t="shared" ref="I312:I313" si="218">N312</f>
        <v>1033119.9999999999</v>
      </c>
      <c r="J312" s="16">
        <f>'БА в тыс. руб.'!G312*1000</f>
        <v>1033119.9999999999</v>
      </c>
      <c r="K312" s="169">
        <f t="shared" si="186"/>
        <v>0</v>
      </c>
      <c r="L312" s="16">
        <f>'БА в тыс. руб.'!H312*1000</f>
        <v>1033119.9999999999</v>
      </c>
      <c r="M312" s="169">
        <f t="shared" si="187"/>
        <v>0</v>
      </c>
      <c r="N312" s="16">
        <f>'БА в тыс. руб.'!I312*1000</f>
        <v>1033119.9999999999</v>
      </c>
      <c r="O312" s="169">
        <f t="shared" si="188"/>
        <v>0</v>
      </c>
    </row>
    <row r="313" spans="1:15" s="110" customFormat="1" ht="38.25">
      <c r="A313" s="12" t="s">
        <v>939</v>
      </c>
      <c r="B313" s="25" t="s">
        <v>29</v>
      </c>
      <c r="C313" s="26" t="s">
        <v>65</v>
      </c>
      <c r="D313" s="26" t="s">
        <v>84</v>
      </c>
      <c r="E313" s="26" t="s">
        <v>294</v>
      </c>
      <c r="F313" s="26" t="s">
        <v>1060</v>
      </c>
      <c r="G313" s="27">
        <f t="shared" si="216"/>
        <v>294910</v>
      </c>
      <c r="H313" s="27">
        <f t="shared" si="217"/>
        <v>294910</v>
      </c>
      <c r="I313" s="27">
        <f t="shared" si="218"/>
        <v>294910</v>
      </c>
      <c r="J313" s="16">
        <f>'БА в тыс. руб.'!G313*1000</f>
        <v>294910</v>
      </c>
      <c r="K313" s="169">
        <f t="shared" si="186"/>
        <v>0</v>
      </c>
      <c r="L313" s="16">
        <f>'БА в тыс. руб.'!H313*1000</f>
        <v>294910</v>
      </c>
      <c r="M313" s="169">
        <f t="shared" si="187"/>
        <v>0</v>
      </c>
      <c r="N313" s="16">
        <f>'БА в тыс. руб.'!I313*1000</f>
        <v>294910</v>
      </c>
      <c r="O313" s="169">
        <f t="shared" si="188"/>
        <v>0</v>
      </c>
    </row>
    <row r="314" spans="1:15" s="109" customFormat="1" ht="25.5">
      <c r="A314" s="11" t="s">
        <v>108</v>
      </c>
      <c r="B314" s="25" t="s">
        <v>29</v>
      </c>
      <c r="C314" s="26" t="s">
        <v>65</v>
      </c>
      <c r="D314" s="26" t="s">
        <v>84</v>
      </c>
      <c r="E314" s="26" t="s">
        <v>294</v>
      </c>
      <c r="F314" s="26" t="s">
        <v>116</v>
      </c>
      <c r="G314" s="27">
        <f>G315</f>
        <v>8589410</v>
      </c>
      <c r="H314" s="27">
        <f t="shared" ref="H314:I314" si="219">H315</f>
        <v>8628140</v>
      </c>
      <c r="I314" s="27">
        <f t="shared" si="219"/>
        <v>8628140</v>
      </c>
      <c r="J314" s="16">
        <f>'БА в тыс. руб.'!G314*1000</f>
        <v>8589410</v>
      </c>
      <c r="K314" s="169">
        <f t="shared" si="186"/>
        <v>0</v>
      </c>
      <c r="L314" s="16">
        <f>'БА в тыс. руб.'!H314*1000</f>
        <v>8628140</v>
      </c>
      <c r="M314" s="169">
        <f t="shared" si="187"/>
        <v>0</v>
      </c>
      <c r="N314" s="16">
        <f>'БА в тыс. руб.'!I314*1000</f>
        <v>8628140</v>
      </c>
      <c r="O314" s="169">
        <f t="shared" si="188"/>
        <v>0</v>
      </c>
    </row>
    <row r="315" spans="1:15" s="110" customFormat="1" ht="25.5">
      <c r="A315" s="12" t="s">
        <v>973</v>
      </c>
      <c r="B315" s="25" t="s">
        <v>29</v>
      </c>
      <c r="C315" s="26" t="s">
        <v>65</v>
      </c>
      <c r="D315" s="26" t="s">
        <v>84</v>
      </c>
      <c r="E315" s="26" t="s">
        <v>294</v>
      </c>
      <c r="F315" s="26" t="s">
        <v>1043</v>
      </c>
      <c r="G315" s="27">
        <f t="shared" ref="G315" si="220">J315</f>
        <v>8589410</v>
      </c>
      <c r="H315" s="27">
        <f>L315</f>
        <v>8628140</v>
      </c>
      <c r="I315" s="27">
        <f>N315</f>
        <v>8628140</v>
      </c>
      <c r="J315" s="16">
        <f>'БА в тыс. руб.'!G315*1000</f>
        <v>8589410</v>
      </c>
      <c r="K315" s="169">
        <f t="shared" si="186"/>
        <v>0</v>
      </c>
      <c r="L315" s="16">
        <f>'БА в тыс. руб.'!H315*1000</f>
        <v>8628140</v>
      </c>
      <c r="M315" s="169">
        <f t="shared" si="187"/>
        <v>0</v>
      </c>
      <c r="N315" s="16">
        <f>'БА в тыс. руб.'!I315*1000</f>
        <v>8628140</v>
      </c>
      <c r="O315" s="169">
        <f t="shared" si="188"/>
        <v>0</v>
      </c>
    </row>
    <row r="316" spans="1:15" s="109" customFormat="1" ht="12.75">
      <c r="A316" s="11" t="s">
        <v>97</v>
      </c>
      <c r="B316" s="25" t="s">
        <v>29</v>
      </c>
      <c r="C316" s="26" t="s">
        <v>65</v>
      </c>
      <c r="D316" s="26" t="s">
        <v>84</v>
      </c>
      <c r="E316" s="26" t="s">
        <v>294</v>
      </c>
      <c r="F316" s="26" t="s">
        <v>118</v>
      </c>
      <c r="G316" s="27">
        <f>SUM(G317:G318)</f>
        <v>147670</v>
      </c>
      <c r="H316" s="27">
        <f t="shared" ref="H316:I316" si="221">SUM(H317:H318)</f>
        <v>147670</v>
      </c>
      <c r="I316" s="27">
        <f t="shared" si="221"/>
        <v>147670</v>
      </c>
      <c r="J316" s="16">
        <f>'БА в тыс. руб.'!G316*1000</f>
        <v>147670</v>
      </c>
      <c r="K316" s="169">
        <f t="shared" si="186"/>
        <v>0</v>
      </c>
      <c r="L316" s="16">
        <f>'БА в тыс. руб.'!H316*1000</f>
        <v>147670</v>
      </c>
      <c r="M316" s="169">
        <f t="shared" si="187"/>
        <v>0</v>
      </c>
      <c r="N316" s="16">
        <f>'БА в тыс. руб.'!I316*1000</f>
        <v>147670</v>
      </c>
      <c r="O316" s="169">
        <f t="shared" si="188"/>
        <v>0</v>
      </c>
    </row>
    <row r="317" spans="1:15" s="100" customFormat="1" ht="12.75">
      <c r="A317" s="12" t="s">
        <v>1036</v>
      </c>
      <c r="B317" s="25" t="s">
        <v>29</v>
      </c>
      <c r="C317" s="26" t="s">
        <v>65</v>
      </c>
      <c r="D317" s="26" t="s">
        <v>84</v>
      </c>
      <c r="E317" s="26" t="s">
        <v>294</v>
      </c>
      <c r="F317" s="26" t="s">
        <v>1061</v>
      </c>
      <c r="G317" s="27">
        <f t="shared" ref="G317:G318" si="222">J317</f>
        <v>86550</v>
      </c>
      <c r="H317" s="27">
        <f t="shared" ref="H317:H318" si="223">L317</f>
        <v>86550</v>
      </c>
      <c r="I317" s="27">
        <f t="shared" ref="I317:I318" si="224">N317</f>
        <v>86550</v>
      </c>
      <c r="J317" s="16">
        <f>'БА в тыс. руб.'!G317*1000</f>
        <v>86550</v>
      </c>
      <c r="K317" s="169">
        <f t="shared" si="186"/>
        <v>0</v>
      </c>
      <c r="L317" s="16">
        <f>'БА в тыс. руб.'!H317*1000</f>
        <v>86550</v>
      </c>
      <c r="M317" s="169">
        <f t="shared" si="187"/>
        <v>0</v>
      </c>
      <c r="N317" s="16">
        <f>'БА в тыс. руб.'!I317*1000</f>
        <v>86550</v>
      </c>
      <c r="O317" s="169">
        <f t="shared" si="188"/>
        <v>0</v>
      </c>
    </row>
    <row r="318" spans="1:15" s="100" customFormat="1" ht="12.75">
      <c r="A318" s="12" t="s">
        <v>1037</v>
      </c>
      <c r="B318" s="25" t="s">
        <v>29</v>
      </c>
      <c r="C318" s="26" t="s">
        <v>65</v>
      </c>
      <c r="D318" s="26" t="s">
        <v>84</v>
      </c>
      <c r="E318" s="26" t="s">
        <v>294</v>
      </c>
      <c r="F318" s="26" t="s">
        <v>1062</v>
      </c>
      <c r="G318" s="27">
        <f t="shared" si="222"/>
        <v>61120</v>
      </c>
      <c r="H318" s="27">
        <f t="shared" si="223"/>
        <v>61120</v>
      </c>
      <c r="I318" s="27">
        <f t="shared" si="224"/>
        <v>61120</v>
      </c>
      <c r="J318" s="16">
        <f>'БА в тыс. руб.'!G318*1000</f>
        <v>61120</v>
      </c>
      <c r="K318" s="169">
        <f t="shared" si="186"/>
        <v>0</v>
      </c>
      <c r="L318" s="16">
        <f>'БА в тыс. руб.'!H318*1000</f>
        <v>61120</v>
      </c>
      <c r="M318" s="169">
        <f t="shared" si="187"/>
        <v>0</v>
      </c>
      <c r="N318" s="16">
        <f>'БА в тыс. руб.'!I318*1000</f>
        <v>61120</v>
      </c>
      <c r="O318" s="169">
        <f t="shared" si="188"/>
        <v>0</v>
      </c>
    </row>
    <row r="319" spans="1:15" s="109" customFormat="1" ht="25.5">
      <c r="A319" s="11" t="s">
        <v>126</v>
      </c>
      <c r="B319" s="25" t="s">
        <v>29</v>
      </c>
      <c r="C319" s="26" t="s">
        <v>65</v>
      </c>
      <c r="D319" s="26" t="s">
        <v>84</v>
      </c>
      <c r="E319" s="26" t="s">
        <v>295</v>
      </c>
      <c r="F319" s="26" t="s">
        <v>58</v>
      </c>
      <c r="G319" s="27">
        <f>SUM(G320:G320)</f>
        <v>50823570</v>
      </c>
      <c r="H319" s="27">
        <f>SUM(H320:H320)</f>
        <v>50823570</v>
      </c>
      <c r="I319" s="27">
        <f>SUM(I320:I320)</f>
        <v>50823570</v>
      </c>
      <c r="J319" s="16">
        <f>'БА в тыс. руб.'!G319*1000</f>
        <v>50823570</v>
      </c>
      <c r="K319" s="169">
        <f t="shared" si="186"/>
        <v>0</v>
      </c>
      <c r="L319" s="16">
        <f>'БА в тыс. руб.'!H319*1000</f>
        <v>50823570</v>
      </c>
      <c r="M319" s="169">
        <f t="shared" si="187"/>
        <v>0</v>
      </c>
      <c r="N319" s="16">
        <f>'БА в тыс. руб.'!I319*1000</f>
        <v>50823570</v>
      </c>
      <c r="O319" s="169">
        <f t="shared" si="188"/>
        <v>0</v>
      </c>
    </row>
    <row r="320" spans="1:15" s="109" customFormat="1" ht="25.5">
      <c r="A320" s="11" t="s">
        <v>107</v>
      </c>
      <c r="B320" s="25" t="s">
        <v>29</v>
      </c>
      <c r="C320" s="26" t="s">
        <v>65</v>
      </c>
      <c r="D320" s="26" t="s">
        <v>84</v>
      </c>
      <c r="E320" s="26" t="s">
        <v>295</v>
      </c>
      <c r="F320" s="26" t="s">
        <v>115</v>
      </c>
      <c r="G320" s="27">
        <f>SUM(G321:G322)</f>
        <v>50823570</v>
      </c>
      <c r="H320" s="27">
        <f t="shared" ref="H320:I320" si="225">SUM(H321:H322)</f>
        <v>50823570</v>
      </c>
      <c r="I320" s="27">
        <f t="shared" si="225"/>
        <v>50823570</v>
      </c>
      <c r="J320" s="16">
        <f>'БА в тыс. руб.'!G320*1000</f>
        <v>50823570</v>
      </c>
      <c r="K320" s="169">
        <f t="shared" si="186"/>
        <v>0</v>
      </c>
      <c r="L320" s="16">
        <f>'БА в тыс. руб.'!H320*1000</f>
        <v>50823570</v>
      </c>
      <c r="M320" s="169">
        <f t="shared" si="187"/>
        <v>0</v>
      </c>
      <c r="N320" s="16">
        <f>'БА в тыс. руб.'!I320*1000</f>
        <v>50823570</v>
      </c>
      <c r="O320" s="169">
        <f t="shared" si="188"/>
        <v>0</v>
      </c>
    </row>
    <row r="321" spans="1:15" s="109" customFormat="1" ht="12.75">
      <c r="A321" s="11" t="s">
        <v>936</v>
      </c>
      <c r="B321" s="25" t="s">
        <v>29</v>
      </c>
      <c r="C321" s="26" t="s">
        <v>65</v>
      </c>
      <c r="D321" s="26" t="s">
        <v>84</v>
      </c>
      <c r="E321" s="26" t="s">
        <v>295</v>
      </c>
      <c r="F321" s="26" t="s">
        <v>1063</v>
      </c>
      <c r="G321" s="27">
        <f t="shared" ref="G321:G322" si="226">J321</f>
        <v>39035000</v>
      </c>
      <c r="H321" s="27">
        <f t="shared" ref="H321:H322" si="227">L321</f>
        <v>39035000</v>
      </c>
      <c r="I321" s="27">
        <f t="shared" ref="I321:I322" si="228">N321</f>
        <v>39035000</v>
      </c>
      <c r="J321" s="16">
        <f>'БА в тыс. руб.'!G321*1000</f>
        <v>39035000</v>
      </c>
      <c r="K321" s="169">
        <f t="shared" si="186"/>
        <v>0</v>
      </c>
      <c r="L321" s="16">
        <f>'БА в тыс. руб.'!H321*1000</f>
        <v>39035000</v>
      </c>
      <c r="M321" s="169">
        <f t="shared" si="187"/>
        <v>0</v>
      </c>
      <c r="N321" s="16">
        <f>'БА в тыс. руб.'!I321*1000</f>
        <v>39035000</v>
      </c>
      <c r="O321" s="169">
        <f t="shared" si="188"/>
        <v>0</v>
      </c>
    </row>
    <row r="322" spans="1:15" s="109" customFormat="1" ht="38.25">
      <c r="A322" s="11" t="s">
        <v>939</v>
      </c>
      <c r="B322" s="25" t="s">
        <v>29</v>
      </c>
      <c r="C322" s="26" t="s">
        <v>65</v>
      </c>
      <c r="D322" s="26" t="s">
        <v>84</v>
      </c>
      <c r="E322" s="26" t="s">
        <v>295</v>
      </c>
      <c r="F322" s="26" t="s">
        <v>1060</v>
      </c>
      <c r="G322" s="27">
        <f t="shared" si="226"/>
        <v>11788570</v>
      </c>
      <c r="H322" s="27">
        <f t="shared" si="227"/>
        <v>11788570</v>
      </c>
      <c r="I322" s="27">
        <f t="shared" si="228"/>
        <v>11788570</v>
      </c>
      <c r="J322" s="16">
        <f>'БА в тыс. руб.'!G322*1000</f>
        <v>11788570</v>
      </c>
      <c r="K322" s="169">
        <f t="shared" si="186"/>
        <v>0</v>
      </c>
      <c r="L322" s="16">
        <f>'БА в тыс. руб.'!H322*1000</f>
        <v>11788570</v>
      </c>
      <c r="M322" s="169">
        <f t="shared" si="187"/>
        <v>0</v>
      </c>
      <c r="N322" s="16">
        <f>'БА в тыс. руб.'!I322*1000</f>
        <v>11788570</v>
      </c>
      <c r="O322" s="169">
        <f t="shared" si="188"/>
        <v>0</v>
      </c>
    </row>
    <row r="323" spans="1:15" s="109" customFormat="1" ht="12.75">
      <c r="A323" s="17" t="s">
        <v>35</v>
      </c>
      <c r="B323" s="18" t="s">
        <v>29</v>
      </c>
      <c r="C323" s="19" t="s">
        <v>37</v>
      </c>
      <c r="D323" s="19" t="s">
        <v>51</v>
      </c>
      <c r="E323" s="19" t="s">
        <v>196</v>
      </c>
      <c r="F323" s="19" t="s">
        <v>58</v>
      </c>
      <c r="G323" s="20">
        <f>G324</f>
        <v>11625280</v>
      </c>
      <c r="H323" s="20">
        <f>H324</f>
        <v>792000</v>
      </c>
      <c r="I323" s="20">
        <f>I324</f>
        <v>792000</v>
      </c>
      <c r="J323" s="16">
        <f>'БА в тыс. руб.'!G323*1000</f>
        <v>11625280</v>
      </c>
      <c r="K323" s="169">
        <f t="shared" si="186"/>
        <v>0</v>
      </c>
      <c r="L323" s="16">
        <f>'БА в тыс. руб.'!H323*1000</f>
        <v>792000</v>
      </c>
      <c r="M323" s="169">
        <f t="shared" si="187"/>
        <v>0</v>
      </c>
      <c r="N323" s="16">
        <f>'БА в тыс. руб.'!I323*1000</f>
        <v>792000</v>
      </c>
      <c r="O323" s="169">
        <f t="shared" si="188"/>
        <v>0</v>
      </c>
    </row>
    <row r="324" spans="1:15" s="109" customFormat="1" ht="12.75">
      <c r="A324" s="21" t="s">
        <v>73</v>
      </c>
      <c r="B324" s="22" t="s">
        <v>29</v>
      </c>
      <c r="C324" s="23" t="s">
        <v>37</v>
      </c>
      <c r="D324" s="23" t="s">
        <v>40</v>
      </c>
      <c r="E324" s="111" t="s">
        <v>196</v>
      </c>
      <c r="F324" s="111" t="s">
        <v>58</v>
      </c>
      <c r="G324" s="24">
        <f>G325+G331+G337</f>
        <v>11625280</v>
      </c>
      <c r="H324" s="24">
        <f t="shared" ref="H324:I324" si="229">H325+H331+H337</f>
        <v>792000</v>
      </c>
      <c r="I324" s="24">
        <f t="shared" si="229"/>
        <v>792000</v>
      </c>
      <c r="J324" s="16">
        <f>'БА в тыс. руб.'!G324*1000</f>
        <v>11625280</v>
      </c>
      <c r="K324" s="169">
        <f t="shared" si="186"/>
        <v>0</v>
      </c>
      <c r="L324" s="16">
        <f>'БА в тыс. руб.'!H324*1000</f>
        <v>792000</v>
      </c>
      <c r="M324" s="169">
        <f t="shared" si="187"/>
        <v>0</v>
      </c>
      <c r="N324" s="16">
        <f>'БА в тыс. руб.'!I324*1000</f>
        <v>792000</v>
      </c>
      <c r="O324" s="169">
        <f t="shared" si="188"/>
        <v>0</v>
      </c>
    </row>
    <row r="325" spans="1:15" s="109" customFormat="1" ht="38.25">
      <c r="A325" s="31" t="s">
        <v>725</v>
      </c>
      <c r="B325" s="25" t="s">
        <v>29</v>
      </c>
      <c r="C325" s="26" t="s">
        <v>37</v>
      </c>
      <c r="D325" s="26" t="s">
        <v>40</v>
      </c>
      <c r="E325" s="26" t="s">
        <v>296</v>
      </c>
      <c r="F325" s="26" t="s">
        <v>58</v>
      </c>
      <c r="G325" s="27">
        <f t="shared" ref="G325:I327" si="230">G326</f>
        <v>200000</v>
      </c>
      <c r="H325" s="27">
        <f t="shared" si="230"/>
        <v>180000</v>
      </c>
      <c r="I325" s="27">
        <f t="shared" si="230"/>
        <v>180000</v>
      </c>
      <c r="J325" s="16">
        <f>'БА в тыс. руб.'!G325*1000</f>
        <v>200000</v>
      </c>
      <c r="K325" s="169">
        <f t="shared" si="186"/>
        <v>0</v>
      </c>
      <c r="L325" s="16">
        <f>'БА в тыс. руб.'!H325*1000</f>
        <v>180000</v>
      </c>
      <c r="M325" s="169">
        <f t="shared" si="187"/>
        <v>0</v>
      </c>
      <c r="N325" s="16">
        <f>'БА в тыс. руб.'!I325*1000</f>
        <v>180000</v>
      </c>
      <c r="O325" s="169">
        <f t="shared" si="188"/>
        <v>0</v>
      </c>
    </row>
    <row r="326" spans="1:15" s="109" customFormat="1" ht="51">
      <c r="A326" s="11" t="s">
        <v>726</v>
      </c>
      <c r="B326" s="25" t="s">
        <v>29</v>
      </c>
      <c r="C326" s="26" t="s">
        <v>37</v>
      </c>
      <c r="D326" s="26" t="s">
        <v>40</v>
      </c>
      <c r="E326" s="26" t="s">
        <v>297</v>
      </c>
      <c r="F326" s="26" t="s">
        <v>58</v>
      </c>
      <c r="G326" s="27">
        <f t="shared" si="230"/>
        <v>200000</v>
      </c>
      <c r="H326" s="27">
        <f t="shared" si="230"/>
        <v>180000</v>
      </c>
      <c r="I326" s="27">
        <f t="shared" si="230"/>
        <v>180000</v>
      </c>
      <c r="J326" s="16">
        <f>'БА в тыс. руб.'!G326*1000</f>
        <v>200000</v>
      </c>
      <c r="K326" s="169">
        <f t="shared" si="186"/>
        <v>0</v>
      </c>
      <c r="L326" s="16">
        <f>'БА в тыс. руб.'!H326*1000</f>
        <v>180000</v>
      </c>
      <c r="M326" s="169">
        <f t="shared" si="187"/>
        <v>0</v>
      </c>
      <c r="N326" s="16">
        <f>'БА в тыс. руб.'!I326*1000</f>
        <v>180000</v>
      </c>
      <c r="O326" s="169">
        <f t="shared" si="188"/>
        <v>0</v>
      </c>
    </row>
    <row r="327" spans="1:15" s="109" customFormat="1" ht="51">
      <c r="A327" s="11" t="s">
        <v>606</v>
      </c>
      <c r="B327" s="25" t="s">
        <v>29</v>
      </c>
      <c r="C327" s="26" t="s">
        <v>37</v>
      </c>
      <c r="D327" s="26" t="s">
        <v>40</v>
      </c>
      <c r="E327" s="26" t="s">
        <v>298</v>
      </c>
      <c r="F327" s="26" t="s">
        <v>58</v>
      </c>
      <c r="G327" s="27">
        <f t="shared" si="230"/>
        <v>200000</v>
      </c>
      <c r="H327" s="27">
        <f t="shared" si="230"/>
        <v>180000</v>
      </c>
      <c r="I327" s="27">
        <f t="shared" si="230"/>
        <v>180000</v>
      </c>
      <c r="J327" s="16">
        <f>'БА в тыс. руб.'!G327*1000</f>
        <v>200000</v>
      </c>
      <c r="K327" s="169">
        <f t="shared" si="186"/>
        <v>0</v>
      </c>
      <c r="L327" s="16">
        <f>'БА в тыс. руб.'!H327*1000</f>
        <v>180000</v>
      </c>
      <c r="M327" s="169">
        <f t="shared" si="187"/>
        <v>0</v>
      </c>
      <c r="N327" s="16">
        <f>'БА в тыс. руб.'!I327*1000</f>
        <v>180000</v>
      </c>
      <c r="O327" s="169">
        <f t="shared" si="188"/>
        <v>0</v>
      </c>
    </row>
    <row r="328" spans="1:15" s="109" customFormat="1" ht="51">
      <c r="A328" s="11" t="s">
        <v>156</v>
      </c>
      <c r="B328" s="25" t="s">
        <v>29</v>
      </c>
      <c r="C328" s="26" t="s">
        <v>37</v>
      </c>
      <c r="D328" s="26" t="s">
        <v>40</v>
      </c>
      <c r="E328" s="26" t="s">
        <v>299</v>
      </c>
      <c r="F328" s="26" t="s">
        <v>58</v>
      </c>
      <c r="G328" s="27">
        <f>G329</f>
        <v>200000</v>
      </c>
      <c r="H328" s="27">
        <f>H329</f>
        <v>180000</v>
      </c>
      <c r="I328" s="27">
        <f>I329</f>
        <v>180000</v>
      </c>
      <c r="J328" s="16">
        <f>'БА в тыс. руб.'!G328*1000</f>
        <v>200000</v>
      </c>
      <c r="K328" s="169">
        <f t="shared" ref="K328:K391" si="231">J328-G328</f>
        <v>0</v>
      </c>
      <c r="L328" s="16">
        <f>'БА в тыс. руб.'!H328*1000</f>
        <v>180000</v>
      </c>
      <c r="M328" s="169">
        <f t="shared" ref="M328:M391" si="232">L328-H328</f>
        <v>0</v>
      </c>
      <c r="N328" s="16">
        <f>'БА в тыс. руб.'!I328*1000</f>
        <v>180000</v>
      </c>
      <c r="O328" s="169">
        <f t="shared" ref="O328:O391" si="233">N328-I328</f>
        <v>0</v>
      </c>
    </row>
    <row r="329" spans="1:15" s="109" customFormat="1" ht="25.5">
      <c r="A329" s="11" t="s">
        <v>108</v>
      </c>
      <c r="B329" s="25" t="s">
        <v>29</v>
      </c>
      <c r="C329" s="26" t="s">
        <v>37</v>
      </c>
      <c r="D329" s="26" t="s">
        <v>40</v>
      </c>
      <c r="E329" s="26" t="s">
        <v>299</v>
      </c>
      <c r="F329" s="26" t="s">
        <v>116</v>
      </c>
      <c r="G329" s="27">
        <f>G330</f>
        <v>200000</v>
      </c>
      <c r="H329" s="27">
        <f t="shared" ref="H329:I329" si="234">H330</f>
        <v>180000</v>
      </c>
      <c r="I329" s="27">
        <f t="shared" si="234"/>
        <v>180000</v>
      </c>
      <c r="J329" s="16">
        <f>'БА в тыс. руб.'!G329*1000</f>
        <v>200000</v>
      </c>
      <c r="K329" s="169">
        <f t="shared" si="231"/>
        <v>0</v>
      </c>
      <c r="L329" s="16">
        <f>'БА в тыс. руб.'!H329*1000</f>
        <v>180000</v>
      </c>
      <c r="M329" s="169">
        <f t="shared" si="232"/>
        <v>0</v>
      </c>
      <c r="N329" s="16">
        <f>'БА в тыс. руб.'!I329*1000</f>
        <v>180000</v>
      </c>
      <c r="O329" s="169">
        <f t="shared" si="233"/>
        <v>0</v>
      </c>
    </row>
    <row r="330" spans="1:15" s="110" customFormat="1" ht="25.5">
      <c r="A330" s="12" t="s">
        <v>973</v>
      </c>
      <c r="B330" s="25" t="s">
        <v>29</v>
      </c>
      <c r="C330" s="26" t="s">
        <v>37</v>
      </c>
      <c r="D330" s="26" t="s">
        <v>40</v>
      </c>
      <c r="E330" s="26" t="s">
        <v>299</v>
      </c>
      <c r="F330" s="26" t="s">
        <v>1043</v>
      </c>
      <c r="G330" s="27">
        <f t="shared" ref="G330" si="235">J330</f>
        <v>200000</v>
      </c>
      <c r="H330" s="27">
        <f>L330</f>
        <v>180000</v>
      </c>
      <c r="I330" s="27">
        <f>N330</f>
        <v>180000</v>
      </c>
      <c r="J330" s="16">
        <f>'БА в тыс. руб.'!G330*1000</f>
        <v>200000</v>
      </c>
      <c r="K330" s="169">
        <f t="shared" si="231"/>
        <v>0</v>
      </c>
      <c r="L330" s="16">
        <f>'БА в тыс. руб.'!H330*1000</f>
        <v>180000</v>
      </c>
      <c r="M330" s="169">
        <f t="shared" si="232"/>
        <v>0</v>
      </c>
      <c r="N330" s="16">
        <f>'БА в тыс. руб.'!I330*1000</f>
        <v>180000</v>
      </c>
      <c r="O330" s="169">
        <f t="shared" si="233"/>
        <v>0</v>
      </c>
    </row>
    <row r="331" spans="1:15" s="109" customFormat="1" ht="38.25">
      <c r="A331" s="12" t="s">
        <v>722</v>
      </c>
      <c r="B331" s="25" t="s">
        <v>29</v>
      </c>
      <c r="C331" s="26" t="s">
        <v>37</v>
      </c>
      <c r="D331" s="26" t="s">
        <v>40</v>
      </c>
      <c r="E331" s="26" t="s">
        <v>300</v>
      </c>
      <c r="F331" s="26" t="s">
        <v>58</v>
      </c>
      <c r="G331" s="27">
        <f t="shared" ref="G331:I335" si="236">G332</f>
        <v>10745280</v>
      </c>
      <c r="H331" s="27">
        <f t="shared" si="236"/>
        <v>0</v>
      </c>
      <c r="I331" s="27">
        <f t="shared" si="236"/>
        <v>0</v>
      </c>
      <c r="J331" s="16">
        <f>'БА в тыс. руб.'!G331*1000</f>
        <v>10745280</v>
      </c>
      <c r="K331" s="169">
        <f t="shared" si="231"/>
        <v>0</v>
      </c>
      <c r="L331" s="16">
        <f>'БА в тыс. руб.'!H331*1000</f>
        <v>0</v>
      </c>
      <c r="M331" s="169">
        <f t="shared" si="232"/>
        <v>0</v>
      </c>
      <c r="N331" s="16">
        <f>'БА в тыс. руб.'!I331*1000</f>
        <v>0</v>
      </c>
      <c r="O331" s="169">
        <f t="shared" si="233"/>
        <v>0</v>
      </c>
    </row>
    <row r="332" spans="1:15" s="109" customFormat="1" ht="38.25">
      <c r="A332" s="40" t="s">
        <v>729</v>
      </c>
      <c r="B332" s="25" t="s">
        <v>29</v>
      </c>
      <c r="C332" s="26" t="s">
        <v>37</v>
      </c>
      <c r="D332" s="26" t="s">
        <v>40</v>
      </c>
      <c r="E332" s="26" t="s">
        <v>301</v>
      </c>
      <c r="F332" s="26" t="s">
        <v>58</v>
      </c>
      <c r="G332" s="27">
        <f t="shared" si="236"/>
        <v>10745280</v>
      </c>
      <c r="H332" s="27">
        <f t="shared" si="236"/>
        <v>0</v>
      </c>
      <c r="I332" s="27">
        <f t="shared" si="236"/>
        <v>0</v>
      </c>
      <c r="J332" s="16">
        <f>'БА в тыс. руб.'!G332*1000</f>
        <v>10745280</v>
      </c>
      <c r="K332" s="169">
        <f t="shared" si="231"/>
        <v>0</v>
      </c>
      <c r="L332" s="16">
        <f>'БА в тыс. руб.'!H332*1000</f>
        <v>0</v>
      </c>
      <c r="M332" s="169">
        <f t="shared" si="232"/>
        <v>0</v>
      </c>
      <c r="N332" s="16">
        <f>'БА в тыс. руб.'!I332*1000</f>
        <v>0</v>
      </c>
      <c r="O332" s="169">
        <f t="shared" si="233"/>
        <v>0</v>
      </c>
    </row>
    <row r="333" spans="1:15" s="109" customFormat="1" ht="38.25">
      <c r="A333" s="11" t="s">
        <v>644</v>
      </c>
      <c r="B333" s="25" t="s">
        <v>29</v>
      </c>
      <c r="C333" s="26" t="s">
        <v>37</v>
      </c>
      <c r="D333" s="26" t="s">
        <v>40</v>
      </c>
      <c r="E333" s="26" t="s">
        <v>302</v>
      </c>
      <c r="F333" s="26" t="s">
        <v>58</v>
      </c>
      <c r="G333" s="27">
        <f t="shared" si="236"/>
        <v>10745280</v>
      </c>
      <c r="H333" s="27">
        <f t="shared" si="236"/>
        <v>0</v>
      </c>
      <c r="I333" s="27">
        <f t="shared" si="236"/>
        <v>0</v>
      </c>
      <c r="J333" s="16">
        <f>'БА в тыс. руб.'!G333*1000</f>
        <v>10745280</v>
      </c>
      <c r="K333" s="169">
        <f t="shared" si="231"/>
        <v>0</v>
      </c>
      <c r="L333" s="16">
        <f>'БА в тыс. руб.'!H333*1000</f>
        <v>0</v>
      </c>
      <c r="M333" s="169">
        <f t="shared" si="232"/>
        <v>0</v>
      </c>
      <c r="N333" s="16">
        <f>'БА в тыс. руб.'!I333*1000</f>
        <v>0</v>
      </c>
      <c r="O333" s="169">
        <f t="shared" si="233"/>
        <v>0</v>
      </c>
    </row>
    <row r="334" spans="1:15" s="109" customFormat="1" ht="25.5">
      <c r="A334" s="11" t="s">
        <v>303</v>
      </c>
      <c r="B334" s="25" t="s">
        <v>29</v>
      </c>
      <c r="C334" s="26" t="s">
        <v>37</v>
      </c>
      <c r="D334" s="26" t="s">
        <v>40</v>
      </c>
      <c r="E334" s="26" t="s">
        <v>304</v>
      </c>
      <c r="F334" s="26" t="s">
        <v>58</v>
      </c>
      <c r="G334" s="27">
        <f t="shared" si="236"/>
        <v>10745280</v>
      </c>
      <c r="H334" s="27">
        <f t="shared" si="236"/>
        <v>0</v>
      </c>
      <c r="I334" s="27">
        <f t="shared" si="236"/>
        <v>0</v>
      </c>
      <c r="J334" s="16">
        <f>'БА в тыс. руб.'!G334*1000</f>
        <v>10745280</v>
      </c>
      <c r="K334" s="169">
        <f t="shared" si="231"/>
        <v>0</v>
      </c>
      <c r="L334" s="16">
        <f>'БА в тыс. руб.'!H334*1000</f>
        <v>0</v>
      </c>
      <c r="M334" s="169">
        <f t="shared" si="232"/>
        <v>0</v>
      </c>
      <c r="N334" s="16">
        <f>'БА в тыс. руб.'!I334*1000</f>
        <v>0</v>
      </c>
      <c r="O334" s="169">
        <f t="shared" si="233"/>
        <v>0</v>
      </c>
    </row>
    <row r="335" spans="1:15" s="109" customFormat="1" ht="25.5">
      <c r="A335" s="11" t="s">
        <v>108</v>
      </c>
      <c r="B335" s="25" t="s">
        <v>29</v>
      </c>
      <c r="C335" s="26" t="s">
        <v>37</v>
      </c>
      <c r="D335" s="26" t="s">
        <v>40</v>
      </c>
      <c r="E335" s="26" t="s">
        <v>304</v>
      </c>
      <c r="F335" s="26" t="s">
        <v>116</v>
      </c>
      <c r="G335" s="27">
        <f>G336</f>
        <v>10745280</v>
      </c>
      <c r="H335" s="27">
        <f t="shared" si="236"/>
        <v>0</v>
      </c>
      <c r="I335" s="27">
        <f t="shared" si="236"/>
        <v>0</v>
      </c>
      <c r="J335" s="16">
        <f>'БА в тыс. руб.'!G335*1000</f>
        <v>10745280</v>
      </c>
      <c r="K335" s="169">
        <f t="shared" si="231"/>
        <v>0</v>
      </c>
      <c r="L335" s="16">
        <f>'БА в тыс. руб.'!H335*1000</f>
        <v>0</v>
      </c>
      <c r="M335" s="169">
        <f t="shared" si="232"/>
        <v>0</v>
      </c>
      <c r="N335" s="16">
        <f>'БА в тыс. руб.'!I335*1000</f>
        <v>0</v>
      </c>
      <c r="O335" s="169">
        <f t="shared" si="233"/>
        <v>0</v>
      </c>
    </row>
    <row r="336" spans="1:15" s="110" customFormat="1" ht="25.5">
      <c r="A336" s="12" t="s">
        <v>973</v>
      </c>
      <c r="B336" s="25" t="s">
        <v>29</v>
      </c>
      <c r="C336" s="26" t="s">
        <v>37</v>
      </c>
      <c r="D336" s="26" t="s">
        <v>40</v>
      </c>
      <c r="E336" s="26" t="s">
        <v>304</v>
      </c>
      <c r="F336" s="26" t="s">
        <v>1043</v>
      </c>
      <c r="G336" s="27">
        <f t="shared" ref="G336" si="237">J336</f>
        <v>10745280</v>
      </c>
      <c r="H336" s="27">
        <f>L336</f>
        <v>0</v>
      </c>
      <c r="I336" s="27">
        <f>N336</f>
        <v>0</v>
      </c>
      <c r="J336" s="16">
        <f>'БА в тыс. руб.'!G336*1000</f>
        <v>10745280</v>
      </c>
      <c r="K336" s="169">
        <f t="shared" si="231"/>
        <v>0</v>
      </c>
      <c r="L336" s="16">
        <f>'БА в тыс. руб.'!H336*1000</f>
        <v>0</v>
      </c>
      <c r="M336" s="169">
        <f t="shared" si="232"/>
        <v>0</v>
      </c>
      <c r="N336" s="16">
        <f>'БА в тыс. руб.'!I336*1000</f>
        <v>0</v>
      </c>
      <c r="O336" s="169">
        <f t="shared" si="233"/>
        <v>0</v>
      </c>
    </row>
    <row r="337" spans="1:15" s="109" customFormat="1" ht="38.25">
      <c r="A337" s="13" t="s">
        <v>745</v>
      </c>
      <c r="B337" s="25" t="s">
        <v>29</v>
      </c>
      <c r="C337" s="26" t="s">
        <v>37</v>
      </c>
      <c r="D337" s="26" t="s">
        <v>40</v>
      </c>
      <c r="E337" s="26" t="s">
        <v>280</v>
      </c>
      <c r="F337" s="26" t="s">
        <v>58</v>
      </c>
      <c r="G337" s="27">
        <f t="shared" ref="G337:I339" si="238">G338</f>
        <v>680000</v>
      </c>
      <c r="H337" s="27">
        <f t="shared" si="238"/>
        <v>612000</v>
      </c>
      <c r="I337" s="27">
        <f t="shared" si="238"/>
        <v>612000</v>
      </c>
      <c r="J337" s="16">
        <f>'БА в тыс. руб.'!G337*1000</f>
        <v>680000</v>
      </c>
      <c r="K337" s="169">
        <f t="shared" si="231"/>
        <v>0</v>
      </c>
      <c r="L337" s="16">
        <f>'БА в тыс. руб.'!H337*1000</f>
        <v>612000</v>
      </c>
      <c r="M337" s="169">
        <f t="shared" si="232"/>
        <v>0</v>
      </c>
      <c r="N337" s="16">
        <f>'БА в тыс. руб.'!I337*1000</f>
        <v>612000</v>
      </c>
      <c r="O337" s="169">
        <f t="shared" si="233"/>
        <v>0</v>
      </c>
    </row>
    <row r="338" spans="1:15" s="109" customFormat="1" ht="51">
      <c r="A338" s="13" t="s">
        <v>746</v>
      </c>
      <c r="B338" s="25" t="s">
        <v>29</v>
      </c>
      <c r="C338" s="26" t="s">
        <v>37</v>
      </c>
      <c r="D338" s="26" t="s">
        <v>40</v>
      </c>
      <c r="E338" s="26" t="s">
        <v>281</v>
      </c>
      <c r="F338" s="26" t="s">
        <v>58</v>
      </c>
      <c r="G338" s="27">
        <f t="shared" si="238"/>
        <v>680000</v>
      </c>
      <c r="H338" s="27">
        <f t="shared" si="238"/>
        <v>612000</v>
      </c>
      <c r="I338" s="27">
        <f t="shared" si="238"/>
        <v>612000</v>
      </c>
      <c r="J338" s="16">
        <f>'БА в тыс. руб.'!G338*1000</f>
        <v>680000</v>
      </c>
      <c r="K338" s="169">
        <f t="shared" si="231"/>
        <v>0</v>
      </c>
      <c r="L338" s="16">
        <f>'БА в тыс. руб.'!H338*1000</f>
        <v>612000</v>
      </c>
      <c r="M338" s="169">
        <f t="shared" si="232"/>
        <v>0</v>
      </c>
      <c r="N338" s="16">
        <f>'БА в тыс. руб.'!I338*1000</f>
        <v>612000</v>
      </c>
      <c r="O338" s="169">
        <f t="shared" si="233"/>
        <v>0</v>
      </c>
    </row>
    <row r="339" spans="1:15" s="109" customFormat="1" ht="25.5">
      <c r="A339" s="11" t="s">
        <v>286</v>
      </c>
      <c r="B339" s="25" t="s">
        <v>29</v>
      </c>
      <c r="C339" s="26" t="s">
        <v>37</v>
      </c>
      <c r="D339" s="26" t="s">
        <v>40</v>
      </c>
      <c r="E339" s="26" t="s">
        <v>287</v>
      </c>
      <c r="F339" s="26" t="s">
        <v>58</v>
      </c>
      <c r="G339" s="27">
        <f t="shared" si="238"/>
        <v>680000</v>
      </c>
      <c r="H339" s="27">
        <f t="shared" si="238"/>
        <v>612000</v>
      </c>
      <c r="I339" s="27">
        <f t="shared" si="238"/>
        <v>612000</v>
      </c>
      <c r="J339" s="16">
        <f>'БА в тыс. руб.'!G339*1000</f>
        <v>680000</v>
      </c>
      <c r="K339" s="169">
        <f t="shared" si="231"/>
        <v>0</v>
      </c>
      <c r="L339" s="16">
        <f>'БА в тыс. руб.'!H339*1000</f>
        <v>612000</v>
      </c>
      <c r="M339" s="169">
        <f t="shared" si="232"/>
        <v>0</v>
      </c>
      <c r="N339" s="16">
        <f>'БА в тыс. руб.'!I339*1000</f>
        <v>612000</v>
      </c>
      <c r="O339" s="169">
        <f t="shared" si="233"/>
        <v>0</v>
      </c>
    </row>
    <row r="340" spans="1:15" s="109" customFormat="1" ht="38.25">
      <c r="A340" s="11" t="s">
        <v>878</v>
      </c>
      <c r="B340" s="25" t="s">
        <v>29</v>
      </c>
      <c r="C340" s="26" t="s">
        <v>37</v>
      </c>
      <c r="D340" s="26" t="s">
        <v>40</v>
      </c>
      <c r="E340" s="26" t="s">
        <v>288</v>
      </c>
      <c r="F340" s="26" t="s">
        <v>58</v>
      </c>
      <c r="G340" s="27">
        <f>G341</f>
        <v>680000</v>
      </c>
      <c r="H340" s="27">
        <f>H341</f>
        <v>612000</v>
      </c>
      <c r="I340" s="27">
        <f>I341</f>
        <v>612000</v>
      </c>
      <c r="J340" s="16">
        <f>'БА в тыс. руб.'!G340*1000</f>
        <v>680000</v>
      </c>
      <c r="K340" s="169">
        <f t="shared" si="231"/>
        <v>0</v>
      </c>
      <c r="L340" s="16">
        <f>'БА в тыс. руб.'!H340*1000</f>
        <v>612000</v>
      </c>
      <c r="M340" s="169">
        <f t="shared" si="232"/>
        <v>0</v>
      </c>
      <c r="N340" s="16">
        <f>'БА в тыс. руб.'!I340*1000</f>
        <v>612000</v>
      </c>
      <c r="O340" s="169">
        <f t="shared" si="233"/>
        <v>0</v>
      </c>
    </row>
    <row r="341" spans="1:15" s="109" customFormat="1" ht="25.5">
      <c r="A341" s="11" t="s">
        <v>108</v>
      </c>
      <c r="B341" s="25" t="s">
        <v>29</v>
      </c>
      <c r="C341" s="26" t="s">
        <v>37</v>
      </c>
      <c r="D341" s="26" t="s">
        <v>40</v>
      </c>
      <c r="E341" s="26" t="s">
        <v>288</v>
      </c>
      <c r="F341" s="26" t="s">
        <v>116</v>
      </c>
      <c r="G341" s="27">
        <f>G342</f>
        <v>680000</v>
      </c>
      <c r="H341" s="27">
        <f t="shared" ref="H341:I341" si="239">H342</f>
        <v>612000</v>
      </c>
      <c r="I341" s="27">
        <f t="shared" si="239"/>
        <v>612000</v>
      </c>
      <c r="J341" s="16">
        <f>'БА в тыс. руб.'!G341*1000</f>
        <v>680000</v>
      </c>
      <c r="K341" s="169">
        <f t="shared" si="231"/>
        <v>0</v>
      </c>
      <c r="L341" s="16">
        <f>'БА в тыс. руб.'!H341*1000</f>
        <v>612000</v>
      </c>
      <c r="M341" s="169">
        <f t="shared" si="232"/>
        <v>0</v>
      </c>
      <c r="N341" s="16">
        <f>'БА в тыс. руб.'!I341*1000</f>
        <v>612000</v>
      </c>
      <c r="O341" s="169">
        <f t="shared" si="233"/>
        <v>0</v>
      </c>
    </row>
    <row r="342" spans="1:15" s="110" customFormat="1" ht="25.5">
      <c r="A342" s="12" t="s">
        <v>973</v>
      </c>
      <c r="B342" s="25" t="s">
        <v>29</v>
      </c>
      <c r="C342" s="26" t="s">
        <v>37</v>
      </c>
      <c r="D342" s="26" t="s">
        <v>40</v>
      </c>
      <c r="E342" s="26" t="s">
        <v>288</v>
      </c>
      <c r="F342" s="26" t="s">
        <v>1043</v>
      </c>
      <c r="G342" s="27">
        <f t="shared" ref="G342:G343" si="240">J342</f>
        <v>680000</v>
      </c>
      <c r="H342" s="27">
        <f t="shared" ref="H342:H343" si="241">L342</f>
        <v>612000</v>
      </c>
      <c r="I342" s="27">
        <f t="shared" ref="I342:I343" si="242">N342</f>
        <v>612000</v>
      </c>
      <c r="J342" s="16">
        <f>'БА в тыс. руб.'!G342*1000</f>
        <v>680000</v>
      </c>
      <c r="K342" s="169">
        <f t="shared" si="231"/>
        <v>0</v>
      </c>
      <c r="L342" s="16">
        <f>'БА в тыс. руб.'!H342*1000</f>
        <v>612000</v>
      </c>
      <c r="M342" s="169">
        <f t="shared" si="232"/>
        <v>0</v>
      </c>
      <c r="N342" s="16">
        <f>'БА в тыс. руб.'!I342*1000</f>
        <v>612000</v>
      </c>
      <c r="O342" s="169">
        <f t="shared" si="233"/>
        <v>0</v>
      </c>
    </row>
    <row r="343" spans="1:15" s="99" customFormat="1" ht="12.75">
      <c r="A343" s="79"/>
      <c r="B343" s="92"/>
      <c r="C343" s="70"/>
      <c r="D343" s="70"/>
      <c r="E343" s="70"/>
      <c r="F343" s="70"/>
      <c r="G343" s="27">
        <f t="shared" si="240"/>
        <v>0</v>
      </c>
      <c r="H343" s="27">
        <f t="shared" si="241"/>
        <v>0</v>
      </c>
      <c r="I343" s="27">
        <f t="shared" si="242"/>
        <v>0</v>
      </c>
      <c r="J343" s="16">
        <f>'БА в тыс. руб.'!G343*1000</f>
        <v>0</v>
      </c>
      <c r="K343" s="169">
        <f t="shared" si="231"/>
        <v>0</v>
      </c>
      <c r="L343" s="16">
        <f>'БА в тыс. руб.'!H343*1000</f>
        <v>0</v>
      </c>
      <c r="M343" s="169">
        <f t="shared" si="232"/>
        <v>0</v>
      </c>
      <c r="N343" s="16">
        <f>'БА в тыс. руб.'!I343*1000</f>
        <v>0</v>
      </c>
      <c r="O343" s="169">
        <f t="shared" si="233"/>
        <v>0</v>
      </c>
    </row>
    <row r="344" spans="1:15" s="109" customFormat="1" ht="12.75">
      <c r="A344" s="28" t="s">
        <v>74</v>
      </c>
      <c r="B344" s="14" t="s">
        <v>75</v>
      </c>
      <c r="C344" s="15" t="s">
        <v>51</v>
      </c>
      <c r="D344" s="15" t="s">
        <v>51</v>
      </c>
      <c r="E344" s="15" t="s">
        <v>196</v>
      </c>
      <c r="F344" s="15" t="s">
        <v>58</v>
      </c>
      <c r="G344" s="29">
        <f>G345+G382</f>
        <v>251032280</v>
      </c>
      <c r="H344" s="29">
        <f>H345+H382</f>
        <v>280155520</v>
      </c>
      <c r="I344" s="29">
        <f>I345+I382</f>
        <v>328041520</v>
      </c>
      <c r="J344" s="16">
        <f>'БА в тыс. руб.'!G344*1000</f>
        <v>251032280</v>
      </c>
      <c r="K344" s="169">
        <f t="shared" si="231"/>
        <v>0</v>
      </c>
      <c r="L344" s="16">
        <f>'БА в тыс. руб.'!H344*1000</f>
        <v>280155520</v>
      </c>
      <c r="M344" s="169">
        <f t="shared" si="232"/>
        <v>0</v>
      </c>
      <c r="N344" s="16">
        <f>'БА в тыс. руб.'!I344*1000</f>
        <v>328041520</v>
      </c>
      <c r="O344" s="169">
        <f t="shared" si="233"/>
        <v>0</v>
      </c>
    </row>
    <row r="345" spans="1:15" s="109" customFormat="1" ht="12.75">
      <c r="A345" s="17" t="s">
        <v>64</v>
      </c>
      <c r="B345" s="18" t="s">
        <v>75</v>
      </c>
      <c r="C345" s="19" t="s">
        <v>65</v>
      </c>
      <c r="D345" s="19" t="s">
        <v>51</v>
      </c>
      <c r="E345" s="19" t="s">
        <v>196</v>
      </c>
      <c r="F345" s="19" t="s">
        <v>58</v>
      </c>
      <c r="G345" s="20">
        <f>G346+G363+G369</f>
        <v>86322280</v>
      </c>
      <c r="H345" s="20">
        <f>H346+H363+H369</f>
        <v>80113520</v>
      </c>
      <c r="I345" s="20">
        <f>I346+I363+I369</f>
        <v>86313520</v>
      </c>
      <c r="J345" s="16">
        <f>'БА в тыс. руб.'!G345*1000</f>
        <v>86322280</v>
      </c>
      <c r="K345" s="169">
        <f t="shared" si="231"/>
        <v>0</v>
      </c>
      <c r="L345" s="16">
        <f>'БА в тыс. руб.'!H345*1000</f>
        <v>80113519.999999985</v>
      </c>
      <c r="M345" s="169">
        <f t="shared" si="232"/>
        <v>0</v>
      </c>
      <c r="N345" s="16">
        <f>'БА в тыс. руб.'!I345*1000</f>
        <v>86313519.999999985</v>
      </c>
      <c r="O345" s="169">
        <f t="shared" si="233"/>
        <v>0</v>
      </c>
    </row>
    <row r="346" spans="1:15" s="109" customFormat="1" ht="25.5">
      <c r="A346" s="21" t="s">
        <v>32</v>
      </c>
      <c r="B346" s="22" t="s">
        <v>75</v>
      </c>
      <c r="C346" s="23" t="s">
        <v>65</v>
      </c>
      <c r="D346" s="23" t="s">
        <v>2</v>
      </c>
      <c r="E346" s="23" t="s">
        <v>196</v>
      </c>
      <c r="F346" s="23" t="s">
        <v>58</v>
      </c>
      <c r="G346" s="24">
        <f t="shared" ref="G346:I347" si="243">G347</f>
        <v>45084110</v>
      </c>
      <c r="H346" s="24">
        <f t="shared" si="243"/>
        <v>45088770</v>
      </c>
      <c r="I346" s="24">
        <f t="shared" si="243"/>
        <v>45088770</v>
      </c>
      <c r="J346" s="16">
        <f>'БА в тыс. руб.'!G346*1000</f>
        <v>45084110</v>
      </c>
      <c r="K346" s="169">
        <f t="shared" si="231"/>
        <v>0</v>
      </c>
      <c r="L346" s="16">
        <f>'БА в тыс. руб.'!H346*1000</f>
        <v>45088770</v>
      </c>
      <c r="M346" s="169">
        <f t="shared" si="232"/>
        <v>0</v>
      </c>
      <c r="N346" s="16">
        <f>'БА в тыс. руб.'!I346*1000</f>
        <v>45088770</v>
      </c>
      <c r="O346" s="169">
        <f t="shared" si="233"/>
        <v>0</v>
      </c>
    </row>
    <row r="347" spans="1:15" s="109" customFormat="1" ht="25.5">
      <c r="A347" s="112" t="s">
        <v>128</v>
      </c>
      <c r="B347" s="25" t="s">
        <v>75</v>
      </c>
      <c r="C347" s="26" t="s">
        <v>65</v>
      </c>
      <c r="D347" s="26" t="s">
        <v>2</v>
      </c>
      <c r="E347" s="26" t="s">
        <v>305</v>
      </c>
      <c r="F347" s="26" t="s">
        <v>58</v>
      </c>
      <c r="G347" s="27">
        <f t="shared" si="243"/>
        <v>45084110</v>
      </c>
      <c r="H347" s="27">
        <f t="shared" si="243"/>
        <v>45088770</v>
      </c>
      <c r="I347" s="27">
        <f t="shared" si="243"/>
        <v>45088770</v>
      </c>
      <c r="J347" s="16">
        <f>'БА в тыс. руб.'!G347*1000</f>
        <v>45084110</v>
      </c>
      <c r="K347" s="169">
        <f t="shared" si="231"/>
        <v>0</v>
      </c>
      <c r="L347" s="16">
        <f>'БА в тыс. руб.'!H347*1000</f>
        <v>45088770</v>
      </c>
      <c r="M347" s="169">
        <f t="shared" si="232"/>
        <v>0</v>
      </c>
      <c r="N347" s="16">
        <f>'БА в тыс. руб.'!I347*1000</f>
        <v>45088770</v>
      </c>
      <c r="O347" s="169">
        <f t="shared" si="233"/>
        <v>0</v>
      </c>
    </row>
    <row r="348" spans="1:15" s="109" customFormat="1" ht="25.5">
      <c r="A348" s="112" t="s">
        <v>129</v>
      </c>
      <c r="B348" s="25" t="s">
        <v>75</v>
      </c>
      <c r="C348" s="26" t="s">
        <v>65</v>
      </c>
      <c r="D348" s="26" t="s">
        <v>2</v>
      </c>
      <c r="E348" s="26" t="s">
        <v>306</v>
      </c>
      <c r="F348" s="26" t="s">
        <v>58</v>
      </c>
      <c r="G348" s="27">
        <f>G349+G359</f>
        <v>45084110</v>
      </c>
      <c r="H348" s="27">
        <f>H349+H359</f>
        <v>45088770</v>
      </c>
      <c r="I348" s="27">
        <f>I349+I359</f>
        <v>45088770</v>
      </c>
      <c r="J348" s="16">
        <f>'БА в тыс. руб.'!G348*1000</f>
        <v>45084110</v>
      </c>
      <c r="K348" s="169">
        <f t="shared" si="231"/>
        <v>0</v>
      </c>
      <c r="L348" s="16">
        <f>'БА в тыс. руб.'!H348*1000</f>
        <v>45088770</v>
      </c>
      <c r="M348" s="169">
        <f t="shared" si="232"/>
        <v>0</v>
      </c>
      <c r="N348" s="16">
        <f>'БА в тыс. руб.'!I348*1000</f>
        <v>45088770</v>
      </c>
      <c r="O348" s="169">
        <f t="shared" si="233"/>
        <v>0</v>
      </c>
    </row>
    <row r="349" spans="1:15" s="109" customFormat="1" ht="25.5">
      <c r="A349" s="113" t="s">
        <v>114</v>
      </c>
      <c r="B349" s="25" t="s">
        <v>75</v>
      </c>
      <c r="C349" s="26" t="s">
        <v>65</v>
      </c>
      <c r="D349" s="26" t="s">
        <v>2</v>
      </c>
      <c r="E349" s="26" t="s">
        <v>307</v>
      </c>
      <c r="F349" s="26" t="s">
        <v>58</v>
      </c>
      <c r="G349" s="27">
        <f>G350+G353+G355</f>
        <v>4897580</v>
      </c>
      <c r="H349" s="27">
        <f t="shared" ref="H349:I349" si="244">H350+H353+H355</f>
        <v>4902240</v>
      </c>
      <c r="I349" s="27">
        <f t="shared" si="244"/>
        <v>4902240</v>
      </c>
      <c r="J349" s="16">
        <f>'БА в тыс. руб.'!G349*1000</f>
        <v>4897580.0000000009</v>
      </c>
      <c r="K349" s="169">
        <f t="shared" si="231"/>
        <v>0</v>
      </c>
      <c r="L349" s="16">
        <f>'БА в тыс. руб.'!H349*1000</f>
        <v>4902240.0000000009</v>
      </c>
      <c r="M349" s="169">
        <f t="shared" si="232"/>
        <v>0</v>
      </c>
      <c r="N349" s="16">
        <f>'БА в тыс. руб.'!I349*1000</f>
        <v>4902240.0000000009</v>
      </c>
      <c r="O349" s="169">
        <f t="shared" si="233"/>
        <v>0</v>
      </c>
    </row>
    <row r="350" spans="1:15" s="109" customFormat="1" ht="25.5">
      <c r="A350" s="12" t="s">
        <v>107</v>
      </c>
      <c r="B350" s="25" t="s">
        <v>75</v>
      </c>
      <c r="C350" s="26" t="s">
        <v>65</v>
      </c>
      <c r="D350" s="26" t="s">
        <v>2</v>
      </c>
      <c r="E350" s="26" t="s">
        <v>307</v>
      </c>
      <c r="F350" s="26" t="s">
        <v>115</v>
      </c>
      <c r="G350" s="27">
        <f>SUM(G351:G352)</f>
        <v>1307960</v>
      </c>
      <c r="H350" s="27">
        <f t="shared" ref="H350:I350" si="245">SUM(H351:H352)</f>
        <v>1307960</v>
      </c>
      <c r="I350" s="27">
        <f t="shared" si="245"/>
        <v>1307960</v>
      </c>
      <c r="J350" s="16">
        <f>'БА в тыс. руб.'!G350*1000</f>
        <v>1307960</v>
      </c>
      <c r="K350" s="169">
        <f t="shared" si="231"/>
        <v>0</v>
      </c>
      <c r="L350" s="16">
        <f>'БА в тыс. руб.'!H350*1000</f>
        <v>1307960</v>
      </c>
      <c r="M350" s="169">
        <f t="shared" si="232"/>
        <v>0</v>
      </c>
      <c r="N350" s="16">
        <f>'БА в тыс. руб.'!I350*1000</f>
        <v>1307960</v>
      </c>
      <c r="O350" s="169">
        <f t="shared" si="233"/>
        <v>0</v>
      </c>
    </row>
    <row r="351" spans="1:15" s="110" customFormat="1" ht="25.5">
      <c r="A351" s="12" t="s">
        <v>937</v>
      </c>
      <c r="B351" s="25" t="s">
        <v>75</v>
      </c>
      <c r="C351" s="26" t="s">
        <v>65</v>
      </c>
      <c r="D351" s="26" t="s">
        <v>2</v>
      </c>
      <c r="E351" s="26" t="s">
        <v>307</v>
      </c>
      <c r="F351" s="26" t="s">
        <v>1059</v>
      </c>
      <c r="G351" s="27">
        <f t="shared" ref="G351:G352" si="246">J351</f>
        <v>1032329.9999999999</v>
      </c>
      <c r="H351" s="27">
        <f t="shared" ref="H351:H352" si="247">L351</f>
        <v>1032329.9999999999</v>
      </c>
      <c r="I351" s="27">
        <f t="shared" ref="I351:I352" si="248">N351</f>
        <v>1032329.9999999999</v>
      </c>
      <c r="J351" s="16">
        <f>'БА в тыс. руб.'!G351*1000</f>
        <v>1032329.9999999999</v>
      </c>
      <c r="K351" s="169">
        <f t="shared" si="231"/>
        <v>0</v>
      </c>
      <c r="L351" s="16">
        <f>'БА в тыс. руб.'!H351*1000</f>
        <v>1032329.9999999999</v>
      </c>
      <c r="M351" s="169">
        <f t="shared" si="232"/>
        <v>0</v>
      </c>
      <c r="N351" s="16">
        <f>'БА в тыс. руб.'!I351*1000</f>
        <v>1032329.9999999999</v>
      </c>
      <c r="O351" s="169">
        <f t="shared" si="233"/>
        <v>0</v>
      </c>
    </row>
    <row r="352" spans="1:15" s="110" customFormat="1" ht="38.25">
      <c r="A352" s="12" t="s">
        <v>939</v>
      </c>
      <c r="B352" s="25" t="s">
        <v>75</v>
      </c>
      <c r="C352" s="26" t="s">
        <v>65</v>
      </c>
      <c r="D352" s="26" t="s">
        <v>2</v>
      </c>
      <c r="E352" s="26" t="s">
        <v>307</v>
      </c>
      <c r="F352" s="26" t="s">
        <v>1060</v>
      </c>
      <c r="G352" s="27">
        <f t="shared" si="246"/>
        <v>275630</v>
      </c>
      <c r="H352" s="27">
        <f t="shared" si="247"/>
        <v>275630</v>
      </c>
      <c r="I352" s="27">
        <f t="shared" si="248"/>
        <v>275630</v>
      </c>
      <c r="J352" s="16">
        <f>'БА в тыс. руб.'!G352*1000</f>
        <v>275630</v>
      </c>
      <c r="K352" s="169">
        <f t="shared" si="231"/>
        <v>0</v>
      </c>
      <c r="L352" s="16">
        <f>'БА в тыс. руб.'!H352*1000</f>
        <v>275630</v>
      </c>
      <c r="M352" s="169">
        <f t="shared" si="232"/>
        <v>0</v>
      </c>
      <c r="N352" s="16">
        <f>'БА в тыс. руб.'!I352*1000</f>
        <v>275630</v>
      </c>
      <c r="O352" s="169">
        <f t="shared" si="233"/>
        <v>0</v>
      </c>
    </row>
    <row r="353" spans="1:15" s="109" customFormat="1" ht="25.5">
      <c r="A353" s="11" t="s">
        <v>108</v>
      </c>
      <c r="B353" s="25" t="s">
        <v>75</v>
      </c>
      <c r="C353" s="26" t="s">
        <v>65</v>
      </c>
      <c r="D353" s="26" t="s">
        <v>2</v>
      </c>
      <c r="E353" s="26" t="s">
        <v>307</v>
      </c>
      <c r="F353" s="26" t="s">
        <v>116</v>
      </c>
      <c r="G353" s="27">
        <f>G354</f>
        <v>3529150</v>
      </c>
      <c r="H353" s="27">
        <f t="shared" ref="H353:I353" si="249">H354</f>
        <v>3533810</v>
      </c>
      <c r="I353" s="27">
        <f t="shared" si="249"/>
        <v>3533810</v>
      </c>
      <c r="J353" s="16">
        <f>'БА в тыс. руб.'!G353*1000</f>
        <v>3529150</v>
      </c>
      <c r="K353" s="169">
        <f t="shared" si="231"/>
        <v>0</v>
      </c>
      <c r="L353" s="16">
        <f>'БА в тыс. руб.'!H353*1000</f>
        <v>3533810</v>
      </c>
      <c r="M353" s="169">
        <f t="shared" si="232"/>
        <v>0</v>
      </c>
      <c r="N353" s="16">
        <f>'БА в тыс. руб.'!I353*1000</f>
        <v>3533810</v>
      </c>
      <c r="O353" s="169">
        <f t="shared" si="233"/>
        <v>0</v>
      </c>
    </row>
    <row r="354" spans="1:15" s="110" customFormat="1" ht="25.5">
      <c r="A354" s="12" t="s">
        <v>973</v>
      </c>
      <c r="B354" s="25" t="s">
        <v>75</v>
      </c>
      <c r="C354" s="26" t="s">
        <v>65</v>
      </c>
      <c r="D354" s="26" t="s">
        <v>2</v>
      </c>
      <c r="E354" s="26" t="s">
        <v>307</v>
      </c>
      <c r="F354" s="26" t="s">
        <v>1043</v>
      </c>
      <c r="G354" s="27">
        <f t="shared" ref="G354" si="250">J354</f>
        <v>3529150</v>
      </c>
      <c r="H354" s="27">
        <f>L354</f>
        <v>3533810</v>
      </c>
      <c r="I354" s="27">
        <f>N354</f>
        <v>3533810</v>
      </c>
      <c r="J354" s="16">
        <f>'БА в тыс. руб.'!G354*1000</f>
        <v>3529150</v>
      </c>
      <c r="K354" s="169">
        <f t="shared" si="231"/>
        <v>0</v>
      </c>
      <c r="L354" s="16">
        <f>'БА в тыс. руб.'!H354*1000</f>
        <v>3533810</v>
      </c>
      <c r="M354" s="169">
        <f t="shared" si="232"/>
        <v>0</v>
      </c>
      <c r="N354" s="16">
        <f>'БА в тыс. руб.'!I354*1000</f>
        <v>3533810</v>
      </c>
      <c r="O354" s="169">
        <f t="shared" si="233"/>
        <v>0</v>
      </c>
    </row>
    <row r="355" spans="1:15" s="109" customFormat="1" ht="12.75">
      <c r="A355" s="11" t="s">
        <v>97</v>
      </c>
      <c r="B355" s="25" t="s">
        <v>75</v>
      </c>
      <c r="C355" s="26" t="s">
        <v>65</v>
      </c>
      <c r="D355" s="26" t="s">
        <v>2</v>
      </c>
      <c r="E355" s="26" t="s">
        <v>307</v>
      </c>
      <c r="F355" s="26" t="s">
        <v>118</v>
      </c>
      <c r="G355" s="27">
        <f>SUM(G356:G358)</f>
        <v>60470</v>
      </c>
      <c r="H355" s="27">
        <f t="shared" ref="H355:I355" si="251">SUM(H356:H358)</f>
        <v>60470</v>
      </c>
      <c r="I355" s="27">
        <f t="shared" si="251"/>
        <v>60470</v>
      </c>
      <c r="J355" s="16">
        <f>'БА в тыс. руб.'!G355*1000</f>
        <v>60470</v>
      </c>
      <c r="K355" s="169">
        <f t="shared" si="231"/>
        <v>0</v>
      </c>
      <c r="L355" s="16">
        <f>'БА в тыс. руб.'!H355*1000</f>
        <v>60470</v>
      </c>
      <c r="M355" s="169">
        <f t="shared" si="232"/>
        <v>0</v>
      </c>
      <c r="N355" s="16">
        <f>'БА в тыс. руб.'!I355*1000</f>
        <v>60470</v>
      </c>
      <c r="O355" s="169">
        <f t="shared" si="233"/>
        <v>0</v>
      </c>
    </row>
    <row r="356" spans="1:15" s="109" customFormat="1" ht="12.75">
      <c r="A356" s="11" t="s">
        <v>1036</v>
      </c>
      <c r="B356" s="25" t="s">
        <v>75</v>
      </c>
      <c r="C356" s="26" t="s">
        <v>65</v>
      </c>
      <c r="D356" s="26" t="s">
        <v>2</v>
      </c>
      <c r="E356" s="26" t="s">
        <v>307</v>
      </c>
      <c r="F356" s="26" t="s">
        <v>1061</v>
      </c>
      <c r="G356" s="27">
        <f t="shared" ref="G356:G358" si="252">J356</f>
        <v>2000</v>
      </c>
      <c r="H356" s="27">
        <f t="shared" ref="H356:H358" si="253">L356</f>
        <v>2000</v>
      </c>
      <c r="I356" s="27">
        <f t="shared" ref="I356:I358" si="254">N356</f>
        <v>2000</v>
      </c>
      <c r="J356" s="16">
        <f>'БА в тыс. руб.'!G356*1000</f>
        <v>2000</v>
      </c>
      <c r="K356" s="169">
        <f t="shared" si="231"/>
        <v>0</v>
      </c>
      <c r="L356" s="16">
        <f>'БА в тыс. руб.'!H356*1000</f>
        <v>2000</v>
      </c>
      <c r="M356" s="169">
        <f t="shared" si="232"/>
        <v>0</v>
      </c>
      <c r="N356" s="16">
        <f>'БА в тыс. руб.'!I356*1000</f>
        <v>2000</v>
      </c>
      <c r="O356" s="169">
        <f t="shared" si="233"/>
        <v>0</v>
      </c>
    </row>
    <row r="357" spans="1:15" s="109" customFormat="1" ht="12.75">
      <c r="A357" s="11" t="s">
        <v>1037</v>
      </c>
      <c r="B357" s="25" t="s">
        <v>75</v>
      </c>
      <c r="C357" s="26" t="s">
        <v>65</v>
      </c>
      <c r="D357" s="26" t="s">
        <v>2</v>
      </c>
      <c r="E357" s="26" t="s">
        <v>307</v>
      </c>
      <c r="F357" s="26" t="s">
        <v>1062</v>
      </c>
      <c r="G357" s="27">
        <f t="shared" si="252"/>
        <v>23470</v>
      </c>
      <c r="H357" s="27">
        <f t="shared" si="253"/>
        <v>23470</v>
      </c>
      <c r="I357" s="27">
        <f t="shared" si="254"/>
        <v>23470</v>
      </c>
      <c r="J357" s="16">
        <f>'БА в тыс. руб.'!G357*1000</f>
        <v>23470</v>
      </c>
      <c r="K357" s="169">
        <f t="shared" si="231"/>
        <v>0</v>
      </c>
      <c r="L357" s="16">
        <f>'БА в тыс. руб.'!H357*1000</f>
        <v>23470</v>
      </c>
      <c r="M357" s="169">
        <f t="shared" si="232"/>
        <v>0</v>
      </c>
      <c r="N357" s="16">
        <f>'БА в тыс. руб.'!I357*1000</f>
        <v>23470</v>
      </c>
      <c r="O357" s="169">
        <f t="shared" si="233"/>
        <v>0</v>
      </c>
    </row>
    <row r="358" spans="1:15" s="109" customFormat="1" ht="12.75">
      <c r="A358" s="11" t="s">
        <v>1038</v>
      </c>
      <c r="B358" s="25" t="s">
        <v>75</v>
      </c>
      <c r="C358" s="26" t="s">
        <v>65</v>
      </c>
      <c r="D358" s="26" t="s">
        <v>2</v>
      </c>
      <c r="E358" s="26" t="s">
        <v>307</v>
      </c>
      <c r="F358" s="26" t="s">
        <v>1066</v>
      </c>
      <c r="G358" s="27">
        <f t="shared" si="252"/>
        <v>35000</v>
      </c>
      <c r="H358" s="27">
        <f t="shared" si="253"/>
        <v>35000</v>
      </c>
      <c r="I358" s="27">
        <f t="shared" si="254"/>
        <v>35000</v>
      </c>
      <c r="J358" s="16">
        <f>'БА в тыс. руб.'!G358*1000</f>
        <v>35000</v>
      </c>
      <c r="K358" s="169">
        <f t="shared" si="231"/>
        <v>0</v>
      </c>
      <c r="L358" s="16">
        <f>'БА в тыс. руб.'!H358*1000</f>
        <v>35000</v>
      </c>
      <c r="M358" s="169">
        <f t="shared" si="232"/>
        <v>0</v>
      </c>
      <c r="N358" s="16">
        <f>'БА в тыс. руб.'!I358*1000</f>
        <v>35000</v>
      </c>
      <c r="O358" s="169">
        <f t="shared" si="233"/>
        <v>0</v>
      </c>
    </row>
    <row r="359" spans="1:15" s="109" customFormat="1" ht="25.5">
      <c r="A359" s="74" t="s">
        <v>126</v>
      </c>
      <c r="B359" s="25" t="s">
        <v>75</v>
      </c>
      <c r="C359" s="26" t="s">
        <v>65</v>
      </c>
      <c r="D359" s="26" t="s">
        <v>2</v>
      </c>
      <c r="E359" s="26" t="s">
        <v>308</v>
      </c>
      <c r="F359" s="26" t="s">
        <v>58</v>
      </c>
      <c r="G359" s="27">
        <f>G360</f>
        <v>40186530</v>
      </c>
      <c r="H359" s="27">
        <f>H360</f>
        <v>40186530</v>
      </c>
      <c r="I359" s="27">
        <f>I360</f>
        <v>40186530</v>
      </c>
      <c r="J359" s="16">
        <f>'БА в тыс. руб.'!G359*1000</f>
        <v>40186530</v>
      </c>
      <c r="K359" s="169">
        <f t="shared" si="231"/>
        <v>0</v>
      </c>
      <c r="L359" s="16">
        <f>'БА в тыс. руб.'!H359*1000</f>
        <v>40186530</v>
      </c>
      <c r="M359" s="169">
        <f t="shared" si="232"/>
        <v>0</v>
      </c>
      <c r="N359" s="16">
        <f>'БА в тыс. руб.'!I359*1000</f>
        <v>40186530</v>
      </c>
      <c r="O359" s="169">
        <f t="shared" si="233"/>
        <v>0</v>
      </c>
    </row>
    <row r="360" spans="1:15" s="109" customFormat="1" ht="25.5">
      <c r="A360" s="11" t="s">
        <v>107</v>
      </c>
      <c r="B360" s="25" t="s">
        <v>75</v>
      </c>
      <c r="C360" s="26" t="s">
        <v>65</v>
      </c>
      <c r="D360" s="26" t="s">
        <v>2</v>
      </c>
      <c r="E360" s="26" t="s">
        <v>308</v>
      </c>
      <c r="F360" s="26" t="s">
        <v>115</v>
      </c>
      <c r="G360" s="27">
        <f>SUM(G361:G362)</f>
        <v>40186530</v>
      </c>
      <c r="H360" s="27">
        <f t="shared" ref="H360:I360" si="255">SUM(H361:H362)</f>
        <v>40186530</v>
      </c>
      <c r="I360" s="27">
        <f t="shared" si="255"/>
        <v>40186530</v>
      </c>
      <c r="J360" s="16">
        <f>'БА в тыс. руб.'!G360*1000</f>
        <v>40186530</v>
      </c>
      <c r="K360" s="169">
        <f t="shared" si="231"/>
        <v>0</v>
      </c>
      <c r="L360" s="16">
        <f>'БА в тыс. руб.'!H360*1000</f>
        <v>40186530</v>
      </c>
      <c r="M360" s="169">
        <f t="shared" si="232"/>
        <v>0</v>
      </c>
      <c r="N360" s="16">
        <f>'БА в тыс. руб.'!I360*1000</f>
        <v>40186530</v>
      </c>
      <c r="O360" s="169">
        <f t="shared" si="233"/>
        <v>0</v>
      </c>
    </row>
    <row r="361" spans="1:15" s="109" customFormat="1" ht="12.75">
      <c r="A361" s="11" t="s">
        <v>936</v>
      </c>
      <c r="B361" s="25" t="s">
        <v>75</v>
      </c>
      <c r="C361" s="26" t="s">
        <v>65</v>
      </c>
      <c r="D361" s="26" t="s">
        <v>2</v>
      </c>
      <c r="E361" s="26" t="s">
        <v>308</v>
      </c>
      <c r="F361" s="26" t="s">
        <v>1063</v>
      </c>
      <c r="G361" s="27">
        <f t="shared" ref="G361:G362" si="256">J361</f>
        <v>30865230</v>
      </c>
      <c r="H361" s="27">
        <f t="shared" ref="H361:H362" si="257">L361</f>
        <v>30865230</v>
      </c>
      <c r="I361" s="27">
        <f t="shared" ref="I361:I362" si="258">N361</f>
        <v>30865230</v>
      </c>
      <c r="J361" s="16">
        <f>'БА в тыс. руб.'!G361*1000</f>
        <v>30865230</v>
      </c>
      <c r="K361" s="169">
        <f t="shared" si="231"/>
        <v>0</v>
      </c>
      <c r="L361" s="16">
        <f>'БА в тыс. руб.'!H361*1000</f>
        <v>30865230</v>
      </c>
      <c r="M361" s="169">
        <f t="shared" si="232"/>
        <v>0</v>
      </c>
      <c r="N361" s="16">
        <f>'БА в тыс. руб.'!I361*1000</f>
        <v>30865230</v>
      </c>
      <c r="O361" s="169">
        <f t="shared" si="233"/>
        <v>0</v>
      </c>
    </row>
    <row r="362" spans="1:15" s="109" customFormat="1" ht="38.25">
      <c r="A362" s="11" t="s">
        <v>939</v>
      </c>
      <c r="B362" s="25" t="s">
        <v>75</v>
      </c>
      <c r="C362" s="26" t="s">
        <v>65</v>
      </c>
      <c r="D362" s="26" t="s">
        <v>2</v>
      </c>
      <c r="E362" s="26" t="s">
        <v>308</v>
      </c>
      <c r="F362" s="26" t="s">
        <v>1060</v>
      </c>
      <c r="G362" s="27">
        <f t="shared" si="256"/>
        <v>9321300</v>
      </c>
      <c r="H362" s="27">
        <f t="shared" si="257"/>
        <v>9321300</v>
      </c>
      <c r="I362" s="27">
        <f t="shared" si="258"/>
        <v>9321300</v>
      </c>
      <c r="J362" s="16">
        <f>'БА в тыс. руб.'!G362*1000</f>
        <v>9321300</v>
      </c>
      <c r="K362" s="169">
        <f t="shared" si="231"/>
        <v>0</v>
      </c>
      <c r="L362" s="16">
        <f>'БА в тыс. руб.'!H362*1000</f>
        <v>9321300</v>
      </c>
      <c r="M362" s="169">
        <f t="shared" si="232"/>
        <v>0</v>
      </c>
      <c r="N362" s="16">
        <f>'БА в тыс. руб.'!I362*1000</f>
        <v>9321300</v>
      </c>
      <c r="O362" s="169">
        <f t="shared" si="233"/>
        <v>0</v>
      </c>
    </row>
    <row r="363" spans="1:15" s="109" customFormat="1" ht="12.75">
      <c r="A363" s="21" t="s">
        <v>309</v>
      </c>
      <c r="B363" s="22" t="s">
        <v>75</v>
      </c>
      <c r="C363" s="23" t="s">
        <v>65</v>
      </c>
      <c r="D363" s="23" t="s">
        <v>78</v>
      </c>
      <c r="E363" s="23" t="s">
        <v>196</v>
      </c>
      <c r="F363" s="23" t="s">
        <v>310</v>
      </c>
      <c r="G363" s="24">
        <f t="shared" ref="G363:I367" si="259">G364</f>
        <v>14195040</v>
      </c>
      <c r="H363" s="24">
        <f t="shared" si="259"/>
        <v>12775540</v>
      </c>
      <c r="I363" s="24">
        <f t="shared" si="259"/>
        <v>12775540</v>
      </c>
      <c r="J363" s="16">
        <f>'БА в тыс. руб.'!G363*1000</f>
        <v>14195040</v>
      </c>
      <c r="K363" s="169">
        <f t="shared" si="231"/>
        <v>0</v>
      </c>
      <c r="L363" s="16">
        <f>'БА в тыс. руб.'!H363*1000</f>
        <v>12775540</v>
      </c>
      <c r="M363" s="169">
        <f t="shared" si="232"/>
        <v>0</v>
      </c>
      <c r="N363" s="16">
        <f>'БА в тыс. руб.'!I363*1000</f>
        <v>12775540</v>
      </c>
      <c r="O363" s="169">
        <f t="shared" si="233"/>
        <v>0</v>
      </c>
    </row>
    <row r="364" spans="1:15" s="109" customFormat="1" ht="25.5">
      <c r="A364" s="12" t="s">
        <v>743</v>
      </c>
      <c r="B364" s="25" t="s">
        <v>75</v>
      </c>
      <c r="C364" s="26" t="s">
        <v>65</v>
      </c>
      <c r="D364" s="26" t="s">
        <v>78</v>
      </c>
      <c r="E364" s="26" t="s">
        <v>311</v>
      </c>
      <c r="F364" s="26" t="s">
        <v>310</v>
      </c>
      <c r="G364" s="27">
        <f t="shared" si="259"/>
        <v>14195040</v>
      </c>
      <c r="H364" s="27">
        <f t="shared" si="259"/>
        <v>12775540</v>
      </c>
      <c r="I364" s="27">
        <f t="shared" si="259"/>
        <v>12775540</v>
      </c>
      <c r="J364" s="16">
        <f>'БА в тыс. руб.'!G364*1000</f>
        <v>14195040</v>
      </c>
      <c r="K364" s="169">
        <f t="shared" si="231"/>
        <v>0</v>
      </c>
      <c r="L364" s="16">
        <f>'БА в тыс. руб.'!H364*1000</f>
        <v>12775540</v>
      </c>
      <c r="M364" s="169">
        <f t="shared" si="232"/>
        <v>0</v>
      </c>
      <c r="N364" s="16">
        <f>'БА в тыс. руб.'!I364*1000</f>
        <v>12775540</v>
      </c>
      <c r="O364" s="169">
        <f t="shared" si="233"/>
        <v>0</v>
      </c>
    </row>
    <row r="365" spans="1:15" s="109" customFormat="1" ht="38.25">
      <c r="A365" s="12" t="s">
        <v>744</v>
      </c>
      <c r="B365" s="25" t="s">
        <v>75</v>
      </c>
      <c r="C365" s="26" t="s">
        <v>65</v>
      </c>
      <c r="D365" s="26" t="s">
        <v>78</v>
      </c>
      <c r="E365" s="26" t="s">
        <v>312</v>
      </c>
      <c r="F365" s="26" t="s">
        <v>58</v>
      </c>
      <c r="G365" s="27">
        <f t="shared" si="259"/>
        <v>14195040</v>
      </c>
      <c r="H365" s="27">
        <f t="shared" si="259"/>
        <v>12775540</v>
      </c>
      <c r="I365" s="27">
        <f t="shared" si="259"/>
        <v>12775540</v>
      </c>
      <c r="J365" s="16">
        <f>'БА в тыс. руб.'!G365*1000</f>
        <v>14195040</v>
      </c>
      <c r="K365" s="169">
        <f t="shared" si="231"/>
        <v>0</v>
      </c>
      <c r="L365" s="16">
        <f>'БА в тыс. руб.'!H365*1000</f>
        <v>12775540</v>
      </c>
      <c r="M365" s="169">
        <f t="shared" si="232"/>
        <v>0</v>
      </c>
      <c r="N365" s="16">
        <f>'БА в тыс. руб.'!I365*1000</f>
        <v>12775540</v>
      </c>
      <c r="O365" s="169">
        <f t="shared" si="233"/>
        <v>0</v>
      </c>
    </row>
    <row r="366" spans="1:15" s="109" customFormat="1" ht="25.5">
      <c r="A366" s="12" t="s">
        <v>313</v>
      </c>
      <c r="B366" s="25" t="s">
        <v>75</v>
      </c>
      <c r="C366" s="26" t="s">
        <v>65</v>
      </c>
      <c r="D366" s="26" t="s">
        <v>78</v>
      </c>
      <c r="E366" s="26" t="s">
        <v>568</v>
      </c>
      <c r="F366" s="26" t="s">
        <v>58</v>
      </c>
      <c r="G366" s="27">
        <f t="shared" si="259"/>
        <v>14195040</v>
      </c>
      <c r="H366" s="27">
        <f t="shared" si="259"/>
        <v>12775540</v>
      </c>
      <c r="I366" s="27">
        <f t="shared" si="259"/>
        <v>12775540</v>
      </c>
      <c r="J366" s="16">
        <f>'БА в тыс. руб.'!G366*1000</f>
        <v>14195040</v>
      </c>
      <c r="K366" s="169">
        <f t="shared" si="231"/>
        <v>0</v>
      </c>
      <c r="L366" s="16">
        <f>'БА в тыс. руб.'!H366*1000</f>
        <v>12775540</v>
      </c>
      <c r="M366" s="169">
        <f t="shared" si="232"/>
        <v>0</v>
      </c>
      <c r="N366" s="16">
        <f>'БА в тыс. руб.'!I366*1000</f>
        <v>12775540</v>
      </c>
      <c r="O366" s="169">
        <f t="shared" si="233"/>
        <v>0</v>
      </c>
    </row>
    <row r="367" spans="1:15" s="109" customFormat="1" ht="12.75">
      <c r="A367" s="11" t="s">
        <v>0</v>
      </c>
      <c r="B367" s="25" t="s">
        <v>75</v>
      </c>
      <c r="C367" s="26" t="s">
        <v>65</v>
      </c>
      <c r="D367" s="26" t="s">
        <v>78</v>
      </c>
      <c r="E367" s="26" t="s">
        <v>569</v>
      </c>
      <c r="F367" s="26" t="s">
        <v>58</v>
      </c>
      <c r="G367" s="27">
        <f t="shared" si="259"/>
        <v>14195040</v>
      </c>
      <c r="H367" s="27">
        <f t="shared" si="259"/>
        <v>12775540</v>
      </c>
      <c r="I367" s="27">
        <f t="shared" si="259"/>
        <v>12775540</v>
      </c>
      <c r="J367" s="16">
        <f>'БА в тыс. руб.'!G367*1000</f>
        <v>14195040</v>
      </c>
      <c r="K367" s="169">
        <f t="shared" si="231"/>
        <v>0</v>
      </c>
      <c r="L367" s="16">
        <f>'БА в тыс. руб.'!H367*1000</f>
        <v>12775540</v>
      </c>
      <c r="M367" s="169">
        <f t="shared" si="232"/>
        <v>0</v>
      </c>
      <c r="N367" s="16">
        <f>'БА в тыс. руб.'!I367*1000</f>
        <v>12775540</v>
      </c>
      <c r="O367" s="169">
        <f t="shared" si="233"/>
        <v>0</v>
      </c>
    </row>
    <row r="368" spans="1:15" s="109" customFormat="1" ht="14.45" customHeight="1">
      <c r="A368" s="11" t="s">
        <v>98</v>
      </c>
      <c r="B368" s="25" t="s">
        <v>75</v>
      </c>
      <c r="C368" s="26" t="s">
        <v>65</v>
      </c>
      <c r="D368" s="26" t="s">
        <v>78</v>
      </c>
      <c r="E368" s="26" t="s">
        <v>569</v>
      </c>
      <c r="F368" s="26" t="s">
        <v>102</v>
      </c>
      <c r="G368" s="27">
        <f t="shared" ref="G368" si="260">J368</f>
        <v>14195040</v>
      </c>
      <c r="H368" s="27">
        <f>L368</f>
        <v>12775540</v>
      </c>
      <c r="I368" s="27">
        <f>N368</f>
        <v>12775540</v>
      </c>
      <c r="J368" s="16">
        <f>'БА в тыс. руб.'!G368*1000</f>
        <v>14195040</v>
      </c>
      <c r="K368" s="169">
        <f t="shared" si="231"/>
        <v>0</v>
      </c>
      <c r="L368" s="16">
        <f>'БА в тыс. руб.'!H368*1000</f>
        <v>12775540</v>
      </c>
      <c r="M368" s="169">
        <f t="shared" si="232"/>
        <v>0</v>
      </c>
      <c r="N368" s="16">
        <f>'БА в тыс. руб.'!I368*1000</f>
        <v>12775540</v>
      </c>
      <c r="O368" s="169">
        <f t="shared" si="233"/>
        <v>0</v>
      </c>
    </row>
    <row r="369" spans="1:15" s="109" customFormat="1" ht="12.75">
      <c r="A369" s="21" t="s">
        <v>38</v>
      </c>
      <c r="B369" s="22" t="s">
        <v>75</v>
      </c>
      <c r="C369" s="23" t="s">
        <v>65</v>
      </c>
      <c r="D369" s="23" t="s">
        <v>84</v>
      </c>
      <c r="E369" s="23" t="s">
        <v>196</v>
      </c>
      <c r="F369" s="23" t="s">
        <v>58</v>
      </c>
      <c r="G369" s="24">
        <f>G376+G370</f>
        <v>27043130</v>
      </c>
      <c r="H369" s="24">
        <f>H376+H370</f>
        <v>22249210</v>
      </c>
      <c r="I369" s="24">
        <f>I376+I370</f>
        <v>28449210</v>
      </c>
      <c r="J369" s="16">
        <f>'БА в тыс. руб.'!G369*1000</f>
        <v>27043130</v>
      </c>
      <c r="K369" s="169">
        <f t="shared" si="231"/>
        <v>0</v>
      </c>
      <c r="L369" s="16">
        <f>'БА в тыс. руб.'!H369*1000</f>
        <v>22249210</v>
      </c>
      <c r="M369" s="169">
        <f t="shared" si="232"/>
        <v>0</v>
      </c>
      <c r="N369" s="16">
        <f>'БА в тыс. руб.'!I369*1000</f>
        <v>28449210</v>
      </c>
      <c r="O369" s="169">
        <f t="shared" si="233"/>
        <v>0</v>
      </c>
    </row>
    <row r="370" spans="1:15" s="109" customFormat="1" ht="25.5">
      <c r="A370" s="12" t="s">
        <v>743</v>
      </c>
      <c r="B370" s="25" t="s">
        <v>75</v>
      </c>
      <c r="C370" s="26" t="s">
        <v>65</v>
      </c>
      <c r="D370" s="26" t="s">
        <v>84</v>
      </c>
      <c r="E370" s="26" t="s">
        <v>311</v>
      </c>
      <c r="F370" s="26" t="s">
        <v>58</v>
      </c>
      <c r="G370" s="27">
        <f t="shared" ref="G370:I374" si="261">G371</f>
        <v>8338340</v>
      </c>
      <c r="H370" s="27">
        <f t="shared" si="261"/>
        <v>3544420</v>
      </c>
      <c r="I370" s="27">
        <f t="shared" si="261"/>
        <v>9744420</v>
      </c>
      <c r="J370" s="16">
        <f>'БА в тыс. руб.'!G370*1000</f>
        <v>8338340</v>
      </c>
      <c r="K370" s="169">
        <f t="shared" si="231"/>
        <v>0</v>
      </c>
      <c r="L370" s="16">
        <f>'БА в тыс. руб.'!H370*1000</f>
        <v>3544420</v>
      </c>
      <c r="M370" s="169">
        <f t="shared" si="232"/>
        <v>0</v>
      </c>
      <c r="N370" s="16">
        <f>'БА в тыс. руб.'!I370*1000</f>
        <v>9744420</v>
      </c>
      <c r="O370" s="169">
        <f t="shared" si="233"/>
        <v>0</v>
      </c>
    </row>
    <row r="371" spans="1:15" s="109" customFormat="1" ht="38.25">
      <c r="A371" s="12" t="s">
        <v>744</v>
      </c>
      <c r="B371" s="25" t="s">
        <v>75</v>
      </c>
      <c r="C371" s="26" t="s">
        <v>65</v>
      </c>
      <c r="D371" s="26" t="s">
        <v>84</v>
      </c>
      <c r="E371" s="26" t="s">
        <v>312</v>
      </c>
      <c r="F371" s="26" t="s">
        <v>58</v>
      </c>
      <c r="G371" s="27">
        <f t="shared" si="261"/>
        <v>8338340</v>
      </c>
      <c r="H371" s="27">
        <f t="shared" si="261"/>
        <v>3544420</v>
      </c>
      <c r="I371" s="27">
        <f t="shared" si="261"/>
        <v>9744420</v>
      </c>
      <c r="J371" s="16">
        <f>'БА в тыс. руб.'!G371*1000</f>
        <v>8338340</v>
      </c>
      <c r="K371" s="169">
        <f t="shared" si="231"/>
        <v>0</v>
      </c>
      <c r="L371" s="16">
        <f>'БА в тыс. руб.'!H371*1000</f>
        <v>3544420</v>
      </c>
      <c r="M371" s="169">
        <f t="shared" si="232"/>
        <v>0</v>
      </c>
      <c r="N371" s="16">
        <f>'БА в тыс. руб.'!I371*1000</f>
        <v>9744420</v>
      </c>
      <c r="O371" s="169">
        <f t="shared" si="233"/>
        <v>0</v>
      </c>
    </row>
    <row r="372" spans="1:15" s="109" customFormat="1" ht="51">
      <c r="A372" s="12" t="s">
        <v>315</v>
      </c>
      <c r="B372" s="25" t="s">
        <v>75</v>
      </c>
      <c r="C372" s="26" t="s">
        <v>65</v>
      </c>
      <c r="D372" s="26" t="s">
        <v>84</v>
      </c>
      <c r="E372" s="26" t="s">
        <v>314</v>
      </c>
      <c r="F372" s="26" t="s">
        <v>58</v>
      </c>
      <c r="G372" s="27">
        <f t="shared" si="261"/>
        <v>8338340</v>
      </c>
      <c r="H372" s="27">
        <f t="shared" si="261"/>
        <v>3544420</v>
      </c>
      <c r="I372" s="27">
        <f t="shared" si="261"/>
        <v>9744420</v>
      </c>
      <c r="J372" s="16">
        <f>'БА в тыс. руб.'!G372*1000</f>
        <v>8338340</v>
      </c>
      <c r="K372" s="169">
        <f t="shared" si="231"/>
        <v>0</v>
      </c>
      <c r="L372" s="16">
        <f>'БА в тыс. руб.'!H372*1000</f>
        <v>3544420</v>
      </c>
      <c r="M372" s="169">
        <f t="shared" si="232"/>
        <v>0</v>
      </c>
      <c r="N372" s="16">
        <f>'БА в тыс. руб.'!I372*1000</f>
        <v>9744420</v>
      </c>
      <c r="O372" s="169">
        <f t="shared" si="233"/>
        <v>0</v>
      </c>
    </row>
    <row r="373" spans="1:15" s="109" customFormat="1" ht="25.5">
      <c r="A373" s="11" t="s">
        <v>130</v>
      </c>
      <c r="B373" s="25" t="s">
        <v>75</v>
      </c>
      <c r="C373" s="26" t="s">
        <v>65</v>
      </c>
      <c r="D373" s="26" t="s">
        <v>84</v>
      </c>
      <c r="E373" s="26" t="s">
        <v>570</v>
      </c>
      <c r="F373" s="26" t="s">
        <v>58</v>
      </c>
      <c r="G373" s="27">
        <f t="shared" si="261"/>
        <v>8338340</v>
      </c>
      <c r="H373" s="27">
        <f t="shared" si="261"/>
        <v>3544420</v>
      </c>
      <c r="I373" s="27">
        <f t="shared" si="261"/>
        <v>9744420</v>
      </c>
      <c r="J373" s="16">
        <f>'БА в тыс. руб.'!G373*1000</f>
        <v>8338340</v>
      </c>
      <c r="K373" s="169">
        <f t="shared" si="231"/>
        <v>0</v>
      </c>
      <c r="L373" s="16">
        <f>'БА в тыс. руб.'!H373*1000</f>
        <v>3544420</v>
      </c>
      <c r="M373" s="169">
        <f t="shared" si="232"/>
        <v>0</v>
      </c>
      <c r="N373" s="16">
        <f>'БА в тыс. руб.'!I373*1000</f>
        <v>9744420</v>
      </c>
      <c r="O373" s="169">
        <f t="shared" si="233"/>
        <v>0</v>
      </c>
    </row>
    <row r="374" spans="1:15" s="109" customFormat="1" ht="12.75">
      <c r="A374" s="11" t="s">
        <v>96</v>
      </c>
      <c r="B374" s="25" t="s">
        <v>75</v>
      </c>
      <c r="C374" s="26" t="s">
        <v>65</v>
      </c>
      <c r="D374" s="26" t="s">
        <v>84</v>
      </c>
      <c r="E374" s="26" t="s">
        <v>570</v>
      </c>
      <c r="F374" s="26" t="s">
        <v>131</v>
      </c>
      <c r="G374" s="27">
        <f>G375</f>
        <v>8338340</v>
      </c>
      <c r="H374" s="27">
        <f t="shared" si="261"/>
        <v>3544420</v>
      </c>
      <c r="I374" s="27">
        <f t="shared" si="261"/>
        <v>9744420</v>
      </c>
      <c r="J374" s="16">
        <f>'БА в тыс. руб.'!G374*1000</f>
        <v>8338340</v>
      </c>
      <c r="K374" s="169">
        <f t="shared" si="231"/>
        <v>0</v>
      </c>
      <c r="L374" s="16">
        <f>'БА в тыс. руб.'!H374*1000</f>
        <v>3544420</v>
      </c>
      <c r="M374" s="169">
        <f t="shared" si="232"/>
        <v>0</v>
      </c>
      <c r="N374" s="16">
        <f>'БА в тыс. руб.'!I374*1000</f>
        <v>9744420</v>
      </c>
      <c r="O374" s="169">
        <f t="shared" si="233"/>
        <v>0</v>
      </c>
    </row>
    <row r="375" spans="1:15" s="110" customFormat="1" ht="25.5">
      <c r="A375" s="12" t="s">
        <v>1044</v>
      </c>
      <c r="B375" s="25" t="s">
        <v>75</v>
      </c>
      <c r="C375" s="26" t="s">
        <v>65</v>
      </c>
      <c r="D375" s="26" t="s">
        <v>84</v>
      </c>
      <c r="E375" s="26" t="s">
        <v>570</v>
      </c>
      <c r="F375" s="26" t="s">
        <v>1045</v>
      </c>
      <c r="G375" s="27">
        <f t="shared" ref="G375" si="262">J375</f>
        <v>8338340</v>
      </c>
      <c r="H375" s="27">
        <f>L375</f>
        <v>3544420</v>
      </c>
      <c r="I375" s="27">
        <f>N375</f>
        <v>9744420</v>
      </c>
      <c r="J375" s="16">
        <f>'БА в тыс. руб.'!G375*1000</f>
        <v>8338340</v>
      </c>
      <c r="K375" s="169">
        <f t="shared" si="231"/>
        <v>0</v>
      </c>
      <c r="L375" s="16">
        <f>'БА в тыс. руб.'!H375*1000</f>
        <v>3544420</v>
      </c>
      <c r="M375" s="169">
        <f t="shared" si="232"/>
        <v>0</v>
      </c>
      <c r="N375" s="16">
        <f>'БА в тыс. руб.'!I375*1000</f>
        <v>9744420</v>
      </c>
      <c r="O375" s="169">
        <f t="shared" si="233"/>
        <v>0</v>
      </c>
    </row>
    <row r="376" spans="1:15" s="109" customFormat="1" ht="38.25">
      <c r="A376" s="11" t="s">
        <v>683</v>
      </c>
      <c r="B376" s="25" t="s">
        <v>75</v>
      </c>
      <c r="C376" s="26" t="s">
        <v>65</v>
      </c>
      <c r="D376" s="26" t="s">
        <v>84</v>
      </c>
      <c r="E376" s="26" t="s">
        <v>680</v>
      </c>
      <c r="F376" s="26" t="s">
        <v>58</v>
      </c>
      <c r="G376" s="27">
        <f>G377</f>
        <v>18704790</v>
      </c>
      <c r="H376" s="27">
        <f>H377</f>
        <v>18704790</v>
      </c>
      <c r="I376" s="27">
        <f>I377</f>
        <v>18704790</v>
      </c>
      <c r="J376" s="16">
        <f>'БА в тыс. руб.'!G376*1000</f>
        <v>18704790</v>
      </c>
      <c r="K376" s="169">
        <f t="shared" si="231"/>
        <v>0</v>
      </c>
      <c r="L376" s="16">
        <f>'БА в тыс. руб.'!H376*1000</f>
        <v>18704790</v>
      </c>
      <c r="M376" s="169">
        <f t="shared" si="232"/>
        <v>0</v>
      </c>
      <c r="N376" s="16">
        <f>'БА в тыс. руб.'!I376*1000</f>
        <v>18704790</v>
      </c>
      <c r="O376" s="169">
        <f t="shared" si="233"/>
        <v>0</v>
      </c>
    </row>
    <row r="377" spans="1:15" s="109" customFormat="1" ht="12.75">
      <c r="A377" s="11" t="s">
        <v>684</v>
      </c>
      <c r="B377" s="25" t="s">
        <v>75</v>
      </c>
      <c r="C377" s="26" t="s">
        <v>65</v>
      </c>
      <c r="D377" s="26" t="s">
        <v>84</v>
      </c>
      <c r="E377" s="26" t="s">
        <v>681</v>
      </c>
      <c r="F377" s="26" t="s">
        <v>58</v>
      </c>
      <c r="G377" s="27">
        <f>G378+G380</f>
        <v>18704790</v>
      </c>
      <c r="H377" s="27">
        <f>H378+H380</f>
        <v>18704790</v>
      </c>
      <c r="I377" s="27">
        <f>I378+I380</f>
        <v>18704790</v>
      </c>
      <c r="J377" s="16">
        <f>'БА в тыс. руб.'!G377*1000</f>
        <v>18704790</v>
      </c>
      <c r="K377" s="169">
        <f t="shared" si="231"/>
        <v>0</v>
      </c>
      <c r="L377" s="16">
        <f>'БА в тыс. руб.'!H377*1000</f>
        <v>18704790</v>
      </c>
      <c r="M377" s="169">
        <f t="shared" si="232"/>
        <v>0</v>
      </c>
      <c r="N377" s="16">
        <f>'БА в тыс. руб.'!I377*1000</f>
        <v>18704790</v>
      </c>
      <c r="O377" s="169">
        <f t="shared" si="233"/>
        <v>0</v>
      </c>
    </row>
    <row r="378" spans="1:15" s="109" customFormat="1" ht="25.5">
      <c r="A378" s="11" t="s">
        <v>602</v>
      </c>
      <c r="B378" s="25" t="s">
        <v>75</v>
      </c>
      <c r="C378" s="26" t="s">
        <v>65</v>
      </c>
      <c r="D378" s="26" t="s">
        <v>84</v>
      </c>
      <c r="E378" s="26" t="s">
        <v>685</v>
      </c>
      <c r="F378" s="26" t="s">
        <v>58</v>
      </c>
      <c r="G378" s="27">
        <f>G379</f>
        <v>2000000</v>
      </c>
      <c r="H378" s="27">
        <f>H379</f>
        <v>2000000</v>
      </c>
      <c r="I378" s="27">
        <f>I379</f>
        <v>2000000</v>
      </c>
      <c r="J378" s="16">
        <f>'БА в тыс. руб.'!G378*1000</f>
        <v>2000000</v>
      </c>
      <c r="K378" s="169">
        <f t="shared" si="231"/>
        <v>0</v>
      </c>
      <c r="L378" s="16">
        <f>'БА в тыс. руб.'!H378*1000</f>
        <v>2000000</v>
      </c>
      <c r="M378" s="169">
        <f t="shared" si="232"/>
        <v>0</v>
      </c>
      <c r="N378" s="16">
        <f>'БА в тыс. руб.'!I378*1000</f>
        <v>2000000</v>
      </c>
      <c r="O378" s="169">
        <f t="shared" si="233"/>
        <v>0</v>
      </c>
    </row>
    <row r="379" spans="1:15" s="109" customFormat="1" ht="12.75">
      <c r="A379" s="34" t="s">
        <v>99</v>
      </c>
      <c r="B379" s="25" t="s">
        <v>75</v>
      </c>
      <c r="C379" s="26" t="s">
        <v>65</v>
      </c>
      <c r="D379" s="26" t="s">
        <v>84</v>
      </c>
      <c r="E379" s="26" t="s">
        <v>685</v>
      </c>
      <c r="F379" s="26" t="s">
        <v>105</v>
      </c>
      <c r="G379" s="27">
        <f t="shared" ref="G379" si="263">J379</f>
        <v>2000000</v>
      </c>
      <c r="H379" s="27">
        <f>L379</f>
        <v>2000000</v>
      </c>
      <c r="I379" s="27">
        <f>N379</f>
        <v>2000000</v>
      </c>
      <c r="J379" s="16">
        <f>'БА в тыс. руб.'!G379*1000</f>
        <v>2000000</v>
      </c>
      <c r="K379" s="169">
        <f t="shared" si="231"/>
        <v>0</v>
      </c>
      <c r="L379" s="16">
        <f>'БА в тыс. руб.'!H379*1000</f>
        <v>2000000</v>
      </c>
      <c r="M379" s="169">
        <f t="shared" si="232"/>
        <v>0</v>
      </c>
      <c r="N379" s="16">
        <f>'БА в тыс. руб.'!I379*1000</f>
        <v>2000000</v>
      </c>
      <c r="O379" s="169">
        <f t="shared" si="233"/>
        <v>0</v>
      </c>
    </row>
    <row r="380" spans="1:15" s="109" customFormat="1" ht="89.25">
      <c r="A380" s="115" t="s">
        <v>601</v>
      </c>
      <c r="B380" s="25" t="s">
        <v>75</v>
      </c>
      <c r="C380" s="26" t="s">
        <v>65</v>
      </c>
      <c r="D380" s="26" t="s">
        <v>84</v>
      </c>
      <c r="E380" s="26" t="s">
        <v>686</v>
      </c>
      <c r="F380" s="26" t="s">
        <v>58</v>
      </c>
      <c r="G380" s="27">
        <f>G381</f>
        <v>16704790</v>
      </c>
      <c r="H380" s="27">
        <f>H381</f>
        <v>16704790</v>
      </c>
      <c r="I380" s="27">
        <f>I381</f>
        <v>16704790</v>
      </c>
      <c r="J380" s="16">
        <f>'БА в тыс. руб.'!G380*1000</f>
        <v>16704790</v>
      </c>
      <c r="K380" s="169">
        <f t="shared" si="231"/>
        <v>0</v>
      </c>
      <c r="L380" s="16">
        <f>'БА в тыс. руб.'!H380*1000</f>
        <v>16704790</v>
      </c>
      <c r="M380" s="169">
        <f t="shared" si="232"/>
        <v>0</v>
      </c>
      <c r="N380" s="16">
        <f>'БА в тыс. руб.'!I380*1000</f>
        <v>16704790</v>
      </c>
      <c r="O380" s="169">
        <f t="shared" si="233"/>
        <v>0</v>
      </c>
    </row>
    <row r="381" spans="1:15" s="109" customFormat="1" ht="12.75">
      <c r="A381" s="34" t="s">
        <v>99</v>
      </c>
      <c r="B381" s="25" t="s">
        <v>75</v>
      </c>
      <c r="C381" s="26" t="s">
        <v>65</v>
      </c>
      <c r="D381" s="26" t="s">
        <v>84</v>
      </c>
      <c r="E381" s="26" t="s">
        <v>686</v>
      </c>
      <c r="F381" s="26" t="s">
        <v>105</v>
      </c>
      <c r="G381" s="27">
        <f t="shared" ref="G381" si="264">J381</f>
        <v>16704790</v>
      </c>
      <c r="H381" s="27">
        <f>L381</f>
        <v>16704790</v>
      </c>
      <c r="I381" s="27">
        <f>N381</f>
        <v>16704790</v>
      </c>
      <c r="J381" s="16">
        <f>'БА в тыс. руб.'!G381*1000</f>
        <v>16704790</v>
      </c>
      <c r="K381" s="169">
        <f t="shared" si="231"/>
        <v>0</v>
      </c>
      <c r="L381" s="16">
        <f>'БА в тыс. руб.'!H381*1000</f>
        <v>16704790</v>
      </c>
      <c r="M381" s="169">
        <f t="shared" si="232"/>
        <v>0</v>
      </c>
      <c r="N381" s="16">
        <f>'БА в тыс. руб.'!I381*1000</f>
        <v>16704790</v>
      </c>
      <c r="O381" s="169">
        <f t="shared" si="233"/>
        <v>0</v>
      </c>
    </row>
    <row r="382" spans="1:15" s="109" customFormat="1" ht="12.75">
      <c r="A382" s="17" t="s">
        <v>85</v>
      </c>
      <c r="B382" s="18" t="s">
        <v>75</v>
      </c>
      <c r="C382" s="19" t="s">
        <v>84</v>
      </c>
      <c r="D382" s="19" t="s">
        <v>51</v>
      </c>
      <c r="E382" s="19" t="s">
        <v>196</v>
      </c>
      <c r="F382" s="19" t="s">
        <v>58</v>
      </c>
      <c r="G382" s="20">
        <f t="shared" ref="G382:I387" si="265">G383</f>
        <v>164710000</v>
      </c>
      <c r="H382" s="20">
        <f t="shared" si="265"/>
        <v>200042000</v>
      </c>
      <c r="I382" s="20">
        <f t="shared" si="265"/>
        <v>241728000</v>
      </c>
      <c r="J382" s="16">
        <f>'БА в тыс. руб.'!G382*1000</f>
        <v>164710000</v>
      </c>
      <c r="K382" s="169">
        <f t="shared" si="231"/>
        <v>0</v>
      </c>
      <c r="L382" s="16">
        <f>'БА в тыс. руб.'!H382*1000</f>
        <v>200042000</v>
      </c>
      <c r="M382" s="169">
        <f t="shared" si="232"/>
        <v>0</v>
      </c>
      <c r="N382" s="16">
        <f>'БА в тыс. руб.'!I382*1000</f>
        <v>241728000</v>
      </c>
      <c r="O382" s="169">
        <f t="shared" si="233"/>
        <v>0</v>
      </c>
    </row>
    <row r="383" spans="1:15" s="109" customFormat="1" ht="25.5">
      <c r="A383" s="21" t="s">
        <v>86</v>
      </c>
      <c r="B383" s="22" t="s">
        <v>75</v>
      </c>
      <c r="C383" s="23" t="s">
        <v>84</v>
      </c>
      <c r="D383" s="23" t="s">
        <v>65</v>
      </c>
      <c r="E383" s="23" t="s">
        <v>196</v>
      </c>
      <c r="F383" s="23" t="s">
        <v>58</v>
      </c>
      <c r="G383" s="24">
        <f t="shared" si="265"/>
        <v>164710000</v>
      </c>
      <c r="H383" s="24">
        <f t="shared" si="265"/>
        <v>200042000</v>
      </c>
      <c r="I383" s="24">
        <f t="shared" si="265"/>
        <v>241728000</v>
      </c>
      <c r="J383" s="16">
        <f>'БА в тыс. руб.'!G383*1000</f>
        <v>164710000</v>
      </c>
      <c r="K383" s="169">
        <f t="shared" si="231"/>
        <v>0</v>
      </c>
      <c r="L383" s="16">
        <f>'БА в тыс. руб.'!H383*1000</f>
        <v>200042000</v>
      </c>
      <c r="M383" s="169">
        <f t="shared" si="232"/>
        <v>0</v>
      </c>
      <c r="N383" s="16">
        <f>'БА в тыс. руб.'!I383*1000</f>
        <v>241728000</v>
      </c>
      <c r="O383" s="169">
        <f t="shared" si="233"/>
        <v>0</v>
      </c>
    </row>
    <row r="384" spans="1:15" s="109" customFormat="1" ht="25.5">
      <c r="A384" s="12" t="s">
        <v>743</v>
      </c>
      <c r="B384" s="25" t="s">
        <v>75</v>
      </c>
      <c r="C384" s="26" t="s">
        <v>84</v>
      </c>
      <c r="D384" s="26" t="s">
        <v>65</v>
      </c>
      <c r="E384" s="26" t="s">
        <v>311</v>
      </c>
      <c r="F384" s="26" t="s">
        <v>58</v>
      </c>
      <c r="G384" s="27">
        <f t="shared" si="265"/>
        <v>164710000</v>
      </c>
      <c r="H384" s="27">
        <f t="shared" si="265"/>
        <v>200042000</v>
      </c>
      <c r="I384" s="27">
        <f t="shared" si="265"/>
        <v>241728000</v>
      </c>
      <c r="J384" s="16">
        <f>'БА в тыс. руб.'!G384*1000</f>
        <v>164710000</v>
      </c>
      <c r="K384" s="169">
        <f t="shared" si="231"/>
        <v>0</v>
      </c>
      <c r="L384" s="16">
        <f>'БА в тыс. руб.'!H384*1000</f>
        <v>200042000</v>
      </c>
      <c r="M384" s="169">
        <f t="shared" si="232"/>
        <v>0</v>
      </c>
      <c r="N384" s="16">
        <f>'БА в тыс. руб.'!I384*1000</f>
        <v>241728000</v>
      </c>
      <c r="O384" s="169">
        <f t="shared" si="233"/>
        <v>0</v>
      </c>
    </row>
    <row r="385" spans="1:15" s="109" customFormat="1" ht="38.25">
      <c r="A385" s="12" t="s">
        <v>744</v>
      </c>
      <c r="B385" s="25" t="s">
        <v>75</v>
      </c>
      <c r="C385" s="26" t="s">
        <v>84</v>
      </c>
      <c r="D385" s="26" t="s">
        <v>65</v>
      </c>
      <c r="E385" s="26" t="s">
        <v>312</v>
      </c>
      <c r="F385" s="26" t="s">
        <v>58</v>
      </c>
      <c r="G385" s="27">
        <f t="shared" si="265"/>
        <v>164710000</v>
      </c>
      <c r="H385" s="27">
        <f t="shared" si="265"/>
        <v>200042000</v>
      </c>
      <c r="I385" s="27">
        <f t="shared" si="265"/>
        <v>241728000</v>
      </c>
      <c r="J385" s="16">
        <f>'БА в тыс. руб.'!G385*1000</f>
        <v>164710000</v>
      </c>
      <c r="K385" s="169">
        <f t="shared" si="231"/>
        <v>0</v>
      </c>
      <c r="L385" s="16">
        <f>'БА в тыс. руб.'!H385*1000</f>
        <v>200042000</v>
      </c>
      <c r="M385" s="169">
        <f t="shared" si="232"/>
        <v>0</v>
      </c>
      <c r="N385" s="16">
        <f>'БА в тыс. руб.'!I385*1000</f>
        <v>241728000</v>
      </c>
      <c r="O385" s="169">
        <f t="shared" si="233"/>
        <v>0</v>
      </c>
    </row>
    <row r="386" spans="1:15" s="109" customFormat="1" ht="38.25">
      <c r="A386" s="12" t="s">
        <v>316</v>
      </c>
      <c r="B386" s="25" t="s">
        <v>75</v>
      </c>
      <c r="C386" s="26" t="s">
        <v>84</v>
      </c>
      <c r="D386" s="26" t="s">
        <v>65</v>
      </c>
      <c r="E386" s="26" t="s">
        <v>317</v>
      </c>
      <c r="F386" s="26" t="s">
        <v>58</v>
      </c>
      <c r="G386" s="27">
        <f t="shared" si="265"/>
        <v>164710000</v>
      </c>
      <c r="H386" s="27">
        <f t="shared" si="265"/>
        <v>200042000</v>
      </c>
      <c r="I386" s="27">
        <f t="shared" si="265"/>
        <v>241728000</v>
      </c>
      <c r="J386" s="16">
        <f>'БА в тыс. руб.'!G386*1000</f>
        <v>164710000</v>
      </c>
      <c r="K386" s="169">
        <f t="shared" si="231"/>
        <v>0</v>
      </c>
      <c r="L386" s="16">
        <f>'БА в тыс. руб.'!H386*1000</f>
        <v>200042000</v>
      </c>
      <c r="M386" s="169">
        <f t="shared" si="232"/>
        <v>0</v>
      </c>
      <c r="N386" s="16">
        <f>'БА в тыс. руб.'!I386*1000</f>
        <v>241728000</v>
      </c>
      <c r="O386" s="169">
        <f t="shared" si="233"/>
        <v>0</v>
      </c>
    </row>
    <row r="387" spans="1:15" s="109" customFormat="1" ht="12.75">
      <c r="A387" s="12" t="s">
        <v>95</v>
      </c>
      <c r="B387" s="25" t="s">
        <v>75</v>
      </c>
      <c r="C387" s="26" t="s">
        <v>84</v>
      </c>
      <c r="D387" s="26" t="s">
        <v>65</v>
      </c>
      <c r="E387" s="26" t="s">
        <v>318</v>
      </c>
      <c r="F387" s="26" t="s">
        <v>58</v>
      </c>
      <c r="G387" s="27">
        <f t="shared" si="265"/>
        <v>164710000</v>
      </c>
      <c r="H387" s="27">
        <f t="shared" si="265"/>
        <v>200042000</v>
      </c>
      <c r="I387" s="27">
        <f t="shared" si="265"/>
        <v>241728000</v>
      </c>
      <c r="J387" s="16">
        <f>'БА в тыс. руб.'!G387*1000</f>
        <v>164710000</v>
      </c>
      <c r="K387" s="169">
        <f t="shared" si="231"/>
        <v>0</v>
      </c>
      <c r="L387" s="16">
        <f>'БА в тыс. руб.'!H387*1000</f>
        <v>200042000</v>
      </c>
      <c r="M387" s="169">
        <f t="shared" si="232"/>
        <v>0</v>
      </c>
      <c r="N387" s="16">
        <f>'БА в тыс. руб.'!I387*1000</f>
        <v>241728000</v>
      </c>
      <c r="O387" s="169">
        <f t="shared" si="233"/>
        <v>0</v>
      </c>
    </row>
    <row r="388" spans="1:15" s="109" customFormat="1" ht="12.75">
      <c r="A388" s="12" t="s">
        <v>94</v>
      </c>
      <c r="B388" s="25" t="s">
        <v>75</v>
      </c>
      <c r="C388" s="26" t="s">
        <v>84</v>
      </c>
      <c r="D388" s="26" t="s">
        <v>65</v>
      </c>
      <c r="E388" s="26" t="s">
        <v>318</v>
      </c>
      <c r="F388" s="26" t="s">
        <v>132</v>
      </c>
      <c r="G388" s="27">
        <f t="shared" ref="G388:G389" si="266">J388</f>
        <v>164710000</v>
      </c>
      <c r="H388" s="27">
        <f t="shared" ref="H388:H389" si="267">L388</f>
        <v>200042000</v>
      </c>
      <c r="I388" s="27">
        <f t="shared" ref="I388:I389" si="268">N388</f>
        <v>241728000</v>
      </c>
      <c r="J388" s="16">
        <f>'БА в тыс. руб.'!G388*1000</f>
        <v>164710000</v>
      </c>
      <c r="K388" s="169">
        <f t="shared" si="231"/>
        <v>0</v>
      </c>
      <c r="L388" s="16">
        <f>'БА в тыс. руб.'!H388*1000</f>
        <v>200042000</v>
      </c>
      <c r="M388" s="169">
        <f t="shared" si="232"/>
        <v>0</v>
      </c>
      <c r="N388" s="16">
        <f>'БА в тыс. руб.'!I388*1000</f>
        <v>241728000</v>
      </c>
      <c r="O388" s="169">
        <f t="shared" si="233"/>
        <v>0</v>
      </c>
    </row>
    <row r="389" spans="1:15" s="99" customFormat="1" ht="12.75">
      <c r="A389" s="93"/>
      <c r="B389" s="92"/>
      <c r="C389" s="70"/>
      <c r="D389" s="70"/>
      <c r="E389" s="70"/>
      <c r="F389" s="70"/>
      <c r="G389" s="27">
        <f t="shared" si="266"/>
        <v>0</v>
      </c>
      <c r="H389" s="27">
        <f t="shared" si="267"/>
        <v>0</v>
      </c>
      <c r="I389" s="27">
        <f t="shared" si="268"/>
        <v>0</v>
      </c>
      <c r="J389" s="16">
        <f>'БА в тыс. руб.'!G389*1000</f>
        <v>0</v>
      </c>
      <c r="K389" s="169">
        <f t="shared" si="231"/>
        <v>0</v>
      </c>
      <c r="L389" s="16">
        <f>'БА в тыс. руб.'!H389*1000</f>
        <v>0</v>
      </c>
      <c r="M389" s="169">
        <f t="shared" si="232"/>
        <v>0</v>
      </c>
      <c r="N389" s="16">
        <f>'БА в тыс. руб.'!I389*1000</f>
        <v>0</v>
      </c>
      <c r="O389" s="169">
        <f t="shared" si="233"/>
        <v>0</v>
      </c>
    </row>
    <row r="390" spans="1:15" s="3" customFormat="1" ht="25.5">
      <c r="A390" s="28" t="s">
        <v>87</v>
      </c>
      <c r="B390" s="14" t="s">
        <v>68</v>
      </c>
      <c r="C390" s="15" t="s">
        <v>51</v>
      </c>
      <c r="D390" s="15" t="s">
        <v>51</v>
      </c>
      <c r="E390" s="15" t="s">
        <v>196</v>
      </c>
      <c r="F390" s="15" t="s">
        <v>58</v>
      </c>
      <c r="G390" s="29">
        <f>G391+G422+G414</f>
        <v>32190380</v>
      </c>
      <c r="H390" s="29">
        <f>H391+H422+H414</f>
        <v>31515760</v>
      </c>
      <c r="I390" s="29">
        <f>I391+I422+I414</f>
        <v>31515760</v>
      </c>
      <c r="J390" s="16">
        <f>'БА в тыс. руб.'!G390*1000</f>
        <v>32190380</v>
      </c>
      <c r="K390" s="169">
        <f t="shared" si="231"/>
        <v>0</v>
      </c>
      <c r="L390" s="16">
        <f>'БА в тыс. руб.'!H390*1000</f>
        <v>31515760</v>
      </c>
      <c r="M390" s="169">
        <f t="shared" si="232"/>
        <v>0</v>
      </c>
      <c r="N390" s="16">
        <f>'БА в тыс. руб.'!I390*1000</f>
        <v>31515760</v>
      </c>
      <c r="O390" s="169">
        <f t="shared" si="233"/>
        <v>0</v>
      </c>
    </row>
    <row r="391" spans="1:15" s="116" customFormat="1">
      <c r="A391" s="17" t="s">
        <v>64</v>
      </c>
      <c r="B391" s="18" t="s">
        <v>68</v>
      </c>
      <c r="C391" s="19" t="s">
        <v>65</v>
      </c>
      <c r="D391" s="19" t="s">
        <v>51</v>
      </c>
      <c r="E391" s="19" t="s">
        <v>196</v>
      </c>
      <c r="F391" s="19" t="s">
        <v>58</v>
      </c>
      <c r="G391" s="20">
        <f t="shared" ref="G391:I399" si="269">G392</f>
        <v>28446740</v>
      </c>
      <c r="H391" s="20">
        <f t="shared" si="269"/>
        <v>28278440</v>
      </c>
      <c r="I391" s="20">
        <f t="shared" si="269"/>
        <v>28278440</v>
      </c>
      <c r="J391" s="16">
        <f>'БА в тыс. руб.'!G391*1000</f>
        <v>28446740</v>
      </c>
      <c r="K391" s="169">
        <f t="shared" si="231"/>
        <v>0</v>
      </c>
      <c r="L391" s="16">
        <f>'БА в тыс. руб.'!H391*1000</f>
        <v>28278440</v>
      </c>
      <c r="M391" s="169">
        <f t="shared" si="232"/>
        <v>0</v>
      </c>
      <c r="N391" s="16">
        <f>'БА в тыс. руб.'!I391*1000</f>
        <v>28278440</v>
      </c>
      <c r="O391" s="169">
        <f t="shared" si="233"/>
        <v>0</v>
      </c>
    </row>
    <row r="392" spans="1:15" s="4" customFormat="1">
      <c r="A392" s="21" t="s">
        <v>38</v>
      </c>
      <c r="B392" s="22" t="s">
        <v>68</v>
      </c>
      <c r="C392" s="23" t="s">
        <v>65</v>
      </c>
      <c r="D392" s="23" t="s">
        <v>84</v>
      </c>
      <c r="E392" s="23" t="s">
        <v>196</v>
      </c>
      <c r="F392" s="23" t="s">
        <v>58</v>
      </c>
      <c r="G392" s="24">
        <f>G399+G393</f>
        <v>28446740</v>
      </c>
      <c r="H392" s="24">
        <f t="shared" ref="H392:I392" si="270">H399+H393</f>
        <v>28278440</v>
      </c>
      <c r="I392" s="24">
        <f t="shared" si="270"/>
        <v>28278440</v>
      </c>
      <c r="J392" s="16">
        <f>'БА в тыс. руб.'!G392*1000</f>
        <v>28446740</v>
      </c>
      <c r="K392" s="169">
        <f t="shared" ref="K392:K455" si="271">J392-G392</f>
        <v>0</v>
      </c>
      <c r="L392" s="16">
        <f>'БА в тыс. руб.'!H392*1000</f>
        <v>28278440</v>
      </c>
      <c r="M392" s="169">
        <f t="shared" ref="M392:M455" si="272">L392-H392</f>
        <v>0</v>
      </c>
      <c r="N392" s="16">
        <f>'БА в тыс. руб.'!I392*1000</f>
        <v>28278440</v>
      </c>
      <c r="O392" s="169">
        <f t="shared" ref="O392:O455" si="273">N392-I392</f>
        <v>0</v>
      </c>
    </row>
    <row r="393" spans="1:15" s="3" customFormat="1" ht="38.25">
      <c r="A393" s="11" t="s">
        <v>752</v>
      </c>
      <c r="B393" s="25" t="s">
        <v>68</v>
      </c>
      <c r="C393" s="26" t="s">
        <v>65</v>
      </c>
      <c r="D393" s="26" t="s">
        <v>84</v>
      </c>
      <c r="E393" s="26" t="s">
        <v>249</v>
      </c>
      <c r="F393" s="26" t="s">
        <v>58</v>
      </c>
      <c r="G393" s="27">
        <f t="shared" ref="G393:I397" si="274">G394</f>
        <v>7650</v>
      </c>
      <c r="H393" s="27">
        <f t="shared" si="274"/>
        <v>6890</v>
      </c>
      <c r="I393" s="27">
        <f t="shared" si="274"/>
        <v>6890</v>
      </c>
      <c r="J393" s="16">
        <f>'БА в тыс. руб.'!G393*1000</f>
        <v>7650</v>
      </c>
      <c r="K393" s="169">
        <f t="shared" si="271"/>
        <v>0</v>
      </c>
      <c r="L393" s="16">
        <f>'БА в тыс. руб.'!H393*1000</f>
        <v>6890</v>
      </c>
      <c r="M393" s="169">
        <f t="shared" si="272"/>
        <v>0</v>
      </c>
      <c r="N393" s="16">
        <f>'БА в тыс. руб.'!I393*1000</f>
        <v>6890</v>
      </c>
      <c r="O393" s="169">
        <f t="shared" si="273"/>
        <v>0</v>
      </c>
    </row>
    <row r="394" spans="1:15" s="3" customFormat="1" ht="25.5">
      <c r="A394" s="11" t="s">
        <v>879</v>
      </c>
      <c r="B394" s="25" t="s">
        <v>68</v>
      </c>
      <c r="C394" s="26" t="s">
        <v>65</v>
      </c>
      <c r="D394" s="26" t="s">
        <v>84</v>
      </c>
      <c r="E394" s="26" t="s">
        <v>256</v>
      </c>
      <c r="F394" s="26" t="s">
        <v>58</v>
      </c>
      <c r="G394" s="27">
        <f t="shared" si="274"/>
        <v>7650</v>
      </c>
      <c r="H394" s="27">
        <f t="shared" si="274"/>
        <v>6890</v>
      </c>
      <c r="I394" s="27">
        <f t="shared" si="274"/>
        <v>6890</v>
      </c>
      <c r="J394" s="16">
        <f>'БА в тыс. руб.'!G394*1000</f>
        <v>7650</v>
      </c>
      <c r="K394" s="169">
        <f t="shared" si="271"/>
        <v>0</v>
      </c>
      <c r="L394" s="16">
        <f>'БА в тыс. руб.'!H394*1000</f>
        <v>6890</v>
      </c>
      <c r="M394" s="169">
        <f t="shared" si="272"/>
        <v>0</v>
      </c>
      <c r="N394" s="16">
        <f>'БА в тыс. руб.'!I394*1000</f>
        <v>6890</v>
      </c>
      <c r="O394" s="169">
        <f t="shared" si="273"/>
        <v>0</v>
      </c>
    </row>
    <row r="395" spans="1:15" s="3" customFormat="1" ht="25.5">
      <c r="A395" s="11" t="s">
        <v>616</v>
      </c>
      <c r="B395" s="25" t="s">
        <v>68</v>
      </c>
      <c r="C395" s="26" t="s">
        <v>65</v>
      </c>
      <c r="D395" s="26" t="s">
        <v>84</v>
      </c>
      <c r="E395" s="26" t="s">
        <v>321</v>
      </c>
      <c r="F395" s="26" t="s">
        <v>58</v>
      </c>
      <c r="G395" s="27">
        <f t="shared" si="274"/>
        <v>7650</v>
      </c>
      <c r="H395" s="27">
        <f t="shared" si="274"/>
        <v>6890</v>
      </c>
      <c r="I395" s="27">
        <f t="shared" si="274"/>
        <v>6890</v>
      </c>
      <c r="J395" s="16">
        <f>'БА в тыс. руб.'!G395*1000</f>
        <v>7650</v>
      </c>
      <c r="K395" s="169">
        <f t="shared" si="271"/>
        <v>0</v>
      </c>
      <c r="L395" s="16">
        <f>'БА в тыс. руб.'!H395*1000</f>
        <v>6890</v>
      </c>
      <c r="M395" s="169">
        <f t="shared" si="272"/>
        <v>0</v>
      </c>
      <c r="N395" s="16">
        <f>'БА в тыс. руб.'!I395*1000</f>
        <v>6890</v>
      </c>
      <c r="O395" s="169">
        <f t="shared" si="273"/>
        <v>0</v>
      </c>
    </row>
    <row r="396" spans="1:15" s="3" customFormat="1" ht="25.5">
      <c r="A396" s="11" t="s">
        <v>133</v>
      </c>
      <c r="B396" s="25" t="s">
        <v>68</v>
      </c>
      <c r="C396" s="26" t="s">
        <v>65</v>
      </c>
      <c r="D396" s="26" t="s">
        <v>84</v>
      </c>
      <c r="E396" s="26" t="s">
        <v>322</v>
      </c>
      <c r="F396" s="26" t="s">
        <v>58</v>
      </c>
      <c r="G396" s="27">
        <f t="shared" si="274"/>
        <v>7650</v>
      </c>
      <c r="H396" s="27">
        <f t="shared" si="274"/>
        <v>6890</v>
      </c>
      <c r="I396" s="27">
        <f t="shared" si="274"/>
        <v>6890</v>
      </c>
      <c r="J396" s="16">
        <f>'БА в тыс. руб.'!G396*1000</f>
        <v>7650</v>
      </c>
      <c r="K396" s="169">
        <f t="shared" si="271"/>
        <v>0</v>
      </c>
      <c r="L396" s="16">
        <f>'БА в тыс. руб.'!H396*1000</f>
        <v>6890</v>
      </c>
      <c r="M396" s="169">
        <f t="shared" si="272"/>
        <v>0</v>
      </c>
      <c r="N396" s="16">
        <f>'БА в тыс. руб.'!I396*1000</f>
        <v>6890</v>
      </c>
      <c r="O396" s="169">
        <f t="shared" si="273"/>
        <v>0</v>
      </c>
    </row>
    <row r="397" spans="1:15" s="3" customFormat="1" ht="25.5">
      <c r="A397" s="11" t="s">
        <v>108</v>
      </c>
      <c r="B397" s="25" t="s">
        <v>68</v>
      </c>
      <c r="C397" s="26" t="s">
        <v>65</v>
      </c>
      <c r="D397" s="26" t="s">
        <v>84</v>
      </c>
      <c r="E397" s="26" t="s">
        <v>322</v>
      </c>
      <c r="F397" s="26" t="s">
        <v>116</v>
      </c>
      <c r="G397" s="27">
        <f>G398</f>
        <v>7650</v>
      </c>
      <c r="H397" s="27">
        <f t="shared" si="274"/>
        <v>6890</v>
      </c>
      <c r="I397" s="27">
        <f t="shared" si="274"/>
        <v>6890</v>
      </c>
      <c r="J397" s="16">
        <f>'БА в тыс. руб.'!G397*1000</f>
        <v>7650</v>
      </c>
      <c r="K397" s="169">
        <f t="shared" si="271"/>
        <v>0</v>
      </c>
      <c r="L397" s="16">
        <f>'БА в тыс. руб.'!H397*1000</f>
        <v>6890</v>
      </c>
      <c r="M397" s="169">
        <f t="shared" si="272"/>
        <v>0</v>
      </c>
      <c r="N397" s="16">
        <f>'БА в тыс. руб.'!I397*1000</f>
        <v>6890</v>
      </c>
      <c r="O397" s="169">
        <f t="shared" si="273"/>
        <v>0</v>
      </c>
    </row>
    <row r="398" spans="1:15" s="94" customFormat="1" ht="25.5">
      <c r="A398" s="12" t="s">
        <v>973</v>
      </c>
      <c r="B398" s="25" t="s">
        <v>68</v>
      </c>
      <c r="C398" s="26" t="s">
        <v>65</v>
      </c>
      <c r="D398" s="26" t="s">
        <v>84</v>
      </c>
      <c r="E398" s="26" t="s">
        <v>322</v>
      </c>
      <c r="F398" s="26" t="s">
        <v>1043</v>
      </c>
      <c r="G398" s="27">
        <f t="shared" ref="G398" si="275">J398</f>
        <v>7650</v>
      </c>
      <c r="H398" s="27">
        <f>L398</f>
        <v>6890</v>
      </c>
      <c r="I398" s="27">
        <f>N398</f>
        <v>6890</v>
      </c>
      <c r="J398" s="16">
        <f>'БА в тыс. руб.'!G398*1000</f>
        <v>7650</v>
      </c>
      <c r="K398" s="169">
        <f t="shared" si="271"/>
        <v>0</v>
      </c>
      <c r="L398" s="16">
        <f>'БА в тыс. руб.'!H398*1000</f>
        <v>6890</v>
      </c>
      <c r="M398" s="169">
        <f t="shared" si="272"/>
        <v>0</v>
      </c>
      <c r="N398" s="16">
        <f>'БА в тыс. руб.'!I398*1000</f>
        <v>6890</v>
      </c>
      <c r="O398" s="169">
        <f t="shared" si="273"/>
        <v>0</v>
      </c>
    </row>
    <row r="399" spans="1:15" s="3" customFormat="1" ht="25.5">
      <c r="A399" s="11" t="s">
        <v>582</v>
      </c>
      <c r="B399" s="25" t="s">
        <v>68</v>
      </c>
      <c r="C399" s="26" t="s">
        <v>65</v>
      </c>
      <c r="D399" s="26" t="s">
        <v>84</v>
      </c>
      <c r="E399" s="26" t="s">
        <v>323</v>
      </c>
      <c r="F399" s="26" t="s">
        <v>58</v>
      </c>
      <c r="G399" s="27">
        <f t="shared" si="269"/>
        <v>28439090</v>
      </c>
      <c r="H399" s="27">
        <f t="shared" si="269"/>
        <v>28271550</v>
      </c>
      <c r="I399" s="27">
        <f t="shared" si="269"/>
        <v>28271550</v>
      </c>
      <c r="J399" s="16">
        <f>'БА в тыс. руб.'!G399*1000</f>
        <v>28439090</v>
      </c>
      <c r="K399" s="169">
        <f t="shared" si="271"/>
        <v>0</v>
      </c>
      <c r="L399" s="16">
        <f>'БА в тыс. руб.'!H399*1000</f>
        <v>28271550</v>
      </c>
      <c r="M399" s="169">
        <f t="shared" si="272"/>
        <v>0</v>
      </c>
      <c r="N399" s="16">
        <f>'БА в тыс. руб.'!I399*1000</f>
        <v>28271550</v>
      </c>
      <c r="O399" s="169">
        <f t="shared" si="273"/>
        <v>0</v>
      </c>
    </row>
    <row r="400" spans="1:15" s="3" customFormat="1" ht="38.25">
      <c r="A400" s="11" t="s">
        <v>583</v>
      </c>
      <c r="B400" s="25" t="s">
        <v>68</v>
      </c>
      <c r="C400" s="26" t="s">
        <v>65</v>
      </c>
      <c r="D400" s="26" t="s">
        <v>84</v>
      </c>
      <c r="E400" s="26" t="s">
        <v>324</v>
      </c>
      <c r="F400" s="26" t="s">
        <v>58</v>
      </c>
      <c r="G400" s="27">
        <f>G401+G410</f>
        <v>28439090</v>
      </c>
      <c r="H400" s="27">
        <f>H401+H410</f>
        <v>28271550</v>
      </c>
      <c r="I400" s="27">
        <f>I401+I410</f>
        <v>28271550</v>
      </c>
      <c r="J400" s="16">
        <f>'БА в тыс. руб.'!G400*1000</f>
        <v>28439090</v>
      </c>
      <c r="K400" s="169">
        <f t="shared" si="271"/>
        <v>0</v>
      </c>
      <c r="L400" s="16">
        <f>'БА в тыс. руб.'!H400*1000</f>
        <v>28271550</v>
      </c>
      <c r="M400" s="169">
        <f t="shared" si="272"/>
        <v>0</v>
      </c>
      <c r="N400" s="16">
        <f>'БА в тыс. руб.'!I400*1000</f>
        <v>28271550</v>
      </c>
      <c r="O400" s="169">
        <f t="shared" si="273"/>
        <v>0</v>
      </c>
    </row>
    <row r="401" spans="1:15" s="3" customFormat="1" ht="25.5">
      <c r="A401" s="11" t="s">
        <v>114</v>
      </c>
      <c r="B401" s="25" t="s">
        <v>68</v>
      </c>
      <c r="C401" s="26" t="s">
        <v>65</v>
      </c>
      <c r="D401" s="26" t="s">
        <v>84</v>
      </c>
      <c r="E401" s="26" t="s">
        <v>325</v>
      </c>
      <c r="F401" s="26" t="s">
        <v>58</v>
      </c>
      <c r="G401" s="27">
        <f>G402+G405+G407</f>
        <v>3219050</v>
      </c>
      <c r="H401" s="27">
        <f t="shared" ref="H401:I401" si="276">H402+H405+H407</f>
        <v>3051510</v>
      </c>
      <c r="I401" s="27">
        <f t="shared" si="276"/>
        <v>3051510</v>
      </c>
      <c r="J401" s="16">
        <f>'БА в тыс. руб.'!G401*1000</f>
        <v>3219050</v>
      </c>
      <c r="K401" s="169">
        <f t="shared" si="271"/>
        <v>0</v>
      </c>
      <c r="L401" s="16">
        <f>'БА в тыс. руб.'!H401*1000</f>
        <v>3051509.9999999995</v>
      </c>
      <c r="M401" s="169">
        <f t="shared" si="272"/>
        <v>0</v>
      </c>
      <c r="N401" s="16">
        <f>'БА в тыс. руб.'!I401*1000</f>
        <v>3051509.9999999995</v>
      </c>
      <c r="O401" s="169">
        <f t="shared" si="273"/>
        <v>0</v>
      </c>
    </row>
    <row r="402" spans="1:15" s="3" customFormat="1" ht="25.5">
      <c r="A402" s="11" t="s">
        <v>107</v>
      </c>
      <c r="B402" s="25" t="s">
        <v>68</v>
      </c>
      <c r="C402" s="26" t="s">
        <v>65</v>
      </c>
      <c r="D402" s="26" t="s">
        <v>84</v>
      </c>
      <c r="E402" s="26" t="s">
        <v>325</v>
      </c>
      <c r="F402" s="26" t="s">
        <v>115</v>
      </c>
      <c r="G402" s="27">
        <f>SUM(G403:G404)</f>
        <v>757890</v>
      </c>
      <c r="H402" s="27">
        <f t="shared" ref="H402:I402" si="277">SUM(H403:H404)</f>
        <v>757890</v>
      </c>
      <c r="I402" s="27">
        <f t="shared" si="277"/>
        <v>757890</v>
      </c>
      <c r="J402" s="16">
        <f>'БА в тыс. руб.'!G402*1000</f>
        <v>757890</v>
      </c>
      <c r="K402" s="169">
        <f t="shared" si="271"/>
        <v>0</v>
      </c>
      <c r="L402" s="16">
        <f>'БА в тыс. руб.'!H402*1000</f>
        <v>757890</v>
      </c>
      <c r="M402" s="169">
        <f t="shared" si="272"/>
        <v>0</v>
      </c>
      <c r="N402" s="16">
        <f>'БА в тыс. руб.'!I402*1000</f>
        <v>757890</v>
      </c>
      <c r="O402" s="169">
        <f t="shared" si="273"/>
        <v>0</v>
      </c>
    </row>
    <row r="403" spans="1:15" s="3" customFormat="1" ht="25.5">
      <c r="A403" s="11" t="s">
        <v>937</v>
      </c>
      <c r="B403" s="25" t="s">
        <v>68</v>
      </c>
      <c r="C403" s="26" t="s">
        <v>65</v>
      </c>
      <c r="D403" s="26" t="s">
        <v>84</v>
      </c>
      <c r="E403" s="26" t="s">
        <v>325</v>
      </c>
      <c r="F403" s="26" t="s">
        <v>1059</v>
      </c>
      <c r="G403" s="27">
        <f t="shared" ref="G403:G404" si="278">J403</f>
        <v>585060</v>
      </c>
      <c r="H403" s="27">
        <f t="shared" ref="H403:H404" si="279">L403</f>
        <v>585060</v>
      </c>
      <c r="I403" s="27">
        <f t="shared" ref="I403:I404" si="280">N403</f>
        <v>585060</v>
      </c>
      <c r="J403" s="16">
        <f>'БА в тыс. руб.'!G403*1000</f>
        <v>585060</v>
      </c>
      <c r="K403" s="169">
        <f t="shared" si="271"/>
        <v>0</v>
      </c>
      <c r="L403" s="16">
        <f>'БА в тыс. руб.'!H403*1000</f>
        <v>585060</v>
      </c>
      <c r="M403" s="169">
        <f t="shared" si="272"/>
        <v>0</v>
      </c>
      <c r="N403" s="16">
        <f>'БА в тыс. руб.'!I403*1000</f>
        <v>585060</v>
      </c>
      <c r="O403" s="169">
        <f t="shared" si="273"/>
        <v>0</v>
      </c>
    </row>
    <row r="404" spans="1:15" s="3" customFormat="1" ht="38.25">
      <c r="A404" s="11" t="s">
        <v>939</v>
      </c>
      <c r="B404" s="25" t="s">
        <v>68</v>
      </c>
      <c r="C404" s="26" t="s">
        <v>65</v>
      </c>
      <c r="D404" s="26" t="s">
        <v>84</v>
      </c>
      <c r="E404" s="26" t="s">
        <v>325</v>
      </c>
      <c r="F404" s="26" t="s">
        <v>1060</v>
      </c>
      <c r="G404" s="27">
        <f t="shared" si="278"/>
        <v>172830</v>
      </c>
      <c r="H404" s="27">
        <f t="shared" si="279"/>
        <v>172830</v>
      </c>
      <c r="I404" s="27">
        <f t="shared" si="280"/>
        <v>172830</v>
      </c>
      <c r="J404" s="16">
        <f>'БА в тыс. руб.'!G404*1000</f>
        <v>172830</v>
      </c>
      <c r="K404" s="169">
        <f t="shared" si="271"/>
        <v>0</v>
      </c>
      <c r="L404" s="16">
        <f>'БА в тыс. руб.'!H404*1000</f>
        <v>172830</v>
      </c>
      <c r="M404" s="169">
        <f t="shared" si="272"/>
        <v>0</v>
      </c>
      <c r="N404" s="16">
        <f>'БА в тыс. руб.'!I404*1000</f>
        <v>172830</v>
      </c>
      <c r="O404" s="169">
        <f t="shared" si="273"/>
        <v>0</v>
      </c>
    </row>
    <row r="405" spans="1:15" s="3" customFormat="1" ht="25.5">
      <c r="A405" s="11" t="s">
        <v>108</v>
      </c>
      <c r="B405" s="25" t="s">
        <v>68</v>
      </c>
      <c r="C405" s="26" t="s">
        <v>65</v>
      </c>
      <c r="D405" s="26" t="s">
        <v>84</v>
      </c>
      <c r="E405" s="26" t="s">
        <v>325</v>
      </c>
      <c r="F405" s="26" t="s">
        <v>116</v>
      </c>
      <c r="G405" s="27">
        <f>G406</f>
        <v>2441010</v>
      </c>
      <c r="H405" s="27">
        <f t="shared" ref="H405:I405" si="281">H406</f>
        <v>2273470</v>
      </c>
      <c r="I405" s="27">
        <f t="shared" si="281"/>
        <v>2273470</v>
      </c>
      <c r="J405" s="16">
        <f>'БА в тыс. руб.'!G405*1000</f>
        <v>2441010</v>
      </c>
      <c r="K405" s="169">
        <f t="shared" si="271"/>
        <v>0</v>
      </c>
      <c r="L405" s="16">
        <f>'БА в тыс. руб.'!H405*1000</f>
        <v>2273470</v>
      </c>
      <c r="M405" s="169">
        <f t="shared" si="272"/>
        <v>0</v>
      </c>
      <c r="N405" s="16">
        <f>'БА в тыс. руб.'!I405*1000</f>
        <v>2273470</v>
      </c>
      <c r="O405" s="169">
        <f t="shared" si="273"/>
        <v>0</v>
      </c>
    </row>
    <row r="406" spans="1:15" s="4" customFormat="1" ht="25.5">
      <c r="A406" s="12" t="s">
        <v>973</v>
      </c>
      <c r="B406" s="25" t="s">
        <v>68</v>
      </c>
      <c r="C406" s="26" t="s">
        <v>65</v>
      </c>
      <c r="D406" s="26" t="s">
        <v>84</v>
      </c>
      <c r="E406" s="26" t="s">
        <v>325</v>
      </c>
      <c r="F406" s="26" t="s">
        <v>1043</v>
      </c>
      <c r="G406" s="27">
        <f t="shared" ref="G406" si="282">J406</f>
        <v>2441010</v>
      </c>
      <c r="H406" s="27">
        <f>L406</f>
        <v>2273470</v>
      </c>
      <c r="I406" s="27">
        <f>N406</f>
        <v>2273470</v>
      </c>
      <c r="J406" s="16">
        <f>'БА в тыс. руб.'!G406*1000</f>
        <v>2441010</v>
      </c>
      <c r="K406" s="169">
        <f t="shared" si="271"/>
        <v>0</v>
      </c>
      <c r="L406" s="16">
        <f>'БА в тыс. руб.'!H406*1000</f>
        <v>2273470</v>
      </c>
      <c r="M406" s="169">
        <f t="shared" si="272"/>
        <v>0</v>
      </c>
      <c r="N406" s="16">
        <f>'БА в тыс. руб.'!I406*1000</f>
        <v>2273470</v>
      </c>
      <c r="O406" s="169">
        <f t="shared" si="273"/>
        <v>0</v>
      </c>
    </row>
    <row r="407" spans="1:15" s="3" customFormat="1">
      <c r="A407" s="11" t="s">
        <v>97</v>
      </c>
      <c r="B407" s="25" t="s">
        <v>68</v>
      </c>
      <c r="C407" s="26" t="s">
        <v>65</v>
      </c>
      <c r="D407" s="26" t="s">
        <v>84</v>
      </c>
      <c r="E407" s="26" t="s">
        <v>325</v>
      </c>
      <c r="F407" s="26" t="s">
        <v>118</v>
      </c>
      <c r="G407" s="27">
        <f>SUM(G408:G409)</f>
        <v>20150</v>
      </c>
      <c r="H407" s="27">
        <f t="shared" ref="H407:I407" si="283">SUM(H408:H409)</f>
        <v>20150</v>
      </c>
      <c r="I407" s="27">
        <f t="shared" si="283"/>
        <v>20150</v>
      </c>
      <c r="J407" s="16">
        <f>'БА в тыс. руб.'!G407*1000</f>
        <v>20150</v>
      </c>
      <c r="K407" s="169">
        <f t="shared" si="271"/>
        <v>0</v>
      </c>
      <c r="L407" s="16">
        <f>'БА в тыс. руб.'!H407*1000</f>
        <v>20150</v>
      </c>
      <c r="M407" s="169">
        <f t="shared" si="272"/>
        <v>0</v>
      </c>
      <c r="N407" s="16">
        <f>'БА в тыс. руб.'!I407*1000</f>
        <v>20150</v>
      </c>
      <c r="O407" s="169">
        <f t="shared" si="273"/>
        <v>0</v>
      </c>
    </row>
    <row r="408" spans="1:15" s="4" customFormat="1">
      <c r="A408" s="12" t="s">
        <v>1036</v>
      </c>
      <c r="B408" s="25" t="s">
        <v>68</v>
      </c>
      <c r="C408" s="26" t="s">
        <v>65</v>
      </c>
      <c r="D408" s="26" t="s">
        <v>84</v>
      </c>
      <c r="E408" s="26" t="s">
        <v>325</v>
      </c>
      <c r="F408" s="26" t="s">
        <v>1061</v>
      </c>
      <c r="G408" s="27">
        <f t="shared" ref="G408:G409" si="284">J408</f>
        <v>1500</v>
      </c>
      <c r="H408" s="27">
        <f t="shared" ref="H408:H409" si="285">L408</f>
        <v>1500</v>
      </c>
      <c r="I408" s="27">
        <f t="shared" ref="I408:I409" si="286">N408</f>
        <v>1500</v>
      </c>
      <c r="J408" s="16">
        <f>'БА в тыс. руб.'!G408*1000</f>
        <v>1500</v>
      </c>
      <c r="K408" s="169">
        <f t="shared" si="271"/>
        <v>0</v>
      </c>
      <c r="L408" s="16">
        <f>'БА в тыс. руб.'!H408*1000</f>
        <v>1500</v>
      </c>
      <c r="M408" s="169">
        <f t="shared" si="272"/>
        <v>0</v>
      </c>
      <c r="N408" s="16">
        <f>'БА в тыс. руб.'!I408*1000</f>
        <v>1500</v>
      </c>
      <c r="O408" s="169">
        <f t="shared" si="273"/>
        <v>0</v>
      </c>
    </row>
    <row r="409" spans="1:15" s="4" customFormat="1">
      <c r="A409" s="12" t="s">
        <v>1037</v>
      </c>
      <c r="B409" s="25" t="s">
        <v>68</v>
      </c>
      <c r="C409" s="26" t="s">
        <v>65</v>
      </c>
      <c r="D409" s="26" t="s">
        <v>84</v>
      </c>
      <c r="E409" s="26" t="s">
        <v>325</v>
      </c>
      <c r="F409" s="26" t="s">
        <v>1062</v>
      </c>
      <c r="G409" s="27">
        <f t="shared" si="284"/>
        <v>18650</v>
      </c>
      <c r="H409" s="27">
        <f t="shared" si="285"/>
        <v>18650</v>
      </c>
      <c r="I409" s="27">
        <f t="shared" si="286"/>
        <v>18650</v>
      </c>
      <c r="J409" s="16">
        <f>'БА в тыс. руб.'!G409*1000</f>
        <v>18650</v>
      </c>
      <c r="K409" s="169">
        <f t="shared" si="271"/>
        <v>0</v>
      </c>
      <c r="L409" s="16">
        <f>'БА в тыс. руб.'!H409*1000</f>
        <v>18650</v>
      </c>
      <c r="M409" s="169">
        <f t="shared" si="272"/>
        <v>0</v>
      </c>
      <c r="N409" s="16">
        <f>'БА в тыс. руб.'!I409*1000</f>
        <v>18650</v>
      </c>
      <c r="O409" s="169">
        <f t="shared" si="273"/>
        <v>0</v>
      </c>
    </row>
    <row r="410" spans="1:15" s="3" customFormat="1" ht="25.5">
      <c r="A410" s="11" t="s">
        <v>126</v>
      </c>
      <c r="B410" s="25" t="s">
        <v>68</v>
      </c>
      <c r="C410" s="26" t="s">
        <v>65</v>
      </c>
      <c r="D410" s="26" t="s">
        <v>84</v>
      </c>
      <c r="E410" s="26" t="s">
        <v>326</v>
      </c>
      <c r="F410" s="26" t="s">
        <v>58</v>
      </c>
      <c r="G410" s="27">
        <f>G411</f>
        <v>25220040</v>
      </c>
      <c r="H410" s="27">
        <f>H411</f>
        <v>25220040</v>
      </c>
      <c r="I410" s="27">
        <f>I411</f>
        <v>25220040</v>
      </c>
      <c r="J410" s="16">
        <f>'БА в тыс. руб.'!G410*1000</f>
        <v>25220040</v>
      </c>
      <c r="K410" s="169">
        <f t="shared" si="271"/>
        <v>0</v>
      </c>
      <c r="L410" s="16">
        <f>'БА в тыс. руб.'!H410*1000</f>
        <v>25220040</v>
      </c>
      <c r="M410" s="169">
        <f t="shared" si="272"/>
        <v>0</v>
      </c>
      <c r="N410" s="16">
        <f>'БА в тыс. руб.'!I410*1000</f>
        <v>25220040</v>
      </c>
      <c r="O410" s="169">
        <f t="shared" si="273"/>
        <v>0</v>
      </c>
    </row>
    <row r="411" spans="1:15" s="3" customFormat="1" ht="25.5">
      <c r="A411" s="12" t="s">
        <v>107</v>
      </c>
      <c r="B411" s="25" t="s">
        <v>68</v>
      </c>
      <c r="C411" s="26" t="s">
        <v>65</v>
      </c>
      <c r="D411" s="26" t="s">
        <v>84</v>
      </c>
      <c r="E411" s="26" t="s">
        <v>326</v>
      </c>
      <c r="F411" s="26" t="s">
        <v>115</v>
      </c>
      <c r="G411" s="27">
        <f>SUM(G412:G413)</f>
        <v>25220040</v>
      </c>
      <c r="H411" s="27">
        <f t="shared" ref="H411:I411" si="287">SUM(H412:H413)</f>
        <v>25220040</v>
      </c>
      <c r="I411" s="27">
        <f t="shared" si="287"/>
        <v>25220040</v>
      </c>
      <c r="J411" s="16">
        <f>'БА в тыс. руб.'!G411*1000</f>
        <v>25220040</v>
      </c>
      <c r="K411" s="169">
        <f t="shared" si="271"/>
        <v>0</v>
      </c>
      <c r="L411" s="16">
        <f>'БА в тыс. руб.'!H411*1000</f>
        <v>25220040</v>
      </c>
      <c r="M411" s="169">
        <f t="shared" si="272"/>
        <v>0</v>
      </c>
      <c r="N411" s="16">
        <f>'БА в тыс. руб.'!I411*1000</f>
        <v>25220040</v>
      </c>
      <c r="O411" s="169">
        <f t="shared" si="273"/>
        <v>0</v>
      </c>
    </row>
    <row r="412" spans="1:15" s="4" customFormat="1">
      <c r="A412" s="12" t="s">
        <v>936</v>
      </c>
      <c r="B412" s="25" t="s">
        <v>68</v>
      </c>
      <c r="C412" s="26" t="s">
        <v>65</v>
      </c>
      <c r="D412" s="26" t="s">
        <v>84</v>
      </c>
      <c r="E412" s="26" t="s">
        <v>326</v>
      </c>
      <c r="F412" s="26" t="s">
        <v>1063</v>
      </c>
      <c r="G412" s="27">
        <f t="shared" ref="G412:G413" si="288">J412</f>
        <v>19370230</v>
      </c>
      <c r="H412" s="27">
        <f t="shared" ref="H412:H413" si="289">L412</f>
        <v>19370230</v>
      </c>
      <c r="I412" s="27">
        <f t="shared" ref="I412:I413" si="290">N412</f>
        <v>19370230</v>
      </c>
      <c r="J412" s="16">
        <f>'БА в тыс. руб.'!G412*1000</f>
        <v>19370230</v>
      </c>
      <c r="K412" s="169">
        <f t="shared" si="271"/>
        <v>0</v>
      </c>
      <c r="L412" s="16">
        <f>'БА в тыс. руб.'!H412*1000</f>
        <v>19370230</v>
      </c>
      <c r="M412" s="169">
        <f t="shared" si="272"/>
        <v>0</v>
      </c>
      <c r="N412" s="16">
        <f>'БА в тыс. руб.'!I412*1000</f>
        <v>19370230</v>
      </c>
      <c r="O412" s="169">
        <f t="shared" si="273"/>
        <v>0</v>
      </c>
    </row>
    <row r="413" spans="1:15" s="4" customFormat="1" ht="38.25">
      <c r="A413" s="12" t="s">
        <v>939</v>
      </c>
      <c r="B413" s="25" t="s">
        <v>68</v>
      </c>
      <c r="C413" s="26" t="s">
        <v>65</v>
      </c>
      <c r="D413" s="26" t="s">
        <v>84</v>
      </c>
      <c r="E413" s="26" t="s">
        <v>326</v>
      </c>
      <c r="F413" s="26" t="s">
        <v>1060</v>
      </c>
      <c r="G413" s="27">
        <f t="shared" si="288"/>
        <v>5849810</v>
      </c>
      <c r="H413" s="27">
        <f t="shared" si="289"/>
        <v>5849810</v>
      </c>
      <c r="I413" s="27">
        <f t="shared" si="290"/>
        <v>5849810</v>
      </c>
      <c r="J413" s="16">
        <f>'БА в тыс. руб.'!G413*1000</f>
        <v>5849810</v>
      </c>
      <c r="K413" s="169">
        <f t="shared" si="271"/>
        <v>0</v>
      </c>
      <c r="L413" s="16">
        <f>'БА в тыс. руб.'!H413*1000</f>
        <v>5849810</v>
      </c>
      <c r="M413" s="169">
        <f t="shared" si="272"/>
        <v>0</v>
      </c>
      <c r="N413" s="16">
        <f>'БА в тыс. руб.'!I413*1000</f>
        <v>5849810</v>
      </c>
      <c r="O413" s="169">
        <f t="shared" si="273"/>
        <v>0</v>
      </c>
    </row>
    <row r="414" spans="1:15" s="3" customFormat="1">
      <c r="A414" s="17" t="s">
        <v>499</v>
      </c>
      <c r="B414" s="18" t="s">
        <v>68</v>
      </c>
      <c r="C414" s="19" t="s">
        <v>50</v>
      </c>
      <c r="D414" s="19" t="s">
        <v>51</v>
      </c>
      <c r="E414" s="19" t="s">
        <v>196</v>
      </c>
      <c r="F414" s="19" t="s">
        <v>58</v>
      </c>
      <c r="G414" s="20">
        <f t="shared" ref="G414:I418" si="291">G415</f>
        <v>1096200</v>
      </c>
      <c r="H414" s="20">
        <f t="shared" si="291"/>
        <v>987000</v>
      </c>
      <c r="I414" s="20">
        <f t="shared" si="291"/>
        <v>987000</v>
      </c>
      <c r="J414" s="16">
        <f>'БА в тыс. руб.'!G414*1000</f>
        <v>1096200</v>
      </c>
      <c r="K414" s="169">
        <f t="shared" si="271"/>
        <v>0</v>
      </c>
      <c r="L414" s="16">
        <f>'БА в тыс. руб.'!H414*1000</f>
        <v>987000</v>
      </c>
      <c r="M414" s="169">
        <f t="shared" si="272"/>
        <v>0</v>
      </c>
      <c r="N414" s="16">
        <f>'БА в тыс. руб.'!I414*1000</f>
        <v>987000</v>
      </c>
      <c r="O414" s="169">
        <f t="shared" si="273"/>
        <v>0</v>
      </c>
    </row>
    <row r="415" spans="1:15" s="3" customFormat="1">
      <c r="A415" s="21" t="s">
        <v>27</v>
      </c>
      <c r="B415" s="22" t="s">
        <v>68</v>
      </c>
      <c r="C415" s="23" t="s">
        <v>50</v>
      </c>
      <c r="D415" s="23" t="s">
        <v>65</v>
      </c>
      <c r="E415" s="23" t="s">
        <v>196</v>
      </c>
      <c r="F415" s="23" t="s">
        <v>58</v>
      </c>
      <c r="G415" s="24">
        <f t="shared" si="291"/>
        <v>1096200</v>
      </c>
      <c r="H415" s="24">
        <f t="shared" si="291"/>
        <v>987000</v>
      </c>
      <c r="I415" s="24">
        <f t="shared" si="291"/>
        <v>987000</v>
      </c>
      <c r="J415" s="16">
        <f>'БА в тыс. руб.'!G415*1000</f>
        <v>1096200</v>
      </c>
      <c r="K415" s="169">
        <f t="shared" si="271"/>
        <v>0</v>
      </c>
      <c r="L415" s="16">
        <f>'БА в тыс. руб.'!H415*1000</f>
        <v>987000</v>
      </c>
      <c r="M415" s="169">
        <f t="shared" si="272"/>
        <v>0</v>
      </c>
      <c r="N415" s="16">
        <f>'БА в тыс. руб.'!I415*1000</f>
        <v>987000</v>
      </c>
      <c r="O415" s="169">
        <f t="shared" si="273"/>
        <v>0</v>
      </c>
    </row>
    <row r="416" spans="1:15" s="3" customFormat="1">
      <c r="A416" s="11" t="s">
        <v>739</v>
      </c>
      <c r="B416" s="35" t="s">
        <v>68</v>
      </c>
      <c r="C416" s="36" t="s">
        <v>50</v>
      </c>
      <c r="D416" s="36" t="s">
        <v>65</v>
      </c>
      <c r="E416" s="36" t="s">
        <v>277</v>
      </c>
      <c r="F416" s="36" t="s">
        <v>58</v>
      </c>
      <c r="G416" s="37">
        <f t="shared" si="291"/>
        <v>1096200</v>
      </c>
      <c r="H416" s="37">
        <f t="shared" si="291"/>
        <v>987000</v>
      </c>
      <c r="I416" s="37">
        <f t="shared" si="291"/>
        <v>987000</v>
      </c>
      <c r="J416" s="16">
        <f>'БА в тыс. руб.'!G416*1000</f>
        <v>1096200</v>
      </c>
      <c r="K416" s="169">
        <f t="shared" si="271"/>
        <v>0</v>
      </c>
      <c r="L416" s="16">
        <f>'БА в тыс. руб.'!H416*1000</f>
        <v>987000</v>
      </c>
      <c r="M416" s="169">
        <f t="shared" si="272"/>
        <v>0</v>
      </c>
      <c r="N416" s="16">
        <f>'БА в тыс. руб.'!I416*1000</f>
        <v>987000</v>
      </c>
      <c r="O416" s="169">
        <f t="shared" si="273"/>
        <v>0</v>
      </c>
    </row>
    <row r="417" spans="1:15" s="3" customFormat="1" ht="51">
      <c r="A417" s="11" t="s">
        <v>194</v>
      </c>
      <c r="B417" s="35" t="s">
        <v>68</v>
      </c>
      <c r="C417" s="36" t="s">
        <v>50</v>
      </c>
      <c r="D417" s="36" t="s">
        <v>65</v>
      </c>
      <c r="E417" s="36" t="s">
        <v>278</v>
      </c>
      <c r="F417" s="36" t="s">
        <v>58</v>
      </c>
      <c r="G417" s="37">
        <f t="shared" si="291"/>
        <v>1096200</v>
      </c>
      <c r="H417" s="37">
        <f t="shared" si="291"/>
        <v>987000</v>
      </c>
      <c r="I417" s="37">
        <f t="shared" si="291"/>
        <v>987000</v>
      </c>
      <c r="J417" s="16">
        <f>'БА в тыс. руб.'!G417*1000</f>
        <v>1096200</v>
      </c>
      <c r="K417" s="169">
        <f t="shared" si="271"/>
        <v>0</v>
      </c>
      <c r="L417" s="16">
        <f>'БА в тыс. руб.'!H417*1000</f>
        <v>987000</v>
      </c>
      <c r="M417" s="169">
        <f t="shared" si="272"/>
        <v>0</v>
      </c>
      <c r="N417" s="16">
        <f>'БА в тыс. руб.'!I417*1000</f>
        <v>987000</v>
      </c>
      <c r="O417" s="169">
        <f t="shared" si="273"/>
        <v>0</v>
      </c>
    </row>
    <row r="418" spans="1:15" s="3" customFormat="1" ht="63.75">
      <c r="A418" s="11" t="s">
        <v>605</v>
      </c>
      <c r="B418" s="35" t="s">
        <v>68</v>
      </c>
      <c r="C418" s="36" t="s">
        <v>50</v>
      </c>
      <c r="D418" s="36" t="s">
        <v>65</v>
      </c>
      <c r="E418" s="36" t="s">
        <v>319</v>
      </c>
      <c r="F418" s="36" t="s">
        <v>58</v>
      </c>
      <c r="G418" s="37">
        <f t="shared" si="291"/>
        <v>1096200</v>
      </c>
      <c r="H418" s="37">
        <f t="shared" si="291"/>
        <v>987000</v>
      </c>
      <c r="I418" s="37">
        <f t="shared" si="291"/>
        <v>987000</v>
      </c>
      <c r="J418" s="16">
        <f>'БА в тыс. руб.'!G418*1000</f>
        <v>1096200</v>
      </c>
      <c r="K418" s="169">
        <f t="shared" si="271"/>
        <v>0</v>
      </c>
      <c r="L418" s="16">
        <f>'БА в тыс. руб.'!H418*1000</f>
        <v>987000</v>
      </c>
      <c r="M418" s="169">
        <f t="shared" si="272"/>
        <v>0</v>
      </c>
      <c r="N418" s="16">
        <f>'БА в тыс. руб.'!I418*1000</f>
        <v>987000</v>
      </c>
      <c r="O418" s="169">
        <f t="shared" si="273"/>
        <v>0</v>
      </c>
    </row>
    <row r="419" spans="1:15" s="3" customFormat="1" ht="25.5">
      <c r="A419" s="11" t="s">
        <v>161</v>
      </c>
      <c r="B419" s="35" t="s">
        <v>68</v>
      </c>
      <c r="C419" s="36" t="s">
        <v>50</v>
      </c>
      <c r="D419" s="36" t="s">
        <v>65</v>
      </c>
      <c r="E419" s="36" t="s">
        <v>320</v>
      </c>
      <c r="F419" s="36" t="s">
        <v>58</v>
      </c>
      <c r="G419" s="37">
        <f>G420</f>
        <v>1096200</v>
      </c>
      <c r="H419" s="37">
        <f>H420</f>
        <v>987000</v>
      </c>
      <c r="I419" s="37">
        <f>I420</f>
        <v>987000</v>
      </c>
      <c r="J419" s="16">
        <f>'БА в тыс. руб.'!G419*1000</f>
        <v>1096200</v>
      </c>
      <c r="K419" s="169">
        <f t="shared" si="271"/>
        <v>0</v>
      </c>
      <c r="L419" s="16">
        <f>'БА в тыс. руб.'!H419*1000</f>
        <v>987000</v>
      </c>
      <c r="M419" s="169">
        <f t="shared" si="272"/>
        <v>0</v>
      </c>
      <c r="N419" s="16">
        <f>'БА в тыс. руб.'!I419*1000</f>
        <v>987000</v>
      </c>
      <c r="O419" s="169">
        <f t="shared" si="273"/>
        <v>0</v>
      </c>
    </row>
    <row r="420" spans="1:15" s="3" customFormat="1" ht="25.5">
      <c r="A420" s="11" t="s">
        <v>108</v>
      </c>
      <c r="B420" s="35" t="s">
        <v>68</v>
      </c>
      <c r="C420" s="36" t="s">
        <v>50</v>
      </c>
      <c r="D420" s="36" t="s">
        <v>65</v>
      </c>
      <c r="E420" s="36" t="s">
        <v>320</v>
      </c>
      <c r="F420" s="36" t="s">
        <v>116</v>
      </c>
      <c r="G420" s="27">
        <f>G421</f>
        <v>1096200</v>
      </c>
      <c r="H420" s="27">
        <f t="shared" ref="H420:I420" si="292">H421</f>
        <v>987000</v>
      </c>
      <c r="I420" s="27">
        <f t="shared" si="292"/>
        <v>987000</v>
      </c>
      <c r="J420" s="16">
        <f>'БА в тыс. руб.'!G420*1000</f>
        <v>1096200</v>
      </c>
      <c r="K420" s="169">
        <f t="shared" si="271"/>
        <v>0</v>
      </c>
      <c r="L420" s="16">
        <f>'БА в тыс. руб.'!H420*1000</f>
        <v>987000</v>
      </c>
      <c r="M420" s="169">
        <f t="shared" si="272"/>
        <v>0</v>
      </c>
      <c r="N420" s="16">
        <f>'БА в тыс. руб.'!I420*1000</f>
        <v>987000</v>
      </c>
      <c r="O420" s="169">
        <f t="shared" si="273"/>
        <v>0</v>
      </c>
    </row>
    <row r="421" spans="1:15" s="4" customFormat="1" ht="25.5">
      <c r="A421" s="12" t="s">
        <v>973</v>
      </c>
      <c r="B421" s="35" t="s">
        <v>68</v>
      </c>
      <c r="C421" s="36" t="s">
        <v>50</v>
      </c>
      <c r="D421" s="36" t="s">
        <v>65</v>
      </c>
      <c r="E421" s="36" t="s">
        <v>320</v>
      </c>
      <c r="F421" s="36" t="s">
        <v>1043</v>
      </c>
      <c r="G421" s="27">
        <f t="shared" ref="G421" si="293">J421</f>
        <v>1096200</v>
      </c>
      <c r="H421" s="27">
        <f>L421</f>
        <v>987000</v>
      </c>
      <c r="I421" s="27">
        <f>N421</f>
        <v>987000</v>
      </c>
      <c r="J421" s="16">
        <f>'БА в тыс. руб.'!G421*1000</f>
        <v>1096200</v>
      </c>
      <c r="K421" s="169">
        <f t="shared" si="271"/>
        <v>0</v>
      </c>
      <c r="L421" s="16">
        <f>'БА в тыс. руб.'!H421*1000</f>
        <v>987000</v>
      </c>
      <c r="M421" s="169">
        <f t="shared" si="272"/>
        <v>0</v>
      </c>
      <c r="N421" s="16">
        <f>'БА в тыс. руб.'!I421*1000</f>
        <v>987000</v>
      </c>
      <c r="O421" s="169">
        <f t="shared" si="273"/>
        <v>0</v>
      </c>
    </row>
    <row r="422" spans="1:15" s="116" customFormat="1">
      <c r="A422" s="17" t="s">
        <v>49</v>
      </c>
      <c r="B422" s="18" t="s">
        <v>68</v>
      </c>
      <c r="C422" s="19" t="s">
        <v>14</v>
      </c>
      <c r="D422" s="19" t="s">
        <v>51</v>
      </c>
      <c r="E422" s="19" t="s">
        <v>196</v>
      </c>
      <c r="F422" s="19" t="s">
        <v>58</v>
      </c>
      <c r="G422" s="20">
        <f t="shared" ref="G422:I428" si="294">G423</f>
        <v>2647440</v>
      </c>
      <c r="H422" s="20">
        <f t="shared" si="294"/>
        <v>2250320</v>
      </c>
      <c r="I422" s="20">
        <f t="shared" si="294"/>
        <v>2250320</v>
      </c>
      <c r="J422" s="16">
        <f>'БА в тыс. руб.'!G422*1000</f>
        <v>2647440</v>
      </c>
      <c r="K422" s="169">
        <f t="shared" si="271"/>
        <v>0</v>
      </c>
      <c r="L422" s="16">
        <f>'БА в тыс. руб.'!H422*1000</f>
        <v>2250320</v>
      </c>
      <c r="M422" s="169">
        <f t="shared" si="272"/>
        <v>0</v>
      </c>
      <c r="N422" s="16">
        <f>'БА в тыс. руб.'!I422*1000</f>
        <v>2250320</v>
      </c>
      <c r="O422" s="169">
        <f t="shared" si="273"/>
        <v>0</v>
      </c>
    </row>
    <row r="423" spans="1:15" s="4" customFormat="1">
      <c r="A423" s="21" t="s">
        <v>63</v>
      </c>
      <c r="B423" s="22" t="s">
        <v>68</v>
      </c>
      <c r="C423" s="23" t="s">
        <v>14</v>
      </c>
      <c r="D423" s="23" t="s">
        <v>53</v>
      </c>
      <c r="E423" s="23" t="s">
        <v>196</v>
      </c>
      <c r="F423" s="23" t="s">
        <v>58</v>
      </c>
      <c r="G423" s="24">
        <f t="shared" si="294"/>
        <v>2647440</v>
      </c>
      <c r="H423" s="24">
        <f t="shared" si="294"/>
        <v>2250320</v>
      </c>
      <c r="I423" s="24">
        <f t="shared" si="294"/>
        <v>2250320</v>
      </c>
      <c r="J423" s="16">
        <f>'БА в тыс. руб.'!G423*1000</f>
        <v>2647440</v>
      </c>
      <c r="K423" s="169">
        <f t="shared" si="271"/>
        <v>0</v>
      </c>
      <c r="L423" s="16">
        <f>'БА в тыс. руб.'!H423*1000</f>
        <v>2250320</v>
      </c>
      <c r="M423" s="169">
        <f t="shared" si="272"/>
        <v>0</v>
      </c>
      <c r="N423" s="16">
        <f>'БА в тыс. руб.'!I423*1000</f>
        <v>2250320</v>
      </c>
      <c r="O423" s="169">
        <f t="shared" si="273"/>
        <v>0</v>
      </c>
    </row>
    <row r="424" spans="1:15" s="3" customFormat="1" ht="25.5">
      <c r="A424" s="31" t="s">
        <v>727</v>
      </c>
      <c r="B424" s="25" t="s">
        <v>68</v>
      </c>
      <c r="C424" s="26" t="s">
        <v>14</v>
      </c>
      <c r="D424" s="26" t="s">
        <v>53</v>
      </c>
      <c r="E424" s="26" t="s">
        <v>327</v>
      </c>
      <c r="F424" s="26" t="s">
        <v>58</v>
      </c>
      <c r="G424" s="27">
        <f t="shared" si="294"/>
        <v>2647440</v>
      </c>
      <c r="H424" s="27">
        <f t="shared" si="294"/>
        <v>2250320</v>
      </c>
      <c r="I424" s="27">
        <f t="shared" si="294"/>
        <v>2250320</v>
      </c>
      <c r="J424" s="16">
        <f>'БА в тыс. руб.'!G424*1000</f>
        <v>2647440</v>
      </c>
      <c r="K424" s="169">
        <f t="shared" si="271"/>
        <v>0</v>
      </c>
      <c r="L424" s="16">
        <f>'БА в тыс. руб.'!H424*1000</f>
        <v>2250320</v>
      </c>
      <c r="M424" s="169">
        <f t="shared" si="272"/>
        <v>0</v>
      </c>
      <c r="N424" s="16">
        <f>'БА в тыс. руб.'!I424*1000</f>
        <v>2250320</v>
      </c>
      <c r="O424" s="169">
        <f t="shared" si="273"/>
        <v>0</v>
      </c>
    </row>
    <row r="425" spans="1:15" s="3" customFormat="1" ht="38.25">
      <c r="A425" s="31" t="s">
        <v>842</v>
      </c>
      <c r="B425" s="25" t="s">
        <v>68</v>
      </c>
      <c r="C425" s="26" t="s">
        <v>14</v>
      </c>
      <c r="D425" s="26" t="s">
        <v>53</v>
      </c>
      <c r="E425" s="26" t="s">
        <v>328</v>
      </c>
      <c r="F425" s="26" t="s">
        <v>58</v>
      </c>
      <c r="G425" s="27">
        <f t="shared" si="294"/>
        <v>2647440</v>
      </c>
      <c r="H425" s="27">
        <f t="shared" si="294"/>
        <v>2250320</v>
      </c>
      <c r="I425" s="27">
        <f t="shared" si="294"/>
        <v>2250320</v>
      </c>
      <c r="J425" s="16">
        <f>'БА в тыс. руб.'!G425*1000</f>
        <v>2647440</v>
      </c>
      <c r="K425" s="169">
        <f t="shared" si="271"/>
        <v>0</v>
      </c>
      <c r="L425" s="16">
        <f>'БА в тыс. руб.'!H425*1000</f>
        <v>2250320</v>
      </c>
      <c r="M425" s="169">
        <f t="shared" si="272"/>
        <v>0</v>
      </c>
      <c r="N425" s="16">
        <f>'БА в тыс. руб.'!I425*1000</f>
        <v>2250320</v>
      </c>
      <c r="O425" s="169">
        <f t="shared" si="273"/>
        <v>0</v>
      </c>
    </row>
    <row r="426" spans="1:15" s="3" customFormat="1" ht="38.25">
      <c r="A426" s="11" t="s">
        <v>635</v>
      </c>
      <c r="B426" s="25" t="s">
        <v>68</v>
      </c>
      <c r="C426" s="26" t="s">
        <v>14</v>
      </c>
      <c r="D426" s="26" t="s">
        <v>53</v>
      </c>
      <c r="E426" s="26" t="s">
        <v>560</v>
      </c>
      <c r="F426" s="26" t="s">
        <v>58</v>
      </c>
      <c r="G426" s="27">
        <f t="shared" si="294"/>
        <v>2647440</v>
      </c>
      <c r="H426" s="27">
        <f t="shared" si="294"/>
        <v>2250320</v>
      </c>
      <c r="I426" s="27">
        <f t="shared" si="294"/>
        <v>2250320</v>
      </c>
      <c r="J426" s="16">
        <f>'БА в тыс. руб.'!G426*1000</f>
        <v>2647440</v>
      </c>
      <c r="K426" s="169">
        <f t="shared" si="271"/>
        <v>0</v>
      </c>
      <c r="L426" s="16">
        <f>'БА в тыс. руб.'!H426*1000</f>
        <v>2250320</v>
      </c>
      <c r="M426" s="169">
        <f t="shared" si="272"/>
        <v>0</v>
      </c>
      <c r="N426" s="16">
        <f>'БА в тыс. руб.'!I426*1000</f>
        <v>2250320</v>
      </c>
      <c r="O426" s="169">
        <f t="shared" si="273"/>
        <v>0</v>
      </c>
    </row>
    <row r="427" spans="1:15" s="3" customFormat="1" ht="25.5">
      <c r="A427" s="11" t="s">
        <v>329</v>
      </c>
      <c r="B427" s="25" t="s">
        <v>68</v>
      </c>
      <c r="C427" s="26" t="s">
        <v>14</v>
      </c>
      <c r="D427" s="26" t="s">
        <v>53</v>
      </c>
      <c r="E427" s="26" t="s">
        <v>330</v>
      </c>
      <c r="F427" s="26" t="s">
        <v>58</v>
      </c>
      <c r="G427" s="27">
        <f t="shared" si="294"/>
        <v>2647440</v>
      </c>
      <c r="H427" s="27">
        <f t="shared" si="294"/>
        <v>2250320</v>
      </c>
      <c r="I427" s="27">
        <f t="shared" si="294"/>
        <v>2250320</v>
      </c>
      <c r="J427" s="16">
        <f>'БА в тыс. руб.'!G427*1000</f>
        <v>2647440</v>
      </c>
      <c r="K427" s="169">
        <f t="shared" si="271"/>
        <v>0</v>
      </c>
      <c r="L427" s="16">
        <f>'БА в тыс. руб.'!H427*1000</f>
        <v>2250320</v>
      </c>
      <c r="M427" s="169">
        <f t="shared" si="272"/>
        <v>0</v>
      </c>
      <c r="N427" s="16">
        <f>'БА в тыс. руб.'!I427*1000</f>
        <v>2250320</v>
      </c>
      <c r="O427" s="169">
        <f t="shared" si="273"/>
        <v>0</v>
      </c>
    </row>
    <row r="428" spans="1:15" s="3" customFormat="1" ht="38.25">
      <c r="A428" s="34" t="s">
        <v>561</v>
      </c>
      <c r="B428" s="25" t="s">
        <v>68</v>
      </c>
      <c r="C428" s="26" t="s">
        <v>14</v>
      </c>
      <c r="D428" s="26" t="s">
        <v>53</v>
      </c>
      <c r="E428" s="26" t="s">
        <v>330</v>
      </c>
      <c r="F428" s="26" t="s">
        <v>101</v>
      </c>
      <c r="G428" s="27">
        <f>G429</f>
        <v>2647440</v>
      </c>
      <c r="H428" s="27">
        <f t="shared" si="294"/>
        <v>2250320</v>
      </c>
      <c r="I428" s="27">
        <f t="shared" si="294"/>
        <v>2250320</v>
      </c>
      <c r="J428" s="16">
        <f>'БА в тыс. руб.'!G428*1000</f>
        <v>2647440</v>
      </c>
      <c r="K428" s="169">
        <f t="shared" si="271"/>
        <v>0</v>
      </c>
      <c r="L428" s="16">
        <f>'БА в тыс. руб.'!H428*1000</f>
        <v>2250320</v>
      </c>
      <c r="M428" s="169">
        <f t="shared" si="272"/>
        <v>0</v>
      </c>
      <c r="N428" s="16">
        <f>'БА в тыс. руб.'!I428*1000</f>
        <v>2250320</v>
      </c>
      <c r="O428" s="169">
        <f t="shared" si="273"/>
        <v>0</v>
      </c>
    </row>
    <row r="429" spans="1:15" s="3" customFormat="1" ht="51">
      <c r="A429" s="11" t="s">
        <v>1047</v>
      </c>
      <c r="B429" s="25" t="s">
        <v>68</v>
      </c>
      <c r="C429" s="26" t="s">
        <v>14</v>
      </c>
      <c r="D429" s="26" t="s">
        <v>53</v>
      </c>
      <c r="E429" s="26" t="s">
        <v>330</v>
      </c>
      <c r="F429" s="26" t="s">
        <v>1050</v>
      </c>
      <c r="G429" s="27">
        <f t="shared" ref="G429:G430" si="295">J429</f>
        <v>2647440</v>
      </c>
      <c r="H429" s="27">
        <f t="shared" ref="H429:H430" si="296">L429</f>
        <v>2250320</v>
      </c>
      <c r="I429" s="27">
        <f t="shared" ref="I429:I430" si="297">N429</f>
        <v>2250320</v>
      </c>
      <c r="J429" s="16">
        <f>'БА в тыс. руб.'!G429*1000</f>
        <v>2647440</v>
      </c>
      <c r="K429" s="169">
        <f t="shared" si="271"/>
        <v>0</v>
      </c>
      <c r="L429" s="16">
        <f>'БА в тыс. руб.'!H429*1000</f>
        <v>2250320</v>
      </c>
      <c r="M429" s="169">
        <f t="shared" si="272"/>
        <v>0</v>
      </c>
      <c r="N429" s="16">
        <f>'БА в тыс. руб.'!I429*1000</f>
        <v>2250320</v>
      </c>
      <c r="O429" s="169">
        <f t="shared" si="273"/>
        <v>0</v>
      </c>
    </row>
    <row r="430" spans="1:15" s="71" customFormat="1">
      <c r="A430" s="95"/>
      <c r="B430" s="92"/>
      <c r="C430" s="70"/>
      <c r="D430" s="70"/>
      <c r="E430" s="70"/>
      <c r="F430" s="70"/>
      <c r="G430" s="27">
        <f t="shared" si="295"/>
        <v>0</v>
      </c>
      <c r="H430" s="27">
        <f t="shared" si="296"/>
        <v>0</v>
      </c>
      <c r="I430" s="27">
        <f t="shared" si="297"/>
        <v>0</v>
      </c>
      <c r="J430" s="16">
        <f>'БА в тыс. руб.'!G430*1000</f>
        <v>0</v>
      </c>
      <c r="K430" s="169">
        <f t="shared" si="271"/>
        <v>0</v>
      </c>
      <c r="L430" s="16">
        <f>'БА в тыс. руб.'!H430*1000</f>
        <v>0</v>
      </c>
      <c r="M430" s="169">
        <f t="shared" si="272"/>
        <v>0</v>
      </c>
      <c r="N430" s="16">
        <f>'БА в тыс. руб.'!I430*1000</f>
        <v>0</v>
      </c>
      <c r="O430" s="169">
        <f t="shared" si="273"/>
        <v>0</v>
      </c>
    </row>
    <row r="431" spans="1:15" s="30" customFormat="1">
      <c r="A431" s="28" t="s">
        <v>179</v>
      </c>
      <c r="B431" s="14" t="s">
        <v>69</v>
      </c>
      <c r="C431" s="15" t="s">
        <v>51</v>
      </c>
      <c r="D431" s="15" t="s">
        <v>51</v>
      </c>
      <c r="E431" s="15" t="s">
        <v>196</v>
      </c>
      <c r="F431" s="15" t="s">
        <v>58</v>
      </c>
      <c r="G431" s="29">
        <f>G432+G609</f>
        <v>3399213190</v>
      </c>
      <c r="H431" s="29">
        <f>H432+H609</f>
        <v>3150695480</v>
      </c>
      <c r="I431" s="29">
        <f>I432+I609</f>
        <v>3301215200</v>
      </c>
      <c r="J431" s="16">
        <f>'БА в тыс. руб.'!G431*1000</f>
        <v>3399213190.0000005</v>
      </c>
      <c r="K431" s="169">
        <f t="shared" si="271"/>
        <v>0</v>
      </c>
      <c r="L431" s="16">
        <f>'БА в тыс. руб.'!H431*1000</f>
        <v>3150695480</v>
      </c>
      <c r="M431" s="169">
        <f t="shared" si="272"/>
        <v>0</v>
      </c>
      <c r="N431" s="16">
        <f>'БА в тыс. руб.'!I431*1000</f>
        <v>3301215200</v>
      </c>
      <c r="O431" s="169">
        <f t="shared" si="273"/>
        <v>0</v>
      </c>
    </row>
    <row r="432" spans="1:15" s="30" customFormat="1">
      <c r="A432" s="17" t="s">
        <v>70</v>
      </c>
      <c r="B432" s="18" t="s">
        <v>69</v>
      </c>
      <c r="C432" s="19" t="s">
        <v>71</v>
      </c>
      <c r="D432" s="19" t="s">
        <v>51</v>
      </c>
      <c r="E432" s="19" t="s">
        <v>196</v>
      </c>
      <c r="F432" s="19" t="s">
        <v>58</v>
      </c>
      <c r="G432" s="20">
        <f>G433+G471+G547+G563+G530</f>
        <v>3284741780</v>
      </c>
      <c r="H432" s="20">
        <f>H433+H471+H547+H563+H530</f>
        <v>3036224070</v>
      </c>
      <c r="I432" s="20">
        <f>I433+I471+I547+I563+I530</f>
        <v>3186743790</v>
      </c>
      <c r="J432" s="16">
        <f>'БА в тыс. руб.'!G432*1000</f>
        <v>3284741780.0000005</v>
      </c>
      <c r="K432" s="169">
        <f t="shared" si="271"/>
        <v>0</v>
      </c>
      <c r="L432" s="16">
        <f>'БА в тыс. руб.'!H432*1000</f>
        <v>3036224070</v>
      </c>
      <c r="M432" s="169">
        <f t="shared" si="272"/>
        <v>0</v>
      </c>
      <c r="N432" s="16">
        <f>'БА в тыс. руб.'!I432*1000</f>
        <v>3186743790</v>
      </c>
      <c r="O432" s="169">
        <f t="shared" si="273"/>
        <v>0</v>
      </c>
    </row>
    <row r="433" spans="1:15" s="30" customFormat="1">
      <c r="A433" s="21" t="s">
        <v>72</v>
      </c>
      <c r="B433" s="22" t="s">
        <v>69</v>
      </c>
      <c r="C433" s="23" t="s">
        <v>71</v>
      </c>
      <c r="D433" s="23" t="s">
        <v>65</v>
      </c>
      <c r="E433" s="23" t="s">
        <v>196</v>
      </c>
      <c r="F433" s="23" t="s">
        <v>58</v>
      </c>
      <c r="G433" s="24">
        <f>G434+G457+G465</f>
        <v>1412080490</v>
      </c>
      <c r="H433" s="24">
        <f>H434+H457+H465</f>
        <v>1327658390</v>
      </c>
      <c r="I433" s="24">
        <f>I434+I457+I465</f>
        <v>1391037630</v>
      </c>
      <c r="J433" s="16">
        <f>'БА в тыс. руб.'!G433*1000</f>
        <v>1412080490</v>
      </c>
      <c r="K433" s="169">
        <f t="shared" si="271"/>
        <v>0</v>
      </c>
      <c r="L433" s="16">
        <f>'БА в тыс. руб.'!H433*1000</f>
        <v>1327658389.9999998</v>
      </c>
      <c r="M433" s="169">
        <f t="shared" si="272"/>
        <v>0</v>
      </c>
      <c r="N433" s="16">
        <f>'БА в тыс. руб.'!I433*1000</f>
        <v>1391037629.9999998</v>
      </c>
      <c r="O433" s="169">
        <f t="shared" si="273"/>
        <v>0</v>
      </c>
    </row>
    <row r="434" spans="1:15" s="30" customFormat="1" ht="25.5">
      <c r="A434" s="13" t="s">
        <v>723</v>
      </c>
      <c r="B434" s="25" t="s">
        <v>69</v>
      </c>
      <c r="C434" s="26" t="s">
        <v>71</v>
      </c>
      <c r="D434" s="26" t="s">
        <v>65</v>
      </c>
      <c r="E434" s="26" t="s">
        <v>331</v>
      </c>
      <c r="F434" s="26" t="s">
        <v>58</v>
      </c>
      <c r="G434" s="27">
        <f>G435</f>
        <v>1407820920</v>
      </c>
      <c r="H434" s="27">
        <f>H435</f>
        <v>1318685010</v>
      </c>
      <c r="I434" s="27">
        <f>I435</f>
        <v>1382064250</v>
      </c>
      <c r="J434" s="16">
        <f>'БА в тыс. руб.'!G434*1000</f>
        <v>1407820920</v>
      </c>
      <c r="K434" s="169">
        <f t="shared" si="271"/>
        <v>0</v>
      </c>
      <c r="L434" s="16">
        <f>'БА в тыс. руб.'!H434*1000</f>
        <v>1318685009.9999998</v>
      </c>
      <c r="M434" s="169">
        <f t="shared" si="272"/>
        <v>0</v>
      </c>
      <c r="N434" s="16">
        <f>'БА в тыс. руб.'!I434*1000</f>
        <v>1382064249.9999998</v>
      </c>
      <c r="O434" s="169">
        <f t="shared" si="273"/>
        <v>0</v>
      </c>
    </row>
    <row r="435" spans="1:15" s="30" customFormat="1" ht="25.5">
      <c r="A435" s="13" t="s">
        <v>860</v>
      </c>
      <c r="B435" s="25" t="s">
        <v>69</v>
      </c>
      <c r="C435" s="26" t="s">
        <v>71</v>
      </c>
      <c r="D435" s="26" t="s">
        <v>65</v>
      </c>
      <c r="E435" s="26" t="s">
        <v>332</v>
      </c>
      <c r="F435" s="26" t="s">
        <v>58</v>
      </c>
      <c r="G435" s="27">
        <f>G436+G450</f>
        <v>1407820920</v>
      </c>
      <c r="H435" s="27">
        <f>H436+H450</f>
        <v>1318685010</v>
      </c>
      <c r="I435" s="27">
        <f>I436+I450</f>
        <v>1382064250</v>
      </c>
      <c r="J435" s="16">
        <f>'БА в тыс. руб.'!G435*1000</f>
        <v>1407820920</v>
      </c>
      <c r="K435" s="169">
        <f t="shared" si="271"/>
        <v>0</v>
      </c>
      <c r="L435" s="16">
        <f>'БА в тыс. руб.'!H435*1000</f>
        <v>1318685009.9999998</v>
      </c>
      <c r="M435" s="169">
        <f t="shared" si="272"/>
        <v>0</v>
      </c>
      <c r="N435" s="16">
        <f>'БА в тыс. руб.'!I435*1000</f>
        <v>1382064249.9999998</v>
      </c>
      <c r="O435" s="169">
        <f t="shared" si="273"/>
        <v>0</v>
      </c>
    </row>
    <row r="436" spans="1:15" s="30" customFormat="1" ht="25.5">
      <c r="A436" s="13" t="s">
        <v>607</v>
      </c>
      <c r="B436" s="25" t="s">
        <v>69</v>
      </c>
      <c r="C436" s="26" t="s">
        <v>71</v>
      </c>
      <c r="D436" s="26" t="s">
        <v>65</v>
      </c>
      <c r="E436" s="26" t="s">
        <v>333</v>
      </c>
      <c r="F436" s="26" t="s">
        <v>58</v>
      </c>
      <c r="G436" s="27">
        <f>G437+G443</f>
        <v>1371990880</v>
      </c>
      <c r="H436" s="27">
        <f>H437+H443</f>
        <v>1305154350</v>
      </c>
      <c r="I436" s="27">
        <f>I437+I443</f>
        <v>1368533590</v>
      </c>
      <c r="J436" s="16">
        <f>'БА в тыс. руб.'!G436*1000</f>
        <v>1371990880</v>
      </c>
      <c r="K436" s="169">
        <f t="shared" si="271"/>
        <v>0</v>
      </c>
      <c r="L436" s="16">
        <f>'БА в тыс. руб.'!H436*1000</f>
        <v>1305154349.9999998</v>
      </c>
      <c r="M436" s="169">
        <f t="shared" si="272"/>
        <v>0</v>
      </c>
      <c r="N436" s="16">
        <f>'БА в тыс. руб.'!I436*1000</f>
        <v>1368533589.9999998</v>
      </c>
      <c r="O436" s="169">
        <f t="shared" si="273"/>
        <v>0</v>
      </c>
    </row>
    <row r="437" spans="1:15" s="30" customFormat="1" ht="25.5">
      <c r="A437" s="13" t="s">
        <v>247</v>
      </c>
      <c r="B437" s="25" t="s">
        <v>69</v>
      </c>
      <c r="C437" s="26" t="s">
        <v>71</v>
      </c>
      <c r="D437" s="26" t="s">
        <v>65</v>
      </c>
      <c r="E437" s="26" t="s">
        <v>334</v>
      </c>
      <c r="F437" s="26" t="s">
        <v>58</v>
      </c>
      <c r="G437" s="27">
        <f>G438+G441</f>
        <v>687567610</v>
      </c>
      <c r="H437" s="27">
        <f t="shared" ref="H437:I437" si="298">H438+H441</f>
        <v>691063420</v>
      </c>
      <c r="I437" s="27">
        <f t="shared" si="298"/>
        <v>691063420</v>
      </c>
      <c r="J437" s="16">
        <f>'БА в тыс. руб.'!G437*1000</f>
        <v>687567610</v>
      </c>
      <c r="K437" s="169">
        <f t="shared" si="271"/>
        <v>0</v>
      </c>
      <c r="L437" s="16">
        <f>'БА в тыс. руб.'!H437*1000</f>
        <v>691063419.99999988</v>
      </c>
      <c r="M437" s="169">
        <f t="shared" si="272"/>
        <v>0</v>
      </c>
      <c r="N437" s="16">
        <f>'БА в тыс. руб.'!I437*1000</f>
        <v>691063419.99999988</v>
      </c>
      <c r="O437" s="169">
        <f t="shared" si="273"/>
        <v>0</v>
      </c>
    </row>
    <row r="438" spans="1:15" s="30" customFormat="1">
      <c r="A438" s="13" t="s">
        <v>92</v>
      </c>
      <c r="B438" s="25" t="s">
        <v>69</v>
      </c>
      <c r="C438" s="26" t="s">
        <v>71</v>
      </c>
      <c r="D438" s="26" t="s">
        <v>65</v>
      </c>
      <c r="E438" s="26" t="s">
        <v>334</v>
      </c>
      <c r="F438" s="26" t="s">
        <v>138</v>
      </c>
      <c r="G438" s="27">
        <f>SUM(G439:G440)</f>
        <v>658082260</v>
      </c>
      <c r="H438" s="27">
        <f t="shared" ref="H438:I438" si="299">SUM(H439:H440)</f>
        <v>661578070</v>
      </c>
      <c r="I438" s="27">
        <f t="shared" si="299"/>
        <v>661578070</v>
      </c>
      <c r="J438" s="16">
        <f>'БА в тыс. руб.'!G438*1000</f>
        <v>658082260</v>
      </c>
      <c r="K438" s="169">
        <f t="shared" si="271"/>
        <v>0</v>
      </c>
      <c r="L438" s="16">
        <f>'БА в тыс. руб.'!H438*1000</f>
        <v>661578070</v>
      </c>
      <c r="M438" s="169">
        <f t="shared" si="272"/>
        <v>0</v>
      </c>
      <c r="N438" s="16">
        <f>'БА в тыс. руб.'!I438*1000</f>
        <v>661578070</v>
      </c>
      <c r="O438" s="169">
        <f t="shared" si="273"/>
        <v>0</v>
      </c>
    </row>
    <row r="439" spans="1:15" s="83" customFormat="1" ht="38.25">
      <c r="A439" s="12" t="s">
        <v>1015</v>
      </c>
      <c r="B439" s="25" t="s">
        <v>69</v>
      </c>
      <c r="C439" s="26" t="s">
        <v>71</v>
      </c>
      <c r="D439" s="26" t="s">
        <v>65</v>
      </c>
      <c r="E439" s="26" t="s">
        <v>334</v>
      </c>
      <c r="F439" s="26" t="s">
        <v>67</v>
      </c>
      <c r="G439" s="27">
        <f t="shared" ref="G439:G440" si="300">J439</f>
        <v>654720660</v>
      </c>
      <c r="H439" s="27">
        <f t="shared" ref="H439:H440" si="301">L439</f>
        <v>658216470</v>
      </c>
      <c r="I439" s="27">
        <f t="shared" ref="I439:I440" si="302">N439</f>
        <v>658216470</v>
      </c>
      <c r="J439" s="16">
        <f>'БА в тыс. руб.'!G439*1000</f>
        <v>654720660</v>
      </c>
      <c r="K439" s="169">
        <f t="shared" si="271"/>
        <v>0</v>
      </c>
      <c r="L439" s="16">
        <f>'БА в тыс. руб.'!H439*1000</f>
        <v>658216470</v>
      </c>
      <c r="M439" s="169">
        <f t="shared" si="272"/>
        <v>0</v>
      </c>
      <c r="N439" s="16">
        <f>'БА в тыс. руб.'!I439*1000</f>
        <v>658216470</v>
      </c>
      <c r="O439" s="169">
        <f t="shared" si="273"/>
        <v>0</v>
      </c>
    </row>
    <row r="440" spans="1:15" s="83" customFormat="1">
      <c r="A440" s="12" t="s">
        <v>1016</v>
      </c>
      <c r="B440" s="25" t="s">
        <v>69</v>
      </c>
      <c r="C440" s="26" t="s">
        <v>71</v>
      </c>
      <c r="D440" s="26" t="s">
        <v>65</v>
      </c>
      <c r="E440" s="26" t="s">
        <v>334</v>
      </c>
      <c r="F440" s="26" t="s">
        <v>1046</v>
      </c>
      <c r="G440" s="27">
        <f t="shared" si="300"/>
        <v>3361600</v>
      </c>
      <c r="H440" s="27">
        <f t="shared" si="301"/>
        <v>3361600</v>
      </c>
      <c r="I440" s="27">
        <f t="shared" si="302"/>
        <v>3361600</v>
      </c>
      <c r="J440" s="16">
        <f>'БА в тыс. руб.'!G440*1000</f>
        <v>3361600</v>
      </c>
      <c r="K440" s="169">
        <f t="shared" si="271"/>
        <v>0</v>
      </c>
      <c r="L440" s="16">
        <f>'БА в тыс. руб.'!H440*1000</f>
        <v>3361600</v>
      </c>
      <c r="M440" s="169">
        <f t="shared" si="272"/>
        <v>0</v>
      </c>
      <c r="N440" s="16">
        <f>'БА в тыс. руб.'!I440*1000</f>
        <v>3361600</v>
      </c>
      <c r="O440" s="169">
        <f t="shared" si="273"/>
        <v>0</v>
      </c>
    </row>
    <row r="441" spans="1:15" s="30" customFormat="1">
      <c r="A441" s="13" t="s">
        <v>93</v>
      </c>
      <c r="B441" s="25" t="s">
        <v>69</v>
      </c>
      <c r="C441" s="26" t="s">
        <v>71</v>
      </c>
      <c r="D441" s="26" t="s">
        <v>65</v>
      </c>
      <c r="E441" s="26" t="s">
        <v>334</v>
      </c>
      <c r="F441" s="26" t="s">
        <v>20</v>
      </c>
      <c r="G441" s="27">
        <f>G442</f>
        <v>29485350</v>
      </c>
      <c r="H441" s="27">
        <f t="shared" ref="H441:I441" si="303">H442</f>
        <v>29485350</v>
      </c>
      <c r="I441" s="27">
        <f t="shared" si="303"/>
        <v>29485350</v>
      </c>
      <c r="J441" s="16">
        <f>'БА в тыс. руб.'!G441*1000</f>
        <v>29485350</v>
      </c>
      <c r="K441" s="169">
        <f t="shared" si="271"/>
        <v>0</v>
      </c>
      <c r="L441" s="16">
        <f>'БА в тыс. руб.'!H441*1000</f>
        <v>29485350</v>
      </c>
      <c r="M441" s="169">
        <f t="shared" si="272"/>
        <v>0</v>
      </c>
      <c r="N441" s="16">
        <f>'БА в тыс. руб.'!I441*1000</f>
        <v>29485350</v>
      </c>
      <c r="O441" s="169">
        <f t="shared" si="273"/>
        <v>0</v>
      </c>
    </row>
    <row r="442" spans="1:15" s="83" customFormat="1" ht="38.25">
      <c r="A442" s="12" t="s">
        <v>1018</v>
      </c>
      <c r="B442" s="25" t="s">
        <v>69</v>
      </c>
      <c r="C442" s="26" t="s">
        <v>71</v>
      </c>
      <c r="D442" s="26" t="s">
        <v>65</v>
      </c>
      <c r="E442" s="26" t="s">
        <v>334</v>
      </c>
      <c r="F442" s="26" t="s">
        <v>16</v>
      </c>
      <c r="G442" s="27">
        <f t="shared" ref="G442" si="304">J442</f>
        <v>29485350</v>
      </c>
      <c r="H442" s="27">
        <f>L442</f>
        <v>29485350</v>
      </c>
      <c r="I442" s="27">
        <f>N442</f>
        <v>29485350</v>
      </c>
      <c r="J442" s="16">
        <f>'БА в тыс. руб.'!G442*1000</f>
        <v>29485350</v>
      </c>
      <c r="K442" s="169">
        <f t="shared" si="271"/>
        <v>0</v>
      </c>
      <c r="L442" s="16">
        <f>'БА в тыс. руб.'!H442*1000</f>
        <v>29485350</v>
      </c>
      <c r="M442" s="169">
        <f t="shared" si="272"/>
        <v>0</v>
      </c>
      <c r="N442" s="16">
        <f>'БА в тыс. руб.'!I442*1000</f>
        <v>29485350</v>
      </c>
      <c r="O442" s="169">
        <f t="shared" si="273"/>
        <v>0</v>
      </c>
    </row>
    <row r="443" spans="1:15" s="30" customFormat="1" ht="76.5">
      <c r="A443" s="11" t="s">
        <v>335</v>
      </c>
      <c r="B443" s="25" t="s">
        <v>69</v>
      </c>
      <c r="C443" s="26" t="s">
        <v>71</v>
      </c>
      <c r="D443" s="26" t="s">
        <v>65</v>
      </c>
      <c r="E443" s="26" t="s">
        <v>336</v>
      </c>
      <c r="F443" s="26" t="s">
        <v>58</v>
      </c>
      <c r="G443" s="27">
        <f>G444+G446+G448</f>
        <v>684423270</v>
      </c>
      <c r="H443" s="27">
        <f>H444+H446+H448</f>
        <v>614090930</v>
      </c>
      <c r="I443" s="27">
        <f>I444+I446+I448</f>
        <v>677470169.99999988</v>
      </c>
      <c r="J443" s="16">
        <f>'БА в тыс. руб.'!G443*1000</f>
        <v>684423270</v>
      </c>
      <c r="K443" s="169">
        <f t="shared" si="271"/>
        <v>0</v>
      </c>
      <c r="L443" s="16">
        <f>'БА в тыс. руб.'!H443*1000</f>
        <v>614090929.99999988</v>
      </c>
      <c r="M443" s="169">
        <f t="shared" si="272"/>
        <v>0</v>
      </c>
      <c r="N443" s="16">
        <f>'БА в тыс. руб.'!I443*1000</f>
        <v>677470169.99999988</v>
      </c>
      <c r="O443" s="169">
        <f t="shared" si="273"/>
        <v>0</v>
      </c>
    </row>
    <row r="444" spans="1:15" s="30" customFormat="1">
      <c r="A444" s="13" t="s">
        <v>92</v>
      </c>
      <c r="B444" s="25" t="s">
        <v>69</v>
      </c>
      <c r="C444" s="26" t="s">
        <v>71</v>
      </c>
      <c r="D444" s="26" t="s">
        <v>65</v>
      </c>
      <c r="E444" s="26" t="s">
        <v>336</v>
      </c>
      <c r="F444" s="26" t="s">
        <v>138</v>
      </c>
      <c r="G444" s="27">
        <f>G445</f>
        <v>652243160</v>
      </c>
      <c r="H444" s="27">
        <f t="shared" ref="H444:I444" si="305">H445</f>
        <v>581910820</v>
      </c>
      <c r="I444" s="27">
        <f t="shared" si="305"/>
        <v>645290059.99999988</v>
      </c>
      <c r="J444" s="16">
        <f>'БА в тыс. руб.'!G444*1000</f>
        <v>652243160</v>
      </c>
      <c r="K444" s="169">
        <f t="shared" si="271"/>
        <v>0</v>
      </c>
      <c r="L444" s="16">
        <f>'БА в тыс. руб.'!H444*1000</f>
        <v>581910820</v>
      </c>
      <c r="M444" s="169">
        <f t="shared" si="272"/>
        <v>0</v>
      </c>
      <c r="N444" s="16">
        <f>'БА в тыс. руб.'!I444*1000</f>
        <v>645290059.99999988</v>
      </c>
      <c r="O444" s="169">
        <f t="shared" si="273"/>
        <v>0</v>
      </c>
    </row>
    <row r="445" spans="1:15" s="83" customFormat="1" ht="38.25">
      <c r="A445" s="12" t="s">
        <v>1015</v>
      </c>
      <c r="B445" s="25" t="s">
        <v>69</v>
      </c>
      <c r="C445" s="26" t="s">
        <v>71</v>
      </c>
      <c r="D445" s="26" t="s">
        <v>65</v>
      </c>
      <c r="E445" s="26" t="s">
        <v>336</v>
      </c>
      <c r="F445" s="26" t="s">
        <v>67</v>
      </c>
      <c r="G445" s="27">
        <f t="shared" ref="G445" si="306">J445</f>
        <v>652243160</v>
      </c>
      <c r="H445" s="27">
        <f>L445</f>
        <v>581910820</v>
      </c>
      <c r="I445" s="27">
        <f>N445</f>
        <v>645290059.99999988</v>
      </c>
      <c r="J445" s="16">
        <f>'БА в тыс. руб.'!G445*1000</f>
        <v>652243160</v>
      </c>
      <c r="K445" s="169">
        <f t="shared" si="271"/>
        <v>0</v>
      </c>
      <c r="L445" s="16">
        <f>'БА в тыс. руб.'!H445*1000</f>
        <v>581910820</v>
      </c>
      <c r="M445" s="169">
        <f t="shared" si="272"/>
        <v>0</v>
      </c>
      <c r="N445" s="16">
        <f>'БА в тыс. руб.'!I445*1000</f>
        <v>645290059.99999988</v>
      </c>
      <c r="O445" s="169">
        <f t="shared" si="273"/>
        <v>0</v>
      </c>
    </row>
    <row r="446" spans="1:15" s="30" customFormat="1">
      <c r="A446" s="13" t="s">
        <v>93</v>
      </c>
      <c r="B446" s="25" t="s">
        <v>69</v>
      </c>
      <c r="C446" s="26" t="s">
        <v>71</v>
      </c>
      <c r="D446" s="26" t="s">
        <v>65</v>
      </c>
      <c r="E446" s="26" t="s">
        <v>336</v>
      </c>
      <c r="F446" s="26" t="s">
        <v>20</v>
      </c>
      <c r="G446" s="27">
        <f>G447</f>
        <v>27575850</v>
      </c>
      <c r="H446" s="27">
        <f t="shared" ref="H446:I446" si="307">H447</f>
        <v>27575850</v>
      </c>
      <c r="I446" s="27">
        <f t="shared" si="307"/>
        <v>27575850</v>
      </c>
      <c r="J446" s="16">
        <f>'БА в тыс. руб.'!G446*1000</f>
        <v>27575850</v>
      </c>
      <c r="K446" s="169">
        <f t="shared" si="271"/>
        <v>0</v>
      </c>
      <c r="L446" s="16">
        <f>'БА в тыс. руб.'!H446*1000</f>
        <v>27575850</v>
      </c>
      <c r="M446" s="169">
        <f t="shared" si="272"/>
        <v>0</v>
      </c>
      <c r="N446" s="16">
        <f>'БА в тыс. руб.'!I446*1000</f>
        <v>27575850</v>
      </c>
      <c r="O446" s="169">
        <f t="shared" si="273"/>
        <v>0</v>
      </c>
    </row>
    <row r="447" spans="1:15" s="83" customFormat="1" ht="38.25">
      <c r="A447" s="12" t="s">
        <v>1018</v>
      </c>
      <c r="B447" s="25" t="s">
        <v>69</v>
      </c>
      <c r="C447" s="26" t="s">
        <v>71</v>
      </c>
      <c r="D447" s="26" t="s">
        <v>65</v>
      </c>
      <c r="E447" s="26" t="s">
        <v>336</v>
      </c>
      <c r="F447" s="26" t="s">
        <v>16</v>
      </c>
      <c r="G447" s="27">
        <f t="shared" ref="G447" si="308">J447</f>
        <v>27575850</v>
      </c>
      <c r="H447" s="27">
        <f>L447</f>
        <v>27575850</v>
      </c>
      <c r="I447" s="27">
        <f>N447</f>
        <v>27575850</v>
      </c>
      <c r="J447" s="16">
        <f>'БА в тыс. руб.'!G447*1000</f>
        <v>27575850</v>
      </c>
      <c r="K447" s="169">
        <f t="shared" si="271"/>
        <v>0</v>
      </c>
      <c r="L447" s="16">
        <f>'БА в тыс. руб.'!H447*1000</f>
        <v>27575850</v>
      </c>
      <c r="M447" s="169">
        <f t="shared" si="272"/>
        <v>0</v>
      </c>
      <c r="N447" s="16">
        <f>'БА в тыс. руб.'!I447*1000</f>
        <v>27575850</v>
      </c>
      <c r="O447" s="169">
        <f t="shared" si="273"/>
        <v>0</v>
      </c>
    </row>
    <row r="448" spans="1:15" s="30" customFormat="1" ht="25.5">
      <c r="A448" s="11" t="s">
        <v>111</v>
      </c>
      <c r="B448" s="25" t="s">
        <v>69</v>
      </c>
      <c r="C448" s="26" t="s">
        <v>71</v>
      </c>
      <c r="D448" s="26" t="s">
        <v>65</v>
      </c>
      <c r="E448" s="26" t="s">
        <v>336</v>
      </c>
      <c r="F448" s="26" t="s">
        <v>104</v>
      </c>
      <c r="G448" s="27">
        <f>G449</f>
        <v>4604260</v>
      </c>
      <c r="H448" s="27">
        <f t="shared" ref="H448:I448" si="309">H449</f>
        <v>4604260</v>
      </c>
      <c r="I448" s="27">
        <f t="shared" si="309"/>
        <v>4604260</v>
      </c>
      <c r="J448" s="16">
        <f>'БА в тыс. руб.'!G448*1000</f>
        <v>4604260</v>
      </c>
      <c r="K448" s="169">
        <f t="shared" si="271"/>
        <v>0</v>
      </c>
      <c r="L448" s="16">
        <f>'БА в тыс. руб.'!H448*1000</f>
        <v>4604260</v>
      </c>
      <c r="M448" s="169">
        <f t="shared" si="272"/>
        <v>0</v>
      </c>
      <c r="N448" s="16">
        <f>'БА в тыс. руб.'!I448*1000</f>
        <v>4604260</v>
      </c>
      <c r="O448" s="169">
        <f t="shared" si="273"/>
        <v>0</v>
      </c>
    </row>
    <row r="449" spans="1:15" s="83" customFormat="1" ht="76.5">
      <c r="A449" s="12" t="s">
        <v>1048</v>
      </c>
      <c r="B449" s="25" t="s">
        <v>69</v>
      </c>
      <c r="C449" s="26" t="s">
        <v>71</v>
      </c>
      <c r="D449" s="26" t="s">
        <v>65</v>
      </c>
      <c r="E449" s="26" t="s">
        <v>336</v>
      </c>
      <c r="F449" s="26" t="s">
        <v>1055</v>
      </c>
      <c r="G449" s="27">
        <f t="shared" ref="G449" si="310">J449</f>
        <v>4604260</v>
      </c>
      <c r="H449" s="27">
        <f>L449</f>
        <v>4604260</v>
      </c>
      <c r="I449" s="27">
        <f>N449</f>
        <v>4604260</v>
      </c>
      <c r="J449" s="16">
        <f>'БА в тыс. руб.'!G449*1000</f>
        <v>4604260</v>
      </c>
      <c r="K449" s="169">
        <f t="shared" si="271"/>
        <v>0</v>
      </c>
      <c r="L449" s="16">
        <f>'БА в тыс. руб.'!H449*1000</f>
        <v>4604260</v>
      </c>
      <c r="M449" s="169">
        <f t="shared" si="272"/>
        <v>0</v>
      </c>
      <c r="N449" s="16">
        <f>'БА в тыс. руб.'!I449*1000</f>
        <v>4604260</v>
      </c>
      <c r="O449" s="169">
        <f t="shared" si="273"/>
        <v>0</v>
      </c>
    </row>
    <row r="450" spans="1:15" s="30" customFormat="1" ht="51">
      <c r="A450" s="11" t="s">
        <v>629</v>
      </c>
      <c r="B450" s="25" t="s">
        <v>69</v>
      </c>
      <c r="C450" s="26" t="s">
        <v>71</v>
      </c>
      <c r="D450" s="26" t="s">
        <v>65</v>
      </c>
      <c r="E450" s="26" t="s">
        <v>337</v>
      </c>
      <c r="F450" s="26" t="s">
        <v>58</v>
      </c>
      <c r="G450" s="27">
        <f>G451+G454</f>
        <v>35830040</v>
      </c>
      <c r="H450" s="27">
        <f>H451+H454</f>
        <v>13530660</v>
      </c>
      <c r="I450" s="27">
        <f>I451+I454</f>
        <v>13530660</v>
      </c>
      <c r="J450" s="16">
        <f>'БА в тыс. руб.'!G450*1000</f>
        <v>35830040</v>
      </c>
      <c r="K450" s="169">
        <f t="shared" si="271"/>
        <v>0</v>
      </c>
      <c r="L450" s="16">
        <f>'БА в тыс. руб.'!H450*1000</f>
        <v>13530660</v>
      </c>
      <c r="M450" s="169">
        <f t="shared" si="272"/>
        <v>0</v>
      </c>
      <c r="N450" s="16">
        <f>'БА в тыс. руб.'!I450*1000</f>
        <v>13530660</v>
      </c>
      <c r="O450" s="169">
        <f t="shared" si="273"/>
        <v>0</v>
      </c>
    </row>
    <row r="451" spans="1:15" s="30" customFormat="1" ht="25.5">
      <c r="A451" s="13" t="s">
        <v>247</v>
      </c>
      <c r="B451" s="25" t="s">
        <v>69</v>
      </c>
      <c r="C451" s="26" t="s">
        <v>71</v>
      </c>
      <c r="D451" s="26" t="s">
        <v>65</v>
      </c>
      <c r="E451" s="26" t="s">
        <v>338</v>
      </c>
      <c r="F451" s="26" t="s">
        <v>58</v>
      </c>
      <c r="G451" s="27">
        <f>G452</f>
        <v>35580040</v>
      </c>
      <c r="H451" s="27">
        <f>H452</f>
        <v>13530660</v>
      </c>
      <c r="I451" s="27">
        <f>I452</f>
        <v>13530660</v>
      </c>
      <c r="J451" s="16">
        <f>'БА в тыс. руб.'!G451*1000</f>
        <v>35580040</v>
      </c>
      <c r="K451" s="169">
        <f t="shared" si="271"/>
        <v>0</v>
      </c>
      <c r="L451" s="16">
        <f>'БА в тыс. руб.'!H451*1000</f>
        <v>13530660</v>
      </c>
      <c r="M451" s="169">
        <f t="shared" si="272"/>
        <v>0</v>
      </c>
      <c r="N451" s="16">
        <f>'БА в тыс. руб.'!I451*1000</f>
        <v>13530660</v>
      </c>
      <c r="O451" s="169">
        <f t="shared" si="273"/>
        <v>0</v>
      </c>
    </row>
    <row r="452" spans="1:15" s="30" customFormat="1">
      <c r="A452" s="13" t="s">
        <v>92</v>
      </c>
      <c r="B452" s="25" t="s">
        <v>69</v>
      </c>
      <c r="C452" s="26" t="s">
        <v>71</v>
      </c>
      <c r="D452" s="26" t="s">
        <v>65</v>
      </c>
      <c r="E452" s="26" t="s">
        <v>338</v>
      </c>
      <c r="F452" s="26" t="s">
        <v>138</v>
      </c>
      <c r="G452" s="27">
        <f>G453</f>
        <v>35580040</v>
      </c>
      <c r="H452" s="27">
        <f t="shared" ref="H452:I452" si="311">H453</f>
        <v>13530660</v>
      </c>
      <c r="I452" s="27">
        <f t="shared" si="311"/>
        <v>13530660</v>
      </c>
      <c r="J452" s="16">
        <f>'БА в тыс. руб.'!G452*1000</f>
        <v>35580040</v>
      </c>
      <c r="K452" s="169">
        <f t="shared" si="271"/>
        <v>0</v>
      </c>
      <c r="L452" s="16">
        <f>'БА в тыс. руб.'!H452*1000</f>
        <v>13530660</v>
      </c>
      <c r="M452" s="169">
        <f t="shared" si="272"/>
        <v>0</v>
      </c>
      <c r="N452" s="16">
        <f>'БА в тыс. руб.'!I452*1000</f>
        <v>13530660</v>
      </c>
      <c r="O452" s="169">
        <f t="shared" si="273"/>
        <v>0</v>
      </c>
    </row>
    <row r="453" spans="1:15" s="83" customFormat="1">
      <c r="A453" s="12" t="s">
        <v>1016</v>
      </c>
      <c r="B453" s="25" t="s">
        <v>69</v>
      </c>
      <c r="C453" s="26" t="s">
        <v>71</v>
      </c>
      <c r="D453" s="26" t="s">
        <v>65</v>
      </c>
      <c r="E453" s="26" t="s">
        <v>338</v>
      </c>
      <c r="F453" s="26" t="s">
        <v>1046</v>
      </c>
      <c r="G453" s="27">
        <f t="shared" ref="G453" si="312">J453</f>
        <v>35580040</v>
      </c>
      <c r="H453" s="27">
        <f>L453</f>
        <v>13530660</v>
      </c>
      <c r="I453" s="27">
        <f>N453</f>
        <v>13530660</v>
      </c>
      <c r="J453" s="16">
        <f>'БА в тыс. руб.'!G453*1000</f>
        <v>35580040</v>
      </c>
      <c r="K453" s="169">
        <f t="shared" si="271"/>
        <v>0</v>
      </c>
      <c r="L453" s="16">
        <f>'БА в тыс. руб.'!H453*1000</f>
        <v>13530660</v>
      </c>
      <c r="M453" s="169">
        <f t="shared" si="272"/>
        <v>0</v>
      </c>
      <c r="N453" s="16">
        <f>'БА в тыс. руб.'!I453*1000</f>
        <v>13530660</v>
      </c>
      <c r="O453" s="169">
        <f t="shared" si="273"/>
        <v>0</v>
      </c>
    </row>
    <row r="454" spans="1:15" s="30" customFormat="1" ht="38.25">
      <c r="A454" s="13" t="s">
        <v>702</v>
      </c>
      <c r="B454" s="25" t="s">
        <v>69</v>
      </c>
      <c r="C454" s="26" t="s">
        <v>71</v>
      </c>
      <c r="D454" s="26" t="s">
        <v>65</v>
      </c>
      <c r="E454" s="26" t="s">
        <v>701</v>
      </c>
      <c r="F454" s="26" t="s">
        <v>58</v>
      </c>
      <c r="G454" s="27">
        <f>G455</f>
        <v>250000</v>
      </c>
      <c r="H454" s="27">
        <f>H455</f>
        <v>0</v>
      </c>
      <c r="I454" s="27">
        <f>I455</f>
        <v>0</v>
      </c>
      <c r="J454" s="16">
        <f>'БА в тыс. руб.'!G454*1000</f>
        <v>250000</v>
      </c>
      <c r="K454" s="169">
        <f t="shared" si="271"/>
        <v>0</v>
      </c>
      <c r="L454" s="16">
        <f>'БА в тыс. руб.'!H454*1000</f>
        <v>0</v>
      </c>
      <c r="M454" s="169">
        <f t="shared" si="272"/>
        <v>0</v>
      </c>
      <c r="N454" s="16">
        <f>'БА в тыс. руб.'!I454*1000</f>
        <v>0</v>
      </c>
      <c r="O454" s="169">
        <f t="shared" si="273"/>
        <v>0</v>
      </c>
    </row>
    <row r="455" spans="1:15" s="30" customFormat="1">
      <c r="A455" s="13" t="s">
        <v>92</v>
      </c>
      <c r="B455" s="25" t="s">
        <v>69</v>
      </c>
      <c r="C455" s="26" t="s">
        <v>71</v>
      </c>
      <c r="D455" s="26" t="s">
        <v>65</v>
      </c>
      <c r="E455" s="26" t="s">
        <v>701</v>
      </c>
      <c r="F455" s="26" t="s">
        <v>138</v>
      </c>
      <c r="G455" s="27">
        <f>G456</f>
        <v>250000</v>
      </c>
      <c r="H455" s="27">
        <f t="shared" ref="H455:I455" si="313">H456</f>
        <v>0</v>
      </c>
      <c r="I455" s="27">
        <f t="shared" si="313"/>
        <v>0</v>
      </c>
      <c r="J455" s="16">
        <f>'БА в тыс. руб.'!G455*1000</f>
        <v>250000</v>
      </c>
      <c r="K455" s="169">
        <f t="shared" si="271"/>
        <v>0</v>
      </c>
      <c r="L455" s="16">
        <f>'БА в тыс. руб.'!H455*1000</f>
        <v>0</v>
      </c>
      <c r="M455" s="169">
        <f t="shared" si="272"/>
        <v>0</v>
      </c>
      <c r="N455" s="16">
        <f>'БА в тыс. руб.'!I455*1000</f>
        <v>0</v>
      </c>
      <c r="O455" s="169">
        <f t="shared" si="273"/>
        <v>0</v>
      </c>
    </row>
    <row r="456" spans="1:15" s="83" customFormat="1">
      <c r="A456" s="12" t="s">
        <v>1016</v>
      </c>
      <c r="B456" s="25" t="s">
        <v>69</v>
      </c>
      <c r="C456" s="26" t="s">
        <v>71</v>
      </c>
      <c r="D456" s="26" t="s">
        <v>65</v>
      </c>
      <c r="E456" s="26" t="s">
        <v>701</v>
      </c>
      <c r="F456" s="26" t="s">
        <v>1046</v>
      </c>
      <c r="G456" s="27">
        <f t="shared" ref="G456" si="314">J456</f>
        <v>250000</v>
      </c>
      <c r="H456" s="27">
        <f>L456</f>
        <v>0</v>
      </c>
      <c r="I456" s="27">
        <f>N456</f>
        <v>0</v>
      </c>
      <c r="J456" s="16">
        <f>'БА в тыс. руб.'!G456*1000</f>
        <v>250000</v>
      </c>
      <c r="K456" s="169">
        <f t="shared" ref="K456:K519" si="315">J456-G456</f>
        <v>0</v>
      </c>
      <c r="L456" s="16">
        <f>'БА в тыс. руб.'!H456*1000</f>
        <v>0</v>
      </c>
      <c r="M456" s="169">
        <f t="shared" ref="M456:M519" si="316">L456-H456</f>
        <v>0</v>
      </c>
      <c r="N456" s="16">
        <f>'БА в тыс. руб.'!I456*1000</f>
        <v>0</v>
      </c>
      <c r="O456" s="169">
        <f t="shared" ref="O456:O519" si="317">N456-I456</f>
        <v>0</v>
      </c>
    </row>
    <row r="457" spans="1:15" s="30" customFormat="1" ht="63.75">
      <c r="A457" s="11" t="s">
        <v>756</v>
      </c>
      <c r="B457" s="25" t="s">
        <v>69</v>
      </c>
      <c r="C457" s="26" t="s">
        <v>71</v>
      </c>
      <c r="D457" s="26" t="s">
        <v>65</v>
      </c>
      <c r="E457" s="26" t="s">
        <v>339</v>
      </c>
      <c r="F457" s="26" t="s">
        <v>58</v>
      </c>
      <c r="G457" s="27">
        <f t="shared" ref="G457:I459" si="318">G458</f>
        <v>4259570</v>
      </c>
      <c r="H457" s="27">
        <f t="shared" si="318"/>
        <v>3895640</v>
      </c>
      <c r="I457" s="27">
        <f t="shared" si="318"/>
        <v>3895640</v>
      </c>
      <c r="J457" s="16">
        <f>'БА в тыс. руб.'!G457*1000</f>
        <v>4259570</v>
      </c>
      <c r="K457" s="169">
        <f t="shared" si="315"/>
        <v>0</v>
      </c>
      <c r="L457" s="16">
        <f>'БА в тыс. руб.'!H457*1000</f>
        <v>3895640</v>
      </c>
      <c r="M457" s="169">
        <f t="shared" si="316"/>
        <v>0</v>
      </c>
      <c r="N457" s="16">
        <f>'БА в тыс. руб.'!I457*1000</f>
        <v>3895640</v>
      </c>
      <c r="O457" s="169">
        <f t="shared" si="317"/>
        <v>0</v>
      </c>
    </row>
    <row r="458" spans="1:15" s="30" customFormat="1" ht="25.5">
      <c r="A458" s="11" t="s">
        <v>136</v>
      </c>
      <c r="B458" s="25" t="s">
        <v>69</v>
      </c>
      <c r="C458" s="26" t="s">
        <v>71</v>
      </c>
      <c r="D458" s="26" t="s">
        <v>65</v>
      </c>
      <c r="E458" s="26" t="s">
        <v>340</v>
      </c>
      <c r="F458" s="26" t="s">
        <v>58</v>
      </c>
      <c r="G458" s="27">
        <f t="shared" si="318"/>
        <v>4259570</v>
      </c>
      <c r="H458" s="27">
        <f t="shared" si="318"/>
        <v>3895640</v>
      </c>
      <c r="I458" s="27">
        <f t="shared" si="318"/>
        <v>3895640</v>
      </c>
      <c r="J458" s="16">
        <f>'БА в тыс. руб.'!G458*1000</f>
        <v>4259570</v>
      </c>
      <c r="K458" s="169">
        <f t="shared" si="315"/>
        <v>0</v>
      </c>
      <c r="L458" s="16">
        <f>'БА в тыс. руб.'!H458*1000</f>
        <v>3895640</v>
      </c>
      <c r="M458" s="169">
        <f t="shared" si="316"/>
        <v>0</v>
      </c>
      <c r="N458" s="16">
        <f>'БА в тыс. руб.'!I458*1000</f>
        <v>3895640</v>
      </c>
      <c r="O458" s="169">
        <f t="shared" si="317"/>
        <v>0</v>
      </c>
    </row>
    <row r="459" spans="1:15" s="30" customFormat="1" ht="25.5">
      <c r="A459" s="11" t="s">
        <v>667</v>
      </c>
      <c r="B459" s="25" t="s">
        <v>69</v>
      </c>
      <c r="C459" s="26" t="s">
        <v>71</v>
      </c>
      <c r="D459" s="26" t="s">
        <v>65</v>
      </c>
      <c r="E459" s="26" t="s">
        <v>609</v>
      </c>
      <c r="F459" s="26" t="s">
        <v>58</v>
      </c>
      <c r="G459" s="27">
        <f t="shared" si="318"/>
        <v>4259570</v>
      </c>
      <c r="H459" s="27">
        <f t="shared" si="318"/>
        <v>3895640</v>
      </c>
      <c r="I459" s="27">
        <f t="shared" si="318"/>
        <v>3895640</v>
      </c>
      <c r="J459" s="16">
        <f>'БА в тыс. руб.'!G459*1000</f>
        <v>4259570</v>
      </c>
      <c r="K459" s="169">
        <f t="shared" si="315"/>
        <v>0</v>
      </c>
      <c r="L459" s="16">
        <f>'БА в тыс. руб.'!H459*1000</f>
        <v>3895640</v>
      </c>
      <c r="M459" s="169">
        <f t="shared" si="316"/>
        <v>0</v>
      </c>
      <c r="N459" s="16">
        <f>'БА в тыс. руб.'!I459*1000</f>
        <v>3895640</v>
      </c>
      <c r="O459" s="169">
        <f t="shared" si="317"/>
        <v>0</v>
      </c>
    </row>
    <row r="460" spans="1:15" s="30" customFormat="1" ht="38.25">
      <c r="A460" s="11" t="s">
        <v>177</v>
      </c>
      <c r="B460" s="25" t="s">
        <v>69</v>
      </c>
      <c r="C460" s="26" t="s">
        <v>71</v>
      </c>
      <c r="D460" s="26" t="s">
        <v>65</v>
      </c>
      <c r="E460" s="26" t="s">
        <v>610</v>
      </c>
      <c r="F460" s="26" t="s">
        <v>58</v>
      </c>
      <c r="G460" s="27">
        <f>G461+G463</f>
        <v>4259570</v>
      </c>
      <c r="H460" s="27">
        <f t="shared" ref="H460:I460" si="319">H461+H463</f>
        <v>3895640</v>
      </c>
      <c r="I460" s="27">
        <f t="shared" si="319"/>
        <v>3895640</v>
      </c>
      <c r="J460" s="16">
        <f>'БА в тыс. руб.'!G460*1000</f>
        <v>4259570</v>
      </c>
      <c r="K460" s="169">
        <f t="shared" si="315"/>
        <v>0</v>
      </c>
      <c r="L460" s="16">
        <f>'БА в тыс. руб.'!H460*1000</f>
        <v>3895640</v>
      </c>
      <c r="M460" s="169">
        <f t="shared" si="316"/>
        <v>0</v>
      </c>
      <c r="N460" s="16">
        <f>'БА в тыс. руб.'!I460*1000</f>
        <v>3895640</v>
      </c>
      <c r="O460" s="169">
        <f t="shared" si="317"/>
        <v>0</v>
      </c>
    </row>
    <row r="461" spans="1:15" s="30" customFormat="1">
      <c r="A461" s="13" t="s">
        <v>92</v>
      </c>
      <c r="B461" s="25" t="s">
        <v>69</v>
      </c>
      <c r="C461" s="26" t="s">
        <v>71</v>
      </c>
      <c r="D461" s="26" t="s">
        <v>65</v>
      </c>
      <c r="E461" s="26" t="s">
        <v>610</v>
      </c>
      <c r="F461" s="26" t="s">
        <v>138</v>
      </c>
      <c r="G461" s="27">
        <f>G462</f>
        <v>4161069.9999999995</v>
      </c>
      <c r="H461" s="27">
        <f t="shared" ref="H461:I461" si="320">H462</f>
        <v>3797140</v>
      </c>
      <c r="I461" s="27">
        <f t="shared" si="320"/>
        <v>3797140</v>
      </c>
      <c r="J461" s="16">
        <f>'БА в тыс. руб.'!G461*1000</f>
        <v>4161069.9999999995</v>
      </c>
      <c r="K461" s="169">
        <f t="shared" si="315"/>
        <v>0</v>
      </c>
      <c r="L461" s="16">
        <f>'БА в тыс. руб.'!H461*1000</f>
        <v>3797140</v>
      </c>
      <c r="M461" s="169">
        <f t="shared" si="316"/>
        <v>0</v>
      </c>
      <c r="N461" s="16">
        <f>'БА в тыс. руб.'!I461*1000</f>
        <v>3797140</v>
      </c>
      <c r="O461" s="169">
        <f t="shared" si="317"/>
        <v>0</v>
      </c>
    </row>
    <row r="462" spans="1:15" s="83" customFormat="1">
      <c r="A462" s="12" t="s">
        <v>1016</v>
      </c>
      <c r="B462" s="25" t="s">
        <v>69</v>
      </c>
      <c r="C462" s="26" t="s">
        <v>71</v>
      </c>
      <c r="D462" s="26" t="s">
        <v>65</v>
      </c>
      <c r="E462" s="26" t="s">
        <v>610</v>
      </c>
      <c r="F462" s="26" t="s">
        <v>1046</v>
      </c>
      <c r="G462" s="27">
        <f t="shared" ref="G462" si="321">J462</f>
        <v>4161069.9999999995</v>
      </c>
      <c r="H462" s="27">
        <f>L462</f>
        <v>3797140</v>
      </c>
      <c r="I462" s="27">
        <f>N462</f>
        <v>3797140</v>
      </c>
      <c r="J462" s="16">
        <f>'БА в тыс. руб.'!G462*1000</f>
        <v>4161069.9999999995</v>
      </c>
      <c r="K462" s="169">
        <f t="shared" si="315"/>
        <v>0</v>
      </c>
      <c r="L462" s="16">
        <f>'БА в тыс. руб.'!H462*1000</f>
        <v>3797140</v>
      </c>
      <c r="M462" s="169">
        <f t="shared" si="316"/>
        <v>0</v>
      </c>
      <c r="N462" s="16">
        <f>'БА в тыс. руб.'!I462*1000</f>
        <v>3797140</v>
      </c>
      <c r="O462" s="169">
        <f t="shared" si="317"/>
        <v>0</v>
      </c>
    </row>
    <row r="463" spans="1:15" s="30" customFormat="1">
      <c r="A463" s="13" t="s">
        <v>93</v>
      </c>
      <c r="B463" s="25" t="s">
        <v>69</v>
      </c>
      <c r="C463" s="26" t="s">
        <v>71</v>
      </c>
      <c r="D463" s="26" t="s">
        <v>65</v>
      </c>
      <c r="E463" s="26" t="s">
        <v>610</v>
      </c>
      <c r="F463" s="26" t="s">
        <v>20</v>
      </c>
      <c r="G463" s="27">
        <f>G464</f>
        <v>98500</v>
      </c>
      <c r="H463" s="27">
        <f t="shared" ref="H463:I463" si="322">H464</f>
        <v>98500</v>
      </c>
      <c r="I463" s="27">
        <f t="shared" si="322"/>
        <v>98500</v>
      </c>
      <c r="J463" s="16">
        <f>'БА в тыс. руб.'!G463*1000</f>
        <v>98500</v>
      </c>
      <c r="K463" s="169">
        <f t="shared" si="315"/>
        <v>0</v>
      </c>
      <c r="L463" s="16">
        <f>'БА в тыс. руб.'!H463*1000</f>
        <v>98500</v>
      </c>
      <c r="M463" s="169">
        <f t="shared" si="316"/>
        <v>0</v>
      </c>
      <c r="N463" s="16">
        <f>'БА в тыс. руб.'!I463*1000</f>
        <v>98500</v>
      </c>
      <c r="O463" s="169">
        <f t="shared" si="317"/>
        <v>0</v>
      </c>
    </row>
    <row r="464" spans="1:15" s="83" customFormat="1">
      <c r="A464" s="12" t="s">
        <v>1019</v>
      </c>
      <c r="B464" s="25" t="s">
        <v>69</v>
      </c>
      <c r="C464" s="26" t="s">
        <v>71</v>
      </c>
      <c r="D464" s="26" t="s">
        <v>65</v>
      </c>
      <c r="E464" s="26" t="s">
        <v>610</v>
      </c>
      <c r="F464" s="26" t="s">
        <v>1054</v>
      </c>
      <c r="G464" s="27">
        <f t="shared" ref="G464" si="323">J464</f>
        <v>98500</v>
      </c>
      <c r="H464" s="27">
        <f>L464</f>
        <v>98500</v>
      </c>
      <c r="I464" s="27">
        <f>N464</f>
        <v>98500</v>
      </c>
      <c r="J464" s="16">
        <f>'БА в тыс. руб.'!G464*1000</f>
        <v>98500</v>
      </c>
      <c r="K464" s="169">
        <f t="shared" si="315"/>
        <v>0</v>
      </c>
      <c r="L464" s="16">
        <f>'БА в тыс. руб.'!H464*1000</f>
        <v>98500</v>
      </c>
      <c r="M464" s="169">
        <f t="shared" si="316"/>
        <v>0</v>
      </c>
      <c r="N464" s="16">
        <f>'БА в тыс. руб.'!I464*1000</f>
        <v>98500</v>
      </c>
      <c r="O464" s="169">
        <f t="shared" si="317"/>
        <v>0</v>
      </c>
    </row>
    <row r="465" spans="1:15" s="30" customFormat="1" ht="25.5">
      <c r="A465" s="11" t="s">
        <v>757</v>
      </c>
      <c r="B465" s="25" t="s">
        <v>69</v>
      </c>
      <c r="C465" s="26" t="s">
        <v>71</v>
      </c>
      <c r="D465" s="26" t="s">
        <v>65</v>
      </c>
      <c r="E465" s="26" t="s">
        <v>342</v>
      </c>
      <c r="F465" s="26" t="s">
        <v>58</v>
      </c>
      <c r="G465" s="27">
        <f t="shared" ref="G465:I466" si="324">G466</f>
        <v>0</v>
      </c>
      <c r="H465" s="27">
        <f t="shared" si="324"/>
        <v>5077740</v>
      </c>
      <c r="I465" s="27">
        <f t="shared" si="324"/>
        <v>5077740</v>
      </c>
      <c r="J465" s="16">
        <f>'БА в тыс. руб.'!G465*1000</f>
        <v>0</v>
      </c>
      <c r="K465" s="169">
        <f t="shared" si="315"/>
        <v>0</v>
      </c>
      <c r="L465" s="16">
        <f>'БА в тыс. руб.'!H465*1000</f>
        <v>5077740</v>
      </c>
      <c r="M465" s="169">
        <f t="shared" si="316"/>
        <v>0</v>
      </c>
      <c r="N465" s="16">
        <f>'БА в тыс. руб.'!I465*1000</f>
        <v>5077740</v>
      </c>
      <c r="O465" s="169">
        <f t="shared" si="317"/>
        <v>0</v>
      </c>
    </row>
    <row r="466" spans="1:15" s="30" customFormat="1" ht="38.25">
      <c r="A466" s="34" t="s">
        <v>758</v>
      </c>
      <c r="B466" s="25" t="s">
        <v>69</v>
      </c>
      <c r="C466" s="26" t="s">
        <v>71</v>
      </c>
      <c r="D466" s="26" t="s">
        <v>65</v>
      </c>
      <c r="E466" s="26" t="s">
        <v>343</v>
      </c>
      <c r="F466" s="26" t="s">
        <v>58</v>
      </c>
      <c r="G466" s="27">
        <f t="shared" si="324"/>
        <v>0</v>
      </c>
      <c r="H466" s="27">
        <f t="shared" si="324"/>
        <v>5077740</v>
      </c>
      <c r="I466" s="27">
        <f t="shared" si="324"/>
        <v>5077740</v>
      </c>
      <c r="J466" s="16">
        <f>'БА в тыс. руб.'!G466*1000</f>
        <v>0</v>
      </c>
      <c r="K466" s="169">
        <f t="shared" si="315"/>
        <v>0</v>
      </c>
      <c r="L466" s="16">
        <f>'БА в тыс. руб.'!H466*1000</f>
        <v>5077740</v>
      </c>
      <c r="M466" s="169">
        <f t="shared" si="316"/>
        <v>0</v>
      </c>
      <c r="N466" s="16">
        <f>'БА в тыс. руб.'!I466*1000</f>
        <v>5077740</v>
      </c>
      <c r="O466" s="169">
        <f t="shared" si="317"/>
        <v>0</v>
      </c>
    </row>
    <row r="467" spans="1:15" s="30" customFormat="1" ht="25.5">
      <c r="A467" s="11" t="s">
        <v>344</v>
      </c>
      <c r="B467" s="25" t="s">
        <v>69</v>
      </c>
      <c r="C467" s="26" t="s">
        <v>71</v>
      </c>
      <c r="D467" s="26" t="s">
        <v>65</v>
      </c>
      <c r="E467" s="26" t="s">
        <v>345</v>
      </c>
      <c r="F467" s="26" t="s">
        <v>58</v>
      </c>
      <c r="G467" s="27">
        <f>G469</f>
        <v>0</v>
      </c>
      <c r="H467" s="27">
        <f>H469</f>
        <v>5077740</v>
      </c>
      <c r="I467" s="27">
        <f>I469</f>
        <v>5077740</v>
      </c>
      <c r="J467" s="16">
        <f>'БА в тыс. руб.'!G467*1000</f>
        <v>0</v>
      </c>
      <c r="K467" s="169">
        <f t="shared" si="315"/>
        <v>0</v>
      </c>
      <c r="L467" s="16">
        <f>'БА в тыс. руб.'!H467*1000</f>
        <v>5077740</v>
      </c>
      <c r="M467" s="169">
        <f t="shared" si="316"/>
        <v>0</v>
      </c>
      <c r="N467" s="16">
        <f>'БА в тыс. руб.'!I467*1000</f>
        <v>5077740</v>
      </c>
      <c r="O467" s="169">
        <f t="shared" si="317"/>
        <v>0</v>
      </c>
    </row>
    <row r="468" spans="1:15" s="30" customFormat="1" ht="25.5">
      <c r="A468" s="13" t="s">
        <v>174</v>
      </c>
      <c r="B468" s="25" t="s">
        <v>69</v>
      </c>
      <c r="C468" s="26" t="s">
        <v>71</v>
      </c>
      <c r="D468" s="26" t="s">
        <v>65</v>
      </c>
      <c r="E468" s="26" t="s">
        <v>346</v>
      </c>
      <c r="F468" s="26" t="s">
        <v>58</v>
      </c>
      <c r="G468" s="27">
        <f>G469</f>
        <v>0</v>
      </c>
      <c r="H468" s="27">
        <f>H469</f>
        <v>5077740</v>
      </c>
      <c r="I468" s="27">
        <f>I469</f>
        <v>5077740</v>
      </c>
      <c r="J468" s="16">
        <f>'БА в тыс. руб.'!G468*1000</f>
        <v>0</v>
      </c>
      <c r="K468" s="169">
        <f t="shared" si="315"/>
        <v>0</v>
      </c>
      <c r="L468" s="16">
        <f>'БА в тыс. руб.'!H468*1000</f>
        <v>5077740</v>
      </c>
      <c r="M468" s="169">
        <f t="shared" si="316"/>
        <v>0</v>
      </c>
      <c r="N468" s="16">
        <f>'БА в тыс. руб.'!I468*1000</f>
        <v>5077740</v>
      </c>
      <c r="O468" s="169">
        <f t="shared" si="317"/>
        <v>0</v>
      </c>
    </row>
    <row r="469" spans="1:15" s="30" customFormat="1">
      <c r="A469" s="13" t="s">
        <v>92</v>
      </c>
      <c r="B469" s="25" t="s">
        <v>69</v>
      </c>
      <c r="C469" s="26" t="s">
        <v>71</v>
      </c>
      <c r="D469" s="26" t="s">
        <v>65</v>
      </c>
      <c r="E469" s="26" t="s">
        <v>346</v>
      </c>
      <c r="F469" s="26" t="s">
        <v>138</v>
      </c>
      <c r="G469" s="27">
        <f>G470</f>
        <v>0</v>
      </c>
      <c r="H469" s="27">
        <f t="shared" ref="H469:I469" si="325">H470</f>
        <v>5077740</v>
      </c>
      <c r="I469" s="27">
        <f t="shared" si="325"/>
        <v>5077740</v>
      </c>
      <c r="J469" s="16">
        <f>'БА в тыс. руб.'!G469*1000</f>
        <v>0</v>
      </c>
      <c r="K469" s="169">
        <f t="shared" si="315"/>
        <v>0</v>
      </c>
      <c r="L469" s="16">
        <f>'БА в тыс. руб.'!H469*1000</f>
        <v>5077740</v>
      </c>
      <c r="M469" s="169">
        <f t="shared" si="316"/>
        <v>0</v>
      </c>
      <c r="N469" s="16">
        <f>'БА в тыс. руб.'!I469*1000</f>
        <v>5077740</v>
      </c>
      <c r="O469" s="169">
        <f t="shared" si="317"/>
        <v>0</v>
      </c>
    </row>
    <row r="470" spans="1:15" s="83" customFormat="1">
      <c r="A470" s="12" t="s">
        <v>1016</v>
      </c>
      <c r="B470" s="25" t="s">
        <v>69</v>
      </c>
      <c r="C470" s="26" t="s">
        <v>71</v>
      </c>
      <c r="D470" s="26" t="s">
        <v>65</v>
      </c>
      <c r="E470" s="26" t="s">
        <v>346</v>
      </c>
      <c r="F470" s="26" t="s">
        <v>1046</v>
      </c>
      <c r="G470" s="27">
        <f t="shared" ref="G470" si="326">J470</f>
        <v>0</v>
      </c>
      <c r="H470" s="27">
        <f>L470</f>
        <v>5077740</v>
      </c>
      <c r="I470" s="27">
        <f>N470</f>
        <v>5077740</v>
      </c>
      <c r="J470" s="16">
        <f>'БА в тыс. руб.'!G470*1000</f>
        <v>0</v>
      </c>
      <c r="K470" s="169">
        <f t="shared" si="315"/>
        <v>0</v>
      </c>
      <c r="L470" s="16">
        <f>'БА в тыс. руб.'!H470*1000</f>
        <v>5077740</v>
      </c>
      <c r="M470" s="169">
        <f t="shared" si="316"/>
        <v>0</v>
      </c>
      <c r="N470" s="16">
        <f>'БА в тыс. руб.'!I470*1000</f>
        <v>5077740</v>
      </c>
      <c r="O470" s="169">
        <f t="shared" si="317"/>
        <v>0</v>
      </c>
    </row>
    <row r="471" spans="1:15" s="30" customFormat="1">
      <c r="A471" s="21" t="s">
        <v>61</v>
      </c>
      <c r="B471" s="22" t="s">
        <v>69</v>
      </c>
      <c r="C471" s="23" t="s">
        <v>71</v>
      </c>
      <c r="D471" s="23" t="s">
        <v>66</v>
      </c>
      <c r="E471" s="23" t="s">
        <v>196</v>
      </c>
      <c r="F471" s="23" t="s">
        <v>58</v>
      </c>
      <c r="G471" s="24">
        <f>G472+G505+G516+G524</f>
        <v>1639816010</v>
      </c>
      <c r="H471" s="24">
        <f>H472+H505+H516+H524</f>
        <v>1476120720</v>
      </c>
      <c r="I471" s="24">
        <f>I472+I505+I516+I524</f>
        <v>1563261200</v>
      </c>
      <c r="J471" s="16">
        <f>'БА в тыс. руб.'!G471*1000</f>
        <v>1639816010</v>
      </c>
      <c r="K471" s="169">
        <f t="shared" si="315"/>
        <v>0</v>
      </c>
      <c r="L471" s="16">
        <f>'БА в тыс. руб.'!H471*1000</f>
        <v>1476120720.0000002</v>
      </c>
      <c r="M471" s="169">
        <f t="shared" si="316"/>
        <v>0</v>
      </c>
      <c r="N471" s="16">
        <f>'БА в тыс. руб.'!I471*1000</f>
        <v>1563261200.0000002</v>
      </c>
      <c r="O471" s="169">
        <f t="shared" si="317"/>
        <v>0</v>
      </c>
    </row>
    <row r="472" spans="1:15" s="30" customFormat="1" ht="25.5">
      <c r="A472" s="13" t="s">
        <v>723</v>
      </c>
      <c r="B472" s="25" t="s">
        <v>69</v>
      </c>
      <c r="C472" s="26" t="s">
        <v>71</v>
      </c>
      <c r="D472" s="26" t="s">
        <v>66</v>
      </c>
      <c r="E472" s="26" t="s">
        <v>331</v>
      </c>
      <c r="F472" s="26" t="s">
        <v>58</v>
      </c>
      <c r="G472" s="27">
        <f>G473+G500</f>
        <v>1634402450</v>
      </c>
      <c r="H472" s="27">
        <f>H473+H500</f>
        <v>1471240910</v>
      </c>
      <c r="I472" s="27">
        <f>I473+I500</f>
        <v>1558381390</v>
      </c>
      <c r="J472" s="16">
        <f>'БА в тыс. руб.'!G472*1000</f>
        <v>1634402450</v>
      </c>
      <c r="K472" s="169">
        <f t="shared" si="315"/>
        <v>0</v>
      </c>
      <c r="L472" s="16">
        <f>'БА в тыс. руб.'!H472*1000</f>
        <v>1471240910.0000002</v>
      </c>
      <c r="M472" s="169">
        <f t="shared" si="316"/>
        <v>0</v>
      </c>
      <c r="N472" s="16">
        <f>'БА в тыс. руб.'!I472*1000</f>
        <v>1558381390.0000002</v>
      </c>
      <c r="O472" s="169">
        <f t="shared" si="317"/>
        <v>0</v>
      </c>
    </row>
    <row r="473" spans="1:15" s="30" customFormat="1" ht="25.5">
      <c r="A473" s="13" t="s">
        <v>860</v>
      </c>
      <c r="B473" s="25" t="s">
        <v>69</v>
      </c>
      <c r="C473" s="26" t="s">
        <v>71</v>
      </c>
      <c r="D473" s="26" t="s">
        <v>66</v>
      </c>
      <c r="E473" s="26" t="s">
        <v>332</v>
      </c>
      <c r="F473" s="26" t="s">
        <v>58</v>
      </c>
      <c r="G473" s="27">
        <f>G474+G496</f>
        <v>1630682450</v>
      </c>
      <c r="H473" s="27">
        <f>H474+H496</f>
        <v>1464421290</v>
      </c>
      <c r="I473" s="27">
        <f>I474+I496</f>
        <v>1558381390</v>
      </c>
      <c r="J473" s="16">
        <f>'БА в тыс. руб.'!G473*1000</f>
        <v>1630682450</v>
      </c>
      <c r="K473" s="169">
        <f t="shared" si="315"/>
        <v>0</v>
      </c>
      <c r="L473" s="16">
        <f>'БА в тыс. руб.'!H473*1000</f>
        <v>1464421290</v>
      </c>
      <c r="M473" s="169">
        <f t="shared" si="316"/>
        <v>0</v>
      </c>
      <c r="N473" s="16">
        <f>'БА в тыс. руб.'!I473*1000</f>
        <v>1558381390.0000002</v>
      </c>
      <c r="O473" s="169">
        <f t="shared" si="317"/>
        <v>0</v>
      </c>
    </row>
    <row r="474" spans="1:15" s="30" customFormat="1" ht="38.25">
      <c r="A474" s="13" t="s">
        <v>663</v>
      </c>
      <c r="B474" s="25" t="s">
        <v>69</v>
      </c>
      <c r="C474" s="26" t="s">
        <v>71</v>
      </c>
      <c r="D474" s="26" t="s">
        <v>66</v>
      </c>
      <c r="E474" s="26" t="s">
        <v>347</v>
      </c>
      <c r="F474" s="26" t="s">
        <v>58</v>
      </c>
      <c r="G474" s="27">
        <f>G475+G486</f>
        <v>1619344250</v>
      </c>
      <c r="H474" s="27">
        <f>H475+H486</f>
        <v>1460421290</v>
      </c>
      <c r="I474" s="27">
        <f>I475+I486</f>
        <v>1554381390</v>
      </c>
      <c r="J474" s="16">
        <f>'БА в тыс. руб.'!G474*1000</f>
        <v>1619344250</v>
      </c>
      <c r="K474" s="169">
        <f t="shared" si="315"/>
        <v>0</v>
      </c>
      <c r="L474" s="16">
        <f>'БА в тыс. руб.'!H474*1000</f>
        <v>1460421290</v>
      </c>
      <c r="M474" s="169">
        <f t="shared" si="316"/>
        <v>0</v>
      </c>
      <c r="N474" s="16">
        <f>'БА в тыс. руб.'!I474*1000</f>
        <v>1554381390.0000002</v>
      </c>
      <c r="O474" s="169">
        <f t="shared" si="317"/>
        <v>0</v>
      </c>
    </row>
    <row r="475" spans="1:15" s="30" customFormat="1" ht="25.5">
      <c r="A475" s="13" t="s">
        <v>247</v>
      </c>
      <c r="B475" s="25" t="s">
        <v>69</v>
      </c>
      <c r="C475" s="26" t="s">
        <v>71</v>
      </c>
      <c r="D475" s="26" t="s">
        <v>66</v>
      </c>
      <c r="E475" s="26" t="s">
        <v>348</v>
      </c>
      <c r="F475" s="26" t="s">
        <v>58</v>
      </c>
      <c r="G475" s="27">
        <f>G476+G479+G481+G484</f>
        <v>529533960</v>
      </c>
      <c r="H475" s="27">
        <f>H476+H479+H481+H484</f>
        <v>533711880</v>
      </c>
      <c r="I475" s="27">
        <f>I476+I479+I481+I484</f>
        <v>533711880</v>
      </c>
      <c r="J475" s="16">
        <f>'БА в тыс. руб.'!G475*1000</f>
        <v>529533959.99999994</v>
      </c>
      <c r="K475" s="169">
        <f t="shared" si="315"/>
        <v>0</v>
      </c>
      <c r="L475" s="16">
        <f>'БА в тыс. руб.'!H475*1000</f>
        <v>533711880</v>
      </c>
      <c r="M475" s="169">
        <f t="shared" si="316"/>
        <v>0</v>
      </c>
      <c r="N475" s="16">
        <f>'БА в тыс. руб.'!I475*1000</f>
        <v>533711880</v>
      </c>
      <c r="O475" s="169">
        <f t="shared" si="317"/>
        <v>0</v>
      </c>
    </row>
    <row r="476" spans="1:15" s="30" customFormat="1">
      <c r="A476" s="13" t="s">
        <v>106</v>
      </c>
      <c r="B476" s="25" t="s">
        <v>69</v>
      </c>
      <c r="C476" s="26" t="s">
        <v>71</v>
      </c>
      <c r="D476" s="26" t="s">
        <v>66</v>
      </c>
      <c r="E476" s="26" t="s">
        <v>348</v>
      </c>
      <c r="F476" s="26" t="s">
        <v>121</v>
      </c>
      <c r="G476" s="27">
        <f>SUM(G477:G478)</f>
        <v>1601610</v>
      </c>
      <c r="H476" s="27">
        <f t="shared" ref="H476:I476" si="327">SUM(H477:H478)</f>
        <v>1601610</v>
      </c>
      <c r="I476" s="27">
        <f t="shared" si="327"/>
        <v>1601610</v>
      </c>
      <c r="J476" s="16">
        <f>'БА в тыс. руб.'!G476*1000</f>
        <v>1601610.0000000002</v>
      </c>
      <c r="K476" s="169">
        <f t="shared" si="315"/>
        <v>0</v>
      </c>
      <c r="L476" s="16">
        <f>'БА в тыс. руб.'!H476*1000</f>
        <v>1601610.0000000002</v>
      </c>
      <c r="M476" s="169">
        <f t="shared" si="316"/>
        <v>0</v>
      </c>
      <c r="N476" s="16">
        <f>'БА в тыс. руб.'!I476*1000</f>
        <v>1601610.0000000002</v>
      </c>
      <c r="O476" s="169">
        <f t="shared" si="317"/>
        <v>0</v>
      </c>
    </row>
    <row r="477" spans="1:15" s="83" customFormat="1">
      <c r="A477" s="12" t="s">
        <v>932</v>
      </c>
      <c r="B477" s="25" t="s">
        <v>69</v>
      </c>
      <c r="C477" s="26" t="s">
        <v>71</v>
      </c>
      <c r="D477" s="26" t="s">
        <v>66</v>
      </c>
      <c r="E477" s="26" t="s">
        <v>348</v>
      </c>
      <c r="F477" s="26" t="s">
        <v>1056</v>
      </c>
      <c r="G477" s="27">
        <f t="shared" ref="G477:G478" si="328">J477</f>
        <v>1229440</v>
      </c>
      <c r="H477" s="27">
        <f t="shared" ref="H477:H478" si="329">L477</f>
        <v>1229440</v>
      </c>
      <c r="I477" s="27">
        <f t="shared" ref="I477:I478" si="330">N477</f>
        <v>1229440</v>
      </c>
      <c r="J477" s="16">
        <f>'БА в тыс. руб.'!G477*1000</f>
        <v>1229440</v>
      </c>
      <c r="K477" s="169">
        <f t="shared" si="315"/>
        <v>0</v>
      </c>
      <c r="L477" s="16">
        <f>'БА в тыс. руб.'!H477*1000</f>
        <v>1229440</v>
      </c>
      <c r="M477" s="169">
        <f t="shared" si="316"/>
        <v>0</v>
      </c>
      <c r="N477" s="16">
        <f>'БА в тыс. руб.'!I477*1000</f>
        <v>1229440</v>
      </c>
      <c r="O477" s="169">
        <f t="shared" si="317"/>
        <v>0</v>
      </c>
    </row>
    <row r="478" spans="1:15" s="83" customFormat="1" ht="38.25">
      <c r="A478" s="12" t="s">
        <v>935</v>
      </c>
      <c r="B478" s="25" t="s">
        <v>69</v>
      </c>
      <c r="C478" s="26" t="s">
        <v>71</v>
      </c>
      <c r="D478" s="26" t="s">
        <v>66</v>
      </c>
      <c r="E478" s="26" t="s">
        <v>348</v>
      </c>
      <c r="F478" s="26" t="s">
        <v>1057</v>
      </c>
      <c r="G478" s="27">
        <f t="shared" si="328"/>
        <v>372170</v>
      </c>
      <c r="H478" s="27">
        <f t="shared" si="329"/>
        <v>372170</v>
      </c>
      <c r="I478" s="27">
        <f t="shared" si="330"/>
        <v>372170</v>
      </c>
      <c r="J478" s="16">
        <f>'БА в тыс. руб.'!G478*1000</f>
        <v>372170</v>
      </c>
      <c r="K478" s="169">
        <f t="shared" si="315"/>
        <v>0</v>
      </c>
      <c r="L478" s="16">
        <f>'БА в тыс. руб.'!H478*1000</f>
        <v>372170</v>
      </c>
      <c r="M478" s="169">
        <f t="shared" si="316"/>
        <v>0</v>
      </c>
      <c r="N478" s="16">
        <f>'БА в тыс. руб.'!I478*1000</f>
        <v>372170</v>
      </c>
      <c r="O478" s="169">
        <f t="shared" si="317"/>
        <v>0</v>
      </c>
    </row>
    <row r="479" spans="1:15" s="30" customFormat="1" ht="25.5">
      <c r="A479" s="11" t="s">
        <v>108</v>
      </c>
      <c r="B479" s="25" t="s">
        <v>69</v>
      </c>
      <c r="C479" s="26" t="s">
        <v>71</v>
      </c>
      <c r="D479" s="26" t="s">
        <v>66</v>
      </c>
      <c r="E479" s="26" t="s">
        <v>348</v>
      </c>
      <c r="F479" s="26" t="s">
        <v>116</v>
      </c>
      <c r="G479" s="27">
        <f>G480</f>
        <v>70000</v>
      </c>
      <c r="H479" s="27">
        <f t="shared" ref="H479:I479" si="331">H480</f>
        <v>70000</v>
      </c>
      <c r="I479" s="27">
        <f t="shared" si="331"/>
        <v>70000</v>
      </c>
      <c r="J479" s="16">
        <f>'БА в тыс. руб.'!G479*1000</f>
        <v>70000</v>
      </c>
      <c r="K479" s="169">
        <f t="shared" si="315"/>
        <v>0</v>
      </c>
      <c r="L479" s="16">
        <f>'БА в тыс. руб.'!H479*1000</f>
        <v>70000</v>
      </c>
      <c r="M479" s="169">
        <f t="shared" si="316"/>
        <v>0</v>
      </c>
      <c r="N479" s="16">
        <f>'БА в тыс. руб.'!I479*1000</f>
        <v>70000</v>
      </c>
      <c r="O479" s="169">
        <f t="shared" si="317"/>
        <v>0</v>
      </c>
    </row>
    <row r="480" spans="1:15" s="83" customFormat="1" ht="25.5">
      <c r="A480" s="12" t="s">
        <v>973</v>
      </c>
      <c r="B480" s="25" t="s">
        <v>69</v>
      </c>
      <c r="C480" s="26" t="s">
        <v>71</v>
      </c>
      <c r="D480" s="26" t="s">
        <v>66</v>
      </c>
      <c r="E480" s="26" t="s">
        <v>348</v>
      </c>
      <c r="F480" s="26" t="s">
        <v>1043</v>
      </c>
      <c r="G480" s="27">
        <f t="shared" ref="G480" si="332">J480</f>
        <v>70000</v>
      </c>
      <c r="H480" s="27">
        <f>L480</f>
        <v>70000</v>
      </c>
      <c r="I480" s="27">
        <f>N480</f>
        <v>70000</v>
      </c>
      <c r="J480" s="16">
        <f>'БА в тыс. руб.'!G480*1000</f>
        <v>70000</v>
      </c>
      <c r="K480" s="169">
        <f t="shared" si="315"/>
        <v>0</v>
      </c>
      <c r="L480" s="16">
        <f>'БА в тыс. руб.'!H480*1000</f>
        <v>70000</v>
      </c>
      <c r="M480" s="169">
        <f t="shared" si="316"/>
        <v>0</v>
      </c>
      <c r="N480" s="16">
        <f>'БА в тыс. руб.'!I480*1000</f>
        <v>70000</v>
      </c>
      <c r="O480" s="169">
        <f t="shared" si="317"/>
        <v>0</v>
      </c>
    </row>
    <row r="481" spans="1:15" s="30" customFormat="1">
      <c r="A481" s="13" t="s">
        <v>92</v>
      </c>
      <c r="B481" s="25" t="s">
        <v>69</v>
      </c>
      <c r="C481" s="26" t="s">
        <v>71</v>
      </c>
      <c r="D481" s="26" t="s">
        <v>66</v>
      </c>
      <c r="E481" s="26" t="s">
        <v>348</v>
      </c>
      <c r="F481" s="26" t="s">
        <v>138</v>
      </c>
      <c r="G481" s="27">
        <f>SUM(G482:G483)</f>
        <v>489742480</v>
      </c>
      <c r="H481" s="27">
        <f t="shared" ref="H481:I481" si="333">SUM(H482:H483)</f>
        <v>493920400</v>
      </c>
      <c r="I481" s="27">
        <f t="shared" si="333"/>
        <v>493920400</v>
      </c>
      <c r="J481" s="16">
        <f>'БА в тыс. руб.'!G481*1000</f>
        <v>489742480</v>
      </c>
      <c r="K481" s="169">
        <f t="shared" si="315"/>
        <v>0</v>
      </c>
      <c r="L481" s="16">
        <f>'БА в тыс. руб.'!H481*1000</f>
        <v>493920400</v>
      </c>
      <c r="M481" s="169">
        <f t="shared" si="316"/>
        <v>0</v>
      </c>
      <c r="N481" s="16">
        <f>'БА в тыс. руб.'!I481*1000</f>
        <v>493920400</v>
      </c>
      <c r="O481" s="169">
        <f t="shared" si="317"/>
        <v>0</v>
      </c>
    </row>
    <row r="482" spans="1:15" s="83" customFormat="1" ht="38.25">
      <c r="A482" s="12" t="s">
        <v>1015</v>
      </c>
      <c r="B482" s="25" t="s">
        <v>69</v>
      </c>
      <c r="C482" s="26" t="s">
        <v>71</v>
      </c>
      <c r="D482" s="26" t="s">
        <v>66</v>
      </c>
      <c r="E482" s="26" t="s">
        <v>348</v>
      </c>
      <c r="F482" s="26" t="s">
        <v>67</v>
      </c>
      <c r="G482" s="27">
        <f t="shared" ref="G482:G483" si="334">J482</f>
        <v>485744730</v>
      </c>
      <c r="H482" s="27">
        <f t="shared" ref="H482:H483" si="335">L482</f>
        <v>489922650</v>
      </c>
      <c r="I482" s="27">
        <f t="shared" ref="I482:I483" si="336">N482</f>
        <v>489922650</v>
      </c>
      <c r="J482" s="16">
        <f>'БА в тыс. руб.'!G482*1000</f>
        <v>485744730</v>
      </c>
      <c r="K482" s="169">
        <f t="shared" si="315"/>
        <v>0</v>
      </c>
      <c r="L482" s="16">
        <f>'БА в тыс. руб.'!H482*1000</f>
        <v>489922650</v>
      </c>
      <c r="M482" s="169">
        <f t="shared" si="316"/>
        <v>0</v>
      </c>
      <c r="N482" s="16">
        <f>'БА в тыс. руб.'!I482*1000</f>
        <v>489922650</v>
      </c>
      <c r="O482" s="169">
        <f t="shared" si="317"/>
        <v>0</v>
      </c>
    </row>
    <row r="483" spans="1:15" s="83" customFormat="1">
      <c r="A483" s="12" t="s">
        <v>1016</v>
      </c>
      <c r="B483" s="25" t="s">
        <v>69</v>
      </c>
      <c r="C483" s="26" t="s">
        <v>71</v>
      </c>
      <c r="D483" s="26" t="s">
        <v>66</v>
      </c>
      <c r="E483" s="26" t="s">
        <v>348</v>
      </c>
      <c r="F483" s="26" t="s">
        <v>1046</v>
      </c>
      <c r="G483" s="27">
        <f t="shared" si="334"/>
        <v>3997750</v>
      </c>
      <c r="H483" s="27">
        <f t="shared" si="335"/>
        <v>3997750</v>
      </c>
      <c r="I483" s="27">
        <f t="shared" si="336"/>
        <v>3997750</v>
      </c>
      <c r="J483" s="16">
        <f>'БА в тыс. руб.'!G483*1000</f>
        <v>3997750</v>
      </c>
      <c r="K483" s="169">
        <f t="shared" si="315"/>
        <v>0</v>
      </c>
      <c r="L483" s="16">
        <f>'БА в тыс. руб.'!H483*1000</f>
        <v>3997750</v>
      </c>
      <c r="M483" s="169">
        <f t="shared" si="316"/>
        <v>0</v>
      </c>
      <c r="N483" s="16">
        <f>'БА в тыс. руб.'!I483*1000</f>
        <v>3997750</v>
      </c>
      <c r="O483" s="169">
        <f t="shared" si="317"/>
        <v>0</v>
      </c>
    </row>
    <row r="484" spans="1:15" s="30" customFormat="1">
      <c r="A484" s="13" t="s">
        <v>93</v>
      </c>
      <c r="B484" s="25" t="s">
        <v>69</v>
      </c>
      <c r="C484" s="26" t="s">
        <v>71</v>
      </c>
      <c r="D484" s="26" t="s">
        <v>66</v>
      </c>
      <c r="E484" s="26" t="s">
        <v>348</v>
      </c>
      <c r="F484" s="26" t="s">
        <v>20</v>
      </c>
      <c r="G484" s="27">
        <f>G485</f>
        <v>38119870</v>
      </c>
      <c r="H484" s="27">
        <f t="shared" ref="H484:I484" si="337">H485</f>
        <v>38119870</v>
      </c>
      <c r="I484" s="27">
        <f t="shared" si="337"/>
        <v>38119870</v>
      </c>
      <c r="J484" s="16">
        <f>'БА в тыс. руб.'!G484*1000</f>
        <v>38119870</v>
      </c>
      <c r="K484" s="169">
        <f t="shared" si="315"/>
        <v>0</v>
      </c>
      <c r="L484" s="16">
        <f>'БА в тыс. руб.'!H484*1000</f>
        <v>38119870</v>
      </c>
      <c r="M484" s="169">
        <f t="shared" si="316"/>
        <v>0</v>
      </c>
      <c r="N484" s="16">
        <f>'БА в тыс. руб.'!I484*1000</f>
        <v>38119870</v>
      </c>
      <c r="O484" s="169">
        <f t="shared" si="317"/>
        <v>0</v>
      </c>
    </row>
    <row r="485" spans="1:15" s="83" customFormat="1" ht="38.25">
      <c r="A485" s="12" t="s">
        <v>1018</v>
      </c>
      <c r="B485" s="25" t="s">
        <v>69</v>
      </c>
      <c r="C485" s="26" t="s">
        <v>71</v>
      </c>
      <c r="D485" s="26" t="s">
        <v>66</v>
      </c>
      <c r="E485" s="26" t="s">
        <v>348</v>
      </c>
      <c r="F485" s="26" t="s">
        <v>16</v>
      </c>
      <c r="G485" s="27">
        <f t="shared" ref="G485" si="338">J485</f>
        <v>38119870</v>
      </c>
      <c r="H485" s="27">
        <f>L485</f>
        <v>38119870</v>
      </c>
      <c r="I485" s="27">
        <f>N485</f>
        <v>38119870</v>
      </c>
      <c r="J485" s="16">
        <f>'БА в тыс. руб.'!G485*1000</f>
        <v>38119870</v>
      </c>
      <c r="K485" s="169">
        <f t="shared" si="315"/>
        <v>0</v>
      </c>
      <c r="L485" s="16">
        <f>'БА в тыс. руб.'!H485*1000</f>
        <v>38119870</v>
      </c>
      <c r="M485" s="169">
        <f t="shared" si="316"/>
        <v>0</v>
      </c>
      <c r="N485" s="16">
        <f>'БА в тыс. руб.'!I485*1000</f>
        <v>38119870</v>
      </c>
      <c r="O485" s="169">
        <f t="shared" si="317"/>
        <v>0</v>
      </c>
    </row>
    <row r="486" spans="1:15" s="30" customFormat="1" ht="114.75">
      <c r="A486" s="12" t="s">
        <v>349</v>
      </c>
      <c r="B486" s="25" t="s">
        <v>69</v>
      </c>
      <c r="C486" s="26" t="s">
        <v>71</v>
      </c>
      <c r="D486" s="26" t="s">
        <v>66</v>
      </c>
      <c r="E486" s="26" t="s">
        <v>350</v>
      </c>
      <c r="F486" s="26" t="s">
        <v>58</v>
      </c>
      <c r="G486" s="27">
        <f>G487+G490+G492+G494</f>
        <v>1089810290</v>
      </c>
      <c r="H486" s="27">
        <f>H487+H490+H492+H494</f>
        <v>926709410</v>
      </c>
      <c r="I486" s="27">
        <f>I487+I490+I492+I494</f>
        <v>1020669510</v>
      </c>
      <c r="J486" s="16">
        <f>'БА в тыс. руб.'!G486*1000</f>
        <v>1089810290</v>
      </c>
      <c r="K486" s="169">
        <f t="shared" si="315"/>
        <v>0</v>
      </c>
      <c r="L486" s="16">
        <f>'БА в тыс. руб.'!H486*1000</f>
        <v>926709410</v>
      </c>
      <c r="M486" s="169">
        <f t="shared" si="316"/>
        <v>0</v>
      </c>
      <c r="N486" s="16">
        <f>'БА в тыс. руб.'!I486*1000</f>
        <v>1020669510</v>
      </c>
      <c r="O486" s="169">
        <f t="shared" si="317"/>
        <v>0</v>
      </c>
    </row>
    <row r="487" spans="1:15" s="30" customFormat="1">
      <c r="A487" s="12" t="s">
        <v>106</v>
      </c>
      <c r="B487" s="25" t="s">
        <v>69</v>
      </c>
      <c r="C487" s="26" t="s">
        <v>71</v>
      </c>
      <c r="D487" s="26" t="s">
        <v>66</v>
      </c>
      <c r="E487" s="26" t="s">
        <v>350</v>
      </c>
      <c r="F487" s="26" t="s">
        <v>121</v>
      </c>
      <c r="G487" s="27">
        <f>SUM(G488:G489)</f>
        <v>11605660</v>
      </c>
      <c r="H487" s="27">
        <f t="shared" ref="H487:I487" si="339">SUM(H488:H489)</f>
        <v>11605660</v>
      </c>
      <c r="I487" s="27">
        <f t="shared" si="339"/>
        <v>11605660</v>
      </c>
      <c r="J487" s="16">
        <f>'БА в тыс. руб.'!G487*1000</f>
        <v>11605660</v>
      </c>
      <c r="K487" s="169">
        <f t="shared" si="315"/>
        <v>0</v>
      </c>
      <c r="L487" s="16">
        <f>'БА в тыс. руб.'!H487*1000</f>
        <v>11605660</v>
      </c>
      <c r="M487" s="169">
        <f t="shared" si="316"/>
        <v>0</v>
      </c>
      <c r="N487" s="16">
        <f>'БА в тыс. руб.'!I487*1000</f>
        <v>11605660</v>
      </c>
      <c r="O487" s="169">
        <f t="shared" si="317"/>
        <v>0</v>
      </c>
    </row>
    <row r="488" spans="1:15" s="83" customFormat="1">
      <c r="A488" s="12" t="s">
        <v>932</v>
      </c>
      <c r="B488" s="25" t="s">
        <v>69</v>
      </c>
      <c r="C488" s="26" t="s">
        <v>71</v>
      </c>
      <c r="D488" s="26" t="s">
        <v>66</v>
      </c>
      <c r="E488" s="26" t="s">
        <v>350</v>
      </c>
      <c r="F488" s="26" t="s">
        <v>1056</v>
      </c>
      <c r="G488" s="27">
        <f t="shared" ref="G488:G489" si="340">J488</f>
        <v>8913720</v>
      </c>
      <c r="H488" s="27">
        <f t="shared" ref="H488:H489" si="341">L488</f>
        <v>8913720</v>
      </c>
      <c r="I488" s="27">
        <f t="shared" ref="I488:I489" si="342">N488</f>
        <v>8913720</v>
      </c>
      <c r="J488" s="16">
        <f>'БА в тыс. руб.'!G488*1000</f>
        <v>8913720</v>
      </c>
      <c r="K488" s="169">
        <f t="shared" si="315"/>
        <v>0</v>
      </c>
      <c r="L488" s="16">
        <f>'БА в тыс. руб.'!H488*1000</f>
        <v>8913720</v>
      </c>
      <c r="M488" s="169">
        <f t="shared" si="316"/>
        <v>0</v>
      </c>
      <c r="N488" s="16">
        <f>'БА в тыс. руб.'!I488*1000</f>
        <v>8913720</v>
      </c>
      <c r="O488" s="169">
        <f t="shared" si="317"/>
        <v>0</v>
      </c>
    </row>
    <row r="489" spans="1:15" s="83" customFormat="1" ht="38.25">
      <c r="A489" s="12" t="s">
        <v>935</v>
      </c>
      <c r="B489" s="25" t="s">
        <v>69</v>
      </c>
      <c r="C489" s="26" t="s">
        <v>71</v>
      </c>
      <c r="D489" s="26" t="s">
        <v>66</v>
      </c>
      <c r="E489" s="26" t="s">
        <v>350</v>
      </c>
      <c r="F489" s="26" t="s">
        <v>1057</v>
      </c>
      <c r="G489" s="27">
        <f t="shared" si="340"/>
        <v>2691940</v>
      </c>
      <c r="H489" s="27">
        <f t="shared" si="341"/>
        <v>2691940</v>
      </c>
      <c r="I489" s="27">
        <f t="shared" si="342"/>
        <v>2691940</v>
      </c>
      <c r="J489" s="16">
        <f>'БА в тыс. руб.'!G489*1000</f>
        <v>2691940</v>
      </c>
      <c r="K489" s="169">
        <f t="shared" si="315"/>
        <v>0</v>
      </c>
      <c r="L489" s="16">
        <f>'БА в тыс. руб.'!H489*1000</f>
        <v>2691940</v>
      </c>
      <c r="M489" s="169">
        <f t="shared" si="316"/>
        <v>0</v>
      </c>
      <c r="N489" s="16">
        <f>'БА в тыс. руб.'!I489*1000</f>
        <v>2691940</v>
      </c>
      <c r="O489" s="169">
        <f t="shared" si="317"/>
        <v>0</v>
      </c>
    </row>
    <row r="490" spans="1:15" s="30" customFormat="1">
      <c r="A490" s="13" t="s">
        <v>92</v>
      </c>
      <c r="B490" s="25" t="s">
        <v>69</v>
      </c>
      <c r="C490" s="26" t="s">
        <v>71</v>
      </c>
      <c r="D490" s="26" t="s">
        <v>66</v>
      </c>
      <c r="E490" s="26" t="s">
        <v>350</v>
      </c>
      <c r="F490" s="26" t="s">
        <v>138</v>
      </c>
      <c r="G490" s="27">
        <f>G491</f>
        <v>975154190</v>
      </c>
      <c r="H490" s="27">
        <f t="shared" ref="H490:I490" si="343">H491</f>
        <v>812053310</v>
      </c>
      <c r="I490" s="27">
        <f t="shared" si="343"/>
        <v>906013410</v>
      </c>
      <c r="J490" s="16">
        <f>'БА в тыс. руб.'!G490*1000</f>
        <v>975154190</v>
      </c>
      <c r="K490" s="169">
        <f t="shared" si="315"/>
        <v>0</v>
      </c>
      <c r="L490" s="16">
        <f>'БА в тыс. руб.'!H490*1000</f>
        <v>812053310</v>
      </c>
      <c r="M490" s="169">
        <f t="shared" si="316"/>
        <v>0</v>
      </c>
      <c r="N490" s="16">
        <f>'БА в тыс. руб.'!I490*1000</f>
        <v>906013410</v>
      </c>
      <c r="O490" s="169">
        <f t="shared" si="317"/>
        <v>0</v>
      </c>
    </row>
    <row r="491" spans="1:15" s="83" customFormat="1" ht="38.25">
      <c r="A491" s="12" t="s">
        <v>1015</v>
      </c>
      <c r="B491" s="25" t="s">
        <v>69</v>
      </c>
      <c r="C491" s="26" t="s">
        <v>71</v>
      </c>
      <c r="D491" s="26" t="s">
        <v>66</v>
      </c>
      <c r="E491" s="26" t="s">
        <v>350</v>
      </c>
      <c r="F491" s="26" t="s">
        <v>67</v>
      </c>
      <c r="G491" s="27">
        <f t="shared" ref="G491" si="344">J491</f>
        <v>975154190</v>
      </c>
      <c r="H491" s="27">
        <f>L491</f>
        <v>812053310</v>
      </c>
      <c r="I491" s="27">
        <f>N491</f>
        <v>906013410</v>
      </c>
      <c r="J491" s="16">
        <f>'БА в тыс. руб.'!G491*1000</f>
        <v>975154190</v>
      </c>
      <c r="K491" s="169">
        <f t="shared" si="315"/>
        <v>0</v>
      </c>
      <c r="L491" s="16">
        <f>'БА в тыс. руб.'!H491*1000</f>
        <v>812053310</v>
      </c>
      <c r="M491" s="169">
        <f t="shared" si="316"/>
        <v>0</v>
      </c>
      <c r="N491" s="16">
        <f>'БА в тыс. руб.'!I491*1000</f>
        <v>906013410</v>
      </c>
      <c r="O491" s="169">
        <f t="shared" si="317"/>
        <v>0</v>
      </c>
    </row>
    <row r="492" spans="1:15" s="30" customFormat="1">
      <c r="A492" s="13" t="s">
        <v>93</v>
      </c>
      <c r="B492" s="25" t="s">
        <v>69</v>
      </c>
      <c r="C492" s="26" t="s">
        <v>71</v>
      </c>
      <c r="D492" s="26" t="s">
        <v>66</v>
      </c>
      <c r="E492" s="26" t="s">
        <v>350</v>
      </c>
      <c r="F492" s="26" t="s">
        <v>20</v>
      </c>
      <c r="G492" s="27">
        <f>G493</f>
        <v>98318600</v>
      </c>
      <c r="H492" s="27">
        <f t="shared" ref="H492:I492" si="345">H493</f>
        <v>98318600</v>
      </c>
      <c r="I492" s="27">
        <f t="shared" si="345"/>
        <v>98318600</v>
      </c>
      <c r="J492" s="16">
        <f>'БА в тыс. руб.'!G492*1000</f>
        <v>98318600</v>
      </c>
      <c r="K492" s="169">
        <f t="shared" si="315"/>
        <v>0</v>
      </c>
      <c r="L492" s="16">
        <f>'БА в тыс. руб.'!H492*1000</f>
        <v>98318600</v>
      </c>
      <c r="M492" s="169">
        <f t="shared" si="316"/>
        <v>0</v>
      </c>
      <c r="N492" s="16">
        <f>'БА в тыс. руб.'!I492*1000</f>
        <v>98318600</v>
      </c>
      <c r="O492" s="169">
        <f t="shared" si="317"/>
        <v>0</v>
      </c>
    </row>
    <row r="493" spans="1:15" s="83" customFormat="1" ht="38.25">
      <c r="A493" s="12" t="s">
        <v>1018</v>
      </c>
      <c r="B493" s="25" t="s">
        <v>69</v>
      </c>
      <c r="C493" s="26" t="s">
        <v>71</v>
      </c>
      <c r="D493" s="26" t="s">
        <v>66</v>
      </c>
      <c r="E493" s="26" t="s">
        <v>350</v>
      </c>
      <c r="F493" s="26" t="s">
        <v>16</v>
      </c>
      <c r="G493" s="27">
        <f t="shared" ref="G493" si="346">J493</f>
        <v>98318600</v>
      </c>
      <c r="H493" s="27">
        <f>L493</f>
        <v>98318600</v>
      </c>
      <c r="I493" s="27">
        <f>N493</f>
        <v>98318600</v>
      </c>
      <c r="J493" s="16">
        <f>'БА в тыс. руб.'!G493*1000</f>
        <v>98318600</v>
      </c>
      <c r="K493" s="169">
        <f t="shared" si="315"/>
        <v>0</v>
      </c>
      <c r="L493" s="16">
        <f>'БА в тыс. руб.'!H493*1000</f>
        <v>98318600</v>
      </c>
      <c r="M493" s="169">
        <f t="shared" si="316"/>
        <v>0</v>
      </c>
      <c r="N493" s="16">
        <f>'БА в тыс. руб.'!I493*1000</f>
        <v>98318600</v>
      </c>
      <c r="O493" s="169">
        <f t="shared" si="317"/>
        <v>0</v>
      </c>
    </row>
    <row r="494" spans="1:15" s="30" customFormat="1" ht="25.5">
      <c r="A494" s="11" t="s">
        <v>111</v>
      </c>
      <c r="B494" s="25" t="s">
        <v>69</v>
      </c>
      <c r="C494" s="26" t="s">
        <v>71</v>
      </c>
      <c r="D494" s="26" t="s">
        <v>66</v>
      </c>
      <c r="E494" s="26" t="s">
        <v>350</v>
      </c>
      <c r="F494" s="26" t="s">
        <v>104</v>
      </c>
      <c r="G494" s="27">
        <f>G495</f>
        <v>4731840</v>
      </c>
      <c r="H494" s="27">
        <f t="shared" ref="H494:I494" si="347">H495</f>
        <v>4731840</v>
      </c>
      <c r="I494" s="27">
        <f t="shared" si="347"/>
        <v>4731840</v>
      </c>
      <c r="J494" s="16">
        <f>'БА в тыс. руб.'!G494*1000</f>
        <v>4731840</v>
      </c>
      <c r="K494" s="169">
        <f t="shared" si="315"/>
        <v>0</v>
      </c>
      <c r="L494" s="16">
        <f>'БА в тыс. руб.'!H494*1000</f>
        <v>4731840</v>
      </c>
      <c r="M494" s="169">
        <f t="shared" si="316"/>
        <v>0</v>
      </c>
      <c r="N494" s="16">
        <f>'БА в тыс. руб.'!I494*1000</f>
        <v>4731840</v>
      </c>
      <c r="O494" s="169">
        <f t="shared" si="317"/>
        <v>0</v>
      </c>
    </row>
    <row r="495" spans="1:15" s="83" customFormat="1" ht="76.5">
      <c r="A495" s="12" t="s">
        <v>1048</v>
      </c>
      <c r="B495" s="25" t="s">
        <v>69</v>
      </c>
      <c r="C495" s="26" t="s">
        <v>71</v>
      </c>
      <c r="D495" s="26" t="s">
        <v>66</v>
      </c>
      <c r="E495" s="26" t="s">
        <v>350</v>
      </c>
      <c r="F495" s="26" t="s">
        <v>1055</v>
      </c>
      <c r="G495" s="27">
        <f t="shared" ref="G495" si="348">J495</f>
        <v>4731840</v>
      </c>
      <c r="H495" s="27">
        <f>L495</f>
        <v>4731840</v>
      </c>
      <c r="I495" s="27">
        <f>N495</f>
        <v>4731840</v>
      </c>
      <c r="J495" s="16">
        <f>'БА в тыс. руб.'!G495*1000</f>
        <v>4731840</v>
      </c>
      <c r="K495" s="169">
        <f t="shared" si="315"/>
        <v>0</v>
      </c>
      <c r="L495" s="16">
        <f>'БА в тыс. руб.'!H495*1000</f>
        <v>4731840</v>
      </c>
      <c r="M495" s="169">
        <f t="shared" si="316"/>
        <v>0</v>
      </c>
      <c r="N495" s="16">
        <f>'БА в тыс. руб.'!I495*1000</f>
        <v>4731840</v>
      </c>
      <c r="O495" s="169">
        <f t="shared" si="317"/>
        <v>0</v>
      </c>
    </row>
    <row r="496" spans="1:15" s="30" customFormat="1" ht="51">
      <c r="A496" s="11" t="s">
        <v>629</v>
      </c>
      <c r="B496" s="25" t="s">
        <v>69</v>
      </c>
      <c r="C496" s="26" t="s">
        <v>71</v>
      </c>
      <c r="D496" s="26" t="s">
        <v>66</v>
      </c>
      <c r="E496" s="26" t="s">
        <v>337</v>
      </c>
      <c r="F496" s="26" t="s">
        <v>58</v>
      </c>
      <c r="G496" s="27">
        <f t="shared" ref="G496:I498" si="349">G497</f>
        <v>11338200</v>
      </c>
      <c r="H496" s="27">
        <f t="shared" si="349"/>
        <v>4000000</v>
      </c>
      <c r="I496" s="27">
        <f t="shared" si="349"/>
        <v>4000000</v>
      </c>
      <c r="J496" s="16">
        <f>'БА в тыс. руб.'!G496*1000</f>
        <v>11338200</v>
      </c>
      <c r="K496" s="169">
        <f t="shared" si="315"/>
        <v>0</v>
      </c>
      <c r="L496" s="16">
        <f>'БА в тыс. руб.'!H496*1000</f>
        <v>4000000</v>
      </c>
      <c r="M496" s="169">
        <f t="shared" si="316"/>
        <v>0</v>
      </c>
      <c r="N496" s="16">
        <f>'БА в тыс. руб.'!I496*1000</f>
        <v>4000000</v>
      </c>
      <c r="O496" s="169">
        <f t="shared" si="317"/>
        <v>0</v>
      </c>
    </row>
    <row r="497" spans="1:15" s="30" customFormat="1" ht="25.5">
      <c r="A497" s="13" t="s">
        <v>247</v>
      </c>
      <c r="B497" s="25" t="s">
        <v>69</v>
      </c>
      <c r="C497" s="26" t="s">
        <v>71</v>
      </c>
      <c r="D497" s="26" t="s">
        <v>66</v>
      </c>
      <c r="E497" s="26" t="s">
        <v>338</v>
      </c>
      <c r="F497" s="26" t="s">
        <v>58</v>
      </c>
      <c r="G497" s="27">
        <f t="shared" si="349"/>
        <v>11338200</v>
      </c>
      <c r="H497" s="27">
        <f t="shared" si="349"/>
        <v>4000000</v>
      </c>
      <c r="I497" s="27">
        <f t="shared" si="349"/>
        <v>4000000</v>
      </c>
      <c r="J497" s="16">
        <f>'БА в тыс. руб.'!G497*1000</f>
        <v>11338200</v>
      </c>
      <c r="K497" s="169">
        <f t="shared" si="315"/>
        <v>0</v>
      </c>
      <c r="L497" s="16">
        <f>'БА в тыс. руб.'!H497*1000</f>
        <v>4000000</v>
      </c>
      <c r="M497" s="169">
        <f t="shared" si="316"/>
        <v>0</v>
      </c>
      <c r="N497" s="16">
        <f>'БА в тыс. руб.'!I497*1000</f>
        <v>4000000</v>
      </c>
      <c r="O497" s="169">
        <f t="shared" si="317"/>
        <v>0</v>
      </c>
    </row>
    <row r="498" spans="1:15" s="30" customFormat="1">
      <c r="A498" s="13" t="s">
        <v>92</v>
      </c>
      <c r="B498" s="25" t="s">
        <v>69</v>
      </c>
      <c r="C498" s="26" t="s">
        <v>71</v>
      </c>
      <c r="D498" s="26" t="s">
        <v>66</v>
      </c>
      <c r="E498" s="26" t="s">
        <v>338</v>
      </c>
      <c r="F498" s="26" t="s">
        <v>138</v>
      </c>
      <c r="G498" s="27">
        <f>G499</f>
        <v>11338200</v>
      </c>
      <c r="H498" s="27">
        <f t="shared" si="349"/>
        <v>4000000</v>
      </c>
      <c r="I498" s="27">
        <f t="shared" si="349"/>
        <v>4000000</v>
      </c>
      <c r="J498" s="16">
        <f>'БА в тыс. руб.'!G498*1000</f>
        <v>11338200</v>
      </c>
      <c r="K498" s="169">
        <f t="shared" si="315"/>
        <v>0</v>
      </c>
      <c r="L498" s="16">
        <f>'БА в тыс. руб.'!H498*1000</f>
        <v>4000000</v>
      </c>
      <c r="M498" s="169">
        <f t="shared" si="316"/>
        <v>0</v>
      </c>
      <c r="N498" s="16">
        <f>'БА в тыс. руб.'!I498*1000</f>
        <v>4000000</v>
      </c>
      <c r="O498" s="169">
        <f t="shared" si="317"/>
        <v>0</v>
      </c>
    </row>
    <row r="499" spans="1:15" s="83" customFormat="1">
      <c r="A499" s="12" t="s">
        <v>1016</v>
      </c>
      <c r="B499" s="25" t="s">
        <v>69</v>
      </c>
      <c r="C499" s="26" t="s">
        <v>71</v>
      </c>
      <c r="D499" s="26" t="s">
        <v>66</v>
      </c>
      <c r="E499" s="26" t="s">
        <v>338</v>
      </c>
      <c r="F499" s="26" t="s">
        <v>1046</v>
      </c>
      <c r="G499" s="27">
        <f t="shared" ref="G499" si="350">J499</f>
        <v>11338200</v>
      </c>
      <c r="H499" s="27">
        <f>L499</f>
        <v>4000000</v>
      </c>
      <c r="I499" s="27">
        <f>N499</f>
        <v>4000000</v>
      </c>
      <c r="J499" s="16">
        <f>'БА в тыс. руб.'!G499*1000</f>
        <v>11338200</v>
      </c>
      <c r="K499" s="169">
        <f t="shared" si="315"/>
        <v>0</v>
      </c>
      <c r="L499" s="16">
        <f>'БА в тыс. руб.'!H499*1000</f>
        <v>4000000</v>
      </c>
      <c r="M499" s="169">
        <f t="shared" si="316"/>
        <v>0</v>
      </c>
      <c r="N499" s="16">
        <f>'БА в тыс. руб.'!I499*1000</f>
        <v>4000000</v>
      </c>
      <c r="O499" s="169">
        <f t="shared" si="317"/>
        <v>0</v>
      </c>
    </row>
    <row r="500" spans="1:15" s="30" customFormat="1" ht="25.5">
      <c r="A500" s="13" t="s">
        <v>724</v>
      </c>
      <c r="B500" s="25" t="s">
        <v>69</v>
      </c>
      <c r="C500" s="26" t="s">
        <v>71</v>
      </c>
      <c r="D500" s="26" t="s">
        <v>66</v>
      </c>
      <c r="E500" s="26" t="s">
        <v>562</v>
      </c>
      <c r="F500" s="26" t="s">
        <v>58</v>
      </c>
      <c r="G500" s="27">
        <f>G501</f>
        <v>3720000</v>
      </c>
      <c r="H500" s="27">
        <f t="shared" ref="H500:I503" si="351">H501</f>
        <v>6819620</v>
      </c>
      <c r="I500" s="27">
        <f t="shared" si="351"/>
        <v>0</v>
      </c>
      <c r="J500" s="16">
        <f>'БА в тыс. руб.'!G500*1000</f>
        <v>3720000</v>
      </c>
      <c r="K500" s="169">
        <f t="shared" si="315"/>
        <v>0</v>
      </c>
      <c r="L500" s="16">
        <f>'БА в тыс. руб.'!H500*1000</f>
        <v>6819620</v>
      </c>
      <c r="M500" s="169">
        <f t="shared" si="316"/>
        <v>0</v>
      </c>
      <c r="N500" s="16">
        <f>'БА в тыс. руб.'!I500*1000</f>
        <v>0</v>
      </c>
      <c r="O500" s="169">
        <f t="shared" si="317"/>
        <v>0</v>
      </c>
    </row>
    <row r="501" spans="1:15" s="30" customFormat="1" ht="38.25">
      <c r="A501" s="13" t="s">
        <v>642</v>
      </c>
      <c r="B501" s="25" t="s">
        <v>69</v>
      </c>
      <c r="C501" s="26" t="s">
        <v>71</v>
      </c>
      <c r="D501" s="26" t="s">
        <v>66</v>
      </c>
      <c r="E501" s="26" t="s">
        <v>563</v>
      </c>
      <c r="F501" s="26" t="s">
        <v>58</v>
      </c>
      <c r="G501" s="27">
        <f>G502</f>
        <v>3720000</v>
      </c>
      <c r="H501" s="27">
        <f t="shared" si="351"/>
        <v>6819620</v>
      </c>
      <c r="I501" s="27">
        <f t="shared" si="351"/>
        <v>0</v>
      </c>
      <c r="J501" s="16">
        <f>'БА в тыс. руб.'!G501*1000</f>
        <v>3720000</v>
      </c>
      <c r="K501" s="169">
        <f t="shared" si="315"/>
        <v>0</v>
      </c>
      <c r="L501" s="16">
        <f>'БА в тыс. руб.'!H501*1000</f>
        <v>6819620</v>
      </c>
      <c r="M501" s="169">
        <f t="shared" si="316"/>
        <v>0</v>
      </c>
      <c r="N501" s="16">
        <f>'БА в тыс. руб.'!I501*1000</f>
        <v>0</v>
      </c>
      <c r="O501" s="169">
        <f t="shared" si="317"/>
        <v>0</v>
      </c>
    </row>
    <row r="502" spans="1:15" s="30" customFormat="1" ht="38.25">
      <c r="A502" s="13" t="s">
        <v>154</v>
      </c>
      <c r="B502" s="25" t="s">
        <v>69</v>
      </c>
      <c r="C502" s="26" t="s">
        <v>71</v>
      </c>
      <c r="D502" s="26" t="s">
        <v>66</v>
      </c>
      <c r="E502" s="26" t="s">
        <v>564</v>
      </c>
      <c r="F502" s="26" t="s">
        <v>58</v>
      </c>
      <c r="G502" s="27">
        <f>G503</f>
        <v>3720000</v>
      </c>
      <c r="H502" s="27">
        <f t="shared" si="351"/>
        <v>6819620</v>
      </c>
      <c r="I502" s="27">
        <f t="shared" si="351"/>
        <v>0</v>
      </c>
      <c r="J502" s="16">
        <f>'БА в тыс. руб.'!G502*1000</f>
        <v>3720000</v>
      </c>
      <c r="K502" s="169">
        <f t="shared" si="315"/>
        <v>0</v>
      </c>
      <c r="L502" s="16">
        <f>'БА в тыс. руб.'!H502*1000</f>
        <v>6819620</v>
      </c>
      <c r="M502" s="169">
        <f t="shared" si="316"/>
        <v>0</v>
      </c>
      <c r="N502" s="16">
        <f>'БА в тыс. руб.'!I502*1000</f>
        <v>0</v>
      </c>
      <c r="O502" s="169">
        <f t="shared" si="317"/>
        <v>0</v>
      </c>
    </row>
    <row r="503" spans="1:15" s="30" customFormat="1" ht="89.25">
      <c r="A503" s="13" t="s">
        <v>868</v>
      </c>
      <c r="B503" s="25" t="s">
        <v>69</v>
      </c>
      <c r="C503" s="26" t="s">
        <v>71</v>
      </c>
      <c r="D503" s="26" t="s">
        <v>66</v>
      </c>
      <c r="E503" s="26" t="s">
        <v>564</v>
      </c>
      <c r="F503" s="26" t="s">
        <v>848</v>
      </c>
      <c r="G503" s="27">
        <f>G504</f>
        <v>3720000</v>
      </c>
      <c r="H503" s="27">
        <f t="shared" si="351"/>
        <v>6819620</v>
      </c>
      <c r="I503" s="27">
        <f t="shared" si="351"/>
        <v>0</v>
      </c>
      <c r="J503" s="16">
        <f>'БА в тыс. руб.'!G503*1000</f>
        <v>3720000</v>
      </c>
      <c r="K503" s="169">
        <f t="shared" si="315"/>
        <v>0</v>
      </c>
      <c r="L503" s="16">
        <f>'БА в тыс. руб.'!H503*1000</f>
        <v>6819620</v>
      </c>
      <c r="M503" s="169">
        <f t="shared" si="316"/>
        <v>0</v>
      </c>
      <c r="N503" s="16">
        <f>'БА в тыс. руб.'!I503*1000</f>
        <v>0</v>
      </c>
      <c r="O503" s="169">
        <f t="shared" si="317"/>
        <v>0</v>
      </c>
    </row>
    <row r="504" spans="1:15" s="83" customFormat="1" ht="38.25">
      <c r="A504" s="12" t="s">
        <v>999</v>
      </c>
      <c r="B504" s="25" t="s">
        <v>69</v>
      </c>
      <c r="C504" s="26" t="s">
        <v>71</v>
      </c>
      <c r="D504" s="26" t="s">
        <v>66</v>
      </c>
      <c r="E504" s="26" t="s">
        <v>564</v>
      </c>
      <c r="F504" s="26" t="s">
        <v>1058</v>
      </c>
      <c r="G504" s="27">
        <f t="shared" ref="G504" si="352">J504</f>
        <v>3720000</v>
      </c>
      <c r="H504" s="27">
        <f>L504</f>
        <v>6819620</v>
      </c>
      <c r="I504" s="27">
        <f>N504</f>
        <v>0</v>
      </c>
      <c r="J504" s="16">
        <f>'БА в тыс. руб.'!G504*1000</f>
        <v>3720000</v>
      </c>
      <c r="K504" s="169">
        <f t="shared" si="315"/>
        <v>0</v>
      </c>
      <c r="L504" s="16">
        <f>'БА в тыс. руб.'!H504*1000</f>
        <v>6819620</v>
      </c>
      <c r="M504" s="169">
        <f t="shared" si="316"/>
        <v>0</v>
      </c>
      <c r="N504" s="16">
        <f>'БА в тыс. руб.'!I504*1000</f>
        <v>0</v>
      </c>
      <c r="O504" s="169">
        <f t="shared" si="317"/>
        <v>0</v>
      </c>
    </row>
    <row r="505" spans="1:15" s="30" customFormat="1" ht="38.25">
      <c r="A505" s="12" t="s">
        <v>752</v>
      </c>
      <c r="B505" s="25" t="s">
        <v>69</v>
      </c>
      <c r="C505" s="26" t="s">
        <v>71</v>
      </c>
      <c r="D505" s="26" t="s">
        <v>66</v>
      </c>
      <c r="E505" s="26" t="s">
        <v>249</v>
      </c>
      <c r="F505" s="26" t="s">
        <v>58</v>
      </c>
      <c r="G505" s="27">
        <f>G506+G511</f>
        <v>2235500</v>
      </c>
      <c r="H505" s="27">
        <f>H506+H511</f>
        <v>2011950</v>
      </c>
      <c r="I505" s="27">
        <f>I506+I511</f>
        <v>2011950</v>
      </c>
      <c r="J505" s="16">
        <f>'БА в тыс. руб.'!G505*1000</f>
        <v>2235500</v>
      </c>
      <c r="K505" s="169">
        <f t="shared" si="315"/>
        <v>0</v>
      </c>
      <c r="L505" s="16">
        <f>'БА в тыс. руб.'!H505*1000</f>
        <v>2011950</v>
      </c>
      <c r="M505" s="169">
        <f t="shared" si="316"/>
        <v>0</v>
      </c>
      <c r="N505" s="16">
        <f>'БА в тыс. руб.'!I505*1000</f>
        <v>2011950</v>
      </c>
      <c r="O505" s="169">
        <f t="shared" si="317"/>
        <v>0</v>
      </c>
    </row>
    <row r="506" spans="1:15" s="30" customFormat="1">
      <c r="A506" s="12" t="s">
        <v>754</v>
      </c>
      <c r="B506" s="25" t="s">
        <v>69</v>
      </c>
      <c r="C506" s="26" t="s">
        <v>71</v>
      </c>
      <c r="D506" s="26" t="s">
        <v>66</v>
      </c>
      <c r="E506" s="26" t="s">
        <v>251</v>
      </c>
      <c r="F506" s="26" t="s">
        <v>58</v>
      </c>
      <c r="G506" s="27">
        <f t="shared" ref="G506:I509" si="353">G507</f>
        <v>263500</v>
      </c>
      <c r="H506" s="27">
        <f t="shared" si="353"/>
        <v>237150</v>
      </c>
      <c r="I506" s="27">
        <f t="shared" si="353"/>
        <v>237150</v>
      </c>
      <c r="J506" s="16">
        <f>'БА в тыс. руб.'!G506*1000</f>
        <v>263500</v>
      </c>
      <c r="K506" s="169">
        <f t="shared" si="315"/>
        <v>0</v>
      </c>
      <c r="L506" s="16">
        <f>'БА в тыс. руб.'!H506*1000</f>
        <v>237150</v>
      </c>
      <c r="M506" s="169">
        <f t="shared" si="316"/>
        <v>0</v>
      </c>
      <c r="N506" s="16">
        <f>'БА в тыс. руб.'!I506*1000</f>
        <v>237150</v>
      </c>
      <c r="O506" s="169">
        <f t="shared" si="317"/>
        <v>0</v>
      </c>
    </row>
    <row r="507" spans="1:15" s="30" customFormat="1" ht="38.25">
      <c r="A507" s="12" t="s">
        <v>611</v>
      </c>
      <c r="B507" s="25" t="s">
        <v>69</v>
      </c>
      <c r="C507" s="26" t="s">
        <v>71</v>
      </c>
      <c r="D507" s="26" t="s">
        <v>66</v>
      </c>
      <c r="E507" s="26" t="s">
        <v>252</v>
      </c>
      <c r="F507" s="26" t="s">
        <v>58</v>
      </c>
      <c r="G507" s="27">
        <f t="shared" si="353"/>
        <v>263500</v>
      </c>
      <c r="H507" s="27">
        <f t="shared" si="353"/>
        <v>237150</v>
      </c>
      <c r="I507" s="27">
        <f t="shared" si="353"/>
        <v>237150</v>
      </c>
      <c r="J507" s="16">
        <f>'БА в тыс. руб.'!G507*1000</f>
        <v>263500</v>
      </c>
      <c r="K507" s="169">
        <f t="shared" si="315"/>
        <v>0</v>
      </c>
      <c r="L507" s="16">
        <f>'БА в тыс. руб.'!H507*1000</f>
        <v>237150</v>
      </c>
      <c r="M507" s="169">
        <f t="shared" si="316"/>
        <v>0</v>
      </c>
      <c r="N507" s="16">
        <f>'БА в тыс. руб.'!I507*1000</f>
        <v>237150</v>
      </c>
      <c r="O507" s="169">
        <f t="shared" si="317"/>
        <v>0</v>
      </c>
    </row>
    <row r="508" spans="1:15" s="30" customFormat="1" ht="51">
      <c r="A508" s="34" t="s">
        <v>873</v>
      </c>
      <c r="B508" s="25" t="s">
        <v>69</v>
      </c>
      <c r="C508" s="26" t="s">
        <v>71</v>
      </c>
      <c r="D508" s="26" t="s">
        <v>66</v>
      </c>
      <c r="E508" s="26" t="s">
        <v>253</v>
      </c>
      <c r="F508" s="26" t="s">
        <v>58</v>
      </c>
      <c r="G508" s="27">
        <f t="shared" si="353"/>
        <v>263500</v>
      </c>
      <c r="H508" s="27">
        <f t="shared" si="353"/>
        <v>237150</v>
      </c>
      <c r="I508" s="27">
        <f t="shared" si="353"/>
        <v>237150</v>
      </c>
      <c r="J508" s="16">
        <f>'БА в тыс. руб.'!G508*1000</f>
        <v>263500</v>
      </c>
      <c r="K508" s="169">
        <f t="shared" si="315"/>
        <v>0</v>
      </c>
      <c r="L508" s="16">
        <f>'БА в тыс. руб.'!H508*1000</f>
        <v>237150</v>
      </c>
      <c r="M508" s="169">
        <f t="shared" si="316"/>
        <v>0</v>
      </c>
      <c r="N508" s="16">
        <f>'БА в тыс. руб.'!I508*1000</f>
        <v>237150</v>
      </c>
      <c r="O508" s="169">
        <f t="shared" si="317"/>
        <v>0</v>
      </c>
    </row>
    <row r="509" spans="1:15" s="30" customFormat="1">
      <c r="A509" s="13" t="s">
        <v>92</v>
      </c>
      <c r="B509" s="25" t="s">
        <v>69</v>
      </c>
      <c r="C509" s="26" t="s">
        <v>71</v>
      </c>
      <c r="D509" s="26" t="s">
        <v>66</v>
      </c>
      <c r="E509" s="26" t="s">
        <v>253</v>
      </c>
      <c r="F509" s="26" t="s">
        <v>138</v>
      </c>
      <c r="G509" s="27">
        <f>G510</f>
        <v>263500</v>
      </c>
      <c r="H509" s="27">
        <f t="shared" si="353"/>
        <v>237150</v>
      </c>
      <c r="I509" s="27">
        <f t="shared" si="353"/>
        <v>237150</v>
      </c>
      <c r="J509" s="16">
        <f>'БА в тыс. руб.'!G509*1000</f>
        <v>263500</v>
      </c>
      <c r="K509" s="169">
        <f t="shared" si="315"/>
        <v>0</v>
      </c>
      <c r="L509" s="16">
        <f>'БА в тыс. руб.'!H509*1000</f>
        <v>237150</v>
      </c>
      <c r="M509" s="169">
        <f t="shared" si="316"/>
        <v>0</v>
      </c>
      <c r="N509" s="16">
        <f>'БА в тыс. руб.'!I509*1000</f>
        <v>237150</v>
      </c>
      <c r="O509" s="169">
        <f t="shared" si="317"/>
        <v>0</v>
      </c>
    </row>
    <row r="510" spans="1:15" s="83" customFormat="1">
      <c r="A510" s="12" t="s">
        <v>1016</v>
      </c>
      <c r="B510" s="25" t="s">
        <v>69</v>
      </c>
      <c r="C510" s="26" t="s">
        <v>71</v>
      </c>
      <c r="D510" s="26" t="s">
        <v>66</v>
      </c>
      <c r="E510" s="26" t="s">
        <v>253</v>
      </c>
      <c r="F510" s="26" t="s">
        <v>1046</v>
      </c>
      <c r="G510" s="27">
        <f t="shared" ref="G510" si="354">J510</f>
        <v>263500</v>
      </c>
      <c r="H510" s="27">
        <f>L510</f>
        <v>237150</v>
      </c>
      <c r="I510" s="27">
        <f>N510</f>
        <v>237150</v>
      </c>
      <c r="J510" s="16">
        <f>'БА в тыс. руб.'!G510*1000</f>
        <v>263500</v>
      </c>
      <c r="K510" s="169">
        <f t="shared" si="315"/>
        <v>0</v>
      </c>
      <c r="L510" s="16">
        <f>'БА в тыс. руб.'!H510*1000</f>
        <v>237150</v>
      </c>
      <c r="M510" s="169">
        <f t="shared" si="316"/>
        <v>0</v>
      </c>
      <c r="N510" s="16">
        <f>'БА в тыс. руб.'!I510*1000</f>
        <v>237150</v>
      </c>
      <c r="O510" s="169">
        <f t="shared" si="317"/>
        <v>0</v>
      </c>
    </row>
    <row r="511" spans="1:15" s="30" customFormat="1" ht="25.5">
      <c r="A511" s="11" t="s">
        <v>755</v>
      </c>
      <c r="B511" s="25" t="s">
        <v>69</v>
      </c>
      <c r="C511" s="26" t="s">
        <v>71</v>
      </c>
      <c r="D511" s="26" t="s">
        <v>66</v>
      </c>
      <c r="E511" s="26" t="s">
        <v>256</v>
      </c>
      <c r="F511" s="26" t="s">
        <v>58</v>
      </c>
      <c r="G511" s="27">
        <f t="shared" ref="G511:I514" si="355">G512</f>
        <v>1972000</v>
      </c>
      <c r="H511" s="27">
        <f t="shared" si="355"/>
        <v>1774800</v>
      </c>
      <c r="I511" s="27">
        <f t="shared" si="355"/>
        <v>1774800</v>
      </c>
      <c r="J511" s="16">
        <f>'БА в тыс. руб.'!G511*1000</f>
        <v>1972000</v>
      </c>
      <c r="K511" s="169">
        <f t="shared" si="315"/>
        <v>0</v>
      </c>
      <c r="L511" s="16">
        <f>'БА в тыс. руб.'!H511*1000</f>
        <v>1774800</v>
      </c>
      <c r="M511" s="169">
        <f t="shared" si="316"/>
        <v>0</v>
      </c>
      <c r="N511" s="16">
        <f>'БА в тыс. руб.'!I511*1000</f>
        <v>1774800</v>
      </c>
      <c r="O511" s="169">
        <f t="shared" si="317"/>
        <v>0</v>
      </c>
    </row>
    <row r="512" spans="1:15" s="30" customFormat="1" ht="25.5">
      <c r="A512" s="11" t="s">
        <v>616</v>
      </c>
      <c r="B512" s="25" t="s">
        <v>69</v>
      </c>
      <c r="C512" s="26" t="s">
        <v>71</v>
      </c>
      <c r="D512" s="26" t="s">
        <v>66</v>
      </c>
      <c r="E512" s="26" t="s">
        <v>321</v>
      </c>
      <c r="F512" s="26" t="s">
        <v>58</v>
      </c>
      <c r="G512" s="27">
        <f t="shared" si="355"/>
        <v>1972000</v>
      </c>
      <c r="H512" s="27">
        <f t="shared" si="355"/>
        <v>1774800</v>
      </c>
      <c r="I512" s="27">
        <f t="shared" si="355"/>
        <v>1774800</v>
      </c>
      <c r="J512" s="16">
        <f>'БА в тыс. руб.'!G512*1000</f>
        <v>1972000</v>
      </c>
      <c r="K512" s="169">
        <f t="shared" si="315"/>
        <v>0</v>
      </c>
      <c r="L512" s="16">
        <f>'БА в тыс. руб.'!H512*1000</f>
        <v>1774800</v>
      </c>
      <c r="M512" s="169">
        <f t="shared" si="316"/>
        <v>0</v>
      </c>
      <c r="N512" s="16">
        <f>'БА в тыс. руб.'!I512*1000</f>
        <v>1774800</v>
      </c>
      <c r="O512" s="169">
        <f t="shared" si="317"/>
        <v>0</v>
      </c>
    </row>
    <row r="513" spans="1:15" s="30" customFormat="1" ht="25.5">
      <c r="A513" s="11" t="s">
        <v>133</v>
      </c>
      <c r="B513" s="25" t="s">
        <v>69</v>
      </c>
      <c r="C513" s="26" t="s">
        <v>71</v>
      </c>
      <c r="D513" s="26" t="s">
        <v>66</v>
      </c>
      <c r="E513" s="26" t="s">
        <v>322</v>
      </c>
      <c r="F513" s="26" t="s">
        <v>58</v>
      </c>
      <c r="G513" s="27">
        <f t="shared" si="355"/>
        <v>1972000</v>
      </c>
      <c r="H513" s="27">
        <f t="shared" si="355"/>
        <v>1774800</v>
      </c>
      <c r="I513" s="27">
        <f t="shared" si="355"/>
        <v>1774800</v>
      </c>
      <c r="J513" s="16">
        <f>'БА в тыс. руб.'!G513*1000</f>
        <v>1972000</v>
      </c>
      <c r="K513" s="169">
        <f t="shared" si="315"/>
        <v>0</v>
      </c>
      <c r="L513" s="16">
        <f>'БА в тыс. руб.'!H513*1000</f>
        <v>1774800</v>
      </c>
      <c r="M513" s="169">
        <f t="shared" si="316"/>
        <v>0</v>
      </c>
      <c r="N513" s="16">
        <f>'БА в тыс. руб.'!I513*1000</f>
        <v>1774800</v>
      </c>
      <c r="O513" s="169">
        <f t="shared" si="317"/>
        <v>0</v>
      </c>
    </row>
    <row r="514" spans="1:15" s="30" customFormat="1">
      <c r="A514" s="13" t="s">
        <v>92</v>
      </c>
      <c r="B514" s="25" t="s">
        <v>69</v>
      </c>
      <c r="C514" s="26" t="s">
        <v>71</v>
      </c>
      <c r="D514" s="26" t="s">
        <v>66</v>
      </c>
      <c r="E514" s="26" t="s">
        <v>322</v>
      </c>
      <c r="F514" s="26" t="s">
        <v>138</v>
      </c>
      <c r="G514" s="27">
        <f>G515</f>
        <v>1972000</v>
      </c>
      <c r="H514" s="27">
        <f t="shared" si="355"/>
        <v>1774800</v>
      </c>
      <c r="I514" s="27">
        <f t="shared" si="355"/>
        <v>1774800</v>
      </c>
      <c r="J514" s="16">
        <f>'БА в тыс. руб.'!G514*1000</f>
        <v>1972000</v>
      </c>
      <c r="K514" s="169">
        <f t="shared" si="315"/>
        <v>0</v>
      </c>
      <c r="L514" s="16">
        <f>'БА в тыс. руб.'!H514*1000</f>
        <v>1774800</v>
      </c>
      <c r="M514" s="169">
        <f t="shared" si="316"/>
        <v>0</v>
      </c>
      <c r="N514" s="16">
        <f>'БА в тыс. руб.'!I514*1000</f>
        <v>1774800</v>
      </c>
      <c r="O514" s="169">
        <f t="shared" si="317"/>
        <v>0</v>
      </c>
    </row>
    <row r="515" spans="1:15" s="83" customFormat="1">
      <c r="A515" s="12" t="s">
        <v>1016</v>
      </c>
      <c r="B515" s="25" t="s">
        <v>69</v>
      </c>
      <c r="C515" s="26" t="s">
        <v>71</v>
      </c>
      <c r="D515" s="26" t="s">
        <v>66</v>
      </c>
      <c r="E515" s="26" t="s">
        <v>322</v>
      </c>
      <c r="F515" s="26" t="s">
        <v>1046</v>
      </c>
      <c r="G515" s="27">
        <f t="shared" ref="G515" si="356">J515</f>
        <v>1972000</v>
      </c>
      <c r="H515" s="27">
        <f>L515</f>
        <v>1774800</v>
      </c>
      <c r="I515" s="27">
        <f>N515</f>
        <v>1774800</v>
      </c>
      <c r="J515" s="16">
        <f>'БА в тыс. руб.'!G515*1000</f>
        <v>1972000</v>
      </c>
      <c r="K515" s="169">
        <f t="shared" si="315"/>
        <v>0</v>
      </c>
      <c r="L515" s="16">
        <f>'БА в тыс. руб.'!H515*1000</f>
        <v>1774800</v>
      </c>
      <c r="M515" s="169">
        <f t="shared" si="316"/>
        <v>0</v>
      </c>
      <c r="N515" s="16">
        <f>'БА в тыс. руб.'!I515*1000</f>
        <v>1774800</v>
      </c>
      <c r="O515" s="169">
        <f t="shared" si="317"/>
        <v>0</v>
      </c>
    </row>
    <row r="516" spans="1:15" s="30" customFormat="1" ht="63.75">
      <c r="A516" s="11" t="s">
        <v>756</v>
      </c>
      <c r="B516" s="25" t="s">
        <v>69</v>
      </c>
      <c r="C516" s="26" t="s">
        <v>71</v>
      </c>
      <c r="D516" s="26" t="s">
        <v>66</v>
      </c>
      <c r="E516" s="26" t="s">
        <v>339</v>
      </c>
      <c r="F516" s="26" t="s">
        <v>58</v>
      </c>
      <c r="G516" s="27">
        <f t="shared" ref="G516:I518" si="357">G517</f>
        <v>3076060</v>
      </c>
      <c r="H516" s="27">
        <f t="shared" si="357"/>
        <v>2776060</v>
      </c>
      <c r="I516" s="27">
        <f t="shared" si="357"/>
        <v>2776060</v>
      </c>
      <c r="J516" s="16">
        <f>'БА в тыс. руб.'!G516*1000</f>
        <v>3076060</v>
      </c>
      <c r="K516" s="169">
        <f t="shared" si="315"/>
        <v>0</v>
      </c>
      <c r="L516" s="16">
        <f>'БА в тыс. руб.'!H516*1000</f>
        <v>2776060</v>
      </c>
      <c r="M516" s="169">
        <f t="shared" si="316"/>
        <v>0</v>
      </c>
      <c r="N516" s="16">
        <f>'БА в тыс. руб.'!I516*1000</f>
        <v>2776060</v>
      </c>
      <c r="O516" s="169">
        <f t="shared" si="317"/>
        <v>0</v>
      </c>
    </row>
    <row r="517" spans="1:15" s="30" customFormat="1" ht="25.5">
      <c r="A517" s="11" t="s">
        <v>136</v>
      </c>
      <c r="B517" s="25" t="s">
        <v>69</v>
      </c>
      <c r="C517" s="26" t="s">
        <v>71</v>
      </c>
      <c r="D517" s="26" t="s">
        <v>66</v>
      </c>
      <c r="E517" s="26" t="s">
        <v>340</v>
      </c>
      <c r="F517" s="26" t="s">
        <v>58</v>
      </c>
      <c r="G517" s="27">
        <f t="shared" si="357"/>
        <v>3076060</v>
      </c>
      <c r="H517" s="27">
        <f t="shared" si="357"/>
        <v>2776060</v>
      </c>
      <c r="I517" s="27">
        <f t="shared" si="357"/>
        <v>2776060</v>
      </c>
      <c r="J517" s="16">
        <f>'БА в тыс. руб.'!G517*1000</f>
        <v>3076060</v>
      </c>
      <c r="K517" s="169">
        <f t="shared" si="315"/>
        <v>0</v>
      </c>
      <c r="L517" s="16">
        <f>'БА в тыс. руб.'!H517*1000</f>
        <v>2776060</v>
      </c>
      <c r="M517" s="169">
        <f t="shared" si="316"/>
        <v>0</v>
      </c>
      <c r="N517" s="16">
        <f>'БА в тыс. руб.'!I517*1000</f>
        <v>2776060</v>
      </c>
      <c r="O517" s="169">
        <f t="shared" si="317"/>
        <v>0</v>
      </c>
    </row>
    <row r="518" spans="1:15" s="30" customFormat="1" ht="25.5">
      <c r="A518" s="11" t="s">
        <v>667</v>
      </c>
      <c r="B518" s="25" t="s">
        <v>69</v>
      </c>
      <c r="C518" s="26" t="s">
        <v>71</v>
      </c>
      <c r="D518" s="26" t="s">
        <v>66</v>
      </c>
      <c r="E518" s="26" t="s">
        <v>609</v>
      </c>
      <c r="F518" s="26" t="s">
        <v>58</v>
      </c>
      <c r="G518" s="27">
        <f t="shared" si="357"/>
        <v>3076060</v>
      </c>
      <c r="H518" s="27">
        <f t="shared" si="357"/>
        <v>2776060</v>
      </c>
      <c r="I518" s="27">
        <f t="shared" si="357"/>
        <v>2776060</v>
      </c>
      <c r="J518" s="16">
        <f>'БА в тыс. руб.'!G518*1000</f>
        <v>3076060</v>
      </c>
      <c r="K518" s="169">
        <f t="shared" si="315"/>
        <v>0</v>
      </c>
      <c r="L518" s="16">
        <f>'БА в тыс. руб.'!H518*1000</f>
        <v>2776060</v>
      </c>
      <c r="M518" s="169">
        <f t="shared" si="316"/>
        <v>0</v>
      </c>
      <c r="N518" s="16">
        <f>'БА в тыс. руб.'!I518*1000</f>
        <v>2776060</v>
      </c>
      <c r="O518" s="169">
        <f t="shared" si="317"/>
        <v>0</v>
      </c>
    </row>
    <row r="519" spans="1:15" s="30" customFormat="1" ht="38.25">
      <c r="A519" s="11" t="s">
        <v>177</v>
      </c>
      <c r="B519" s="25" t="s">
        <v>69</v>
      </c>
      <c r="C519" s="26" t="s">
        <v>71</v>
      </c>
      <c r="D519" s="26" t="s">
        <v>66</v>
      </c>
      <c r="E519" s="26" t="s">
        <v>610</v>
      </c>
      <c r="F519" s="26" t="s">
        <v>58</v>
      </c>
      <c r="G519" s="27">
        <f>G520+G522</f>
        <v>3076060</v>
      </c>
      <c r="H519" s="27">
        <f>H520+H522</f>
        <v>2776060</v>
      </c>
      <c r="I519" s="27">
        <f>I520+I522</f>
        <v>2776060</v>
      </c>
      <c r="J519" s="16">
        <f>'БА в тыс. руб.'!G519*1000</f>
        <v>3076060</v>
      </c>
      <c r="K519" s="169">
        <f t="shared" si="315"/>
        <v>0</v>
      </c>
      <c r="L519" s="16">
        <f>'БА в тыс. руб.'!H519*1000</f>
        <v>2776060</v>
      </c>
      <c r="M519" s="169">
        <f t="shared" si="316"/>
        <v>0</v>
      </c>
      <c r="N519" s="16">
        <f>'БА в тыс. руб.'!I519*1000</f>
        <v>2776060</v>
      </c>
      <c r="O519" s="169">
        <f t="shared" si="317"/>
        <v>0</v>
      </c>
    </row>
    <row r="520" spans="1:15" s="30" customFormat="1">
      <c r="A520" s="13" t="s">
        <v>92</v>
      </c>
      <c r="B520" s="25" t="s">
        <v>69</v>
      </c>
      <c r="C520" s="26" t="s">
        <v>71</v>
      </c>
      <c r="D520" s="26" t="s">
        <v>66</v>
      </c>
      <c r="E520" s="26" t="s">
        <v>610</v>
      </c>
      <c r="F520" s="26" t="s">
        <v>138</v>
      </c>
      <c r="G520" s="27">
        <f>G521</f>
        <v>2927360</v>
      </c>
      <c r="H520" s="27">
        <f t="shared" ref="H520:I520" si="358">H521</f>
        <v>2627360</v>
      </c>
      <c r="I520" s="27">
        <f t="shared" si="358"/>
        <v>2627360</v>
      </c>
      <c r="J520" s="16">
        <f>'БА в тыс. руб.'!G520*1000</f>
        <v>2927360</v>
      </c>
      <c r="K520" s="169">
        <f t="shared" ref="K520:K583" si="359">J520-G520</f>
        <v>0</v>
      </c>
      <c r="L520" s="16">
        <f>'БА в тыс. руб.'!H520*1000</f>
        <v>2627360</v>
      </c>
      <c r="M520" s="169">
        <f t="shared" ref="M520:M583" si="360">L520-H520</f>
        <v>0</v>
      </c>
      <c r="N520" s="16">
        <f>'БА в тыс. руб.'!I520*1000</f>
        <v>2627360</v>
      </c>
      <c r="O520" s="169">
        <f t="shared" ref="O520:O583" si="361">N520-I520</f>
        <v>0</v>
      </c>
    </row>
    <row r="521" spans="1:15" s="83" customFormat="1">
      <c r="A521" s="12" t="s">
        <v>1016</v>
      </c>
      <c r="B521" s="25" t="s">
        <v>69</v>
      </c>
      <c r="C521" s="26" t="s">
        <v>71</v>
      </c>
      <c r="D521" s="26" t="s">
        <v>66</v>
      </c>
      <c r="E521" s="26" t="s">
        <v>610</v>
      </c>
      <c r="F521" s="26" t="s">
        <v>1046</v>
      </c>
      <c r="G521" s="27">
        <f t="shared" ref="G521" si="362">J521</f>
        <v>2927360</v>
      </c>
      <c r="H521" s="27">
        <f>L521</f>
        <v>2627360</v>
      </c>
      <c r="I521" s="27">
        <f>N521</f>
        <v>2627360</v>
      </c>
      <c r="J521" s="16">
        <f>'БА в тыс. руб.'!G521*1000</f>
        <v>2927360</v>
      </c>
      <c r="K521" s="169">
        <f t="shared" si="359"/>
        <v>0</v>
      </c>
      <c r="L521" s="16">
        <f>'БА в тыс. руб.'!H521*1000</f>
        <v>2627360</v>
      </c>
      <c r="M521" s="169">
        <f t="shared" si="360"/>
        <v>0</v>
      </c>
      <c r="N521" s="16">
        <f>'БА в тыс. руб.'!I521*1000</f>
        <v>2627360</v>
      </c>
      <c r="O521" s="169">
        <f t="shared" si="361"/>
        <v>0</v>
      </c>
    </row>
    <row r="522" spans="1:15" s="30" customFormat="1">
      <c r="A522" s="13" t="s">
        <v>93</v>
      </c>
      <c r="B522" s="25" t="s">
        <v>69</v>
      </c>
      <c r="C522" s="26" t="s">
        <v>71</v>
      </c>
      <c r="D522" s="26" t="s">
        <v>66</v>
      </c>
      <c r="E522" s="26" t="s">
        <v>610</v>
      </c>
      <c r="F522" s="26" t="s">
        <v>20</v>
      </c>
      <c r="G522" s="27">
        <f>G523</f>
        <v>148700</v>
      </c>
      <c r="H522" s="27">
        <f t="shared" ref="H522:I522" si="363">H523</f>
        <v>148700</v>
      </c>
      <c r="I522" s="27">
        <f t="shared" si="363"/>
        <v>148700</v>
      </c>
      <c r="J522" s="16">
        <f>'БА в тыс. руб.'!G522*1000</f>
        <v>148700</v>
      </c>
      <c r="K522" s="169">
        <f t="shared" si="359"/>
        <v>0</v>
      </c>
      <c r="L522" s="16">
        <f>'БА в тыс. руб.'!H522*1000</f>
        <v>148700</v>
      </c>
      <c r="M522" s="169">
        <f t="shared" si="360"/>
        <v>0</v>
      </c>
      <c r="N522" s="16">
        <f>'БА в тыс. руб.'!I522*1000</f>
        <v>148700</v>
      </c>
      <c r="O522" s="169">
        <f t="shared" si="361"/>
        <v>0</v>
      </c>
    </row>
    <row r="523" spans="1:15" s="83" customFormat="1">
      <c r="A523" s="12" t="s">
        <v>1019</v>
      </c>
      <c r="B523" s="25" t="s">
        <v>69</v>
      </c>
      <c r="C523" s="26" t="s">
        <v>71</v>
      </c>
      <c r="D523" s="26" t="s">
        <v>66</v>
      </c>
      <c r="E523" s="26" t="s">
        <v>610</v>
      </c>
      <c r="F523" s="26" t="s">
        <v>1054</v>
      </c>
      <c r="G523" s="27">
        <f t="shared" ref="G523" si="364">J523</f>
        <v>148700</v>
      </c>
      <c r="H523" s="27">
        <f>L523</f>
        <v>148700</v>
      </c>
      <c r="I523" s="27">
        <f>N523</f>
        <v>148700</v>
      </c>
      <c r="J523" s="16">
        <f>'БА в тыс. руб.'!G523*1000</f>
        <v>148700</v>
      </c>
      <c r="K523" s="169">
        <f t="shared" si="359"/>
        <v>0</v>
      </c>
      <c r="L523" s="16">
        <f>'БА в тыс. руб.'!H523*1000</f>
        <v>148700</v>
      </c>
      <c r="M523" s="169">
        <f t="shared" si="360"/>
        <v>0</v>
      </c>
      <c r="N523" s="16">
        <f>'БА в тыс. руб.'!I523*1000</f>
        <v>148700</v>
      </c>
      <c r="O523" s="169">
        <f t="shared" si="361"/>
        <v>0</v>
      </c>
    </row>
    <row r="524" spans="1:15" s="30" customFormat="1" ht="25.5">
      <c r="A524" s="13" t="s">
        <v>759</v>
      </c>
      <c r="B524" s="25" t="s">
        <v>69</v>
      </c>
      <c r="C524" s="26" t="s">
        <v>71</v>
      </c>
      <c r="D524" s="26" t="s">
        <v>66</v>
      </c>
      <c r="E524" s="26" t="s">
        <v>259</v>
      </c>
      <c r="F524" s="26" t="s">
        <v>58</v>
      </c>
      <c r="G524" s="27">
        <f t="shared" ref="G524:I528" si="365">G525</f>
        <v>102000</v>
      </c>
      <c r="H524" s="27">
        <f t="shared" si="365"/>
        <v>91800</v>
      </c>
      <c r="I524" s="27">
        <f t="shared" si="365"/>
        <v>91800</v>
      </c>
      <c r="J524" s="16">
        <f>'БА в тыс. руб.'!G524*1000</f>
        <v>102000</v>
      </c>
      <c r="K524" s="169">
        <f t="shared" si="359"/>
        <v>0</v>
      </c>
      <c r="L524" s="16">
        <f>'БА в тыс. руб.'!H524*1000</f>
        <v>91800</v>
      </c>
      <c r="M524" s="169">
        <f t="shared" si="360"/>
        <v>0</v>
      </c>
      <c r="N524" s="16">
        <f>'БА в тыс. руб.'!I524*1000</f>
        <v>91800</v>
      </c>
      <c r="O524" s="169">
        <f t="shared" si="361"/>
        <v>0</v>
      </c>
    </row>
    <row r="525" spans="1:15" s="30" customFormat="1" ht="25.5">
      <c r="A525" s="13" t="s">
        <v>760</v>
      </c>
      <c r="B525" s="25" t="s">
        <v>69</v>
      </c>
      <c r="C525" s="26" t="s">
        <v>71</v>
      </c>
      <c r="D525" s="26" t="s">
        <v>66</v>
      </c>
      <c r="E525" s="26" t="s">
        <v>260</v>
      </c>
      <c r="F525" s="26" t="s">
        <v>58</v>
      </c>
      <c r="G525" s="27">
        <f t="shared" si="365"/>
        <v>102000</v>
      </c>
      <c r="H525" s="27">
        <f t="shared" si="365"/>
        <v>91800</v>
      </c>
      <c r="I525" s="27">
        <f t="shared" si="365"/>
        <v>91800</v>
      </c>
      <c r="J525" s="16">
        <f>'БА в тыс. руб.'!G525*1000</f>
        <v>102000</v>
      </c>
      <c r="K525" s="169">
        <f t="shared" si="359"/>
        <v>0</v>
      </c>
      <c r="L525" s="16">
        <f>'БА в тыс. руб.'!H525*1000</f>
        <v>91800</v>
      </c>
      <c r="M525" s="169">
        <f t="shared" si="360"/>
        <v>0</v>
      </c>
      <c r="N525" s="16">
        <f>'БА в тыс. руб.'!I525*1000</f>
        <v>91800</v>
      </c>
      <c r="O525" s="169">
        <f t="shared" si="361"/>
        <v>0</v>
      </c>
    </row>
    <row r="526" spans="1:15" s="30" customFormat="1" ht="51">
      <c r="A526" s="11" t="s">
        <v>784</v>
      </c>
      <c r="B526" s="25" t="s">
        <v>69</v>
      </c>
      <c r="C526" s="26" t="s">
        <v>71</v>
      </c>
      <c r="D526" s="26" t="s">
        <v>66</v>
      </c>
      <c r="E526" s="26" t="s">
        <v>785</v>
      </c>
      <c r="F526" s="26" t="s">
        <v>58</v>
      </c>
      <c r="G526" s="27">
        <f t="shared" si="365"/>
        <v>102000</v>
      </c>
      <c r="H526" s="27">
        <f t="shared" si="365"/>
        <v>91800</v>
      </c>
      <c r="I526" s="27">
        <f t="shared" si="365"/>
        <v>91800</v>
      </c>
      <c r="J526" s="16">
        <f>'БА в тыс. руб.'!G526*1000</f>
        <v>102000</v>
      </c>
      <c r="K526" s="169">
        <f t="shared" si="359"/>
        <v>0</v>
      </c>
      <c r="L526" s="16">
        <f>'БА в тыс. руб.'!H526*1000</f>
        <v>91800</v>
      </c>
      <c r="M526" s="169">
        <f t="shared" si="360"/>
        <v>0</v>
      </c>
      <c r="N526" s="16">
        <f>'БА в тыс. руб.'!I526*1000</f>
        <v>91800</v>
      </c>
      <c r="O526" s="169">
        <f t="shared" si="361"/>
        <v>0</v>
      </c>
    </row>
    <row r="527" spans="1:15" s="30" customFormat="1" ht="25.5">
      <c r="A527" s="11" t="s">
        <v>786</v>
      </c>
      <c r="B527" s="25" t="s">
        <v>69</v>
      </c>
      <c r="C527" s="26" t="s">
        <v>71</v>
      </c>
      <c r="D527" s="26" t="s">
        <v>66</v>
      </c>
      <c r="E527" s="26" t="s">
        <v>787</v>
      </c>
      <c r="F527" s="26" t="s">
        <v>58</v>
      </c>
      <c r="G527" s="27">
        <f t="shared" si="365"/>
        <v>102000</v>
      </c>
      <c r="H527" s="27">
        <f t="shared" si="365"/>
        <v>91800</v>
      </c>
      <c r="I527" s="27">
        <f t="shared" si="365"/>
        <v>91800</v>
      </c>
      <c r="J527" s="16">
        <f>'БА в тыс. руб.'!G527*1000</f>
        <v>102000</v>
      </c>
      <c r="K527" s="169">
        <f t="shared" si="359"/>
        <v>0</v>
      </c>
      <c r="L527" s="16">
        <f>'БА в тыс. руб.'!H527*1000</f>
        <v>91800</v>
      </c>
      <c r="M527" s="169">
        <f t="shared" si="360"/>
        <v>0</v>
      </c>
      <c r="N527" s="16">
        <f>'БА в тыс. руб.'!I527*1000</f>
        <v>91800</v>
      </c>
      <c r="O527" s="169">
        <f t="shared" si="361"/>
        <v>0</v>
      </c>
    </row>
    <row r="528" spans="1:15" s="30" customFormat="1">
      <c r="A528" s="13" t="s">
        <v>92</v>
      </c>
      <c r="B528" s="25" t="s">
        <v>69</v>
      </c>
      <c r="C528" s="26" t="s">
        <v>71</v>
      </c>
      <c r="D528" s="26" t="s">
        <v>66</v>
      </c>
      <c r="E528" s="26" t="s">
        <v>787</v>
      </c>
      <c r="F528" s="26" t="s">
        <v>138</v>
      </c>
      <c r="G528" s="27">
        <f>G529</f>
        <v>102000</v>
      </c>
      <c r="H528" s="27">
        <f t="shared" si="365"/>
        <v>91800</v>
      </c>
      <c r="I528" s="27">
        <f t="shared" si="365"/>
        <v>91800</v>
      </c>
      <c r="J528" s="16">
        <f>'БА в тыс. руб.'!G528*1000</f>
        <v>102000</v>
      </c>
      <c r="K528" s="169">
        <f t="shared" si="359"/>
        <v>0</v>
      </c>
      <c r="L528" s="16">
        <f>'БА в тыс. руб.'!H528*1000</f>
        <v>91800</v>
      </c>
      <c r="M528" s="169">
        <f t="shared" si="360"/>
        <v>0</v>
      </c>
      <c r="N528" s="16">
        <f>'БА в тыс. руб.'!I528*1000</f>
        <v>91800</v>
      </c>
      <c r="O528" s="169">
        <f t="shared" si="361"/>
        <v>0</v>
      </c>
    </row>
    <row r="529" spans="1:15" s="83" customFormat="1">
      <c r="A529" s="12" t="s">
        <v>1016</v>
      </c>
      <c r="B529" s="25" t="s">
        <v>69</v>
      </c>
      <c r="C529" s="26" t="s">
        <v>71</v>
      </c>
      <c r="D529" s="26" t="s">
        <v>66</v>
      </c>
      <c r="E529" s="26" t="s">
        <v>787</v>
      </c>
      <c r="F529" s="26" t="s">
        <v>1046</v>
      </c>
      <c r="G529" s="27">
        <f t="shared" ref="G529" si="366">J529</f>
        <v>102000</v>
      </c>
      <c r="H529" s="27">
        <f>L529</f>
        <v>91800</v>
      </c>
      <c r="I529" s="27">
        <f>N529</f>
        <v>91800</v>
      </c>
      <c r="J529" s="16">
        <f>'БА в тыс. руб.'!G529*1000</f>
        <v>102000</v>
      </c>
      <c r="K529" s="169">
        <f t="shared" si="359"/>
        <v>0</v>
      </c>
      <c r="L529" s="16">
        <f>'БА в тыс. руб.'!H529*1000</f>
        <v>91800</v>
      </c>
      <c r="M529" s="169">
        <f t="shared" si="360"/>
        <v>0</v>
      </c>
      <c r="N529" s="16">
        <f>'БА в тыс. руб.'!I529*1000</f>
        <v>91800</v>
      </c>
      <c r="O529" s="169">
        <f t="shared" si="361"/>
        <v>0</v>
      </c>
    </row>
    <row r="530" spans="1:15" s="30" customFormat="1">
      <c r="A530" s="21" t="s">
        <v>779</v>
      </c>
      <c r="B530" s="22" t="s">
        <v>69</v>
      </c>
      <c r="C530" s="23" t="s">
        <v>71</v>
      </c>
      <c r="D530" s="23" t="s">
        <v>53</v>
      </c>
      <c r="E530" s="23" t="s">
        <v>196</v>
      </c>
      <c r="F530" s="23" t="s">
        <v>58</v>
      </c>
      <c r="G530" s="24">
        <f>G531+G539</f>
        <v>163705890</v>
      </c>
      <c r="H530" s="24">
        <f>H531+H539</f>
        <v>163923570</v>
      </c>
      <c r="I530" s="24">
        <f>I531+I539</f>
        <v>163923570</v>
      </c>
      <c r="J530" s="16">
        <f>'БА в тыс. руб.'!G530*1000</f>
        <v>163705890</v>
      </c>
      <c r="K530" s="169">
        <f t="shared" si="359"/>
        <v>0</v>
      </c>
      <c r="L530" s="16">
        <f>'БА в тыс. руб.'!H530*1000</f>
        <v>163923570</v>
      </c>
      <c r="M530" s="169">
        <f t="shared" si="360"/>
        <v>0</v>
      </c>
      <c r="N530" s="16">
        <f>'БА в тыс. руб.'!I530*1000</f>
        <v>163923570</v>
      </c>
      <c r="O530" s="169">
        <f t="shared" si="361"/>
        <v>0</v>
      </c>
    </row>
    <row r="531" spans="1:15" s="30" customFormat="1" ht="25.5">
      <c r="A531" s="13" t="s">
        <v>723</v>
      </c>
      <c r="B531" s="25" t="s">
        <v>69</v>
      </c>
      <c r="C531" s="26" t="s">
        <v>71</v>
      </c>
      <c r="D531" s="26" t="s">
        <v>53</v>
      </c>
      <c r="E531" s="26" t="s">
        <v>331</v>
      </c>
      <c r="F531" s="26" t="s">
        <v>58</v>
      </c>
      <c r="G531" s="27">
        <f>G532</f>
        <v>163360390</v>
      </c>
      <c r="H531" s="27">
        <f t="shared" ref="H531:I533" si="367">H532</f>
        <v>163621070</v>
      </c>
      <c r="I531" s="27">
        <f t="shared" si="367"/>
        <v>163621070</v>
      </c>
      <c r="J531" s="16">
        <f>'БА в тыс. руб.'!G531*1000</f>
        <v>163360390</v>
      </c>
      <c r="K531" s="169">
        <f t="shared" si="359"/>
        <v>0</v>
      </c>
      <c r="L531" s="16">
        <f>'БА в тыс. руб.'!H531*1000</f>
        <v>163621070</v>
      </c>
      <c r="M531" s="169">
        <f t="shared" si="360"/>
        <v>0</v>
      </c>
      <c r="N531" s="16">
        <f>'БА в тыс. руб.'!I531*1000</f>
        <v>163621070</v>
      </c>
      <c r="O531" s="169">
        <f t="shared" si="361"/>
        <v>0</v>
      </c>
    </row>
    <row r="532" spans="1:15" s="30" customFormat="1" ht="25.5">
      <c r="A532" s="13" t="s">
        <v>860</v>
      </c>
      <c r="B532" s="25" t="s">
        <v>69</v>
      </c>
      <c r="C532" s="26" t="s">
        <v>71</v>
      </c>
      <c r="D532" s="26" t="s">
        <v>53</v>
      </c>
      <c r="E532" s="26" t="s">
        <v>332</v>
      </c>
      <c r="F532" s="26" t="s">
        <v>58</v>
      </c>
      <c r="G532" s="27">
        <f>G533</f>
        <v>163360390</v>
      </c>
      <c r="H532" s="27">
        <f t="shared" si="367"/>
        <v>163621070</v>
      </c>
      <c r="I532" s="27">
        <f t="shared" si="367"/>
        <v>163621070</v>
      </c>
      <c r="J532" s="16">
        <f>'БА в тыс. руб.'!G532*1000</f>
        <v>163360390</v>
      </c>
      <c r="K532" s="169">
        <f t="shared" si="359"/>
        <v>0</v>
      </c>
      <c r="L532" s="16">
        <f>'БА в тыс. руб.'!H532*1000</f>
        <v>163621070</v>
      </c>
      <c r="M532" s="169">
        <f t="shared" si="360"/>
        <v>0</v>
      </c>
      <c r="N532" s="16">
        <f>'БА в тыс. руб.'!I532*1000</f>
        <v>163621070</v>
      </c>
      <c r="O532" s="169">
        <f t="shared" si="361"/>
        <v>0</v>
      </c>
    </row>
    <row r="533" spans="1:15" s="30" customFormat="1" ht="38.25">
      <c r="A533" s="34" t="s">
        <v>630</v>
      </c>
      <c r="B533" s="35" t="s">
        <v>69</v>
      </c>
      <c r="C533" s="36" t="s">
        <v>71</v>
      </c>
      <c r="D533" s="36" t="s">
        <v>53</v>
      </c>
      <c r="E533" s="36" t="s">
        <v>351</v>
      </c>
      <c r="F533" s="36" t="s">
        <v>58</v>
      </c>
      <c r="G533" s="37">
        <f>G534</f>
        <v>163360390</v>
      </c>
      <c r="H533" s="37">
        <f t="shared" si="367"/>
        <v>163621070</v>
      </c>
      <c r="I533" s="37">
        <f t="shared" si="367"/>
        <v>163621070</v>
      </c>
      <c r="J533" s="16">
        <f>'БА в тыс. руб.'!G533*1000</f>
        <v>163360390</v>
      </c>
      <c r="K533" s="169">
        <f t="shared" si="359"/>
        <v>0</v>
      </c>
      <c r="L533" s="16">
        <f>'БА в тыс. руб.'!H533*1000</f>
        <v>163621070</v>
      </c>
      <c r="M533" s="169">
        <f t="shared" si="360"/>
        <v>0</v>
      </c>
      <c r="N533" s="16">
        <f>'БА в тыс. руб.'!I533*1000</f>
        <v>163621070</v>
      </c>
      <c r="O533" s="169">
        <f t="shared" si="361"/>
        <v>0</v>
      </c>
    </row>
    <row r="534" spans="1:15" s="30" customFormat="1" ht="25.5">
      <c r="A534" s="40" t="s">
        <v>247</v>
      </c>
      <c r="B534" s="35" t="s">
        <v>69</v>
      </c>
      <c r="C534" s="36" t="s">
        <v>71</v>
      </c>
      <c r="D534" s="36" t="s">
        <v>53</v>
      </c>
      <c r="E534" s="36" t="s">
        <v>352</v>
      </c>
      <c r="F534" s="36" t="s">
        <v>58</v>
      </c>
      <c r="G534" s="37">
        <f>G535+G537</f>
        <v>163360390</v>
      </c>
      <c r="H534" s="37">
        <f t="shared" ref="H534:I534" si="368">H535+H537</f>
        <v>163621070</v>
      </c>
      <c r="I534" s="37">
        <f t="shared" si="368"/>
        <v>163621070</v>
      </c>
      <c r="J534" s="16">
        <f>'БА в тыс. руб.'!G534*1000</f>
        <v>163360390</v>
      </c>
      <c r="K534" s="169">
        <f t="shared" si="359"/>
        <v>0</v>
      </c>
      <c r="L534" s="16">
        <f>'БА в тыс. руб.'!H534*1000</f>
        <v>163621070</v>
      </c>
      <c r="M534" s="169">
        <f t="shared" si="360"/>
        <v>0</v>
      </c>
      <c r="N534" s="16">
        <f>'БА в тыс. руб.'!I534*1000</f>
        <v>163621070</v>
      </c>
      <c r="O534" s="169">
        <f t="shared" si="361"/>
        <v>0</v>
      </c>
    </row>
    <row r="535" spans="1:15" s="30" customFormat="1">
      <c r="A535" s="40" t="s">
        <v>92</v>
      </c>
      <c r="B535" s="35" t="s">
        <v>69</v>
      </c>
      <c r="C535" s="36" t="s">
        <v>71</v>
      </c>
      <c r="D535" s="36" t="s">
        <v>53</v>
      </c>
      <c r="E535" s="36" t="s">
        <v>352</v>
      </c>
      <c r="F535" s="36" t="s">
        <v>138</v>
      </c>
      <c r="G535" s="27">
        <f>G536</f>
        <v>145597390</v>
      </c>
      <c r="H535" s="27">
        <f t="shared" ref="H535:I535" si="369">H536</f>
        <v>145858070</v>
      </c>
      <c r="I535" s="27">
        <f t="shared" si="369"/>
        <v>145858070</v>
      </c>
      <c r="J535" s="16">
        <f>'БА в тыс. руб.'!G535*1000</f>
        <v>145597390</v>
      </c>
      <c r="K535" s="169">
        <f t="shared" si="359"/>
        <v>0</v>
      </c>
      <c r="L535" s="16">
        <f>'БА в тыс. руб.'!H535*1000</f>
        <v>145858070</v>
      </c>
      <c r="M535" s="169">
        <f t="shared" si="360"/>
        <v>0</v>
      </c>
      <c r="N535" s="16">
        <f>'БА в тыс. руб.'!I535*1000</f>
        <v>145858070</v>
      </c>
      <c r="O535" s="169">
        <f t="shared" si="361"/>
        <v>0</v>
      </c>
    </row>
    <row r="536" spans="1:15" s="83" customFormat="1" ht="38.25">
      <c r="A536" s="12" t="s">
        <v>1015</v>
      </c>
      <c r="B536" s="35" t="s">
        <v>69</v>
      </c>
      <c r="C536" s="36" t="s">
        <v>71</v>
      </c>
      <c r="D536" s="36" t="s">
        <v>53</v>
      </c>
      <c r="E536" s="36" t="s">
        <v>352</v>
      </c>
      <c r="F536" s="36" t="s">
        <v>67</v>
      </c>
      <c r="G536" s="27">
        <f t="shared" ref="G536" si="370">J536</f>
        <v>145597390</v>
      </c>
      <c r="H536" s="27">
        <f>L536</f>
        <v>145858070</v>
      </c>
      <c r="I536" s="27">
        <f>N536</f>
        <v>145858070</v>
      </c>
      <c r="J536" s="16">
        <f>'БА в тыс. руб.'!G536*1000</f>
        <v>145597390</v>
      </c>
      <c r="K536" s="169">
        <f t="shared" si="359"/>
        <v>0</v>
      </c>
      <c r="L536" s="16">
        <f>'БА в тыс. руб.'!H536*1000</f>
        <v>145858070</v>
      </c>
      <c r="M536" s="169">
        <f t="shared" si="360"/>
        <v>0</v>
      </c>
      <c r="N536" s="16">
        <f>'БА в тыс. руб.'!I536*1000</f>
        <v>145858070</v>
      </c>
      <c r="O536" s="169">
        <f t="shared" si="361"/>
        <v>0</v>
      </c>
    </row>
    <row r="537" spans="1:15" s="30" customFormat="1">
      <c r="A537" s="40" t="s">
        <v>93</v>
      </c>
      <c r="B537" s="35" t="s">
        <v>69</v>
      </c>
      <c r="C537" s="36" t="s">
        <v>71</v>
      </c>
      <c r="D537" s="36" t="s">
        <v>53</v>
      </c>
      <c r="E537" s="36" t="s">
        <v>352</v>
      </c>
      <c r="F537" s="36" t="s">
        <v>20</v>
      </c>
      <c r="G537" s="27">
        <f>G538</f>
        <v>17763000</v>
      </c>
      <c r="H537" s="27">
        <f t="shared" ref="H537:I537" si="371">H538</f>
        <v>17763000</v>
      </c>
      <c r="I537" s="27">
        <f t="shared" si="371"/>
        <v>17763000</v>
      </c>
      <c r="J537" s="16">
        <f>'БА в тыс. руб.'!G537*1000</f>
        <v>17763000</v>
      </c>
      <c r="K537" s="169">
        <f t="shared" si="359"/>
        <v>0</v>
      </c>
      <c r="L537" s="16">
        <f>'БА в тыс. руб.'!H537*1000</f>
        <v>17763000</v>
      </c>
      <c r="M537" s="169">
        <f t="shared" si="360"/>
        <v>0</v>
      </c>
      <c r="N537" s="16">
        <f>'БА в тыс. руб.'!I537*1000</f>
        <v>17763000</v>
      </c>
      <c r="O537" s="169">
        <f t="shared" si="361"/>
        <v>0</v>
      </c>
    </row>
    <row r="538" spans="1:15" s="83" customFormat="1" ht="38.25">
      <c r="A538" s="12" t="s">
        <v>1018</v>
      </c>
      <c r="B538" s="35" t="s">
        <v>69</v>
      </c>
      <c r="C538" s="36" t="s">
        <v>71</v>
      </c>
      <c r="D538" s="36" t="s">
        <v>53</v>
      </c>
      <c r="E538" s="36" t="s">
        <v>352</v>
      </c>
      <c r="F538" s="36" t="s">
        <v>16</v>
      </c>
      <c r="G538" s="27">
        <f t="shared" ref="G538" si="372">J538</f>
        <v>17763000</v>
      </c>
      <c r="H538" s="27">
        <f>L538</f>
        <v>17763000</v>
      </c>
      <c r="I538" s="27">
        <f>N538</f>
        <v>17763000</v>
      </c>
      <c r="J538" s="16">
        <f>'БА в тыс. руб.'!G538*1000</f>
        <v>17763000</v>
      </c>
      <c r="K538" s="169">
        <f t="shared" si="359"/>
        <v>0</v>
      </c>
      <c r="L538" s="16">
        <f>'БА в тыс. руб.'!H538*1000</f>
        <v>17763000</v>
      </c>
      <c r="M538" s="169">
        <f t="shared" si="360"/>
        <v>0</v>
      </c>
      <c r="N538" s="16">
        <f>'БА в тыс. руб.'!I538*1000</f>
        <v>17763000</v>
      </c>
      <c r="O538" s="169">
        <f t="shared" si="361"/>
        <v>0</v>
      </c>
    </row>
    <row r="539" spans="1:15" s="30" customFormat="1" ht="63.75">
      <c r="A539" s="11" t="s">
        <v>756</v>
      </c>
      <c r="B539" s="25" t="s">
        <v>69</v>
      </c>
      <c r="C539" s="36" t="s">
        <v>71</v>
      </c>
      <c r="D539" s="36" t="s">
        <v>53</v>
      </c>
      <c r="E539" s="26" t="s">
        <v>339</v>
      </c>
      <c r="F539" s="26" t="s">
        <v>58</v>
      </c>
      <c r="G539" s="27">
        <f t="shared" ref="G539:I541" si="373">G540</f>
        <v>345500</v>
      </c>
      <c r="H539" s="27">
        <f t="shared" si="373"/>
        <v>302500</v>
      </c>
      <c r="I539" s="27">
        <f t="shared" si="373"/>
        <v>302500</v>
      </c>
      <c r="J539" s="16">
        <f>'БА в тыс. руб.'!G539*1000</f>
        <v>345500</v>
      </c>
      <c r="K539" s="169">
        <f t="shared" si="359"/>
        <v>0</v>
      </c>
      <c r="L539" s="16">
        <f>'БА в тыс. руб.'!H539*1000</f>
        <v>302500</v>
      </c>
      <c r="M539" s="169">
        <f t="shared" si="360"/>
        <v>0</v>
      </c>
      <c r="N539" s="16">
        <f>'БА в тыс. руб.'!I539*1000</f>
        <v>302500</v>
      </c>
      <c r="O539" s="169">
        <f t="shared" si="361"/>
        <v>0</v>
      </c>
    </row>
    <row r="540" spans="1:15" s="30" customFormat="1" ht="25.5">
      <c r="A540" s="11" t="s">
        <v>136</v>
      </c>
      <c r="B540" s="25" t="s">
        <v>69</v>
      </c>
      <c r="C540" s="36" t="s">
        <v>71</v>
      </c>
      <c r="D540" s="36" t="s">
        <v>53</v>
      </c>
      <c r="E540" s="26" t="s">
        <v>340</v>
      </c>
      <c r="F540" s="26" t="s">
        <v>58</v>
      </c>
      <c r="G540" s="27">
        <f t="shared" si="373"/>
        <v>345500</v>
      </c>
      <c r="H540" s="27">
        <f t="shared" si="373"/>
        <v>302500</v>
      </c>
      <c r="I540" s="27">
        <f t="shared" si="373"/>
        <v>302500</v>
      </c>
      <c r="J540" s="16">
        <f>'БА в тыс. руб.'!G540*1000</f>
        <v>345500</v>
      </c>
      <c r="K540" s="169">
        <f t="shared" si="359"/>
        <v>0</v>
      </c>
      <c r="L540" s="16">
        <f>'БА в тыс. руб.'!H540*1000</f>
        <v>302500</v>
      </c>
      <c r="M540" s="169">
        <f t="shared" si="360"/>
        <v>0</v>
      </c>
      <c r="N540" s="16">
        <f>'БА в тыс. руб.'!I540*1000</f>
        <v>302500</v>
      </c>
      <c r="O540" s="169">
        <f t="shared" si="361"/>
        <v>0</v>
      </c>
    </row>
    <row r="541" spans="1:15" s="30" customFormat="1" ht="25.5">
      <c r="A541" s="11" t="s">
        <v>667</v>
      </c>
      <c r="B541" s="25" t="s">
        <v>69</v>
      </c>
      <c r="C541" s="36" t="s">
        <v>71</v>
      </c>
      <c r="D541" s="36" t="s">
        <v>53</v>
      </c>
      <c r="E541" s="26" t="s">
        <v>609</v>
      </c>
      <c r="F541" s="26" t="s">
        <v>58</v>
      </c>
      <c r="G541" s="27">
        <f t="shared" si="373"/>
        <v>345500</v>
      </c>
      <c r="H541" s="27">
        <f t="shared" si="373"/>
        <v>302500</v>
      </c>
      <c r="I541" s="27">
        <f t="shared" si="373"/>
        <v>302500</v>
      </c>
      <c r="J541" s="16">
        <f>'БА в тыс. руб.'!G541*1000</f>
        <v>345500</v>
      </c>
      <c r="K541" s="169">
        <f t="shared" si="359"/>
        <v>0</v>
      </c>
      <c r="L541" s="16">
        <f>'БА в тыс. руб.'!H541*1000</f>
        <v>302500</v>
      </c>
      <c r="M541" s="169">
        <f t="shared" si="360"/>
        <v>0</v>
      </c>
      <c r="N541" s="16">
        <f>'БА в тыс. руб.'!I541*1000</f>
        <v>302500</v>
      </c>
      <c r="O541" s="169">
        <f t="shared" si="361"/>
        <v>0</v>
      </c>
    </row>
    <row r="542" spans="1:15" s="30" customFormat="1" ht="38.25">
      <c r="A542" s="11" t="s">
        <v>177</v>
      </c>
      <c r="B542" s="25" t="s">
        <v>69</v>
      </c>
      <c r="C542" s="36" t="s">
        <v>71</v>
      </c>
      <c r="D542" s="36" t="s">
        <v>53</v>
      </c>
      <c r="E542" s="26" t="s">
        <v>610</v>
      </c>
      <c r="F542" s="26" t="s">
        <v>58</v>
      </c>
      <c r="G542" s="27">
        <f>G543+G545</f>
        <v>345500</v>
      </c>
      <c r="H542" s="27">
        <f t="shared" ref="H542:I542" si="374">H543+H545</f>
        <v>302500</v>
      </c>
      <c r="I542" s="27">
        <f t="shared" si="374"/>
        <v>302500</v>
      </c>
      <c r="J542" s="16">
        <f>'БА в тыс. руб.'!G542*1000</f>
        <v>345500</v>
      </c>
      <c r="K542" s="169">
        <f t="shared" si="359"/>
        <v>0</v>
      </c>
      <c r="L542" s="16">
        <f>'БА в тыс. руб.'!H542*1000</f>
        <v>302500</v>
      </c>
      <c r="M542" s="169">
        <f t="shared" si="360"/>
        <v>0</v>
      </c>
      <c r="N542" s="16">
        <f>'БА в тыс. руб.'!I542*1000</f>
        <v>302500</v>
      </c>
      <c r="O542" s="169">
        <f t="shared" si="361"/>
        <v>0</v>
      </c>
    </row>
    <row r="543" spans="1:15" s="30" customFormat="1">
      <c r="A543" s="40" t="s">
        <v>92</v>
      </c>
      <c r="B543" s="25" t="s">
        <v>69</v>
      </c>
      <c r="C543" s="36" t="s">
        <v>71</v>
      </c>
      <c r="D543" s="36" t="s">
        <v>53</v>
      </c>
      <c r="E543" s="26" t="s">
        <v>610</v>
      </c>
      <c r="F543" s="26" t="s">
        <v>138</v>
      </c>
      <c r="G543" s="27">
        <f>G544</f>
        <v>286900</v>
      </c>
      <c r="H543" s="27">
        <f t="shared" ref="H543:I543" si="375">H544</f>
        <v>243900</v>
      </c>
      <c r="I543" s="27">
        <f t="shared" si="375"/>
        <v>243900</v>
      </c>
      <c r="J543" s="16">
        <f>'БА в тыс. руб.'!G543*1000</f>
        <v>286900</v>
      </c>
      <c r="K543" s="169">
        <f t="shared" si="359"/>
        <v>0</v>
      </c>
      <c r="L543" s="16">
        <f>'БА в тыс. руб.'!H543*1000</f>
        <v>243900</v>
      </c>
      <c r="M543" s="169">
        <f t="shared" si="360"/>
        <v>0</v>
      </c>
      <c r="N543" s="16">
        <f>'БА в тыс. руб.'!I543*1000</f>
        <v>243900</v>
      </c>
      <c r="O543" s="169">
        <f t="shared" si="361"/>
        <v>0</v>
      </c>
    </row>
    <row r="544" spans="1:15" s="83" customFormat="1">
      <c r="A544" s="12" t="s">
        <v>1016</v>
      </c>
      <c r="B544" s="25" t="s">
        <v>69</v>
      </c>
      <c r="C544" s="36" t="s">
        <v>71</v>
      </c>
      <c r="D544" s="36" t="s">
        <v>53</v>
      </c>
      <c r="E544" s="26" t="s">
        <v>610</v>
      </c>
      <c r="F544" s="26" t="s">
        <v>1046</v>
      </c>
      <c r="G544" s="27">
        <f t="shared" ref="G544" si="376">J544</f>
        <v>286900</v>
      </c>
      <c r="H544" s="27">
        <f>L544</f>
        <v>243900</v>
      </c>
      <c r="I544" s="27">
        <f>N544</f>
        <v>243900</v>
      </c>
      <c r="J544" s="16">
        <f>'БА в тыс. руб.'!G544*1000</f>
        <v>286900</v>
      </c>
      <c r="K544" s="169">
        <f t="shared" si="359"/>
        <v>0</v>
      </c>
      <c r="L544" s="16">
        <f>'БА в тыс. руб.'!H544*1000</f>
        <v>243900</v>
      </c>
      <c r="M544" s="169">
        <f t="shared" si="360"/>
        <v>0</v>
      </c>
      <c r="N544" s="16">
        <f>'БА в тыс. руб.'!I544*1000</f>
        <v>243900</v>
      </c>
      <c r="O544" s="169">
        <f t="shared" si="361"/>
        <v>0</v>
      </c>
    </row>
    <row r="545" spans="1:15" s="30" customFormat="1">
      <c r="A545" s="13" t="s">
        <v>93</v>
      </c>
      <c r="B545" s="25" t="s">
        <v>69</v>
      </c>
      <c r="C545" s="36" t="s">
        <v>71</v>
      </c>
      <c r="D545" s="36" t="s">
        <v>53</v>
      </c>
      <c r="E545" s="26" t="s">
        <v>610</v>
      </c>
      <c r="F545" s="26" t="s">
        <v>20</v>
      </c>
      <c r="G545" s="27">
        <f>G546</f>
        <v>58600</v>
      </c>
      <c r="H545" s="27">
        <f t="shared" ref="H545:I545" si="377">H546</f>
        <v>58600</v>
      </c>
      <c r="I545" s="27">
        <f t="shared" si="377"/>
        <v>58600</v>
      </c>
      <c r="J545" s="16">
        <f>'БА в тыс. руб.'!G545*1000</f>
        <v>58600</v>
      </c>
      <c r="K545" s="169">
        <f t="shared" si="359"/>
        <v>0</v>
      </c>
      <c r="L545" s="16">
        <f>'БА в тыс. руб.'!H545*1000</f>
        <v>58600</v>
      </c>
      <c r="M545" s="169">
        <f t="shared" si="360"/>
        <v>0</v>
      </c>
      <c r="N545" s="16">
        <f>'БА в тыс. руб.'!I545*1000</f>
        <v>58600</v>
      </c>
      <c r="O545" s="169">
        <f t="shared" si="361"/>
        <v>0</v>
      </c>
    </row>
    <row r="546" spans="1:15" s="83" customFormat="1">
      <c r="A546" s="12" t="s">
        <v>1019</v>
      </c>
      <c r="B546" s="25" t="s">
        <v>69</v>
      </c>
      <c r="C546" s="36" t="s">
        <v>71</v>
      </c>
      <c r="D546" s="36" t="s">
        <v>53</v>
      </c>
      <c r="E546" s="26" t="s">
        <v>610</v>
      </c>
      <c r="F546" s="26" t="s">
        <v>1054</v>
      </c>
      <c r="G546" s="27">
        <f t="shared" ref="G546" si="378">J546</f>
        <v>58600</v>
      </c>
      <c r="H546" s="27">
        <f>L546</f>
        <v>58600</v>
      </c>
      <c r="I546" s="27">
        <f>N546</f>
        <v>58600</v>
      </c>
      <c r="J546" s="16">
        <f>'БА в тыс. руб.'!G546*1000</f>
        <v>58600</v>
      </c>
      <c r="K546" s="169">
        <f t="shared" si="359"/>
        <v>0</v>
      </c>
      <c r="L546" s="16">
        <f>'БА в тыс. руб.'!H546*1000</f>
        <v>58600</v>
      </c>
      <c r="M546" s="169">
        <f t="shared" si="360"/>
        <v>0</v>
      </c>
      <c r="N546" s="16">
        <f>'БА в тыс. руб.'!I546*1000</f>
        <v>58600</v>
      </c>
      <c r="O546" s="169">
        <f t="shared" si="361"/>
        <v>0</v>
      </c>
    </row>
    <row r="547" spans="1:15" s="30" customFormat="1">
      <c r="A547" s="21" t="s">
        <v>783</v>
      </c>
      <c r="B547" s="22" t="s">
        <v>69</v>
      </c>
      <c r="C547" s="23" t="s">
        <v>71</v>
      </c>
      <c r="D547" s="23" t="s">
        <v>71</v>
      </c>
      <c r="E547" s="23" t="s">
        <v>196</v>
      </c>
      <c r="F547" s="23" t="s">
        <v>58</v>
      </c>
      <c r="G547" s="24">
        <f>G548+G557</f>
        <v>24969220</v>
      </c>
      <c r="H547" s="24">
        <f>H548+H557</f>
        <v>24921810</v>
      </c>
      <c r="I547" s="24">
        <f>I548+I557</f>
        <v>24921810</v>
      </c>
      <c r="J547" s="16">
        <f>'БА в тыс. руб.'!G547*1000</f>
        <v>24969219.999999996</v>
      </c>
      <c r="K547" s="169">
        <f t="shared" si="359"/>
        <v>0</v>
      </c>
      <c r="L547" s="16">
        <f>'БА в тыс. руб.'!H547*1000</f>
        <v>24921810</v>
      </c>
      <c r="M547" s="169">
        <f t="shared" si="360"/>
        <v>0</v>
      </c>
      <c r="N547" s="16">
        <f>'БА в тыс. руб.'!I547*1000</f>
        <v>24921810</v>
      </c>
      <c r="O547" s="169">
        <f t="shared" si="361"/>
        <v>0</v>
      </c>
    </row>
    <row r="548" spans="1:15" s="30" customFormat="1" ht="25.5">
      <c r="A548" s="13" t="s">
        <v>723</v>
      </c>
      <c r="B548" s="25" t="s">
        <v>69</v>
      </c>
      <c r="C548" s="26" t="s">
        <v>71</v>
      </c>
      <c r="D548" s="26" t="s">
        <v>71</v>
      </c>
      <c r="E548" s="26" t="s">
        <v>331</v>
      </c>
      <c r="F548" s="26" t="s">
        <v>58</v>
      </c>
      <c r="G548" s="27">
        <f t="shared" ref="G548:I549" si="379">G549</f>
        <v>24854020</v>
      </c>
      <c r="H548" s="27">
        <f t="shared" si="379"/>
        <v>24876610</v>
      </c>
      <c r="I548" s="27">
        <f t="shared" si="379"/>
        <v>24876610</v>
      </c>
      <c r="J548" s="16">
        <f>'БА в тыс. руб.'!G548*1000</f>
        <v>24854019.999999996</v>
      </c>
      <c r="K548" s="169">
        <f t="shared" si="359"/>
        <v>0</v>
      </c>
      <c r="L548" s="16">
        <f>'БА в тыс. руб.'!H548*1000</f>
        <v>24876610</v>
      </c>
      <c r="M548" s="169">
        <f t="shared" si="360"/>
        <v>0</v>
      </c>
      <c r="N548" s="16">
        <f>'БА в тыс. руб.'!I548*1000</f>
        <v>24876610</v>
      </c>
      <c r="O548" s="169">
        <f t="shared" si="361"/>
        <v>0</v>
      </c>
    </row>
    <row r="549" spans="1:15" s="30" customFormat="1" ht="25.5">
      <c r="A549" s="13" t="s">
        <v>860</v>
      </c>
      <c r="B549" s="25" t="s">
        <v>69</v>
      </c>
      <c r="C549" s="26" t="s">
        <v>71</v>
      </c>
      <c r="D549" s="26" t="s">
        <v>71</v>
      </c>
      <c r="E549" s="26" t="s">
        <v>332</v>
      </c>
      <c r="F549" s="26" t="s">
        <v>58</v>
      </c>
      <c r="G549" s="27">
        <f t="shared" si="379"/>
        <v>24854020</v>
      </c>
      <c r="H549" s="27">
        <f t="shared" si="379"/>
        <v>24876610</v>
      </c>
      <c r="I549" s="27">
        <f t="shared" si="379"/>
        <v>24876610</v>
      </c>
      <c r="J549" s="16">
        <f>'БА в тыс. руб.'!G549*1000</f>
        <v>24854019.999999996</v>
      </c>
      <c r="K549" s="169">
        <f t="shared" si="359"/>
        <v>0</v>
      </c>
      <c r="L549" s="16">
        <f>'БА в тыс. руб.'!H549*1000</f>
        <v>24876610</v>
      </c>
      <c r="M549" s="169">
        <f t="shared" si="360"/>
        <v>0</v>
      </c>
      <c r="N549" s="16">
        <f>'БА в тыс. руб.'!I549*1000</f>
        <v>24876610</v>
      </c>
      <c r="O549" s="169">
        <f t="shared" si="361"/>
        <v>0</v>
      </c>
    </row>
    <row r="550" spans="1:15" s="30" customFormat="1" ht="25.5">
      <c r="A550" s="13" t="s">
        <v>631</v>
      </c>
      <c r="B550" s="25" t="s">
        <v>69</v>
      </c>
      <c r="C550" s="26" t="s">
        <v>71</v>
      </c>
      <c r="D550" s="26" t="s">
        <v>71</v>
      </c>
      <c r="E550" s="26" t="s">
        <v>353</v>
      </c>
      <c r="F550" s="26" t="s">
        <v>58</v>
      </c>
      <c r="G550" s="27">
        <f>G551+G554</f>
        <v>24854020</v>
      </c>
      <c r="H550" s="27">
        <f>H551+H554</f>
        <v>24876610</v>
      </c>
      <c r="I550" s="27">
        <f>I551+I554</f>
        <v>24876610</v>
      </c>
      <c r="J550" s="16">
        <f>'БА в тыс. руб.'!G550*1000</f>
        <v>24854019.999999996</v>
      </c>
      <c r="K550" s="169">
        <f t="shared" si="359"/>
        <v>0</v>
      </c>
      <c r="L550" s="16">
        <f>'БА в тыс. руб.'!H550*1000</f>
        <v>24876610</v>
      </c>
      <c r="M550" s="169">
        <f t="shared" si="360"/>
        <v>0</v>
      </c>
      <c r="N550" s="16">
        <f>'БА в тыс. руб.'!I550*1000</f>
        <v>24876610</v>
      </c>
      <c r="O550" s="169">
        <f t="shared" si="361"/>
        <v>0</v>
      </c>
    </row>
    <row r="551" spans="1:15" s="30" customFormat="1" ht="25.5">
      <c r="A551" s="13" t="s">
        <v>247</v>
      </c>
      <c r="B551" s="25" t="s">
        <v>69</v>
      </c>
      <c r="C551" s="26" t="s">
        <v>71</v>
      </c>
      <c r="D551" s="26" t="s">
        <v>71</v>
      </c>
      <c r="E551" s="26" t="s">
        <v>354</v>
      </c>
      <c r="F551" s="26" t="s">
        <v>58</v>
      </c>
      <c r="G551" s="27">
        <f>G552</f>
        <v>6986650</v>
      </c>
      <c r="H551" s="27">
        <f>H552</f>
        <v>7009240</v>
      </c>
      <c r="I551" s="27">
        <f>I552</f>
        <v>7009240</v>
      </c>
      <c r="J551" s="16">
        <f>'БА в тыс. руб.'!G551*1000</f>
        <v>6986650</v>
      </c>
      <c r="K551" s="169">
        <f t="shared" si="359"/>
        <v>0</v>
      </c>
      <c r="L551" s="16">
        <f>'БА в тыс. руб.'!H551*1000</f>
        <v>7009240</v>
      </c>
      <c r="M551" s="169">
        <f t="shared" si="360"/>
        <v>0</v>
      </c>
      <c r="N551" s="16">
        <f>'БА в тыс. руб.'!I551*1000</f>
        <v>7009240</v>
      </c>
      <c r="O551" s="169">
        <f t="shared" si="361"/>
        <v>0</v>
      </c>
    </row>
    <row r="552" spans="1:15" s="30" customFormat="1">
      <c r="A552" s="13" t="s">
        <v>93</v>
      </c>
      <c r="B552" s="25" t="s">
        <v>69</v>
      </c>
      <c r="C552" s="26" t="s">
        <v>71</v>
      </c>
      <c r="D552" s="26" t="s">
        <v>71</v>
      </c>
      <c r="E552" s="26" t="s">
        <v>354</v>
      </c>
      <c r="F552" s="26" t="s">
        <v>20</v>
      </c>
      <c r="G552" s="27">
        <f>G553</f>
        <v>6986650</v>
      </c>
      <c r="H552" s="27">
        <f t="shared" ref="H552:I552" si="380">H553</f>
        <v>7009240</v>
      </c>
      <c r="I552" s="27">
        <f t="shared" si="380"/>
        <v>7009240</v>
      </c>
      <c r="J552" s="16">
        <f>'БА в тыс. руб.'!G552*1000</f>
        <v>6986650</v>
      </c>
      <c r="K552" s="169">
        <f t="shared" si="359"/>
        <v>0</v>
      </c>
      <c r="L552" s="16">
        <f>'БА в тыс. руб.'!H552*1000</f>
        <v>7009240</v>
      </c>
      <c r="M552" s="169">
        <f t="shared" si="360"/>
        <v>0</v>
      </c>
      <c r="N552" s="16">
        <f>'БА в тыс. руб.'!I552*1000</f>
        <v>7009240</v>
      </c>
      <c r="O552" s="169">
        <f t="shared" si="361"/>
        <v>0</v>
      </c>
    </row>
    <row r="553" spans="1:15" s="83" customFormat="1" ht="38.25">
      <c r="A553" s="12" t="s">
        <v>1018</v>
      </c>
      <c r="B553" s="25" t="s">
        <v>69</v>
      </c>
      <c r="C553" s="26" t="s">
        <v>71</v>
      </c>
      <c r="D553" s="26" t="s">
        <v>71</v>
      </c>
      <c r="E553" s="26" t="s">
        <v>354</v>
      </c>
      <c r="F553" s="26" t="s">
        <v>16</v>
      </c>
      <c r="G553" s="27">
        <f t="shared" ref="G553" si="381">J553</f>
        <v>6986650</v>
      </c>
      <c r="H553" s="27">
        <f>L553</f>
        <v>7009240</v>
      </c>
      <c r="I553" s="27">
        <f>N553</f>
        <v>7009240</v>
      </c>
      <c r="J553" s="16">
        <f>'БА в тыс. руб.'!G553*1000</f>
        <v>6986650</v>
      </c>
      <c r="K553" s="169">
        <f t="shared" si="359"/>
        <v>0</v>
      </c>
      <c r="L553" s="16">
        <f>'БА в тыс. руб.'!H553*1000</f>
        <v>7009240</v>
      </c>
      <c r="M553" s="169">
        <f t="shared" si="360"/>
        <v>0</v>
      </c>
      <c r="N553" s="16">
        <f>'БА в тыс. руб.'!I553*1000</f>
        <v>7009240</v>
      </c>
      <c r="O553" s="169">
        <f t="shared" si="361"/>
        <v>0</v>
      </c>
    </row>
    <row r="554" spans="1:15" s="30" customFormat="1">
      <c r="A554" s="11" t="s">
        <v>355</v>
      </c>
      <c r="B554" s="25" t="s">
        <v>69</v>
      </c>
      <c r="C554" s="26" t="s">
        <v>71</v>
      </c>
      <c r="D554" s="26" t="s">
        <v>71</v>
      </c>
      <c r="E554" s="26" t="s">
        <v>356</v>
      </c>
      <c r="F554" s="26" t="s">
        <v>58</v>
      </c>
      <c r="G554" s="27">
        <f>G555</f>
        <v>17867370</v>
      </c>
      <c r="H554" s="27">
        <f>H555</f>
        <v>17867370</v>
      </c>
      <c r="I554" s="27">
        <f>I555</f>
        <v>17867370</v>
      </c>
      <c r="J554" s="16">
        <f>'БА в тыс. руб.'!G554*1000</f>
        <v>17867370</v>
      </c>
      <c r="K554" s="169">
        <f t="shared" si="359"/>
        <v>0</v>
      </c>
      <c r="L554" s="16">
        <f>'БА в тыс. руб.'!H554*1000</f>
        <v>17867370</v>
      </c>
      <c r="M554" s="169">
        <f t="shared" si="360"/>
        <v>0</v>
      </c>
      <c r="N554" s="16">
        <f>'БА в тыс. руб.'!I554*1000</f>
        <v>17867370</v>
      </c>
      <c r="O554" s="169">
        <f t="shared" si="361"/>
        <v>0</v>
      </c>
    </row>
    <row r="555" spans="1:15" s="30" customFormat="1">
      <c r="A555" s="13" t="s">
        <v>92</v>
      </c>
      <c r="B555" s="25" t="s">
        <v>69</v>
      </c>
      <c r="C555" s="26" t="s">
        <v>71</v>
      </c>
      <c r="D555" s="26" t="s">
        <v>71</v>
      </c>
      <c r="E555" s="26" t="s">
        <v>356</v>
      </c>
      <c r="F555" s="26" t="s">
        <v>138</v>
      </c>
      <c r="G555" s="27">
        <f>G556</f>
        <v>17867370</v>
      </c>
      <c r="H555" s="27">
        <f t="shared" ref="H555:I555" si="382">H556</f>
        <v>17867370</v>
      </c>
      <c r="I555" s="27">
        <f t="shared" si="382"/>
        <v>17867370</v>
      </c>
      <c r="J555" s="16">
        <f>'БА в тыс. руб.'!G555*1000</f>
        <v>17867370</v>
      </c>
      <c r="K555" s="169">
        <f t="shared" si="359"/>
        <v>0</v>
      </c>
      <c r="L555" s="16">
        <f>'БА в тыс. руб.'!H555*1000</f>
        <v>17867370</v>
      </c>
      <c r="M555" s="169">
        <f t="shared" si="360"/>
        <v>0</v>
      </c>
      <c r="N555" s="16">
        <f>'БА в тыс. руб.'!I555*1000</f>
        <v>17867370</v>
      </c>
      <c r="O555" s="169">
        <f t="shared" si="361"/>
        <v>0</v>
      </c>
    </row>
    <row r="556" spans="1:15" s="83" customFormat="1">
      <c r="A556" s="12" t="s">
        <v>1016</v>
      </c>
      <c r="B556" s="25" t="s">
        <v>69</v>
      </c>
      <c r="C556" s="26" t="s">
        <v>71</v>
      </c>
      <c r="D556" s="26" t="s">
        <v>71</v>
      </c>
      <c r="E556" s="26" t="s">
        <v>356</v>
      </c>
      <c r="F556" s="26" t="s">
        <v>1046</v>
      </c>
      <c r="G556" s="27">
        <f t="shared" ref="G556" si="383">J556</f>
        <v>17867370</v>
      </c>
      <c r="H556" s="27">
        <f>L556</f>
        <v>17867370</v>
      </c>
      <c r="I556" s="27">
        <f>N556</f>
        <v>17867370</v>
      </c>
      <c r="J556" s="16">
        <f>'БА в тыс. руб.'!G556*1000</f>
        <v>17867370</v>
      </c>
      <c r="K556" s="169">
        <f t="shared" si="359"/>
        <v>0</v>
      </c>
      <c r="L556" s="16">
        <f>'БА в тыс. руб.'!H556*1000</f>
        <v>17867370</v>
      </c>
      <c r="M556" s="169">
        <f t="shared" si="360"/>
        <v>0</v>
      </c>
      <c r="N556" s="16">
        <f>'БА в тыс. руб.'!I556*1000</f>
        <v>17867370</v>
      </c>
      <c r="O556" s="169">
        <f t="shared" si="361"/>
        <v>0</v>
      </c>
    </row>
    <row r="557" spans="1:15" s="30" customFormat="1" ht="63.75">
      <c r="A557" s="11" t="s">
        <v>756</v>
      </c>
      <c r="B557" s="25" t="s">
        <v>69</v>
      </c>
      <c r="C557" s="26" t="s">
        <v>71</v>
      </c>
      <c r="D557" s="26" t="s">
        <v>71</v>
      </c>
      <c r="E557" s="26" t="s">
        <v>339</v>
      </c>
      <c r="F557" s="26" t="s">
        <v>58</v>
      </c>
      <c r="G557" s="27">
        <f t="shared" ref="G557:I561" si="384">G558</f>
        <v>115200</v>
      </c>
      <c r="H557" s="27">
        <f t="shared" si="384"/>
        <v>45200</v>
      </c>
      <c r="I557" s="27">
        <f t="shared" si="384"/>
        <v>45200</v>
      </c>
      <c r="J557" s="16">
        <f>'БА в тыс. руб.'!G557*1000</f>
        <v>115200</v>
      </c>
      <c r="K557" s="169">
        <f t="shared" si="359"/>
        <v>0</v>
      </c>
      <c r="L557" s="16">
        <f>'БА в тыс. руб.'!H557*1000</f>
        <v>45200</v>
      </c>
      <c r="M557" s="169">
        <f t="shared" si="360"/>
        <v>0</v>
      </c>
      <c r="N557" s="16">
        <f>'БА в тыс. руб.'!I557*1000</f>
        <v>45200</v>
      </c>
      <c r="O557" s="169">
        <f t="shared" si="361"/>
        <v>0</v>
      </c>
    </row>
    <row r="558" spans="1:15" s="30" customFormat="1" ht="25.5">
      <c r="A558" s="11" t="s">
        <v>136</v>
      </c>
      <c r="B558" s="25" t="s">
        <v>69</v>
      </c>
      <c r="C558" s="26" t="s">
        <v>71</v>
      </c>
      <c r="D558" s="26" t="s">
        <v>71</v>
      </c>
      <c r="E558" s="26" t="s">
        <v>340</v>
      </c>
      <c r="F558" s="26" t="s">
        <v>58</v>
      </c>
      <c r="G558" s="27">
        <f t="shared" si="384"/>
        <v>115200</v>
      </c>
      <c r="H558" s="27">
        <f t="shared" si="384"/>
        <v>45200</v>
      </c>
      <c r="I558" s="27">
        <f t="shared" si="384"/>
        <v>45200</v>
      </c>
      <c r="J558" s="16">
        <f>'БА в тыс. руб.'!G558*1000</f>
        <v>115200</v>
      </c>
      <c r="K558" s="169">
        <f t="shared" si="359"/>
        <v>0</v>
      </c>
      <c r="L558" s="16">
        <f>'БА в тыс. руб.'!H558*1000</f>
        <v>45200</v>
      </c>
      <c r="M558" s="169">
        <f t="shared" si="360"/>
        <v>0</v>
      </c>
      <c r="N558" s="16">
        <f>'БА в тыс. руб.'!I558*1000</f>
        <v>45200</v>
      </c>
      <c r="O558" s="169">
        <f t="shared" si="361"/>
        <v>0</v>
      </c>
    </row>
    <row r="559" spans="1:15" s="30" customFormat="1" ht="25.5">
      <c r="A559" s="11" t="s">
        <v>667</v>
      </c>
      <c r="B559" s="25" t="s">
        <v>69</v>
      </c>
      <c r="C559" s="26" t="s">
        <v>71</v>
      </c>
      <c r="D559" s="26" t="s">
        <v>71</v>
      </c>
      <c r="E559" s="26" t="s">
        <v>609</v>
      </c>
      <c r="F559" s="26" t="s">
        <v>58</v>
      </c>
      <c r="G559" s="27">
        <f t="shared" si="384"/>
        <v>115200</v>
      </c>
      <c r="H559" s="27">
        <f t="shared" si="384"/>
        <v>45200</v>
      </c>
      <c r="I559" s="27">
        <f t="shared" si="384"/>
        <v>45200</v>
      </c>
      <c r="J559" s="16">
        <f>'БА в тыс. руб.'!G559*1000</f>
        <v>115200</v>
      </c>
      <c r="K559" s="169">
        <f t="shared" si="359"/>
        <v>0</v>
      </c>
      <c r="L559" s="16">
        <f>'БА в тыс. руб.'!H559*1000</f>
        <v>45200</v>
      </c>
      <c r="M559" s="169">
        <f t="shared" si="360"/>
        <v>0</v>
      </c>
      <c r="N559" s="16">
        <f>'БА в тыс. руб.'!I559*1000</f>
        <v>45200</v>
      </c>
      <c r="O559" s="169">
        <f t="shared" si="361"/>
        <v>0</v>
      </c>
    </row>
    <row r="560" spans="1:15" s="30" customFormat="1" ht="38.25">
      <c r="A560" s="11" t="s">
        <v>177</v>
      </c>
      <c r="B560" s="25" t="s">
        <v>69</v>
      </c>
      <c r="C560" s="26" t="s">
        <v>71</v>
      </c>
      <c r="D560" s="26" t="s">
        <v>71</v>
      </c>
      <c r="E560" s="26" t="s">
        <v>610</v>
      </c>
      <c r="F560" s="26" t="s">
        <v>58</v>
      </c>
      <c r="G560" s="27">
        <f t="shared" si="384"/>
        <v>115200</v>
      </c>
      <c r="H560" s="27">
        <f t="shared" si="384"/>
        <v>45200</v>
      </c>
      <c r="I560" s="27">
        <f t="shared" si="384"/>
        <v>45200</v>
      </c>
      <c r="J560" s="16">
        <f>'БА в тыс. руб.'!G560*1000</f>
        <v>115200</v>
      </c>
      <c r="K560" s="169">
        <f t="shared" si="359"/>
        <v>0</v>
      </c>
      <c r="L560" s="16">
        <f>'БА в тыс. руб.'!H560*1000</f>
        <v>45200</v>
      </c>
      <c r="M560" s="169">
        <f t="shared" si="360"/>
        <v>0</v>
      </c>
      <c r="N560" s="16">
        <f>'БА в тыс. руб.'!I560*1000</f>
        <v>45200</v>
      </c>
      <c r="O560" s="169">
        <f t="shared" si="361"/>
        <v>0</v>
      </c>
    </row>
    <row r="561" spans="1:15" s="30" customFormat="1">
      <c r="A561" s="13" t="s">
        <v>93</v>
      </c>
      <c r="B561" s="25" t="s">
        <v>69</v>
      </c>
      <c r="C561" s="26" t="s">
        <v>71</v>
      </c>
      <c r="D561" s="26" t="s">
        <v>71</v>
      </c>
      <c r="E561" s="26" t="s">
        <v>610</v>
      </c>
      <c r="F561" s="26" t="s">
        <v>20</v>
      </c>
      <c r="G561" s="27">
        <f>G562</f>
        <v>115200</v>
      </c>
      <c r="H561" s="27">
        <f t="shared" si="384"/>
        <v>45200</v>
      </c>
      <c r="I561" s="27">
        <f t="shared" si="384"/>
        <v>45200</v>
      </c>
      <c r="J561" s="16">
        <f>'БА в тыс. руб.'!G561*1000</f>
        <v>115200</v>
      </c>
      <c r="K561" s="169">
        <f t="shared" si="359"/>
        <v>0</v>
      </c>
      <c r="L561" s="16">
        <f>'БА в тыс. руб.'!H561*1000</f>
        <v>45200</v>
      </c>
      <c r="M561" s="169">
        <f t="shared" si="360"/>
        <v>0</v>
      </c>
      <c r="N561" s="16">
        <f>'БА в тыс. руб.'!I561*1000</f>
        <v>45200</v>
      </c>
      <c r="O561" s="169">
        <f t="shared" si="361"/>
        <v>0</v>
      </c>
    </row>
    <row r="562" spans="1:15" s="83" customFormat="1">
      <c r="A562" s="12" t="s">
        <v>1019</v>
      </c>
      <c r="B562" s="25" t="s">
        <v>69</v>
      </c>
      <c r="C562" s="26" t="s">
        <v>71</v>
      </c>
      <c r="D562" s="26" t="s">
        <v>71</v>
      </c>
      <c r="E562" s="26" t="s">
        <v>610</v>
      </c>
      <c r="F562" s="26" t="s">
        <v>1054</v>
      </c>
      <c r="G562" s="27">
        <f t="shared" ref="G562" si="385">J562</f>
        <v>115200</v>
      </c>
      <c r="H562" s="27">
        <f>L562</f>
        <v>45200</v>
      </c>
      <c r="I562" s="27">
        <f>N562</f>
        <v>45200</v>
      </c>
      <c r="J562" s="16">
        <f>'БА в тыс. руб.'!G562*1000</f>
        <v>115200</v>
      </c>
      <c r="K562" s="169">
        <f t="shared" si="359"/>
        <v>0</v>
      </c>
      <c r="L562" s="16">
        <f>'БА в тыс. руб.'!H562*1000</f>
        <v>45200</v>
      </c>
      <c r="M562" s="169">
        <f t="shared" si="360"/>
        <v>0</v>
      </c>
      <c r="N562" s="16">
        <f>'БА в тыс. руб.'!I562*1000</f>
        <v>45200</v>
      </c>
      <c r="O562" s="169">
        <f t="shared" si="361"/>
        <v>0</v>
      </c>
    </row>
    <row r="563" spans="1:15" s="30" customFormat="1">
      <c r="A563" s="21" t="s">
        <v>24</v>
      </c>
      <c r="B563" s="22" t="s">
        <v>69</v>
      </c>
      <c r="C563" s="23" t="s">
        <v>71</v>
      </c>
      <c r="D563" s="23" t="s">
        <v>25</v>
      </c>
      <c r="E563" s="23" t="s">
        <v>196</v>
      </c>
      <c r="F563" s="23" t="s">
        <v>58</v>
      </c>
      <c r="G563" s="24">
        <f>G564+G582+G588</f>
        <v>44170170</v>
      </c>
      <c r="H563" s="24">
        <f>H564+H582+H588</f>
        <v>43599580</v>
      </c>
      <c r="I563" s="24">
        <f>I564+I582+I588</f>
        <v>43599580</v>
      </c>
      <c r="J563" s="16">
        <f>'БА в тыс. руб.'!G563*1000</f>
        <v>44170170</v>
      </c>
      <c r="K563" s="169">
        <f t="shared" si="359"/>
        <v>0</v>
      </c>
      <c r="L563" s="16">
        <f>'БА в тыс. руб.'!H563*1000</f>
        <v>43599580</v>
      </c>
      <c r="M563" s="169">
        <f t="shared" si="360"/>
        <v>0</v>
      </c>
      <c r="N563" s="16">
        <f>'БА в тыс. руб.'!I563*1000</f>
        <v>43599580</v>
      </c>
      <c r="O563" s="169">
        <f t="shared" si="361"/>
        <v>0</v>
      </c>
    </row>
    <row r="564" spans="1:15" s="30" customFormat="1" ht="25.5">
      <c r="A564" s="13" t="s">
        <v>723</v>
      </c>
      <c r="B564" s="25" t="s">
        <v>69</v>
      </c>
      <c r="C564" s="26" t="s">
        <v>71</v>
      </c>
      <c r="D564" s="26" t="s">
        <v>25</v>
      </c>
      <c r="E564" s="26" t="s">
        <v>331</v>
      </c>
      <c r="F564" s="26" t="s">
        <v>58</v>
      </c>
      <c r="G564" s="27">
        <f>G565</f>
        <v>18420000</v>
      </c>
      <c r="H564" s="27">
        <f>H565</f>
        <v>17843770</v>
      </c>
      <c r="I564" s="27">
        <f>I565</f>
        <v>17843770</v>
      </c>
      <c r="J564" s="16">
        <f>'БА в тыс. руб.'!G564*1000</f>
        <v>18420000</v>
      </c>
      <c r="K564" s="169">
        <f t="shared" si="359"/>
        <v>0</v>
      </c>
      <c r="L564" s="16">
        <f>'БА в тыс. руб.'!H564*1000</f>
        <v>17843770</v>
      </c>
      <c r="M564" s="169">
        <f t="shared" si="360"/>
        <v>0</v>
      </c>
      <c r="N564" s="16">
        <f>'БА в тыс. руб.'!I564*1000</f>
        <v>17843770</v>
      </c>
      <c r="O564" s="169">
        <f t="shared" si="361"/>
        <v>0</v>
      </c>
    </row>
    <row r="565" spans="1:15" s="30" customFormat="1" ht="25.5">
      <c r="A565" s="13" t="s">
        <v>860</v>
      </c>
      <c r="B565" s="25" t="s">
        <v>69</v>
      </c>
      <c r="C565" s="26" t="s">
        <v>71</v>
      </c>
      <c r="D565" s="26" t="s">
        <v>25</v>
      </c>
      <c r="E565" s="26" t="s">
        <v>332</v>
      </c>
      <c r="F565" s="26" t="s">
        <v>58</v>
      </c>
      <c r="G565" s="27">
        <f>G566+G570+G578</f>
        <v>18420000</v>
      </c>
      <c r="H565" s="27">
        <f>H566+H570+H578</f>
        <v>17843770</v>
      </c>
      <c r="I565" s="27">
        <f>I566+I570+I578</f>
        <v>17843770</v>
      </c>
      <c r="J565" s="16">
        <f>'БА в тыс. руб.'!G565*1000</f>
        <v>18420000</v>
      </c>
      <c r="K565" s="169">
        <f t="shared" si="359"/>
        <v>0</v>
      </c>
      <c r="L565" s="16">
        <f>'БА в тыс. руб.'!H565*1000</f>
        <v>17843770</v>
      </c>
      <c r="M565" s="169">
        <f t="shared" si="360"/>
        <v>0</v>
      </c>
      <c r="N565" s="16">
        <f>'БА в тыс. руб.'!I565*1000</f>
        <v>17843770</v>
      </c>
      <c r="O565" s="169">
        <f t="shared" si="361"/>
        <v>0</v>
      </c>
    </row>
    <row r="566" spans="1:15" s="30" customFormat="1" ht="38.25">
      <c r="A566" s="34" t="s">
        <v>630</v>
      </c>
      <c r="B566" s="35" t="s">
        <v>69</v>
      </c>
      <c r="C566" s="36" t="s">
        <v>71</v>
      </c>
      <c r="D566" s="36" t="s">
        <v>25</v>
      </c>
      <c r="E566" s="36" t="s">
        <v>351</v>
      </c>
      <c r="F566" s="36" t="s">
        <v>58</v>
      </c>
      <c r="G566" s="37">
        <f>G567</f>
        <v>6745360</v>
      </c>
      <c r="H566" s="37">
        <f t="shared" ref="H566:I566" si="386">H567</f>
        <v>6769130</v>
      </c>
      <c r="I566" s="37">
        <f t="shared" si="386"/>
        <v>6769130</v>
      </c>
      <c r="J566" s="16">
        <f>'БА в тыс. руб.'!G566*1000</f>
        <v>6745360</v>
      </c>
      <c r="K566" s="169">
        <f t="shared" si="359"/>
        <v>0</v>
      </c>
      <c r="L566" s="16">
        <f>'БА в тыс. руб.'!H566*1000</f>
        <v>6769130</v>
      </c>
      <c r="M566" s="169">
        <f t="shared" si="360"/>
        <v>0</v>
      </c>
      <c r="N566" s="16">
        <f>'БА в тыс. руб.'!I566*1000</f>
        <v>6769130</v>
      </c>
      <c r="O566" s="169">
        <f t="shared" si="361"/>
        <v>0</v>
      </c>
    </row>
    <row r="567" spans="1:15" s="30" customFormat="1" ht="25.5">
      <c r="A567" s="40" t="s">
        <v>247</v>
      </c>
      <c r="B567" s="35" t="s">
        <v>69</v>
      </c>
      <c r="C567" s="36" t="s">
        <v>71</v>
      </c>
      <c r="D567" s="36" t="s">
        <v>25</v>
      </c>
      <c r="E567" s="36" t="s">
        <v>352</v>
      </c>
      <c r="F567" s="36" t="s">
        <v>58</v>
      </c>
      <c r="G567" s="37">
        <f>G568</f>
        <v>6745360</v>
      </c>
      <c r="H567" s="37">
        <f>H568</f>
        <v>6769130</v>
      </c>
      <c r="I567" s="37">
        <f>I568</f>
        <v>6769130</v>
      </c>
      <c r="J567" s="16">
        <f>'БА в тыс. руб.'!G567*1000</f>
        <v>6745360</v>
      </c>
      <c r="K567" s="169">
        <f t="shared" si="359"/>
        <v>0</v>
      </c>
      <c r="L567" s="16">
        <f>'БА в тыс. руб.'!H567*1000</f>
        <v>6769130</v>
      </c>
      <c r="M567" s="169">
        <f t="shared" si="360"/>
        <v>0</v>
      </c>
      <c r="N567" s="16">
        <f>'БА в тыс. руб.'!I567*1000</f>
        <v>6769130</v>
      </c>
      <c r="O567" s="169">
        <f t="shared" si="361"/>
        <v>0</v>
      </c>
    </row>
    <row r="568" spans="1:15" s="30" customFormat="1">
      <c r="A568" s="40" t="s">
        <v>92</v>
      </c>
      <c r="B568" s="35" t="s">
        <v>69</v>
      </c>
      <c r="C568" s="36" t="s">
        <v>71</v>
      </c>
      <c r="D568" s="36" t="s">
        <v>25</v>
      </c>
      <c r="E568" s="36" t="s">
        <v>352</v>
      </c>
      <c r="F568" s="36" t="s">
        <v>138</v>
      </c>
      <c r="G568" s="27">
        <f>G569</f>
        <v>6745360</v>
      </c>
      <c r="H568" s="27">
        <f t="shared" ref="H568:I568" si="387">H569</f>
        <v>6769130</v>
      </c>
      <c r="I568" s="27">
        <f t="shared" si="387"/>
        <v>6769130</v>
      </c>
      <c r="J568" s="16">
        <f>'БА в тыс. руб.'!G568*1000</f>
        <v>6745360</v>
      </c>
      <c r="K568" s="169">
        <f t="shared" si="359"/>
        <v>0</v>
      </c>
      <c r="L568" s="16">
        <f>'БА в тыс. руб.'!H568*1000</f>
        <v>6769130</v>
      </c>
      <c r="M568" s="169">
        <f t="shared" si="360"/>
        <v>0</v>
      </c>
      <c r="N568" s="16">
        <f>'БА в тыс. руб.'!I568*1000</f>
        <v>6769130</v>
      </c>
      <c r="O568" s="169">
        <f t="shared" si="361"/>
        <v>0</v>
      </c>
    </row>
    <row r="569" spans="1:15" s="83" customFormat="1" ht="38.25">
      <c r="A569" s="12" t="s">
        <v>1015</v>
      </c>
      <c r="B569" s="35" t="s">
        <v>69</v>
      </c>
      <c r="C569" s="36" t="s">
        <v>71</v>
      </c>
      <c r="D569" s="36" t="s">
        <v>25</v>
      </c>
      <c r="E569" s="36" t="s">
        <v>352</v>
      </c>
      <c r="F569" s="36" t="s">
        <v>67</v>
      </c>
      <c r="G569" s="27">
        <f t="shared" ref="G569" si="388">J569</f>
        <v>6745360</v>
      </c>
      <c r="H569" s="27">
        <f>L569</f>
        <v>6769130</v>
      </c>
      <c r="I569" s="27">
        <f>N569</f>
        <v>6769130</v>
      </c>
      <c r="J569" s="16">
        <f>'БА в тыс. руб.'!G569*1000</f>
        <v>6745360</v>
      </c>
      <c r="K569" s="169">
        <f t="shared" si="359"/>
        <v>0</v>
      </c>
      <c r="L569" s="16">
        <f>'БА в тыс. руб.'!H569*1000</f>
        <v>6769130</v>
      </c>
      <c r="M569" s="169">
        <f t="shared" si="360"/>
        <v>0</v>
      </c>
      <c r="N569" s="16">
        <f>'БА в тыс. руб.'!I569*1000</f>
        <v>6769130</v>
      </c>
      <c r="O569" s="169">
        <f t="shared" si="361"/>
        <v>0</v>
      </c>
    </row>
    <row r="570" spans="1:15" s="30" customFormat="1" ht="38.25">
      <c r="A570" s="13" t="s">
        <v>633</v>
      </c>
      <c r="B570" s="25" t="s">
        <v>69</v>
      </c>
      <c r="C570" s="26" t="s">
        <v>71</v>
      </c>
      <c r="D570" s="26" t="s">
        <v>25</v>
      </c>
      <c r="E570" s="26" t="s">
        <v>357</v>
      </c>
      <c r="F570" s="26" t="s">
        <v>58</v>
      </c>
      <c r="G570" s="27">
        <f>G571</f>
        <v>4728790</v>
      </c>
      <c r="H570" s="27">
        <f>H571</f>
        <v>4128790</v>
      </c>
      <c r="I570" s="27">
        <f>I571</f>
        <v>4128790</v>
      </c>
      <c r="J570" s="16">
        <f>'БА в тыс. руб.'!G570*1000</f>
        <v>4728790</v>
      </c>
      <c r="K570" s="169">
        <f t="shared" si="359"/>
        <v>0</v>
      </c>
      <c r="L570" s="16">
        <f>'БА в тыс. руб.'!H570*1000</f>
        <v>4128790</v>
      </c>
      <c r="M570" s="169">
        <f t="shared" si="360"/>
        <v>0</v>
      </c>
      <c r="N570" s="16">
        <f>'БА в тыс. руб.'!I570*1000</f>
        <v>4128790</v>
      </c>
      <c r="O570" s="169">
        <f t="shared" si="361"/>
        <v>0</v>
      </c>
    </row>
    <row r="571" spans="1:15" s="30" customFormat="1">
      <c r="A571" s="13" t="s">
        <v>139</v>
      </c>
      <c r="B571" s="25" t="s">
        <v>69</v>
      </c>
      <c r="C571" s="26" t="s">
        <v>71</v>
      </c>
      <c r="D571" s="26" t="s">
        <v>25</v>
      </c>
      <c r="E571" s="26" t="s">
        <v>632</v>
      </c>
      <c r="F571" s="26" t="s">
        <v>58</v>
      </c>
      <c r="G571" s="27">
        <f>G572+G574+G576</f>
        <v>4728790</v>
      </c>
      <c r="H571" s="27">
        <f>H572+H574+H576</f>
        <v>4128790</v>
      </c>
      <c r="I571" s="27">
        <f>I572+I574+I576</f>
        <v>4128790</v>
      </c>
      <c r="J571" s="16">
        <f>'БА в тыс. руб.'!G571*1000</f>
        <v>4728790</v>
      </c>
      <c r="K571" s="169">
        <f t="shared" si="359"/>
        <v>0</v>
      </c>
      <c r="L571" s="16">
        <f>'БА в тыс. руб.'!H571*1000</f>
        <v>4128790</v>
      </c>
      <c r="M571" s="169">
        <f t="shared" si="360"/>
        <v>0</v>
      </c>
      <c r="N571" s="16">
        <f>'БА в тыс. руб.'!I571*1000</f>
        <v>4128790</v>
      </c>
      <c r="O571" s="169">
        <f t="shared" si="361"/>
        <v>0</v>
      </c>
    </row>
    <row r="572" spans="1:15" s="30" customFormat="1" ht="25.5">
      <c r="A572" s="11" t="s">
        <v>108</v>
      </c>
      <c r="B572" s="25" t="s">
        <v>69</v>
      </c>
      <c r="C572" s="26" t="s">
        <v>71</v>
      </c>
      <c r="D572" s="26" t="s">
        <v>25</v>
      </c>
      <c r="E572" s="26" t="s">
        <v>632</v>
      </c>
      <c r="F572" s="26" t="s">
        <v>116</v>
      </c>
      <c r="G572" s="27">
        <f>G573</f>
        <v>200000</v>
      </c>
      <c r="H572" s="27">
        <f t="shared" ref="H572:I572" si="389">H573</f>
        <v>200000</v>
      </c>
      <c r="I572" s="27">
        <f t="shared" si="389"/>
        <v>200000</v>
      </c>
      <c r="J572" s="16">
        <f>'БА в тыс. руб.'!G572*1000</f>
        <v>200000</v>
      </c>
      <c r="K572" s="169">
        <f t="shared" si="359"/>
        <v>0</v>
      </c>
      <c r="L572" s="16">
        <f>'БА в тыс. руб.'!H572*1000</f>
        <v>200000</v>
      </c>
      <c r="M572" s="169">
        <f t="shared" si="360"/>
        <v>0</v>
      </c>
      <c r="N572" s="16">
        <f>'БА в тыс. руб.'!I572*1000</f>
        <v>200000</v>
      </c>
      <c r="O572" s="169">
        <f t="shared" si="361"/>
        <v>0</v>
      </c>
    </row>
    <row r="573" spans="1:15" s="83" customFormat="1" ht="25.5">
      <c r="A573" s="12" t="s">
        <v>973</v>
      </c>
      <c r="B573" s="25" t="s">
        <v>69</v>
      </c>
      <c r="C573" s="26" t="s">
        <v>71</v>
      </c>
      <c r="D573" s="26" t="s">
        <v>25</v>
      </c>
      <c r="E573" s="26" t="s">
        <v>632</v>
      </c>
      <c r="F573" s="26" t="s">
        <v>1043</v>
      </c>
      <c r="G573" s="27">
        <f t="shared" ref="G573" si="390">J573</f>
        <v>200000</v>
      </c>
      <c r="H573" s="27">
        <f>L573</f>
        <v>200000</v>
      </c>
      <c r="I573" s="27">
        <f>N573</f>
        <v>200000</v>
      </c>
      <c r="J573" s="16">
        <f>'БА в тыс. руб.'!G573*1000</f>
        <v>200000</v>
      </c>
      <c r="K573" s="169">
        <f t="shared" si="359"/>
        <v>0</v>
      </c>
      <c r="L573" s="16">
        <f>'БА в тыс. руб.'!H573*1000</f>
        <v>200000</v>
      </c>
      <c r="M573" s="169">
        <f t="shared" si="360"/>
        <v>0</v>
      </c>
      <c r="N573" s="16">
        <f>'БА в тыс. руб.'!I573*1000</f>
        <v>200000</v>
      </c>
      <c r="O573" s="169">
        <f t="shared" si="361"/>
        <v>0</v>
      </c>
    </row>
    <row r="574" spans="1:15" s="30" customFormat="1">
      <c r="A574" s="13" t="s">
        <v>92</v>
      </c>
      <c r="B574" s="25" t="s">
        <v>69</v>
      </c>
      <c r="C574" s="26" t="s">
        <v>71</v>
      </c>
      <c r="D574" s="26" t="s">
        <v>25</v>
      </c>
      <c r="E574" s="26" t="s">
        <v>632</v>
      </c>
      <c r="F574" s="26" t="s">
        <v>138</v>
      </c>
      <c r="G574" s="27">
        <f>G575</f>
        <v>4183500</v>
      </c>
      <c r="H574" s="27">
        <f t="shared" ref="H574:I574" si="391">H575</f>
        <v>3583500</v>
      </c>
      <c r="I574" s="27">
        <f t="shared" si="391"/>
        <v>3583500</v>
      </c>
      <c r="J574" s="16">
        <f>'БА в тыс. руб.'!G574*1000</f>
        <v>4183500</v>
      </c>
      <c r="K574" s="169">
        <f t="shared" si="359"/>
        <v>0</v>
      </c>
      <c r="L574" s="16">
        <f>'БА в тыс. руб.'!H574*1000</f>
        <v>3583500</v>
      </c>
      <c r="M574" s="169">
        <f t="shared" si="360"/>
        <v>0</v>
      </c>
      <c r="N574" s="16">
        <f>'БА в тыс. руб.'!I574*1000</f>
        <v>3583500</v>
      </c>
      <c r="O574" s="169">
        <f t="shared" si="361"/>
        <v>0</v>
      </c>
    </row>
    <row r="575" spans="1:15" s="83" customFormat="1">
      <c r="A575" s="12" t="s">
        <v>1016</v>
      </c>
      <c r="B575" s="25" t="s">
        <v>69</v>
      </c>
      <c r="C575" s="26" t="s">
        <v>71</v>
      </c>
      <c r="D575" s="26" t="s">
        <v>25</v>
      </c>
      <c r="E575" s="26" t="s">
        <v>632</v>
      </c>
      <c r="F575" s="26" t="s">
        <v>1046</v>
      </c>
      <c r="G575" s="27">
        <f t="shared" ref="G575" si="392">J575</f>
        <v>4183500</v>
      </c>
      <c r="H575" s="27">
        <f>L575</f>
        <v>3583500</v>
      </c>
      <c r="I575" s="27">
        <f>N575</f>
        <v>3583500</v>
      </c>
      <c r="J575" s="16">
        <f>'БА в тыс. руб.'!G575*1000</f>
        <v>4183500</v>
      </c>
      <c r="K575" s="169">
        <f t="shared" si="359"/>
        <v>0</v>
      </c>
      <c r="L575" s="16">
        <f>'БА в тыс. руб.'!H575*1000</f>
        <v>3583500</v>
      </c>
      <c r="M575" s="169">
        <f t="shared" si="360"/>
        <v>0</v>
      </c>
      <c r="N575" s="16">
        <f>'БА в тыс. руб.'!I575*1000</f>
        <v>3583500</v>
      </c>
      <c r="O575" s="169">
        <f t="shared" si="361"/>
        <v>0</v>
      </c>
    </row>
    <row r="576" spans="1:15" s="30" customFormat="1">
      <c r="A576" s="13" t="s">
        <v>93</v>
      </c>
      <c r="B576" s="25" t="s">
        <v>69</v>
      </c>
      <c r="C576" s="26" t="s">
        <v>71</v>
      </c>
      <c r="D576" s="26" t="s">
        <v>25</v>
      </c>
      <c r="E576" s="26" t="s">
        <v>632</v>
      </c>
      <c r="F576" s="26" t="s">
        <v>20</v>
      </c>
      <c r="G576" s="27">
        <f>G577</f>
        <v>345290</v>
      </c>
      <c r="H576" s="27">
        <f t="shared" ref="H576:I576" si="393">H577</f>
        <v>345290</v>
      </c>
      <c r="I576" s="27">
        <f t="shared" si="393"/>
        <v>345290</v>
      </c>
      <c r="J576" s="16">
        <f>'БА в тыс. руб.'!G576*1000</f>
        <v>345290</v>
      </c>
      <c r="K576" s="169">
        <f t="shared" si="359"/>
        <v>0</v>
      </c>
      <c r="L576" s="16">
        <f>'БА в тыс. руб.'!H576*1000</f>
        <v>345290</v>
      </c>
      <c r="M576" s="169">
        <f t="shared" si="360"/>
        <v>0</v>
      </c>
      <c r="N576" s="16">
        <f>'БА в тыс. руб.'!I576*1000</f>
        <v>345290</v>
      </c>
      <c r="O576" s="169">
        <f t="shared" si="361"/>
        <v>0</v>
      </c>
    </row>
    <row r="577" spans="1:15" s="83" customFormat="1">
      <c r="A577" s="12" t="s">
        <v>1019</v>
      </c>
      <c r="B577" s="25" t="s">
        <v>69</v>
      </c>
      <c r="C577" s="26" t="s">
        <v>71</v>
      </c>
      <c r="D577" s="26" t="s">
        <v>25</v>
      </c>
      <c r="E577" s="26" t="s">
        <v>632</v>
      </c>
      <c r="F577" s="26" t="s">
        <v>1054</v>
      </c>
      <c r="G577" s="27">
        <f t="shared" ref="G577" si="394">J577</f>
        <v>345290</v>
      </c>
      <c r="H577" s="27">
        <f>L577</f>
        <v>345290</v>
      </c>
      <c r="I577" s="27">
        <f>N577</f>
        <v>345290</v>
      </c>
      <c r="J577" s="16">
        <f>'БА в тыс. руб.'!G577*1000</f>
        <v>345290</v>
      </c>
      <c r="K577" s="169">
        <f t="shared" si="359"/>
        <v>0</v>
      </c>
      <c r="L577" s="16">
        <f>'БА в тыс. руб.'!H577*1000</f>
        <v>345290</v>
      </c>
      <c r="M577" s="169">
        <f t="shared" si="360"/>
        <v>0</v>
      </c>
      <c r="N577" s="16">
        <f>'БА в тыс. руб.'!I577*1000</f>
        <v>345290</v>
      </c>
      <c r="O577" s="169">
        <f t="shared" si="361"/>
        <v>0</v>
      </c>
    </row>
    <row r="578" spans="1:15" s="30" customFormat="1" ht="25.5">
      <c r="A578" s="34" t="s">
        <v>674</v>
      </c>
      <c r="B578" s="35" t="s">
        <v>69</v>
      </c>
      <c r="C578" s="36" t="s">
        <v>71</v>
      </c>
      <c r="D578" s="36" t="s">
        <v>25</v>
      </c>
      <c r="E578" s="36" t="s">
        <v>665</v>
      </c>
      <c r="F578" s="36" t="s">
        <v>58</v>
      </c>
      <c r="G578" s="37">
        <f>G579</f>
        <v>6945850</v>
      </c>
      <c r="H578" s="37">
        <f t="shared" ref="H578:I578" si="395">H579</f>
        <v>6945850</v>
      </c>
      <c r="I578" s="37">
        <f t="shared" si="395"/>
        <v>6945850</v>
      </c>
      <c r="J578" s="16">
        <f>'БА в тыс. руб.'!G578*1000</f>
        <v>6945850</v>
      </c>
      <c r="K578" s="169">
        <f t="shared" si="359"/>
        <v>0</v>
      </c>
      <c r="L578" s="16">
        <f>'БА в тыс. руб.'!H578*1000</f>
        <v>6945850</v>
      </c>
      <c r="M578" s="169">
        <f t="shared" si="360"/>
        <v>0</v>
      </c>
      <c r="N578" s="16">
        <f>'БА в тыс. руб.'!I578*1000</f>
        <v>6945850</v>
      </c>
      <c r="O578" s="169">
        <f t="shared" si="361"/>
        <v>0</v>
      </c>
    </row>
    <row r="579" spans="1:15" s="30" customFormat="1" ht="25.5">
      <c r="A579" s="40" t="s">
        <v>247</v>
      </c>
      <c r="B579" s="35" t="s">
        <v>69</v>
      </c>
      <c r="C579" s="36" t="s">
        <v>71</v>
      </c>
      <c r="D579" s="36" t="s">
        <v>25</v>
      </c>
      <c r="E579" s="36" t="s">
        <v>666</v>
      </c>
      <c r="F579" s="36" t="s">
        <v>58</v>
      </c>
      <c r="G579" s="37">
        <f>SUM(G580:G580)</f>
        <v>6945850</v>
      </c>
      <c r="H579" s="37">
        <f>SUM(H580:H580)</f>
        <v>6945850</v>
      </c>
      <c r="I579" s="37">
        <f>SUM(I580:I580)</f>
        <v>6945850</v>
      </c>
      <c r="J579" s="16">
        <f>'БА в тыс. руб.'!G579*1000</f>
        <v>6945850</v>
      </c>
      <c r="K579" s="169">
        <f t="shared" si="359"/>
        <v>0</v>
      </c>
      <c r="L579" s="16">
        <f>'БА в тыс. руб.'!H579*1000</f>
        <v>6945850</v>
      </c>
      <c r="M579" s="169">
        <f t="shared" si="360"/>
        <v>0</v>
      </c>
      <c r="N579" s="16">
        <f>'БА в тыс. руб.'!I579*1000</f>
        <v>6945850</v>
      </c>
      <c r="O579" s="169">
        <f t="shared" si="361"/>
        <v>0</v>
      </c>
    </row>
    <row r="580" spans="1:15" s="30" customFormat="1">
      <c r="A580" s="40" t="s">
        <v>92</v>
      </c>
      <c r="B580" s="35" t="s">
        <v>69</v>
      </c>
      <c r="C580" s="36" t="s">
        <v>71</v>
      </c>
      <c r="D580" s="36" t="s">
        <v>25</v>
      </c>
      <c r="E580" s="36" t="s">
        <v>666</v>
      </c>
      <c r="F580" s="36" t="s">
        <v>138</v>
      </c>
      <c r="G580" s="27">
        <f>G581</f>
        <v>6945850</v>
      </c>
      <c r="H580" s="27">
        <f t="shared" ref="H580:I580" si="396">H581</f>
        <v>6945850</v>
      </c>
      <c r="I580" s="27">
        <f t="shared" si="396"/>
        <v>6945850</v>
      </c>
      <c r="J580" s="16">
        <f>'БА в тыс. руб.'!G580*1000</f>
        <v>6945850</v>
      </c>
      <c r="K580" s="169">
        <f t="shared" si="359"/>
        <v>0</v>
      </c>
      <c r="L580" s="16">
        <f>'БА в тыс. руб.'!H580*1000</f>
        <v>6945850</v>
      </c>
      <c r="M580" s="169">
        <f t="shared" si="360"/>
        <v>0</v>
      </c>
      <c r="N580" s="16">
        <f>'БА в тыс. руб.'!I580*1000</f>
        <v>6945850</v>
      </c>
      <c r="O580" s="169">
        <f t="shared" si="361"/>
        <v>0</v>
      </c>
    </row>
    <row r="581" spans="1:15" s="83" customFormat="1" ht="38.25">
      <c r="A581" s="12" t="s">
        <v>1015</v>
      </c>
      <c r="B581" s="35" t="s">
        <v>69</v>
      </c>
      <c r="C581" s="36" t="s">
        <v>71</v>
      </c>
      <c r="D581" s="36" t="s">
        <v>25</v>
      </c>
      <c r="E581" s="36" t="s">
        <v>666</v>
      </c>
      <c r="F581" s="36" t="s">
        <v>67</v>
      </c>
      <c r="G581" s="27">
        <f t="shared" ref="G581" si="397">J581</f>
        <v>6945850</v>
      </c>
      <c r="H581" s="27">
        <f>L581</f>
        <v>6945850</v>
      </c>
      <c r="I581" s="27">
        <f>N581</f>
        <v>6945850</v>
      </c>
      <c r="J581" s="16">
        <f>'БА в тыс. руб.'!G581*1000</f>
        <v>6945850</v>
      </c>
      <c r="K581" s="169">
        <f t="shared" si="359"/>
        <v>0</v>
      </c>
      <c r="L581" s="16">
        <f>'БА в тыс. руб.'!H581*1000</f>
        <v>6945850</v>
      </c>
      <c r="M581" s="169">
        <f t="shared" si="360"/>
        <v>0</v>
      </c>
      <c r="N581" s="16">
        <f>'БА в тыс. руб.'!I581*1000</f>
        <v>6945850</v>
      </c>
      <c r="O581" s="169">
        <f t="shared" si="361"/>
        <v>0</v>
      </c>
    </row>
    <row r="582" spans="1:15" s="30" customFormat="1" ht="63.75">
      <c r="A582" s="11" t="s">
        <v>756</v>
      </c>
      <c r="B582" s="25" t="s">
        <v>69</v>
      </c>
      <c r="C582" s="26" t="s">
        <v>71</v>
      </c>
      <c r="D582" s="26" t="s">
        <v>25</v>
      </c>
      <c r="E582" s="26" t="s">
        <v>339</v>
      </c>
      <c r="F582" s="26" t="s">
        <v>58</v>
      </c>
      <c r="G582" s="27">
        <f t="shared" ref="G582:I586" si="398">G583</f>
        <v>73000</v>
      </c>
      <c r="H582" s="27">
        <f t="shared" si="398"/>
        <v>63000</v>
      </c>
      <c r="I582" s="27">
        <f t="shared" si="398"/>
        <v>63000</v>
      </c>
      <c r="J582" s="16">
        <f>'БА в тыс. руб.'!G582*1000</f>
        <v>73000</v>
      </c>
      <c r="K582" s="169">
        <f t="shared" si="359"/>
        <v>0</v>
      </c>
      <c r="L582" s="16">
        <f>'БА в тыс. руб.'!H582*1000</f>
        <v>63000</v>
      </c>
      <c r="M582" s="169">
        <f t="shared" si="360"/>
        <v>0</v>
      </c>
      <c r="N582" s="16">
        <f>'БА в тыс. руб.'!I582*1000</f>
        <v>63000</v>
      </c>
      <c r="O582" s="169">
        <f t="shared" si="361"/>
        <v>0</v>
      </c>
    </row>
    <row r="583" spans="1:15" s="30" customFormat="1" ht="25.5">
      <c r="A583" s="11" t="s">
        <v>136</v>
      </c>
      <c r="B583" s="25" t="s">
        <v>69</v>
      </c>
      <c r="C583" s="26" t="s">
        <v>71</v>
      </c>
      <c r="D583" s="26" t="s">
        <v>25</v>
      </c>
      <c r="E583" s="26" t="s">
        <v>340</v>
      </c>
      <c r="F583" s="26" t="s">
        <v>58</v>
      </c>
      <c r="G583" s="27">
        <f t="shared" si="398"/>
        <v>73000</v>
      </c>
      <c r="H583" s="27">
        <f t="shared" si="398"/>
        <v>63000</v>
      </c>
      <c r="I583" s="27">
        <f t="shared" si="398"/>
        <v>63000</v>
      </c>
      <c r="J583" s="16">
        <f>'БА в тыс. руб.'!G583*1000</f>
        <v>73000</v>
      </c>
      <c r="K583" s="169">
        <f t="shared" si="359"/>
        <v>0</v>
      </c>
      <c r="L583" s="16">
        <f>'БА в тыс. руб.'!H583*1000</f>
        <v>63000</v>
      </c>
      <c r="M583" s="169">
        <f t="shared" si="360"/>
        <v>0</v>
      </c>
      <c r="N583" s="16">
        <f>'БА в тыс. руб.'!I583*1000</f>
        <v>63000</v>
      </c>
      <c r="O583" s="169">
        <f t="shared" si="361"/>
        <v>0</v>
      </c>
    </row>
    <row r="584" spans="1:15" s="30" customFormat="1" ht="25.5">
      <c r="A584" s="11" t="s">
        <v>667</v>
      </c>
      <c r="B584" s="25" t="s">
        <v>69</v>
      </c>
      <c r="C584" s="26" t="s">
        <v>71</v>
      </c>
      <c r="D584" s="26" t="s">
        <v>25</v>
      </c>
      <c r="E584" s="26" t="s">
        <v>609</v>
      </c>
      <c r="F584" s="26" t="s">
        <v>58</v>
      </c>
      <c r="G584" s="27">
        <f t="shared" si="398"/>
        <v>73000</v>
      </c>
      <c r="H584" s="27">
        <f t="shared" si="398"/>
        <v>63000</v>
      </c>
      <c r="I584" s="27">
        <f t="shared" si="398"/>
        <v>63000</v>
      </c>
      <c r="J584" s="16">
        <f>'БА в тыс. руб.'!G584*1000</f>
        <v>73000</v>
      </c>
      <c r="K584" s="169">
        <f t="shared" ref="K584:K647" si="399">J584-G584</f>
        <v>0</v>
      </c>
      <c r="L584" s="16">
        <f>'БА в тыс. руб.'!H584*1000</f>
        <v>63000</v>
      </c>
      <c r="M584" s="169">
        <f t="shared" ref="M584:M647" si="400">L584-H584</f>
        <v>0</v>
      </c>
      <c r="N584" s="16">
        <f>'БА в тыс. руб.'!I584*1000</f>
        <v>63000</v>
      </c>
      <c r="O584" s="169">
        <f t="shared" ref="O584:O647" si="401">N584-I584</f>
        <v>0</v>
      </c>
    </row>
    <row r="585" spans="1:15" s="30" customFormat="1" ht="38.25">
      <c r="A585" s="11" t="s">
        <v>177</v>
      </c>
      <c r="B585" s="25" t="s">
        <v>69</v>
      </c>
      <c r="C585" s="26" t="s">
        <v>71</v>
      </c>
      <c r="D585" s="26" t="s">
        <v>25</v>
      </c>
      <c r="E585" s="26" t="s">
        <v>610</v>
      </c>
      <c r="F585" s="26" t="s">
        <v>58</v>
      </c>
      <c r="G585" s="27">
        <f t="shared" si="398"/>
        <v>73000</v>
      </c>
      <c r="H585" s="27">
        <f t="shared" si="398"/>
        <v>63000</v>
      </c>
      <c r="I585" s="27">
        <f t="shared" si="398"/>
        <v>63000</v>
      </c>
      <c r="J585" s="16">
        <f>'БА в тыс. руб.'!G585*1000</f>
        <v>73000</v>
      </c>
      <c r="K585" s="169">
        <f t="shared" si="399"/>
        <v>0</v>
      </c>
      <c r="L585" s="16">
        <f>'БА в тыс. руб.'!H585*1000</f>
        <v>63000</v>
      </c>
      <c r="M585" s="169">
        <f t="shared" si="400"/>
        <v>0</v>
      </c>
      <c r="N585" s="16">
        <f>'БА в тыс. руб.'!I585*1000</f>
        <v>63000</v>
      </c>
      <c r="O585" s="169">
        <f t="shared" si="401"/>
        <v>0</v>
      </c>
    </row>
    <row r="586" spans="1:15" s="30" customFormat="1">
      <c r="A586" s="13" t="s">
        <v>92</v>
      </c>
      <c r="B586" s="25" t="s">
        <v>69</v>
      </c>
      <c r="C586" s="26" t="s">
        <v>71</v>
      </c>
      <c r="D586" s="26" t="s">
        <v>25</v>
      </c>
      <c r="E586" s="26" t="s">
        <v>610</v>
      </c>
      <c r="F586" s="26" t="s">
        <v>138</v>
      </c>
      <c r="G586" s="27">
        <f>G587</f>
        <v>73000</v>
      </c>
      <c r="H586" s="27">
        <f t="shared" si="398"/>
        <v>63000</v>
      </c>
      <c r="I586" s="27">
        <f t="shared" si="398"/>
        <v>63000</v>
      </c>
      <c r="J586" s="16">
        <f>'БА в тыс. руб.'!G586*1000</f>
        <v>73000</v>
      </c>
      <c r="K586" s="169">
        <f t="shared" si="399"/>
        <v>0</v>
      </c>
      <c r="L586" s="16">
        <f>'БА в тыс. руб.'!H586*1000</f>
        <v>63000</v>
      </c>
      <c r="M586" s="169">
        <f t="shared" si="400"/>
        <v>0</v>
      </c>
      <c r="N586" s="16">
        <f>'БА в тыс. руб.'!I586*1000</f>
        <v>63000</v>
      </c>
      <c r="O586" s="169">
        <f t="shared" si="401"/>
        <v>0</v>
      </c>
    </row>
    <row r="587" spans="1:15" s="83" customFormat="1">
      <c r="A587" s="12" t="s">
        <v>1016</v>
      </c>
      <c r="B587" s="25" t="s">
        <v>69</v>
      </c>
      <c r="C587" s="26" t="s">
        <v>71</v>
      </c>
      <c r="D587" s="26" t="s">
        <v>25</v>
      </c>
      <c r="E587" s="26" t="s">
        <v>610</v>
      </c>
      <c r="F587" s="26" t="s">
        <v>1046</v>
      </c>
      <c r="G587" s="27">
        <f t="shared" ref="G587" si="402">J587</f>
        <v>73000</v>
      </c>
      <c r="H587" s="27">
        <f>L587</f>
        <v>63000</v>
      </c>
      <c r="I587" s="27">
        <f>N587</f>
        <v>63000</v>
      </c>
      <c r="J587" s="16">
        <f>'БА в тыс. руб.'!G587*1000</f>
        <v>73000</v>
      </c>
      <c r="K587" s="169">
        <f t="shared" si="399"/>
        <v>0</v>
      </c>
      <c r="L587" s="16">
        <f>'БА в тыс. руб.'!H587*1000</f>
        <v>63000</v>
      </c>
      <c r="M587" s="169">
        <f t="shared" si="400"/>
        <v>0</v>
      </c>
      <c r="N587" s="16">
        <f>'БА в тыс. руб.'!I587*1000</f>
        <v>63000</v>
      </c>
      <c r="O587" s="169">
        <f t="shared" si="401"/>
        <v>0</v>
      </c>
    </row>
    <row r="588" spans="1:15" s="30" customFormat="1" ht="25.5">
      <c r="A588" s="11" t="s">
        <v>183</v>
      </c>
      <c r="B588" s="25" t="s">
        <v>69</v>
      </c>
      <c r="C588" s="26" t="s">
        <v>71</v>
      </c>
      <c r="D588" s="26" t="s">
        <v>25</v>
      </c>
      <c r="E588" s="26" t="s">
        <v>358</v>
      </c>
      <c r="F588" s="26" t="s">
        <v>58</v>
      </c>
      <c r="G588" s="27">
        <f>G589</f>
        <v>25677170</v>
      </c>
      <c r="H588" s="27">
        <f>H589</f>
        <v>25692810</v>
      </c>
      <c r="I588" s="27">
        <f>I589</f>
        <v>25692810</v>
      </c>
      <c r="J588" s="16">
        <f>'БА в тыс. руб.'!G588*1000</f>
        <v>25677170</v>
      </c>
      <c r="K588" s="169">
        <f t="shared" si="399"/>
        <v>0</v>
      </c>
      <c r="L588" s="16">
        <f>'БА в тыс. руб.'!H588*1000</f>
        <v>25692810.000000004</v>
      </c>
      <c r="M588" s="169">
        <f t="shared" si="400"/>
        <v>0</v>
      </c>
      <c r="N588" s="16">
        <f>'БА в тыс. руб.'!I588*1000</f>
        <v>25692810.000000004</v>
      </c>
      <c r="O588" s="169">
        <f t="shared" si="401"/>
        <v>0</v>
      </c>
    </row>
    <row r="589" spans="1:15" s="30" customFormat="1" ht="25.5">
      <c r="A589" s="11" t="s">
        <v>184</v>
      </c>
      <c r="B589" s="25" t="s">
        <v>69</v>
      </c>
      <c r="C589" s="26" t="s">
        <v>71</v>
      </c>
      <c r="D589" s="26" t="s">
        <v>25</v>
      </c>
      <c r="E589" s="26" t="s">
        <v>359</v>
      </c>
      <c r="F589" s="26" t="s">
        <v>58</v>
      </c>
      <c r="G589" s="27">
        <f>G590+G599+G603</f>
        <v>25677170</v>
      </c>
      <c r="H589" s="27">
        <f>H590+H599+H603</f>
        <v>25692810</v>
      </c>
      <c r="I589" s="27">
        <f>I590+I599+I603</f>
        <v>25692810</v>
      </c>
      <c r="J589" s="16">
        <f>'БА в тыс. руб.'!G589*1000</f>
        <v>25677170</v>
      </c>
      <c r="K589" s="169">
        <f t="shared" si="399"/>
        <v>0</v>
      </c>
      <c r="L589" s="16">
        <f>'БА в тыс. руб.'!H589*1000</f>
        <v>25692810.000000004</v>
      </c>
      <c r="M589" s="169">
        <f t="shared" si="400"/>
        <v>0</v>
      </c>
      <c r="N589" s="16">
        <f>'БА в тыс. руб.'!I589*1000</f>
        <v>25692810.000000004</v>
      </c>
      <c r="O589" s="169">
        <f t="shared" si="401"/>
        <v>0</v>
      </c>
    </row>
    <row r="590" spans="1:15" s="30" customFormat="1" ht="25.5">
      <c r="A590" s="11" t="s">
        <v>114</v>
      </c>
      <c r="B590" s="25" t="s">
        <v>69</v>
      </c>
      <c r="C590" s="26" t="s">
        <v>71</v>
      </c>
      <c r="D590" s="26" t="s">
        <v>25</v>
      </c>
      <c r="E590" s="26" t="s">
        <v>360</v>
      </c>
      <c r="F590" s="26" t="s">
        <v>58</v>
      </c>
      <c r="G590" s="27">
        <f>G591+G594+G596</f>
        <v>2408170</v>
      </c>
      <c r="H590" s="27">
        <f t="shared" ref="H590:I590" si="403">H591+H594+H596</f>
        <v>2423810</v>
      </c>
      <c r="I590" s="27">
        <f t="shared" si="403"/>
        <v>2423810</v>
      </c>
      <c r="J590" s="16">
        <f>'БА в тыс. руб.'!G590*1000</f>
        <v>2408169.9999999995</v>
      </c>
      <c r="K590" s="169">
        <f t="shared" si="399"/>
        <v>0</v>
      </c>
      <c r="L590" s="16">
        <f>'БА в тыс. руб.'!H590*1000</f>
        <v>2423810</v>
      </c>
      <c r="M590" s="169">
        <f t="shared" si="400"/>
        <v>0</v>
      </c>
      <c r="N590" s="16">
        <f>'БА в тыс. руб.'!I590*1000</f>
        <v>2423810</v>
      </c>
      <c r="O590" s="169">
        <f t="shared" si="401"/>
        <v>0</v>
      </c>
    </row>
    <row r="591" spans="1:15" s="30" customFormat="1" ht="25.5">
      <c r="A591" s="11" t="s">
        <v>362</v>
      </c>
      <c r="B591" s="25" t="s">
        <v>69</v>
      </c>
      <c r="C591" s="26" t="s">
        <v>71</v>
      </c>
      <c r="D591" s="26" t="s">
        <v>25</v>
      </c>
      <c r="E591" s="26" t="s">
        <v>360</v>
      </c>
      <c r="F591" s="26" t="s">
        <v>115</v>
      </c>
      <c r="G591" s="27">
        <f>SUM(G592:G593)</f>
        <v>680160</v>
      </c>
      <c r="H591" s="27">
        <f t="shared" ref="H591:I591" si="404">SUM(H592:H593)</f>
        <v>680160</v>
      </c>
      <c r="I591" s="27">
        <f t="shared" si="404"/>
        <v>680160</v>
      </c>
      <c r="J591" s="16">
        <f>'БА в тыс. руб.'!G591*1000</f>
        <v>680160</v>
      </c>
      <c r="K591" s="169">
        <f t="shared" si="399"/>
        <v>0</v>
      </c>
      <c r="L591" s="16">
        <f>'БА в тыс. руб.'!H591*1000</f>
        <v>680160</v>
      </c>
      <c r="M591" s="169">
        <f t="shared" si="400"/>
        <v>0</v>
      </c>
      <c r="N591" s="16">
        <f>'БА в тыс. руб.'!I591*1000</f>
        <v>680160</v>
      </c>
      <c r="O591" s="169">
        <f t="shared" si="401"/>
        <v>0</v>
      </c>
    </row>
    <row r="592" spans="1:15" s="83" customFormat="1" ht="25.5">
      <c r="A592" s="12" t="s">
        <v>937</v>
      </c>
      <c r="B592" s="25" t="s">
        <v>69</v>
      </c>
      <c r="C592" s="26" t="s">
        <v>71</v>
      </c>
      <c r="D592" s="26" t="s">
        <v>25</v>
      </c>
      <c r="E592" s="26" t="s">
        <v>360</v>
      </c>
      <c r="F592" s="26" t="s">
        <v>1059</v>
      </c>
      <c r="G592" s="27">
        <f t="shared" ref="G592:G593" si="405">J592</f>
        <v>522400</v>
      </c>
      <c r="H592" s="27">
        <f t="shared" ref="H592:H593" si="406">L592</f>
        <v>522400</v>
      </c>
      <c r="I592" s="27">
        <f t="shared" ref="I592:I593" si="407">N592</f>
        <v>522400</v>
      </c>
      <c r="J592" s="16">
        <f>'БА в тыс. руб.'!G592*1000</f>
        <v>522400</v>
      </c>
      <c r="K592" s="169">
        <f t="shared" si="399"/>
        <v>0</v>
      </c>
      <c r="L592" s="16">
        <f>'БА в тыс. руб.'!H592*1000</f>
        <v>522400</v>
      </c>
      <c r="M592" s="169">
        <f t="shared" si="400"/>
        <v>0</v>
      </c>
      <c r="N592" s="16">
        <f>'БА в тыс. руб.'!I592*1000</f>
        <v>522400</v>
      </c>
      <c r="O592" s="169">
        <f t="shared" si="401"/>
        <v>0</v>
      </c>
    </row>
    <row r="593" spans="1:15" s="83" customFormat="1" ht="38.25">
      <c r="A593" s="12" t="s">
        <v>939</v>
      </c>
      <c r="B593" s="25" t="s">
        <v>69</v>
      </c>
      <c r="C593" s="26" t="s">
        <v>71</v>
      </c>
      <c r="D593" s="26" t="s">
        <v>25</v>
      </c>
      <c r="E593" s="26" t="s">
        <v>360</v>
      </c>
      <c r="F593" s="26" t="s">
        <v>1060</v>
      </c>
      <c r="G593" s="27">
        <f t="shared" si="405"/>
        <v>157760</v>
      </c>
      <c r="H593" s="27">
        <f t="shared" si="406"/>
        <v>157760</v>
      </c>
      <c r="I593" s="27">
        <f t="shared" si="407"/>
        <v>157760</v>
      </c>
      <c r="J593" s="16">
        <f>'БА в тыс. руб.'!G593*1000</f>
        <v>157760</v>
      </c>
      <c r="K593" s="169">
        <f t="shared" si="399"/>
        <v>0</v>
      </c>
      <c r="L593" s="16">
        <f>'БА в тыс. руб.'!H593*1000</f>
        <v>157760</v>
      </c>
      <c r="M593" s="169">
        <f t="shared" si="400"/>
        <v>0</v>
      </c>
      <c r="N593" s="16">
        <f>'БА в тыс. руб.'!I593*1000</f>
        <v>157760</v>
      </c>
      <c r="O593" s="169">
        <f t="shared" si="401"/>
        <v>0</v>
      </c>
    </row>
    <row r="594" spans="1:15" s="30" customFormat="1" ht="25.5">
      <c r="A594" s="11" t="s">
        <v>108</v>
      </c>
      <c r="B594" s="25" t="s">
        <v>69</v>
      </c>
      <c r="C594" s="26" t="s">
        <v>71</v>
      </c>
      <c r="D594" s="26" t="s">
        <v>25</v>
      </c>
      <c r="E594" s="26" t="s">
        <v>360</v>
      </c>
      <c r="F594" s="26" t="s">
        <v>116</v>
      </c>
      <c r="G594" s="27">
        <f>G595</f>
        <v>1685870</v>
      </c>
      <c r="H594" s="27">
        <f t="shared" ref="H594:I594" si="408">H595</f>
        <v>1701510</v>
      </c>
      <c r="I594" s="27">
        <f t="shared" si="408"/>
        <v>1701510</v>
      </c>
      <c r="J594" s="16">
        <f>'БА в тыс. руб.'!G594*1000</f>
        <v>1685870</v>
      </c>
      <c r="K594" s="169">
        <f t="shared" si="399"/>
        <v>0</v>
      </c>
      <c r="L594" s="16">
        <f>'БА в тыс. руб.'!H594*1000</f>
        <v>1701510</v>
      </c>
      <c r="M594" s="169">
        <f t="shared" si="400"/>
        <v>0</v>
      </c>
      <c r="N594" s="16">
        <f>'БА в тыс. руб.'!I594*1000</f>
        <v>1701510</v>
      </c>
      <c r="O594" s="169">
        <f t="shared" si="401"/>
        <v>0</v>
      </c>
    </row>
    <row r="595" spans="1:15" s="83" customFormat="1" ht="25.5">
      <c r="A595" s="12" t="s">
        <v>973</v>
      </c>
      <c r="B595" s="25" t="s">
        <v>69</v>
      </c>
      <c r="C595" s="26" t="s">
        <v>71</v>
      </c>
      <c r="D595" s="26" t="s">
        <v>25</v>
      </c>
      <c r="E595" s="26" t="s">
        <v>360</v>
      </c>
      <c r="F595" s="26" t="s">
        <v>1043</v>
      </c>
      <c r="G595" s="27">
        <f t="shared" ref="G595" si="409">J595</f>
        <v>1685870</v>
      </c>
      <c r="H595" s="27">
        <f>L595</f>
        <v>1701510</v>
      </c>
      <c r="I595" s="27">
        <f>N595</f>
        <v>1701510</v>
      </c>
      <c r="J595" s="16">
        <f>'БА в тыс. руб.'!G595*1000</f>
        <v>1685870</v>
      </c>
      <c r="K595" s="169">
        <f t="shared" si="399"/>
        <v>0</v>
      </c>
      <c r="L595" s="16">
        <f>'БА в тыс. руб.'!H595*1000</f>
        <v>1701510</v>
      </c>
      <c r="M595" s="169">
        <f t="shared" si="400"/>
        <v>0</v>
      </c>
      <c r="N595" s="16">
        <f>'БА в тыс. руб.'!I595*1000</f>
        <v>1701510</v>
      </c>
      <c r="O595" s="169">
        <f t="shared" si="401"/>
        <v>0</v>
      </c>
    </row>
    <row r="596" spans="1:15" s="30" customFormat="1">
      <c r="A596" s="11" t="s">
        <v>97</v>
      </c>
      <c r="B596" s="25" t="s">
        <v>69</v>
      </c>
      <c r="C596" s="26" t="s">
        <v>71</v>
      </c>
      <c r="D596" s="26" t="s">
        <v>25</v>
      </c>
      <c r="E596" s="26" t="s">
        <v>360</v>
      </c>
      <c r="F596" s="26" t="s">
        <v>118</v>
      </c>
      <c r="G596" s="27">
        <f>SUM(G597:G598)</f>
        <v>42140</v>
      </c>
      <c r="H596" s="27">
        <f t="shared" ref="H596:I596" si="410">SUM(H597:H598)</f>
        <v>42140</v>
      </c>
      <c r="I596" s="27">
        <f t="shared" si="410"/>
        <v>42140</v>
      </c>
      <c r="J596" s="16">
        <f>'БА в тыс. руб.'!G596*1000</f>
        <v>42140</v>
      </c>
      <c r="K596" s="169">
        <f t="shared" si="399"/>
        <v>0</v>
      </c>
      <c r="L596" s="16">
        <f>'БА в тыс. руб.'!H596*1000</f>
        <v>42140</v>
      </c>
      <c r="M596" s="169">
        <f t="shared" si="400"/>
        <v>0</v>
      </c>
      <c r="N596" s="16">
        <f>'БА в тыс. руб.'!I596*1000</f>
        <v>42140</v>
      </c>
      <c r="O596" s="169">
        <f t="shared" si="401"/>
        <v>0</v>
      </c>
    </row>
    <row r="597" spans="1:15" s="83" customFormat="1">
      <c r="A597" s="12" t="s">
        <v>1036</v>
      </c>
      <c r="B597" s="25" t="s">
        <v>69</v>
      </c>
      <c r="C597" s="26" t="s">
        <v>71</v>
      </c>
      <c r="D597" s="26" t="s">
        <v>25</v>
      </c>
      <c r="E597" s="26" t="s">
        <v>360</v>
      </c>
      <c r="F597" s="26" t="s">
        <v>1061</v>
      </c>
      <c r="G597" s="27">
        <f t="shared" ref="G597:G598" si="411">J597</f>
        <v>40240</v>
      </c>
      <c r="H597" s="27">
        <f t="shared" ref="H597:H598" si="412">L597</f>
        <v>40240</v>
      </c>
      <c r="I597" s="27">
        <f t="shared" ref="I597:I598" si="413">N597</f>
        <v>40240</v>
      </c>
      <c r="J597" s="16">
        <f>'БА в тыс. руб.'!G597*1000</f>
        <v>40240</v>
      </c>
      <c r="K597" s="169">
        <f t="shared" si="399"/>
        <v>0</v>
      </c>
      <c r="L597" s="16">
        <f>'БА в тыс. руб.'!H597*1000</f>
        <v>40240</v>
      </c>
      <c r="M597" s="169">
        <f t="shared" si="400"/>
        <v>0</v>
      </c>
      <c r="N597" s="16">
        <f>'БА в тыс. руб.'!I597*1000</f>
        <v>40240</v>
      </c>
      <c r="O597" s="169">
        <f t="shared" si="401"/>
        <v>0</v>
      </c>
    </row>
    <row r="598" spans="1:15" s="83" customFormat="1">
      <c r="A598" s="12" t="s">
        <v>1037</v>
      </c>
      <c r="B598" s="25" t="s">
        <v>69</v>
      </c>
      <c r="C598" s="26" t="s">
        <v>71</v>
      </c>
      <c r="D598" s="26" t="s">
        <v>25</v>
      </c>
      <c r="E598" s="26" t="s">
        <v>360</v>
      </c>
      <c r="F598" s="26" t="s">
        <v>1062</v>
      </c>
      <c r="G598" s="27">
        <f t="shared" si="411"/>
        <v>1900</v>
      </c>
      <c r="H598" s="27">
        <f t="shared" si="412"/>
        <v>1900</v>
      </c>
      <c r="I598" s="27">
        <f t="shared" si="413"/>
        <v>1900</v>
      </c>
      <c r="J598" s="16">
        <f>'БА в тыс. руб.'!G598*1000</f>
        <v>1900</v>
      </c>
      <c r="K598" s="169">
        <f t="shared" si="399"/>
        <v>0</v>
      </c>
      <c r="L598" s="16">
        <f>'БА в тыс. руб.'!H598*1000</f>
        <v>1900</v>
      </c>
      <c r="M598" s="169">
        <f t="shared" si="400"/>
        <v>0</v>
      </c>
      <c r="N598" s="16">
        <f>'БА в тыс. руб.'!I598*1000</f>
        <v>1900</v>
      </c>
      <c r="O598" s="169">
        <f t="shared" si="401"/>
        <v>0</v>
      </c>
    </row>
    <row r="599" spans="1:15" s="30" customFormat="1" ht="25.5">
      <c r="A599" s="11" t="s">
        <v>126</v>
      </c>
      <c r="B599" s="25" t="s">
        <v>69</v>
      </c>
      <c r="C599" s="26" t="s">
        <v>71</v>
      </c>
      <c r="D599" s="26" t="s">
        <v>25</v>
      </c>
      <c r="E599" s="26" t="s">
        <v>361</v>
      </c>
      <c r="F599" s="26" t="s">
        <v>58</v>
      </c>
      <c r="G599" s="27">
        <f>G600</f>
        <v>21297580</v>
      </c>
      <c r="H599" s="27">
        <f>H600</f>
        <v>21297580</v>
      </c>
      <c r="I599" s="27">
        <f>I600</f>
        <v>21297580</v>
      </c>
      <c r="J599" s="16">
        <f>'БА в тыс. руб.'!G599*1000</f>
        <v>21297580</v>
      </c>
      <c r="K599" s="169">
        <f t="shared" si="399"/>
        <v>0</v>
      </c>
      <c r="L599" s="16">
        <f>'БА в тыс. руб.'!H599*1000</f>
        <v>21297580</v>
      </c>
      <c r="M599" s="169">
        <f t="shared" si="400"/>
        <v>0</v>
      </c>
      <c r="N599" s="16">
        <f>'БА в тыс. руб.'!I599*1000</f>
        <v>21297580</v>
      </c>
      <c r="O599" s="169">
        <f t="shared" si="401"/>
        <v>0</v>
      </c>
    </row>
    <row r="600" spans="1:15" s="30" customFormat="1" ht="25.5">
      <c r="A600" s="11" t="s">
        <v>362</v>
      </c>
      <c r="B600" s="25" t="s">
        <v>69</v>
      </c>
      <c r="C600" s="26" t="s">
        <v>71</v>
      </c>
      <c r="D600" s="26" t="s">
        <v>25</v>
      </c>
      <c r="E600" s="26" t="s">
        <v>361</v>
      </c>
      <c r="F600" s="26" t="s">
        <v>115</v>
      </c>
      <c r="G600" s="27">
        <f>SUM(G601:G602)</f>
        <v>21297580</v>
      </c>
      <c r="H600" s="27">
        <f t="shared" ref="H600:I600" si="414">SUM(H601:H602)</f>
        <v>21297580</v>
      </c>
      <c r="I600" s="27">
        <f t="shared" si="414"/>
        <v>21297580</v>
      </c>
      <c r="J600" s="16">
        <f>'БА в тыс. руб.'!G600*1000</f>
        <v>21297580</v>
      </c>
      <c r="K600" s="169">
        <f t="shared" si="399"/>
        <v>0</v>
      </c>
      <c r="L600" s="16">
        <f>'БА в тыс. руб.'!H600*1000</f>
        <v>21297580</v>
      </c>
      <c r="M600" s="169">
        <f t="shared" si="400"/>
        <v>0</v>
      </c>
      <c r="N600" s="16">
        <f>'БА в тыс. руб.'!I600*1000</f>
        <v>21297580</v>
      </c>
      <c r="O600" s="169">
        <f t="shared" si="401"/>
        <v>0</v>
      </c>
    </row>
    <row r="601" spans="1:15" s="83" customFormat="1">
      <c r="A601" s="12" t="s">
        <v>936</v>
      </c>
      <c r="B601" s="25" t="s">
        <v>69</v>
      </c>
      <c r="C601" s="26" t="s">
        <v>71</v>
      </c>
      <c r="D601" s="26" t="s">
        <v>25</v>
      </c>
      <c r="E601" s="26" t="s">
        <v>361</v>
      </c>
      <c r="F601" s="26" t="s">
        <v>1063</v>
      </c>
      <c r="G601" s="27">
        <f t="shared" ref="G601:G602" si="415">J601</f>
        <v>16357590</v>
      </c>
      <c r="H601" s="27">
        <f t="shared" ref="H601:H602" si="416">L601</f>
        <v>16357590</v>
      </c>
      <c r="I601" s="27">
        <f t="shared" ref="I601:I602" si="417">N601</f>
        <v>16357590</v>
      </c>
      <c r="J601" s="16">
        <f>'БА в тыс. руб.'!G601*1000</f>
        <v>16357590</v>
      </c>
      <c r="K601" s="169">
        <f t="shared" si="399"/>
        <v>0</v>
      </c>
      <c r="L601" s="16">
        <f>'БА в тыс. руб.'!H601*1000</f>
        <v>16357590</v>
      </c>
      <c r="M601" s="169">
        <f t="shared" si="400"/>
        <v>0</v>
      </c>
      <c r="N601" s="16">
        <f>'БА в тыс. руб.'!I601*1000</f>
        <v>16357590</v>
      </c>
      <c r="O601" s="169">
        <f t="shared" si="401"/>
        <v>0</v>
      </c>
    </row>
    <row r="602" spans="1:15" s="83" customFormat="1" ht="38.25">
      <c r="A602" s="12" t="s">
        <v>939</v>
      </c>
      <c r="B602" s="25" t="s">
        <v>69</v>
      </c>
      <c r="C602" s="26" t="s">
        <v>71</v>
      </c>
      <c r="D602" s="26" t="s">
        <v>25</v>
      </c>
      <c r="E602" s="26" t="s">
        <v>361</v>
      </c>
      <c r="F602" s="26" t="s">
        <v>1060</v>
      </c>
      <c r="G602" s="27">
        <f t="shared" si="415"/>
        <v>4939990</v>
      </c>
      <c r="H602" s="27">
        <f t="shared" si="416"/>
        <v>4939990</v>
      </c>
      <c r="I602" s="27">
        <f t="shared" si="417"/>
        <v>4939990</v>
      </c>
      <c r="J602" s="16">
        <f>'БА в тыс. руб.'!G602*1000</f>
        <v>4939990</v>
      </c>
      <c r="K602" s="169">
        <f t="shared" si="399"/>
        <v>0</v>
      </c>
      <c r="L602" s="16">
        <f>'БА в тыс. руб.'!H602*1000</f>
        <v>4939990</v>
      </c>
      <c r="M602" s="169">
        <f t="shared" si="400"/>
        <v>0</v>
      </c>
      <c r="N602" s="16">
        <f>'БА в тыс. руб.'!I602*1000</f>
        <v>4939990</v>
      </c>
      <c r="O602" s="169">
        <f t="shared" si="401"/>
        <v>0</v>
      </c>
    </row>
    <row r="603" spans="1:15" s="30" customFormat="1" ht="51">
      <c r="A603" s="11" t="s">
        <v>598</v>
      </c>
      <c r="B603" s="25" t="s">
        <v>69</v>
      </c>
      <c r="C603" s="26" t="s">
        <v>71</v>
      </c>
      <c r="D603" s="26" t="s">
        <v>25</v>
      </c>
      <c r="E603" s="26" t="s">
        <v>363</v>
      </c>
      <c r="F603" s="26" t="s">
        <v>58</v>
      </c>
      <c r="G603" s="27">
        <f>G604</f>
        <v>1971420</v>
      </c>
      <c r="H603" s="27">
        <f>H604</f>
        <v>1971420</v>
      </c>
      <c r="I603" s="27">
        <f>I604</f>
        <v>1971420</v>
      </c>
      <c r="J603" s="16">
        <f>'БА в тыс. руб.'!G603*1000</f>
        <v>1971420</v>
      </c>
      <c r="K603" s="169">
        <f t="shared" si="399"/>
        <v>0</v>
      </c>
      <c r="L603" s="16">
        <f>'БА в тыс. руб.'!H603*1000</f>
        <v>1971420</v>
      </c>
      <c r="M603" s="169">
        <f t="shared" si="400"/>
        <v>0</v>
      </c>
      <c r="N603" s="16">
        <f>'БА в тыс. руб.'!I603*1000</f>
        <v>1971420</v>
      </c>
      <c r="O603" s="169">
        <f t="shared" si="401"/>
        <v>0</v>
      </c>
    </row>
    <row r="604" spans="1:15" s="30" customFormat="1" ht="25.5">
      <c r="A604" s="11" t="s">
        <v>362</v>
      </c>
      <c r="B604" s="25" t="s">
        <v>69</v>
      </c>
      <c r="C604" s="26" t="s">
        <v>71</v>
      </c>
      <c r="D604" s="26" t="s">
        <v>25</v>
      </c>
      <c r="E604" s="26" t="s">
        <v>363</v>
      </c>
      <c r="F604" s="26" t="s">
        <v>115</v>
      </c>
      <c r="G604" s="27">
        <f>SUM(G605:G607)</f>
        <v>1971420</v>
      </c>
      <c r="H604" s="27">
        <f t="shared" ref="H604:I604" si="418">SUM(H605:H607)</f>
        <v>1971420</v>
      </c>
      <c r="I604" s="27">
        <f t="shared" si="418"/>
        <v>1971420</v>
      </c>
      <c r="J604" s="16">
        <f>'БА в тыс. руб.'!G604*1000</f>
        <v>1971420</v>
      </c>
      <c r="K604" s="169">
        <f t="shared" si="399"/>
        <v>0</v>
      </c>
      <c r="L604" s="16">
        <f>'БА в тыс. руб.'!H604*1000</f>
        <v>1971420</v>
      </c>
      <c r="M604" s="169">
        <f t="shared" si="400"/>
        <v>0</v>
      </c>
      <c r="N604" s="16">
        <f>'БА в тыс. руб.'!I604*1000</f>
        <v>1971420</v>
      </c>
      <c r="O604" s="169">
        <f t="shared" si="401"/>
        <v>0</v>
      </c>
    </row>
    <row r="605" spans="1:15" s="83" customFormat="1">
      <c r="A605" s="12" t="s">
        <v>936</v>
      </c>
      <c r="B605" s="25" t="s">
        <v>69</v>
      </c>
      <c r="C605" s="26" t="s">
        <v>71</v>
      </c>
      <c r="D605" s="26" t="s">
        <v>25</v>
      </c>
      <c r="E605" s="26" t="s">
        <v>363</v>
      </c>
      <c r="F605" s="26" t="s">
        <v>1063</v>
      </c>
      <c r="G605" s="27">
        <f t="shared" ref="G605:G607" si="419">J605</f>
        <v>1449860</v>
      </c>
      <c r="H605" s="27">
        <f t="shared" ref="H605:H607" si="420">L605</f>
        <v>1449860</v>
      </c>
      <c r="I605" s="27">
        <f t="shared" ref="I605:I607" si="421">N605</f>
        <v>1449860</v>
      </c>
      <c r="J605" s="16">
        <f>'БА в тыс. руб.'!G605*1000</f>
        <v>1449860</v>
      </c>
      <c r="K605" s="169">
        <f t="shared" si="399"/>
        <v>0</v>
      </c>
      <c r="L605" s="16">
        <f>'БА в тыс. руб.'!H605*1000</f>
        <v>1449860</v>
      </c>
      <c r="M605" s="169">
        <f t="shared" si="400"/>
        <v>0</v>
      </c>
      <c r="N605" s="16">
        <f>'БА в тыс. руб.'!I605*1000</f>
        <v>1449860</v>
      </c>
      <c r="O605" s="169">
        <f t="shared" si="401"/>
        <v>0</v>
      </c>
    </row>
    <row r="606" spans="1:15" s="83" customFormat="1" ht="25.5">
      <c r="A606" s="12" t="s">
        <v>937</v>
      </c>
      <c r="B606" s="25" t="s">
        <v>69</v>
      </c>
      <c r="C606" s="26" t="s">
        <v>71</v>
      </c>
      <c r="D606" s="26" t="s">
        <v>25</v>
      </c>
      <c r="E606" s="26" t="s">
        <v>363</v>
      </c>
      <c r="F606" s="26" t="s">
        <v>1059</v>
      </c>
      <c r="G606" s="27">
        <f t="shared" si="419"/>
        <v>64430.000000000007</v>
      </c>
      <c r="H606" s="27">
        <f t="shared" si="420"/>
        <v>64430.000000000007</v>
      </c>
      <c r="I606" s="27">
        <f t="shared" si="421"/>
        <v>64430.000000000007</v>
      </c>
      <c r="J606" s="16">
        <f>'БА в тыс. руб.'!G606*1000</f>
        <v>64430.000000000007</v>
      </c>
      <c r="K606" s="169"/>
      <c r="L606" s="16">
        <f>'БА в тыс. руб.'!H606*1000</f>
        <v>64430.000000000007</v>
      </c>
      <c r="M606" s="169"/>
      <c r="N606" s="16">
        <f>'БА в тыс. руб.'!I606*1000</f>
        <v>64430.000000000007</v>
      </c>
      <c r="O606" s="169"/>
    </row>
    <row r="607" spans="1:15" s="83" customFormat="1" ht="38.25">
      <c r="A607" s="12" t="s">
        <v>939</v>
      </c>
      <c r="B607" s="25" t="s">
        <v>69</v>
      </c>
      <c r="C607" s="26" t="s">
        <v>71</v>
      </c>
      <c r="D607" s="26" t="s">
        <v>25</v>
      </c>
      <c r="E607" s="26" t="s">
        <v>363</v>
      </c>
      <c r="F607" s="26" t="s">
        <v>1060</v>
      </c>
      <c r="G607" s="27">
        <f t="shared" si="419"/>
        <v>457130</v>
      </c>
      <c r="H607" s="27">
        <f t="shared" si="420"/>
        <v>457130</v>
      </c>
      <c r="I607" s="27">
        <f t="shared" si="421"/>
        <v>457130</v>
      </c>
      <c r="J607" s="16">
        <f>'БА в тыс. руб.'!G607*1000</f>
        <v>457130</v>
      </c>
      <c r="K607" s="169">
        <f t="shared" si="399"/>
        <v>0</v>
      </c>
      <c r="L607" s="16">
        <f>'БА в тыс. руб.'!H607*1000</f>
        <v>457130</v>
      </c>
      <c r="M607" s="169">
        <f t="shared" si="400"/>
        <v>0</v>
      </c>
      <c r="N607" s="16">
        <f>'БА в тыс. руб.'!I607*1000</f>
        <v>457130</v>
      </c>
      <c r="O607" s="169">
        <f t="shared" si="401"/>
        <v>0</v>
      </c>
    </row>
    <row r="608" spans="1:15" s="30" customFormat="1">
      <c r="A608" s="17" t="s">
        <v>49</v>
      </c>
      <c r="B608" s="18" t="s">
        <v>69</v>
      </c>
      <c r="C608" s="19" t="s">
        <v>14</v>
      </c>
      <c r="D608" s="19" t="s">
        <v>51</v>
      </c>
      <c r="E608" s="19" t="s">
        <v>196</v>
      </c>
      <c r="F608" s="19" t="s">
        <v>58</v>
      </c>
      <c r="G608" s="20">
        <f t="shared" ref="G608:I610" si="422">G609</f>
        <v>114471410</v>
      </c>
      <c r="H608" s="20">
        <f t="shared" si="422"/>
        <v>114471410</v>
      </c>
      <c r="I608" s="20">
        <f t="shared" si="422"/>
        <v>114471410</v>
      </c>
      <c r="J608" s="16">
        <f>'БА в тыс. руб.'!G608*1000</f>
        <v>114471410</v>
      </c>
      <c r="K608" s="169">
        <f t="shared" si="399"/>
        <v>0</v>
      </c>
      <c r="L608" s="16">
        <f>'БА в тыс. руб.'!H608*1000</f>
        <v>114471410</v>
      </c>
      <c r="M608" s="169">
        <f t="shared" si="400"/>
        <v>0</v>
      </c>
      <c r="N608" s="16">
        <f>'БА в тыс. руб.'!I608*1000</f>
        <v>114471410</v>
      </c>
      <c r="O608" s="169">
        <f t="shared" si="401"/>
        <v>0</v>
      </c>
    </row>
    <row r="609" spans="1:15" s="30" customFormat="1">
      <c r="A609" s="21" t="s">
        <v>22</v>
      </c>
      <c r="B609" s="22" t="s">
        <v>69</v>
      </c>
      <c r="C609" s="23" t="s">
        <v>14</v>
      </c>
      <c r="D609" s="23" t="s">
        <v>37</v>
      </c>
      <c r="E609" s="23" t="s">
        <v>196</v>
      </c>
      <c r="F609" s="23" t="s">
        <v>58</v>
      </c>
      <c r="G609" s="24">
        <f t="shared" si="422"/>
        <v>114471410</v>
      </c>
      <c r="H609" s="24">
        <f t="shared" si="422"/>
        <v>114471410</v>
      </c>
      <c r="I609" s="24">
        <f t="shared" si="422"/>
        <v>114471410</v>
      </c>
      <c r="J609" s="16">
        <f>'БА в тыс. руб.'!G609*1000</f>
        <v>114471410</v>
      </c>
      <c r="K609" s="169">
        <f t="shared" si="399"/>
        <v>0</v>
      </c>
      <c r="L609" s="16">
        <f>'БА в тыс. руб.'!H609*1000</f>
        <v>114471410</v>
      </c>
      <c r="M609" s="169">
        <f t="shared" si="400"/>
        <v>0</v>
      </c>
      <c r="N609" s="16">
        <f>'БА в тыс. руб.'!I609*1000</f>
        <v>114471410</v>
      </c>
      <c r="O609" s="169">
        <f t="shared" si="401"/>
        <v>0</v>
      </c>
    </row>
    <row r="610" spans="1:15" s="30" customFormat="1" ht="25.5">
      <c r="A610" s="13" t="s">
        <v>723</v>
      </c>
      <c r="B610" s="25" t="s">
        <v>69</v>
      </c>
      <c r="C610" s="26" t="s">
        <v>14</v>
      </c>
      <c r="D610" s="26" t="s">
        <v>37</v>
      </c>
      <c r="E610" s="26" t="s">
        <v>331</v>
      </c>
      <c r="F610" s="26" t="s">
        <v>58</v>
      </c>
      <c r="G610" s="27">
        <f t="shared" si="422"/>
        <v>114471410</v>
      </c>
      <c r="H610" s="27">
        <f t="shared" si="422"/>
        <v>114471410</v>
      </c>
      <c r="I610" s="27">
        <f t="shared" si="422"/>
        <v>114471410</v>
      </c>
      <c r="J610" s="16">
        <f>'БА в тыс. руб.'!G610*1000</f>
        <v>114471410</v>
      </c>
      <c r="K610" s="169">
        <f t="shared" si="399"/>
        <v>0</v>
      </c>
      <c r="L610" s="16">
        <f>'БА в тыс. руб.'!H610*1000</f>
        <v>114471410</v>
      </c>
      <c r="M610" s="169">
        <f t="shared" si="400"/>
        <v>0</v>
      </c>
      <c r="N610" s="16">
        <f>'БА в тыс. руб.'!I610*1000</f>
        <v>114471410</v>
      </c>
      <c r="O610" s="169">
        <f t="shared" si="401"/>
        <v>0</v>
      </c>
    </row>
    <row r="611" spans="1:15" s="30" customFormat="1" ht="25.5">
      <c r="A611" s="13" t="s">
        <v>860</v>
      </c>
      <c r="B611" s="25" t="s">
        <v>69</v>
      </c>
      <c r="C611" s="26" t="s">
        <v>14</v>
      </c>
      <c r="D611" s="26" t="s">
        <v>37</v>
      </c>
      <c r="E611" s="26" t="s">
        <v>332</v>
      </c>
      <c r="F611" s="26" t="s">
        <v>58</v>
      </c>
      <c r="G611" s="27">
        <f>G612+G618</f>
        <v>114471410</v>
      </c>
      <c r="H611" s="27">
        <f>H612+H618</f>
        <v>114471410</v>
      </c>
      <c r="I611" s="27">
        <f>I612+I618</f>
        <v>114471410</v>
      </c>
      <c r="J611" s="16">
        <f>'БА в тыс. руб.'!G611*1000</f>
        <v>114471410</v>
      </c>
      <c r="K611" s="169">
        <f t="shared" si="399"/>
        <v>0</v>
      </c>
      <c r="L611" s="16">
        <f>'БА в тыс. руб.'!H611*1000</f>
        <v>114471410</v>
      </c>
      <c r="M611" s="169">
        <f t="shared" si="400"/>
        <v>0</v>
      </c>
      <c r="N611" s="16">
        <f>'БА в тыс. руб.'!I611*1000</f>
        <v>114471410</v>
      </c>
      <c r="O611" s="169">
        <f t="shared" si="401"/>
        <v>0</v>
      </c>
    </row>
    <row r="612" spans="1:15" s="30" customFormat="1" ht="25.5">
      <c r="A612" s="13" t="s">
        <v>607</v>
      </c>
      <c r="B612" s="25" t="s">
        <v>69</v>
      </c>
      <c r="C612" s="26" t="s">
        <v>14</v>
      </c>
      <c r="D612" s="26" t="s">
        <v>37</v>
      </c>
      <c r="E612" s="26" t="s">
        <v>333</v>
      </c>
      <c r="F612" s="26" t="s">
        <v>58</v>
      </c>
      <c r="G612" s="27">
        <f>G613</f>
        <v>80815450</v>
      </c>
      <c r="H612" s="27">
        <f>H613</f>
        <v>80815450</v>
      </c>
      <c r="I612" s="27">
        <f>I613</f>
        <v>80815450</v>
      </c>
      <c r="J612" s="16">
        <f>'БА в тыс. руб.'!G612*1000</f>
        <v>80815450</v>
      </c>
      <c r="K612" s="169">
        <f t="shared" si="399"/>
        <v>0</v>
      </c>
      <c r="L612" s="16">
        <f>'БА в тыс. руб.'!H612*1000</f>
        <v>80815450</v>
      </c>
      <c r="M612" s="169">
        <f t="shared" si="400"/>
        <v>0</v>
      </c>
      <c r="N612" s="16">
        <f>'БА в тыс. руб.'!I612*1000</f>
        <v>80815450</v>
      </c>
      <c r="O612" s="169">
        <f t="shared" si="401"/>
        <v>0</v>
      </c>
    </row>
    <row r="613" spans="1:15" s="30" customFormat="1" ht="51">
      <c r="A613" s="13" t="s">
        <v>364</v>
      </c>
      <c r="B613" s="25" t="s">
        <v>69</v>
      </c>
      <c r="C613" s="26" t="s">
        <v>14</v>
      </c>
      <c r="D613" s="26" t="s">
        <v>37</v>
      </c>
      <c r="E613" s="26" t="s">
        <v>365</v>
      </c>
      <c r="F613" s="26" t="s">
        <v>58</v>
      </c>
      <c r="G613" s="27">
        <f>G614+G616</f>
        <v>80815450</v>
      </c>
      <c r="H613" s="27">
        <f t="shared" ref="H613:I613" si="423">H614+H616</f>
        <v>80815450</v>
      </c>
      <c r="I613" s="27">
        <f t="shared" si="423"/>
        <v>80815450</v>
      </c>
      <c r="J613" s="16">
        <f>'БА в тыс. руб.'!G613*1000</f>
        <v>80815450</v>
      </c>
      <c r="K613" s="169">
        <f t="shared" si="399"/>
        <v>0</v>
      </c>
      <c r="L613" s="16">
        <f>'БА в тыс. руб.'!H613*1000</f>
        <v>80815450</v>
      </c>
      <c r="M613" s="169">
        <f t="shared" si="400"/>
        <v>0</v>
      </c>
      <c r="N613" s="16">
        <f>'БА в тыс. руб.'!I613*1000</f>
        <v>80815450</v>
      </c>
      <c r="O613" s="169">
        <f t="shared" si="401"/>
        <v>0</v>
      </c>
    </row>
    <row r="614" spans="1:15" s="30" customFormat="1" ht="25.5">
      <c r="A614" s="11" t="s">
        <v>108</v>
      </c>
      <c r="B614" s="25" t="s">
        <v>69</v>
      </c>
      <c r="C614" s="26" t="s">
        <v>14</v>
      </c>
      <c r="D614" s="26" t="s">
        <v>37</v>
      </c>
      <c r="E614" s="26" t="s">
        <v>365</v>
      </c>
      <c r="F614" s="26" t="s">
        <v>116</v>
      </c>
      <c r="G614" s="27">
        <f>G615</f>
        <v>1212230</v>
      </c>
      <c r="H614" s="27">
        <f t="shared" ref="H614:I614" si="424">H615</f>
        <v>1212230</v>
      </c>
      <c r="I614" s="27">
        <f t="shared" si="424"/>
        <v>1212230</v>
      </c>
      <c r="J614" s="16">
        <f>'БА в тыс. руб.'!G614*1000</f>
        <v>1212230</v>
      </c>
      <c r="K614" s="169">
        <f t="shared" si="399"/>
        <v>0</v>
      </c>
      <c r="L614" s="16">
        <f>'БА в тыс. руб.'!H614*1000</f>
        <v>1212230</v>
      </c>
      <c r="M614" s="169">
        <f t="shared" si="400"/>
        <v>0</v>
      </c>
      <c r="N614" s="16">
        <f>'БА в тыс. руб.'!I614*1000</f>
        <v>1212230</v>
      </c>
      <c r="O614" s="169">
        <f t="shared" si="401"/>
        <v>0</v>
      </c>
    </row>
    <row r="615" spans="1:15" s="83" customFormat="1" ht="25.5">
      <c r="A615" s="12" t="s">
        <v>973</v>
      </c>
      <c r="B615" s="25" t="s">
        <v>69</v>
      </c>
      <c r="C615" s="26" t="s">
        <v>14</v>
      </c>
      <c r="D615" s="26" t="s">
        <v>37</v>
      </c>
      <c r="E615" s="26" t="s">
        <v>365</v>
      </c>
      <c r="F615" s="26" t="s">
        <v>1043</v>
      </c>
      <c r="G615" s="27">
        <f t="shared" ref="G615" si="425">J615</f>
        <v>1212230</v>
      </c>
      <c r="H615" s="27">
        <f>L615</f>
        <v>1212230</v>
      </c>
      <c r="I615" s="27">
        <f>N615</f>
        <v>1212230</v>
      </c>
      <c r="J615" s="16">
        <f>'БА в тыс. руб.'!G615*1000</f>
        <v>1212230</v>
      </c>
      <c r="K615" s="169">
        <f t="shared" si="399"/>
        <v>0</v>
      </c>
      <c r="L615" s="16">
        <f>'БА в тыс. руб.'!H615*1000</f>
        <v>1212230</v>
      </c>
      <c r="M615" s="169">
        <f t="shared" si="400"/>
        <v>0</v>
      </c>
      <c r="N615" s="16">
        <f>'БА в тыс. руб.'!I615*1000</f>
        <v>1212230</v>
      </c>
      <c r="O615" s="169">
        <f t="shared" si="401"/>
        <v>0</v>
      </c>
    </row>
    <row r="616" spans="1:15" s="30" customFormat="1">
      <c r="A616" s="13" t="s">
        <v>109</v>
      </c>
      <c r="B616" s="25" t="s">
        <v>69</v>
      </c>
      <c r="C616" s="26" t="s">
        <v>14</v>
      </c>
      <c r="D616" s="26" t="s">
        <v>37</v>
      </c>
      <c r="E616" s="26" t="s">
        <v>365</v>
      </c>
      <c r="F616" s="26" t="s">
        <v>134</v>
      </c>
      <c r="G616" s="27">
        <f>G617</f>
        <v>79603220</v>
      </c>
      <c r="H616" s="27">
        <f t="shared" ref="H616:I616" si="426">H617</f>
        <v>79603220</v>
      </c>
      <c r="I616" s="27">
        <f t="shared" si="426"/>
        <v>79603220</v>
      </c>
      <c r="J616" s="16">
        <f>'БА в тыс. руб.'!G616*1000</f>
        <v>79603220</v>
      </c>
      <c r="K616" s="169">
        <f t="shared" si="399"/>
        <v>0</v>
      </c>
      <c r="L616" s="16">
        <f>'БА в тыс. руб.'!H616*1000</f>
        <v>79603220</v>
      </c>
      <c r="M616" s="169">
        <f t="shared" si="400"/>
        <v>0</v>
      </c>
      <c r="N616" s="16">
        <f>'БА в тыс. руб.'!I616*1000</f>
        <v>79603220</v>
      </c>
      <c r="O616" s="169">
        <f t="shared" si="401"/>
        <v>0</v>
      </c>
    </row>
    <row r="617" spans="1:15" s="83" customFormat="1" ht="25.5">
      <c r="A617" s="12" t="s">
        <v>978</v>
      </c>
      <c r="B617" s="25" t="s">
        <v>69</v>
      </c>
      <c r="C617" s="26" t="s">
        <v>14</v>
      </c>
      <c r="D617" s="26" t="s">
        <v>37</v>
      </c>
      <c r="E617" s="26" t="s">
        <v>365</v>
      </c>
      <c r="F617" s="26" t="s">
        <v>1064</v>
      </c>
      <c r="G617" s="27">
        <f t="shared" ref="G617" si="427">J617</f>
        <v>79603220</v>
      </c>
      <c r="H617" s="27">
        <f>L617</f>
        <v>79603220</v>
      </c>
      <c r="I617" s="27">
        <f>N617</f>
        <v>79603220</v>
      </c>
      <c r="J617" s="16">
        <f>'БА в тыс. руб.'!G617*1000</f>
        <v>79603220</v>
      </c>
      <c r="K617" s="169">
        <f t="shared" si="399"/>
        <v>0</v>
      </c>
      <c r="L617" s="16">
        <f>'БА в тыс. руб.'!H617*1000</f>
        <v>79603220</v>
      </c>
      <c r="M617" s="169">
        <f t="shared" si="400"/>
        <v>0</v>
      </c>
      <c r="N617" s="16">
        <f>'БА в тыс. руб.'!I617*1000</f>
        <v>79603220</v>
      </c>
      <c r="O617" s="169">
        <f t="shared" si="401"/>
        <v>0</v>
      </c>
    </row>
    <row r="618" spans="1:15" s="30" customFormat="1" ht="25.5">
      <c r="A618" s="13" t="s">
        <v>584</v>
      </c>
      <c r="B618" s="25" t="s">
        <v>69</v>
      </c>
      <c r="C618" s="26" t="s">
        <v>14</v>
      </c>
      <c r="D618" s="26" t="s">
        <v>37</v>
      </c>
      <c r="E618" s="26" t="s">
        <v>366</v>
      </c>
      <c r="F618" s="26" t="s">
        <v>58</v>
      </c>
      <c r="G618" s="27">
        <f>G619+G622+G625+G628</f>
        <v>33655960</v>
      </c>
      <c r="H618" s="27">
        <f>H619+H622+H625+H628</f>
        <v>33655960</v>
      </c>
      <c r="I618" s="27">
        <f>I619+I622+I625+I628</f>
        <v>33655960</v>
      </c>
      <c r="J618" s="16">
        <f>'БА в тыс. руб.'!G618*1000</f>
        <v>33655960.000000007</v>
      </c>
      <c r="K618" s="169">
        <f t="shared" si="399"/>
        <v>0</v>
      </c>
      <c r="L618" s="16">
        <f>'БА в тыс. руб.'!H618*1000</f>
        <v>33655960.000000007</v>
      </c>
      <c r="M618" s="169">
        <f t="shared" si="400"/>
        <v>0</v>
      </c>
      <c r="N618" s="16">
        <f>'БА в тыс. руб.'!I618*1000</f>
        <v>33655960.000000007</v>
      </c>
      <c r="O618" s="169">
        <f t="shared" si="401"/>
        <v>0</v>
      </c>
    </row>
    <row r="619" spans="1:15" s="30" customFormat="1" ht="25.5">
      <c r="A619" s="13" t="s">
        <v>367</v>
      </c>
      <c r="B619" s="25" t="s">
        <v>69</v>
      </c>
      <c r="C619" s="26" t="s">
        <v>14</v>
      </c>
      <c r="D619" s="26" t="s">
        <v>37</v>
      </c>
      <c r="E619" s="26" t="s">
        <v>788</v>
      </c>
      <c r="F619" s="26" t="s">
        <v>58</v>
      </c>
      <c r="G619" s="27">
        <f>G620</f>
        <v>19526720</v>
      </c>
      <c r="H619" s="27">
        <f>H620</f>
        <v>19526720</v>
      </c>
      <c r="I619" s="27">
        <f>I620</f>
        <v>19526720</v>
      </c>
      <c r="J619" s="16">
        <f>'БА в тыс. руб.'!G619*1000</f>
        <v>19526720</v>
      </c>
      <c r="K619" s="169">
        <f t="shared" si="399"/>
        <v>0</v>
      </c>
      <c r="L619" s="16">
        <f>'БА в тыс. руб.'!H619*1000</f>
        <v>19526720</v>
      </c>
      <c r="M619" s="169">
        <f t="shared" si="400"/>
        <v>0</v>
      </c>
      <c r="N619" s="16">
        <f>'БА в тыс. руб.'!I619*1000</f>
        <v>19526720</v>
      </c>
      <c r="O619" s="169">
        <f t="shared" si="401"/>
        <v>0</v>
      </c>
    </row>
    <row r="620" spans="1:15" s="30" customFormat="1" ht="25.5">
      <c r="A620" s="13" t="s">
        <v>110</v>
      </c>
      <c r="B620" s="25" t="s">
        <v>69</v>
      </c>
      <c r="C620" s="26" t="s">
        <v>14</v>
      </c>
      <c r="D620" s="26" t="s">
        <v>37</v>
      </c>
      <c r="E620" s="26" t="s">
        <v>788</v>
      </c>
      <c r="F620" s="26" t="s">
        <v>117</v>
      </c>
      <c r="G620" s="27">
        <f>G621</f>
        <v>19526720</v>
      </c>
      <c r="H620" s="27">
        <f t="shared" ref="H620:I620" si="428">H621</f>
        <v>19526720</v>
      </c>
      <c r="I620" s="27">
        <f t="shared" si="428"/>
        <v>19526720</v>
      </c>
      <c r="J620" s="16">
        <f>'БА в тыс. руб.'!G620*1000</f>
        <v>19526720</v>
      </c>
      <c r="K620" s="169">
        <f t="shared" si="399"/>
        <v>0</v>
      </c>
      <c r="L620" s="16">
        <f>'БА в тыс. руб.'!H620*1000</f>
        <v>19526720</v>
      </c>
      <c r="M620" s="169">
        <f t="shared" si="400"/>
        <v>0</v>
      </c>
      <c r="N620" s="16">
        <f>'БА в тыс. руб.'!I620*1000</f>
        <v>19526720</v>
      </c>
      <c r="O620" s="169">
        <f t="shared" si="401"/>
        <v>0</v>
      </c>
    </row>
    <row r="621" spans="1:15" s="83" customFormat="1" ht="25.5">
      <c r="A621" s="12" t="s">
        <v>981</v>
      </c>
      <c r="B621" s="25" t="s">
        <v>69</v>
      </c>
      <c r="C621" s="26" t="s">
        <v>14</v>
      </c>
      <c r="D621" s="26" t="s">
        <v>37</v>
      </c>
      <c r="E621" s="26" t="s">
        <v>788</v>
      </c>
      <c r="F621" s="26" t="s">
        <v>1065</v>
      </c>
      <c r="G621" s="27">
        <f t="shared" ref="G621" si="429">J621</f>
        <v>19526720</v>
      </c>
      <c r="H621" s="27">
        <f>L621</f>
        <v>19526720</v>
      </c>
      <c r="I621" s="27">
        <f>N621</f>
        <v>19526720</v>
      </c>
      <c r="J621" s="16">
        <f>'БА в тыс. руб.'!G621*1000</f>
        <v>19526720</v>
      </c>
      <c r="K621" s="169">
        <f t="shared" si="399"/>
        <v>0</v>
      </c>
      <c r="L621" s="16">
        <f>'БА в тыс. руб.'!H621*1000</f>
        <v>19526720</v>
      </c>
      <c r="M621" s="169">
        <f t="shared" si="400"/>
        <v>0</v>
      </c>
      <c r="N621" s="16">
        <f>'БА в тыс. руб.'!I621*1000</f>
        <v>19526720</v>
      </c>
      <c r="O621" s="169">
        <f t="shared" si="401"/>
        <v>0</v>
      </c>
    </row>
    <row r="622" spans="1:15" s="30" customFormat="1" ht="51">
      <c r="A622" s="11" t="s">
        <v>594</v>
      </c>
      <c r="B622" s="25" t="s">
        <v>69</v>
      </c>
      <c r="C622" s="26" t="s">
        <v>14</v>
      </c>
      <c r="D622" s="26" t="s">
        <v>37</v>
      </c>
      <c r="E622" s="26" t="s">
        <v>789</v>
      </c>
      <c r="F622" s="26" t="s">
        <v>58</v>
      </c>
      <c r="G622" s="27">
        <f>G623</f>
        <v>1543310</v>
      </c>
      <c r="H622" s="27">
        <f>H623</f>
        <v>1543310</v>
      </c>
      <c r="I622" s="27">
        <f>I623</f>
        <v>1543310</v>
      </c>
      <c r="J622" s="16">
        <f>'БА в тыс. руб.'!G622*1000</f>
        <v>1543310</v>
      </c>
      <c r="K622" s="169">
        <f t="shared" si="399"/>
        <v>0</v>
      </c>
      <c r="L622" s="16">
        <f>'БА в тыс. руб.'!H622*1000</f>
        <v>1543310</v>
      </c>
      <c r="M622" s="169">
        <f t="shared" si="400"/>
        <v>0</v>
      </c>
      <c r="N622" s="16">
        <f>'БА в тыс. руб.'!I622*1000</f>
        <v>1543310</v>
      </c>
      <c r="O622" s="169">
        <f t="shared" si="401"/>
        <v>0</v>
      </c>
    </row>
    <row r="623" spans="1:15" s="30" customFormat="1" ht="25.5">
      <c r="A623" s="13" t="s">
        <v>110</v>
      </c>
      <c r="B623" s="25" t="s">
        <v>69</v>
      </c>
      <c r="C623" s="26" t="s">
        <v>14</v>
      </c>
      <c r="D623" s="26" t="s">
        <v>37</v>
      </c>
      <c r="E623" s="26" t="s">
        <v>789</v>
      </c>
      <c r="F623" s="26" t="s">
        <v>117</v>
      </c>
      <c r="G623" s="27">
        <f>G624</f>
        <v>1543310</v>
      </c>
      <c r="H623" s="27">
        <f t="shared" ref="H623:I623" si="430">H624</f>
        <v>1543310</v>
      </c>
      <c r="I623" s="27">
        <f t="shared" si="430"/>
        <v>1543310</v>
      </c>
      <c r="J623" s="16">
        <f>'БА в тыс. руб.'!G623*1000</f>
        <v>1543310</v>
      </c>
      <c r="K623" s="169">
        <f t="shared" si="399"/>
        <v>0</v>
      </c>
      <c r="L623" s="16">
        <f>'БА в тыс. руб.'!H623*1000</f>
        <v>1543310</v>
      </c>
      <c r="M623" s="169">
        <f t="shared" si="400"/>
        <v>0</v>
      </c>
      <c r="N623" s="16">
        <f>'БА в тыс. руб.'!I623*1000</f>
        <v>1543310</v>
      </c>
      <c r="O623" s="169">
        <f t="shared" si="401"/>
        <v>0</v>
      </c>
    </row>
    <row r="624" spans="1:15" s="83" customFormat="1" ht="25.5">
      <c r="A624" s="12" t="s">
        <v>981</v>
      </c>
      <c r="B624" s="25" t="s">
        <v>69</v>
      </c>
      <c r="C624" s="26" t="s">
        <v>14</v>
      </c>
      <c r="D624" s="26" t="s">
        <v>37</v>
      </c>
      <c r="E624" s="26" t="s">
        <v>789</v>
      </c>
      <c r="F624" s="26" t="s">
        <v>1065</v>
      </c>
      <c r="G624" s="27">
        <f t="shared" ref="G624" si="431">J624</f>
        <v>1543310</v>
      </c>
      <c r="H624" s="27">
        <f>L624</f>
        <v>1543310</v>
      </c>
      <c r="I624" s="27">
        <f>N624</f>
        <v>1543310</v>
      </c>
      <c r="J624" s="16">
        <f>'БА в тыс. руб.'!G624*1000</f>
        <v>1543310</v>
      </c>
      <c r="K624" s="169">
        <f t="shared" si="399"/>
        <v>0</v>
      </c>
      <c r="L624" s="16">
        <f>'БА в тыс. руб.'!H624*1000</f>
        <v>1543310</v>
      </c>
      <c r="M624" s="169">
        <f t="shared" si="400"/>
        <v>0</v>
      </c>
      <c r="N624" s="16">
        <f>'БА в тыс. руб.'!I624*1000</f>
        <v>1543310</v>
      </c>
      <c r="O624" s="169">
        <f t="shared" si="401"/>
        <v>0</v>
      </c>
    </row>
    <row r="625" spans="1:15" s="30" customFormat="1" ht="38.25">
      <c r="A625" s="11" t="s">
        <v>368</v>
      </c>
      <c r="B625" s="25" t="s">
        <v>69</v>
      </c>
      <c r="C625" s="26" t="s">
        <v>14</v>
      </c>
      <c r="D625" s="26" t="s">
        <v>37</v>
      </c>
      <c r="E625" s="26" t="s">
        <v>790</v>
      </c>
      <c r="F625" s="26" t="s">
        <v>58</v>
      </c>
      <c r="G625" s="27">
        <f>G626</f>
        <v>8310930</v>
      </c>
      <c r="H625" s="27">
        <f>H626</f>
        <v>8310930</v>
      </c>
      <c r="I625" s="27">
        <f>I626</f>
        <v>8310930</v>
      </c>
      <c r="J625" s="16">
        <f>'БА в тыс. руб.'!G625*1000</f>
        <v>8310930</v>
      </c>
      <c r="K625" s="169">
        <f t="shared" si="399"/>
        <v>0</v>
      </c>
      <c r="L625" s="16">
        <f>'БА в тыс. руб.'!H625*1000</f>
        <v>8310930</v>
      </c>
      <c r="M625" s="169">
        <f t="shared" si="400"/>
        <v>0</v>
      </c>
      <c r="N625" s="16">
        <f>'БА в тыс. руб.'!I625*1000</f>
        <v>8310930</v>
      </c>
      <c r="O625" s="169">
        <f t="shared" si="401"/>
        <v>0</v>
      </c>
    </row>
    <row r="626" spans="1:15" s="30" customFormat="1" ht="25.5">
      <c r="A626" s="13" t="s">
        <v>110</v>
      </c>
      <c r="B626" s="25" t="s">
        <v>69</v>
      </c>
      <c r="C626" s="26" t="s">
        <v>14</v>
      </c>
      <c r="D626" s="26" t="s">
        <v>37</v>
      </c>
      <c r="E626" s="26" t="s">
        <v>790</v>
      </c>
      <c r="F626" s="26" t="s">
        <v>117</v>
      </c>
      <c r="G626" s="27">
        <f>G627</f>
        <v>8310930</v>
      </c>
      <c r="H626" s="27">
        <f t="shared" ref="H626:I626" si="432">H627</f>
        <v>8310930</v>
      </c>
      <c r="I626" s="27">
        <f t="shared" si="432"/>
        <v>8310930</v>
      </c>
      <c r="J626" s="16">
        <f>'БА в тыс. руб.'!G626*1000</f>
        <v>8310930</v>
      </c>
      <c r="K626" s="169">
        <f t="shared" si="399"/>
        <v>0</v>
      </c>
      <c r="L626" s="16">
        <f>'БА в тыс. руб.'!H626*1000</f>
        <v>8310930</v>
      </c>
      <c r="M626" s="169">
        <f t="shared" si="400"/>
        <v>0</v>
      </c>
      <c r="N626" s="16">
        <f>'БА в тыс. руб.'!I626*1000</f>
        <v>8310930</v>
      </c>
      <c r="O626" s="169">
        <f t="shared" si="401"/>
        <v>0</v>
      </c>
    </row>
    <row r="627" spans="1:15" s="83" customFormat="1" ht="25.5">
      <c r="A627" s="12" t="s">
        <v>981</v>
      </c>
      <c r="B627" s="25" t="s">
        <v>69</v>
      </c>
      <c r="C627" s="26" t="s">
        <v>14</v>
      </c>
      <c r="D627" s="26" t="s">
        <v>37</v>
      </c>
      <c r="E627" s="26" t="s">
        <v>790</v>
      </c>
      <c r="F627" s="26" t="s">
        <v>1065</v>
      </c>
      <c r="G627" s="27">
        <f t="shared" ref="G627" si="433">J627</f>
        <v>8310930</v>
      </c>
      <c r="H627" s="27">
        <f>L627</f>
        <v>8310930</v>
      </c>
      <c r="I627" s="27">
        <f>N627</f>
        <v>8310930</v>
      </c>
      <c r="J627" s="16">
        <f>'БА в тыс. руб.'!G627*1000</f>
        <v>8310930</v>
      </c>
      <c r="K627" s="169">
        <f t="shared" si="399"/>
        <v>0</v>
      </c>
      <c r="L627" s="16">
        <f>'БА в тыс. руб.'!H627*1000</f>
        <v>8310930</v>
      </c>
      <c r="M627" s="169">
        <f t="shared" si="400"/>
        <v>0</v>
      </c>
      <c r="N627" s="16">
        <f>'БА в тыс. руб.'!I627*1000</f>
        <v>8310930</v>
      </c>
      <c r="O627" s="169">
        <f t="shared" si="401"/>
        <v>0</v>
      </c>
    </row>
    <row r="628" spans="1:15" s="30" customFormat="1">
      <c r="A628" s="11" t="s">
        <v>369</v>
      </c>
      <c r="B628" s="25" t="s">
        <v>69</v>
      </c>
      <c r="C628" s="26" t="s">
        <v>14</v>
      </c>
      <c r="D628" s="26" t="s">
        <v>37</v>
      </c>
      <c r="E628" s="26" t="s">
        <v>791</v>
      </c>
      <c r="F628" s="26" t="s">
        <v>58</v>
      </c>
      <c r="G628" s="27">
        <f>G629</f>
        <v>4275000</v>
      </c>
      <c r="H628" s="27">
        <f>H629</f>
        <v>4275000</v>
      </c>
      <c r="I628" s="27">
        <f>I629</f>
        <v>4275000</v>
      </c>
      <c r="J628" s="16">
        <f>'БА в тыс. руб.'!G628*1000</f>
        <v>4275000</v>
      </c>
      <c r="K628" s="169">
        <f t="shared" si="399"/>
        <v>0</v>
      </c>
      <c r="L628" s="16">
        <f>'БА в тыс. руб.'!H628*1000</f>
        <v>4275000</v>
      </c>
      <c r="M628" s="169">
        <f t="shared" si="400"/>
        <v>0</v>
      </c>
      <c r="N628" s="16">
        <f>'БА в тыс. руб.'!I628*1000</f>
        <v>4275000</v>
      </c>
      <c r="O628" s="169">
        <f t="shared" si="401"/>
        <v>0</v>
      </c>
    </row>
    <row r="629" spans="1:15" s="30" customFormat="1" ht="25.5">
      <c r="A629" s="13" t="s">
        <v>110</v>
      </c>
      <c r="B629" s="25" t="s">
        <v>69</v>
      </c>
      <c r="C629" s="26" t="s">
        <v>14</v>
      </c>
      <c r="D629" s="26" t="s">
        <v>37</v>
      </c>
      <c r="E629" s="26" t="s">
        <v>791</v>
      </c>
      <c r="F629" s="26" t="s">
        <v>117</v>
      </c>
      <c r="G629" s="27">
        <f>G630</f>
        <v>4275000</v>
      </c>
      <c r="H629" s="27">
        <f t="shared" ref="H629:I629" si="434">H630</f>
        <v>4275000</v>
      </c>
      <c r="I629" s="27">
        <f t="shared" si="434"/>
        <v>4275000</v>
      </c>
      <c r="J629" s="16">
        <f>'БА в тыс. руб.'!G629*1000</f>
        <v>4275000</v>
      </c>
      <c r="K629" s="169">
        <f t="shared" si="399"/>
        <v>0</v>
      </c>
      <c r="L629" s="16">
        <f>'БА в тыс. руб.'!H629*1000</f>
        <v>4275000</v>
      </c>
      <c r="M629" s="169">
        <f t="shared" si="400"/>
        <v>0</v>
      </c>
      <c r="N629" s="16">
        <f>'БА в тыс. руб.'!I629*1000</f>
        <v>4275000</v>
      </c>
      <c r="O629" s="169">
        <f t="shared" si="401"/>
        <v>0</v>
      </c>
    </row>
    <row r="630" spans="1:15" s="83" customFormat="1" ht="25.5">
      <c r="A630" s="12" t="s">
        <v>981</v>
      </c>
      <c r="B630" s="25" t="s">
        <v>69</v>
      </c>
      <c r="C630" s="26" t="s">
        <v>14</v>
      </c>
      <c r="D630" s="26" t="s">
        <v>37</v>
      </c>
      <c r="E630" s="26" t="s">
        <v>791</v>
      </c>
      <c r="F630" s="26" t="s">
        <v>1065</v>
      </c>
      <c r="G630" s="27">
        <f t="shared" ref="G630:G631" si="435">J630</f>
        <v>4275000</v>
      </c>
      <c r="H630" s="27">
        <f t="shared" ref="H630:H631" si="436">L630</f>
        <v>4275000</v>
      </c>
      <c r="I630" s="27">
        <f t="shared" ref="I630:I631" si="437">N630</f>
        <v>4275000</v>
      </c>
      <c r="J630" s="16">
        <f>'БА в тыс. руб.'!G630*1000</f>
        <v>4275000</v>
      </c>
      <c r="K630" s="169">
        <f t="shared" si="399"/>
        <v>0</v>
      </c>
      <c r="L630" s="16">
        <f>'БА в тыс. руб.'!H630*1000</f>
        <v>4275000</v>
      </c>
      <c r="M630" s="169">
        <f t="shared" si="400"/>
        <v>0</v>
      </c>
      <c r="N630" s="16">
        <f>'БА в тыс. руб.'!I630*1000</f>
        <v>4275000</v>
      </c>
      <c r="O630" s="169">
        <f t="shared" si="401"/>
        <v>0</v>
      </c>
    </row>
    <row r="631" spans="1:15" s="30" customFormat="1">
      <c r="A631" s="13"/>
      <c r="B631" s="25"/>
      <c r="C631" s="26"/>
      <c r="D631" s="26"/>
      <c r="E631" s="26"/>
      <c r="F631" s="26"/>
      <c r="G631" s="27">
        <f t="shared" si="435"/>
        <v>0</v>
      </c>
      <c r="H631" s="27">
        <f t="shared" si="436"/>
        <v>0</v>
      </c>
      <c r="I631" s="27">
        <f t="shared" si="437"/>
        <v>0</v>
      </c>
      <c r="J631" s="16">
        <f>'БА в тыс. руб.'!G631*1000</f>
        <v>0</v>
      </c>
      <c r="K631" s="169">
        <f t="shared" si="399"/>
        <v>0</v>
      </c>
      <c r="L631" s="16">
        <f>'БА в тыс. руб.'!H631*1000</f>
        <v>0</v>
      </c>
      <c r="M631" s="169">
        <f t="shared" si="400"/>
        <v>0</v>
      </c>
      <c r="N631" s="16">
        <f>'БА в тыс. руб.'!I631*1000</f>
        <v>0</v>
      </c>
      <c r="O631" s="169">
        <f t="shared" si="401"/>
        <v>0</v>
      </c>
    </row>
    <row r="632" spans="1:15" s="3" customFormat="1" ht="25.5">
      <c r="A632" s="28" t="s">
        <v>687</v>
      </c>
      <c r="B632" s="14" t="s">
        <v>26</v>
      </c>
      <c r="C632" s="15" t="s">
        <v>51</v>
      </c>
      <c r="D632" s="15" t="s">
        <v>51</v>
      </c>
      <c r="E632" s="15" t="s">
        <v>196</v>
      </c>
      <c r="F632" s="15" t="s">
        <v>58</v>
      </c>
      <c r="G632" s="29">
        <f>G633+G645+G731</f>
        <v>386298700</v>
      </c>
      <c r="H632" s="29">
        <f>H633+H645+H731</f>
        <v>292915810</v>
      </c>
      <c r="I632" s="29">
        <f>I633+I645+I731</f>
        <v>292915810</v>
      </c>
      <c r="J632" s="16">
        <f>'БА в тыс. руб.'!G632*1000</f>
        <v>386298699.99999994</v>
      </c>
      <c r="K632" s="169">
        <f t="shared" si="399"/>
        <v>0</v>
      </c>
      <c r="L632" s="16">
        <f>'БА в тыс. руб.'!H632*1000</f>
        <v>292915809.99999994</v>
      </c>
      <c r="M632" s="169">
        <f t="shared" si="400"/>
        <v>0</v>
      </c>
      <c r="N632" s="16">
        <f>'БА в тыс. руб.'!I632*1000</f>
        <v>292915810</v>
      </c>
      <c r="O632" s="169">
        <f t="shared" si="401"/>
        <v>0</v>
      </c>
    </row>
    <row r="633" spans="1:15" s="3" customFormat="1">
      <c r="A633" s="17" t="s">
        <v>64</v>
      </c>
      <c r="B633" s="18" t="s">
        <v>26</v>
      </c>
      <c r="C633" s="19" t="s">
        <v>65</v>
      </c>
      <c r="D633" s="19" t="s">
        <v>51</v>
      </c>
      <c r="E633" s="19" t="s">
        <v>196</v>
      </c>
      <c r="F633" s="19" t="s">
        <v>58</v>
      </c>
      <c r="G633" s="20">
        <f t="shared" ref="G633:I636" si="438">G634</f>
        <v>1386700</v>
      </c>
      <c r="H633" s="20">
        <f t="shared" si="438"/>
        <v>1386700</v>
      </c>
      <c r="I633" s="20">
        <f t="shared" si="438"/>
        <v>1386700</v>
      </c>
      <c r="J633" s="16">
        <f>'БА в тыс. руб.'!G633*1000</f>
        <v>1386700</v>
      </c>
      <c r="K633" s="169">
        <f t="shared" si="399"/>
        <v>0</v>
      </c>
      <c r="L633" s="16">
        <f>'БА в тыс. руб.'!H633*1000</f>
        <v>1386700</v>
      </c>
      <c r="M633" s="169">
        <f t="shared" si="400"/>
        <v>0</v>
      </c>
      <c r="N633" s="16">
        <f>'БА в тыс. руб.'!I633*1000</f>
        <v>1386700</v>
      </c>
      <c r="O633" s="169">
        <f t="shared" si="401"/>
        <v>0</v>
      </c>
    </row>
    <row r="634" spans="1:15" s="3" customFormat="1">
      <c r="A634" s="21" t="s">
        <v>38</v>
      </c>
      <c r="B634" s="22" t="s">
        <v>26</v>
      </c>
      <c r="C634" s="23" t="s">
        <v>65</v>
      </c>
      <c r="D634" s="23" t="s">
        <v>84</v>
      </c>
      <c r="E634" s="23" t="s">
        <v>196</v>
      </c>
      <c r="F634" s="23" t="s">
        <v>58</v>
      </c>
      <c r="G634" s="24">
        <f t="shared" si="438"/>
        <v>1386700</v>
      </c>
      <c r="H634" s="24">
        <f t="shared" si="438"/>
        <v>1386700</v>
      </c>
      <c r="I634" s="24">
        <f t="shared" si="438"/>
        <v>1386700</v>
      </c>
      <c r="J634" s="16">
        <f>'БА в тыс. руб.'!G634*1000</f>
        <v>1386700</v>
      </c>
      <c r="K634" s="169">
        <f t="shared" si="399"/>
        <v>0</v>
      </c>
      <c r="L634" s="16">
        <f>'БА в тыс. руб.'!H634*1000</f>
        <v>1386700</v>
      </c>
      <c r="M634" s="169">
        <f t="shared" si="400"/>
        <v>0</v>
      </c>
      <c r="N634" s="16">
        <f>'БА в тыс. руб.'!I634*1000</f>
        <v>1386700</v>
      </c>
      <c r="O634" s="169">
        <f t="shared" si="401"/>
        <v>0</v>
      </c>
    </row>
    <row r="635" spans="1:15" s="3" customFormat="1" ht="38.25">
      <c r="A635" s="11" t="s">
        <v>683</v>
      </c>
      <c r="B635" s="25" t="s">
        <v>26</v>
      </c>
      <c r="C635" s="26" t="s">
        <v>65</v>
      </c>
      <c r="D635" s="26" t="s">
        <v>84</v>
      </c>
      <c r="E635" s="26" t="s">
        <v>680</v>
      </c>
      <c r="F635" s="26" t="s">
        <v>58</v>
      </c>
      <c r="G635" s="27">
        <f t="shared" si="438"/>
        <v>1386700</v>
      </c>
      <c r="H635" s="27">
        <f t="shared" si="438"/>
        <v>1386700</v>
      </c>
      <c r="I635" s="27">
        <f t="shared" si="438"/>
        <v>1386700</v>
      </c>
      <c r="J635" s="16">
        <f>'БА в тыс. руб.'!G635*1000</f>
        <v>1386700</v>
      </c>
      <c r="K635" s="169">
        <f t="shared" si="399"/>
        <v>0</v>
      </c>
      <c r="L635" s="16">
        <f>'БА в тыс. руб.'!H635*1000</f>
        <v>1386700</v>
      </c>
      <c r="M635" s="169">
        <f t="shared" si="400"/>
        <v>0</v>
      </c>
      <c r="N635" s="16">
        <f>'БА в тыс. руб.'!I635*1000</f>
        <v>1386700</v>
      </c>
      <c r="O635" s="169">
        <f t="shared" si="401"/>
        <v>0</v>
      </c>
    </row>
    <row r="636" spans="1:15" s="3" customFormat="1">
      <c r="A636" s="11" t="s">
        <v>684</v>
      </c>
      <c r="B636" s="25" t="s">
        <v>26</v>
      </c>
      <c r="C636" s="26" t="s">
        <v>65</v>
      </c>
      <c r="D636" s="26" t="s">
        <v>84</v>
      </c>
      <c r="E636" s="26" t="s">
        <v>681</v>
      </c>
      <c r="F636" s="26" t="s">
        <v>58</v>
      </c>
      <c r="G636" s="27">
        <f t="shared" si="438"/>
        <v>1386700</v>
      </c>
      <c r="H636" s="27">
        <f t="shared" si="438"/>
        <v>1386700</v>
      </c>
      <c r="I636" s="27">
        <f t="shared" si="438"/>
        <v>1386700</v>
      </c>
      <c r="J636" s="16">
        <f>'БА в тыс. руб.'!G636*1000</f>
        <v>1386700</v>
      </c>
      <c r="K636" s="169">
        <f t="shared" si="399"/>
        <v>0</v>
      </c>
      <c r="L636" s="16">
        <f>'БА в тыс. руб.'!H636*1000</f>
        <v>1386700</v>
      </c>
      <c r="M636" s="169">
        <f t="shared" si="400"/>
        <v>0</v>
      </c>
      <c r="N636" s="16">
        <f>'БА в тыс. руб.'!I636*1000</f>
        <v>1386700</v>
      </c>
      <c r="O636" s="169">
        <f t="shared" si="401"/>
        <v>0</v>
      </c>
    </row>
    <row r="637" spans="1:15" s="3" customFormat="1" ht="25.5">
      <c r="A637" s="11" t="s">
        <v>123</v>
      </c>
      <c r="B637" s="25" t="s">
        <v>26</v>
      </c>
      <c r="C637" s="26" t="s">
        <v>65</v>
      </c>
      <c r="D637" s="26" t="s">
        <v>84</v>
      </c>
      <c r="E637" s="26" t="s">
        <v>688</v>
      </c>
      <c r="F637" s="26" t="s">
        <v>58</v>
      </c>
      <c r="G637" s="27">
        <f>G638+G640+G641+G643</f>
        <v>1386700</v>
      </c>
      <c r="H637" s="27">
        <f t="shared" ref="H637:I637" si="439">H638+H640+H641+H643</f>
        <v>1386700</v>
      </c>
      <c r="I637" s="27">
        <f t="shared" si="439"/>
        <v>1386700</v>
      </c>
      <c r="J637" s="16">
        <f>'БА в тыс. руб.'!G637*1000</f>
        <v>1386700</v>
      </c>
      <c r="K637" s="169">
        <f t="shared" si="399"/>
        <v>0</v>
      </c>
      <c r="L637" s="16">
        <f>'БА в тыс. руб.'!H637*1000</f>
        <v>1386700</v>
      </c>
      <c r="M637" s="169">
        <f t="shared" si="400"/>
        <v>0</v>
      </c>
      <c r="N637" s="16">
        <f>'БА в тыс. руб.'!I637*1000</f>
        <v>1386700</v>
      </c>
      <c r="O637" s="169">
        <f t="shared" si="401"/>
        <v>0</v>
      </c>
    </row>
    <row r="638" spans="1:15" s="3" customFormat="1" ht="25.5">
      <c r="A638" s="11" t="s">
        <v>108</v>
      </c>
      <c r="B638" s="25" t="s">
        <v>26</v>
      </c>
      <c r="C638" s="26" t="s">
        <v>65</v>
      </c>
      <c r="D638" s="26" t="s">
        <v>84</v>
      </c>
      <c r="E638" s="26" t="s">
        <v>688</v>
      </c>
      <c r="F638" s="26" t="s">
        <v>116</v>
      </c>
      <c r="G638" s="27">
        <f>G639</f>
        <v>1058300</v>
      </c>
      <c r="H638" s="27">
        <f t="shared" ref="H638:I638" si="440">H639</f>
        <v>1058300</v>
      </c>
      <c r="I638" s="27">
        <f t="shared" si="440"/>
        <v>1058300</v>
      </c>
      <c r="J638" s="16">
        <f>'БА в тыс. руб.'!G638*1000</f>
        <v>1058300</v>
      </c>
      <c r="K638" s="169">
        <f t="shared" si="399"/>
        <v>0</v>
      </c>
      <c r="L638" s="16">
        <f>'БА в тыс. руб.'!H638*1000</f>
        <v>1058300</v>
      </c>
      <c r="M638" s="169">
        <f t="shared" si="400"/>
        <v>0</v>
      </c>
      <c r="N638" s="16">
        <f>'БА в тыс. руб.'!I638*1000</f>
        <v>1058300</v>
      </c>
      <c r="O638" s="169">
        <f t="shared" si="401"/>
        <v>0</v>
      </c>
    </row>
    <row r="639" spans="1:15" s="4" customFormat="1" ht="25.5">
      <c r="A639" s="12" t="s">
        <v>973</v>
      </c>
      <c r="B639" s="25" t="s">
        <v>26</v>
      </c>
      <c r="C639" s="26" t="s">
        <v>65</v>
      </c>
      <c r="D639" s="26" t="s">
        <v>84</v>
      </c>
      <c r="E639" s="26" t="s">
        <v>688</v>
      </c>
      <c r="F639" s="26" t="s">
        <v>1043</v>
      </c>
      <c r="G639" s="27">
        <f t="shared" ref="G639:G640" si="441">J639</f>
        <v>1058300</v>
      </c>
      <c r="H639" s="27">
        <f t="shared" ref="H639:H640" si="442">L639</f>
        <v>1058300</v>
      </c>
      <c r="I639" s="27">
        <f t="shared" ref="I639:I640" si="443">N639</f>
        <v>1058300</v>
      </c>
      <c r="J639" s="16">
        <f>'БА в тыс. руб.'!G639*1000</f>
        <v>1058300</v>
      </c>
      <c r="K639" s="169">
        <f t="shared" si="399"/>
        <v>0</v>
      </c>
      <c r="L639" s="16">
        <f>'БА в тыс. руб.'!H639*1000</f>
        <v>1058300</v>
      </c>
      <c r="M639" s="169">
        <f t="shared" si="400"/>
        <v>0</v>
      </c>
      <c r="N639" s="16">
        <f>'БА в тыс. руб.'!I639*1000</f>
        <v>1058300</v>
      </c>
      <c r="O639" s="169">
        <f t="shared" si="401"/>
        <v>0</v>
      </c>
    </row>
    <row r="640" spans="1:15" s="3" customFormat="1">
      <c r="A640" s="11" t="s">
        <v>91</v>
      </c>
      <c r="B640" s="25" t="s">
        <v>26</v>
      </c>
      <c r="C640" s="26" t="s">
        <v>65</v>
      </c>
      <c r="D640" s="26" t="s">
        <v>84</v>
      </c>
      <c r="E640" s="26" t="s">
        <v>688</v>
      </c>
      <c r="F640" s="26" t="s">
        <v>100</v>
      </c>
      <c r="G640" s="27">
        <f t="shared" si="441"/>
        <v>26400</v>
      </c>
      <c r="H640" s="27">
        <f t="shared" si="442"/>
        <v>26400</v>
      </c>
      <c r="I640" s="27">
        <f t="shared" si="443"/>
        <v>26400</v>
      </c>
      <c r="J640" s="16">
        <f>'БА в тыс. руб.'!G640*1000</f>
        <v>26400</v>
      </c>
      <c r="K640" s="169">
        <f t="shared" si="399"/>
        <v>0</v>
      </c>
      <c r="L640" s="16">
        <f>'БА в тыс. руб.'!H640*1000</f>
        <v>26400</v>
      </c>
      <c r="M640" s="169">
        <f t="shared" si="400"/>
        <v>0</v>
      </c>
      <c r="N640" s="16">
        <f>'БА в тыс. руб.'!I640*1000</f>
        <v>26400</v>
      </c>
      <c r="O640" s="169">
        <f t="shared" si="401"/>
        <v>0</v>
      </c>
    </row>
    <row r="641" spans="1:15" s="3" customFormat="1" ht="16.149999999999999" customHeight="1">
      <c r="A641" s="11" t="s">
        <v>97</v>
      </c>
      <c r="B641" s="25" t="s">
        <v>26</v>
      </c>
      <c r="C641" s="26" t="s">
        <v>65</v>
      </c>
      <c r="D641" s="26" t="s">
        <v>84</v>
      </c>
      <c r="E641" s="26" t="s">
        <v>688</v>
      </c>
      <c r="F641" s="26" t="s">
        <v>118</v>
      </c>
      <c r="G641" s="27">
        <f>G642</f>
        <v>42000</v>
      </c>
      <c r="H641" s="27">
        <f t="shared" ref="H641:I641" si="444">H642</f>
        <v>42000</v>
      </c>
      <c r="I641" s="27">
        <f t="shared" si="444"/>
        <v>42000</v>
      </c>
      <c r="J641" s="16">
        <f>'БА в тыс. руб.'!G641*1000</f>
        <v>42000</v>
      </c>
      <c r="K641" s="169">
        <f t="shared" si="399"/>
        <v>0</v>
      </c>
      <c r="L641" s="16">
        <f>'БА в тыс. руб.'!H641*1000</f>
        <v>42000</v>
      </c>
      <c r="M641" s="169">
        <f t="shared" si="400"/>
        <v>0</v>
      </c>
      <c r="N641" s="16">
        <f>'БА в тыс. руб.'!I641*1000</f>
        <v>42000</v>
      </c>
      <c r="O641" s="169">
        <f t="shared" si="401"/>
        <v>0</v>
      </c>
    </row>
    <row r="642" spans="1:15" s="4" customFormat="1" ht="16.149999999999999" customHeight="1">
      <c r="A642" s="12" t="s">
        <v>1038</v>
      </c>
      <c r="B642" s="25" t="s">
        <v>26</v>
      </c>
      <c r="C642" s="26" t="s">
        <v>65</v>
      </c>
      <c r="D642" s="26" t="s">
        <v>84</v>
      </c>
      <c r="E642" s="26" t="s">
        <v>688</v>
      </c>
      <c r="F642" s="26" t="s">
        <v>1066</v>
      </c>
      <c r="G642" s="27">
        <f t="shared" ref="G642" si="445">J642</f>
        <v>42000</v>
      </c>
      <c r="H642" s="27">
        <f>L642</f>
        <v>42000</v>
      </c>
      <c r="I642" s="27">
        <f>N642</f>
        <v>42000</v>
      </c>
      <c r="J642" s="16">
        <f>'БА в тыс. руб.'!G642*1000</f>
        <v>42000</v>
      </c>
      <c r="K642" s="169">
        <f t="shared" si="399"/>
        <v>0</v>
      </c>
      <c r="L642" s="16">
        <f>'БА в тыс. руб.'!H642*1000</f>
        <v>42000</v>
      </c>
      <c r="M642" s="169">
        <f t="shared" si="400"/>
        <v>0</v>
      </c>
      <c r="N642" s="16">
        <f>'БА в тыс. руб.'!I642*1000</f>
        <v>42000</v>
      </c>
      <c r="O642" s="169">
        <f t="shared" si="401"/>
        <v>0</v>
      </c>
    </row>
    <row r="643" spans="1:15" s="3" customFormat="1" ht="25.5">
      <c r="A643" s="11" t="s">
        <v>704</v>
      </c>
      <c r="B643" s="25" t="s">
        <v>26</v>
      </c>
      <c r="C643" s="26" t="s">
        <v>65</v>
      </c>
      <c r="D643" s="26" t="s">
        <v>84</v>
      </c>
      <c r="E643" s="26" t="s">
        <v>688</v>
      </c>
      <c r="F643" s="26" t="s">
        <v>703</v>
      </c>
      <c r="G643" s="27">
        <f>G644</f>
        <v>260000</v>
      </c>
      <c r="H643" s="27">
        <f t="shared" ref="H643:I643" si="446">H644</f>
        <v>260000</v>
      </c>
      <c r="I643" s="27">
        <f t="shared" si="446"/>
        <v>260000</v>
      </c>
      <c r="J643" s="16">
        <f>'БА в тыс. руб.'!G643*1000</f>
        <v>260000</v>
      </c>
      <c r="K643" s="169">
        <f t="shared" si="399"/>
        <v>0</v>
      </c>
      <c r="L643" s="16">
        <f>'БА в тыс. руб.'!H643*1000</f>
        <v>260000</v>
      </c>
      <c r="M643" s="169">
        <f t="shared" si="400"/>
        <v>0</v>
      </c>
      <c r="N643" s="16">
        <f>'БА в тыс. руб.'!I643*1000</f>
        <v>260000</v>
      </c>
      <c r="O643" s="169">
        <f t="shared" si="401"/>
        <v>0</v>
      </c>
    </row>
    <row r="644" spans="1:15" s="4" customFormat="1">
      <c r="A644" s="12" t="s">
        <v>1041</v>
      </c>
      <c r="B644" s="25" t="s">
        <v>26</v>
      </c>
      <c r="C644" s="26" t="s">
        <v>65</v>
      </c>
      <c r="D644" s="26" t="s">
        <v>84</v>
      </c>
      <c r="E644" s="26" t="s">
        <v>688</v>
      </c>
      <c r="F644" s="26" t="s">
        <v>1067</v>
      </c>
      <c r="G644" s="27">
        <f t="shared" ref="G644" si="447">J644</f>
        <v>260000</v>
      </c>
      <c r="H644" s="27">
        <f>L644</f>
        <v>260000</v>
      </c>
      <c r="I644" s="27">
        <f>N644</f>
        <v>260000</v>
      </c>
      <c r="J644" s="16">
        <f>'БА в тыс. руб.'!G644*1000</f>
        <v>260000</v>
      </c>
      <c r="K644" s="169">
        <f t="shared" si="399"/>
        <v>0</v>
      </c>
      <c r="L644" s="16">
        <f>'БА в тыс. руб.'!H644*1000</f>
        <v>260000</v>
      </c>
      <c r="M644" s="169">
        <f t="shared" si="400"/>
        <v>0</v>
      </c>
      <c r="N644" s="16">
        <f>'БА в тыс. руб.'!I644*1000</f>
        <v>260000</v>
      </c>
      <c r="O644" s="169">
        <f t="shared" si="401"/>
        <v>0</v>
      </c>
    </row>
    <row r="645" spans="1:15" s="3" customFormat="1">
      <c r="A645" s="17" t="s">
        <v>70</v>
      </c>
      <c r="B645" s="18" t="s">
        <v>26</v>
      </c>
      <c r="C645" s="19" t="s">
        <v>71</v>
      </c>
      <c r="D645" s="19" t="s">
        <v>51</v>
      </c>
      <c r="E645" s="19" t="s">
        <v>196</v>
      </c>
      <c r="F645" s="19" t="s">
        <v>58</v>
      </c>
      <c r="G645" s="20">
        <f>G646+G694</f>
        <v>129982080</v>
      </c>
      <c r="H645" s="20">
        <f>H646+H694</f>
        <v>126813010</v>
      </c>
      <c r="I645" s="20">
        <f>I646+I694</f>
        <v>129408970</v>
      </c>
      <c r="J645" s="16">
        <f>'БА в тыс. руб.'!G645*1000</f>
        <v>129982080</v>
      </c>
      <c r="K645" s="169">
        <f t="shared" si="399"/>
        <v>0</v>
      </c>
      <c r="L645" s="16">
        <f>'БА в тыс. руб.'!H645*1000</f>
        <v>126813010</v>
      </c>
      <c r="M645" s="169">
        <f t="shared" si="400"/>
        <v>0</v>
      </c>
      <c r="N645" s="16">
        <f>'БА в тыс. руб.'!I645*1000</f>
        <v>129408970</v>
      </c>
      <c r="O645" s="169">
        <f t="shared" si="401"/>
        <v>0</v>
      </c>
    </row>
    <row r="646" spans="1:15" s="3" customFormat="1">
      <c r="A646" s="21" t="s">
        <v>779</v>
      </c>
      <c r="B646" s="22" t="s">
        <v>26</v>
      </c>
      <c r="C646" s="23" t="s">
        <v>71</v>
      </c>
      <c r="D646" s="23" t="s">
        <v>53</v>
      </c>
      <c r="E646" s="23" t="s">
        <v>196</v>
      </c>
      <c r="F646" s="23" t="s">
        <v>58</v>
      </c>
      <c r="G646" s="24">
        <f>G647+G680+G688</f>
        <v>122975570</v>
      </c>
      <c r="H646" s="24">
        <f>H647+H680+H688</f>
        <v>120235310</v>
      </c>
      <c r="I646" s="24">
        <f>I647+I680+I688</f>
        <v>122831270</v>
      </c>
      <c r="J646" s="16">
        <f>'БА в тыс. руб.'!G646*1000</f>
        <v>122975570</v>
      </c>
      <c r="K646" s="169">
        <f t="shared" si="399"/>
        <v>0</v>
      </c>
      <c r="L646" s="16">
        <f>'БА в тыс. руб.'!H646*1000</f>
        <v>120235310</v>
      </c>
      <c r="M646" s="169">
        <f t="shared" si="400"/>
        <v>0</v>
      </c>
      <c r="N646" s="16">
        <f>'БА в тыс. руб.'!I646*1000</f>
        <v>122831270</v>
      </c>
      <c r="O646" s="169">
        <f t="shared" si="401"/>
        <v>0</v>
      </c>
    </row>
    <row r="647" spans="1:15" s="3" customFormat="1">
      <c r="A647" s="11" t="s">
        <v>739</v>
      </c>
      <c r="B647" s="25" t="s">
        <v>26</v>
      </c>
      <c r="C647" s="26" t="s">
        <v>71</v>
      </c>
      <c r="D647" s="26" t="s">
        <v>53</v>
      </c>
      <c r="E647" s="26" t="s">
        <v>277</v>
      </c>
      <c r="F647" s="26" t="s">
        <v>58</v>
      </c>
      <c r="G647" s="27">
        <f>G648+G655</f>
        <v>121587130</v>
      </c>
      <c r="H647" s="27">
        <f>H648+H655</f>
        <v>118946430</v>
      </c>
      <c r="I647" s="27">
        <f>I648+I655</f>
        <v>121542390</v>
      </c>
      <c r="J647" s="16">
        <f>'БА в тыс. руб.'!G647*1000</f>
        <v>121587130</v>
      </c>
      <c r="K647" s="169">
        <f t="shared" si="399"/>
        <v>0</v>
      </c>
      <c r="L647" s="16">
        <f>'БА в тыс. руб.'!H647*1000</f>
        <v>118946430</v>
      </c>
      <c r="M647" s="169">
        <f t="shared" si="400"/>
        <v>0</v>
      </c>
      <c r="N647" s="16">
        <f>'БА в тыс. руб.'!I647*1000</f>
        <v>121542390</v>
      </c>
      <c r="O647" s="169">
        <f t="shared" si="401"/>
        <v>0</v>
      </c>
    </row>
    <row r="648" spans="1:15" s="3" customFormat="1" ht="51">
      <c r="A648" s="11" t="s">
        <v>191</v>
      </c>
      <c r="B648" s="25" t="s">
        <v>26</v>
      </c>
      <c r="C648" s="26" t="s">
        <v>71</v>
      </c>
      <c r="D648" s="26" t="s">
        <v>53</v>
      </c>
      <c r="E648" s="26" t="s">
        <v>278</v>
      </c>
      <c r="F648" s="26" t="s">
        <v>58</v>
      </c>
      <c r="G648" s="27">
        <f t="shared" ref="G648:I649" si="448">G649</f>
        <v>412000</v>
      </c>
      <c r="H648" s="27">
        <f t="shared" si="448"/>
        <v>412000</v>
      </c>
      <c r="I648" s="27">
        <f t="shared" si="448"/>
        <v>412000</v>
      </c>
      <c r="J648" s="16">
        <f>'БА в тыс. руб.'!G648*1000</f>
        <v>412000</v>
      </c>
      <c r="K648" s="169">
        <f t="shared" ref="K648:K711" si="449">J648-G648</f>
        <v>0</v>
      </c>
      <c r="L648" s="16">
        <f>'БА в тыс. руб.'!H648*1000</f>
        <v>412000</v>
      </c>
      <c r="M648" s="169">
        <f t="shared" ref="M648:M711" si="450">L648-H648</f>
        <v>0</v>
      </c>
      <c r="N648" s="16">
        <f>'БА в тыс. руб.'!I648*1000</f>
        <v>412000</v>
      </c>
      <c r="O648" s="169">
        <f t="shared" ref="O648:O711" si="451">N648-I648</f>
        <v>0</v>
      </c>
    </row>
    <row r="649" spans="1:15" s="3" customFormat="1" ht="63.75">
      <c r="A649" s="11" t="s">
        <v>605</v>
      </c>
      <c r="B649" s="25" t="s">
        <v>26</v>
      </c>
      <c r="C649" s="26" t="s">
        <v>71</v>
      </c>
      <c r="D649" s="26" t="s">
        <v>53</v>
      </c>
      <c r="E649" s="26" t="s">
        <v>279</v>
      </c>
      <c r="F649" s="26" t="s">
        <v>58</v>
      </c>
      <c r="G649" s="27">
        <f t="shared" si="448"/>
        <v>412000</v>
      </c>
      <c r="H649" s="27">
        <f t="shared" si="448"/>
        <v>412000</v>
      </c>
      <c r="I649" s="27">
        <f t="shared" si="448"/>
        <v>412000</v>
      </c>
      <c r="J649" s="16">
        <f>'БА в тыс. руб.'!G649*1000</f>
        <v>412000</v>
      </c>
      <c r="K649" s="169">
        <f t="shared" si="449"/>
        <v>0</v>
      </c>
      <c r="L649" s="16">
        <f>'БА в тыс. руб.'!H649*1000</f>
        <v>412000</v>
      </c>
      <c r="M649" s="169">
        <f t="shared" si="450"/>
        <v>0</v>
      </c>
      <c r="N649" s="16">
        <f>'БА в тыс. руб.'!I649*1000</f>
        <v>412000</v>
      </c>
      <c r="O649" s="169">
        <f t="shared" si="451"/>
        <v>0</v>
      </c>
    </row>
    <row r="650" spans="1:15" s="3" customFormat="1" ht="25.5">
      <c r="A650" s="11" t="s">
        <v>161</v>
      </c>
      <c r="B650" s="25" t="s">
        <v>26</v>
      </c>
      <c r="C650" s="26" t="s">
        <v>71</v>
      </c>
      <c r="D650" s="26" t="s">
        <v>53</v>
      </c>
      <c r="E650" s="26" t="s">
        <v>320</v>
      </c>
      <c r="F650" s="26" t="s">
        <v>58</v>
      </c>
      <c r="G650" s="27">
        <f>G651+G653</f>
        <v>412000</v>
      </c>
      <c r="H650" s="27">
        <f>H651+H653</f>
        <v>412000</v>
      </c>
      <c r="I650" s="27">
        <f>I651+I653</f>
        <v>412000</v>
      </c>
      <c r="J650" s="16">
        <f>'БА в тыс. руб.'!G650*1000</f>
        <v>412000</v>
      </c>
      <c r="K650" s="169">
        <f t="shared" si="449"/>
        <v>0</v>
      </c>
      <c r="L650" s="16">
        <f>'БА в тыс. руб.'!H650*1000</f>
        <v>412000</v>
      </c>
      <c r="M650" s="169">
        <f t="shared" si="450"/>
        <v>0</v>
      </c>
      <c r="N650" s="16">
        <f>'БА в тыс. руб.'!I650*1000</f>
        <v>412000</v>
      </c>
      <c r="O650" s="169">
        <f t="shared" si="451"/>
        <v>0</v>
      </c>
    </row>
    <row r="651" spans="1:15" s="3" customFormat="1">
      <c r="A651" s="13" t="s">
        <v>92</v>
      </c>
      <c r="B651" s="25" t="s">
        <v>26</v>
      </c>
      <c r="C651" s="26" t="s">
        <v>71</v>
      </c>
      <c r="D651" s="26" t="s">
        <v>53</v>
      </c>
      <c r="E651" s="26" t="s">
        <v>320</v>
      </c>
      <c r="F651" s="26" t="s">
        <v>138</v>
      </c>
      <c r="G651" s="27">
        <f>G652</f>
        <v>347000</v>
      </c>
      <c r="H651" s="27">
        <f t="shared" ref="H651:I651" si="452">H652</f>
        <v>347000</v>
      </c>
      <c r="I651" s="27">
        <f t="shared" si="452"/>
        <v>347000</v>
      </c>
      <c r="J651" s="16">
        <f>'БА в тыс. руб.'!G651*1000</f>
        <v>347000</v>
      </c>
      <c r="K651" s="169">
        <f t="shared" si="449"/>
        <v>0</v>
      </c>
      <c r="L651" s="16">
        <f>'БА в тыс. руб.'!H651*1000</f>
        <v>347000</v>
      </c>
      <c r="M651" s="169">
        <f t="shared" si="450"/>
        <v>0</v>
      </c>
      <c r="N651" s="16">
        <f>'БА в тыс. руб.'!I651*1000</f>
        <v>347000</v>
      </c>
      <c r="O651" s="169">
        <f t="shared" si="451"/>
        <v>0</v>
      </c>
    </row>
    <row r="652" spans="1:15" s="4" customFormat="1" ht="38.25">
      <c r="A652" s="12" t="s">
        <v>1015</v>
      </c>
      <c r="B652" s="25" t="s">
        <v>26</v>
      </c>
      <c r="C652" s="26" t="s">
        <v>71</v>
      </c>
      <c r="D652" s="26" t="s">
        <v>53</v>
      </c>
      <c r="E652" s="26" t="s">
        <v>320</v>
      </c>
      <c r="F652" s="26" t="s">
        <v>67</v>
      </c>
      <c r="G652" s="27">
        <f t="shared" ref="G652" si="453">J652</f>
        <v>347000</v>
      </c>
      <c r="H652" s="27">
        <f>L652</f>
        <v>347000</v>
      </c>
      <c r="I652" s="27">
        <f>N652</f>
        <v>347000</v>
      </c>
      <c r="J652" s="16">
        <f>'БА в тыс. руб.'!G652*1000</f>
        <v>347000</v>
      </c>
      <c r="K652" s="169">
        <f t="shared" si="449"/>
        <v>0</v>
      </c>
      <c r="L652" s="16">
        <f>'БА в тыс. руб.'!H652*1000</f>
        <v>347000</v>
      </c>
      <c r="M652" s="169">
        <f t="shared" si="450"/>
        <v>0</v>
      </c>
      <c r="N652" s="16">
        <f>'БА в тыс. руб.'!I652*1000</f>
        <v>347000</v>
      </c>
      <c r="O652" s="169">
        <f t="shared" si="451"/>
        <v>0</v>
      </c>
    </row>
    <row r="653" spans="1:15" s="3" customFormat="1">
      <c r="A653" s="40" t="s">
        <v>93</v>
      </c>
      <c r="B653" s="25" t="s">
        <v>26</v>
      </c>
      <c r="C653" s="26" t="s">
        <v>71</v>
      </c>
      <c r="D653" s="26" t="s">
        <v>53</v>
      </c>
      <c r="E653" s="26" t="s">
        <v>320</v>
      </c>
      <c r="F653" s="26" t="s">
        <v>20</v>
      </c>
      <c r="G653" s="27">
        <f>G654</f>
        <v>65000</v>
      </c>
      <c r="H653" s="27">
        <f t="shared" ref="H653:I653" si="454">H654</f>
        <v>65000</v>
      </c>
      <c r="I653" s="27">
        <f t="shared" si="454"/>
        <v>65000</v>
      </c>
      <c r="J653" s="16">
        <f>'БА в тыс. руб.'!G653*1000</f>
        <v>65000</v>
      </c>
      <c r="K653" s="169">
        <f t="shared" si="449"/>
        <v>0</v>
      </c>
      <c r="L653" s="16">
        <f>'БА в тыс. руб.'!H653*1000</f>
        <v>65000</v>
      </c>
      <c r="M653" s="169">
        <f t="shared" si="450"/>
        <v>0</v>
      </c>
      <c r="N653" s="16">
        <f>'БА в тыс. руб.'!I653*1000</f>
        <v>65000</v>
      </c>
      <c r="O653" s="169">
        <f t="shared" si="451"/>
        <v>0</v>
      </c>
    </row>
    <row r="654" spans="1:15" s="4" customFormat="1" ht="38.25">
      <c r="A654" s="12" t="s">
        <v>1018</v>
      </c>
      <c r="B654" s="25" t="s">
        <v>26</v>
      </c>
      <c r="C654" s="26" t="s">
        <v>71</v>
      </c>
      <c r="D654" s="26" t="s">
        <v>53</v>
      </c>
      <c r="E654" s="26" t="s">
        <v>320</v>
      </c>
      <c r="F654" s="26" t="s">
        <v>16</v>
      </c>
      <c r="G654" s="27">
        <f t="shared" ref="G654" si="455">J654</f>
        <v>65000</v>
      </c>
      <c r="H654" s="27">
        <f>L654</f>
        <v>65000</v>
      </c>
      <c r="I654" s="27">
        <f>N654</f>
        <v>65000</v>
      </c>
      <c r="J654" s="16">
        <f>'БА в тыс. руб.'!G654*1000</f>
        <v>65000</v>
      </c>
      <c r="K654" s="169">
        <f t="shared" si="449"/>
        <v>0</v>
      </c>
      <c r="L654" s="16">
        <f>'БА в тыс. руб.'!H654*1000</f>
        <v>65000</v>
      </c>
      <c r="M654" s="169">
        <f t="shared" si="450"/>
        <v>0</v>
      </c>
      <c r="N654" s="16">
        <f>'БА в тыс. руб.'!I654*1000</f>
        <v>65000</v>
      </c>
      <c r="O654" s="169">
        <f t="shared" si="451"/>
        <v>0</v>
      </c>
    </row>
    <row r="655" spans="1:15" s="3" customFormat="1">
      <c r="A655" s="11" t="s">
        <v>140</v>
      </c>
      <c r="B655" s="25" t="s">
        <v>26</v>
      </c>
      <c r="C655" s="26" t="s">
        <v>71</v>
      </c>
      <c r="D655" s="26" t="s">
        <v>53</v>
      </c>
      <c r="E655" s="26" t="s">
        <v>372</v>
      </c>
      <c r="F655" s="26" t="s">
        <v>58</v>
      </c>
      <c r="G655" s="27">
        <f>G656+G662+G666+G670+G676</f>
        <v>121175130</v>
      </c>
      <c r="H655" s="27">
        <f>H656+H662+H666+H670+H676</f>
        <v>118534430</v>
      </c>
      <c r="I655" s="27">
        <f>I656+I662+I666+I670+I676</f>
        <v>121130390</v>
      </c>
      <c r="J655" s="16">
        <f>'БА в тыс. руб.'!G655*1000</f>
        <v>121175130</v>
      </c>
      <c r="K655" s="169">
        <f t="shared" si="449"/>
        <v>0</v>
      </c>
      <c r="L655" s="16">
        <f>'БА в тыс. руб.'!H655*1000</f>
        <v>118534430</v>
      </c>
      <c r="M655" s="169">
        <f t="shared" si="450"/>
        <v>0</v>
      </c>
      <c r="N655" s="16">
        <f>'БА в тыс. руб.'!I655*1000</f>
        <v>121130390</v>
      </c>
      <c r="O655" s="169">
        <f t="shared" si="451"/>
        <v>0</v>
      </c>
    </row>
    <row r="656" spans="1:15" s="3" customFormat="1" ht="38.25">
      <c r="A656" s="11" t="s">
        <v>780</v>
      </c>
      <c r="B656" s="25" t="s">
        <v>26</v>
      </c>
      <c r="C656" s="26" t="s">
        <v>71</v>
      </c>
      <c r="D656" s="26" t="s">
        <v>53</v>
      </c>
      <c r="E656" s="26" t="s">
        <v>373</v>
      </c>
      <c r="F656" s="26" t="s">
        <v>58</v>
      </c>
      <c r="G656" s="27">
        <f>G657</f>
        <v>117785180</v>
      </c>
      <c r="H656" s="27">
        <f t="shared" ref="H656:I656" si="456">H657</f>
        <v>118166030</v>
      </c>
      <c r="I656" s="27">
        <f t="shared" si="456"/>
        <v>118166030</v>
      </c>
      <c r="J656" s="16">
        <f>'БА в тыс. руб.'!G656*1000</f>
        <v>117785180.00000001</v>
      </c>
      <c r="K656" s="169">
        <f t="shared" si="449"/>
        <v>0</v>
      </c>
      <c r="L656" s="16">
        <f>'БА в тыс. руб.'!H656*1000</f>
        <v>118166030</v>
      </c>
      <c r="M656" s="169">
        <f t="shared" si="450"/>
        <v>0</v>
      </c>
      <c r="N656" s="16">
        <f>'БА в тыс. руб.'!I656*1000</f>
        <v>118166030</v>
      </c>
      <c r="O656" s="169">
        <f t="shared" si="451"/>
        <v>0</v>
      </c>
    </row>
    <row r="657" spans="1:15" s="3" customFormat="1" ht="25.5">
      <c r="A657" s="11" t="s">
        <v>247</v>
      </c>
      <c r="B657" s="25" t="s">
        <v>26</v>
      </c>
      <c r="C657" s="26" t="s">
        <v>71</v>
      </c>
      <c r="D657" s="26" t="s">
        <v>53</v>
      </c>
      <c r="E657" s="26" t="s">
        <v>374</v>
      </c>
      <c r="F657" s="26" t="s">
        <v>58</v>
      </c>
      <c r="G657" s="27">
        <f>G658+G660</f>
        <v>117785180</v>
      </c>
      <c r="H657" s="27">
        <f t="shared" ref="H657:I657" si="457">H658+H660</f>
        <v>118166030</v>
      </c>
      <c r="I657" s="27">
        <f t="shared" si="457"/>
        <v>118166030</v>
      </c>
      <c r="J657" s="16">
        <f>'БА в тыс. руб.'!G657*1000</f>
        <v>117785180.00000001</v>
      </c>
      <c r="K657" s="169">
        <f t="shared" si="449"/>
        <v>0</v>
      </c>
      <c r="L657" s="16">
        <f>'БА в тыс. руб.'!H657*1000</f>
        <v>118166030</v>
      </c>
      <c r="M657" s="169">
        <f t="shared" si="450"/>
        <v>0</v>
      </c>
      <c r="N657" s="16">
        <f>'БА в тыс. руб.'!I657*1000</f>
        <v>118166030</v>
      </c>
      <c r="O657" s="169">
        <f t="shared" si="451"/>
        <v>0</v>
      </c>
    </row>
    <row r="658" spans="1:15" s="3" customFormat="1">
      <c r="A658" s="13" t="s">
        <v>92</v>
      </c>
      <c r="B658" s="25" t="s">
        <v>26</v>
      </c>
      <c r="C658" s="26" t="s">
        <v>71</v>
      </c>
      <c r="D658" s="26" t="s">
        <v>53</v>
      </c>
      <c r="E658" s="26" t="s">
        <v>374</v>
      </c>
      <c r="F658" s="26" t="s">
        <v>138</v>
      </c>
      <c r="G658" s="27">
        <f>G659</f>
        <v>104835600</v>
      </c>
      <c r="H658" s="27">
        <f t="shared" ref="H658:I658" si="458">H659</f>
        <v>104835600</v>
      </c>
      <c r="I658" s="27">
        <f t="shared" si="458"/>
        <v>104835600</v>
      </c>
      <c r="J658" s="16">
        <f>'БА в тыс. руб.'!G658*1000</f>
        <v>104835600</v>
      </c>
      <c r="K658" s="169">
        <f t="shared" si="449"/>
        <v>0</v>
      </c>
      <c r="L658" s="16">
        <f>'БА в тыс. руб.'!H658*1000</f>
        <v>104835600</v>
      </c>
      <c r="M658" s="169">
        <f t="shared" si="450"/>
        <v>0</v>
      </c>
      <c r="N658" s="16">
        <f>'БА в тыс. руб.'!I658*1000</f>
        <v>104835600</v>
      </c>
      <c r="O658" s="169">
        <f t="shared" si="451"/>
        <v>0</v>
      </c>
    </row>
    <row r="659" spans="1:15" s="4" customFormat="1" ht="38.25">
      <c r="A659" s="12" t="s">
        <v>1015</v>
      </c>
      <c r="B659" s="25" t="s">
        <v>26</v>
      </c>
      <c r="C659" s="26" t="s">
        <v>71</v>
      </c>
      <c r="D659" s="26" t="s">
        <v>53</v>
      </c>
      <c r="E659" s="26" t="s">
        <v>374</v>
      </c>
      <c r="F659" s="26" t="s">
        <v>67</v>
      </c>
      <c r="G659" s="27">
        <f t="shared" ref="G659" si="459">J659</f>
        <v>104835600</v>
      </c>
      <c r="H659" s="27">
        <f>L659</f>
        <v>104835600</v>
      </c>
      <c r="I659" s="27">
        <f>N659</f>
        <v>104835600</v>
      </c>
      <c r="J659" s="16">
        <f>'БА в тыс. руб.'!G659*1000</f>
        <v>104835600</v>
      </c>
      <c r="K659" s="169">
        <f t="shared" si="449"/>
        <v>0</v>
      </c>
      <c r="L659" s="16">
        <f>'БА в тыс. руб.'!H659*1000</f>
        <v>104835600</v>
      </c>
      <c r="M659" s="169">
        <f t="shared" si="450"/>
        <v>0</v>
      </c>
      <c r="N659" s="16">
        <f>'БА в тыс. руб.'!I659*1000</f>
        <v>104835600</v>
      </c>
      <c r="O659" s="169">
        <f t="shared" si="451"/>
        <v>0</v>
      </c>
    </row>
    <row r="660" spans="1:15" s="30" customFormat="1">
      <c r="A660" s="13" t="s">
        <v>93</v>
      </c>
      <c r="B660" s="25" t="s">
        <v>26</v>
      </c>
      <c r="C660" s="26" t="s">
        <v>71</v>
      </c>
      <c r="D660" s="26" t="s">
        <v>53</v>
      </c>
      <c r="E660" s="26" t="s">
        <v>374</v>
      </c>
      <c r="F660" s="26" t="s">
        <v>20</v>
      </c>
      <c r="G660" s="27">
        <f>G661</f>
        <v>12949580</v>
      </c>
      <c r="H660" s="27">
        <f t="shared" ref="H660:I660" si="460">H661</f>
        <v>13330430</v>
      </c>
      <c r="I660" s="27">
        <f t="shared" si="460"/>
        <v>13330430</v>
      </c>
      <c r="J660" s="16">
        <f>'БА в тыс. руб.'!G660*1000</f>
        <v>12949580</v>
      </c>
      <c r="K660" s="169">
        <f t="shared" si="449"/>
        <v>0</v>
      </c>
      <c r="L660" s="16">
        <f>'БА в тыс. руб.'!H660*1000</f>
        <v>13330430</v>
      </c>
      <c r="M660" s="169">
        <f t="shared" si="450"/>
        <v>0</v>
      </c>
      <c r="N660" s="16">
        <f>'БА в тыс. руб.'!I660*1000</f>
        <v>13330430</v>
      </c>
      <c r="O660" s="169">
        <f t="shared" si="451"/>
        <v>0</v>
      </c>
    </row>
    <row r="661" spans="1:15" s="83" customFormat="1" ht="38.25">
      <c r="A661" s="12" t="s">
        <v>1018</v>
      </c>
      <c r="B661" s="25" t="s">
        <v>26</v>
      </c>
      <c r="C661" s="26" t="s">
        <v>71</v>
      </c>
      <c r="D661" s="26" t="s">
        <v>53</v>
      </c>
      <c r="E661" s="26" t="s">
        <v>374</v>
      </c>
      <c r="F661" s="26" t="s">
        <v>16</v>
      </c>
      <c r="G661" s="27">
        <f t="shared" ref="G661" si="461">J661</f>
        <v>12949580</v>
      </c>
      <c r="H661" s="27">
        <f>L661</f>
        <v>13330430</v>
      </c>
      <c r="I661" s="27">
        <f>N661</f>
        <v>13330430</v>
      </c>
      <c r="J661" s="16">
        <f>'БА в тыс. руб.'!G661*1000</f>
        <v>12949580</v>
      </c>
      <c r="K661" s="169">
        <f t="shared" si="449"/>
        <v>0</v>
      </c>
      <c r="L661" s="16">
        <f>'БА в тыс. руб.'!H661*1000</f>
        <v>13330430</v>
      </c>
      <c r="M661" s="169">
        <f t="shared" si="450"/>
        <v>0</v>
      </c>
      <c r="N661" s="16">
        <f>'БА в тыс. руб.'!I661*1000</f>
        <v>13330430</v>
      </c>
      <c r="O661" s="169">
        <f t="shared" si="451"/>
        <v>0</v>
      </c>
    </row>
    <row r="662" spans="1:15" s="3" customFormat="1" ht="38.25">
      <c r="A662" s="11" t="s">
        <v>621</v>
      </c>
      <c r="B662" s="25" t="s">
        <v>26</v>
      </c>
      <c r="C662" s="26" t="s">
        <v>71</v>
      </c>
      <c r="D662" s="26" t="s">
        <v>53</v>
      </c>
      <c r="E662" s="26" t="s">
        <v>375</v>
      </c>
      <c r="F662" s="26" t="s">
        <v>58</v>
      </c>
      <c r="G662" s="27">
        <f t="shared" ref="G662:I664" si="462">G663</f>
        <v>0</v>
      </c>
      <c r="H662" s="27">
        <f t="shared" si="462"/>
        <v>0</v>
      </c>
      <c r="I662" s="27">
        <f t="shared" si="462"/>
        <v>2595960</v>
      </c>
      <c r="J662" s="16">
        <f>'БА в тыс. руб.'!G662*1000</f>
        <v>0</v>
      </c>
      <c r="K662" s="169">
        <f t="shared" si="449"/>
        <v>0</v>
      </c>
      <c r="L662" s="16">
        <f>'БА в тыс. руб.'!H662*1000</f>
        <v>0</v>
      </c>
      <c r="M662" s="169">
        <f t="shared" si="450"/>
        <v>0</v>
      </c>
      <c r="N662" s="16">
        <f>'БА в тыс. руб.'!I662*1000</f>
        <v>2595960</v>
      </c>
      <c r="O662" s="169">
        <f t="shared" si="451"/>
        <v>0</v>
      </c>
    </row>
    <row r="663" spans="1:15" s="3" customFormat="1" ht="25.5">
      <c r="A663" s="11" t="s">
        <v>162</v>
      </c>
      <c r="B663" s="25" t="s">
        <v>26</v>
      </c>
      <c r="C663" s="26" t="s">
        <v>71</v>
      </c>
      <c r="D663" s="26" t="s">
        <v>53</v>
      </c>
      <c r="E663" s="26" t="s">
        <v>376</v>
      </c>
      <c r="F663" s="26" t="s">
        <v>58</v>
      </c>
      <c r="G663" s="27">
        <f t="shared" si="462"/>
        <v>0</v>
      </c>
      <c r="H663" s="27">
        <f t="shared" si="462"/>
        <v>0</v>
      </c>
      <c r="I663" s="27">
        <f t="shared" si="462"/>
        <v>2595960</v>
      </c>
      <c r="J663" s="16">
        <f>'БА в тыс. руб.'!G663*1000</f>
        <v>0</v>
      </c>
      <c r="K663" s="169">
        <f t="shared" si="449"/>
        <v>0</v>
      </c>
      <c r="L663" s="16">
        <f>'БА в тыс. руб.'!H663*1000</f>
        <v>0</v>
      </c>
      <c r="M663" s="169">
        <f t="shared" si="450"/>
        <v>0</v>
      </c>
      <c r="N663" s="16">
        <f>'БА в тыс. руб.'!I663*1000</f>
        <v>2595960</v>
      </c>
      <c r="O663" s="169">
        <f t="shared" si="451"/>
        <v>0</v>
      </c>
    </row>
    <row r="664" spans="1:15" s="3" customFormat="1">
      <c r="A664" s="13" t="s">
        <v>92</v>
      </c>
      <c r="B664" s="25" t="s">
        <v>26</v>
      </c>
      <c r="C664" s="26" t="s">
        <v>71</v>
      </c>
      <c r="D664" s="26" t="s">
        <v>53</v>
      </c>
      <c r="E664" s="26" t="s">
        <v>376</v>
      </c>
      <c r="F664" s="26" t="s">
        <v>138</v>
      </c>
      <c r="G664" s="27">
        <f>G665</f>
        <v>0</v>
      </c>
      <c r="H664" s="27">
        <f t="shared" si="462"/>
        <v>0</v>
      </c>
      <c r="I664" s="27">
        <f t="shared" si="462"/>
        <v>2595960</v>
      </c>
      <c r="J664" s="16">
        <f>'БА в тыс. руб.'!G664*1000</f>
        <v>0</v>
      </c>
      <c r="K664" s="169">
        <f t="shared" si="449"/>
        <v>0</v>
      </c>
      <c r="L664" s="16">
        <f>'БА в тыс. руб.'!H664*1000</f>
        <v>0</v>
      </c>
      <c r="M664" s="169">
        <f t="shared" si="450"/>
        <v>0</v>
      </c>
      <c r="N664" s="16">
        <f>'БА в тыс. руб.'!I664*1000</f>
        <v>2595960</v>
      </c>
      <c r="O664" s="169">
        <f t="shared" si="451"/>
        <v>0</v>
      </c>
    </row>
    <row r="665" spans="1:15" s="3" customFormat="1">
      <c r="A665" s="11" t="s">
        <v>1016</v>
      </c>
      <c r="B665" s="25" t="s">
        <v>26</v>
      </c>
      <c r="C665" s="26" t="s">
        <v>71</v>
      </c>
      <c r="D665" s="26" t="s">
        <v>53</v>
      </c>
      <c r="E665" s="26" t="s">
        <v>376</v>
      </c>
      <c r="F665" s="26" t="s">
        <v>1046</v>
      </c>
      <c r="G665" s="27">
        <f t="shared" ref="G665" si="463">J665</f>
        <v>0</v>
      </c>
      <c r="H665" s="27">
        <f>L665</f>
        <v>0</v>
      </c>
      <c r="I665" s="27">
        <f>N665</f>
        <v>2595960</v>
      </c>
      <c r="J665" s="16">
        <f>'БА в тыс. руб.'!G665*1000</f>
        <v>0</v>
      </c>
      <c r="K665" s="169">
        <f t="shared" si="449"/>
        <v>0</v>
      </c>
      <c r="L665" s="16">
        <f>'БА в тыс. руб.'!H665*1000</f>
        <v>0</v>
      </c>
      <c r="M665" s="169">
        <f t="shared" si="450"/>
        <v>0</v>
      </c>
      <c r="N665" s="16">
        <f>'БА в тыс. руб.'!I665*1000</f>
        <v>2595960</v>
      </c>
      <c r="O665" s="169">
        <f t="shared" si="451"/>
        <v>0</v>
      </c>
    </row>
    <row r="666" spans="1:15" s="3" customFormat="1" ht="89.25">
      <c r="A666" s="13" t="s">
        <v>850</v>
      </c>
      <c r="B666" s="25" t="s">
        <v>26</v>
      </c>
      <c r="C666" s="26" t="s">
        <v>71</v>
      </c>
      <c r="D666" s="26" t="s">
        <v>53</v>
      </c>
      <c r="E666" s="26" t="s">
        <v>622</v>
      </c>
      <c r="F666" s="26" t="s">
        <v>58</v>
      </c>
      <c r="G666" s="27">
        <f t="shared" ref="G666:I668" si="464">G667</f>
        <v>150000</v>
      </c>
      <c r="H666" s="27">
        <f t="shared" si="464"/>
        <v>150000</v>
      </c>
      <c r="I666" s="27">
        <f t="shared" si="464"/>
        <v>150000</v>
      </c>
      <c r="J666" s="16">
        <f>'БА в тыс. руб.'!G666*1000</f>
        <v>150000</v>
      </c>
      <c r="K666" s="169">
        <f t="shared" si="449"/>
        <v>0</v>
      </c>
      <c r="L666" s="16">
        <f>'БА в тыс. руб.'!H666*1000</f>
        <v>150000</v>
      </c>
      <c r="M666" s="169">
        <f t="shared" si="450"/>
        <v>0</v>
      </c>
      <c r="N666" s="16">
        <f>'БА в тыс. руб.'!I666*1000</f>
        <v>150000</v>
      </c>
      <c r="O666" s="169">
        <f t="shared" si="451"/>
        <v>0</v>
      </c>
    </row>
    <row r="667" spans="1:15" s="3" customFormat="1" ht="76.5">
      <c r="A667" s="11" t="s">
        <v>853</v>
      </c>
      <c r="B667" s="25" t="s">
        <v>26</v>
      </c>
      <c r="C667" s="26" t="s">
        <v>71</v>
      </c>
      <c r="D667" s="26" t="s">
        <v>53</v>
      </c>
      <c r="E667" s="26" t="s">
        <v>623</v>
      </c>
      <c r="F667" s="26" t="s">
        <v>58</v>
      </c>
      <c r="G667" s="27">
        <f t="shared" si="464"/>
        <v>150000</v>
      </c>
      <c r="H667" s="27">
        <f t="shared" si="464"/>
        <v>150000</v>
      </c>
      <c r="I667" s="27">
        <f t="shared" si="464"/>
        <v>150000</v>
      </c>
      <c r="J667" s="16">
        <f>'БА в тыс. руб.'!G667*1000</f>
        <v>150000</v>
      </c>
      <c r="K667" s="169">
        <f t="shared" si="449"/>
        <v>0</v>
      </c>
      <c r="L667" s="16">
        <f>'БА в тыс. руб.'!H667*1000</f>
        <v>150000</v>
      </c>
      <c r="M667" s="169">
        <f t="shared" si="450"/>
        <v>0</v>
      </c>
      <c r="N667" s="16">
        <f>'БА в тыс. руб.'!I667*1000</f>
        <v>150000</v>
      </c>
      <c r="O667" s="169">
        <f t="shared" si="451"/>
        <v>0</v>
      </c>
    </row>
    <row r="668" spans="1:15" s="3" customFormat="1">
      <c r="A668" s="13" t="s">
        <v>92</v>
      </c>
      <c r="B668" s="25" t="s">
        <v>26</v>
      </c>
      <c r="C668" s="26" t="s">
        <v>71</v>
      </c>
      <c r="D668" s="26" t="s">
        <v>53</v>
      </c>
      <c r="E668" s="26" t="s">
        <v>623</v>
      </c>
      <c r="F668" s="26" t="s">
        <v>138</v>
      </c>
      <c r="G668" s="27">
        <f>G669</f>
        <v>150000</v>
      </c>
      <c r="H668" s="27">
        <f t="shared" si="464"/>
        <v>150000</v>
      </c>
      <c r="I668" s="27">
        <f t="shared" si="464"/>
        <v>150000</v>
      </c>
      <c r="J668" s="16">
        <f>'БА в тыс. руб.'!G668*1000</f>
        <v>150000</v>
      </c>
      <c r="K668" s="169">
        <f t="shared" si="449"/>
        <v>0</v>
      </c>
      <c r="L668" s="16">
        <f>'БА в тыс. руб.'!H668*1000</f>
        <v>150000</v>
      </c>
      <c r="M668" s="169">
        <f t="shared" si="450"/>
        <v>0</v>
      </c>
      <c r="N668" s="16">
        <f>'БА в тыс. руб.'!I668*1000</f>
        <v>150000</v>
      </c>
      <c r="O668" s="169">
        <f t="shared" si="451"/>
        <v>0</v>
      </c>
    </row>
    <row r="669" spans="1:15" s="4" customFormat="1">
      <c r="A669" s="11" t="s">
        <v>1016</v>
      </c>
      <c r="B669" s="25" t="s">
        <v>26</v>
      </c>
      <c r="C669" s="26" t="s">
        <v>71</v>
      </c>
      <c r="D669" s="26" t="s">
        <v>53</v>
      </c>
      <c r="E669" s="26" t="s">
        <v>623</v>
      </c>
      <c r="F669" s="26" t="s">
        <v>1046</v>
      </c>
      <c r="G669" s="27">
        <f t="shared" ref="G669" si="465">J669</f>
        <v>150000</v>
      </c>
      <c r="H669" s="27">
        <f>L669</f>
        <v>150000</v>
      </c>
      <c r="I669" s="27">
        <f>N669</f>
        <v>150000</v>
      </c>
      <c r="J669" s="16">
        <f>'БА в тыс. руб.'!G669*1000</f>
        <v>150000</v>
      </c>
      <c r="K669" s="169">
        <f t="shared" si="449"/>
        <v>0</v>
      </c>
      <c r="L669" s="16">
        <f>'БА в тыс. руб.'!H669*1000</f>
        <v>150000</v>
      </c>
      <c r="M669" s="169">
        <f t="shared" si="450"/>
        <v>0</v>
      </c>
      <c r="N669" s="16">
        <f>'БА в тыс. руб.'!I669*1000</f>
        <v>150000</v>
      </c>
      <c r="O669" s="169">
        <f t="shared" si="451"/>
        <v>0</v>
      </c>
    </row>
    <row r="670" spans="1:15" s="3" customFormat="1" ht="38.25">
      <c r="A670" s="13" t="s">
        <v>854</v>
      </c>
      <c r="B670" s="25" t="s">
        <v>26</v>
      </c>
      <c r="C670" s="26" t="s">
        <v>71</v>
      </c>
      <c r="D670" s="26" t="s">
        <v>53</v>
      </c>
      <c r="E670" s="26" t="s">
        <v>624</v>
      </c>
      <c r="F670" s="26" t="s">
        <v>58</v>
      </c>
      <c r="G670" s="27">
        <f>G671</f>
        <v>300000</v>
      </c>
      <c r="H670" s="27">
        <f>H671</f>
        <v>218400</v>
      </c>
      <c r="I670" s="27">
        <f>I671</f>
        <v>218400</v>
      </c>
      <c r="J670" s="16">
        <f>'БА в тыс. руб.'!G670*1000</f>
        <v>300000</v>
      </c>
      <c r="K670" s="169">
        <f t="shared" si="449"/>
        <v>0</v>
      </c>
      <c r="L670" s="16">
        <f>'БА в тыс. руб.'!H670*1000</f>
        <v>218400</v>
      </c>
      <c r="M670" s="169">
        <f t="shared" si="450"/>
        <v>0</v>
      </c>
      <c r="N670" s="16">
        <f>'БА в тыс. руб.'!I670*1000</f>
        <v>218400</v>
      </c>
      <c r="O670" s="169">
        <f t="shared" si="451"/>
        <v>0</v>
      </c>
    </row>
    <row r="671" spans="1:15" s="3" customFormat="1" ht="38.25">
      <c r="A671" s="13" t="s">
        <v>855</v>
      </c>
      <c r="B671" s="25" t="s">
        <v>26</v>
      </c>
      <c r="C671" s="26" t="s">
        <v>71</v>
      </c>
      <c r="D671" s="26" t="s">
        <v>53</v>
      </c>
      <c r="E671" s="26" t="s">
        <v>690</v>
      </c>
      <c r="F671" s="26" t="s">
        <v>58</v>
      </c>
      <c r="G671" s="27">
        <f>G672+G674</f>
        <v>300000</v>
      </c>
      <c r="H671" s="27">
        <f t="shared" ref="H671:I671" si="466">H672+H674</f>
        <v>218400</v>
      </c>
      <c r="I671" s="27">
        <f t="shared" si="466"/>
        <v>218400</v>
      </c>
      <c r="J671" s="16">
        <f>'БА в тыс. руб.'!G671*1000</f>
        <v>300000</v>
      </c>
      <c r="K671" s="169">
        <f t="shared" si="449"/>
        <v>0</v>
      </c>
      <c r="L671" s="16">
        <f>'БА в тыс. руб.'!H671*1000</f>
        <v>218400</v>
      </c>
      <c r="M671" s="169">
        <f t="shared" si="450"/>
        <v>0</v>
      </c>
      <c r="N671" s="16">
        <f>'БА в тыс. руб.'!I671*1000</f>
        <v>218400</v>
      </c>
      <c r="O671" s="169">
        <f t="shared" si="451"/>
        <v>0</v>
      </c>
    </row>
    <row r="672" spans="1:15" s="3" customFormat="1">
      <c r="A672" s="13" t="s">
        <v>92</v>
      </c>
      <c r="B672" s="25" t="s">
        <v>26</v>
      </c>
      <c r="C672" s="26" t="s">
        <v>71</v>
      </c>
      <c r="D672" s="26" t="s">
        <v>53</v>
      </c>
      <c r="E672" s="26" t="s">
        <v>690</v>
      </c>
      <c r="F672" s="26" t="s">
        <v>138</v>
      </c>
      <c r="G672" s="27">
        <f>G673</f>
        <v>225000</v>
      </c>
      <c r="H672" s="27">
        <f t="shared" ref="H672:I672" si="467">H673</f>
        <v>163800</v>
      </c>
      <c r="I672" s="27">
        <f t="shared" si="467"/>
        <v>163800</v>
      </c>
      <c r="J672" s="16">
        <f>'БА в тыс. руб.'!G672*1000</f>
        <v>225000</v>
      </c>
      <c r="K672" s="169">
        <f t="shared" si="449"/>
        <v>0</v>
      </c>
      <c r="L672" s="16">
        <f>'БА в тыс. руб.'!H672*1000</f>
        <v>163800</v>
      </c>
      <c r="M672" s="169">
        <f t="shared" si="450"/>
        <v>0</v>
      </c>
      <c r="N672" s="16">
        <f>'БА в тыс. руб.'!I672*1000</f>
        <v>163800</v>
      </c>
      <c r="O672" s="169">
        <f t="shared" si="451"/>
        <v>0</v>
      </c>
    </row>
    <row r="673" spans="1:15" s="4" customFormat="1">
      <c r="A673" s="11" t="s">
        <v>1016</v>
      </c>
      <c r="B673" s="25" t="s">
        <v>26</v>
      </c>
      <c r="C673" s="26" t="s">
        <v>71</v>
      </c>
      <c r="D673" s="26" t="s">
        <v>53</v>
      </c>
      <c r="E673" s="26" t="s">
        <v>690</v>
      </c>
      <c r="F673" s="26" t="s">
        <v>1046</v>
      </c>
      <c r="G673" s="27">
        <f t="shared" ref="G673" si="468">J673</f>
        <v>225000</v>
      </c>
      <c r="H673" s="27">
        <f>L673</f>
        <v>163800</v>
      </c>
      <c r="I673" s="27">
        <f>N673</f>
        <v>163800</v>
      </c>
      <c r="J673" s="16">
        <f>'БА в тыс. руб.'!G673*1000</f>
        <v>225000</v>
      </c>
      <c r="K673" s="169">
        <f t="shared" si="449"/>
        <v>0</v>
      </c>
      <c r="L673" s="16">
        <f>'БА в тыс. руб.'!H673*1000</f>
        <v>163800</v>
      </c>
      <c r="M673" s="169">
        <f t="shared" si="450"/>
        <v>0</v>
      </c>
      <c r="N673" s="16">
        <f>'БА в тыс. руб.'!I673*1000</f>
        <v>163800</v>
      </c>
      <c r="O673" s="169">
        <f t="shared" si="451"/>
        <v>0</v>
      </c>
    </row>
    <row r="674" spans="1:15" s="3" customFormat="1">
      <c r="A674" s="13" t="s">
        <v>93</v>
      </c>
      <c r="B674" s="25" t="s">
        <v>26</v>
      </c>
      <c r="C674" s="26" t="s">
        <v>71</v>
      </c>
      <c r="D674" s="26" t="s">
        <v>53</v>
      </c>
      <c r="E674" s="26" t="s">
        <v>690</v>
      </c>
      <c r="F674" s="26" t="s">
        <v>20</v>
      </c>
      <c r="G674" s="27">
        <f>G675</f>
        <v>75000</v>
      </c>
      <c r="H674" s="27">
        <f t="shared" ref="H674:I674" si="469">H675</f>
        <v>54600</v>
      </c>
      <c r="I674" s="27">
        <f t="shared" si="469"/>
        <v>54600</v>
      </c>
      <c r="J674" s="16">
        <f>'БА в тыс. руб.'!G674*1000</f>
        <v>75000</v>
      </c>
      <c r="K674" s="169">
        <f t="shared" si="449"/>
        <v>0</v>
      </c>
      <c r="L674" s="16">
        <f>'БА в тыс. руб.'!H674*1000</f>
        <v>54600</v>
      </c>
      <c r="M674" s="169">
        <f t="shared" si="450"/>
        <v>0</v>
      </c>
      <c r="N674" s="16">
        <f>'БА в тыс. руб.'!I674*1000</f>
        <v>54600</v>
      </c>
      <c r="O674" s="169">
        <f t="shared" si="451"/>
        <v>0</v>
      </c>
    </row>
    <row r="675" spans="1:15" s="4" customFormat="1">
      <c r="A675" s="12" t="s">
        <v>1019</v>
      </c>
      <c r="B675" s="25" t="s">
        <v>26</v>
      </c>
      <c r="C675" s="26" t="s">
        <v>71</v>
      </c>
      <c r="D675" s="26" t="s">
        <v>53</v>
      </c>
      <c r="E675" s="26" t="s">
        <v>690</v>
      </c>
      <c r="F675" s="26" t="s">
        <v>1054</v>
      </c>
      <c r="G675" s="27">
        <f t="shared" ref="G675" si="470">J675</f>
        <v>75000</v>
      </c>
      <c r="H675" s="27">
        <f>L675</f>
        <v>54600</v>
      </c>
      <c r="I675" s="27">
        <f>N675</f>
        <v>54600</v>
      </c>
      <c r="J675" s="16">
        <f>'БА в тыс. руб.'!G675*1000</f>
        <v>75000</v>
      </c>
      <c r="K675" s="169">
        <f t="shared" si="449"/>
        <v>0</v>
      </c>
      <c r="L675" s="16">
        <f>'БА в тыс. руб.'!H675*1000</f>
        <v>54600</v>
      </c>
      <c r="M675" s="169">
        <f t="shared" si="450"/>
        <v>0</v>
      </c>
      <c r="N675" s="16">
        <f>'БА в тыс. руб.'!I675*1000</f>
        <v>54600</v>
      </c>
      <c r="O675" s="169">
        <f t="shared" si="451"/>
        <v>0</v>
      </c>
    </row>
    <row r="676" spans="1:15" s="3" customFormat="1" ht="51">
      <c r="A676" s="13" t="s">
        <v>856</v>
      </c>
      <c r="B676" s="25" t="s">
        <v>26</v>
      </c>
      <c r="C676" s="26" t="s">
        <v>71</v>
      </c>
      <c r="D676" s="26" t="s">
        <v>53</v>
      </c>
      <c r="E676" s="26" t="s">
        <v>781</v>
      </c>
      <c r="F676" s="26" t="s">
        <v>58</v>
      </c>
      <c r="G676" s="27">
        <f>G677</f>
        <v>2939950</v>
      </c>
      <c r="H676" s="27">
        <f t="shared" ref="H676:I678" si="471">H677</f>
        <v>0</v>
      </c>
      <c r="I676" s="27">
        <f t="shared" si="471"/>
        <v>0</v>
      </c>
      <c r="J676" s="16">
        <f>'БА в тыс. руб.'!G676*1000</f>
        <v>2939950</v>
      </c>
      <c r="K676" s="169">
        <f t="shared" si="449"/>
        <v>0</v>
      </c>
      <c r="L676" s="16">
        <f>'БА в тыс. руб.'!H676*1000</f>
        <v>0</v>
      </c>
      <c r="M676" s="169">
        <f t="shared" si="450"/>
        <v>0</v>
      </c>
      <c r="N676" s="16">
        <f>'БА в тыс. руб.'!I676*1000</f>
        <v>0</v>
      </c>
      <c r="O676" s="169">
        <f t="shared" si="451"/>
        <v>0</v>
      </c>
    </row>
    <row r="677" spans="1:15" s="3" customFormat="1" ht="76.5">
      <c r="A677" s="13" t="s">
        <v>888</v>
      </c>
      <c r="B677" s="25" t="s">
        <v>26</v>
      </c>
      <c r="C677" s="26" t="s">
        <v>71</v>
      </c>
      <c r="D677" s="26" t="s">
        <v>53</v>
      </c>
      <c r="E677" s="26" t="s">
        <v>782</v>
      </c>
      <c r="F677" s="26" t="s">
        <v>58</v>
      </c>
      <c r="G677" s="27">
        <f>G678</f>
        <v>2939950</v>
      </c>
      <c r="H677" s="27">
        <f t="shared" si="471"/>
        <v>0</v>
      </c>
      <c r="I677" s="27">
        <f t="shared" si="471"/>
        <v>0</v>
      </c>
      <c r="J677" s="16">
        <f>'БА в тыс. руб.'!G677*1000</f>
        <v>2939950</v>
      </c>
      <c r="K677" s="169">
        <f t="shared" si="449"/>
        <v>0</v>
      </c>
      <c r="L677" s="16">
        <f>'БА в тыс. руб.'!H677*1000</f>
        <v>0</v>
      </c>
      <c r="M677" s="169">
        <f t="shared" si="450"/>
        <v>0</v>
      </c>
      <c r="N677" s="16">
        <f>'БА в тыс. руб.'!I677*1000</f>
        <v>0</v>
      </c>
      <c r="O677" s="169">
        <f t="shared" si="451"/>
        <v>0</v>
      </c>
    </row>
    <row r="678" spans="1:15" s="3" customFormat="1">
      <c r="A678" s="13" t="s">
        <v>93</v>
      </c>
      <c r="B678" s="25" t="s">
        <v>26</v>
      </c>
      <c r="C678" s="26" t="s">
        <v>71</v>
      </c>
      <c r="D678" s="26" t="s">
        <v>53</v>
      </c>
      <c r="E678" s="26" t="s">
        <v>782</v>
      </c>
      <c r="F678" s="26" t="s">
        <v>20</v>
      </c>
      <c r="G678" s="27">
        <f>G679</f>
        <v>2939950</v>
      </c>
      <c r="H678" s="27">
        <f t="shared" si="471"/>
        <v>0</v>
      </c>
      <c r="I678" s="27">
        <f t="shared" si="471"/>
        <v>0</v>
      </c>
      <c r="J678" s="16">
        <f>'БА в тыс. руб.'!G678*1000</f>
        <v>2939950</v>
      </c>
      <c r="K678" s="169">
        <f t="shared" si="449"/>
        <v>0</v>
      </c>
      <c r="L678" s="16">
        <f>'БА в тыс. руб.'!H678*1000</f>
        <v>0</v>
      </c>
      <c r="M678" s="169">
        <f t="shared" si="450"/>
        <v>0</v>
      </c>
      <c r="N678" s="16">
        <f>'БА в тыс. руб.'!I678*1000</f>
        <v>0</v>
      </c>
      <c r="O678" s="169">
        <f t="shared" si="451"/>
        <v>0</v>
      </c>
    </row>
    <row r="679" spans="1:15" s="4" customFormat="1">
      <c r="A679" s="12" t="s">
        <v>1019</v>
      </c>
      <c r="B679" s="25" t="s">
        <v>26</v>
      </c>
      <c r="C679" s="26" t="s">
        <v>71</v>
      </c>
      <c r="D679" s="26" t="s">
        <v>53</v>
      </c>
      <c r="E679" s="26" t="s">
        <v>782</v>
      </c>
      <c r="F679" s="26" t="s">
        <v>1054</v>
      </c>
      <c r="G679" s="27">
        <f t="shared" ref="G679" si="472">J679</f>
        <v>2939950</v>
      </c>
      <c r="H679" s="27">
        <f>L679</f>
        <v>0</v>
      </c>
      <c r="I679" s="27">
        <f>N679</f>
        <v>0</v>
      </c>
      <c r="J679" s="16">
        <f>'БА в тыс. руб.'!G679*1000</f>
        <v>2939950</v>
      </c>
      <c r="K679" s="169">
        <f t="shared" si="449"/>
        <v>0</v>
      </c>
      <c r="L679" s="16">
        <f>'БА в тыс. руб.'!H679*1000</f>
        <v>0</v>
      </c>
      <c r="M679" s="169">
        <f t="shared" si="450"/>
        <v>0</v>
      </c>
      <c r="N679" s="16">
        <f>'БА в тыс. руб.'!I679*1000</f>
        <v>0</v>
      </c>
      <c r="O679" s="169">
        <f t="shared" si="451"/>
        <v>0</v>
      </c>
    </row>
    <row r="680" spans="1:15" s="3" customFormat="1" ht="63.75">
      <c r="A680" s="11" t="s">
        <v>756</v>
      </c>
      <c r="B680" s="25" t="s">
        <v>26</v>
      </c>
      <c r="C680" s="26" t="s">
        <v>71</v>
      </c>
      <c r="D680" s="26" t="s">
        <v>53</v>
      </c>
      <c r="E680" s="26" t="s">
        <v>339</v>
      </c>
      <c r="F680" s="26" t="s">
        <v>58</v>
      </c>
      <c r="G680" s="27">
        <f t="shared" ref="G680:I682" si="473">G681</f>
        <v>392800</v>
      </c>
      <c r="H680" s="27">
        <f t="shared" si="473"/>
        <v>392800</v>
      </c>
      <c r="I680" s="27">
        <f t="shared" si="473"/>
        <v>392800</v>
      </c>
      <c r="J680" s="16">
        <f>'БА в тыс. руб.'!G680*1000</f>
        <v>392800</v>
      </c>
      <c r="K680" s="169">
        <f t="shared" si="449"/>
        <v>0</v>
      </c>
      <c r="L680" s="16">
        <f>'БА в тыс. руб.'!H680*1000</f>
        <v>392800</v>
      </c>
      <c r="M680" s="169">
        <f t="shared" si="450"/>
        <v>0</v>
      </c>
      <c r="N680" s="16">
        <f>'БА в тыс. руб.'!I680*1000</f>
        <v>392800</v>
      </c>
      <c r="O680" s="169">
        <f t="shared" si="451"/>
        <v>0</v>
      </c>
    </row>
    <row r="681" spans="1:15" s="3" customFormat="1" ht="25.5">
      <c r="A681" s="11" t="s">
        <v>136</v>
      </c>
      <c r="B681" s="25" t="s">
        <v>26</v>
      </c>
      <c r="C681" s="26" t="s">
        <v>71</v>
      </c>
      <c r="D681" s="26" t="s">
        <v>53</v>
      </c>
      <c r="E681" s="26" t="s">
        <v>340</v>
      </c>
      <c r="F681" s="26" t="s">
        <v>58</v>
      </c>
      <c r="G681" s="27">
        <f t="shared" si="473"/>
        <v>392800</v>
      </c>
      <c r="H681" s="27">
        <f t="shared" si="473"/>
        <v>392800</v>
      </c>
      <c r="I681" s="27">
        <f t="shared" si="473"/>
        <v>392800</v>
      </c>
      <c r="J681" s="16">
        <f>'БА в тыс. руб.'!G681*1000</f>
        <v>392800</v>
      </c>
      <c r="K681" s="169">
        <f t="shared" si="449"/>
        <v>0</v>
      </c>
      <c r="L681" s="16">
        <f>'БА в тыс. руб.'!H681*1000</f>
        <v>392800</v>
      </c>
      <c r="M681" s="169">
        <f t="shared" si="450"/>
        <v>0</v>
      </c>
      <c r="N681" s="16">
        <f>'БА в тыс. руб.'!I681*1000</f>
        <v>392800</v>
      </c>
      <c r="O681" s="169">
        <f t="shared" si="451"/>
        <v>0</v>
      </c>
    </row>
    <row r="682" spans="1:15" s="3" customFormat="1" ht="25.5">
      <c r="A682" s="11" t="s">
        <v>667</v>
      </c>
      <c r="B682" s="25" t="s">
        <v>26</v>
      </c>
      <c r="C682" s="26" t="s">
        <v>71</v>
      </c>
      <c r="D682" s="26" t="s">
        <v>53</v>
      </c>
      <c r="E682" s="26" t="s">
        <v>609</v>
      </c>
      <c r="F682" s="26" t="s">
        <v>58</v>
      </c>
      <c r="G682" s="27">
        <f t="shared" si="473"/>
        <v>392800</v>
      </c>
      <c r="H682" s="27">
        <f t="shared" si="473"/>
        <v>392800</v>
      </c>
      <c r="I682" s="27">
        <f t="shared" si="473"/>
        <v>392800</v>
      </c>
      <c r="J682" s="16">
        <f>'БА в тыс. руб.'!G682*1000</f>
        <v>392800</v>
      </c>
      <c r="K682" s="169">
        <f t="shared" si="449"/>
        <v>0</v>
      </c>
      <c r="L682" s="16">
        <f>'БА в тыс. руб.'!H682*1000</f>
        <v>392800</v>
      </c>
      <c r="M682" s="169">
        <f t="shared" si="450"/>
        <v>0</v>
      </c>
      <c r="N682" s="16">
        <f>'БА в тыс. руб.'!I682*1000</f>
        <v>392800</v>
      </c>
      <c r="O682" s="169">
        <f t="shared" si="451"/>
        <v>0</v>
      </c>
    </row>
    <row r="683" spans="1:15" s="3" customFormat="1" ht="38.25">
      <c r="A683" s="11" t="s">
        <v>177</v>
      </c>
      <c r="B683" s="25" t="s">
        <v>26</v>
      </c>
      <c r="C683" s="26" t="s">
        <v>71</v>
      </c>
      <c r="D683" s="26" t="s">
        <v>53</v>
      </c>
      <c r="E683" s="26" t="s">
        <v>610</v>
      </c>
      <c r="F683" s="26" t="s">
        <v>58</v>
      </c>
      <c r="G683" s="27">
        <f>G684+G686</f>
        <v>392800</v>
      </c>
      <c r="H683" s="27">
        <f t="shared" ref="H683:I683" si="474">H684+H686</f>
        <v>392800</v>
      </c>
      <c r="I683" s="27">
        <f t="shared" si="474"/>
        <v>392800</v>
      </c>
      <c r="J683" s="16">
        <f>'БА в тыс. руб.'!G683*1000</f>
        <v>392800</v>
      </c>
      <c r="K683" s="169">
        <f t="shared" si="449"/>
        <v>0</v>
      </c>
      <c r="L683" s="16">
        <f>'БА в тыс. руб.'!H683*1000</f>
        <v>392800</v>
      </c>
      <c r="M683" s="169">
        <f t="shared" si="450"/>
        <v>0</v>
      </c>
      <c r="N683" s="16">
        <f>'БА в тыс. руб.'!I683*1000</f>
        <v>392800</v>
      </c>
      <c r="O683" s="169">
        <f t="shared" si="451"/>
        <v>0</v>
      </c>
    </row>
    <row r="684" spans="1:15" s="3" customFormat="1">
      <c r="A684" s="13" t="s">
        <v>92</v>
      </c>
      <c r="B684" s="25" t="s">
        <v>26</v>
      </c>
      <c r="C684" s="26" t="s">
        <v>71</v>
      </c>
      <c r="D684" s="26" t="s">
        <v>53</v>
      </c>
      <c r="E684" s="26" t="s">
        <v>610</v>
      </c>
      <c r="F684" s="26" t="s">
        <v>138</v>
      </c>
      <c r="G684" s="27">
        <f>G685</f>
        <v>344800</v>
      </c>
      <c r="H684" s="27">
        <f t="shared" ref="H684:I684" si="475">H685</f>
        <v>344800</v>
      </c>
      <c r="I684" s="27">
        <f t="shared" si="475"/>
        <v>344800</v>
      </c>
      <c r="J684" s="16">
        <f>'БА в тыс. руб.'!G684*1000</f>
        <v>344800</v>
      </c>
      <c r="K684" s="169">
        <f t="shared" si="449"/>
        <v>0</v>
      </c>
      <c r="L684" s="16">
        <f>'БА в тыс. руб.'!H684*1000</f>
        <v>344800</v>
      </c>
      <c r="M684" s="169">
        <f t="shared" si="450"/>
        <v>0</v>
      </c>
      <c r="N684" s="16">
        <f>'БА в тыс. руб.'!I684*1000</f>
        <v>344800</v>
      </c>
      <c r="O684" s="169">
        <f t="shared" si="451"/>
        <v>0</v>
      </c>
    </row>
    <row r="685" spans="1:15" s="4" customFormat="1">
      <c r="A685" s="12" t="s">
        <v>1016</v>
      </c>
      <c r="B685" s="25" t="s">
        <v>26</v>
      </c>
      <c r="C685" s="26" t="s">
        <v>71</v>
      </c>
      <c r="D685" s="26" t="s">
        <v>53</v>
      </c>
      <c r="E685" s="26" t="s">
        <v>610</v>
      </c>
      <c r="F685" s="26" t="s">
        <v>1046</v>
      </c>
      <c r="G685" s="27">
        <f t="shared" ref="G685" si="476">J685</f>
        <v>344800</v>
      </c>
      <c r="H685" s="27">
        <f>L685</f>
        <v>344800</v>
      </c>
      <c r="I685" s="27">
        <f>N685</f>
        <v>344800</v>
      </c>
      <c r="J685" s="16">
        <f>'БА в тыс. руб.'!G685*1000</f>
        <v>344800</v>
      </c>
      <c r="K685" s="169">
        <f t="shared" si="449"/>
        <v>0</v>
      </c>
      <c r="L685" s="16">
        <f>'БА в тыс. руб.'!H685*1000</f>
        <v>344800</v>
      </c>
      <c r="M685" s="169">
        <f t="shared" si="450"/>
        <v>0</v>
      </c>
      <c r="N685" s="16">
        <f>'БА в тыс. руб.'!I685*1000</f>
        <v>344800</v>
      </c>
      <c r="O685" s="169">
        <f t="shared" si="451"/>
        <v>0</v>
      </c>
    </row>
    <row r="686" spans="1:15" s="30" customFormat="1">
      <c r="A686" s="13" t="s">
        <v>93</v>
      </c>
      <c r="B686" s="25" t="s">
        <v>26</v>
      </c>
      <c r="C686" s="26" t="s">
        <v>71</v>
      </c>
      <c r="D686" s="26" t="s">
        <v>53</v>
      </c>
      <c r="E686" s="26" t="s">
        <v>610</v>
      </c>
      <c r="F686" s="26" t="s">
        <v>20</v>
      </c>
      <c r="G686" s="27">
        <f>G687</f>
        <v>48000</v>
      </c>
      <c r="H686" s="27">
        <f t="shared" ref="H686:I686" si="477">H687</f>
        <v>48000</v>
      </c>
      <c r="I686" s="27">
        <f t="shared" si="477"/>
        <v>48000</v>
      </c>
      <c r="J686" s="16">
        <f>'БА в тыс. руб.'!G686*1000</f>
        <v>48000</v>
      </c>
      <c r="K686" s="169">
        <f t="shared" si="449"/>
        <v>0</v>
      </c>
      <c r="L686" s="16">
        <f>'БА в тыс. руб.'!H686*1000</f>
        <v>48000</v>
      </c>
      <c r="M686" s="169">
        <f t="shared" si="450"/>
        <v>0</v>
      </c>
      <c r="N686" s="16">
        <f>'БА в тыс. руб.'!I686*1000</f>
        <v>48000</v>
      </c>
      <c r="O686" s="169">
        <f t="shared" si="451"/>
        <v>0</v>
      </c>
    </row>
    <row r="687" spans="1:15" s="83" customFormat="1">
      <c r="A687" s="12" t="s">
        <v>1019</v>
      </c>
      <c r="B687" s="25" t="s">
        <v>26</v>
      </c>
      <c r="C687" s="26" t="s">
        <v>71</v>
      </c>
      <c r="D687" s="26" t="s">
        <v>53</v>
      </c>
      <c r="E687" s="26" t="s">
        <v>610</v>
      </c>
      <c r="F687" s="26" t="s">
        <v>1054</v>
      </c>
      <c r="G687" s="27">
        <f t="shared" ref="G687" si="478">J687</f>
        <v>48000</v>
      </c>
      <c r="H687" s="27">
        <f>L687</f>
        <v>48000</v>
      </c>
      <c r="I687" s="27">
        <f>N687</f>
        <v>48000</v>
      </c>
      <c r="J687" s="16">
        <f>'БА в тыс. руб.'!G687*1000</f>
        <v>48000</v>
      </c>
      <c r="K687" s="169">
        <f t="shared" si="449"/>
        <v>0</v>
      </c>
      <c r="L687" s="16">
        <f>'БА в тыс. руб.'!H687*1000</f>
        <v>48000</v>
      </c>
      <c r="M687" s="169">
        <f t="shared" si="450"/>
        <v>0</v>
      </c>
      <c r="N687" s="16">
        <f>'БА в тыс. руб.'!I687*1000</f>
        <v>48000</v>
      </c>
      <c r="O687" s="169">
        <f t="shared" si="451"/>
        <v>0</v>
      </c>
    </row>
    <row r="688" spans="1:15" s="30" customFormat="1" ht="25.5">
      <c r="A688" s="11" t="s">
        <v>757</v>
      </c>
      <c r="B688" s="25" t="s">
        <v>26</v>
      </c>
      <c r="C688" s="26" t="s">
        <v>71</v>
      </c>
      <c r="D688" s="26" t="s">
        <v>53</v>
      </c>
      <c r="E688" s="26" t="s">
        <v>342</v>
      </c>
      <c r="F688" s="26" t="s">
        <v>58</v>
      </c>
      <c r="G688" s="27">
        <f t="shared" ref="G688:I692" si="479">G689</f>
        <v>995640</v>
      </c>
      <c r="H688" s="27">
        <f t="shared" si="479"/>
        <v>896080</v>
      </c>
      <c r="I688" s="27">
        <f t="shared" si="479"/>
        <v>896080</v>
      </c>
      <c r="J688" s="16">
        <f>'БА в тыс. руб.'!G688*1000</f>
        <v>995640</v>
      </c>
      <c r="K688" s="169">
        <f t="shared" si="449"/>
        <v>0</v>
      </c>
      <c r="L688" s="16">
        <f>'БА в тыс. руб.'!H688*1000</f>
        <v>896080</v>
      </c>
      <c r="M688" s="169">
        <f t="shared" si="450"/>
        <v>0</v>
      </c>
      <c r="N688" s="16">
        <f>'БА в тыс. руб.'!I688*1000</f>
        <v>896080</v>
      </c>
      <c r="O688" s="169">
        <f t="shared" si="451"/>
        <v>0</v>
      </c>
    </row>
    <row r="689" spans="1:15" s="30" customFormat="1" ht="38.25">
      <c r="A689" s="34" t="s">
        <v>758</v>
      </c>
      <c r="B689" s="25" t="s">
        <v>26</v>
      </c>
      <c r="C689" s="26" t="s">
        <v>71</v>
      </c>
      <c r="D689" s="26" t="s">
        <v>53</v>
      </c>
      <c r="E689" s="26" t="s">
        <v>343</v>
      </c>
      <c r="F689" s="26" t="s">
        <v>58</v>
      </c>
      <c r="G689" s="27">
        <f t="shared" si="479"/>
        <v>995640</v>
      </c>
      <c r="H689" s="27">
        <f t="shared" si="479"/>
        <v>896080</v>
      </c>
      <c r="I689" s="27">
        <f t="shared" si="479"/>
        <v>896080</v>
      </c>
      <c r="J689" s="16">
        <f>'БА в тыс. руб.'!G689*1000</f>
        <v>995640</v>
      </c>
      <c r="K689" s="169">
        <f t="shared" si="449"/>
        <v>0</v>
      </c>
      <c r="L689" s="16">
        <f>'БА в тыс. руб.'!H689*1000</f>
        <v>896080</v>
      </c>
      <c r="M689" s="169">
        <f t="shared" si="450"/>
        <v>0</v>
      </c>
      <c r="N689" s="16">
        <f>'БА в тыс. руб.'!I689*1000</f>
        <v>896080</v>
      </c>
      <c r="O689" s="169">
        <f t="shared" si="451"/>
        <v>0</v>
      </c>
    </row>
    <row r="690" spans="1:15" s="30" customFormat="1" ht="25.5">
      <c r="A690" s="11" t="s">
        <v>344</v>
      </c>
      <c r="B690" s="25" t="s">
        <v>26</v>
      </c>
      <c r="C690" s="26" t="s">
        <v>71</v>
      </c>
      <c r="D690" s="26" t="s">
        <v>53</v>
      </c>
      <c r="E690" s="26" t="s">
        <v>345</v>
      </c>
      <c r="F690" s="26" t="s">
        <v>58</v>
      </c>
      <c r="G690" s="27">
        <f t="shared" si="479"/>
        <v>995640</v>
      </c>
      <c r="H690" s="27">
        <f t="shared" si="479"/>
        <v>896080</v>
      </c>
      <c r="I690" s="27">
        <f t="shared" si="479"/>
        <v>896080</v>
      </c>
      <c r="J690" s="16">
        <f>'БА в тыс. руб.'!G690*1000</f>
        <v>995640</v>
      </c>
      <c r="K690" s="169">
        <f t="shared" si="449"/>
        <v>0</v>
      </c>
      <c r="L690" s="16">
        <f>'БА в тыс. руб.'!H690*1000</f>
        <v>896080</v>
      </c>
      <c r="M690" s="169">
        <f t="shared" si="450"/>
        <v>0</v>
      </c>
      <c r="N690" s="16">
        <f>'БА в тыс. руб.'!I690*1000</f>
        <v>896080</v>
      </c>
      <c r="O690" s="169">
        <f t="shared" si="451"/>
        <v>0</v>
      </c>
    </row>
    <row r="691" spans="1:15" s="30" customFormat="1" ht="25.5">
      <c r="A691" s="11" t="s">
        <v>174</v>
      </c>
      <c r="B691" s="25" t="s">
        <v>26</v>
      </c>
      <c r="C691" s="26" t="s">
        <v>71</v>
      </c>
      <c r="D691" s="26" t="s">
        <v>53</v>
      </c>
      <c r="E691" s="26" t="s">
        <v>346</v>
      </c>
      <c r="F691" s="26" t="s">
        <v>58</v>
      </c>
      <c r="G691" s="27">
        <f t="shared" si="479"/>
        <v>995640</v>
      </c>
      <c r="H691" s="27">
        <f t="shared" si="479"/>
        <v>896080</v>
      </c>
      <c r="I691" s="27">
        <f t="shared" si="479"/>
        <v>896080</v>
      </c>
      <c r="J691" s="16">
        <f>'БА в тыс. руб.'!G691*1000</f>
        <v>995640</v>
      </c>
      <c r="K691" s="169">
        <f t="shared" si="449"/>
        <v>0</v>
      </c>
      <c r="L691" s="16">
        <f>'БА в тыс. руб.'!H691*1000</f>
        <v>896080</v>
      </c>
      <c r="M691" s="169">
        <f t="shared" si="450"/>
        <v>0</v>
      </c>
      <c r="N691" s="16">
        <f>'БА в тыс. руб.'!I691*1000</f>
        <v>896080</v>
      </c>
      <c r="O691" s="169">
        <f t="shared" si="451"/>
        <v>0</v>
      </c>
    </row>
    <row r="692" spans="1:15" s="30" customFormat="1">
      <c r="A692" s="13" t="s">
        <v>93</v>
      </c>
      <c r="B692" s="25" t="s">
        <v>26</v>
      </c>
      <c r="C692" s="26" t="s">
        <v>71</v>
      </c>
      <c r="D692" s="26" t="s">
        <v>53</v>
      </c>
      <c r="E692" s="26" t="s">
        <v>346</v>
      </c>
      <c r="F692" s="26" t="s">
        <v>20</v>
      </c>
      <c r="G692" s="27">
        <f>G693</f>
        <v>995640</v>
      </c>
      <c r="H692" s="27">
        <f t="shared" si="479"/>
        <v>896080</v>
      </c>
      <c r="I692" s="27">
        <f t="shared" si="479"/>
        <v>896080</v>
      </c>
      <c r="J692" s="16">
        <f>'БА в тыс. руб.'!G692*1000</f>
        <v>995640</v>
      </c>
      <c r="K692" s="169">
        <f t="shared" si="449"/>
        <v>0</v>
      </c>
      <c r="L692" s="16">
        <f>'БА в тыс. руб.'!H692*1000</f>
        <v>896080</v>
      </c>
      <c r="M692" s="169">
        <f t="shared" si="450"/>
        <v>0</v>
      </c>
      <c r="N692" s="16">
        <f>'БА в тыс. руб.'!I692*1000</f>
        <v>896080</v>
      </c>
      <c r="O692" s="169">
        <f t="shared" si="451"/>
        <v>0</v>
      </c>
    </row>
    <row r="693" spans="1:15" s="83" customFormat="1">
      <c r="A693" s="12" t="s">
        <v>1019</v>
      </c>
      <c r="B693" s="25" t="s">
        <v>26</v>
      </c>
      <c r="C693" s="26" t="s">
        <v>71</v>
      </c>
      <c r="D693" s="26" t="s">
        <v>53</v>
      </c>
      <c r="E693" s="26" t="s">
        <v>346</v>
      </c>
      <c r="F693" s="26" t="s">
        <v>1054</v>
      </c>
      <c r="G693" s="27">
        <f t="shared" ref="G693" si="480">J693</f>
        <v>995640</v>
      </c>
      <c r="H693" s="27">
        <f>L693</f>
        <v>896080</v>
      </c>
      <c r="I693" s="27">
        <f>N693</f>
        <v>896080</v>
      </c>
      <c r="J693" s="16">
        <f>'БА в тыс. руб.'!G693*1000</f>
        <v>995640</v>
      </c>
      <c r="K693" s="169">
        <f t="shared" si="449"/>
        <v>0</v>
      </c>
      <c r="L693" s="16">
        <f>'БА в тыс. руб.'!H693*1000</f>
        <v>896080</v>
      </c>
      <c r="M693" s="169">
        <f t="shared" si="450"/>
        <v>0</v>
      </c>
      <c r="N693" s="16">
        <f>'БА в тыс. руб.'!I693*1000</f>
        <v>896080</v>
      </c>
      <c r="O693" s="169">
        <f t="shared" si="451"/>
        <v>0</v>
      </c>
    </row>
    <row r="694" spans="1:15" s="30" customFormat="1">
      <c r="A694" s="21" t="s">
        <v>783</v>
      </c>
      <c r="B694" s="22" t="s">
        <v>26</v>
      </c>
      <c r="C694" s="23" t="s">
        <v>71</v>
      </c>
      <c r="D694" s="23" t="s">
        <v>71</v>
      </c>
      <c r="E694" s="23" t="s">
        <v>196</v>
      </c>
      <c r="F694" s="23" t="s">
        <v>58</v>
      </c>
      <c r="G694" s="24">
        <f>G701+G695</f>
        <v>7006510</v>
      </c>
      <c r="H694" s="24">
        <f>H701+H695</f>
        <v>6577700</v>
      </c>
      <c r="I694" s="24">
        <f>I701+I695</f>
        <v>6577700</v>
      </c>
      <c r="J694" s="16">
        <f>'БА в тыс. руб.'!G694*1000</f>
        <v>7006510</v>
      </c>
      <c r="K694" s="169">
        <f t="shared" si="449"/>
        <v>0</v>
      </c>
      <c r="L694" s="16">
        <f>'БА в тыс. руб.'!H694*1000</f>
        <v>6577700</v>
      </c>
      <c r="M694" s="169">
        <f t="shared" si="450"/>
        <v>0</v>
      </c>
      <c r="N694" s="16">
        <f>'БА в тыс. руб.'!I694*1000</f>
        <v>6577700</v>
      </c>
      <c r="O694" s="169">
        <f t="shared" si="451"/>
        <v>0</v>
      </c>
    </row>
    <row r="695" spans="1:15" s="30" customFormat="1" ht="38.25">
      <c r="A695" s="12" t="s">
        <v>722</v>
      </c>
      <c r="B695" s="25" t="s">
        <v>26</v>
      </c>
      <c r="C695" s="26" t="s">
        <v>71</v>
      </c>
      <c r="D695" s="26" t="s">
        <v>71</v>
      </c>
      <c r="E695" s="26" t="s">
        <v>300</v>
      </c>
      <c r="F695" s="26" t="s">
        <v>58</v>
      </c>
      <c r="G695" s="27">
        <f t="shared" ref="G695:I699" si="481">G696</f>
        <v>212500</v>
      </c>
      <c r="H695" s="27">
        <f t="shared" si="481"/>
        <v>187500</v>
      </c>
      <c r="I695" s="27">
        <f t="shared" si="481"/>
        <v>187500</v>
      </c>
      <c r="J695" s="16">
        <f>'БА в тыс. руб.'!G695*1000</f>
        <v>212500</v>
      </c>
      <c r="K695" s="169">
        <f t="shared" si="449"/>
        <v>0</v>
      </c>
      <c r="L695" s="16">
        <f>'БА в тыс. руб.'!H695*1000</f>
        <v>187500</v>
      </c>
      <c r="M695" s="169">
        <f t="shared" si="450"/>
        <v>0</v>
      </c>
      <c r="N695" s="16">
        <f>'БА в тыс. руб.'!I695*1000</f>
        <v>187500</v>
      </c>
      <c r="O695" s="169">
        <f t="shared" si="451"/>
        <v>0</v>
      </c>
    </row>
    <row r="696" spans="1:15" s="30" customFormat="1">
      <c r="A696" s="12" t="s">
        <v>142</v>
      </c>
      <c r="B696" s="25" t="s">
        <v>26</v>
      </c>
      <c r="C696" s="26" t="s">
        <v>71</v>
      </c>
      <c r="D696" s="26" t="s">
        <v>71</v>
      </c>
      <c r="E696" s="26" t="s">
        <v>453</v>
      </c>
      <c r="F696" s="26" t="s">
        <v>58</v>
      </c>
      <c r="G696" s="27">
        <f t="shared" si="481"/>
        <v>212500</v>
      </c>
      <c r="H696" s="27">
        <f t="shared" si="481"/>
        <v>187500</v>
      </c>
      <c r="I696" s="27">
        <f t="shared" si="481"/>
        <v>187500</v>
      </c>
      <c r="J696" s="16">
        <f>'БА в тыс. руб.'!G696*1000</f>
        <v>212500</v>
      </c>
      <c r="K696" s="169">
        <f t="shared" si="449"/>
        <v>0</v>
      </c>
      <c r="L696" s="16">
        <f>'БА в тыс. руб.'!H696*1000</f>
        <v>187500</v>
      </c>
      <c r="M696" s="169">
        <f t="shared" si="450"/>
        <v>0</v>
      </c>
      <c r="N696" s="16">
        <f>'БА в тыс. руб.'!I696*1000</f>
        <v>187500</v>
      </c>
      <c r="O696" s="169">
        <f t="shared" si="451"/>
        <v>0</v>
      </c>
    </row>
    <row r="697" spans="1:15" s="30" customFormat="1" ht="25.5">
      <c r="A697" s="12" t="s">
        <v>454</v>
      </c>
      <c r="B697" s="25" t="s">
        <v>26</v>
      </c>
      <c r="C697" s="26" t="s">
        <v>71</v>
      </c>
      <c r="D697" s="26" t="s">
        <v>71</v>
      </c>
      <c r="E697" s="26" t="s">
        <v>645</v>
      </c>
      <c r="F697" s="26" t="s">
        <v>58</v>
      </c>
      <c r="G697" s="27">
        <f t="shared" si="481"/>
        <v>212500</v>
      </c>
      <c r="H697" s="27">
        <f t="shared" si="481"/>
        <v>187500</v>
      </c>
      <c r="I697" s="27">
        <f t="shared" si="481"/>
        <v>187500</v>
      </c>
      <c r="J697" s="16">
        <f>'БА в тыс. руб.'!G697*1000</f>
        <v>212500</v>
      </c>
      <c r="K697" s="169">
        <f t="shared" si="449"/>
        <v>0</v>
      </c>
      <c r="L697" s="16">
        <f>'БА в тыс. руб.'!H697*1000</f>
        <v>187500</v>
      </c>
      <c r="M697" s="169">
        <f t="shared" si="450"/>
        <v>0</v>
      </c>
      <c r="N697" s="16">
        <f>'БА в тыс. руб.'!I697*1000</f>
        <v>187500</v>
      </c>
      <c r="O697" s="169">
        <f t="shared" si="451"/>
        <v>0</v>
      </c>
    </row>
    <row r="698" spans="1:15" s="30" customFormat="1" ht="25.5">
      <c r="A698" s="12" t="s">
        <v>158</v>
      </c>
      <c r="B698" s="25" t="s">
        <v>26</v>
      </c>
      <c r="C698" s="26" t="s">
        <v>71</v>
      </c>
      <c r="D698" s="26" t="s">
        <v>71</v>
      </c>
      <c r="E698" s="26" t="s">
        <v>646</v>
      </c>
      <c r="F698" s="26" t="s">
        <v>58</v>
      </c>
      <c r="G698" s="27">
        <f t="shared" si="481"/>
        <v>212500</v>
      </c>
      <c r="H698" s="27">
        <f t="shared" si="481"/>
        <v>187500</v>
      </c>
      <c r="I698" s="27">
        <f t="shared" si="481"/>
        <v>187500</v>
      </c>
      <c r="J698" s="16">
        <f>'БА в тыс. руб.'!G698*1000</f>
        <v>212500</v>
      </c>
      <c r="K698" s="169">
        <f t="shared" si="449"/>
        <v>0</v>
      </c>
      <c r="L698" s="16">
        <f>'БА в тыс. руб.'!H698*1000</f>
        <v>187500</v>
      </c>
      <c r="M698" s="169">
        <f t="shared" si="450"/>
        <v>0</v>
      </c>
      <c r="N698" s="16">
        <f>'БА в тыс. руб.'!I698*1000</f>
        <v>187500</v>
      </c>
      <c r="O698" s="169">
        <f t="shared" si="451"/>
        <v>0</v>
      </c>
    </row>
    <row r="699" spans="1:15" s="30" customFormat="1" ht="25.5">
      <c r="A699" s="11" t="s">
        <v>108</v>
      </c>
      <c r="B699" s="25" t="s">
        <v>26</v>
      </c>
      <c r="C699" s="26" t="s">
        <v>71</v>
      </c>
      <c r="D699" s="26" t="s">
        <v>71</v>
      </c>
      <c r="E699" s="26" t="s">
        <v>646</v>
      </c>
      <c r="F699" s="26" t="s">
        <v>116</v>
      </c>
      <c r="G699" s="27">
        <f>G700</f>
        <v>212500</v>
      </c>
      <c r="H699" s="27">
        <f t="shared" si="481"/>
        <v>187500</v>
      </c>
      <c r="I699" s="27">
        <f t="shared" si="481"/>
        <v>187500</v>
      </c>
      <c r="J699" s="16">
        <f>'БА в тыс. руб.'!G699*1000</f>
        <v>212500</v>
      </c>
      <c r="K699" s="169">
        <f t="shared" si="449"/>
        <v>0</v>
      </c>
      <c r="L699" s="16">
        <f>'БА в тыс. руб.'!H699*1000</f>
        <v>187500</v>
      </c>
      <c r="M699" s="169">
        <f t="shared" si="450"/>
        <v>0</v>
      </c>
      <c r="N699" s="16">
        <f>'БА в тыс. руб.'!I699*1000</f>
        <v>187500</v>
      </c>
      <c r="O699" s="169">
        <f t="shared" si="451"/>
        <v>0</v>
      </c>
    </row>
    <row r="700" spans="1:15" s="83" customFormat="1" ht="25.5">
      <c r="A700" s="12" t="s">
        <v>973</v>
      </c>
      <c r="B700" s="25" t="s">
        <v>26</v>
      </c>
      <c r="C700" s="26" t="s">
        <v>71</v>
      </c>
      <c r="D700" s="26" t="s">
        <v>71</v>
      </c>
      <c r="E700" s="26" t="s">
        <v>646</v>
      </c>
      <c r="F700" s="26" t="s">
        <v>1043</v>
      </c>
      <c r="G700" s="27">
        <f t="shared" ref="G700" si="482">J700</f>
        <v>212500</v>
      </c>
      <c r="H700" s="27">
        <f>L700</f>
        <v>187500</v>
      </c>
      <c r="I700" s="27">
        <f>N700</f>
        <v>187500</v>
      </c>
      <c r="J700" s="16">
        <f>'БА в тыс. руб.'!G700*1000</f>
        <v>212500</v>
      </c>
      <c r="K700" s="169">
        <f t="shared" si="449"/>
        <v>0</v>
      </c>
      <c r="L700" s="16">
        <f>'БА в тыс. руб.'!H700*1000</f>
        <v>187500</v>
      </c>
      <c r="M700" s="169">
        <f t="shared" si="450"/>
        <v>0</v>
      </c>
      <c r="N700" s="16">
        <f>'БА в тыс. руб.'!I700*1000</f>
        <v>187500</v>
      </c>
      <c r="O700" s="169">
        <f t="shared" si="451"/>
        <v>0</v>
      </c>
    </row>
    <row r="701" spans="1:15" s="30" customFormat="1">
      <c r="A701" s="74" t="s">
        <v>741</v>
      </c>
      <c r="B701" s="25" t="s">
        <v>26</v>
      </c>
      <c r="C701" s="26" t="s">
        <v>71</v>
      </c>
      <c r="D701" s="26" t="s">
        <v>71</v>
      </c>
      <c r="E701" s="26" t="s">
        <v>456</v>
      </c>
      <c r="F701" s="26" t="s">
        <v>58</v>
      </c>
      <c r="G701" s="27">
        <f>G702</f>
        <v>6794010</v>
      </c>
      <c r="H701" s="27">
        <f>H702</f>
        <v>6390200</v>
      </c>
      <c r="I701" s="27">
        <f>I702</f>
        <v>6390200</v>
      </c>
      <c r="J701" s="16">
        <f>'БА в тыс. руб.'!G701*1000</f>
        <v>6794010</v>
      </c>
      <c r="K701" s="169">
        <f t="shared" si="449"/>
        <v>0</v>
      </c>
      <c r="L701" s="16">
        <f>'БА в тыс. руб.'!H701*1000</f>
        <v>6390200</v>
      </c>
      <c r="M701" s="169">
        <f t="shared" si="450"/>
        <v>0</v>
      </c>
      <c r="N701" s="16">
        <f>'БА в тыс. руб.'!I701*1000</f>
        <v>6390200</v>
      </c>
      <c r="O701" s="169">
        <f t="shared" si="451"/>
        <v>0</v>
      </c>
    </row>
    <row r="702" spans="1:15" s="30" customFormat="1" ht="25.5">
      <c r="A702" s="74" t="s">
        <v>742</v>
      </c>
      <c r="B702" s="25" t="s">
        <v>26</v>
      </c>
      <c r="C702" s="26" t="s">
        <v>71</v>
      </c>
      <c r="D702" s="26" t="s">
        <v>71</v>
      </c>
      <c r="E702" s="26" t="s">
        <v>457</v>
      </c>
      <c r="F702" s="26" t="s">
        <v>58</v>
      </c>
      <c r="G702" s="27">
        <f>G703+G707+G715+G719+G723+G727</f>
        <v>6794010</v>
      </c>
      <c r="H702" s="27">
        <f>H703+H707+H715+H719+H723+H727</f>
        <v>6390200</v>
      </c>
      <c r="I702" s="27">
        <f>I703+I707+I715+I719+I723+I727</f>
        <v>6390200</v>
      </c>
      <c r="J702" s="16">
        <f>'БА в тыс. руб.'!G702*1000</f>
        <v>6794010</v>
      </c>
      <c r="K702" s="169">
        <f t="shared" si="449"/>
        <v>0</v>
      </c>
      <c r="L702" s="16">
        <f>'БА в тыс. руб.'!H702*1000</f>
        <v>6390200</v>
      </c>
      <c r="M702" s="169">
        <f t="shared" si="450"/>
        <v>0</v>
      </c>
      <c r="N702" s="16">
        <f>'БА в тыс. руб.'!I702*1000</f>
        <v>6390200</v>
      </c>
      <c r="O702" s="169">
        <f t="shared" si="451"/>
        <v>0</v>
      </c>
    </row>
    <row r="703" spans="1:15" s="30" customFormat="1" ht="25.5">
      <c r="A703" s="12" t="s">
        <v>458</v>
      </c>
      <c r="B703" s="25" t="s">
        <v>26</v>
      </c>
      <c r="C703" s="26" t="s">
        <v>71</v>
      </c>
      <c r="D703" s="26" t="s">
        <v>71</v>
      </c>
      <c r="E703" s="26" t="s">
        <v>459</v>
      </c>
      <c r="F703" s="26" t="s">
        <v>58</v>
      </c>
      <c r="G703" s="27">
        <f t="shared" ref="G703:I705" si="483">G704</f>
        <v>779000</v>
      </c>
      <c r="H703" s="27">
        <f t="shared" si="483"/>
        <v>779000</v>
      </c>
      <c r="I703" s="27">
        <f t="shared" si="483"/>
        <v>779000</v>
      </c>
      <c r="J703" s="16">
        <f>'БА в тыс. руб.'!G703*1000</f>
        <v>779000</v>
      </c>
      <c r="K703" s="169">
        <f t="shared" si="449"/>
        <v>0</v>
      </c>
      <c r="L703" s="16">
        <f>'БА в тыс. руб.'!H703*1000</f>
        <v>779000</v>
      </c>
      <c r="M703" s="169">
        <f t="shared" si="450"/>
        <v>0</v>
      </c>
      <c r="N703" s="16">
        <f>'БА в тыс. руб.'!I703*1000</f>
        <v>779000</v>
      </c>
      <c r="O703" s="169">
        <f t="shared" si="451"/>
        <v>0</v>
      </c>
    </row>
    <row r="704" spans="1:15" s="30" customFormat="1" ht="38.25">
      <c r="A704" s="11" t="s">
        <v>164</v>
      </c>
      <c r="B704" s="25" t="s">
        <v>26</v>
      </c>
      <c r="C704" s="26" t="s">
        <v>71</v>
      </c>
      <c r="D704" s="26" t="s">
        <v>71</v>
      </c>
      <c r="E704" s="26" t="s">
        <v>460</v>
      </c>
      <c r="F704" s="26" t="s">
        <v>58</v>
      </c>
      <c r="G704" s="27">
        <f t="shared" si="483"/>
        <v>779000</v>
      </c>
      <c r="H704" s="27">
        <f t="shared" si="483"/>
        <v>779000</v>
      </c>
      <c r="I704" s="27">
        <f t="shared" si="483"/>
        <v>779000</v>
      </c>
      <c r="J704" s="16">
        <f>'БА в тыс. руб.'!G704*1000</f>
        <v>779000</v>
      </c>
      <c r="K704" s="169">
        <f t="shared" si="449"/>
        <v>0</v>
      </c>
      <c r="L704" s="16">
        <f>'БА в тыс. руб.'!H704*1000</f>
        <v>779000</v>
      </c>
      <c r="M704" s="169">
        <f t="shared" si="450"/>
        <v>0</v>
      </c>
      <c r="N704" s="16">
        <f>'БА в тыс. руб.'!I704*1000</f>
        <v>779000</v>
      </c>
      <c r="O704" s="169">
        <f t="shared" si="451"/>
        <v>0</v>
      </c>
    </row>
    <row r="705" spans="1:15" s="30" customFormat="1">
      <c r="A705" s="13" t="s">
        <v>92</v>
      </c>
      <c r="B705" s="25" t="s">
        <v>26</v>
      </c>
      <c r="C705" s="26" t="s">
        <v>71</v>
      </c>
      <c r="D705" s="26" t="s">
        <v>71</v>
      </c>
      <c r="E705" s="26" t="s">
        <v>460</v>
      </c>
      <c r="F705" s="26" t="s">
        <v>138</v>
      </c>
      <c r="G705" s="27">
        <f>G706</f>
        <v>779000</v>
      </c>
      <c r="H705" s="27">
        <f t="shared" si="483"/>
        <v>779000</v>
      </c>
      <c r="I705" s="27">
        <f t="shared" si="483"/>
        <v>779000</v>
      </c>
      <c r="J705" s="16">
        <f>'БА в тыс. руб.'!G705*1000</f>
        <v>779000</v>
      </c>
      <c r="K705" s="169">
        <f t="shared" si="449"/>
        <v>0</v>
      </c>
      <c r="L705" s="16">
        <f>'БА в тыс. руб.'!H705*1000</f>
        <v>779000</v>
      </c>
      <c r="M705" s="169">
        <f t="shared" si="450"/>
        <v>0</v>
      </c>
      <c r="N705" s="16">
        <f>'БА в тыс. руб.'!I705*1000</f>
        <v>779000</v>
      </c>
      <c r="O705" s="169">
        <f t="shared" si="451"/>
        <v>0</v>
      </c>
    </row>
    <row r="706" spans="1:15" s="83" customFormat="1" ht="38.25">
      <c r="A706" s="12" t="s">
        <v>1015</v>
      </c>
      <c r="B706" s="25" t="s">
        <v>26</v>
      </c>
      <c r="C706" s="26" t="s">
        <v>71</v>
      </c>
      <c r="D706" s="26" t="s">
        <v>71</v>
      </c>
      <c r="E706" s="26" t="s">
        <v>460</v>
      </c>
      <c r="F706" s="26" t="s">
        <v>67</v>
      </c>
      <c r="G706" s="27">
        <f t="shared" ref="G706" si="484">J706</f>
        <v>779000</v>
      </c>
      <c r="H706" s="27">
        <f>L706</f>
        <v>779000</v>
      </c>
      <c r="I706" s="27">
        <f>N706</f>
        <v>779000</v>
      </c>
      <c r="J706" s="16">
        <f>'БА в тыс. руб.'!G706*1000</f>
        <v>779000</v>
      </c>
      <c r="K706" s="169">
        <f t="shared" si="449"/>
        <v>0</v>
      </c>
      <c r="L706" s="16">
        <f>'БА в тыс. руб.'!H706*1000</f>
        <v>779000</v>
      </c>
      <c r="M706" s="169">
        <f t="shared" si="450"/>
        <v>0</v>
      </c>
      <c r="N706" s="16">
        <f>'БА в тыс. руб.'!I706*1000</f>
        <v>779000</v>
      </c>
      <c r="O706" s="169">
        <f t="shared" si="451"/>
        <v>0</v>
      </c>
    </row>
    <row r="707" spans="1:15" s="30" customFormat="1" ht="38.25">
      <c r="A707" s="12" t="s">
        <v>461</v>
      </c>
      <c r="B707" s="25" t="s">
        <v>26</v>
      </c>
      <c r="C707" s="26" t="s">
        <v>71</v>
      </c>
      <c r="D707" s="26" t="s">
        <v>71</v>
      </c>
      <c r="E707" s="26" t="s">
        <v>567</v>
      </c>
      <c r="F707" s="26" t="s">
        <v>58</v>
      </c>
      <c r="G707" s="27">
        <f>G708</f>
        <v>2340000</v>
      </c>
      <c r="H707" s="27">
        <f t="shared" ref="H707:I707" si="485">H708</f>
        <v>2340000</v>
      </c>
      <c r="I707" s="27">
        <f t="shared" si="485"/>
        <v>2340000</v>
      </c>
      <c r="J707" s="16">
        <f>'БА в тыс. руб.'!G707*1000</f>
        <v>2340000</v>
      </c>
      <c r="K707" s="169">
        <f t="shared" si="449"/>
        <v>0</v>
      </c>
      <c r="L707" s="16">
        <f>'БА в тыс. руб.'!H707*1000</f>
        <v>2340000</v>
      </c>
      <c r="M707" s="169">
        <f t="shared" si="450"/>
        <v>0</v>
      </c>
      <c r="N707" s="16">
        <f>'БА в тыс. руб.'!I707*1000</f>
        <v>2340000</v>
      </c>
      <c r="O707" s="169">
        <f t="shared" si="451"/>
        <v>0</v>
      </c>
    </row>
    <row r="708" spans="1:15" s="30" customFormat="1" ht="38.25">
      <c r="A708" s="11" t="s">
        <v>164</v>
      </c>
      <c r="B708" s="25" t="s">
        <v>26</v>
      </c>
      <c r="C708" s="26" t="s">
        <v>71</v>
      </c>
      <c r="D708" s="26" t="s">
        <v>71</v>
      </c>
      <c r="E708" s="26" t="s">
        <v>462</v>
      </c>
      <c r="F708" s="26" t="s">
        <v>58</v>
      </c>
      <c r="G708" s="27">
        <f>G709+G713+G712+G711</f>
        <v>2340000</v>
      </c>
      <c r="H708" s="27">
        <f>H709+H713+H712+H711</f>
        <v>2340000</v>
      </c>
      <c r="I708" s="27">
        <f>I709+I713+I712+I711</f>
        <v>2340000</v>
      </c>
      <c r="J708" s="16">
        <f>'БА в тыс. руб.'!G708*1000</f>
        <v>2340000</v>
      </c>
      <c r="K708" s="169">
        <f t="shared" si="449"/>
        <v>0</v>
      </c>
      <c r="L708" s="16">
        <f>'БА в тыс. руб.'!H708*1000</f>
        <v>2340000</v>
      </c>
      <c r="M708" s="169">
        <f t="shared" si="450"/>
        <v>0</v>
      </c>
      <c r="N708" s="16">
        <f>'БА в тыс. руб.'!I708*1000</f>
        <v>2340000</v>
      </c>
      <c r="O708" s="169">
        <f t="shared" si="451"/>
        <v>0</v>
      </c>
    </row>
    <row r="709" spans="1:15" s="30" customFormat="1" ht="25.5">
      <c r="A709" s="11" t="s">
        <v>108</v>
      </c>
      <c r="B709" s="25" t="s">
        <v>26</v>
      </c>
      <c r="C709" s="26" t="s">
        <v>71</v>
      </c>
      <c r="D709" s="26" t="s">
        <v>71</v>
      </c>
      <c r="E709" s="26" t="s">
        <v>462</v>
      </c>
      <c r="F709" s="26" t="s">
        <v>116</v>
      </c>
      <c r="G709" s="27">
        <f>G710</f>
        <v>549500</v>
      </c>
      <c r="H709" s="27">
        <f t="shared" ref="H709:I709" si="486">H710</f>
        <v>549500</v>
      </c>
      <c r="I709" s="27">
        <f t="shared" si="486"/>
        <v>549500</v>
      </c>
      <c r="J709" s="16">
        <f>'БА в тыс. руб.'!G709*1000</f>
        <v>549500</v>
      </c>
      <c r="K709" s="169">
        <f t="shared" si="449"/>
        <v>0</v>
      </c>
      <c r="L709" s="16">
        <f>'БА в тыс. руб.'!H709*1000</f>
        <v>549500</v>
      </c>
      <c r="M709" s="169">
        <f t="shared" si="450"/>
        <v>0</v>
      </c>
      <c r="N709" s="16">
        <f>'БА в тыс. руб.'!I709*1000</f>
        <v>549500</v>
      </c>
      <c r="O709" s="169">
        <f t="shared" si="451"/>
        <v>0</v>
      </c>
    </row>
    <row r="710" spans="1:15" s="83" customFormat="1" ht="25.5">
      <c r="A710" s="12" t="s">
        <v>973</v>
      </c>
      <c r="B710" s="25" t="s">
        <v>26</v>
      </c>
      <c r="C710" s="26" t="s">
        <v>71</v>
      </c>
      <c r="D710" s="26" t="s">
        <v>71</v>
      </c>
      <c r="E710" s="26" t="s">
        <v>462</v>
      </c>
      <c r="F710" s="26" t="s">
        <v>1043</v>
      </c>
      <c r="G710" s="27">
        <f t="shared" ref="G710:G712" si="487">J710</f>
        <v>549500</v>
      </c>
      <c r="H710" s="27">
        <f t="shared" ref="H710:H712" si="488">L710</f>
        <v>549500</v>
      </c>
      <c r="I710" s="27">
        <f t="shared" ref="I710:I712" si="489">N710</f>
        <v>549500</v>
      </c>
      <c r="J710" s="16">
        <f>'БА в тыс. руб.'!G710*1000</f>
        <v>549500</v>
      </c>
      <c r="K710" s="169">
        <f t="shared" si="449"/>
        <v>0</v>
      </c>
      <c r="L710" s="16">
        <f>'БА в тыс. руб.'!H710*1000</f>
        <v>549500</v>
      </c>
      <c r="M710" s="169">
        <f t="shared" si="450"/>
        <v>0</v>
      </c>
      <c r="N710" s="16">
        <f>'БА в тыс. руб.'!I710*1000</f>
        <v>549500</v>
      </c>
      <c r="O710" s="169">
        <f t="shared" si="451"/>
        <v>0</v>
      </c>
    </row>
    <row r="711" spans="1:15" s="30" customFormat="1">
      <c r="A711" s="11" t="s">
        <v>89</v>
      </c>
      <c r="B711" s="25" t="s">
        <v>26</v>
      </c>
      <c r="C711" s="26" t="s">
        <v>71</v>
      </c>
      <c r="D711" s="26" t="s">
        <v>71</v>
      </c>
      <c r="E711" s="26" t="s">
        <v>462</v>
      </c>
      <c r="F711" s="26" t="s">
        <v>182</v>
      </c>
      <c r="G711" s="27">
        <f t="shared" si="487"/>
        <v>600500</v>
      </c>
      <c r="H711" s="27">
        <f t="shared" si="488"/>
        <v>600500</v>
      </c>
      <c r="I711" s="27">
        <f t="shared" si="489"/>
        <v>600500</v>
      </c>
      <c r="J711" s="16">
        <f>'БА в тыс. руб.'!G711*1000</f>
        <v>600500</v>
      </c>
      <c r="K711" s="169">
        <f t="shared" si="449"/>
        <v>0</v>
      </c>
      <c r="L711" s="16">
        <f>'БА в тыс. руб.'!H711*1000</f>
        <v>600500</v>
      </c>
      <c r="M711" s="169">
        <f t="shared" si="450"/>
        <v>0</v>
      </c>
      <c r="N711" s="16">
        <f>'БА в тыс. руб.'!I711*1000</f>
        <v>600500</v>
      </c>
      <c r="O711" s="169">
        <f t="shared" si="451"/>
        <v>0</v>
      </c>
    </row>
    <row r="712" spans="1:15" s="30" customFormat="1">
      <c r="A712" s="11" t="s">
        <v>90</v>
      </c>
      <c r="B712" s="25" t="s">
        <v>26</v>
      </c>
      <c r="C712" s="26" t="s">
        <v>71</v>
      </c>
      <c r="D712" s="26" t="s">
        <v>71</v>
      </c>
      <c r="E712" s="26" t="s">
        <v>462</v>
      </c>
      <c r="F712" s="26" t="s">
        <v>181</v>
      </c>
      <c r="G712" s="27">
        <f t="shared" si="487"/>
        <v>60000</v>
      </c>
      <c r="H712" s="27">
        <f t="shared" si="488"/>
        <v>60000</v>
      </c>
      <c r="I712" s="27">
        <f t="shared" si="489"/>
        <v>60000</v>
      </c>
      <c r="J712" s="16">
        <f>'БА в тыс. руб.'!G712*1000</f>
        <v>60000</v>
      </c>
      <c r="K712" s="169">
        <f t="shared" ref="K712:K775" si="490">J712-G712</f>
        <v>0</v>
      </c>
      <c r="L712" s="16">
        <f>'БА в тыс. руб.'!H712*1000</f>
        <v>60000</v>
      </c>
      <c r="M712" s="169">
        <f t="shared" ref="M712:M775" si="491">L712-H712</f>
        <v>0</v>
      </c>
      <c r="N712" s="16">
        <f>'БА в тыс. руб.'!I712*1000</f>
        <v>60000</v>
      </c>
      <c r="O712" s="169">
        <f t="shared" ref="O712:O775" si="492">N712-I712</f>
        <v>0</v>
      </c>
    </row>
    <row r="713" spans="1:15" s="30" customFormat="1">
      <c r="A713" s="13" t="s">
        <v>92</v>
      </c>
      <c r="B713" s="25" t="s">
        <v>26</v>
      </c>
      <c r="C713" s="26" t="s">
        <v>71</v>
      </c>
      <c r="D713" s="26" t="s">
        <v>71</v>
      </c>
      <c r="E713" s="26" t="s">
        <v>462</v>
      </c>
      <c r="F713" s="26" t="s">
        <v>138</v>
      </c>
      <c r="G713" s="27">
        <f>G714</f>
        <v>1130000</v>
      </c>
      <c r="H713" s="27">
        <f t="shared" ref="H713:I713" si="493">H714</f>
        <v>1130000</v>
      </c>
      <c r="I713" s="27">
        <f t="shared" si="493"/>
        <v>1130000</v>
      </c>
      <c r="J713" s="16">
        <f>'БА в тыс. руб.'!G713*1000</f>
        <v>1130000</v>
      </c>
      <c r="K713" s="169">
        <f t="shared" si="490"/>
        <v>0</v>
      </c>
      <c r="L713" s="16">
        <f>'БА в тыс. руб.'!H713*1000</f>
        <v>1130000</v>
      </c>
      <c r="M713" s="169">
        <f t="shared" si="491"/>
        <v>0</v>
      </c>
      <c r="N713" s="16">
        <f>'БА в тыс. руб.'!I713*1000</f>
        <v>1130000</v>
      </c>
      <c r="O713" s="169">
        <f t="shared" si="492"/>
        <v>0</v>
      </c>
    </row>
    <row r="714" spans="1:15" s="83" customFormat="1" ht="38.25">
      <c r="A714" s="12" t="s">
        <v>1015</v>
      </c>
      <c r="B714" s="25" t="s">
        <v>26</v>
      </c>
      <c r="C714" s="26" t="s">
        <v>71</v>
      </c>
      <c r="D714" s="26" t="s">
        <v>71</v>
      </c>
      <c r="E714" s="26" t="s">
        <v>462</v>
      </c>
      <c r="F714" s="26" t="s">
        <v>67</v>
      </c>
      <c r="G714" s="27">
        <f t="shared" ref="G714" si="494">J714</f>
        <v>1130000</v>
      </c>
      <c r="H714" s="27">
        <f>L714</f>
        <v>1130000</v>
      </c>
      <c r="I714" s="27">
        <f>N714</f>
        <v>1130000</v>
      </c>
      <c r="J714" s="16">
        <f>'БА в тыс. руб.'!G714*1000</f>
        <v>1130000</v>
      </c>
      <c r="K714" s="169">
        <f t="shared" si="490"/>
        <v>0</v>
      </c>
      <c r="L714" s="16">
        <f>'БА в тыс. руб.'!H714*1000</f>
        <v>1130000</v>
      </c>
      <c r="M714" s="169">
        <f t="shared" si="491"/>
        <v>0</v>
      </c>
      <c r="N714" s="16">
        <f>'БА в тыс. руб.'!I714*1000</f>
        <v>1130000</v>
      </c>
      <c r="O714" s="169">
        <f t="shared" si="492"/>
        <v>0</v>
      </c>
    </row>
    <row r="715" spans="1:15" s="30" customFormat="1" ht="25.5">
      <c r="A715" s="12" t="s">
        <v>463</v>
      </c>
      <c r="B715" s="25" t="s">
        <v>26</v>
      </c>
      <c r="C715" s="26" t="s">
        <v>71</v>
      </c>
      <c r="D715" s="26" t="s">
        <v>71</v>
      </c>
      <c r="E715" s="26" t="s">
        <v>464</v>
      </c>
      <c r="F715" s="26" t="s">
        <v>58</v>
      </c>
      <c r="G715" s="27">
        <f t="shared" ref="G715:I717" si="495">G716</f>
        <v>180000</v>
      </c>
      <c r="H715" s="27">
        <f t="shared" si="495"/>
        <v>180000</v>
      </c>
      <c r="I715" s="27">
        <f t="shared" si="495"/>
        <v>180000</v>
      </c>
      <c r="J715" s="16">
        <f>'БА в тыс. руб.'!G715*1000</f>
        <v>180000</v>
      </c>
      <c r="K715" s="169">
        <f t="shared" si="490"/>
        <v>0</v>
      </c>
      <c r="L715" s="16">
        <f>'БА в тыс. руб.'!H715*1000</f>
        <v>180000</v>
      </c>
      <c r="M715" s="169">
        <f t="shared" si="491"/>
        <v>0</v>
      </c>
      <c r="N715" s="16">
        <f>'БА в тыс. руб.'!I715*1000</f>
        <v>180000</v>
      </c>
      <c r="O715" s="169">
        <f t="shared" si="492"/>
        <v>0</v>
      </c>
    </row>
    <row r="716" spans="1:15" s="30" customFormat="1" ht="38.25">
      <c r="A716" s="11" t="s">
        <v>164</v>
      </c>
      <c r="B716" s="25" t="s">
        <v>26</v>
      </c>
      <c r="C716" s="26" t="s">
        <v>71</v>
      </c>
      <c r="D716" s="26" t="s">
        <v>71</v>
      </c>
      <c r="E716" s="26" t="s">
        <v>465</v>
      </c>
      <c r="F716" s="26" t="s">
        <v>58</v>
      </c>
      <c r="G716" s="27">
        <f t="shared" si="495"/>
        <v>180000</v>
      </c>
      <c r="H716" s="27">
        <f t="shared" si="495"/>
        <v>180000</v>
      </c>
      <c r="I716" s="27">
        <f t="shared" si="495"/>
        <v>180000</v>
      </c>
      <c r="J716" s="16">
        <f>'БА в тыс. руб.'!G716*1000</f>
        <v>180000</v>
      </c>
      <c r="K716" s="169">
        <f t="shared" si="490"/>
        <v>0</v>
      </c>
      <c r="L716" s="16">
        <f>'БА в тыс. руб.'!H716*1000</f>
        <v>180000</v>
      </c>
      <c r="M716" s="169">
        <f t="shared" si="491"/>
        <v>0</v>
      </c>
      <c r="N716" s="16">
        <f>'БА в тыс. руб.'!I716*1000</f>
        <v>180000</v>
      </c>
      <c r="O716" s="169">
        <f t="shared" si="492"/>
        <v>0</v>
      </c>
    </row>
    <row r="717" spans="1:15" s="30" customFormat="1">
      <c r="A717" s="13" t="s">
        <v>92</v>
      </c>
      <c r="B717" s="25" t="s">
        <v>26</v>
      </c>
      <c r="C717" s="26" t="s">
        <v>71</v>
      </c>
      <c r="D717" s="26" t="s">
        <v>71</v>
      </c>
      <c r="E717" s="26" t="s">
        <v>465</v>
      </c>
      <c r="F717" s="26" t="s">
        <v>138</v>
      </c>
      <c r="G717" s="27">
        <f>G718</f>
        <v>180000</v>
      </c>
      <c r="H717" s="27">
        <f t="shared" si="495"/>
        <v>180000</v>
      </c>
      <c r="I717" s="27">
        <f t="shared" si="495"/>
        <v>180000</v>
      </c>
      <c r="J717" s="16">
        <f>'БА в тыс. руб.'!G717*1000</f>
        <v>180000</v>
      </c>
      <c r="K717" s="169">
        <f t="shared" si="490"/>
        <v>0</v>
      </c>
      <c r="L717" s="16">
        <f>'БА в тыс. руб.'!H717*1000</f>
        <v>180000</v>
      </c>
      <c r="M717" s="169">
        <f t="shared" si="491"/>
        <v>0</v>
      </c>
      <c r="N717" s="16">
        <f>'БА в тыс. руб.'!I717*1000</f>
        <v>180000</v>
      </c>
      <c r="O717" s="169">
        <f t="shared" si="492"/>
        <v>0</v>
      </c>
    </row>
    <row r="718" spans="1:15" s="83" customFormat="1" ht="38.25">
      <c r="A718" s="12" t="s">
        <v>1015</v>
      </c>
      <c r="B718" s="25" t="s">
        <v>26</v>
      </c>
      <c r="C718" s="26" t="s">
        <v>71</v>
      </c>
      <c r="D718" s="26" t="s">
        <v>71</v>
      </c>
      <c r="E718" s="26" t="s">
        <v>465</v>
      </c>
      <c r="F718" s="26" t="s">
        <v>67</v>
      </c>
      <c r="G718" s="27">
        <f t="shared" ref="G718" si="496">J718</f>
        <v>180000</v>
      </c>
      <c r="H718" s="27">
        <f>L718</f>
        <v>180000</v>
      </c>
      <c r="I718" s="27">
        <f>N718</f>
        <v>180000</v>
      </c>
      <c r="J718" s="16">
        <f>'БА в тыс. руб.'!G718*1000</f>
        <v>180000</v>
      </c>
      <c r="K718" s="169">
        <f t="shared" si="490"/>
        <v>0</v>
      </c>
      <c r="L718" s="16">
        <f>'БА в тыс. руб.'!H718*1000</f>
        <v>180000</v>
      </c>
      <c r="M718" s="169">
        <f t="shared" si="491"/>
        <v>0</v>
      </c>
      <c r="N718" s="16">
        <f>'БА в тыс. руб.'!I718*1000</f>
        <v>180000</v>
      </c>
      <c r="O718" s="169">
        <f t="shared" si="492"/>
        <v>0</v>
      </c>
    </row>
    <row r="719" spans="1:15" s="30" customFormat="1" ht="38.25">
      <c r="A719" s="12" t="s">
        <v>466</v>
      </c>
      <c r="B719" s="25" t="s">
        <v>26</v>
      </c>
      <c r="C719" s="26" t="s">
        <v>71</v>
      </c>
      <c r="D719" s="26" t="s">
        <v>71</v>
      </c>
      <c r="E719" s="26" t="s">
        <v>467</v>
      </c>
      <c r="F719" s="26" t="s">
        <v>58</v>
      </c>
      <c r="G719" s="27">
        <f t="shared" ref="G719:I721" si="497">G720</f>
        <v>310000</v>
      </c>
      <c r="H719" s="27">
        <f t="shared" si="497"/>
        <v>310000</v>
      </c>
      <c r="I719" s="27">
        <f t="shared" si="497"/>
        <v>310000</v>
      </c>
      <c r="J719" s="16">
        <f>'БА в тыс. руб.'!G719*1000</f>
        <v>310000</v>
      </c>
      <c r="K719" s="169">
        <f t="shared" si="490"/>
        <v>0</v>
      </c>
      <c r="L719" s="16">
        <f>'БА в тыс. руб.'!H719*1000</f>
        <v>310000</v>
      </c>
      <c r="M719" s="169">
        <f t="shared" si="491"/>
        <v>0</v>
      </c>
      <c r="N719" s="16">
        <f>'БА в тыс. руб.'!I719*1000</f>
        <v>310000</v>
      </c>
      <c r="O719" s="169">
        <f t="shared" si="492"/>
        <v>0</v>
      </c>
    </row>
    <row r="720" spans="1:15" s="30" customFormat="1" ht="38.25">
      <c r="A720" s="11" t="s">
        <v>164</v>
      </c>
      <c r="B720" s="25" t="s">
        <v>26</v>
      </c>
      <c r="C720" s="26" t="s">
        <v>71</v>
      </c>
      <c r="D720" s="26" t="s">
        <v>71</v>
      </c>
      <c r="E720" s="26" t="s">
        <v>468</v>
      </c>
      <c r="F720" s="26" t="s">
        <v>58</v>
      </c>
      <c r="G720" s="27">
        <f t="shared" si="497"/>
        <v>310000</v>
      </c>
      <c r="H720" s="27">
        <f t="shared" si="497"/>
        <v>310000</v>
      </c>
      <c r="I720" s="27">
        <f t="shared" si="497"/>
        <v>310000</v>
      </c>
      <c r="J720" s="16">
        <f>'БА в тыс. руб.'!G720*1000</f>
        <v>310000</v>
      </c>
      <c r="K720" s="169">
        <f t="shared" si="490"/>
        <v>0</v>
      </c>
      <c r="L720" s="16">
        <f>'БА в тыс. руб.'!H720*1000</f>
        <v>310000</v>
      </c>
      <c r="M720" s="169">
        <f t="shared" si="491"/>
        <v>0</v>
      </c>
      <c r="N720" s="16">
        <f>'БА в тыс. руб.'!I720*1000</f>
        <v>310000</v>
      </c>
      <c r="O720" s="169">
        <f t="shared" si="492"/>
        <v>0</v>
      </c>
    </row>
    <row r="721" spans="1:15" s="30" customFormat="1">
      <c r="A721" s="13" t="s">
        <v>92</v>
      </c>
      <c r="B721" s="25" t="s">
        <v>26</v>
      </c>
      <c r="C721" s="26" t="s">
        <v>71</v>
      </c>
      <c r="D721" s="26" t="s">
        <v>71</v>
      </c>
      <c r="E721" s="26" t="s">
        <v>468</v>
      </c>
      <c r="F721" s="26" t="s">
        <v>138</v>
      </c>
      <c r="G721" s="27">
        <f>G722</f>
        <v>310000</v>
      </c>
      <c r="H721" s="27">
        <f t="shared" si="497"/>
        <v>310000</v>
      </c>
      <c r="I721" s="27">
        <f t="shared" si="497"/>
        <v>310000</v>
      </c>
      <c r="J721" s="16">
        <f>'БА в тыс. руб.'!G721*1000</f>
        <v>310000</v>
      </c>
      <c r="K721" s="169">
        <f t="shared" si="490"/>
        <v>0</v>
      </c>
      <c r="L721" s="16">
        <f>'БА в тыс. руб.'!H721*1000</f>
        <v>310000</v>
      </c>
      <c r="M721" s="169">
        <f t="shared" si="491"/>
        <v>0</v>
      </c>
      <c r="N721" s="16">
        <f>'БА в тыс. руб.'!I721*1000</f>
        <v>310000</v>
      </c>
      <c r="O721" s="169">
        <f t="shared" si="492"/>
        <v>0</v>
      </c>
    </row>
    <row r="722" spans="1:15" s="83" customFormat="1" ht="38.25">
      <c r="A722" s="12" t="s">
        <v>1015</v>
      </c>
      <c r="B722" s="25" t="s">
        <v>26</v>
      </c>
      <c r="C722" s="26" t="s">
        <v>71</v>
      </c>
      <c r="D722" s="26" t="s">
        <v>71</v>
      </c>
      <c r="E722" s="26" t="s">
        <v>468</v>
      </c>
      <c r="F722" s="26" t="s">
        <v>67</v>
      </c>
      <c r="G722" s="27">
        <f t="shared" ref="G722" si="498">J722</f>
        <v>310000</v>
      </c>
      <c r="H722" s="27">
        <f>L722</f>
        <v>310000</v>
      </c>
      <c r="I722" s="27">
        <f>N722</f>
        <v>310000</v>
      </c>
      <c r="J722" s="16">
        <f>'БА в тыс. руб.'!G722*1000</f>
        <v>310000</v>
      </c>
      <c r="K722" s="169">
        <f t="shared" si="490"/>
        <v>0</v>
      </c>
      <c r="L722" s="16">
        <f>'БА в тыс. руб.'!H722*1000</f>
        <v>310000</v>
      </c>
      <c r="M722" s="169">
        <f t="shared" si="491"/>
        <v>0</v>
      </c>
      <c r="N722" s="16">
        <f>'БА в тыс. руб.'!I722*1000</f>
        <v>310000</v>
      </c>
      <c r="O722" s="169">
        <f t="shared" si="492"/>
        <v>0</v>
      </c>
    </row>
    <row r="723" spans="1:15" s="30" customFormat="1" ht="38.25">
      <c r="A723" s="12" t="s">
        <v>469</v>
      </c>
      <c r="B723" s="25" t="s">
        <v>26</v>
      </c>
      <c r="C723" s="26" t="s">
        <v>71</v>
      </c>
      <c r="D723" s="26" t="s">
        <v>71</v>
      </c>
      <c r="E723" s="26" t="s">
        <v>470</v>
      </c>
      <c r="F723" s="26" t="s">
        <v>58</v>
      </c>
      <c r="G723" s="27">
        <f t="shared" ref="G723:I725" si="499">G724</f>
        <v>429350</v>
      </c>
      <c r="H723" s="27">
        <f t="shared" si="499"/>
        <v>25540</v>
      </c>
      <c r="I723" s="27">
        <f t="shared" si="499"/>
        <v>25540</v>
      </c>
      <c r="J723" s="16">
        <f>'БА в тыс. руб.'!G723*1000</f>
        <v>429350</v>
      </c>
      <c r="K723" s="169">
        <f t="shared" si="490"/>
        <v>0</v>
      </c>
      <c r="L723" s="16">
        <f>'БА в тыс. руб.'!H723*1000</f>
        <v>25540</v>
      </c>
      <c r="M723" s="169">
        <f t="shared" si="491"/>
        <v>0</v>
      </c>
      <c r="N723" s="16">
        <f>'БА в тыс. руб.'!I723*1000</f>
        <v>25540</v>
      </c>
      <c r="O723" s="169">
        <f t="shared" si="492"/>
        <v>0</v>
      </c>
    </row>
    <row r="724" spans="1:15" s="30" customFormat="1" ht="38.25">
      <c r="A724" s="11" t="s">
        <v>164</v>
      </c>
      <c r="B724" s="25" t="s">
        <v>26</v>
      </c>
      <c r="C724" s="26" t="s">
        <v>71</v>
      </c>
      <c r="D724" s="26" t="s">
        <v>71</v>
      </c>
      <c r="E724" s="26" t="s">
        <v>471</v>
      </c>
      <c r="F724" s="26" t="s">
        <v>58</v>
      </c>
      <c r="G724" s="27">
        <f t="shared" si="499"/>
        <v>429350</v>
      </c>
      <c r="H724" s="27">
        <f t="shared" si="499"/>
        <v>25540</v>
      </c>
      <c r="I724" s="27">
        <f t="shared" si="499"/>
        <v>25540</v>
      </c>
      <c r="J724" s="16">
        <f>'БА в тыс. руб.'!G724*1000</f>
        <v>429350</v>
      </c>
      <c r="K724" s="169">
        <f t="shared" si="490"/>
        <v>0</v>
      </c>
      <c r="L724" s="16">
        <f>'БА в тыс. руб.'!H724*1000</f>
        <v>25540</v>
      </c>
      <c r="M724" s="169">
        <f t="shared" si="491"/>
        <v>0</v>
      </c>
      <c r="N724" s="16">
        <f>'БА в тыс. руб.'!I724*1000</f>
        <v>25540</v>
      </c>
      <c r="O724" s="169">
        <f t="shared" si="492"/>
        <v>0</v>
      </c>
    </row>
    <row r="725" spans="1:15" s="30" customFormat="1">
      <c r="A725" s="13" t="s">
        <v>92</v>
      </c>
      <c r="B725" s="25" t="s">
        <v>26</v>
      </c>
      <c r="C725" s="26" t="s">
        <v>71</v>
      </c>
      <c r="D725" s="26" t="s">
        <v>71</v>
      </c>
      <c r="E725" s="26" t="s">
        <v>471</v>
      </c>
      <c r="F725" s="26" t="s">
        <v>138</v>
      </c>
      <c r="G725" s="27">
        <f>G726</f>
        <v>429350</v>
      </c>
      <c r="H725" s="27">
        <f t="shared" si="499"/>
        <v>25540</v>
      </c>
      <c r="I725" s="27">
        <f t="shared" si="499"/>
        <v>25540</v>
      </c>
      <c r="J725" s="16">
        <f>'БА в тыс. руб.'!G725*1000</f>
        <v>429350</v>
      </c>
      <c r="K725" s="169">
        <f t="shared" si="490"/>
        <v>0</v>
      </c>
      <c r="L725" s="16">
        <f>'БА в тыс. руб.'!H725*1000</f>
        <v>25540</v>
      </c>
      <c r="M725" s="169">
        <f t="shared" si="491"/>
        <v>0</v>
      </c>
      <c r="N725" s="16">
        <f>'БА в тыс. руб.'!I725*1000</f>
        <v>25540</v>
      </c>
      <c r="O725" s="169">
        <f t="shared" si="492"/>
        <v>0</v>
      </c>
    </row>
    <row r="726" spans="1:15" s="83" customFormat="1" ht="38.25">
      <c r="A726" s="12" t="s">
        <v>1015</v>
      </c>
      <c r="B726" s="25" t="s">
        <v>26</v>
      </c>
      <c r="C726" s="26" t="s">
        <v>71</v>
      </c>
      <c r="D726" s="26" t="s">
        <v>71</v>
      </c>
      <c r="E726" s="26" t="s">
        <v>471</v>
      </c>
      <c r="F726" s="26" t="s">
        <v>67</v>
      </c>
      <c r="G726" s="27">
        <f t="shared" ref="G726" si="500">J726</f>
        <v>429350</v>
      </c>
      <c r="H726" s="27">
        <f>L726</f>
        <v>25540</v>
      </c>
      <c r="I726" s="27">
        <f>N726</f>
        <v>25540</v>
      </c>
      <c r="J726" s="16">
        <f>'БА в тыс. руб.'!G726*1000</f>
        <v>429350</v>
      </c>
      <c r="K726" s="169">
        <f t="shared" si="490"/>
        <v>0</v>
      </c>
      <c r="L726" s="16">
        <f>'БА в тыс. руб.'!H726*1000</f>
        <v>25540</v>
      </c>
      <c r="M726" s="169">
        <f t="shared" si="491"/>
        <v>0</v>
      </c>
      <c r="N726" s="16">
        <f>'БА в тыс. руб.'!I726*1000</f>
        <v>25540</v>
      </c>
      <c r="O726" s="169">
        <f t="shared" si="492"/>
        <v>0</v>
      </c>
    </row>
    <row r="727" spans="1:15" s="30" customFormat="1" ht="25.5">
      <c r="A727" s="12" t="s">
        <v>472</v>
      </c>
      <c r="B727" s="25" t="s">
        <v>26</v>
      </c>
      <c r="C727" s="26" t="s">
        <v>71</v>
      </c>
      <c r="D727" s="26" t="s">
        <v>71</v>
      </c>
      <c r="E727" s="26" t="s">
        <v>473</v>
      </c>
      <c r="F727" s="26" t="s">
        <v>58</v>
      </c>
      <c r="G727" s="27">
        <f t="shared" ref="G727:I729" si="501">G728</f>
        <v>2755660</v>
      </c>
      <c r="H727" s="27">
        <f t="shared" si="501"/>
        <v>2755660</v>
      </c>
      <c r="I727" s="27">
        <f t="shared" si="501"/>
        <v>2755660</v>
      </c>
      <c r="J727" s="16">
        <f>'БА в тыс. руб.'!G727*1000</f>
        <v>2755660</v>
      </c>
      <c r="K727" s="169">
        <f t="shared" si="490"/>
        <v>0</v>
      </c>
      <c r="L727" s="16">
        <f>'БА в тыс. руб.'!H727*1000</f>
        <v>2755660</v>
      </c>
      <c r="M727" s="169">
        <f t="shared" si="491"/>
        <v>0</v>
      </c>
      <c r="N727" s="16">
        <f>'БА в тыс. руб.'!I727*1000</f>
        <v>2755660</v>
      </c>
      <c r="O727" s="169">
        <f t="shared" si="492"/>
        <v>0</v>
      </c>
    </row>
    <row r="728" spans="1:15" s="30" customFormat="1" ht="25.5">
      <c r="A728" s="39" t="s">
        <v>247</v>
      </c>
      <c r="B728" s="25" t="s">
        <v>26</v>
      </c>
      <c r="C728" s="26" t="s">
        <v>71</v>
      </c>
      <c r="D728" s="26" t="s">
        <v>71</v>
      </c>
      <c r="E728" s="26" t="s">
        <v>474</v>
      </c>
      <c r="F728" s="26" t="s">
        <v>58</v>
      </c>
      <c r="G728" s="27">
        <f t="shared" si="501"/>
        <v>2755660</v>
      </c>
      <c r="H728" s="27">
        <f t="shared" si="501"/>
        <v>2755660</v>
      </c>
      <c r="I728" s="27">
        <f t="shared" si="501"/>
        <v>2755660</v>
      </c>
      <c r="J728" s="16">
        <f>'БА в тыс. руб.'!G728*1000</f>
        <v>2755660</v>
      </c>
      <c r="K728" s="169">
        <f t="shared" si="490"/>
        <v>0</v>
      </c>
      <c r="L728" s="16">
        <f>'БА в тыс. руб.'!H728*1000</f>
        <v>2755660</v>
      </c>
      <c r="M728" s="169">
        <f t="shared" si="491"/>
        <v>0</v>
      </c>
      <c r="N728" s="16">
        <f>'БА в тыс. руб.'!I728*1000</f>
        <v>2755660</v>
      </c>
      <c r="O728" s="169">
        <f t="shared" si="492"/>
        <v>0</v>
      </c>
    </row>
    <row r="729" spans="1:15" s="30" customFormat="1">
      <c r="A729" s="13" t="s">
        <v>92</v>
      </c>
      <c r="B729" s="25" t="s">
        <v>26</v>
      </c>
      <c r="C729" s="26" t="s">
        <v>71</v>
      </c>
      <c r="D729" s="26" t="s">
        <v>71</v>
      </c>
      <c r="E729" s="26" t="s">
        <v>474</v>
      </c>
      <c r="F729" s="26" t="s">
        <v>138</v>
      </c>
      <c r="G729" s="27">
        <f>G730</f>
        <v>2755660</v>
      </c>
      <c r="H729" s="27">
        <f t="shared" si="501"/>
        <v>2755660</v>
      </c>
      <c r="I729" s="27">
        <f t="shared" si="501"/>
        <v>2755660</v>
      </c>
      <c r="J729" s="16">
        <f>'БА в тыс. руб.'!G729*1000</f>
        <v>2755660</v>
      </c>
      <c r="K729" s="169">
        <f t="shared" si="490"/>
        <v>0</v>
      </c>
      <c r="L729" s="16">
        <f>'БА в тыс. руб.'!H729*1000</f>
        <v>2755660</v>
      </c>
      <c r="M729" s="169">
        <f t="shared" si="491"/>
        <v>0</v>
      </c>
      <c r="N729" s="16">
        <f>'БА в тыс. руб.'!I729*1000</f>
        <v>2755660</v>
      </c>
      <c r="O729" s="169">
        <f t="shared" si="492"/>
        <v>0</v>
      </c>
    </row>
    <row r="730" spans="1:15" s="83" customFormat="1" ht="38.25">
      <c r="A730" s="12" t="s">
        <v>1015</v>
      </c>
      <c r="B730" s="25" t="s">
        <v>26</v>
      </c>
      <c r="C730" s="26" t="s">
        <v>71</v>
      </c>
      <c r="D730" s="26" t="s">
        <v>71</v>
      </c>
      <c r="E730" s="26" t="s">
        <v>474</v>
      </c>
      <c r="F730" s="26" t="s">
        <v>67</v>
      </c>
      <c r="G730" s="27">
        <f t="shared" ref="G730" si="502">J730</f>
        <v>2755660</v>
      </c>
      <c r="H730" s="27">
        <f>L730</f>
        <v>2755660</v>
      </c>
      <c r="I730" s="27">
        <f>N730</f>
        <v>2755660</v>
      </c>
      <c r="J730" s="16">
        <f>'БА в тыс. руб.'!G730*1000</f>
        <v>2755660</v>
      </c>
      <c r="K730" s="169">
        <f t="shared" si="490"/>
        <v>0</v>
      </c>
      <c r="L730" s="16">
        <f>'БА в тыс. руб.'!H730*1000</f>
        <v>2755660</v>
      </c>
      <c r="M730" s="169">
        <f t="shared" si="491"/>
        <v>0</v>
      </c>
      <c r="N730" s="16">
        <f>'БА в тыс. руб.'!I730*1000</f>
        <v>2755660</v>
      </c>
      <c r="O730" s="169">
        <f t="shared" si="492"/>
        <v>0</v>
      </c>
    </row>
    <row r="731" spans="1:15" s="3" customFormat="1">
      <c r="A731" s="17" t="s">
        <v>83</v>
      </c>
      <c r="B731" s="18" t="s">
        <v>26</v>
      </c>
      <c r="C731" s="19" t="s">
        <v>50</v>
      </c>
      <c r="D731" s="19" t="s">
        <v>51</v>
      </c>
      <c r="E731" s="19" t="s">
        <v>196</v>
      </c>
      <c r="F731" s="19" t="s">
        <v>58</v>
      </c>
      <c r="G731" s="20">
        <f>G732+G793</f>
        <v>254929920</v>
      </c>
      <c r="H731" s="20">
        <f>H732+H793</f>
        <v>164716100</v>
      </c>
      <c r="I731" s="20">
        <f>I732+I793</f>
        <v>162120140</v>
      </c>
      <c r="J731" s="16">
        <f>'БА в тыс. руб.'!G731*1000</f>
        <v>254929919.99999997</v>
      </c>
      <c r="K731" s="169">
        <f t="shared" si="490"/>
        <v>0</v>
      </c>
      <c r="L731" s="16">
        <f>'БА в тыс. руб.'!H731*1000</f>
        <v>164716099.99999997</v>
      </c>
      <c r="M731" s="169">
        <f t="shared" si="491"/>
        <v>0</v>
      </c>
      <c r="N731" s="16">
        <f>'БА в тыс. руб.'!I731*1000</f>
        <v>162120139.99999997</v>
      </c>
      <c r="O731" s="169">
        <f t="shared" si="492"/>
        <v>0</v>
      </c>
    </row>
    <row r="732" spans="1:15" s="3" customFormat="1">
      <c r="A732" s="21" t="s">
        <v>27</v>
      </c>
      <c r="B732" s="22" t="s">
        <v>26</v>
      </c>
      <c r="C732" s="23" t="s">
        <v>50</v>
      </c>
      <c r="D732" s="23" t="s">
        <v>65</v>
      </c>
      <c r="E732" s="23" t="s">
        <v>196</v>
      </c>
      <c r="F732" s="23" t="s">
        <v>58</v>
      </c>
      <c r="G732" s="24">
        <f>G733+G787+G781</f>
        <v>241327480</v>
      </c>
      <c r="H732" s="24">
        <f>H733+H787+H781</f>
        <v>151105640</v>
      </c>
      <c r="I732" s="24">
        <f>I733+I787+I781</f>
        <v>148509680</v>
      </c>
      <c r="J732" s="16">
        <f>'БА в тыс. руб.'!G732*1000</f>
        <v>241327479.99999997</v>
      </c>
      <c r="K732" s="169">
        <f t="shared" si="490"/>
        <v>0</v>
      </c>
      <c r="L732" s="16">
        <f>'БА в тыс. руб.'!H732*1000</f>
        <v>151105639.99999997</v>
      </c>
      <c r="M732" s="169">
        <f t="shared" si="491"/>
        <v>0</v>
      </c>
      <c r="N732" s="16">
        <f>'БА в тыс. руб.'!I732*1000</f>
        <v>148509680</v>
      </c>
      <c r="O732" s="169">
        <f t="shared" si="492"/>
        <v>0</v>
      </c>
    </row>
    <row r="733" spans="1:15" s="3" customFormat="1">
      <c r="A733" s="11" t="s">
        <v>739</v>
      </c>
      <c r="B733" s="25" t="s">
        <v>26</v>
      </c>
      <c r="C733" s="26" t="s">
        <v>50</v>
      </c>
      <c r="D733" s="26" t="s">
        <v>65</v>
      </c>
      <c r="E733" s="26" t="s">
        <v>277</v>
      </c>
      <c r="F733" s="26" t="s">
        <v>58</v>
      </c>
      <c r="G733" s="27">
        <f>G734+G741</f>
        <v>240590120</v>
      </c>
      <c r="H733" s="27">
        <f>H734+H741</f>
        <v>150481290</v>
      </c>
      <c r="I733" s="27">
        <f>I734+I741</f>
        <v>147885330</v>
      </c>
      <c r="J733" s="16">
        <f>'БА в тыс. руб.'!G733*1000</f>
        <v>240590120</v>
      </c>
      <c r="K733" s="169">
        <f t="shared" si="490"/>
        <v>0</v>
      </c>
      <c r="L733" s="16">
        <f>'БА в тыс. руб.'!H733*1000</f>
        <v>150481289.99999997</v>
      </c>
      <c r="M733" s="169">
        <f t="shared" si="491"/>
        <v>0</v>
      </c>
      <c r="N733" s="16">
        <f>'БА в тыс. руб.'!I733*1000</f>
        <v>147885330</v>
      </c>
      <c r="O733" s="169">
        <f t="shared" si="492"/>
        <v>0</v>
      </c>
    </row>
    <row r="734" spans="1:15" s="3" customFormat="1" ht="51">
      <c r="A734" s="11" t="s">
        <v>191</v>
      </c>
      <c r="B734" s="25" t="s">
        <v>26</v>
      </c>
      <c r="C734" s="26" t="s">
        <v>50</v>
      </c>
      <c r="D734" s="26" t="s">
        <v>65</v>
      </c>
      <c r="E734" s="26" t="s">
        <v>278</v>
      </c>
      <c r="F734" s="26" t="s">
        <v>58</v>
      </c>
      <c r="G734" s="27">
        <f t="shared" ref="G734:I735" si="503">G735</f>
        <v>5593500</v>
      </c>
      <c r="H734" s="27">
        <f t="shared" si="503"/>
        <v>4973000</v>
      </c>
      <c r="I734" s="27">
        <f t="shared" si="503"/>
        <v>4973000</v>
      </c>
      <c r="J734" s="16">
        <f>'БА в тыс. руб.'!G734*1000</f>
        <v>5593500</v>
      </c>
      <c r="K734" s="169">
        <f t="shared" si="490"/>
        <v>0</v>
      </c>
      <c r="L734" s="16">
        <f>'БА в тыс. руб.'!H734*1000</f>
        <v>4973000</v>
      </c>
      <c r="M734" s="169">
        <f t="shared" si="491"/>
        <v>0</v>
      </c>
      <c r="N734" s="16">
        <f>'БА в тыс. руб.'!I734*1000</f>
        <v>4973000</v>
      </c>
      <c r="O734" s="169">
        <f t="shared" si="492"/>
        <v>0</v>
      </c>
    </row>
    <row r="735" spans="1:15" s="3" customFormat="1" ht="63.75">
      <c r="A735" s="11" t="s">
        <v>605</v>
      </c>
      <c r="B735" s="25" t="s">
        <v>26</v>
      </c>
      <c r="C735" s="26" t="s">
        <v>50</v>
      </c>
      <c r="D735" s="26" t="s">
        <v>65</v>
      </c>
      <c r="E735" s="26" t="s">
        <v>279</v>
      </c>
      <c r="F735" s="26" t="s">
        <v>58</v>
      </c>
      <c r="G735" s="27">
        <f t="shared" si="503"/>
        <v>5593500</v>
      </c>
      <c r="H735" s="27">
        <f t="shared" si="503"/>
        <v>4973000</v>
      </c>
      <c r="I735" s="27">
        <f t="shared" si="503"/>
        <v>4973000</v>
      </c>
      <c r="J735" s="16">
        <f>'БА в тыс. руб.'!G735*1000</f>
        <v>5593500</v>
      </c>
      <c r="K735" s="169">
        <f t="shared" si="490"/>
        <v>0</v>
      </c>
      <c r="L735" s="16">
        <f>'БА в тыс. руб.'!H735*1000</f>
        <v>4973000</v>
      </c>
      <c r="M735" s="169">
        <f t="shared" si="491"/>
        <v>0</v>
      </c>
      <c r="N735" s="16">
        <f>'БА в тыс. руб.'!I735*1000</f>
        <v>4973000</v>
      </c>
      <c r="O735" s="169">
        <f t="shared" si="492"/>
        <v>0</v>
      </c>
    </row>
    <row r="736" spans="1:15" s="3" customFormat="1" ht="25.5">
      <c r="A736" s="11" t="s">
        <v>161</v>
      </c>
      <c r="B736" s="25" t="s">
        <v>26</v>
      </c>
      <c r="C736" s="26" t="s">
        <v>50</v>
      </c>
      <c r="D736" s="26" t="s">
        <v>65</v>
      </c>
      <c r="E736" s="26" t="s">
        <v>320</v>
      </c>
      <c r="F736" s="26" t="s">
        <v>58</v>
      </c>
      <c r="G736" s="27">
        <f>G737+G739</f>
        <v>5593500</v>
      </c>
      <c r="H736" s="27">
        <f>H737+H739</f>
        <v>4973000</v>
      </c>
      <c r="I736" s="27">
        <f>I737+I739</f>
        <v>4973000</v>
      </c>
      <c r="J736" s="16">
        <f>'БА в тыс. руб.'!G736*1000</f>
        <v>5593500</v>
      </c>
      <c r="K736" s="169">
        <f t="shared" si="490"/>
        <v>0</v>
      </c>
      <c r="L736" s="16">
        <f>'БА в тыс. руб.'!H736*1000</f>
        <v>4973000</v>
      </c>
      <c r="M736" s="169">
        <f t="shared" si="491"/>
        <v>0</v>
      </c>
      <c r="N736" s="16">
        <f>'БА в тыс. руб.'!I736*1000</f>
        <v>4973000</v>
      </c>
      <c r="O736" s="169">
        <f t="shared" si="492"/>
        <v>0</v>
      </c>
    </row>
    <row r="737" spans="1:15" s="3" customFormat="1">
      <c r="A737" s="13" t="s">
        <v>92</v>
      </c>
      <c r="B737" s="25" t="s">
        <v>26</v>
      </c>
      <c r="C737" s="26" t="s">
        <v>50</v>
      </c>
      <c r="D737" s="26" t="s">
        <v>65</v>
      </c>
      <c r="E737" s="26" t="s">
        <v>320</v>
      </c>
      <c r="F737" s="26" t="s">
        <v>138</v>
      </c>
      <c r="G737" s="27">
        <f>G738</f>
        <v>3642500</v>
      </c>
      <c r="H737" s="27">
        <f t="shared" ref="H737:I737" si="504">H738</f>
        <v>3642500</v>
      </c>
      <c r="I737" s="27">
        <f t="shared" si="504"/>
        <v>3642500</v>
      </c>
      <c r="J737" s="16">
        <f>'БА в тыс. руб.'!G737*1000</f>
        <v>3642500</v>
      </c>
      <c r="K737" s="169">
        <f t="shared" si="490"/>
        <v>0</v>
      </c>
      <c r="L737" s="16">
        <f>'БА в тыс. руб.'!H737*1000</f>
        <v>3642500</v>
      </c>
      <c r="M737" s="169">
        <f t="shared" si="491"/>
        <v>0</v>
      </c>
      <c r="N737" s="16">
        <f>'БА в тыс. руб.'!I737*1000</f>
        <v>3642500</v>
      </c>
      <c r="O737" s="169">
        <f t="shared" si="492"/>
        <v>0</v>
      </c>
    </row>
    <row r="738" spans="1:15" s="4" customFormat="1" ht="38.25">
      <c r="A738" s="12" t="s">
        <v>1015</v>
      </c>
      <c r="B738" s="25" t="s">
        <v>26</v>
      </c>
      <c r="C738" s="26" t="s">
        <v>50</v>
      </c>
      <c r="D738" s="26" t="s">
        <v>65</v>
      </c>
      <c r="E738" s="26" t="s">
        <v>320</v>
      </c>
      <c r="F738" s="26" t="s">
        <v>67</v>
      </c>
      <c r="G738" s="27">
        <f t="shared" ref="G738" si="505">J738</f>
        <v>3642500</v>
      </c>
      <c r="H738" s="27">
        <f>L738</f>
        <v>3642500</v>
      </c>
      <c r="I738" s="27">
        <f>N738</f>
        <v>3642500</v>
      </c>
      <c r="J738" s="16">
        <f>'БА в тыс. руб.'!G738*1000</f>
        <v>3642500</v>
      </c>
      <c r="K738" s="169">
        <f t="shared" si="490"/>
        <v>0</v>
      </c>
      <c r="L738" s="16">
        <f>'БА в тыс. руб.'!H738*1000</f>
        <v>3642500</v>
      </c>
      <c r="M738" s="169">
        <f t="shared" si="491"/>
        <v>0</v>
      </c>
      <c r="N738" s="16">
        <f>'БА в тыс. руб.'!I738*1000</f>
        <v>3642500</v>
      </c>
      <c r="O738" s="169">
        <f t="shared" si="492"/>
        <v>0</v>
      </c>
    </row>
    <row r="739" spans="1:15" s="3" customFormat="1">
      <c r="A739" s="13" t="s">
        <v>93</v>
      </c>
      <c r="B739" s="25" t="s">
        <v>26</v>
      </c>
      <c r="C739" s="26" t="s">
        <v>50</v>
      </c>
      <c r="D739" s="26" t="s">
        <v>65</v>
      </c>
      <c r="E739" s="26" t="s">
        <v>320</v>
      </c>
      <c r="F739" s="26" t="s">
        <v>20</v>
      </c>
      <c r="G739" s="27">
        <f>G740</f>
        <v>1951000</v>
      </c>
      <c r="H739" s="27">
        <f t="shared" ref="H739:I739" si="506">H740</f>
        <v>1330500</v>
      </c>
      <c r="I739" s="27">
        <f t="shared" si="506"/>
        <v>1330500</v>
      </c>
      <c r="J739" s="16">
        <f>'БА в тыс. руб.'!G739*1000</f>
        <v>1951000</v>
      </c>
      <c r="K739" s="169">
        <f t="shared" si="490"/>
        <v>0</v>
      </c>
      <c r="L739" s="16">
        <f>'БА в тыс. руб.'!H739*1000</f>
        <v>1330500</v>
      </c>
      <c r="M739" s="169">
        <f t="shared" si="491"/>
        <v>0</v>
      </c>
      <c r="N739" s="16">
        <f>'БА в тыс. руб.'!I739*1000</f>
        <v>1330500</v>
      </c>
      <c r="O739" s="169">
        <f t="shared" si="492"/>
        <v>0</v>
      </c>
    </row>
    <row r="740" spans="1:15" s="4" customFormat="1" ht="38.25">
      <c r="A740" s="12" t="s">
        <v>1018</v>
      </c>
      <c r="B740" s="25" t="s">
        <v>26</v>
      </c>
      <c r="C740" s="26" t="s">
        <v>50</v>
      </c>
      <c r="D740" s="26" t="s">
        <v>65</v>
      </c>
      <c r="E740" s="26" t="s">
        <v>320</v>
      </c>
      <c r="F740" s="26" t="s">
        <v>16</v>
      </c>
      <c r="G740" s="27">
        <f t="shared" ref="G740" si="507">J740</f>
        <v>1951000</v>
      </c>
      <c r="H740" s="27">
        <f>L740</f>
        <v>1330500</v>
      </c>
      <c r="I740" s="27">
        <f>N740</f>
        <v>1330500</v>
      </c>
      <c r="J740" s="16">
        <f>'БА в тыс. руб.'!G740*1000</f>
        <v>1951000</v>
      </c>
      <c r="K740" s="169">
        <f t="shared" si="490"/>
        <v>0</v>
      </c>
      <c r="L740" s="16">
        <f>'БА в тыс. руб.'!H740*1000</f>
        <v>1330500</v>
      </c>
      <c r="M740" s="169">
        <f t="shared" si="491"/>
        <v>0</v>
      </c>
      <c r="N740" s="16">
        <f>'БА в тыс. руб.'!I740*1000</f>
        <v>1330500</v>
      </c>
      <c r="O740" s="169">
        <f t="shared" si="492"/>
        <v>0</v>
      </c>
    </row>
    <row r="741" spans="1:15" s="3" customFormat="1">
      <c r="A741" s="11" t="s">
        <v>140</v>
      </c>
      <c r="B741" s="25" t="s">
        <v>26</v>
      </c>
      <c r="C741" s="26" t="s">
        <v>50</v>
      </c>
      <c r="D741" s="26" t="s">
        <v>65</v>
      </c>
      <c r="E741" s="26" t="s">
        <v>372</v>
      </c>
      <c r="F741" s="26" t="s">
        <v>58</v>
      </c>
      <c r="G741" s="27">
        <f>G742+G748+G752+G759+G769+G773+G765+G777</f>
        <v>234996620</v>
      </c>
      <c r="H741" s="27">
        <f>H742+H748+H752+H759+H769+H773+H765+H777</f>
        <v>145508290</v>
      </c>
      <c r="I741" s="27">
        <f>I742+I748+I752+I759+I769+I773+I765+I777</f>
        <v>142912330</v>
      </c>
      <c r="J741" s="16">
        <f>'БА в тыс. руб.'!G741*1000</f>
        <v>234996620</v>
      </c>
      <c r="K741" s="169">
        <f t="shared" si="490"/>
        <v>0</v>
      </c>
      <c r="L741" s="16">
        <f>'БА в тыс. руб.'!H741*1000</f>
        <v>145508289.99999997</v>
      </c>
      <c r="M741" s="169">
        <f t="shared" si="491"/>
        <v>0</v>
      </c>
      <c r="N741" s="16">
        <f>'БА в тыс. руб.'!I741*1000</f>
        <v>142912330</v>
      </c>
      <c r="O741" s="169">
        <f t="shared" si="492"/>
        <v>0</v>
      </c>
    </row>
    <row r="742" spans="1:15" s="3" customFormat="1" ht="25.5">
      <c r="A742" s="11" t="s">
        <v>377</v>
      </c>
      <c r="B742" s="25" t="s">
        <v>26</v>
      </c>
      <c r="C742" s="26" t="s">
        <v>50</v>
      </c>
      <c r="D742" s="26" t="s">
        <v>65</v>
      </c>
      <c r="E742" s="26" t="s">
        <v>378</v>
      </c>
      <c r="F742" s="26" t="s">
        <v>58</v>
      </c>
      <c r="G742" s="27">
        <f>G743</f>
        <v>49690560</v>
      </c>
      <c r="H742" s="27">
        <f>H743</f>
        <v>50566200</v>
      </c>
      <c r="I742" s="27">
        <f>I743</f>
        <v>50566200</v>
      </c>
      <c r="J742" s="16">
        <f>'БА в тыс. руб.'!G742*1000</f>
        <v>49690560</v>
      </c>
      <c r="K742" s="169">
        <f t="shared" si="490"/>
        <v>0</v>
      </c>
      <c r="L742" s="16">
        <f>'БА в тыс. руб.'!H742*1000</f>
        <v>50566200</v>
      </c>
      <c r="M742" s="169">
        <f t="shared" si="491"/>
        <v>0</v>
      </c>
      <c r="N742" s="16">
        <f>'БА в тыс. руб.'!I742*1000</f>
        <v>50566200</v>
      </c>
      <c r="O742" s="169">
        <f t="shared" si="492"/>
        <v>0</v>
      </c>
    </row>
    <row r="743" spans="1:15" s="3" customFormat="1" ht="25.5">
      <c r="A743" s="11" t="s">
        <v>247</v>
      </c>
      <c r="B743" s="25" t="s">
        <v>26</v>
      </c>
      <c r="C743" s="26" t="s">
        <v>50</v>
      </c>
      <c r="D743" s="26" t="s">
        <v>65</v>
      </c>
      <c r="E743" s="26" t="s">
        <v>379</v>
      </c>
      <c r="F743" s="26" t="s">
        <v>58</v>
      </c>
      <c r="G743" s="27">
        <f>G744+G746</f>
        <v>49690560</v>
      </c>
      <c r="H743" s="27">
        <f>H744+H746</f>
        <v>50566200</v>
      </c>
      <c r="I743" s="27">
        <f>I744+I746</f>
        <v>50566200</v>
      </c>
      <c r="J743" s="16">
        <f>'БА в тыс. руб.'!G743*1000</f>
        <v>49690560</v>
      </c>
      <c r="K743" s="169">
        <f t="shared" si="490"/>
        <v>0</v>
      </c>
      <c r="L743" s="16">
        <f>'БА в тыс. руб.'!H743*1000</f>
        <v>50566200</v>
      </c>
      <c r="M743" s="169">
        <f t="shared" si="491"/>
        <v>0</v>
      </c>
      <c r="N743" s="16">
        <f>'БА в тыс. руб.'!I743*1000</f>
        <v>50566200</v>
      </c>
      <c r="O743" s="169">
        <f t="shared" si="492"/>
        <v>0</v>
      </c>
    </row>
    <row r="744" spans="1:15" s="3" customFormat="1">
      <c r="A744" s="13" t="s">
        <v>92</v>
      </c>
      <c r="B744" s="25" t="s">
        <v>26</v>
      </c>
      <c r="C744" s="26" t="s">
        <v>50</v>
      </c>
      <c r="D744" s="26" t="s">
        <v>65</v>
      </c>
      <c r="E744" s="26" t="s">
        <v>379</v>
      </c>
      <c r="F744" s="26" t="s">
        <v>138</v>
      </c>
      <c r="G744" s="27">
        <f>G745</f>
        <v>32804000</v>
      </c>
      <c r="H744" s="27">
        <f t="shared" ref="H744:I744" si="508">H745</f>
        <v>32804000</v>
      </c>
      <c r="I744" s="27">
        <f t="shared" si="508"/>
        <v>32804000</v>
      </c>
      <c r="J744" s="16">
        <f>'БА в тыс. руб.'!G744*1000</f>
        <v>32804000</v>
      </c>
      <c r="K744" s="169">
        <f t="shared" si="490"/>
        <v>0</v>
      </c>
      <c r="L744" s="16">
        <f>'БА в тыс. руб.'!H744*1000</f>
        <v>32804000</v>
      </c>
      <c r="M744" s="169">
        <f t="shared" si="491"/>
        <v>0</v>
      </c>
      <c r="N744" s="16">
        <f>'БА в тыс. руб.'!I744*1000</f>
        <v>32804000</v>
      </c>
      <c r="O744" s="169">
        <f t="shared" si="492"/>
        <v>0</v>
      </c>
    </row>
    <row r="745" spans="1:15" s="4" customFormat="1" ht="38.25">
      <c r="A745" s="12" t="s">
        <v>1015</v>
      </c>
      <c r="B745" s="25" t="s">
        <v>26</v>
      </c>
      <c r="C745" s="26" t="s">
        <v>50</v>
      </c>
      <c r="D745" s="26" t="s">
        <v>65</v>
      </c>
      <c r="E745" s="26" t="s">
        <v>379</v>
      </c>
      <c r="F745" s="26" t="s">
        <v>67</v>
      </c>
      <c r="G745" s="27">
        <f t="shared" ref="G745" si="509">J745</f>
        <v>32804000</v>
      </c>
      <c r="H745" s="27">
        <f>L745</f>
        <v>32804000</v>
      </c>
      <c r="I745" s="27">
        <f>N745</f>
        <v>32804000</v>
      </c>
      <c r="J745" s="16">
        <f>'БА в тыс. руб.'!G745*1000</f>
        <v>32804000</v>
      </c>
      <c r="K745" s="169">
        <f t="shared" si="490"/>
        <v>0</v>
      </c>
      <c r="L745" s="16">
        <f>'БА в тыс. руб.'!H745*1000</f>
        <v>32804000</v>
      </c>
      <c r="M745" s="169">
        <f t="shared" si="491"/>
        <v>0</v>
      </c>
      <c r="N745" s="16">
        <f>'БА в тыс. руб.'!I745*1000</f>
        <v>32804000</v>
      </c>
      <c r="O745" s="169">
        <f t="shared" si="492"/>
        <v>0</v>
      </c>
    </row>
    <row r="746" spans="1:15" s="3" customFormat="1">
      <c r="A746" s="13" t="s">
        <v>93</v>
      </c>
      <c r="B746" s="25" t="s">
        <v>26</v>
      </c>
      <c r="C746" s="26" t="s">
        <v>50</v>
      </c>
      <c r="D746" s="26" t="s">
        <v>65</v>
      </c>
      <c r="E746" s="26" t="s">
        <v>379</v>
      </c>
      <c r="F746" s="26" t="s">
        <v>20</v>
      </c>
      <c r="G746" s="27">
        <f>G747</f>
        <v>16886560</v>
      </c>
      <c r="H746" s="27">
        <f t="shared" ref="H746:I746" si="510">H747</f>
        <v>17762200</v>
      </c>
      <c r="I746" s="27">
        <f t="shared" si="510"/>
        <v>17762200</v>
      </c>
      <c r="J746" s="16">
        <f>'БА в тыс. руб.'!G746*1000</f>
        <v>16886560</v>
      </c>
      <c r="K746" s="169">
        <f t="shared" si="490"/>
        <v>0</v>
      </c>
      <c r="L746" s="16">
        <f>'БА в тыс. руб.'!H746*1000</f>
        <v>17762200</v>
      </c>
      <c r="M746" s="169">
        <f t="shared" si="491"/>
        <v>0</v>
      </c>
      <c r="N746" s="16">
        <f>'БА в тыс. руб.'!I746*1000</f>
        <v>17762200</v>
      </c>
      <c r="O746" s="169">
        <f t="shared" si="492"/>
        <v>0</v>
      </c>
    </row>
    <row r="747" spans="1:15" s="4" customFormat="1" ht="38.25">
      <c r="A747" s="12" t="s">
        <v>1018</v>
      </c>
      <c r="B747" s="25" t="s">
        <v>26</v>
      </c>
      <c r="C747" s="26" t="s">
        <v>50</v>
      </c>
      <c r="D747" s="26" t="s">
        <v>65</v>
      </c>
      <c r="E747" s="26" t="s">
        <v>379</v>
      </c>
      <c r="F747" s="26" t="s">
        <v>16</v>
      </c>
      <c r="G747" s="27">
        <f t="shared" ref="G747" si="511">J747</f>
        <v>16886560</v>
      </c>
      <c r="H747" s="27">
        <f>L747</f>
        <v>17762200</v>
      </c>
      <c r="I747" s="27">
        <f>N747</f>
        <v>17762200</v>
      </c>
      <c r="J747" s="16">
        <f>'БА в тыс. руб.'!G747*1000</f>
        <v>16886560</v>
      </c>
      <c r="K747" s="169">
        <f t="shared" si="490"/>
        <v>0</v>
      </c>
      <c r="L747" s="16">
        <f>'БА в тыс. руб.'!H747*1000</f>
        <v>17762200</v>
      </c>
      <c r="M747" s="169">
        <f t="shared" si="491"/>
        <v>0</v>
      </c>
      <c r="N747" s="16">
        <f>'БА в тыс. руб.'!I747*1000</f>
        <v>17762200</v>
      </c>
      <c r="O747" s="169">
        <f t="shared" si="492"/>
        <v>0</v>
      </c>
    </row>
    <row r="748" spans="1:15" s="3" customFormat="1" ht="25.5">
      <c r="A748" s="11" t="s">
        <v>380</v>
      </c>
      <c r="B748" s="25" t="s">
        <v>26</v>
      </c>
      <c r="C748" s="26" t="s">
        <v>50</v>
      </c>
      <c r="D748" s="26" t="s">
        <v>65</v>
      </c>
      <c r="E748" s="26" t="s">
        <v>381</v>
      </c>
      <c r="F748" s="26" t="s">
        <v>58</v>
      </c>
      <c r="G748" s="27">
        <f t="shared" ref="G748:I750" si="512">G749</f>
        <v>3081380</v>
      </c>
      <c r="H748" s="27">
        <f t="shared" si="512"/>
        <v>3102840</v>
      </c>
      <c r="I748" s="27">
        <f t="shared" si="512"/>
        <v>3102840</v>
      </c>
      <c r="J748" s="16">
        <f>'БА в тыс. руб.'!G748*1000</f>
        <v>3081380</v>
      </c>
      <c r="K748" s="169">
        <f t="shared" si="490"/>
        <v>0</v>
      </c>
      <c r="L748" s="16">
        <f>'БА в тыс. руб.'!H748*1000</f>
        <v>3102840</v>
      </c>
      <c r="M748" s="169">
        <f t="shared" si="491"/>
        <v>0</v>
      </c>
      <c r="N748" s="16">
        <f>'БА в тыс. руб.'!I748*1000</f>
        <v>3102840</v>
      </c>
      <c r="O748" s="169">
        <f t="shared" si="492"/>
        <v>0</v>
      </c>
    </row>
    <row r="749" spans="1:15" s="3" customFormat="1" ht="25.5">
      <c r="A749" s="11" t="s">
        <v>247</v>
      </c>
      <c r="B749" s="25" t="s">
        <v>26</v>
      </c>
      <c r="C749" s="26" t="s">
        <v>50</v>
      </c>
      <c r="D749" s="26" t="s">
        <v>65</v>
      </c>
      <c r="E749" s="26" t="s">
        <v>382</v>
      </c>
      <c r="F749" s="26" t="s">
        <v>58</v>
      </c>
      <c r="G749" s="27">
        <f t="shared" si="512"/>
        <v>3081380</v>
      </c>
      <c r="H749" s="27">
        <f t="shared" si="512"/>
        <v>3102840</v>
      </c>
      <c r="I749" s="27">
        <f t="shared" si="512"/>
        <v>3102840</v>
      </c>
      <c r="J749" s="16">
        <f>'БА в тыс. руб.'!G749*1000</f>
        <v>3081380</v>
      </c>
      <c r="K749" s="169">
        <f t="shared" si="490"/>
        <v>0</v>
      </c>
      <c r="L749" s="16">
        <f>'БА в тыс. руб.'!H749*1000</f>
        <v>3102840</v>
      </c>
      <c r="M749" s="169">
        <f t="shared" si="491"/>
        <v>0</v>
      </c>
      <c r="N749" s="16">
        <f>'БА в тыс. руб.'!I749*1000</f>
        <v>3102840</v>
      </c>
      <c r="O749" s="169">
        <f t="shared" si="492"/>
        <v>0</v>
      </c>
    </row>
    <row r="750" spans="1:15" s="3" customFormat="1">
      <c r="A750" s="13" t="s">
        <v>92</v>
      </c>
      <c r="B750" s="25" t="s">
        <v>26</v>
      </c>
      <c r="C750" s="26" t="s">
        <v>50</v>
      </c>
      <c r="D750" s="26" t="s">
        <v>65</v>
      </c>
      <c r="E750" s="26" t="s">
        <v>382</v>
      </c>
      <c r="F750" s="26" t="s">
        <v>138</v>
      </c>
      <c r="G750" s="27">
        <f>G751</f>
        <v>3081380</v>
      </c>
      <c r="H750" s="27">
        <f t="shared" si="512"/>
        <v>3102840</v>
      </c>
      <c r="I750" s="27">
        <f t="shared" si="512"/>
        <v>3102840</v>
      </c>
      <c r="J750" s="16">
        <f>'БА в тыс. руб.'!G750*1000</f>
        <v>3081380</v>
      </c>
      <c r="K750" s="169">
        <f t="shared" si="490"/>
        <v>0</v>
      </c>
      <c r="L750" s="16">
        <f>'БА в тыс. руб.'!H750*1000</f>
        <v>3102840</v>
      </c>
      <c r="M750" s="169">
        <f t="shared" si="491"/>
        <v>0</v>
      </c>
      <c r="N750" s="16">
        <f>'БА в тыс. руб.'!I750*1000</f>
        <v>3102840</v>
      </c>
      <c r="O750" s="169">
        <f t="shared" si="492"/>
        <v>0</v>
      </c>
    </row>
    <row r="751" spans="1:15" s="4" customFormat="1" ht="38.25">
      <c r="A751" s="12" t="s">
        <v>1015</v>
      </c>
      <c r="B751" s="25" t="s">
        <v>26</v>
      </c>
      <c r="C751" s="26" t="s">
        <v>50</v>
      </c>
      <c r="D751" s="26" t="s">
        <v>65</v>
      </c>
      <c r="E751" s="26" t="s">
        <v>382</v>
      </c>
      <c r="F751" s="26" t="s">
        <v>67</v>
      </c>
      <c r="G751" s="27">
        <f t="shared" ref="G751" si="513">J751</f>
        <v>3081380</v>
      </c>
      <c r="H751" s="27">
        <f>L751</f>
        <v>3102840</v>
      </c>
      <c r="I751" s="27">
        <f>N751</f>
        <v>3102840</v>
      </c>
      <c r="J751" s="16">
        <f>'БА в тыс. руб.'!G751*1000</f>
        <v>3081380</v>
      </c>
      <c r="K751" s="169">
        <f t="shared" si="490"/>
        <v>0</v>
      </c>
      <c r="L751" s="16">
        <f>'БА в тыс. руб.'!H751*1000</f>
        <v>3102840</v>
      </c>
      <c r="M751" s="169">
        <f t="shared" si="491"/>
        <v>0</v>
      </c>
      <c r="N751" s="16">
        <f>'БА в тыс. руб.'!I751*1000</f>
        <v>3102840</v>
      </c>
      <c r="O751" s="169">
        <f t="shared" si="492"/>
        <v>0</v>
      </c>
    </row>
    <row r="752" spans="1:15" s="3" customFormat="1" ht="38.25">
      <c r="A752" s="11" t="s">
        <v>383</v>
      </c>
      <c r="B752" s="25" t="s">
        <v>26</v>
      </c>
      <c r="C752" s="26" t="s">
        <v>50</v>
      </c>
      <c r="D752" s="26" t="s">
        <v>65</v>
      </c>
      <c r="E752" s="26" t="s">
        <v>384</v>
      </c>
      <c r="F752" s="26" t="s">
        <v>58</v>
      </c>
      <c r="G752" s="27">
        <f>G753+G756</f>
        <v>39368700</v>
      </c>
      <c r="H752" s="27">
        <f>H753+H756</f>
        <v>39490990</v>
      </c>
      <c r="I752" s="27">
        <f>I753+I756</f>
        <v>39490990</v>
      </c>
      <c r="J752" s="16">
        <f>'БА в тыс. руб.'!G752*1000</f>
        <v>39368700</v>
      </c>
      <c r="K752" s="169">
        <f t="shared" si="490"/>
        <v>0</v>
      </c>
      <c r="L752" s="16">
        <f>'БА в тыс. руб.'!H752*1000</f>
        <v>39490990</v>
      </c>
      <c r="M752" s="169">
        <f t="shared" si="491"/>
        <v>0</v>
      </c>
      <c r="N752" s="16">
        <f>'БА в тыс. руб.'!I752*1000</f>
        <v>39490990</v>
      </c>
      <c r="O752" s="169">
        <f t="shared" si="492"/>
        <v>0</v>
      </c>
    </row>
    <row r="753" spans="1:15" s="3" customFormat="1" ht="25.5">
      <c r="A753" s="11" t="s">
        <v>247</v>
      </c>
      <c r="B753" s="25" t="s">
        <v>26</v>
      </c>
      <c r="C753" s="26" t="s">
        <v>50</v>
      </c>
      <c r="D753" s="26" t="s">
        <v>65</v>
      </c>
      <c r="E753" s="26" t="s">
        <v>385</v>
      </c>
      <c r="F753" s="26" t="s">
        <v>58</v>
      </c>
      <c r="G753" s="27">
        <f>G754</f>
        <v>38768700</v>
      </c>
      <c r="H753" s="27">
        <f>H754</f>
        <v>38890990</v>
      </c>
      <c r="I753" s="27">
        <f>I754</f>
        <v>38890990</v>
      </c>
      <c r="J753" s="16">
        <f>'БА в тыс. руб.'!G753*1000</f>
        <v>38768700</v>
      </c>
      <c r="K753" s="169">
        <f t="shared" si="490"/>
        <v>0</v>
      </c>
      <c r="L753" s="16">
        <f>'БА в тыс. руб.'!H753*1000</f>
        <v>38890990</v>
      </c>
      <c r="M753" s="169">
        <f t="shared" si="491"/>
        <v>0</v>
      </c>
      <c r="N753" s="16">
        <f>'БА в тыс. руб.'!I753*1000</f>
        <v>38890990</v>
      </c>
      <c r="O753" s="169">
        <f t="shared" si="492"/>
        <v>0</v>
      </c>
    </row>
    <row r="754" spans="1:15" s="3" customFormat="1">
      <c r="A754" s="13" t="s">
        <v>92</v>
      </c>
      <c r="B754" s="25" t="s">
        <v>26</v>
      </c>
      <c r="C754" s="26" t="s">
        <v>50</v>
      </c>
      <c r="D754" s="26" t="s">
        <v>65</v>
      </c>
      <c r="E754" s="26" t="s">
        <v>385</v>
      </c>
      <c r="F754" s="26" t="s">
        <v>138</v>
      </c>
      <c r="G754" s="27">
        <f>G755</f>
        <v>38768700</v>
      </c>
      <c r="H754" s="27">
        <f t="shared" ref="H754:I754" si="514">H755</f>
        <v>38890990</v>
      </c>
      <c r="I754" s="27">
        <f t="shared" si="514"/>
        <v>38890990</v>
      </c>
      <c r="J754" s="16">
        <f>'БА в тыс. руб.'!G754*1000</f>
        <v>38768700</v>
      </c>
      <c r="K754" s="169">
        <f t="shared" si="490"/>
        <v>0</v>
      </c>
      <c r="L754" s="16">
        <f>'БА в тыс. руб.'!H754*1000</f>
        <v>38890990</v>
      </c>
      <c r="M754" s="169">
        <f t="shared" si="491"/>
        <v>0</v>
      </c>
      <c r="N754" s="16">
        <f>'БА в тыс. руб.'!I754*1000</f>
        <v>38890990</v>
      </c>
      <c r="O754" s="169">
        <f t="shared" si="492"/>
        <v>0</v>
      </c>
    </row>
    <row r="755" spans="1:15" s="4" customFormat="1" ht="38.25">
      <c r="A755" s="12" t="s">
        <v>1015</v>
      </c>
      <c r="B755" s="25" t="s">
        <v>26</v>
      </c>
      <c r="C755" s="26" t="s">
        <v>50</v>
      </c>
      <c r="D755" s="26" t="s">
        <v>65</v>
      </c>
      <c r="E755" s="26" t="s">
        <v>385</v>
      </c>
      <c r="F755" s="26" t="s">
        <v>67</v>
      </c>
      <c r="G755" s="27">
        <f t="shared" ref="G755" si="515">J755</f>
        <v>38768700</v>
      </c>
      <c r="H755" s="27">
        <f>L755</f>
        <v>38890990</v>
      </c>
      <c r="I755" s="27">
        <f>N755</f>
        <v>38890990</v>
      </c>
      <c r="J755" s="16">
        <f>'БА в тыс. руб.'!G755*1000</f>
        <v>38768700</v>
      </c>
      <c r="K755" s="169">
        <f t="shared" si="490"/>
        <v>0</v>
      </c>
      <c r="L755" s="16">
        <f>'БА в тыс. руб.'!H755*1000</f>
        <v>38890990</v>
      </c>
      <c r="M755" s="169">
        <f t="shared" si="491"/>
        <v>0</v>
      </c>
      <c r="N755" s="16">
        <f>'БА в тыс. руб.'!I755*1000</f>
        <v>38890990</v>
      </c>
      <c r="O755" s="169">
        <f t="shared" si="492"/>
        <v>0</v>
      </c>
    </row>
    <row r="756" spans="1:15" s="3" customFormat="1" ht="25.5">
      <c r="A756" s="13" t="s">
        <v>919</v>
      </c>
      <c r="B756" s="25" t="s">
        <v>26</v>
      </c>
      <c r="C756" s="26" t="s">
        <v>50</v>
      </c>
      <c r="D756" s="26" t="s">
        <v>65</v>
      </c>
      <c r="E756" s="26" t="s">
        <v>918</v>
      </c>
      <c r="F756" s="26" t="s">
        <v>58</v>
      </c>
      <c r="G756" s="27">
        <f>G757</f>
        <v>600000</v>
      </c>
      <c r="H756" s="27">
        <f t="shared" ref="H756:I757" si="516">H757</f>
        <v>600000</v>
      </c>
      <c r="I756" s="27">
        <f t="shared" si="516"/>
        <v>600000</v>
      </c>
      <c r="J756" s="16">
        <f>'БА в тыс. руб.'!G756*1000</f>
        <v>600000</v>
      </c>
      <c r="K756" s="169">
        <f t="shared" si="490"/>
        <v>0</v>
      </c>
      <c r="L756" s="16">
        <f>'БА в тыс. руб.'!H756*1000</f>
        <v>600000</v>
      </c>
      <c r="M756" s="169">
        <f t="shared" si="491"/>
        <v>0</v>
      </c>
      <c r="N756" s="16">
        <f>'БА в тыс. руб.'!I756*1000</f>
        <v>600000</v>
      </c>
      <c r="O756" s="169">
        <f t="shared" si="492"/>
        <v>0</v>
      </c>
    </row>
    <row r="757" spans="1:15" s="3" customFormat="1">
      <c r="A757" s="13" t="s">
        <v>92</v>
      </c>
      <c r="B757" s="25" t="s">
        <v>26</v>
      </c>
      <c r="C757" s="26" t="s">
        <v>50</v>
      </c>
      <c r="D757" s="26" t="s">
        <v>65</v>
      </c>
      <c r="E757" s="26" t="s">
        <v>918</v>
      </c>
      <c r="F757" s="26" t="s">
        <v>138</v>
      </c>
      <c r="G757" s="27">
        <f>G758</f>
        <v>600000</v>
      </c>
      <c r="H757" s="27">
        <f t="shared" si="516"/>
        <v>600000</v>
      </c>
      <c r="I757" s="27">
        <f t="shared" si="516"/>
        <v>600000</v>
      </c>
      <c r="J757" s="16">
        <f>'БА в тыс. руб.'!G757*1000</f>
        <v>600000</v>
      </c>
      <c r="K757" s="169">
        <f t="shared" si="490"/>
        <v>0</v>
      </c>
      <c r="L757" s="16">
        <f>'БА в тыс. руб.'!H757*1000</f>
        <v>600000</v>
      </c>
      <c r="M757" s="169">
        <f t="shared" si="491"/>
        <v>0</v>
      </c>
      <c r="N757" s="16">
        <f>'БА в тыс. руб.'!I757*1000</f>
        <v>600000</v>
      </c>
      <c r="O757" s="169">
        <f t="shared" si="492"/>
        <v>0</v>
      </c>
    </row>
    <row r="758" spans="1:15" s="4" customFormat="1" ht="38.25">
      <c r="A758" s="12" t="s">
        <v>1015</v>
      </c>
      <c r="B758" s="25" t="s">
        <v>26</v>
      </c>
      <c r="C758" s="26" t="s">
        <v>50</v>
      </c>
      <c r="D758" s="26" t="s">
        <v>65</v>
      </c>
      <c r="E758" s="26" t="s">
        <v>918</v>
      </c>
      <c r="F758" s="26" t="s">
        <v>67</v>
      </c>
      <c r="G758" s="27">
        <f t="shared" ref="G758" si="517">J758</f>
        <v>600000</v>
      </c>
      <c r="H758" s="27">
        <f>L758</f>
        <v>600000</v>
      </c>
      <c r="I758" s="27">
        <f>N758</f>
        <v>600000</v>
      </c>
      <c r="J758" s="16">
        <f>'БА в тыс. руб.'!G758*1000</f>
        <v>600000</v>
      </c>
      <c r="K758" s="169">
        <f t="shared" si="490"/>
        <v>0</v>
      </c>
      <c r="L758" s="16">
        <f>'БА в тыс. руб.'!H758*1000</f>
        <v>600000</v>
      </c>
      <c r="M758" s="169">
        <f t="shared" si="491"/>
        <v>0</v>
      </c>
      <c r="N758" s="16">
        <f>'БА в тыс. руб.'!I758*1000</f>
        <v>600000</v>
      </c>
      <c r="O758" s="169">
        <f t="shared" si="492"/>
        <v>0</v>
      </c>
    </row>
    <row r="759" spans="1:15" s="3" customFormat="1" ht="38.25">
      <c r="A759" s="11" t="s">
        <v>386</v>
      </c>
      <c r="B759" s="25" t="s">
        <v>26</v>
      </c>
      <c r="C759" s="26" t="s">
        <v>50</v>
      </c>
      <c r="D759" s="26" t="s">
        <v>65</v>
      </c>
      <c r="E759" s="26" t="s">
        <v>387</v>
      </c>
      <c r="F759" s="26" t="s">
        <v>58</v>
      </c>
      <c r="G759" s="27">
        <f>G760</f>
        <v>48765980</v>
      </c>
      <c r="H759" s="27">
        <f>H760</f>
        <v>48784700</v>
      </c>
      <c r="I759" s="27">
        <f>I760</f>
        <v>48784700</v>
      </c>
      <c r="J759" s="16">
        <f>'БА в тыс. руб.'!G759*1000</f>
        <v>48765979.999999993</v>
      </c>
      <c r="K759" s="169">
        <f t="shared" si="490"/>
        <v>0</v>
      </c>
      <c r="L759" s="16">
        <f>'БА в тыс. руб.'!H759*1000</f>
        <v>48784700</v>
      </c>
      <c r="M759" s="169">
        <f t="shared" si="491"/>
        <v>0</v>
      </c>
      <c r="N759" s="16">
        <f>'БА в тыс. руб.'!I759*1000</f>
        <v>48784700</v>
      </c>
      <c r="O759" s="169">
        <f t="shared" si="492"/>
        <v>0</v>
      </c>
    </row>
    <row r="760" spans="1:15" s="3" customFormat="1" ht="25.5">
      <c r="A760" s="11" t="s">
        <v>247</v>
      </c>
      <c r="B760" s="25" t="s">
        <v>26</v>
      </c>
      <c r="C760" s="26" t="s">
        <v>50</v>
      </c>
      <c r="D760" s="26" t="s">
        <v>65</v>
      </c>
      <c r="E760" s="26" t="s">
        <v>388</v>
      </c>
      <c r="F760" s="26" t="s">
        <v>58</v>
      </c>
      <c r="G760" s="27">
        <f>G761+G763</f>
        <v>48765980</v>
      </c>
      <c r="H760" s="27">
        <f t="shared" ref="H760:I760" si="518">H761+H763</f>
        <v>48784700</v>
      </c>
      <c r="I760" s="27">
        <f t="shared" si="518"/>
        <v>48784700</v>
      </c>
      <c r="J760" s="16">
        <f>'БА в тыс. руб.'!G760*1000</f>
        <v>48765979.999999993</v>
      </c>
      <c r="K760" s="169">
        <f t="shared" si="490"/>
        <v>0</v>
      </c>
      <c r="L760" s="16">
        <f>'БА в тыс. руб.'!H760*1000</f>
        <v>48784700</v>
      </c>
      <c r="M760" s="169">
        <f t="shared" si="491"/>
        <v>0</v>
      </c>
      <c r="N760" s="16">
        <f>'БА в тыс. руб.'!I760*1000</f>
        <v>48784700</v>
      </c>
      <c r="O760" s="169">
        <f t="shared" si="492"/>
        <v>0</v>
      </c>
    </row>
    <row r="761" spans="1:15" s="3" customFormat="1">
      <c r="A761" s="13" t="s">
        <v>92</v>
      </c>
      <c r="B761" s="25" t="s">
        <v>26</v>
      </c>
      <c r="C761" s="26" t="s">
        <v>50</v>
      </c>
      <c r="D761" s="26" t="s">
        <v>65</v>
      </c>
      <c r="E761" s="26" t="s">
        <v>388</v>
      </c>
      <c r="F761" s="26" t="s">
        <v>138</v>
      </c>
      <c r="G761" s="27">
        <f>G762</f>
        <v>40597320</v>
      </c>
      <c r="H761" s="27">
        <f t="shared" ref="H761:I761" si="519">H762</f>
        <v>40616040</v>
      </c>
      <c r="I761" s="27">
        <f t="shared" si="519"/>
        <v>40616040</v>
      </c>
      <c r="J761" s="16">
        <f>'БА в тыс. руб.'!G761*1000</f>
        <v>40597320</v>
      </c>
      <c r="K761" s="169">
        <f t="shared" si="490"/>
        <v>0</v>
      </c>
      <c r="L761" s="16">
        <f>'БА в тыс. руб.'!H761*1000</f>
        <v>40616040</v>
      </c>
      <c r="M761" s="169">
        <f t="shared" si="491"/>
        <v>0</v>
      </c>
      <c r="N761" s="16">
        <f>'БА в тыс. руб.'!I761*1000</f>
        <v>40616040</v>
      </c>
      <c r="O761" s="169">
        <f t="shared" si="492"/>
        <v>0</v>
      </c>
    </row>
    <row r="762" spans="1:15" s="4" customFormat="1" ht="38.25">
      <c r="A762" s="12" t="s">
        <v>1015</v>
      </c>
      <c r="B762" s="25" t="s">
        <v>26</v>
      </c>
      <c r="C762" s="26" t="s">
        <v>50</v>
      </c>
      <c r="D762" s="26" t="s">
        <v>65</v>
      </c>
      <c r="E762" s="26" t="s">
        <v>388</v>
      </c>
      <c r="F762" s="26" t="s">
        <v>67</v>
      </c>
      <c r="G762" s="27">
        <f t="shared" ref="G762" si="520">J762</f>
        <v>40597320</v>
      </c>
      <c r="H762" s="27">
        <f>L762</f>
        <v>40616040</v>
      </c>
      <c r="I762" s="27">
        <f>N762</f>
        <v>40616040</v>
      </c>
      <c r="J762" s="16">
        <f>'БА в тыс. руб.'!G762*1000</f>
        <v>40597320</v>
      </c>
      <c r="K762" s="169">
        <f t="shared" si="490"/>
        <v>0</v>
      </c>
      <c r="L762" s="16">
        <f>'БА в тыс. руб.'!H762*1000</f>
        <v>40616040</v>
      </c>
      <c r="M762" s="169">
        <f t="shared" si="491"/>
        <v>0</v>
      </c>
      <c r="N762" s="16">
        <f>'БА в тыс. руб.'!I762*1000</f>
        <v>40616040</v>
      </c>
      <c r="O762" s="169">
        <f t="shared" si="492"/>
        <v>0</v>
      </c>
    </row>
    <row r="763" spans="1:15" s="3" customFormat="1">
      <c r="A763" s="13" t="s">
        <v>93</v>
      </c>
      <c r="B763" s="25" t="s">
        <v>26</v>
      </c>
      <c r="C763" s="26" t="s">
        <v>50</v>
      </c>
      <c r="D763" s="26" t="s">
        <v>65</v>
      </c>
      <c r="E763" s="26" t="s">
        <v>388</v>
      </c>
      <c r="F763" s="26" t="s">
        <v>20</v>
      </c>
      <c r="G763" s="27">
        <f>G764</f>
        <v>8168660</v>
      </c>
      <c r="H763" s="27">
        <f t="shared" ref="H763:I763" si="521">H764</f>
        <v>8168660</v>
      </c>
      <c r="I763" s="27">
        <f t="shared" si="521"/>
        <v>8168660</v>
      </c>
      <c r="J763" s="16">
        <f>'БА в тыс. руб.'!G763*1000</f>
        <v>8168660</v>
      </c>
      <c r="K763" s="169">
        <f t="shared" si="490"/>
        <v>0</v>
      </c>
      <c r="L763" s="16">
        <f>'БА в тыс. руб.'!H763*1000</f>
        <v>8168660</v>
      </c>
      <c r="M763" s="169">
        <f t="shared" si="491"/>
        <v>0</v>
      </c>
      <c r="N763" s="16">
        <f>'БА в тыс. руб.'!I763*1000</f>
        <v>8168660</v>
      </c>
      <c r="O763" s="169">
        <f t="shared" si="492"/>
        <v>0</v>
      </c>
    </row>
    <row r="764" spans="1:15" s="4" customFormat="1" ht="38.25">
      <c r="A764" s="12" t="s">
        <v>1018</v>
      </c>
      <c r="B764" s="25" t="s">
        <v>26</v>
      </c>
      <c r="C764" s="26" t="s">
        <v>50</v>
      </c>
      <c r="D764" s="26" t="s">
        <v>65</v>
      </c>
      <c r="E764" s="26" t="s">
        <v>388</v>
      </c>
      <c r="F764" s="26" t="s">
        <v>16</v>
      </c>
      <c r="G764" s="27">
        <f t="shared" ref="G764" si="522">J764</f>
        <v>8168660</v>
      </c>
      <c r="H764" s="27">
        <f>L764</f>
        <v>8168660</v>
      </c>
      <c r="I764" s="27">
        <f>N764</f>
        <v>8168660</v>
      </c>
      <c r="J764" s="16">
        <f>'БА в тыс. руб.'!G764*1000</f>
        <v>8168660</v>
      </c>
      <c r="K764" s="169">
        <f t="shared" si="490"/>
        <v>0</v>
      </c>
      <c r="L764" s="16">
        <f>'БА в тыс. руб.'!H764*1000</f>
        <v>8168660</v>
      </c>
      <c r="M764" s="169">
        <f t="shared" si="491"/>
        <v>0</v>
      </c>
      <c r="N764" s="16">
        <f>'БА в тыс. руб.'!I764*1000</f>
        <v>8168660</v>
      </c>
      <c r="O764" s="169">
        <f t="shared" si="492"/>
        <v>0</v>
      </c>
    </row>
    <row r="765" spans="1:15" s="3" customFormat="1" ht="38.25">
      <c r="A765" s="11" t="s">
        <v>621</v>
      </c>
      <c r="B765" s="25" t="s">
        <v>26</v>
      </c>
      <c r="C765" s="26" t="s">
        <v>50</v>
      </c>
      <c r="D765" s="26" t="s">
        <v>65</v>
      </c>
      <c r="E765" s="26" t="s">
        <v>375</v>
      </c>
      <c r="F765" s="26" t="s">
        <v>58</v>
      </c>
      <c r="G765" s="27">
        <f t="shared" ref="G765:I767" si="523">G766</f>
        <v>0</v>
      </c>
      <c r="H765" s="27">
        <f t="shared" si="523"/>
        <v>2595960</v>
      </c>
      <c r="I765" s="27">
        <f t="shared" si="523"/>
        <v>0</v>
      </c>
      <c r="J765" s="16">
        <f>'БА в тыс. руб.'!G765*1000</f>
        <v>0</v>
      </c>
      <c r="K765" s="169">
        <f t="shared" si="490"/>
        <v>0</v>
      </c>
      <c r="L765" s="16">
        <f>'БА в тыс. руб.'!H765*1000</f>
        <v>2595960</v>
      </c>
      <c r="M765" s="169">
        <f t="shared" si="491"/>
        <v>0</v>
      </c>
      <c r="N765" s="16">
        <f>'БА в тыс. руб.'!I765*1000</f>
        <v>0</v>
      </c>
      <c r="O765" s="169">
        <f t="shared" si="492"/>
        <v>0</v>
      </c>
    </row>
    <row r="766" spans="1:15" s="3" customFormat="1" ht="25.5">
      <c r="A766" s="11" t="s">
        <v>162</v>
      </c>
      <c r="B766" s="25" t="s">
        <v>26</v>
      </c>
      <c r="C766" s="26" t="s">
        <v>50</v>
      </c>
      <c r="D766" s="26" t="s">
        <v>65</v>
      </c>
      <c r="E766" s="26" t="s">
        <v>376</v>
      </c>
      <c r="F766" s="26" t="s">
        <v>58</v>
      </c>
      <c r="G766" s="27">
        <f t="shared" si="523"/>
        <v>0</v>
      </c>
      <c r="H766" s="27">
        <f t="shared" si="523"/>
        <v>2595960</v>
      </c>
      <c r="I766" s="27">
        <f t="shared" si="523"/>
        <v>0</v>
      </c>
      <c r="J766" s="16">
        <f>'БА в тыс. руб.'!G766*1000</f>
        <v>0</v>
      </c>
      <c r="K766" s="169">
        <f t="shared" si="490"/>
        <v>0</v>
      </c>
      <c r="L766" s="16">
        <f>'БА в тыс. руб.'!H766*1000</f>
        <v>2595960</v>
      </c>
      <c r="M766" s="169">
        <f t="shared" si="491"/>
        <v>0</v>
      </c>
      <c r="N766" s="16">
        <f>'БА в тыс. руб.'!I766*1000</f>
        <v>0</v>
      </c>
      <c r="O766" s="169">
        <f t="shared" si="492"/>
        <v>0</v>
      </c>
    </row>
    <row r="767" spans="1:15" s="3" customFormat="1">
      <c r="A767" s="13" t="s">
        <v>92</v>
      </c>
      <c r="B767" s="25" t="s">
        <v>26</v>
      </c>
      <c r="C767" s="26" t="s">
        <v>50</v>
      </c>
      <c r="D767" s="26" t="s">
        <v>65</v>
      </c>
      <c r="E767" s="26" t="s">
        <v>376</v>
      </c>
      <c r="F767" s="26" t="s">
        <v>138</v>
      </c>
      <c r="G767" s="27">
        <f>G768</f>
        <v>0</v>
      </c>
      <c r="H767" s="27">
        <f t="shared" si="523"/>
        <v>2595960</v>
      </c>
      <c r="I767" s="27">
        <f t="shared" si="523"/>
        <v>0</v>
      </c>
      <c r="J767" s="16">
        <f>'БА в тыс. руб.'!G767*1000</f>
        <v>0</v>
      </c>
      <c r="K767" s="169">
        <f t="shared" si="490"/>
        <v>0</v>
      </c>
      <c r="L767" s="16">
        <f>'БА в тыс. руб.'!H767*1000</f>
        <v>2595960</v>
      </c>
      <c r="M767" s="169">
        <f t="shared" si="491"/>
        <v>0</v>
      </c>
      <c r="N767" s="16">
        <f>'БА в тыс. руб.'!I767*1000</f>
        <v>0</v>
      </c>
      <c r="O767" s="169">
        <f t="shared" si="492"/>
        <v>0</v>
      </c>
    </row>
    <row r="768" spans="1:15" s="4" customFormat="1">
      <c r="A768" s="12" t="s">
        <v>1016</v>
      </c>
      <c r="B768" s="25" t="s">
        <v>26</v>
      </c>
      <c r="C768" s="26" t="s">
        <v>50</v>
      </c>
      <c r="D768" s="26" t="s">
        <v>65</v>
      </c>
      <c r="E768" s="26" t="s">
        <v>376</v>
      </c>
      <c r="F768" s="26" t="s">
        <v>1046</v>
      </c>
      <c r="G768" s="27">
        <f t="shared" ref="G768" si="524">J768</f>
        <v>0</v>
      </c>
      <c r="H768" s="27">
        <f>L768</f>
        <v>2595960</v>
      </c>
      <c r="I768" s="27">
        <f>N768</f>
        <v>0</v>
      </c>
      <c r="J768" s="16">
        <f>'БА в тыс. руб.'!G768*1000</f>
        <v>0</v>
      </c>
      <c r="K768" s="169">
        <f t="shared" si="490"/>
        <v>0</v>
      </c>
      <c r="L768" s="16">
        <f>'БА в тыс. руб.'!H768*1000</f>
        <v>2595960</v>
      </c>
      <c r="M768" s="169">
        <f t="shared" si="491"/>
        <v>0</v>
      </c>
      <c r="N768" s="16">
        <f>'БА в тыс. руб.'!I768*1000</f>
        <v>0</v>
      </c>
      <c r="O768" s="169">
        <f t="shared" si="492"/>
        <v>0</v>
      </c>
    </row>
    <row r="769" spans="1:15" s="3" customFormat="1" ht="89.25">
      <c r="A769" s="13" t="s">
        <v>850</v>
      </c>
      <c r="B769" s="25" t="s">
        <v>26</v>
      </c>
      <c r="C769" s="26" t="s">
        <v>50</v>
      </c>
      <c r="D769" s="26" t="s">
        <v>65</v>
      </c>
      <c r="E769" s="26" t="s">
        <v>622</v>
      </c>
      <c r="F769" s="26" t="s">
        <v>58</v>
      </c>
      <c r="G769" s="27">
        <f t="shared" ref="G769:I771" si="525">G770</f>
        <v>150000</v>
      </c>
      <c r="H769" s="27">
        <f t="shared" si="525"/>
        <v>150000</v>
      </c>
      <c r="I769" s="27">
        <f t="shared" si="525"/>
        <v>150000</v>
      </c>
      <c r="J769" s="16">
        <f>'БА в тыс. руб.'!G769*1000</f>
        <v>150000</v>
      </c>
      <c r="K769" s="169">
        <f t="shared" si="490"/>
        <v>0</v>
      </c>
      <c r="L769" s="16">
        <f>'БА в тыс. руб.'!H769*1000</f>
        <v>150000</v>
      </c>
      <c r="M769" s="169">
        <f t="shared" si="491"/>
        <v>0</v>
      </c>
      <c r="N769" s="16">
        <f>'БА в тыс. руб.'!I769*1000</f>
        <v>150000</v>
      </c>
      <c r="O769" s="169">
        <f t="shared" si="492"/>
        <v>0</v>
      </c>
    </row>
    <row r="770" spans="1:15" s="3" customFormat="1" ht="76.5">
      <c r="A770" s="11" t="s">
        <v>853</v>
      </c>
      <c r="B770" s="25" t="s">
        <v>26</v>
      </c>
      <c r="C770" s="26" t="s">
        <v>50</v>
      </c>
      <c r="D770" s="26" t="s">
        <v>65</v>
      </c>
      <c r="E770" s="26" t="s">
        <v>623</v>
      </c>
      <c r="F770" s="26" t="s">
        <v>58</v>
      </c>
      <c r="G770" s="27">
        <f t="shared" si="525"/>
        <v>150000</v>
      </c>
      <c r="H770" s="27">
        <f t="shared" si="525"/>
        <v>150000</v>
      </c>
      <c r="I770" s="27">
        <f t="shared" si="525"/>
        <v>150000</v>
      </c>
      <c r="J770" s="16">
        <f>'БА в тыс. руб.'!G770*1000</f>
        <v>150000</v>
      </c>
      <c r="K770" s="169">
        <f t="shared" si="490"/>
        <v>0</v>
      </c>
      <c r="L770" s="16">
        <f>'БА в тыс. руб.'!H770*1000</f>
        <v>150000</v>
      </c>
      <c r="M770" s="169">
        <f t="shared" si="491"/>
        <v>0</v>
      </c>
      <c r="N770" s="16">
        <f>'БА в тыс. руб.'!I770*1000</f>
        <v>150000</v>
      </c>
      <c r="O770" s="169">
        <f t="shared" si="492"/>
        <v>0</v>
      </c>
    </row>
    <row r="771" spans="1:15" s="3" customFormat="1">
      <c r="A771" s="13" t="s">
        <v>92</v>
      </c>
      <c r="B771" s="25" t="s">
        <v>26</v>
      </c>
      <c r="C771" s="26" t="s">
        <v>50</v>
      </c>
      <c r="D771" s="26" t="s">
        <v>65</v>
      </c>
      <c r="E771" s="26" t="s">
        <v>623</v>
      </c>
      <c r="F771" s="26" t="s">
        <v>138</v>
      </c>
      <c r="G771" s="27">
        <f>G772</f>
        <v>150000</v>
      </c>
      <c r="H771" s="27">
        <f t="shared" si="525"/>
        <v>150000</v>
      </c>
      <c r="I771" s="27">
        <f t="shared" si="525"/>
        <v>150000</v>
      </c>
      <c r="J771" s="16">
        <f>'БА в тыс. руб.'!G771*1000</f>
        <v>150000</v>
      </c>
      <c r="K771" s="169">
        <f t="shared" si="490"/>
        <v>0</v>
      </c>
      <c r="L771" s="16">
        <f>'БА в тыс. руб.'!H771*1000</f>
        <v>150000</v>
      </c>
      <c r="M771" s="169">
        <f t="shared" si="491"/>
        <v>0</v>
      </c>
      <c r="N771" s="16">
        <f>'БА в тыс. руб.'!I771*1000</f>
        <v>150000</v>
      </c>
      <c r="O771" s="169">
        <f t="shared" si="492"/>
        <v>0</v>
      </c>
    </row>
    <row r="772" spans="1:15" s="4" customFormat="1">
      <c r="A772" s="12" t="s">
        <v>1016</v>
      </c>
      <c r="B772" s="25" t="s">
        <v>26</v>
      </c>
      <c r="C772" s="26" t="s">
        <v>50</v>
      </c>
      <c r="D772" s="26" t="s">
        <v>65</v>
      </c>
      <c r="E772" s="26" t="s">
        <v>623</v>
      </c>
      <c r="F772" s="26" t="s">
        <v>1046</v>
      </c>
      <c r="G772" s="27">
        <f t="shared" ref="G772" si="526">J772</f>
        <v>150000</v>
      </c>
      <c r="H772" s="27">
        <f>L772</f>
        <v>150000</v>
      </c>
      <c r="I772" s="27">
        <f>N772</f>
        <v>150000</v>
      </c>
      <c r="J772" s="16">
        <f>'БА в тыс. руб.'!G772*1000</f>
        <v>150000</v>
      </c>
      <c r="K772" s="169">
        <f t="shared" si="490"/>
        <v>0</v>
      </c>
      <c r="L772" s="16">
        <f>'БА в тыс. руб.'!H772*1000</f>
        <v>150000</v>
      </c>
      <c r="M772" s="169">
        <f t="shared" si="491"/>
        <v>0</v>
      </c>
      <c r="N772" s="16">
        <f>'БА в тыс. руб.'!I772*1000</f>
        <v>150000</v>
      </c>
      <c r="O772" s="169">
        <f t="shared" si="492"/>
        <v>0</v>
      </c>
    </row>
    <row r="773" spans="1:15" s="3" customFormat="1" ht="38.25">
      <c r="A773" s="13" t="s">
        <v>854</v>
      </c>
      <c r="B773" s="25" t="s">
        <v>26</v>
      </c>
      <c r="C773" s="26" t="s">
        <v>50</v>
      </c>
      <c r="D773" s="26" t="s">
        <v>65</v>
      </c>
      <c r="E773" s="26" t="s">
        <v>624</v>
      </c>
      <c r="F773" s="26" t="s">
        <v>58</v>
      </c>
      <c r="G773" s="27">
        <f t="shared" ref="G773:I775" si="527">G774</f>
        <v>940000</v>
      </c>
      <c r="H773" s="27">
        <f t="shared" si="527"/>
        <v>817600</v>
      </c>
      <c r="I773" s="27">
        <f t="shared" si="527"/>
        <v>817600</v>
      </c>
      <c r="J773" s="16">
        <f>'БА в тыс. руб.'!G773*1000</f>
        <v>940000</v>
      </c>
      <c r="K773" s="169">
        <f t="shared" si="490"/>
        <v>0</v>
      </c>
      <c r="L773" s="16">
        <f>'БА в тыс. руб.'!H773*1000</f>
        <v>817600</v>
      </c>
      <c r="M773" s="169">
        <f t="shared" si="491"/>
        <v>0</v>
      </c>
      <c r="N773" s="16">
        <f>'БА в тыс. руб.'!I773*1000</f>
        <v>817600</v>
      </c>
      <c r="O773" s="169">
        <f t="shared" si="492"/>
        <v>0</v>
      </c>
    </row>
    <row r="774" spans="1:15" s="3" customFormat="1" ht="38.25">
      <c r="A774" s="13" t="s">
        <v>855</v>
      </c>
      <c r="B774" s="25" t="s">
        <v>26</v>
      </c>
      <c r="C774" s="26" t="s">
        <v>50</v>
      </c>
      <c r="D774" s="26" t="s">
        <v>65</v>
      </c>
      <c r="E774" s="26" t="s">
        <v>690</v>
      </c>
      <c r="F774" s="26" t="s">
        <v>58</v>
      </c>
      <c r="G774" s="27">
        <f t="shared" si="527"/>
        <v>940000</v>
      </c>
      <c r="H774" s="27">
        <f t="shared" si="527"/>
        <v>817600</v>
      </c>
      <c r="I774" s="27">
        <f t="shared" si="527"/>
        <v>817600</v>
      </c>
      <c r="J774" s="16">
        <f>'БА в тыс. руб.'!G774*1000</f>
        <v>940000</v>
      </c>
      <c r="K774" s="169">
        <f t="shared" si="490"/>
        <v>0</v>
      </c>
      <c r="L774" s="16">
        <f>'БА в тыс. руб.'!H774*1000</f>
        <v>817600</v>
      </c>
      <c r="M774" s="169">
        <f t="shared" si="491"/>
        <v>0</v>
      </c>
      <c r="N774" s="16">
        <f>'БА в тыс. руб.'!I774*1000</f>
        <v>817600</v>
      </c>
      <c r="O774" s="169">
        <f t="shared" si="492"/>
        <v>0</v>
      </c>
    </row>
    <row r="775" spans="1:15" s="3" customFormat="1">
      <c r="A775" s="13" t="s">
        <v>92</v>
      </c>
      <c r="B775" s="25" t="s">
        <v>26</v>
      </c>
      <c r="C775" s="26" t="s">
        <v>50</v>
      </c>
      <c r="D775" s="26" t="s">
        <v>65</v>
      </c>
      <c r="E775" s="26" t="s">
        <v>690</v>
      </c>
      <c r="F775" s="26" t="s">
        <v>138</v>
      </c>
      <c r="G775" s="27">
        <f>G776</f>
        <v>940000</v>
      </c>
      <c r="H775" s="27">
        <f t="shared" si="527"/>
        <v>817600</v>
      </c>
      <c r="I775" s="27">
        <f t="shared" si="527"/>
        <v>817600</v>
      </c>
      <c r="J775" s="16">
        <f>'БА в тыс. руб.'!G775*1000</f>
        <v>940000</v>
      </c>
      <c r="K775" s="169">
        <f t="shared" si="490"/>
        <v>0</v>
      </c>
      <c r="L775" s="16">
        <f>'БА в тыс. руб.'!H775*1000</f>
        <v>817600</v>
      </c>
      <c r="M775" s="169">
        <f t="shared" si="491"/>
        <v>0</v>
      </c>
      <c r="N775" s="16">
        <f>'БА в тыс. руб.'!I775*1000</f>
        <v>817600</v>
      </c>
      <c r="O775" s="169">
        <f t="shared" si="492"/>
        <v>0</v>
      </c>
    </row>
    <row r="776" spans="1:15" s="4" customFormat="1">
      <c r="A776" s="12" t="s">
        <v>1016</v>
      </c>
      <c r="B776" s="25" t="s">
        <v>26</v>
      </c>
      <c r="C776" s="26" t="s">
        <v>50</v>
      </c>
      <c r="D776" s="26" t="s">
        <v>65</v>
      </c>
      <c r="E776" s="26" t="s">
        <v>690</v>
      </c>
      <c r="F776" s="26" t="s">
        <v>1046</v>
      </c>
      <c r="G776" s="27">
        <f t="shared" ref="G776" si="528">J776</f>
        <v>940000</v>
      </c>
      <c r="H776" s="27">
        <f>L776</f>
        <v>817600</v>
      </c>
      <c r="I776" s="27">
        <f>N776</f>
        <v>817600</v>
      </c>
      <c r="J776" s="16">
        <f>'БА в тыс. руб.'!G776*1000</f>
        <v>940000</v>
      </c>
      <c r="K776" s="169">
        <f t="shared" ref="K776:K839" si="529">J776-G776</f>
        <v>0</v>
      </c>
      <c r="L776" s="16">
        <f>'БА в тыс. руб.'!H776*1000</f>
        <v>817600</v>
      </c>
      <c r="M776" s="169">
        <f t="shared" ref="M776:M839" si="530">L776-H776</f>
        <v>0</v>
      </c>
      <c r="N776" s="16">
        <f>'БА в тыс. руб.'!I776*1000</f>
        <v>817600</v>
      </c>
      <c r="O776" s="169">
        <f t="shared" ref="O776:O839" si="531">N776-I776</f>
        <v>0</v>
      </c>
    </row>
    <row r="777" spans="1:15" s="3" customFormat="1" ht="51">
      <c r="A777" s="13" t="s">
        <v>715</v>
      </c>
      <c r="B777" s="25" t="s">
        <v>26</v>
      </c>
      <c r="C777" s="26" t="s">
        <v>50</v>
      </c>
      <c r="D777" s="26" t="s">
        <v>65</v>
      </c>
      <c r="E777" s="26" t="s">
        <v>714</v>
      </c>
      <c r="F777" s="26" t="s">
        <v>58</v>
      </c>
      <c r="G777" s="27">
        <f t="shared" ref="G777:I779" si="532">G778</f>
        <v>93000000</v>
      </c>
      <c r="H777" s="27">
        <f t="shared" si="532"/>
        <v>0</v>
      </c>
      <c r="I777" s="27">
        <f t="shared" si="532"/>
        <v>0</v>
      </c>
      <c r="J777" s="16">
        <f>'БА в тыс. руб.'!G777*1000</f>
        <v>93000000</v>
      </c>
      <c r="K777" s="169">
        <f t="shared" si="529"/>
        <v>0</v>
      </c>
      <c r="L777" s="16">
        <f>'БА в тыс. руб.'!H777*1000</f>
        <v>0</v>
      </c>
      <c r="M777" s="169">
        <f t="shared" si="530"/>
        <v>0</v>
      </c>
      <c r="N777" s="16">
        <f>'БА в тыс. руб.'!I777*1000</f>
        <v>0</v>
      </c>
      <c r="O777" s="169">
        <f t="shared" si="531"/>
        <v>0</v>
      </c>
    </row>
    <row r="778" spans="1:15" s="3" customFormat="1" ht="38.25">
      <c r="A778" s="13" t="s">
        <v>717</v>
      </c>
      <c r="B778" s="25" t="s">
        <v>26</v>
      </c>
      <c r="C778" s="26" t="s">
        <v>50</v>
      </c>
      <c r="D778" s="26" t="s">
        <v>65</v>
      </c>
      <c r="E778" s="26" t="s">
        <v>716</v>
      </c>
      <c r="F778" s="26" t="s">
        <v>58</v>
      </c>
      <c r="G778" s="27">
        <f t="shared" si="532"/>
        <v>93000000</v>
      </c>
      <c r="H778" s="27">
        <f t="shared" si="532"/>
        <v>0</v>
      </c>
      <c r="I778" s="27">
        <f t="shared" si="532"/>
        <v>0</v>
      </c>
      <c r="J778" s="16">
        <f>'БА в тыс. руб.'!G778*1000</f>
        <v>93000000</v>
      </c>
      <c r="K778" s="169">
        <f t="shared" si="529"/>
        <v>0</v>
      </c>
      <c r="L778" s="16">
        <f>'БА в тыс. руб.'!H778*1000</f>
        <v>0</v>
      </c>
      <c r="M778" s="169">
        <f t="shared" si="530"/>
        <v>0</v>
      </c>
      <c r="N778" s="16">
        <f>'БА в тыс. руб.'!I778*1000</f>
        <v>0</v>
      </c>
      <c r="O778" s="169">
        <f t="shared" si="531"/>
        <v>0</v>
      </c>
    </row>
    <row r="779" spans="1:15" s="3" customFormat="1" ht="25.5">
      <c r="A779" s="13" t="s">
        <v>111</v>
      </c>
      <c r="B779" s="25" t="s">
        <v>26</v>
      </c>
      <c r="C779" s="26" t="s">
        <v>50</v>
      </c>
      <c r="D779" s="26" t="s">
        <v>65</v>
      </c>
      <c r="E779" s="26" t="s">
        <v>716</v>
      </c>
      <c r="F779" s="26" t="s">
        <v>104</v>
      </c>
      <c r="G779" s="27">
        <f>G780</f>
        <v>93000000</v>
      </c>
      <c r="H779" s="27">
        <f t="shared" si="532"/>
        <v>0</v>
      </c>
      <c r="I779" s="27">
        <f t="shared" si="532"/>
        <v>0</v>
      </c>
      <c r="J779" s="16">
        <f>'БА в тыс. руб.'!G779*1000</f>
        <v>93000000</v>
      </c>
      <c r="K779" s="169">
        <f t="shared" si="529"/>
        <v>0</v>
      </c>
      <c r="L779" s="16">
        <f>'БА в тыс. руб.'!H779*1000</f>
        <v>0</v>
      </c>
      <c r="M779" s="169">
        <f t="shared" si="530"/>
        <v>0</v>
      </c>
      <c r="N779" s="16">
        <f>'БА в тыс. руб.'!I779*1000</f>
        <v>0</v>
      </c>
      <c r="O779" s="169">
        <f t="shared" si="531"/>
        <v>0</v>
      </c>
    </row>
    <row r="780" spans="1:15" s="4" customFormat="1" ht="76.5">
      <c r="A780" s="12" t="s">
        <v>1048</v>
      </c>
      <c r="B780" s="25" t="s">
        <v>26</v>
      </c>
      <c r="C780" s="26" t="s">
        <v>50</v>
      </c>
      <c r="D780" s="26" t="s">
        <v>65</v>
      </c>
      <c r="E780" s="26" t="s">
        <v>716</v>
      </c>
      <c r="F780" s="26" t="s">
        <v>1055</v>
      </c>
      <c r="G780" s="27">
        <f t="shared" ref="G780" si="533">J780</f>
        <v>93000000</v>
      </c>
      <c r="H780" s="27">
        <f>L780</f>
        <v>0</v>
      </c>
      <c r="I780" s="27">
        <f>N780</f>
        <v>0</v>
      </c>
      <c r="J780" s="16">
        <f>'БА в тыс. руб.'!G780*1000</f>
        <v>93000000</v>
      </c>
      <c r="K780" s="169">
        <f t="shared" si="529"/>
        <v>0</v>
      </c>
      <c r="L780" s="16">
        <f>'БА в тыс. руб.'!H780*1000</f>
        <v>0</v>
      </c>
      <c r="M780" s="169">
        <f t="shared" si="530"/>
        <v>0</v>
      </c>
      <c r="N780" s="16">
        <f>'БА в тыс. руб.'!I780*1000</f>
        <v>0</v>
      </c>
      <c r="O780" s="169">
        <f t="shared" si="531"/>
        <v>0</v>
      </c>
    </row>
    <row r="781" spans="1:15" s="3" customFormat="1" ht="38.25">
      <c r="A781" s="12" t="s">
        <v>752</v>
      </c>
      <c r="B781" s="25" t="s">
        <v>26</v>
      </c>
      <c r="C781" s="26" t="s">
        <v>50</v>
      </c>
      <c r="D781" s="26" t="s">
        <v>65</v>
      </c>
      <c r="E781" s="35" t="s">
        <v>249</v>
      </c>
      <c r="F781" s="35" t="s">
        <v>58</v>
      </c>
      <c r="G781" s="38">
        <f>G782</f>
        <v>85000</v>
      </c>
      <c r="H781" s="38">
        <f t="shared" ref="H781:I782" si="534">H782</f>
        <v>76500</v>
      </c>
      <c r="I781" s="38">
        <f t="shared" si="534"/>
        <v>76500</v>
      </c>
      <c r="J781" s="16">
        <f>'БА в тыс. руб.'!G781*1000</f>
        <v>85000</v>
      </c>
      <c r="K781" s="169">
        <f t="shared" si="529"/>
        <v>0</v>
      </c>
      <c r="L781" s="16">
        <f>'БА в тыс. руб.'!H781*1000</f>
        <v>76500</v>
      </c>
      <c r="M781" s="169">
        <f t="shared" si="530"/>
        <v>0</v>
      </c>
      <c r="N781" s="16">
        <f>'БА в тыс. руб.'!I781*1000</f>
        <v>76500</v>
      </c>
      <c r="O781" s="169">
        <f t="shared" si="531"/>
        <v>0</v>
      </c>
    </row>
    <row r="782" spans="1:15" s="3" customFormat="1">
      <c r="A782" s="11" t="s">
        <v>753</v>
      </c>
      <c r="B782" s="25" t="s">
        <v>26</v>
      </c>
      <c r="C782" s="26" t="s">
        <v>50</v>
      </c>
      <c r="D782" s="26" t="s">
        <v>65</v>
      </c>
      <c r="E782" s="35" t="s">
        <v>250</v>
      </c>
      <c r="F782" s="35" t="s">
        <v>58</v>
      </c>
      <c r="G782" s="38">
        <f>G783</f>
        <v>85000</v>
      </c>
      <c r="H782" s="38">
        <f t="shared" si="534"/>
        <v>76500</v>
      </c>
      <c r="I782" s="38">
        <f t="shared" si="534"/>
        <v>76500</v>
      </c>
      <c r="J782" s="16">
        <f>'БА в тыс. руб.'!G782*1000</f>
        <v>85000</v>
      </c>
      <c r="K782" s="169">
        <f t="shared" si="529"/>
        <v>0</v>
      </c>
      <c r="L782" s="16">
        <f>'БА в тыс. руб.'!H782*1000</f>
        <v>76500</v>
      </c>
      <c r="M782" s="169">
        <f t="shared" si="530"/>
        <v>0</v>
      </c>
      <c r="N782" s="16">
        <f>'БА в тыс. руб.'!I782*1000</f>
        <v>76500</v>
      </c>
      <c r="O782" s="169">
        <f t="shared" si="531"/>
        <v>0</v>
      </c>
    </row>
    <row r="783" spans="1:15" s="3" customFormat="1" ht="38.25">
      <c r="A783" s="34" t="s">
        <v>880</v>
      </c>
      <c r="B783" s="25" t="s">
        <v>26</v>
      </c>
      <c r="C783" s="26" t="s">
        <v>50</v>
      </c>
      <c r="D783" s="26" t="s">
        <v>65</v>
      </c>
      <c r="E783" s="35" t="s">
        <v>538</v>
      </c>
      <c r="F783" s="35" t="s">
        <v>58</v>
      </c>
      <c r="G783" s="38">
        <f>G784</f>
        <v>85000</v>
      </c>
      <c r="H783" s="38">
        <f>H784</f>
        <v>76500</v>
      </c>
      <c r="I783" s="38">
        <f>I784</f>
        <v>76500</v>
      </c>
      <c r="J783" s="16">
        <f>'БА в тыс. руб.'!G783*1000</f>
        <v>85000</v>
      </c>
      <c r="K783" s="169">
        <f t="shared" si="529"/>
        <v>0</v>
      </c>
      <c r="L783" s="16">
        <f>'БА в тыс. руб.'!H783*1000</f>
        <v>76500</v>
      </c>
      <c r="M783" s="169">
        <f t="shared" si="530"/>
        <v>0</v>
      </c>
      <c r="N783" s="16">
        <f>'БА в тыс. руб.'!I783*1000</f>
        <v>76500</v>
      </c>
      <c r="O783" s="169">
        <f t="shared" si="531"/>
        <v>0</v>
      </c>
    </row>
    <row r="784" spans="1:15" s="3" customFormat="1" ht="25.5">
      <c r="A784" s="34" t="s">
        <v>122</v>
      </c>
      <c r="B784" s="25" t="s">
        <v>26</v>
      </c>
      <c r="C784" s="26" t="s">
        <v>50</v>
      </c>
      <c r="D784" s="26" t="s">
        <v>65</v>
      </c>
      <c r="E784" s="35" t="s">
        <v>539</v>
      </c>
      <c r="F784" s="35" t="s">
        <v>58</v>
      </c>
      <c r="G784" s="38">
        <f>SUM(G785:G785)</f>
        <v>85000</v>
      </c>
      <c r="H784" s="38">
        <f>SUM(H785:H785)</f>
        <v>76500</v>
      </c>
      <c r="I784" s="38">
        <f>SUM(I785:I785)</f>
        <v>76500</v>
      </c>
      <c r="J784" s="16">
        <f>'БА в тыс. руб.'!G784*1000</f>
        <v>85000</v>
      </c>
      <c r="K784" s="169">
        <f t="shared" si="529"/>
        <v>0</v>
      </c>
      <c r="L784" s="16">
        <f>'БА в тыс. руб.'!H784*1000</f>
        <v>76500</v>
      </c>
      <c r="M784" s="169">
        <f t="shared" si="530"/>
        <v>0</v>
      </c>
      <c r="N784" s="16">
        <f>'БА в тыс. руб.'!I784*1000</f>
        <v>76500</v>
      </c>
      <c r="O784" s="169">
        <f t="shared" si="531"/>
        <v>0</v>
      </c>
    </row>
    <row r="785" spans="1:15" s="3" customFormat="1">
      <c r="A785" s="13" t="s">
        <v>92</v>
      </c>
      <c r="B785" s="25" t="s">
        <v>26</v>
      </c>
      <c r="C785" s="26" t="s">
        <v>50</v>
      </c>
      <c r="D785" s="26" t="s">
        <v>65</v>
      </c>
      <c r="E785" s="35" t="s">
        <v>539</v>
      </c>
      <c r="F785" s="35" t="s">
        <v>138</v>
      </c>
      <c r="G785" s="27">
        <f>G786</f>
        <v>85000</v>
      </c>
      <c r="H785" s="27">
        <f t="shared" ref="H785:I785" si="535">H786</f>
        <v>76500</v>
      </c>
      <c r="I785" s="27">
        <f t="shared" si="535"/>
        <v>76500</v>
      </c>
      <c r="J785" s="16">
        <f>'БА в тыс. руб.'!G785*1000</f>
        <v>85000</v>
      </c>
      <c r="K785" s="169">
        <f t="shared" si="529"/>
        <v>0</v>
      </c>
      <c r="L785" s="16">
        <f>'БА в тыс. руб.'!H785*1000</f>
        <v>76500</v>
      </c>
      <c r="M785" s="169">
        <f t="shared" si="530"/>
        <v>0</v>
      </c>
      <c r="N785" s="16">
        <f>'БА в тыс. руб.'!I785*1000</f>
        <v>76500</v>
      </c>
      <c r="O785" s="169">
        <f t="shared" si="531"/>
        <v>0</v>
      </c>
    </row>
    <row r="786" spans="1:15" s="4" customFormat="1">
      <c r="A786" s="12" t="s">
        <v>1016</v>
      </c>
      <c r="B786" s="25" t="s">
        <v>26</v>
      </c>
      <c r="C786" s="26" t="s">
        <v>50</v>
      </c>
      <c r="D786" s="26" t="s">
        <v>65</v>
      </c>
      <c r="E786" s="35" t="s">
        <v>539</v>
      </c>
      <c r="F786" s="35" t="s">
        <v>1046</v>
      </c>
      <c r="G786" s="27">
        <f t="shared" ref="G786" si="536">J786</f>
        <v>85000</v>
      </c>
      <c r="H786" s="27">
        <f>L786</f>
        <v>76500</v>
      </c>
      <c r="I786" s="27">
        <f>N786</f>
        <v>76500</v>
      </c>
      <c r="J786" s="16">
        <f>'БА в тыс. руб.'!G786*1000</f>
        <v>85000</v>
      </c>
      <c r="K786" s="169">
        <f t="shared" si="529"/>
        <v>0</v>
      </c>
      <c r="L786" s="16">
        <f>'БА в тыс. руб.'!H786*1000</f>
        <v>76500</v>
      </c>
      <c r="M786" s="169">
        <f t="shared" si="530"/>
        <v>0</v>
      </c>
      <c r="N786" s="16">
        <f>'БА в тыс. руб.'!I786*1000</f>
        <v>76500</v>
      </c>
      <c r="O786" s="169">
        <f t="shared" si="531"/>
        <v>0</v>
      </c>
    </row>
    <row r="787" spans="1:15" s="3" customFormat="1" ht="63.75">
      <c r="A787" s="11" t="s">
        <v>756</v>
      </c>
      <c r="B787" s="25" t="s">
        <v>26</v>
      </c>
      <c r="C787" s="26" t="s">
        <v>50</v>
      </c>
      <c r="D787" s="26" t="s">
        <v>65</v>
      </c>
      <c r="E787" s="26" t="s">
        <v>339</v>
      </c>
      <c r="F787" s="26" t="s">
        <v>58</v>
      </c>
      <c r="G787" s="27">
        <f t="shared" ref="G787:I791" si="537">G788</f>
        <v>652360</v>
      </c>
      <c r="H787" s="27">
        <f t="shared" si="537"/>
        <v>547850</v>
      </c>
      <c r="I787" s="27">
        <f t="shared" si="537"/>
        <v>547850</v>
      </c>
      <c r="J787" s="16">
        <f>'БА в тыс. руб.'!G787*1000</f>
        <v>652360</v>
      </c>
      <c r="K787" s="169">
        <f t="shared" si="529"/>
        <v>0</v>
      </c>
      <c r="L787" s="16">
        <f>'БА в тыс. руб.'!H787*1000</f>
        <v>547850</v>
      </c>
      <c r="M787" s="169">
        <f t="shared" si="530"/>
        <v>0</v>
      </c>
      <c r="N787" s="16">
        <f>'БА в тыс. руб.'!I787*1000</f>
        <v>547850</v>
      </c>
      <c r="O787" s="169">
        <f t="shared" si="531"/>
        <v>0</v>
      </c>
    </row>
    <row r="788" spans="1:15" s="3" customFormat="1" ht="25.5">
      <c r="A788" s="11" t="s">
        <v>136</v>
      </c>
      <c r="B788" s="25" t="s">
        <v>26</v>
      </c>
      <c r="C788" s="26" t="s">
        <v>50</v>
      </c>
      <c r="D788" s="26" t="s">
        <v>65</v>
      </c>
      <c r="E788" s="26" t="s">
        <v>340</v>
      </c>
      <c r="F788" s="26" t="s">
        <v>58</v>
      </c>
      <c r="G788" s="27">
        <f t="shared" si="537"/>
        <v>652360</v>
      </c>
      <c r="H788" s="27">
        <f t="shared" si="537"/>
        <v>547850</v>
      </c>
      <c r="I788" s="27">
        <f t="shared" si="537"/>
        <v>547850</v>
      </c>
      <c r="J788" s="16">
        <f>'БА в тыс. руб.'!G788*1000</f>
        <v>652360</v>
      </c>
      <c r="K788" s="169">
        <f t="shared" si="529"/>
        <v>0</v>
      </c>
      <c r="L788" s="16">
        <f>'БА в тыс. руб.'!H788*1000</f>
        <v>547850</v>
      </c>
      <c r="M788" s="169">
        <f t="shared" si="530"/>
        <v>0</v>
      </c>
      <c r="N788" s="16">
        <f>'БА в тыс. руб.'!I788*1000</f>
        <v>547850</v>
      </c>
      <c r="O788" s="169">
        <f t="shared" si="531"/>
        <v>0</v>
      </c>
    </row>
    <row r="789" spans="1:15" s="3" customFormat="1" ht="25.5">
      <c r="A789" s="11" t="s">
        <v>667</v>
      </c>
      <c r="B789" s="25" t="s">
        <v>26</v>
      </c>
      <c r="C789" s="26" t="s">
        <v>50</v>
      </c>
      <c r="D789" s="26" t="s">
        <v>65</v>
      </c>
      <c r="E789" s="26" t="s">
        <v>609</v>
      </c>
      <c r="F789" s="26" t="s">
        <v>58</v>
      </c>
      <c r="G789" s="27">
        <f t="shared" si="537"/>
        <v>652360</v>
      </c>
      <c r="H789" s="27">
        <f t="shared" si="537"/>
        <v>547850</v>
      </c>
      <c r="I789" s="27">
        <f t="shared" si="537"/>
        <v>547850</v>
      </c>
      <c r="J789" s="16">
        <f>'БА в тыс. руб.'!G789*1000</f>
        <v>652360</v>
      </c>
      <c r="K789" s="169">
        <f t="shared" si="529"/>
        <v>0</v>
      </c>
      <c r="L789" s="16">
        <f>'БА в тыс. руб.'!H789*1000</f>
        <v>547850</v>
      </c>
      <c r="M789" s="169">
        <f t="shared" si="530"/>
        <v>0</v>
      </c>
      <c r="N789" s="16">
        <f>'БА в тыс. руб.'!I789*1000</f>
        <v>547850</v>
      </c>
      <c r="O789" s="169">
        <f t="shared" si="531"/>
        <v>0</v>
      </c>
    </row>
    <row r="790" spans="1:15" s="3" customFormat="1" ht="38.25">
      <c r="A790" s="11" t="s">
        <v>177</v>
      </c>
      <c r="B790" s="25" t="s">
        <v>26</v>
      </c>
      <c r="C790" s="26" t="s">
        <v>50</v>
      </c>
      <c r="D790" s="26" t="s">
        <v>65</v>
      </c>
      <c r="E790" s="26" t="s">
        <v>610</v>
      </c>
      <c r="F790" s="26" t="s">
        <v>58</v>
      </c>
      <c r="G790" s="27">
        <f t="shared" si="537"/>
        <v>652360</v>
      </c>
      <c r="H790" s="27">
        <f t="shared" si="537"/>
        <v>547850</v>
      </c>
      <c r="I790" s="27">
        <f t="shared" si="537"/>
        <v>547850</v>
      </c>
      <c r="J790" s="16">
        <f>'БА в тыс. руб.'!G790*1000</f>
        <v>652360</v>
      </c>
      <c r="K790" s="169">
        <f t="shared" si="529"/>
        <v>0</v>
      </c>
      <c r="L790" s="16">
        <f>'БА в тыс. руб.'!H790*1000</f>
        <v>547850</v>
      </c>
      <c r="M790" s="169">
        <f t="shared" si="530"/>
        <v>0</v>
      </c>
      <c r="N790" s="16">
        <f>'БА в тыс. руб.'!I790*1000</f>
        <v>547850</v>
      </c>
      <c r="O790" s="169">
        <f t="shared" si="531"/>
        <v>0</v>
      </c>
    </row>
    <row r="791" spans="1:15" s="3" customFormat="1">
      <c r="A791" s="13" t="s">
        <v>92</v>
      </c>
      <c r="B791" s="25" t="s">
        <v>26</v>
      </c>
      <c r="C791" s="26" t="s">
        <v>50</v>
      </c>
      <c r="D791" s="26" t="s">
        <v>65</v>
      </c>
      <c r="E791" s="26" t="s">
        <v>610</v>
      </c>
      <c r="F791" s="26" t="s">
        <v>138</v>
      </c>
      <c r="G791" s="27">
        <f>G792</f>
        <v>652360</v>
      </c>
      <c r="H791" s="27">
        <f t="shared" si="537"/>
        <v>547850</v>
      </c>
      <c r="I791" s="27">
        <f t="shared" si="537"/>
        <v>547850</v>
      </c>
      <c r="J791" s="16">
        <f>'БА в тыс. руб.'!G791*1000</f>
        <v>652360</v>
      </c>
      <c r="K791" s="169">
        <f t="shared" si="529"/>
        <v>0</v>
      </c>
      <c r="L791" s="16">
        <f>'БА в тыс. руб.'!H791*1000</f>
        <v>547850</v>
      </c>
      <c r="M791" s="169">
        <f t="shared" si="530"/>
        <v>0</v>
      </c>
      <c r="N791" s="16">
        <f>'БА в тыс. руб.'!I791*1000</f>
        <v>547850</v>
      </c>
      <c r="O791" s="169">
        <f t="shared" si="531"/>
        <v>0</v>
      </c>
    </row>
    <row r="792" spans="1:15" s="4" customFormat="1">
      <c r="A792" s="12" t="s">
        <v>1016</v>
      </c>
      <c r="B792" s="25" t="s">
        <v>26</v>
      </c>
      <c r="C792" s="26" t="s">
        <v>50</v>
      </c>
      <c r="D792" s="26" t="s">
        <v>65</v>
      </c>
      <c r="E792" s="26" t="s">
        <v>610</v>
      </c>
      <c r="F792" s="26" t="s">
        <v>1046</v>
      </c>
      <c r="G792" s="27">
        <f t="shared" ref="G792" si="538">J792</f>
        <v>652360</v>
      </c>
      <c r="H792" s="27">
        <f>L792</f>
        <v>547850</v>
      </c>
      <c r="I792" s="27">
        <f>N792</f>
        <v>547850</v>
      </c>
      <c r="J792" s="16">
        <f>'БА в тыс. руб.'!G792*1000</f>
        <v>652360</v>
      </c>
      <c r="K792" s="169">
        <f t="shared" si="529"/>
        <v>0</v>
      </c>
      <c r="L792" s="16">
        <f>'БА в тыс. руб.'!H792*1000</f>
        <v>547850</v>
      </c>
      <c r="M792" s="169">
        <f t="shared" si="530"/>
        <v>0</v>
      </c>
      <c r="N792" s="16">
        <f>'БА в тыс. руб.'!I792*1000</f>
        <v>547850</v>
      </c>
      <c r="O792" s="169">
        <f t="shared" si="531"/>
        <v>0</v>
      </c>
    </row>
    <row r="793" spans="1:15" s="3" customFormat="1">
      <c r="A793" s="21" t="s">
        <v>676</v>
      </c>
      <c r="B793" s="22" t="s">
        <v>26</v>
      </c>
      <c r="C793" s="23" t="s">
        <v>50</v>
      </c>
      <c r="D793" s="23" t="s">
        <v>37</v>
      </c>
      <c r="E793" s="23" t="s">
        <v>196</v>
      </c>
      <c r="F793" s="23" t="s">
        <v>58</v>
      </c>
      <c r="G793" s="24">
        <f>G794</f>
        <v>13602440</v>
      </c>
      <c r="H793" s="24">
        <f>H794</f>
        <v>13610460</v>
      </c>
      <c r="I793" s="24">
        <f>I794</f>
        <v>13610460</v>
      </c>
      <c r="J793" s="16">
        <f>'БА в тыс. руб.'!G793*1000</f>
        <v>13602439.999999998</v>
      </c>
      <c r="K793" s="169">
        <f t="shared" si="529"/>
        <v>0</v>
      </c>
      <c r="L793" s="16">
        <f>'БА в тыс. руб.'!H793*1000</f>
        <v>13610460</v>
      </c>
      <c r="M793" s="169">
        <f t="shared" si="530"/>
        <v>0</v>
      </c>
      <c r="N793" s="16">
        <f>'БА в тыс. руб.'!I793*1000</f>
        <v>13610460</v>
      </c>
      <c r="O793" s="169">
        <f t="shared" si="531"/>
        <v>0</v>
      </c>
    </row>
    <row r="794" spans="1:15" s="3" customFormat="1" ht="25.5">
      <c r="A794" s="11" t="s">
        <v>695</v>
      </c>
      <c r="B794" s="25" t="s">
        <v>26</v>
      </c>
      <c r="C794" s="26" t="s">
        <v>50</v>
      </c>
      <c r="D794" s="26" t="s">
        <v>37</v>
      </c>
      <c r="E794" s="26" t="s">
        <v>370</v>
      </c>
      <c r="F794" s="26" t="s">
        <v>58</v>
      </c>
      <c r="G794" s="27">
        <f>G795+G809</f>
        <v>13602440</v>
      </c>
      <c r="H794" s="27">
        <f>H795+H809</f>
        <v>13610460</v>
      </c>
      <c r="I794" s="27">
        <f>I795+I809</f>
        <v>13610460</v>
      </c>
      <c r="J794" s="16">
        <f>'БА в тыс. руб.'!G794*1000</f>
        <v>13602439.999999998</v>
      </c>
      <c r="K794" s="169">
        <f t="shared" si="529"/>
        <v>0</v>
      </c>
      <c r="L794" s="16">
        <f>'БА в тыс. руб.'!H794*1000</f>
        <v>13610460</v>
      </c>
      <c r="M794" s="169">
        <f t="shared" si="530"/>
        <v>0</v>
      </c>
      <c r="N794" s="16">
        <f>'БА в тыс. руб.'!I794*1000</f>
        <v>13610460</v>
      </c>
      <c r="O794" s="169">
        <f t="shared" si="531"/>
        <v>0</v>
      </c>
    </row>
    <row r="795" spans="1:15" s="3" customFormat="1" ht="38.25">
      <c r="A795" s="11" t="s">
        <v>696</v>
      </c>
      <c r="B795" s="25" t="s">
        <v>26</v>
      </c>
      <c r="C795" s="26" t="s">
        <v>50</v>
      </c>
      <c r="D795" s="26" t="s">
        <v>37</v>
      </c>
      <c r="E795" s="26" t="s">
        <v>389</v>
      </c>
      <c r="F795" s="26" t="s">
        <v>58</v>
      </c>
      <c r="G795" s="27">
        <f>G796+G805</f>
        <v>13442440</v>
      </c>
      <c r="H795" s="27">
        <f>H796+H805</f>
        <v>13450460</v>
      </c>
      <c r="I795" s="27">
        <f>I796+I805</f>
        <v>13450460</v>
      </c>
      <c r="J795" s="16">
        <f>'БА в тыс. руб.'!G795*1000</f>
        <v>13442439.999999998</v>
      </c>
      <c r="K795" s="169">
        <f t="shared" si="529"/>
        <v>0</v>
      </c>
      <c r="L795" s="16">
        <f>'БА в тыс. руб.'!H795*1000</f>
        <v>13450460</v>
      </c>
      <c r="M795" s="169">
        <f t="shared" si="530"/>
        <v>0</v>
      </c>
      <c r="N795" s="16">
        <f>'БА в тыс. руб.'!I795*1000</f>
        <v>13450460</v>
      </c>
      <c r="O795" s="169">
        <f t="shared" si="531"/>
        <v>0</v>
      </c>
    </row>
    <row r="796" spans="1:15" s="3" customFormat="1" ht="25.5">
      <c r="A796" s="11" t="s">
        <v>114</v>
      </c>
      <c r="B796" s="25" t="s">
        <v>26</v>
      </c>
      <c r="C796" s="26" t="s">
        <v>50</v>
      </c>
      <c r="D796" s="26" t="s">
        <v>37</v>
      </c>
      <c r="E796" s="26" t="s">
        <v>390</v>
      </c>
      <c r="F796" s="26" t="s">
        <v>58</v>
      </c>
      <c r="G796" s="27">
        <f>G797+G800+G802</f>
        <v>1472320</v>
      </c>
      <c r="H796" s="27">
        <f t="shared" ref="H796:I796" si="539">H797+H800+H802</f>
        <v>1480340</v>
      </c>
      <c r="I796" s="27">
        <f t="shared" si="539"/>
        <v>1480340</v>
      </c>
      <c r="J796" s="16">
        <f>'БА в тыс. руб.'!G796*1000</f>
        <v>1472320</v>
      </c>
      <c r="K796" s="169">
        <f t="shared" si="529"/>
        <v>0</v>
      </c>
      <c r="L796" s="16">
        <f>'БА в тыс. руб.'!H796*1000</f>
        <v>1480340</v>
      </c>
      <c r="M796" s="169">
        <f t="shared" si="530"/>
        <v>0</v>
      </c>
      <c r="N796" s="16">
        <f>'БА в тыс. руб.'!I796*1000</f>
        <v>1480340</v>
      </c>
      <c r="O796" s="169">
        <f t="shared" si="531"/>
        <v>0</v>
      </c>
    </row>
    <row r="797" spans="1:15" s="3" customFormat="1" ht="25.5">
      <c r="A797" s="12" t="s">
        <v>107</v>
      </c>
      <c r="B797" s="25" t="s">
        <v>26</v>
      </c>
      <c r="C797" s="26" t="s">
        <v>50</v>
      </c>
      <c r="D797" s="26" t="s">
        <v>37</v>
      </c>
      <c r="E797" s="26" t="s">
        <v>390</v>
      </c>
      <c r="F797" s="26" t="s">
        <v>115</v>
      </c>
      <c r="G797" s="27">
        <f>SUM(G798:G799)</f>
        <v>357330</v>
      </c>
      <c r="H797" s="27">
        <f t="shared" ref="H797:I797" si="540">SUM(H798:H799)</f>
        <v>357330</v>
      </c>
      <c r="I797" s="27">
        <f t="shared" si="540"/>
        <v>357330</v>
      </c>
      <c r="J797" s="16">
        <f>'БА в тыс. руб.'!G797*1000</f>
        <v>357330</v>
      </c>
      <c r="K797" s="169">
        <f t="shared" si="529"/>
        <v>0</v>
      </c>
      <c r="L797" s="16">
        <f>'БА в тыс. руб.'!H797*1000</f>
        <v>357330</v>
      </c>
      <c r="M797" s="169">
        <f t="shared" si="530"/>
        <v>0</v>
      </c>
      <c r="N797" s="16">
        <f>'БА в тыс. руб.'!I797*1000</f>
        <v>357330</v>
      </c>
      <c r="O797" s="169">
        <f t="shared" si="531"/>
        <v>0</v>
      </c>
    </row>
    <row r="798" spans="1:15" s="4" customFormat="1" ht="25.5">
      <c r="A798" s="12" t="s">
        <v>937</v>
      </c>
      <c r="B798" s="25" t="s">
        <v>26</v>
      </c>
      <c r="C798" s="26" t="s">
        <v>50</v>
      </c>
      <c r="D798" s="26" t="s">
        <v>37</v>
      </c>
      <c r="E798" s="26" t="s">
        <v>390</v>
      </c>
      <c r="F798" s="26" t="s">
        <v>1059</v>
      </c>
      <c r="G798" s="27">
        <f t="shared" ref="G798:G799" si="541">J798</f>
        <v>274450</v>
      </c>
      <c r="H798" s="27">
        <f t="shared" ref="H798:H799" si="542">L798</f>
        <v>274450</v>
      </c>
      <c r="I798" s="27">
        <f t="shared" ref="I798:I799" si="543">N798</f>
        <v>274450</v>
      </c>
      <c r="J798" s="16">
        <f>'БА в тыс. руб.'!G798*1000</f>
        <v>274450</v>
      </c>
      <c r="K798" s="169">
        <f t="shared" si="529"/>
        <v>0</v>
      </c>
      <c r="L798" s="16">
        <f>'БА в тыс. руб.'!H798*1000</f>
        <v>274450</v>
      </c>
      <c r="M798" s="169">
        <f t="shared" si="530"/>
        <v>0</v>
      </c>
      <c r="N798" s="16">
        <f>'БА в тыс. руб.'!I798*1000</f>
        <v>274450</v>
      </c>
      <c r="O798" s="169">
        <f t="shared" si="531"/>
        <v>0</v>
      </c>
    </row>
    <row r="799" spans="1:15" s="4" customFormat="1" ht="38.25">
      <c r="A799" s="12" t="s">
        <v>939</v>
      </c>
      <c r="B799" s="25" t="s">
        <v>26</v>
      </c>
      <c r="C799" s="26" t="s">
        <v>50</v>
      </c>
      <c r="D799" s="26" t="s">
        <v>37</v>
      </c>
      <c r="E799" s="26" t="s">
        <v>390</v>
      </c>
      <c r="F799" s="26" t="s">
        <v>1060</v>
      </c>
      <c r="G799" s="27">
        <f t="shared" si="541"/>
        <v>82880</v>
      </c>
      <c r="H799" s="27">
        <f t="shared" si="542"/>
        <v>82880</v>
      </c>
      <c r="I799" s="27">
        <f t="shared" si="543"/>
        <v>82880</v>
      </c>
      <c r="J799" s="16">
        <f>'БА в тыс. руб.'!G799*1000</f>
        <v>82880</v>
      </c>
      <c r="K799" s="169">
        <f t="shared" si="529"/>
        <v>0</v>
      </c>
      <c r="L799" s="16">
        <f>'БА в тыс. руб.'!H799*1000</f>
        <v>82880</v>
      </c>
      <c r="M799" s="169">
        <f t="shared" si="530"/>
        <v>0</v>
      </c>
      <c r="N799" s="16">
        <f>'БА в тыс. руб.'!I799*1000</f>
        <v>82880</v>
      </c>
      <c r="O799" s="169">
        <f t="shared" si="531"/>
        <v>0</v>
      </c>
    </row>
    <row r="800" spans="1:15" s="3" customFormat="1" ht="25.5">
      <c r="A800" s="11" t="s">
        <v>108</v>
      </c>
      <c r="B800" s="25" t="s">
        <v>26</v>
      </c>
      <c r="C800" s="26" t="s">
        <v>50</v>
      </c>
      <c r="D800" s="26" t="s">
        <v>37</v>
      </c>
      <c r="E800" s="26" t="s">
        <v>390</v>
      </c>
      <c r="F800" s="26" t="s">
        <v>116</v>
      </c>
      <c r="G800" s="27">
        <f>G801</f>
        <v>933790</v>
      </c>
      <c r="H800" s="27">
        <f t="shared" ref="H800:I800" si="544">H801</f>
        <v>941810</v>
      </c>
      <c r="I800" s="27">
        <f t="shared" si="544"/>
        <v>941810</v>
      </c>
      <c r="J800" s="16">
        <f>'БА в тыс. руб.'!G800*1000</f>
        <v>933790</v>
      </c>
      <c r="K800" s="169">
        <f t="shared" si="529"/>
        <v>0</v>
      </c>
      <c r="L800" s="16">
        <f>'БА в тыс. руб.'!H800*1000</f>
        <v>941810</v>
      </c>
      <c r="M800" s="169">
        <f t="shared" si="530"/>
        <v>0</v>
      </c>
      <c r="N800" s="16">
        <f>'БА в тыс. руб.'!I800*1000</f>
        <v>941810</v>
      </c>
      <c r="O800" s="169">
        <f t="shared" si="531"/>
        <v>0</v>
      </c>
    </row>
    <row r="801" spans="1:15" s="4" customFormat="1" ht="25.5">
      <c r="A801" s="12" t="s">
        <v>973</v>
      </c>
      <c r="B801" s="25" t="s">
        <v>26</v>
      </c>
      <c r="C801" s="26" t="s">
        <v>50</v>
      </c>
      <c r="D801" s="26" t="s">
        <v>37</v>
      </c>
      <c r="E801" s="26" t="s">
        <v>390</v>
      </c>
      <c r="F801" s="26" t="s">
        <v>1043</v>
      </c>
      <c r="G801" s="27">
        <f t="shared" ref="G801" si="545">J801</f>
        <v>933790</v>
      </c>
      <c r="H801" s="27">
        <f>L801</f>
        <v>941810</v>
      </c>
      <c r="I801" s="27">
        <f>N801</f>
        <v>941810</v>
      </c>
      <c r="J801" s="16">
        <f>'БА в тыс. руб.'!G801*1000</f>
        <v>933790</v>
      </c>
      <c r="K801" s="169">
        <f t="shared" si="529"/>
        <v>0</v>
      </c>
      <c r="L801" s="16">
        <f>'БА в тыс. руб.'!H801*1000</f>
        <v>941810</v>
      </c>
      <c r="M801" s="169">
        <f t="shared" si="530"/>
        <v>0</v>
      </c>
      <c r="N801" s="16">
        <f>'БА в тыс. руб.'!I801*1000</f>
        <v>941810</v>
      </c>
      <c r="O801" s="169">
        <f t="shared" si="531"/>
        <v>0</v>
      </c>
    </row>
    <row r="802" spans="1:15" s="3" customFormat="1">
      <c r="A802" s="11" t="s">
        <v>97</v>
      </c>
      <c r="B802" s="25" t="s">
        <v>26</v>
      </c>
      <c r="C802" s="26" t="s">
        <v>50</v>
      </c>
      <c r="D802" s="26" t="s">
        <v>37</v>
      </c>
      <c r="E802" s="26" t="s">
        <v>390</v>
      </c>
      <c r="F802" s="26" t="s">
        <v>118</v>
      </c>
      <c r="G802" s="27">
        <f>SUM(G803:G804)</f>
        <v>181200</v>
      </c>
      <c r="H802" s="27">
        <f t="shared" ref="H802:I802" si="546">SUM(H803:H804)</f>
        <v>181200</v>
      </c>
      <c r="I802" s="27">
        <f t="shared" si="546"/>
        <v>181200</v>
      </c>
      <c r="J802" s="16">
        <f>'БА в тыс. руб.'!G802*1000</f>
        <v>181200</v>
      </c>
      <c r="K802" s="169">
        <f t="shared" si="529"/>
        <v>0</v>
      </c>
      <c r="L802" s="16">
        <f>'БА в тыс. руб.'!H802*1000</f>
        <v>181200</v>
      </c>
      <c r="M802" s="169">
        <f t="shared" si="530"/>
        <v>0</v>
      </c>
      <c r="N802" s="16">
        <f>'БА в тыс. руб.'!I802*1000</f>
        <v>181200</v>
      </c>
      <c r="O802" s="169">
        <f t="shared" si="531"/>
        <v>0</v>
      </c>
    </row>
    <row r="803" spans="1:15" s="4" customFormat="1">
      <c r="A803" s="12" t="s">
        <v>1036</v>
      </c>
      <c r="B803" s="25" t="s">
        <v>26</v>
      </c>
      <c r="C803" s="26" t="s">
        <v>50</v>
      </c>
      <c r="D803" s="26" t="s">
        <v>37</v>
      </c>
      <c r="E803" s="26" t="s">
        <v>390</v>
      </c>
      <c r="F803" s="26" t="s">
        <v>1061</v>
      </c>
      <c r="G803" s="27">
        <f t="shared" ref="G803:G804" si="547">J803</f>
        <v>174200</v>
      </c>
      <c r="H803" s="27">
        <f t="shared" ref="H803:H804" si="548">L803</f>
        <v>174200</v>
      </c>
      <c r="I803" s="27">
        <f t="shared" ref="I803:I804" si="549">N803</f>
        <v>174200</v>
      </c>
      <c r="J803" s="16">
        <f>'БА в тыс. руб.'!G803*1000</f>
        <v>174200</v>
      </c>
      <c r="K803" s="169">
        <f t="shared" si="529"/>
        <v>0</v>
      </c>
      <c r="L803" s="16">
        <f>'БА в тыс. руб.'!H803*1000</f>
        <v>174200</v>
      </c>
      <c r="M803" s="169">
        <f t="shared" si="530"/>
        <v>0</v>
      </c>
      <c r="N803" s="16">
        <f>'БА в тыс. руб.'!I803*1000</f>
        <v>174200</v>
      </c>
      <c r="O803" s="169">
        <f t="shared" si="531"/>
        <v>0</v>
      </c>
    </row>
    <row r="804" spans="1:15" s="4" customFormat="1">
      <c r="A804" s="12" t="s">
        <v>1037</v>
      </c>
      <c r="B804" s="25" t="s">
        <v>26</v>
      </c>
      <c r="C804" s="26" t="s">
        <v>50</v>
      </c>
      <c r="D804" s="26" t="s">
        <v>37</v>
      </c>
      <c r="E804" s="26" t="s">
        <v>390</v>
      </c>
      <c r="F804" s="26" t="s">
        <v>1062</v>
      </c>
      <c r="G804" s="27">
        <f t="shared" si="547"/>
        <v>7000</v>
      </c>
      <c r="H804" s="27">
        <f t="shared" si="548"/>
        <v>7000</v>
      </c>
      <c r="I804" s="27">
        <f t="shared" si="549"/>
        <v>7000</v>
      </c>
      <c r="J804" s="16">
        <f>'БА в тыс. руб.'!G804*1000</f>
        <v>7000</v>
      </c>
      <c r="K804" s="169">
        <f t="shared" si="529"/>
        <v>0</v>
      </c>
      <c r="L804" s="16">
        <f>'БА в тыс. руб.'!H804*1000</f>
        <v>7000</v>
      </c>
      <c r="M804" s="169">
        <f t="shared" si="530"/>
        <v>0</v>
      </c>
      <c r="N804" s="16">
        <f>'БА в тыс. руб.'!I804*1000</f>
        <v>7000</v>
      </c>
      <c r="O804" s="169">
        <f t="shared" si="531"/>
        <v>0</v>
      </c>
    </row>
    <row r="805" spans="1:15" s="3" customFormat="1" ht="25.5">
      <c r="A805" s="11" t="s">
        <v>126</v>
      </c>
      <c r="B805" s="25" t="s">
        <v>26</v>
      </c>
      <c r="C805" s="26" t="s">
        <v>50</v>
      </c>
      <c r="D805" s="26" t="s">
        <v>37</v>
      </c>
      <c r="E805" s="26" t="s">
        <v>391</v>
      </c>
      <c r="F805" s="26" t="s">
        <v>58</v>
      </c>
      <c r="G805" s="27">
        <f>G806</f>
        <v>11970120</v>
      </c>
      <c r="H805" s="27">
        <f>H806</f>
        <v>11970120</v>
      </c>
      <c r="I805" s="27">
        <f>I806</f>
        <v>11970120</v>
      </c>
      <c r="J805" s="16">
        <f>'БА в тыс. руб.'!G805*1000</f>
        <v>11970119.999999998</v>
      </c>
      <c r="K805" s="169">
        <f t="shared" si="529"/>
        <v>0</v>
      </c>
      <c r="L805" s="16">
        <f>'БА в тыс. руб.'!H805*1000</f>
        <v>11970119.999999998</v>
      </c>
      <c r="M805" s="169">
        <f t="shared" si="530"/>
        <v>0</v>
      </c>
      <c r="N805" s="16">
        <f>'БА в тыс. руб.'!I805*1000</f>
        <v>11970119.999999998</v>
      </c>
      <c r="O805" s="169">
        <f t="shared" si="531"/>
        <v>0</v>
      </c>
    </row>
    <row r="806" spans="1:15" s="3" customFormat="1" ht="25.5">
      <c r="A806" s="12" t="s">
        <v>107</v>
      </c>
      <c r="B806" s="25" t="s">
        <v>26</v>
      </c>
      <c r="C806" s="26" t="s">
        <v>50</v>
      </c>
      <c r="D806" s="26" t="s">
        <v>37</v>
      </c>
      <c r="E806" s="26" t="s">
        <v>391</v>
      </c>
      <c r="F806" s="26" t="s">
        <v>115</v>
      </c>
      <c r="G806" s="27">
        <f>SUM(G807:G808)</f>
        <v>11970120</v>
      </c>
      <c r="H806" s="27">
        <f t="shared" ref="H806:I806" si="550">SUM(H807:H808)</f>
        <v>11970120</v>
      </c>
      <c r="I806" s="27">
        <f t="shared" si="550"/>
        <v>11970120</v>
      </c>
      <c r="J806" s="16">
        <f>'БА в тыс. руб.'!G806*1000</f>
        <v>11970119.999999998</v>
      </c>
      <c r="K806" s="169">
        <f t="shared" si="529"/>
        <v>0</v>
      </c>
      <c r="L806" s="16">
        <f>'БА в тыс. руб.'!H806*1000</f>
        <v>11970119.999999998</v>
      </c>
      <c r="M806" s="169">
        <f t="shared" si="530"/>
        <v>0</v>
      </c>
      <c r="N806" s="16">
        <f>'БА в тыс. руб.'!I806*1000</f>
        <v>11970119.999999998</v>
      </c>
      <c r="O806" s="169">
        <f t="shared" si="531"/>
        <v>0</v>
      </c>
    </row>
    <row r="807" spans="1:15" s="4" customFormat="1">
      <c r="A807" s="12" t="s">
        <v>936</v>
      </c>
      <c r="B807" s="25" t="s">
        <v>26</v>
      </c>
      <c r="C807" s="26" t="s">
        <v>50</v>
      </c>
      <c r="D807" s="26" t="s">
        <v>37</v>
      </c>
      <c r="E807" s="26" t="s">
        <v>391</v>
      </c>
      <c r="F807" s="26" t="s">
        <v>1063</v>
      </c>
      <c r="G807" s="27">
        <f t="shared" ref="G807:G808" si="551">J807</f>
        <v>9193640</v>
      </c>
      <c r="H807" s="27">
        <f t="shared" ref="H807:H808" si="552">L807</f>
        <v>9193640</v>
      </c>
      <c r="I807" s="27">
        <f t="shared" ref="I807:I808" si="553">N807</f>
        <v>9193640</v>
      </c>
      <c r="J807" s="16">
        <f>'БА в тыс. руб.'!G807*1000</f>
        <v>9193640</v>
      </c>
      <c r="K807" s="169">
        <f t="shared" si="529"/>
        <v>0</v>
      </c>
      <c r="L807" s="16">
        <f>'БА в тыс. руб.'!H807*1000</f>
        <v>9193640</v>
      </c>
      <c r="M807" s="169">
        <f t="shared" si="530"/>
        <v>0</v>
      </c>
      <c r="N807" s="16">
        <f>'БА в тыс. руб.'!I807*1000</f>
        <v>9193640</v>
      </c>
      <c r="O807" s="169">
        <f t="shared" si="531"/>
        <v>0</v>
      </c>
    </row>
    <row r="808" spans="1:15" s="4" customFormat="1" ht="38.25">
      <c r="A808" s="12" t="s">
        <v>939</v>
      </c>
      <c r="B808" s="25" t="s">
        <v>26</v>
      </c>
      <c r="C808" s="26" t="s">
        <v>50</v>
      </c>
      <c r="D808" s="26" t="s">
        <v>37</v>
      </c>
      <c r="E808" s="26" t="s">
        <v>391</v>
      </c>
      <c r="F808" s="26" t="s">
        <v>1060</v>
      </c>
      <c r="G808" s="27">
        <f t="shared" si="551"/>
        <v>2776480</v>
      </c>
      <c r="H808" s="27">
        <f t="shared" si="552"/>
        <v>2776480</v>
      </c>
      <c r="I808" s="27">
        <f t="shared" si="553"/>
        <v>2776480</v>
      </c>
      <c r="J808" s="16">
        <f>'БА в тыс. руб.'!G808*1000</f>
        <v>2776480</v>
      </c>
      <c r="K808" s="169">
        <f t="shared" si="529"/>
        <v>0</v>
      </c>
      <c r="L808" s="16">
        <f>'БА в тыс. руб.'!H808*1000</f>
        <v>2776480</v>
      </c>
      <c r="M808" s="169">
        <f t="shared" si="530"/>
        <v>0</v>
      </c>
      <c r="N808" s="16">
        <f>'БА в тыс. руб.'!I808*1000</f>
        <v>2776480</v>
      </c>
      <c r="O808" s="169">
        <f t="shared" si="531"/>
        <v>0</v>
      </c>
    </row>
    <row r="809" spans="1:15" s="3" customFormat="1">
      <c r="A809" s="12" t="s">
        <v>175</v>
      </c>
      <c r="B809" s="25" t="s">
        <v>26</v>
      </c>
      <c r="C809" s="26" t="s">
        <v>50</v>
      </c>
      <c r="D809" s="26" t="s">
        <v>37</v>
      </c>
      <c r="E809" s="26" t="s">
        <v>371</v>
      </c>
      <c r="F809" s="26" t="s">
        <v>58</v>
      </c>
      <c r="G809" s="27">
        <f t="shared" ref="G809:I811" si="554">G810</f>
        <v>160000</v>
      </c>
      <c r="H809" s="27">
        <f t="shared" si="554"/>
        <v>160000</v>
      </c>
      <c r="I809" s="27">
        <f t="shared" si="554"/>
        <v>160000</v>
      </c>
      <c r="J809" s="16">
        <f>'БА в тыс. руб.'!G809*1000</f>
        <v>160000</v>
      </c>
      <c r="K809" s="169">
        <f t="shared" si="529"/>
        <v>0</v>
      </c>
      <c r="L809" s="16">
        <f>'БА в тыс. руб.'!H809*1000</f>
        <v>160000</v>
      </c>
      <c r="M809" s="169">
        <f t="shared" si="530"/>
        <v>0</v>
      </c>
      <c r="N809" s="16">
        <f>'БА в тыс. руб.'!I809*1000</f>
        <v>160000</v>
      </c>
      <c r="O809" s="169">
        <f t="shared" si="531"/>
        <v>0</v>
      </c>
    </row>
    <row r="810" spans="1:15" s="3" customFormat="1" ht="38.25">
      <c r="A810" s="11" t="s">
        <v>697</v>
      </c>
      <c r="B810" s="25" t="s">
        <v>26</v>
      </c>
      <c r="C810" s="26" t="s">
        <v>50</v>
      </c>
      <c r="D810" s="26" t="s">
        <v>37</v>
      </c>
      <c r="E810" s="26" t="s">
        <v>689</v>
      </c>
      <c r="F810" s="26" t="s">
        <v>58</v>
      </c>
      <c r="G810" s="27">
        <f t="shared" si="554"/>
        <v>160000</v>
      </c>
      <c r="H810" s="27">
        <f t="shared" si="554"/>
        <v>160000</v>
      </c>
      <c r="I810" s="27">
        <f t="shared" si="554"/>
        <v>160000</v>
      </c>
      <c r="J810" s="16">
        <f>'БА в тыс. руб.'!G810*1000</f>
        <v>160000</v>
      </c>
      <c r="K810" s="169">
        <f t="shared" si="529"/>
        <v>0</v>
      </c>
      <c r="L810" s="16">
        <f>'БА в тыс. руб.'!H810*1000</f>
        <v>160000</v>
      </c>
      <c r="M810" s="169">
        <f t="shared" si="530"/>
        <v>0</v>
      </c>
      <c r="N810" s="16">
        <f>'БА в тыс. руб.'!I810*1000</f>
        <v>160000</v>
      </c>
      <c r="O810" s="169">
        <f t="shared" si="531"/>
        <v>0</v>
      </c>
    </row>
    <row r="811" spans="1:15" s="3" customFormat="1" ht="25.5">
      <c r="A811" s="11" t="s">
        <v>108</v>
      </c>
      <c r="B811" s="25" t="s">
        <v>26</v>
      </c>
      <c r="C811" s="26" t="s">
        <v>50</v>
      </c>
      <c r="D811" s="26" t="s">
        <v>37</v>
      </c>
      <c r="E811" s="26" t="s">
        <v>689</v>
      </c>
      <c r="F811" s="26" t="s">
        <v>116</v>
      </c>
      <c r="G811" s="27">
        <f>G812</f>
        <v>160000</v>
      </c>
      <c r="H811" s="27">
        <f t="shared" si="554"/>
        <v>160000</v>
      </c>
      <c r="I811" s="27">
        <f t="shared" si="554"/>
        <v>160000</v>
      </c>
      <c r="J811" s="16">
        <f>'БА в тыс. руб.'!G811*1000</f>
        <v>160000</v>
      </c>
      <c r="K811" s="169">
        <f t="shared" si="529"/>
        <v>0</v>
      </c>
      <c r="L811" s="16">
        <f>'БА в тыс. руб.'!H811*1000</f>
        <v>160000</v>
      </c>
      <c r="M811" s="169">
        <f t="shared" si="530"/>
        <v>0</v>
      </c>
      <c r="N811" s="16">
        <f>'БА в тыс. руб.'!I811*1000</f>
        <v>160000</v>
      </c>
      <c r="O811" s="169">
        <f t="shared" si="531"/>
        <v>0</v>
      </c>
    </row>
    <row r="812" spans="1:15" s="4" customFormat="1" ht="25.5">
      <c r="A812" s="12" t="s">
        <v>973</v>
      </c>
      <c r="B812" s="25" t="s">
        <v>26</v>
      </c>
      <c r="C812" s="26" t="s">
        <v>50</v>
      </c>
      <c r="D812" s="26" t="s">
        <v>37</v>
      </c>
      <c r="E812" s="26" t="s">
        <v>689</v>
      </c>
      <c r="F812" s="26" t="s">
        <v>1043</v>
      </c>
      <c r="G812" s="27">
        <f t="shared" ref="G812:G813" si="555">J812</f>
        <v>160000</v>
      </c>
      <c r="H812" s="27">
        <f t="shared" ref="H812:H813" si="556">L812</f>
        <v>160000</v>
      </c>
      <c r="I812" s="27">
        <f t="shared" ref="I812:I813" si="557">N812</f>
        <v>160000</v>
      </c>
      <c r="J812" s="16">
        <f>'БА в тыс. руб.'!G812*1000</f>
        <v>160000</v>
      </c>
      <c r="K812" s="169">
        <f t="shared" si="529"/>
        <v>0</v>
      </c>
      <c r="L812" s="16">
        <f>'БА в тыс. руб.'!H812*1000</f>
        <v>160000</v>
      </c>
      <c r="M812" s="169">
        <f t="shared" si="530"/>
        <v>0</v>
      </c>
      <c r="N812" s="16">
        <f>'БА в тыс. руб.'!I812*1000</f>
        <v>160000</v>
      </c>
      <c r="O812" s="169">
        <f t="shared" si="531"/>
        <v>0</v>
      </c>
    </row>
    <row r="813" spans="1:15" s="3" customFormat="1">
      <c r="A813" s="11"/>
      <c r="B813" s="25"/>
      <c r="C813" s="26"/>
      <c r="D813" s="26"/>
      <c r="E813" s="26"/>
      <c r="F813" s="26"/>
      <c r="G813" s="27">
        <f t="shared" si="555"/>
        <v>0</v>
      </c>
      <c r="H813" s="27">
        <f t="shared" si="556"/>
        <v>0</v>
      </c>
      <c r="I813" s="27">
        <f t="shared" si="557"/>
        <v>0</v>
      </c>
      <c r="J813" s="16">
        <f>'БА в тыс. руб.'!G813*1000</f>
        <v>0</v>
      </c>
      <c r="K813" s="169">
        <f t="shared" si="529"/>
        <v>0</v>
      </c>
      <c r="L813" s="16">
        <f>'БА в тыс. руб.'!H813*1000</f>
        <v>0</v>
      </c>
      <c r="M813" s="169">
        <f t="shared" si="530"/>
        <v>0</v>
      </c>
      <c r="N813" s="16">
        <f>'БА в тыс. руб.'!I813*1000</f>
        <v>0</v>
      </c>
      <c r="O813" s="169">
        <f t="shared" si="531"/>
        <v>0</v>
      </c>
    </row>
    <row r="814" spans="1:15" s="68" customFormat="1" ht="25.5">
      <c r="A814" s="28" t="s">
        <v>178</v>
      </c>
      <c r="B814" s="14" t="s">
        <v>62</v>
      </c>
      <c r="C814" s="15" t="s">
        <v>51</v>
      </c>
      <c r="D814" s="15" t="s">
        <v>51</v>
      </c>
      <c r="E814" s="15" t="s">
        <v>196</v>
      </c>
      <c r="F814" s="15" t="s">
        <v>58</v>
      </c>
      <c r="G814" s="117">
        <f>G823+G815</f>
        <v>1789669020</v>
      </c>
      <c r="H814" s="117">
        <f t="shared" ref="H814:I814" si="558">H823+H815</f>
        <v>1645296270</v>
      </c>
      <c r="I814" s="117">
        <f t="shared" si="558"/>
        <v>1801648700</v>
      </c>
      <c r="J814" s="16">
        <f>'БА в тыс. руб.'!G814*1000</f>
        <v>1789669020.0000005</v>
      </c>
      <c r="K814" s="169">
        <f t="shared" si="529"/>
        <v>0</v>
      </c>
      <c r="L814" s="16">
        <f>'БА в тыс. руб.'!H814*1000</f>
        <v>1645296270</v>
      </c>
      <c r="M814" s="169">
        <f t="shared" si="530"/>
        <v>0</v>
      </c>
      <c r="N814" s="16">
        <f>'БА в тыс. руб.'!I814*1000</f>
        <v>1801648700.0000002</v>
      </c>
      <c r="O814" s="169">
        <f t="shared" si="531"/>
        <v>0</v>
      </c>
    </row>
    <row r="815" spans="1:15" s="109" customFormat="1" ht="12.75">
      <c r="A815" s="17" t="s">
        <v>64</v>
      </c>
      <c r="B815" s="18" t="s">
        <v>62</v>
      </c>
      <c r="C815" s="19" t="s">
        <v>65</v>
      </c>
      <c r="D815" s="19" t="s">
        <v>51</v>
      </c>
      <c r="E815" s="19" t="s">
        <v>196</v>
      </c>
      <c r="F815" s="19" t="s">
        <v>58</v>
      </c>
      <c r="G815" s="20">
        <f t="shared" ref="G815:I821" si="559">G816</f>
        <v>6590</v>
      </c>
      <c r="H815" s="20">
        <f t="shared" si="559"/>
        <v>6590</v>
      </c>
      <c r="I815" s="20">
        <f t="shared" si="559"/>
        <v>6590</v>
      </c>
      <c r="J815" s="16">
        <f>'БА в тыс. руб.'!G815*1000</f>
        <v>6590</v>
      </c>
      <c r="K815" s="169">
        <f t="shared" si="529"/>
        <v>0</v>
      </c>
      <c r="L815" s="16">
        <f>'БА в тыс. руб.'!H815*1000</f>
        <v>6590</v>
      </c>
      <c r="M815" s="169">
        <f t="shared" si="530"/>
        <v>0</v>
      </c>
      <c r="N815" s="16">
        <f>'БА в тыс. руб.'!I815*1000</f>
        <v>6590</v>
      </c>
      <c r="O815" s="169">
        <f t="shared" si="531"/>
        <v>0</v>
      </c>
    </row>
    <row r="816" spans="1:15" s="109" customFormat="1" ht="12.75">
      <c r="A816" s="21" t="s">
        <v>38</v>
      </c>
      <c r="B816" s="22" t="s">
        <v>62</v>
      </c>
      <c r="C816" s="23" t="s">
        <v>65</v>
      </c>
      <c r="D816" s="23" t="s">
        <v>84</v>
      </c>
      <c r="E816" s="23" t="s">
        <v>196</v>
      </c>
      <c r="F816" s="23" t="s">
        <v>58</v>
      </c>
      <c r="G816" s="24">
        <f t="shared" si="559"/>
        <v>6590</v>
      </c>
      <c r="H816" s="24">
        <f t="shared" si="559"/>
        <v>6590</v>
      </c>
      <c r="I816" s="24">
        <f t="shared" si="559"/>
        <v>6590</v>
      </c>
      <c r="J816" s="16">
        <f>'БА в тыс. руб.'!G816*1000</f>
        <v>6590</v>
      </c>
      <c r="K816" s="169">
        <f t="shared" si="529"/>
        <v>0</v>
      </c>
      <c r="L816" s="16">
        <f>'БА в тыс. руб.'!H816*1000</f>
        <v>6590</v>
      </c>
      <c r="M816" s="169">
        <f t="shared" si="530"/>
        <v>0</v>
      </c>
      <c r="N816" s="16">
        <f>'БА в тыс. руб.'!I816*1000</f>
        <v>6590</v>
      </c>
      <c r="O816" s="169">
        <f t="shared" si="531"/>
        <v>0</v>
      </c>
    </row>
    <row r="817" spans="1:15" s="109" customFormat="1" ht="38.25">
      <c r="A817" s="13" t="s">
        <v>745</v>
      </c>
      <c r="B817" s="25" t="s">
        <v>62</v>
      </c>
      <c r="C817" s="26" t="s">
        <v>65</v>
      </c>
      <c r="D817" s="26" t="s">
        <v>84</v>
      </c>
      <c r="E817" s="26" t="s">
        <v>280</v>
      </c>
      <c r="F817" s="26" t="s">
        <v>58</v>
      </c>
      <c r="G817" s="27">
        <f t="shared" si="559"/>
        <v>6590</v>
      </c>
      <c r="H817" s="27">
        <f t="shared" si="559"/>
        <v>6590</v>
      </c>
      <c r="I817" s="27">
        <f t="shared" si="559"/>
        <v>6590</v>
      </c>
      <c r="J817" s="16">
        <f>'БА в тыс. руб.'!G817*1000</f>
        <v>6590</v>
      </c>
      <c r="K817" s="169">
        <f t="shared" si="529"/>
        <v>0</v>
      </c>
      <c r="L817" s="16">
        <f>'БА в тыс. руб.'!H817*1000</f>
        <v>6590</v>
      </c>
      <c r="M817" s="169">
        <f t="shared" si="530"/>
        <v>0</v>
      </c>
      <c r="N817" s="16">
        <f>'БА в тыс. руб.'!I817*1000</f>
        <v>6590</v>
      </c>
      <c r="O817" s="169">
        <f t="shared" si="531"/>
        <v>0</v>
      </c>
    </row>
    <row r="818" spans="1:15" s="109" customFormat="1" ht="51">
      <c r="A818" s="13" t="s">
        <v>746</v>
      </c>
      <c r="B818" s="25" t="s">
        <v>62</v>
      </c>
      <c r="C818" s="26" t="s">
        <v>65</v>
      </c>
      <c r="D818" s="26" t="s">
        <v>84</v>
      </c>
      <c r="E818" s="26" t="s">
        <v>281</v>
      </c>
      <c r="F818" s="26" t="s">
        <v>58</v>
      </c>
      <c r="G818" s="27">
        <f t="shared" si="559"/>
        <v>6590</v>
      </c>
      <c r="H818" s="27">
        <f t="shared" si="559"/>
        <v>6590</v>
      </c>
      <c r="I818" s="27">
        <f t="shared" si="559"/>
        <v>6590</v>
      </c>
      <c r="J818" s="16">
        <f>'БА в тыс. руб.'!G818*1000</f>
        <v>6590</v>
      </c>
      <c r="K818" s="169">
        <f t="shared" si="529"/>
        <v>0</v>
      </c>
      <c r="L818" s="16">
        <f>'БА в тыс. руб.'!H818*1000</f>
        <v>6590</v>
      </c>
      <c r="M818" s="169">
        <f t="shared" si="530"/>
        <v>0</v>
      </c>
      <c r="N818" s="16">
        <f>'БА в тыс. руб.'!I818*1000</f>
        <v>6590</v>
      </c>
      <c r="O818" s="169">
        <f t="shared" si="531"/>
        <v>0</v>
      </c>
    </row>
    <row r="819" spans="1:15" s="109" customFormat="1" ht="38.25">
      <c r="A819" s="11" t="s">
        <v>282</v>
      </c>
      <c r="B819" s="25" t="s">
        <v>62</v>
      </c>
      <c r="C819" s="26" t="s">
        <v>65</v>
      </c>
      <c r="D819" s="26" t="s">
        <v>84</v>
      </c>
      <c r="E819" s="26" t="s">
        <v>283</v>
      </c>
      <c r="F819" s="26" t="s">
        <v>58</v>
      </c>
      <c r="G819" s="27">
        <f t="shared" si="559"/>
        <v>6590</v>
      </c>
      <c r="H819" s="27">
        <f t="shared" si="559"/>
        <v>6590</v>
      </c>
      <c r="I819" s="27">
        <f t="shared" si="559"/>
        <v>6590</v>
      </c>
      <c r="J819" s="16">
        <f>'БА в тыс. руб.'!G819*1000</f>
        <v>6590</v>
      </c>
      <c r="K819" s="169">
        <f t="shared" si="529"/>
        <v>0</v>
      </c>
      <c r="L819" s="16">
        <f>'БА в тыс. руб.'!H819*1000</f>
        <v>6590</v>
      </c>
      <c r="M819" s="169">
        <f t="shared" si="530"/>
        <v>0</v>
      </c>
      <c r="N819" s="16">
        <f>'БА в тыс. руб.'!I819*1000</f>
        <v>6590</v>
      </c>
      <c r="O819" s="169">
        <f t="shared" si="531"/>
        <v>0</v>
      </c>
    </row>
    <row r="820" spans="1:15" s="68" customFormat="1" ht="25.5">
      <c r="A820" s="11" t="s">
        <v>859</v>
      </c>
      <c r="B820" s="25" t="s">
        <v>62</v>
      </c>
      <c r="C820" s="26" t="s">
        <v>65</v>
      </c>
      <c r="D820" s="26" t="s">
        <v>84</v>
      </c>
      <c r="E820" s="26" t="s">
        <v>858</v>
      </c>
      <c r="F820" s="26" t="s">
        <v>58</v>
      </c>
      <c r="G820" s="27">
        <f t="shared" si="559"/>
        <v>6590</v>
      </c>
      <c r="H820" s="27">
        <f t="shared" si="559"/>
        <v>6590</v>
      </c>
      <c r="I820" s="27">
        <f t="shared" si="559"/>
        <v>6590</v>
      </c>
      <c r="J820" s="16">
        <f>'БА в тыс. руб.'!G820*1000</f>
        <v>6590</v>
      </c>
      <c r="K820" s="169">
        <f t="shared" si="529"/>
        <v>0</v>
      </c>
      <c r="L820" s="16">
        <f>'БА в тыс. руб.'!H820*1000</f>
        <v>6590</v>
      </c>
      <c r="M820" s="169">
        <f t="shared" si="530"/>
        <v>0</v>
      </c>
      <c r="N820" s="16">
        <f>'БА в тыс. руб.'!I820*1000</f>
        <v>6590</v>
      </c>
      <c r="O820" s="169">
        <f t="shared" si="531"/>
        <v>0</v>
      </c>
    </row>
    <row r="821" spans="1:15" s="68" customFormat="1" ht="25.5">
      <c r="A821" s="11" t="s">
        <v>108</v>
      </c>
      <c r="B821" s="25" t="s">
        <v>62</v>
      </c>
      <c r="C821" s="26" t="s">
        <v>65</v>
      </c>
      <c r="D821" s="26" t="s">
        <v>84</v>
      </c>
      <c r="E821" s="26" t="s">
        <v>858</v>
      </c>
      <c r="F821" s="26" t="s">
        <v>116</v>
      </c>
      <c r="G821" s="27">
        <f>G822</f>
        <v>6590</v>
      </c>
      <c r="H821" s="27">
        <f t="shared" si="559"/>
        <v>6590</v>
      </c>
      <c r="I821" s="27">
        <f t="shared" si="559"/>
        <v>6590</v>
      </c>
      <c r="J821" s="16">
        <f>'БА в тыс. руб.'!G821*1000</f>
        <v>6590</v>
      </c>
      <c r="K821" s="169">
        <f t="shared" si="529"/>
        <v>0</v>
      </c>
      <c r="L821" s="16">
        <f>'БА в тыс. руб.'!H821*1000</f>
        <v>6590</v>
      </c>
      <c r="M821" s="169">
        <f t="shared" si="530"/>
        <v>0</v>
      </c>
      <c r="N821" s="16">
        <f>'БА в тыс. руб.'!I821*1000</f>
        <v>6590</v>
      </c>
      <c r="O821" s="169">
        <f t="shared" si="531"/>
        <v>0</v>
      </c>
    </row>
    <row r="822" spans="1:15" s="118" customFormat="1" ht="25.5">
      <c r="A822" s="12" t="s">
        <v>973</v>
      </c>
      <c r="B822" s="25" t="s">
        <v>62</v>
      </c>
      <c r="C822" s="26" t="s">
        <v>65</v>
      </c>
      <c r="D822" s="26" t="s">
        <v>84</v>
      </c>
      <c r="E822" s="26" t="s">
        <v>858</v>
      </c>
      <c r="F822" s="26" t="s">
        <v>1043</v>
      </c>
      <c r="G822" s="27">
        <f t="shared" ref="G822" si="560">J822</f>
        <v>6590</v>
      </c>
      <c r="H822" s="27">
        <f>L822</f>
        <v>6590</v>
      </c>
      <c r="I822" s="27">
        <f>N822</f>
        <v>6590</v>
      </c>
      <c r="J822" s="16">
        <f>'БА в тыс. руб.'!G822*1000</f>
        <v>6590</v>
      </c>
      <c r="K822" s="169">
        <f t="shared" si="529"/>
        <v>0</v>
      </c>
      <c r="L822" s="16">
        <f>'БА в тыс. руб.'!H822*1000</f>
        <v>6590</v>
      </c>
      <c r="M822" s="169">
        <f t="shared" si="530"/>
        <v>0</v>
      </c>
      <c r="N822" s="16">
        <f>'БА в тыс. руб.'!I822*1000</f>
        <v>6590</v>
      </c>
      <c r="O822" s="169">
        <f t="shared" si="531"/>
        <v>0</v>
      </c>
    </row>
    <row r="823" spans="1:15" s="30" customFormat="1">
      <c r="A823" s="17" t="s">
        <v>49</v>
      </c>
      <c r="B823" s="18" t="s">
        <v>62</v>
      </c>
      <c r="C823" s="19" t="s">
        <v>14</v>
      </c>
      <c r="D823" s="19" t="s">
        <v>51</v>
      </c>
      <c r="E823" s="19" t="s">
        <v>196</v>
      </c>
      <c r="F823" s="19" t="s">
        <v>58</v>
      </c>
      <c r="G823" s="20">
        <f>G824+G960+G970</f>
        <v>1789662430</v>
      </c>
      <c r="H823" s="20">
        <f>H824+H960+H970</f>
        <v>1645289680</v>
      </c>
      <c r="I823" s="20">
        <f>I824+I960+I970</f>
        <v>1801642110</v>
      </c>
      <c r="J823" s="16">
        <f>'БА в тыс. руб.'!G823*1000</f>
        <v>1789662430.0000005</v>
      </c>
      <c r="K823" s="169">
        <f t="shared" si="529"/>
        <v>0</v>
      </c>
      <c r="L823" s="16">
        <f>'БА в тыс. руб.'!H823*1000</f>
        <v>1645289680</v>
      </c>
      <c r="M823" s="169">
        <f t="shared" si="530"/>
        <v>0</v>
      </c>
      <c r="N823" s="16">
        <f>'БА в тыс. руб.'!I823*1000</f>
        <v>1801642110</v>
      </c>
      <c r="O823" s="169">
        <f t="shared" si="531"/>
        <v>0</v>
      </c>
    </row>
    <row r="824" spans="1:15" s="30" customFormat="1">
      <c r="A824" s="21" t="s">
        <v>63</v>
      </c>
      <c r="B824" s="22" t="s">
        <v>62</v>
      </c>
      <c r="C824" s="23" t="s">
        <v>14</v>
      </c>
      <c r="D824" s="23" t="s">
        <v>53</v>
      </c>
      <c r="E824" s="23" t="s">
        <v>196</v>
      </c>
      <c r="F824" s="23" t="s">
        <v>58</v>
      </c>
      <c r="G824" s="24">
        <f>G825</f>
        <v>1597546070</v>
      </c>
      <c r="H824" s="24">
        <f>H825</f>
        <v>1453291780</v>
      </c>
      <c r="I824" s="24">
        <f>I825</f>
        <v>1609572210</v>
      </c>
      <c r="J824" s="16">
        <f>'БА в тыс. руб.'!G824*1000</f>
        <v>1597546070.0000002</v>
      </c>
      <c r="K824" s="169">
        <f t="shared" si="529"/>
        <v>0</v>
      </c>
      <c r="L824" s="16">
        <f>'БА в тыс. руб.'!H824*1000</f>
        <v>1453291780</v>
      </c>
      <c r="M824" s="169">
        <f t="shared" si="530"/>
        <v>0</v>
      </c>
      <c r="N824" s="16">
        <f>'БА в тыс. руб.'!I824*1000</f>
        <v>1609572210.0000002</v>
      </c>
      <c r="O824" s="169">
        <f t="shared" si="531"/>
        <v>0</v>
      </c>
    </row>
    <row r="825" spans="1:15" s="30" customFormat="1" ht="25.5">
      <c r="A825" s="31" t="s">
        <v>727</v>
      </c>
      <c r="B825" s="25" t="s">
        <v>62</v>
      </c>
      <c r="C825" s="26" t="s">
        <v>14</v>
      </c>
      <c r="D825" s="26" t="s">
        <v>53</v>
      </c>
      <c r="E825" s="26" t="s">
        <v>327</v>
      </c>
      <c r="F825" s="26" t="s">
        <v>58</v>
      </c>
      <c r="G825" s="161">
        <f>G826+G906+G955</f>
        <v>1597546070</v>
      </c>
      <c r="H825" s="161">
        <f t="shared" ref="H825:I825" si="561">H826+H906+H955</f>
        <v>1453291780</v>
      </c>
      <c r="I825" s="161">
        <f t="shared" si="561"/>
        <v>1609572210</v>
      </c>
      <c r="J825" s="16">
        <f>'БА в тыс. руб.'!G825*1000</f>
        <v>1597546070.0000002</v>
      </c>
      <c r="K825" s="169">
        <f t="shared" si="529"/>
        <v>0</v>
      </c>
      <c r="L825" s="16">
        <f>'БА в тыс. руб.'!H825*1000</f>
        <v>1453291780</v>
      </c>
      <c r="M825" s="169">
        <f t="shared" si="530"/>
        <v>0</v>
      </c>
      <c r="N825" s="16">
        <f>'БА в тыс. руб.'!I825*1000</f>
        <v>1609572210.0000002</v>
      </c>
      <c r="O825" s="169">
        <f t="shared" si="531"/>
        <v>0</v>
      </c>
    </row>
    <row r="826" spans="1:15" s="30" customFormat="1" ht="38.25">
      <c r="A826" s="120" t="s">
        <v>728</v>
      </c>
      <c r="B826" s="25" t="s">
        <v>62</v>
      </c>
      <c r="C826" s="26" t="s">
        <v>14</v>
      </c>
      <c r="D826" s="26" t="s">
        <v>53</v>
      </c>
      <c r="E826" s="26" t="s">
        <v>392</v>
      </c>
      <c r="F826" s="26" t="s">
        <v>58</v>
      </c>
      <c r="G826" s="161">
        <f>G827+G884</f>
        <v>1573970700</v>
      </c>
      <c r="H826" s="161">
        <f>H827+H884</f>
        <v>1431232370</v>
      </c>
      <c r="I826" s="161">
        <f>I827+I884</f>
        <v>1587512800</v>
      </c>
      <c r="J826" s="16">
        <f>'БА в тыс. руб.'!G826*1000</f>
        <v>1573970700.0000002</v>
      </c>
      <c r="K826" s="169">
        <f t="shared" si="529"/>
        <v>0</v>
      </c>
      <c r="L826" s="16">
        <f>'БА в тыс. руб.'!H826*1000</f>
        <v>1431232370</v>
      </c>
      <c r="M826" s="169">
        <f t="shared" si="530"/>
        <v>0</v>
      </c>
      <c r="N826" s="16">
        <f>'БА в тыс. руб.'!I826*1000</f>
        <v>1587512800.0000002</v>
      </c>
      <c r="O826" s="169">
        <f t="shared" si="531"/>
        <v>0</v>
      </c>
    </row>
    <row r="827" spans="1:15" s="30" customFormat="1" ht="25.5">
      <c r="A827" s="152" t="s">
        <v>393</v>
      </c>
      <c r="B827" s="25" t="s">
        <v>62</v>
      </c>
      <c r="C827" s="26" t="s">
        <v>14</v>
      </c>
      <c r="D827" s="26" t="s">
        <v>53</v>
      </c>
      <c r="E827" s="26" t="s">
        <v>394</v>
      </c>
      <c r="F827" s="26" t="s">
        <v>58</v>
      </c>
      <c r="G827" s="119">
        <f>G828+G833+G841+G846+G849+G854+G859+G864+G869+G874+G879</f>
        <v>1255740060</v>
      </c>
      <c r="H827" s="119">
        <f t="shared" ref="H827:I827" si="562">H828+H833+H841+H846+H849+H854+H859+H864+H869+H874+H879</f>
        <v>1120001490</v>
      </c>
      <c r="I827" s="119">
        <f t="shared" si="562"/>
        <v>1252406710</v>
      </c>
      <c r="J827" s="16">
        <f>'БА в тыс. руб.'!G827*1000</f>
        <v>1255740060</v>
      </c>
      <c r="K827" s="169">
        <f t="shared" si="529"/>
        <v>0</v>
      </c>
      <c r="L827" s="16">
        <f>'БА в тыс. руб.'!H827*1000</f>
        <v>1120001490</v>
      </c>
      <c r="M827" s="169">
        <f t="shared" si="530"/>
        <v>0</v>
      </c>
      <c r="N827" s="16">
        <f>'БА в тыс. руб.'!I827*1000</f>
        <v>1252406710.0000002</v>
      </c>
      <c r="O827" s="169">
        <f t="shared" si="531"/>
        <v>0</v>
      </c>
    </row>
    <row r="828" spans="1:15" s="30" customFormat="1" ht="25.5">
      <c r="A828" s="31" t="s">
        <v>593</v>
      </c>
      <c r="B828" s="25" t="s">
        <v>62</v>
      </c>
      <c r="C828" s="26" t="s">
        <v>14</v>
      </c>
      <c r="D828" s="26" t="s">
        <v>53</v>
      </c>
      <c r="E828" s="26" t="s">
        <v>395</v>
      </c>
      <c r="F828" s="26" t="s">
        <v>58</v>
      </c>
      <c r="G828" s="119">
        <f>G829+G831</f>
        <v>15553000</v>
      </c>
      <c r="H828" s="119">
        <f>H829+H831</f>
        <v>15553000</v>
      </c>
      <c r="I828" s="119">
        <f>I829+I831</f>
        <v>15553000</v>
      </c>
      <c r="J828" s="16">
        <f>'БА в тыс. руб.'!G828*1000</f>
        <v>15553000</v>
      </c>
      <c r="K828" s="169">
        <f t="shared" si="529"/>
        <v>0</v>
      </c>
      <c r="L828" s="16">
        <f>'БА в тыс. руб.'!H828*1000</f>
        <v>15553000</v>
      </c>
      <c r="M828" s="169">
        <f t="shared" si="530"/>
        <v>0</v>
      </c>
      <c r="N828" s="16">
        <f>'БА в тыс. руб.'!I828*1000</f>
        <v>15553000</v>
      </c>
      <c r="O828" s="169">
        <f t="shared" si="531"/>
        <v>0</v>
      </c>
    </row>
    <row r="829" spans="1:15" s="30" customFormat="1" ht="25.5">
      <c r="A829" s="11" t="s">
        <v>108</v>
      </c>
      <c r="B829" s="25" t="s">
        <v>62</v>
      </c>
      <c r="C829" s="26" t="s">
        <v>14</v>
      </c>
      <c r="D829" s="26" t="s">
        <v>53</v>
      </c>
      <c r="E829" s="26" t="s">
        <v>395</v>
      </c>
      <c r="F829" s="26" t="s">
        <v>116</v>
      </c>
      <c r="G829" s="119">
        <f>G830</f>
        <v>229840</v>
      </c>
      <c r="H829" s="119">
        <f t="shared" ref="H829:I829" si="563">H830</f>
        <v>229840</v>
      </c>
      <c r="I829" s="119">
        <f t="shared" si="563"/>
        <v>229840</v>
      </c>
      <c r="J829" s="16">
        <f>'БА в тыс. руб.'!G829*1000</f>
        <v>229840</v>
      </c>
      <c r="K829" s="169">
        <f t="shared" si="529"/>
        <v>0</v>
      </c>
      <c r="L829" s="16">
        <f>'БА в тыс. руб.'!H829*1000</f>
        <v>229840</v>
      </c>
      <c r="M829" s="169">
        <f t="shared" si="530"/>
        <v>0</v>
      </c>
      <c r="N829" s="16">
        <f>'БА в тыс. руб.'!I829*1000</f>
        <v>229840</v>
      </c>
      <c r="O829" s="169">
        <f t="shared" si="531"/>
        <v>0</v>
      </c>
    </row>
    <row r="830" spans="1:15" s="83" customFormat="1" ht="25.5">
      <c r="A830" s="12" t="s">
        <v>973</v>
      </c>
      <c r="B830" s="25" t="s">
        <v>62</v>
      </c>
      <c r="C830" s="26" t="s">
        <v>14</v>
      </c>
      <c r="D830" s="26" t="s">
        <v>53</v>
      </c>
      <c r="E830" s="26" t="s">
        <v>395</v>
      </c>
      <c r="F830" s="26" t="s">
        <v>1043</v>
      </c>
      <c r="G830" s="27">
        <f t="shared" ref="G830" si="564">J830</f>
        <v>229840</v>
      </c>
      <c r="H830" s="27">
        <f>L830</f>
        <v>229840</v>
      </c>
      <c r="I830" s="27">
        <f>N830</f>
        <v>229840</v>
      </c>
      <c r="J830" s="16">
        <f>'БА в тыс. руб.'!G830*1000</f>
        <v>229840</v>
      </c>
      <c r="K830" s="169">
        <f t="shared" si="529"/>
        <v>0</v>
      </c>
      <c r="L830" s="16">
        <f>'БА в тыс. руб.'!H830*1000</f>
        <v>229840</v>
      </c>
      <c r="M830" s="169">
        <f t="shared" si="530"/>
        <v>0</v>
      </c>
      <c r="N830" s="16">
        <f>'БА в тыс. руб.'!I830*1000</f>
        <v>229840</v>
      </c>
      <c r="O830" s="169">
        <f t="shared" si="531"/>
        <v>0</v>
      </c>
    </row>
    <row r="831" spans="1:15" s="30" customFormat="1">
      <c r="A831" s="13" t="s">
        <v>109</v>
      </c>
      <c r="B831" s="25" t="s">
        <v>62</v>
      </c>
      <c r="C831" s="26" t="s">
        <v>14</v>
      </c>
      <c r="D831" s="26" t="s">
        <v>53</v>
      </c>
      <c r="E831" s="26" t="s">
        <v>395</v>
      </c>
      <c r="F831" s="26" t="s">
        <v>134</v>
      </c>
      <c r="G831" s="119">
        <f>G832</f>
        <v>15323160</v>
      </c>
      <c r="H831" s="119">
        <f t="shared" ref="H831:I831" si="565">H832</f>
        <v>15323160</v>
      </c>
      <c r="I831" s="119">
        <f t="shared" si="565"/>
        <v>15323160</v>
      </c>
      <c r="J831" s="16">
        <f>'БА в тыс. руб.'!G831*1000</f>
        <v>15323160</v>
      </c>
      <c r="K831" s="169">
        <f t="shared" si="529"/>
        <v>0</v>
      </c>
      <c r="L831" s="16">
        <f>'БА в тыс. руб.'!H831*1000</f>
        <v>15323160</v>
      </c>
      <c r="M831" s="169">
        <f t="shared" si="530"/>
        <v>0</v>
      </c>
      <c r="N831" s="16">
        <f>'БА в тыс. руб.'!I831*1000</f>
        <v>15323160</v>
      </c>
      <c r="O831" s="169">
        <f t="shared" si="531"/>
        <v>0</v>
      </c>
    </row>
    <row r="832" spans="1:15" s="83" customFormat="1" ht="25.5">
      <c r="A832" s="12" t="s">
        <v>978</v>
      </c>
      <c r="B832" s="25" t="s">
        <v>62</v>
      </c>
      <c r="C832" s="26" t="s">
        <v>14</v>
      </c>
      <c r="D832" s="26" t="s">
        <v>53</v>
      </c>
      <c r="E832" s="26" t="s">
        <v>395</v>
      </c>
      <c r="F832" s="26" t="s">
        <v>1064</v>
      </c>
      <c r="G832" s="27">
        <f t="shared" ref="G832" si="566">J832</f>
        <v>15323160</v>
      </c>
      <c r="H832" s="27">
        <f>L832</f>
        <v>15323160</v>
      </c>
      <c r="I832" s="27">
        <f>N832</f>
        <v>15323160</v>
      </c>
      <c r="J832" s="16">
        <f>'БА в тыс. руб.'!G832*1000</f>
        <v>15323160</v>
      </c>
      <c r="K832" s="169">
        <f t="shared" si="529"/>
        <v>0</v>
      </c>
      <c r="L832" s="16">
        <f>'БА в тыс. руб.'!H832*1000</f>
        <v>15323160</v>
      </c>
      <c r="M832" s="169">
        <f t="shared" si="530"/>
        <v>0</v>
      </c>
      <c r="N832" s="16">
        <f>'БА в тыс. руб.'!I832*1000</f>
        <v>15323160</v>
      </c>
      <c r="O832" s="169">
        <f t="shared" si="531"/>
        <v>0</v>
      </c>
    </row>
    <row r="833" spans="1:15" s="30" customFormat="1" ht="25.5">
      <c r="A833" s="31" t="s">
        <v>396</v>
      </c>
      <c r="B833" s="25" t="s">
        <v>62</v>
      </c>
      <c r="C833" s="26" t="s">
        <v>14</v>
      </c>
      <c r="D833" s="26" t="s">
        <v>53</v>
      </c>
      <c r="E833" s="26" t="s">
        <v>397</v>
      </c>
      <c r="F833" s="26" t="s">
        <v>58</v>
      </c>
      <c r="G833" s="119">
        <f>G834+G837+G839</f>
        <v>340047600</v>
      </c>
      <c r="H833" s="119">
        <f>H834+H837+H839</f>
        <v>340355020</v>
      </c>
      <c r="I833" s="119">
        <f>I834+I837+I839</f>
        <v>340145820</v>
      </c>
      <c r="J833" s="16">
        <f>'БА в тыс. руб.'!G833*1000</f>
        <v>340047600</v>
      </c>
      <c r="K833" s="169">
        <f t="shared" si="529"/>
        <v>0</v>
      </c>
      <c r="L833" s="16">
        <f>'БА в тыс. руб.'!H833*1000</f>
        <v>340355020</v>
      </c>
      <c r="M833" s="169">
        <f t="shared" si="530"/>
        <v>0</v>
      </c>
      <c r="N833" s="16">
        <f>'БА в тыс. руб.'!I833*1000</f>
        <v>340145820</v>
      </c>
      <c r="O833" s="169">
        <f t="shared" si="531"/>
        <v>0</v>
      </c>
    </row>
    <row r="834" spans="1:15" s="30" customFormat="1" ht="25.5">
      <c r="A834" s="12" t="s">
        <v>107</v>
      </c>
      <c r="B834" s="25" t="s">
        <v>62</v>
      </c>
      <c r="C834" s="26" t="s">
        <v>14</v>
      </c>
      <c r="D834" s="26" t="s">
        <v>53</v>
      </c>
      <c r="E834" s="26" t="s">
        <v>397</v>
      </c>
      <c r="F834" s="26" t="s">
        <v>115</v>
      </c>
      <c r="G834" s="119">
        <f>SUM(G835:G836)</f>
        <v>1654900</v>
      </c>
      <c r="H834" s="119">
        <f t="shared" ref="H834:I834" si="567">SUM(H835:H836)</f>
        <v>1654900</v>
      </c>
      <c r="I834" s="119">
        <f t="shared" si="567"/>
        <v>1654900</v>
      </c>
      <c r="J834" s="16">
        <f>'БА в тыс. руб.'!G834*1000</f>
        <v>1654900</v>
      </c>
      <c r="K834" s="169">
        <f t="shared" si="529"/>
        <v>0</v>
      </c>
      <c r="L834" s="16">
        <f>'БА в тыс. руб.'!H834*1000</f>
        <v>1654900</v>
      </c>
      <c r="M834" s="169">
        <f t="shared" si="530"/>
        <v>0</v>
      </c>
      <c r="N834" s="16">
        <f>'БА в тыс. руб.'!I834*1000</f>
        <v>1654900</v>
      </c>
      <c r="O834" s="169">
        <f t="shared" si="531"/>
        <v>0</v>
      </c>
    </row>
    <row r="835" spans="1:15" s="83" customFormat="1">
      <c r="A835" s="12" t="s">
        <v>936</v>
      </c>
      <c r="B835" s="25" t="s">
        <v>62</v>
      </c>
      <c r="C835" s="26" t="s">
        <v>14</v>
      </c>
      <c r="D835" s="26" t="s">
        <v>53</v>
      </c>
      <c r="E835" s="26" t="s">
        <v>397</v>
      </c>
      <c r="F835" s="26" t="s">
        <v>1063</v>
      </c>
      <c r="G835" s="27">
        <f t="shared" ref="G835:G836" si="568">J835</f>
        <v>1300000</v>
      </c>
      <c r="H835" s="27">
        <f t="shared" ref="H835:H836" si="569">L835</f>
        <v>1300000</v>
      </c>
      <c r="I835" s="27">
        <f t="shared" ref="I835:I836" si="570">N835</f>
        <v>1300000</v>
      </c>
      <c r="J835" s="16">
        <f>'БА в тыс. руб.'!G835*1000</f>
        <v>1300000</v>
      </c>
      <c r="K835" s="169">
        <f t="shared" si="529"/>
        <v>0</v>
      </c>
      <c r="L835" s="16">
        <f>'БА в тыс. руб.'!H835*1000</f>
        <v>1300000</v>
      </c>
      <c r="M835" s="169">
        <f t="shared" si="530"/>
        <v>0</v>
      </c>
      <c r="N835" s="16">
        <f>'БА в тыс. руб.'!I835*1000</f>
        <v>1300000</v>
      </c>
      <c r="O835" s="169">
        <f t="shared" si="531"/>
        <v>0</v>
      </c>
    </row>
    <row r="836" spans="1:15" s="83" customFormat="1" ht="38.25">
      <c r="A836" s="12" t="s">
        <v>939</v>
      </c>
      <c r="B836" s="25" t="s">
        <v>62</v>
      </c>
      <c r="C836" s="26" t="s">
        <v>14</v>
      </c>
      <c r="D836" s="26" t="s">
        <v>53</v>
      </c>
      <c r="E836" s="26" t="s">
        <v>397</v>
      </c>
      <c r="F836" s="26" t="s">
        <v>1060</v>
      </c>
      <c r="G836" s="27">
        <f t="shared" si="568"/>
        <v>354900</v>
      </c>
      <c r="H836" s="27">
        <f t="shared" si="569"/>
        <v>354900</v>
      </c>
      <c r="I836" s="27">
        <f t="shared" si="570"/>
        <v>354900</v>
      </c>
      <c r="J836" s="16">
        <f>'БА в тыс. руб.'!G836*1000</f>
        <v>354900</v>
      </c>
      <c r="K836" s="169">
        <f t="shared" si="529"/>
        <v>0</v>
      </c>
      <c r="L836" s="16">
        <f>'БА в тыс. руб.'!H836*1000</f>
        <v>354900</v>
      </c>
      <c r="M836" s="169">
        <f t="shared" si="530"/>
        <v>0</v>
      </c>
      <c r="N836" s="16">
        <f>'БА в тыс. руб.'!I836*1000</f>
        <v>354900</v>
      </c>
      <c r="O836" s="169">
        <f t="shared" si="531"/>
        <v>0</v>
      </c>
    </row>
    <row r="837" spans="1:15" s="30" customFormat="1" ht="25.5">
      <c r="A837" s="11" t="s">
        <v>108</v>
      </c>
      <c r="B837" s="25" t="s">
        <v>62</v>
      </c>
      <c r="C837" s="26" t="s">
        <v>14</v>
      </c>
      <c r="D837" s="26" t="s">
        <v>53</v>
      </c>
      <c r="E837" s="26" t="s">
        <v>397</v>
      </c>
      <c r="F837" s="26" t="s">
        <v>116</v>
      </c>
      <c r="G837" s="119">
        <f>G838</f>
        <v>3369700</v>
      </c>
      <c r="H837" s="119">
        <f t="shared" ref="H837:I837" si="571">H838</f>
        <v>3374920</v>
      </c>
      <c r="I837" s="119">
        <f t="shared" si="571"/>
        <v>3371900</v>
      </c>
      <c r="J837" s="16">
        <f>'БА в тыс. руб.'!G837*1000</f>
        <v>3369700</v>
      </c>
      <c r="K837" s="169">
        <f t="shared" si="529"/>
        <v>0</v>
      </c>
      <c r="L837" s="16">
        <f>'БА в тыс. руб.'!H837*1000</f>
        <v>3374920</v>
      </c>
      <c r="M837" s="169">
        <f t="shared" si="530"/>
        <v>0</v>
      </c>
      <c r="N837" s="16">
        <f>'БА в тыс. руб.'!I837*1000</f>
        <v>3371900</v>
      </c>
      <c r="O837" s="169">
        <f t="shared" si="531"/>
        <v>0</v>
      </c>
    </row>
    <row r="838" spans="1:15" s="83" customFormat="1" ht="25.5">
      <c r="A838" s="12" t="s">
        <v>973</v>
      </c>
      <c r="B838" s="25" t="s">
        <v>62</v>
      </c>
      <c r="C838" s="26" t="s">
        <v>14</v>
      </c>
      <c r="D838" s="26" t="s">
        <v>53</v>
      </c>
      <c r="E838" s="26" t="s">
        <v>397</v>
      </c>
      <c r="F838" s="26" t="s">
        <v>1043</v>
      </c>
      <c r="G838" s="27">
        <f t="shared" ref="G838" si="572">J838</f>
        <v>3369700</v>
      </c>
      <c r="H838" s="27">
        <f>L838</f>
        <v>3374920</v>
      </c>
      <c r="I838" s="27">
        <f>N838</f>
        <v>3371900</v>
      </c>
      <c r="J838" s="16">
        <f>'БА в тыс. руб.'!G838*1000</f>
        <v>3369700</v>
      </c>
      <c r="K838" s="169">
        <f t="shared" si="529"/>
        <v>0</v>
      </c>
      <c r="L838" s="16">
        <f>'БА в тыс. руб.'!H838*1000</f>
        <v>3374920</v>
      </c>
      <c r="M838" s="169">
        <f t="shared" si="530"/>
        <v>0</v>
      </c>
      <c r="N838" s="16">
        <f>'БА в тыс. руб.'!I838*1000</f>
        <v>3371900</v>
      </c>
      <c r="O838" s="169">
        <f t="shared" si="531"/>
        <v>0</v>
      </c>
    </row>
    <row r="839" spans="1:15" s="30" customFormat="1">
      <c r="A839" s="13" t="s">
        <v>109</v>
      </c>
      <c r="B839" s="25" t="s">
        <v>62</v>
      </c>
      <c r="C839" s="26" t="s">
        <v>14</v>
      </c>
      <c r="D839" s="26" t="s">
        <v>53</v>
      </c>
      <c r="E839" s="26" t="s">
        <v>397</v>
      </c>
      <c r="F839" s="26" t="s">
        <v>134</v>
      </c>
      <c r="G839" s="119">
        <f>G840</f>
        <v>335023000</v>
      </c>
      <c r="H839" s="119">
        <f t="shared" ref="H839:I839" si="573">H840</f>
        <v>335325200</v>
      </c>
      <c r="I839" s="119">
        <f t="shared" si="573"/>
        <v>335119020</v>
      </c>
      <c r="J839" s="16">
        <f>'БА в тыс. руб.'!G839*1000</f>
        <v>335023000</v>
      </c>
      <c r="K839" s="169">
        <f t="shared" si="529"/>
        <v>0</v>
      </c>
      <c r="L839" s="16">
        <f>'БА в тыс. руб.'!H839*1000</f>
        <v>335325200</v>
      </c>
      <c r="M839" s="169">
        <f t="shared" si="530"/>
        <v>0</v>
      </c>
      <c r="N839" s="16">
        <f>'БА в тыс. руб.'!I839*1000</f>
        <v>335119020</v>
      </c>
      <c r="O839" s="169">
        <f t="shared" si="531"/>
        <v>0</v>
      </c>
    </row>
    <row r="840" spans="1:15" s="83" customFormat="1" ht="25.5">
      <c r="A840" s="12" t="s">
        <v>978</v>
      </c>
      <c r="B840" s="25" t="s">
        <v>62</v>
      </c>
      <c r="C840" s="26" t="s">
        <v>14</v>
      </c>
      <c r="D840" s="26" t="s">
        <v>53</v>
      </c>
      <c r="E840" s="26" t="s">
        <v>397</v>
      </c>
      <c r="F840" s="26" t="s">
        <v>1064</v>
      </c>
      <c r="G840" s="27">
        <f t="shared" ref="G840" si="574">J840</f>
        <v>335023000</v>
      </c>
      <c r="H840" s="27">
        <f>L840</f>
        <v>335325200</v>
      </c>
      <c r="I840" s="27">
        <f>N840</f>
        <v>335119020</v>
      </c>
      <c r="J840" s="16">
        <f>'БА в тыс. руб.'!G840*1000</f>
        <v>335023000</v>
      </c>
      <c r="K840" s="169">
        <f t="shared" ref="K840:K903" si="575">J840-G840</f>
        <v>0</v>
      </c>
      <c r="L840" s="16">
        <f>'БА в тыс. руб.'!H840*1000</f>
        <v>335325200</v>
      </c>
      <c r="M840" s="169">
        <f t="shared" ref="M840:M903" si="576">L840-H840</f>
        <v>0</v>
      </c>
      <c r="N840" s="16">
        <f>'БА в тыс. руб.'!I840*1000</f>
        <v>335119020</v>
      </c>
      <c r="O840" s="169">
        <f t="shared" ref="O840:O903" si="577">N840-I840</f>
        <v>0</v>
      </c>
    </row>
    <row r="841" spans="1:15" s="30" customFormat="1" ht="114.75">
      <c r="A841" s="162" t="s">
        <v>887</v>
      </c>
      <c r="B841" s="25" t="s">
        <v>62</v>
      </c>
      <c r="C841" s="26" t="s">
        <v>14</v>
      </c>
      <c r="D841" s="26" t="s">
        <v>53</v>
      </c>
      <c r="E841" s="26" t="s">
        <v>398</v>
      </c>
      <c r="F841" s="26" t="s">
        <v>58</v>
      </c>
      <c r="G841" s="119">
        <f>G842+G844</f>
        <v>120100</v>
      </c>
      <c r="H841" s="119">
        <f>H842+H844</f>
        <v>120000</v>
      </c>
      <c r="I841" s="119">
        <f>I842+I844</f>
        <v>120000</v>
      </c>
      <c r="J841" s="16">
        <f>'БА в тыс. руб.'!G841*1000</f>
        <v>120100</v>
      </c>
      <c r="K841" s="169">
        <f t="shared" si="575"/>
        <v>0</v>
      </c>
      <c r="L841" s="16">
        <f>'БА в тыс. руб.'!H841*1000</f>
        <v>120000</v>
      </c>
      <c r="M841" s="169">
        <f t="shared" si="576"/>
        <v>0</v>
      </c>
      <c r="N841" s="16">
        <f>'БА в тыс. руб.'!I841*1000</f>
        <v>120000</v>
      </c>
      <c r="O841" s="169">
        <f t="shared" si="577"/>
        <v>0</v>
      </c>
    </row>
    <row r="842" spans="1:15" s="30" customFormat="1" ht="25.5">
      <c r="A842" s="11" t="s">
        <v>108</v>
      </c>
      <c r="B842" s="25" t="s">
        <v>62</v>
      </c>
      <c r="C842" s="26" t="s">
        <v>14</v>
      </c>
      <c r="D842" s="26" t="s">
        <v>53</v>
      </c>
      <c r="E842" s="26" t="s">
        <v>398</v>
      </c>
      <c r="F842" s="26" t="s">
        <v>116</v>
      </c>
      <c r="G842" s="119">
        <f>G843</f>
        <v>1600</v>
      </c>
      <c r="H842" s="119">
        <f t="shared" ref="H842:I842" si="578">H843</f>
        <v>1590</v>
      </c>
      <c r="I842" s="119">
        <f t="shared" si="578"/>
        <v>1590</v>
      </c>
      <c r="J842" s="16">
        <f>'БА в тыс. руб.'!G842*1000</f>
        <v>1600</v>
      </c>
      <c r="K842" s="169">
        <f t="shared" si="575"/>
        <v>0</v>
      </c>
      <c r="L842" s="16">
        <f>'БА в тыс. руб.'!H842*1000</f>
        <v>1590</v>
      </c>
      <c r="M842" s="169">
        <f t="shared" si="576"/>
        <v>0</v>
      </c>
      <c r="N842" s="16">
        <f>'БА в тыс. руб.'!I842*1000</f>
        <v>1590</v>
      </c>
      <c r="O842" s="169">
        <f t="shared" si="577"/>
        <v>0</v>
      </c>
    </row>
    <row r="843" spans="1:15" s="83" customFormat="1" ht="25.5">
      <c r="A843" s="12" t="s">
        <v>973</v>
      </c>
      <c r="B843" s="25" t="s">
        <v>62</v>
      </c>
      <c r="C843" s="26" t="s">
        <v>14</v>
      </c>
      <c r="D843" s="26" t="s">
        <v>53</v>
      </c>
      <c r="E843" s="26" t="s">
        <v>398</v>
      </c>
      <c r="F843" s="26" t="s">
        <v>1043</v>
      </c>
      <c r="G843" s="27">
        <f t="shared" ref="G843" si="579">J843</f>
        <v>1600</v>
      </c>
      <c r="H843" s="27">
        <f>L843</f>
        <v>1590</v>
      </c>
      <c r="I843" s="27">
        <f>N843</f>
        <v>1590</v>
      </c>
      <c r="J843" s="16">
        <f>'БА в тыс. руб.'!G843*1000</f>
        <v>1600</v>
      </c>
      <c r="K843" s="169">
        <f t="shared" si="575"/>
        <v>0</v>
      </c>
      <c r="L843" s="16">
        <f>'БА в тыс. руб.'!H843*1000</f>
        <v>1590</v>
      </c>
      <c r="M843" s="169">
        <f t="shared" si="576"/>
        <v>0</v>
      </c>
      <c r="N843" s="16">
        <f>'БА в тыс. руб.'!I843*1000</f>
        <v>1590</v>
      </c>
      <c r="O843" s="169">
        <f t="shared" si="577"/>
        <v>0</v>
      </c>
    </row>
    <row r="844" spans="1:15" s="30" customFormat="1">
      <c r="A844" s="13" t="s">
        <v>109</v>
      </c>
      <c r="B844" s="25" t="s">
        <v>62</v>
      </c>
      <c r="C844" s="26" t="s">
        <v>14</v>
      </c>
      <c r="D844" s="26" t="s">
        <v>53</v>
      </c>
      <c r="E844" s="26" t="s">
        <v>398</v>
      </c>
      <c r="F844" s="26" t="s">
        <v>134</v>
      </c>
      <c r="G844" s="119">
        <f>G845</f>
        <v>118500</v>
      </c>
      <c r="H844" s="119">
        <f t="shared" ref="H844:I844" si="580">H845</f>
        <v>118410</v>
      </c>
      <c r="I844" s="119">
        <f t="shared" si="580"/>
        <v>118410</v>
      </c>
      <c r="J844" s="16">
        <f>'БА в тыс. руб.'!G844*1000</f>
        <v>118500</v>
      </c>
      <c r="K844" s="169">
        <f t="shared" si="575"/>
        <v>0</v>
      </c>
      <c r="L844" s="16">
        <f>'БА в тыс. руб.'!H844*1000</f>
        <v>118410</v>
      </c>
      <c r="M844" s="169">
        <f t="shared" si="576"/>
        <v>0</v>
      </c>
      <c r="N844" s="16">
        <f>'БА в тыс. руб.'!I844*1000</f>
        <v>118410</v>
      </c>
      <c r="O844" s="169">
        <f t="shared" si="577"/>
        <v>0</v>
      </c>
    </row>
    <row r="845" spans="1:15" s="83" customFormat="1" ht="25.5">
      <c r="A845" s="12" t="s">
        <v>978</v>
      </c>
      <c r="B845" s="25" t="s">
        <v>62</v>
      </c>
      <c r="C845" s="26" t="s">
        <v>14</v>
      </c>
      <c r="D845" s="26" t="s">
        <v>53</v>
      </c>
      <c r="E845" s="26" t="s">
        <v>398</v>
      </c>
      <c r="F845" s="26" t="s">
        <v>1064</v>
      </c>
      <c r="G845" s="27">
        <f t="shared" ref="G845" si="581">J845</f>
        <v>118500</v>
      </c>
      <c r="H845" s="27">
        <f>L845</f>
        <v>118410</v>
      </c>
      <c r="I845" s="27">
        <f>N845</f>
        <v>118410</v>
      </c>
      <c r="J845" s="16">
        <f>'БА в тыс. руб.'!G845*1000</f>
        <v>118500</v>
      </c>
      <c r="K845" s="169">
        <f t="shared" si="575"/>
        <v>0</v>
      </c>
      <c r="L845" s="16">
        <f>'БА в тыс. руб.'!H845*1000</f>
        <v>118410</v>
      </c>
      <c r="M845" s="169">
        <f t="shared" si="576"/>
        <v>0</v>
      </c>
      <c r="N845" s="16">
        <f>'БА в тыс. руб.'!I845*1000</f>
        <v>118410</v>
      </c>
      <c r="O845" s="169">
        <f t="shared" si="577"/>
        <v>0</v>
      </c>
    </row>
    <row r="846" spans="1:15" s="30" customFormat="1" ht="25.5">
      <c r="A846" s="32" t="s">
        <v>401</v>
      </c>
      <c r="B846" s="25" t="s">
        <v>62</v>
      </c>
      <c r="C846" s="26" t="s">
        <v>14</v>
      </c>
      <c r="D846" s="26" t="s">
        <v>53</v>
      </c>
      <c r="E846" s="26" t="s">
        <v>402</v>
      </c>
      <c r="F846" s="26" t="s">
        <v>58</v>
      </c>
      <c r="G846" s="119">
        <f>G847</f>
        <v>7891750</v>
      </c>
      <c r="H846" s="119">
        <f>H847</f>
        <v>7891750</v>
      </c>
      <c r="I846" s="119">
        <f>I847</f>
        <v>7891750</v>
      </c>
      <c r="J846" s="16">
        <f>'БА в тыс. руб.'!G846*1000</f>
        <v>7891750</v>
      </c>
      <c r="K846" s="169">
        <f t="shared" si="575"/>
        <v>0</v>
      </c>
      <c r="L846" s="16">
        <f>'БА в тыс. руб.'!H846*1000</f>
        <v>7891750</v>
      </c>
      <c r="M846" s="169">
        <f t="shared" si="576"/>
        <v>0</v>
      </c>
      <c r="N846" s="16">
        <f>'БА в тыс. руб.'!I846*1000</f>
        <v>7891750</v>
      </c>
      <c r="O846" s="169">
        <f t="shared" si="577"/>
        <v>0</v>
      </c>
    </row>
    <row r="847" spans="1:15" s="30" customFormat="1">
      <c r="A847" s="13" t="s">
        <v>109</v>
      </c>
      <c r="B847" s="25" t="s">
        <v>62</v>
      </c>
      <c r="C847" s="26" t="s">
        <v>14</v>
      </c>
      <c r="D847" s="26" t="s">
        <v>53</v>
      </c>
      <c r="E847" s="26" t="s">
        <v>402</v>
      </c>
      <c r="F847" s="26" t="s">
        <v>134</v>
      </c>
      <c r="G847" s="119">
        <f>G848</f>
        <v>7891750</v>
      </c>
      <c r="H847" s="119">
        <f t="shared" ref="H847:I847" si="582">H848</f>
        <v>7891750</v>
      </c>
      <c r="I847" s="119">
        <f t="shared" si="582"/>
        <v>7891750</v>
      </c>
      <c r="J847" s="16">
        <f>'БА в тыс. руб.'!G847*1000</f>
        <v>7891750</v>
      </c>
      <c r="K847" s="169">
        <f t="shared" si="575"/>
        <v>0</v>
      </c>
      <c r="L847" s="16">
        <f>'БА в тыс. руб.'!H847*1000</f>
        <v>7891750</v>
      </c>
      <c r="M847" s="169">
        <f t="shared" si="576"/>
        <v>0</v>
      </c>
      <c r="N847" s="16">
        <f>'БА в тыс. руб.'!I847*1000</f>
        <v>7891750</v>
      </c>
      <c r="O847" s="169">
        <f t="shared" si="577"/>
        <v>0</v>
      </c>
    </row>
    <row r="848" spans="1:15" s="83" customFormat="1" ht="25.5">
      <c r="A848" s="12" t="s">
        <v>978</v>
      </c>
      <c r="B848" s="25" t="s">
        <v>62</v>
      </c>
      <c r="C848" s="26" t="s">
        <v>14</v>
      </c>
      <c r="D848" s="26" t="s">
        <v>53</v>
      </c>
      <c r="E848" s="26" t="s">
        <v>402</v>
      </c>
      <c r="F848" s="26" t="s">
        <v>1064</v>
      </c>
      <c r="G848" s="27">
        <f t="shared" ref="G848" si="583">J848</f>
        <v>7891750</v>
      </c>
      <c r="H848" s="27">
        <f>L848</f>
        <v>7891750</v>
      </c>
      <c r="I848" s="27">
        <f>N848</f>
        <v>7891750</v>
      </c>
      <c r="J848" s="16">
        <f>'БА в тыс. руб.'!G848*1000</f>
        <v>7891750</v>
      </c>
      <c r="K848" s="169">
        <f t="shared" si="575"/>
        <v>0</v>
      </c>
      <c r="L848" s="16">
        <f>'БА в тыс. руб.'!H848*1000</f>
        <v>7891750</v>
      </c>
      <c r="M848" s="169">
        <f t="shared" si="576"/>
        <v>0</v>
      </c>
      <c r="N848" s="16">
        <f>'БА в тыс. руб.'!I848*1000</f>
        <v>7891750</v>
      </c>
      <c r="O848" s="169">
        <f t="shared" si="577"/>
        <v>0</v>
      </c>
    </row>
    <row r="849" spans="1:15" s="30" customFormat="1" ht="76.5">
      <c r="A849" s="32" t="s">
        <v>668</v>
      </c>
      <c r="B849" s="25" t="s">
        <v>62</v>
      </c>
      <c r="C849" s="26" t="s">
        <v>14</v>
      </c>
      <c r="D849" s="26" t="s">
        <v>53</v>
      </c>
      <c r="E849" s="26" t="s">
        <v>792</v>
      </c>
      <c r="F849" s="26" t="s">
        <v>58</v>
      </c>
      <c r="G849" s="119">
        <f>G850+G852</f>
        <v>346850340</v>
      </c>
      <c r="H849" s="119">
        <f t="shared" ref="H849:I849" si="584">H850+H852</f>
        <v>301865380</v>
      </c>
      <c r="I849" s="119">
        <f t="shared" si="584"/>
        <v>350298340</v>
      </c>
      <c r="J849" s="16">
        <f>'БА в тыс. руб.'!G849*1000</f>
        <v>346850340</v>
      </c>
      <c r="K849" s="169">
        <f t="shared" si="575"/>
        <v>0</v>
      </c>
      <c r="L849" s="16">
        <f>'БА в тыс. руб.'!H849*1000</f>
        <v>301865380</v>
      </c>
      <c r="M849" s="169">
        <f t="shared" si="576"/>
        <v>0</v>
      </c>
      <c r="N849" s="16">
        <f>'БА в тыс. руб.'!I849*1000</f>
        <v>350298340</v>
      </c>
      <c r="O849" s="169">
        <f t="shared" si="577"/>
        <v>0</v>
      </c>
    </row>
    <row r="850" spans="1:15" s="30" customFormat="1" ht="25.5">
      <c r="A850" s="11" t="s">
        <v>108</v>
      </c>
      <c r="B850" s="25" t="s">
        <v>62</v>
      </c>
      <c r="C850" s="26" t="s">
        <v>14</v>
      </c>
      <c r="D850" s="26" t="s">
        <v>53</v>
      </c>
      <c r="E850" s="26" t="s">
        <v>792</v>
      </c>
      <c r="F850" s="26" t="s">
        <v>116</v>
      </c>
      <c r="G850" s="119">
        <f>G851</f>
        <v>5250000</v>
      </c>
      <c r="H850" s="119">
        <f t="shared" ref="H850:I850" si="585">H851</f>
        <v>4594000</v>
      </c>
      <c r="I850" s="119">
        <f t="shared" si="585"/>
        <v>5332000</v>
      </c>
      <c r="J850" s="16">
        <f>'БА в тыс. руб.'!G850*1000</f>
        <v>5250000</v>
      </c>
      <c r="K850" s="169">
        <f t="shared" si="575"/>
        <v>0</v>
      </c>
      <c r="L850" s="16">
        <f>'БА в тыс. руб.'!H850*1000</f>
        <v>4594000</v>
      </c>
      <c r="M850" s="169">
        <f t="shared" si="576"/>
        <v>0</v>
      </c>
      <c r="N850" s="16">
        <f>'БА в тыс. руб.'!I850*1000</f>
        <v>5332000</v>
      </c>
      <c r="O850" s="169">
        <f t="shared" si="577"/>
        <v>0</v>
      </c>
    </row>
    <row r="851" spans="1:15" s="83" customFormat="1" ht="25.5">
      <c r="A851" s="12" t="s">
        <v>973</v>
      </c>
      <c r="B851" s="25" t="s">
        <v>62</v>
      </c>
      <c r="C851" s="26" t="s">
        <v>14</v>
      </c>
      <c r="D851" s="26" t="s">
        <v>53</v>
      </c>
      <c r="E851" s="26" t="s">
        <v>792</v>
      </c>
      <c r="F851" s="26" t="s">
        <v>1043</v>
      </c>
      <c r="G851" s="27">
        <f t="shared" ref="G851" si="586">J851</f>
        <v>5250000</v>
      </c>
      <c r="H851" s="27">
        <f>L851</f>
        <v>4594000</v>
      </c>
      <c r="I851" s="27">
        <f>N851</f>
        <v>5332000</v>
      </c>
      <c r="J851" s="16">
        <f>'БА в тыс. руб.'!G851*1000</f>
        <v>5250000</v>
      </c>
      <c r="K851" s="169">
        <f t="shared" si="575"/>
        <v>0</v>
      </c>
      <c r="L851" s="16">
        <f>'БА в тыс. руб.'!H851*1000</f>
        <v>4594000</v>
      </c>
      <c r="M851" s="169">
        <f t="shared" si="576"/>
        <v>0</v>
      </c>
      <c r="N851" s="16">
        <f>'БА в тыс. руб.'!I851*1000</f>
        <v>5332000</v>
      </c>
      <c r="O851" s="169">
        <f t="shared" si="577"/>
        <v>0</v>
      </c>
    </row>
    <row r="852" spans="1:15" s="30" customFormat="1">
      <c r="A852" s="13" t="s">
        <v>109</v>
      </c>
      <c r="B852" s="25" t="s">
        <v>62</v>
      </c>
      <c r="C852" s="26" t="s">
        <v>14</v>
      </c>
      <c r="D852" s="26" t="s">
        <v>53</v>
      </c>
      <c r="E852" s="26" t="s">
        <v>792</v>
      </c>
      <c r="F852" s="26" t="s">
        <v>134</v>
      </c>
      <c r="G852" s="119">
        <f>G853</f>
        <v>341600340</v>
      </c>
      <c r="H852" s="119">
        <f t="shared" ref="H852:I852" si="587">H853</f>
        <v>297271380</v>
      </c>
      <c r="I852" s="119">
        <f t="shared" si="587"/>
        <v>344966340</v>
      </c>
      <c r="J852" s="16">
        <f>'БА в тыс. руб.'!G852*1000</f>
        <v>341600340</v>
      </c>
      <c r="K852" s="169">
        <f t="shared" si="575"/>
        <v>0</v>
      </c>
      <c r="L852" s="16">
        <f>'БА в тыс. руб.'!H852*1000</f>
        <v>297271380</v>
      </c>
      <c r="M852" s="169">
        <f t="shared" si="576"/>
        <v>0</v>
      </c>
      <c r="N852" s="16">
        <f>'БА в тыс. руб.'!I852*1000</f>
        <v>344966340</v>
      </c>
      <c r="O852" s="169">
        <f t="shared" si="577"/>
        <v>0</v>
      </c>
    </row>
    <row r="853" spans="1:15" s="83" customFormat="1" ht="25.5">
      <c r="A853" s="12" t="s">
        <v>978</v>
      </c>
      <c r="B853" s="25" t="s">
        <v>62</v>
      </c>
      <c r="C853" s="26" t="s">
        <v>14</v>
      </c>
      <c r="D853" s="26" t="s">
        <v>53</v>
      </c>
      <c r="E853" s="26" t="s">
        <v>792</v>
      </c>
      <c r="F853" s="26" t="s">
        <v>1064</v>
      </c>
      <c r="G853" s="27">
        <f t="shared" ref="G853" si="588">J853</f>
        <v>341600340</v>
      </c>
      <c r="H853" s="27">
        <f>L853</f>
        <v>297271380</v>
      </c>
      <c r="I853" s="27">
        <f>N853</f>
        <v>344966340</v>
      </c>
      <c r="J853" s="16">
        <f>'БА в тыс. руб.'!G853*1000</f>
        <v>341600340</v>
      </c>
      <c r="K853" s="169">
        <f t="shared" si="575"/>
        <v>0</v>
      </c>
      <c r="L853" s="16">
        <f>'БА в тыс. руб.'!H853*1000</f>
        <v>297271380</v>
      </c>
      <c r="M853" s="169">
        <f t="shared" si="576"/>
        <v>0</v>
      </c>
      <c r="N853" s="16">
        <f>'БА в тыс. руб.'!I853*1000</f>
        <v>344966340</v>
      </c>
      <c r="O853" s="169">
        <f t="shared" si="577"/>
        <v>0</v>
      </c>
    </row>
    <row r="854" spans="1:15" s="30" customFormat="1" ht="38.25">
      <c r="A854" s="13" t="s">
        <v>399</v>
      </c>
      <c r="B854" s="25" t="s">
        <v>62</v>
      </c>
      <c r="C854" s="26" t="s">
        <v>14</v>
      </c>
      <c r="D854" s="26" t="s">
        <v>53</v>
      </c>
      <c r="E854" s="26" t="s">
        <v>793</v>
      </c>
      <c r="F854" s="26" t="s">
        <v>58</v>
      </c>
      <c r="G854" s="119">
        <f>G855+G857</f>
        <v>253068120</v>
      </c>
      <c r="H854" s="119">
        <f t="shared" ref="H854:I854" si="589">H855+H857</f>
        <v>209812870</v>
      </c>
      <c r="I854" s="119">
        <f t="shared" si="589"/>
        <v>246535940</v>
      </c>
      <c r="J854" s="16">
        <f>'БА в тыс. руб.'!G854*1000</f>
        <v>253068120</v>
      </c>
      <c r="K854" s="169">
        <f t="shared" si="575"/>
        <v>0</v>
      </c>
      <c r="L854" s="16">
        <f>'БА в тыс. руб.'!H854*1000</f>
        <v>209812870</v>
      </c>
      <c r="M854" s="169">
        <f t="shared" si="576"/>
        <v>0</v>
      </c>
      <c r="N854" s="16">
        <f>'БА в тыс. руб.'!I854*1000</f>
        <v>246535940</v>
      </c>
      <c r="O854" s="169">
        <f t="shared" si="577"/>
        <v>0</v>
      </c>
    </row>
    <row r="855" spans="1:15" s="30" customFormat="1" ht="25.5">
      <c r="A855" s="13" t="s">
        <v>108</v>
      </c>
      <c r="B855" s="25" t="s">
        <v>62</v>
      </c>
      <c r="C855" s="26" t="s">
        <v>14</v>
      </c>
      <c r="D855" s="26" t="s">
        <v>53</v>
      </c>
      <c r="E855" s="26" t="s">
        <v>793</v>
      </c>
      <c r="F855" s="26" t="s">
        <v>116</v>
      </c>
      <c r="G855" s="119">
        <f>G856</f>
        <v>3480000</v>
      </c>
      <c r="H855" s="119">
        <f t="shared" ref="H855:I855" si="590">H856</f>
        <v>2885000</v>
      </c>
      <c r="I855" s="119">
        <f t="shared" si="590"/>
        <v>3390000</v>
      </c>
      <c r="J855" s="16">
        <f>'БА в тыс. руб.'!G855*1000</f>
        <v>3480000</v>
      </c>
      <c r="K855" s="169">
        <f t="shared" si="575"/>
        <v>0</v>
      </c>
      <c r="L855" s="16">
        <f>'БА в тыс. руб.'!H855*1000</f>
        <v>2885000</v>
      </c>
      <c r="M855" s="169">
        <f t="shared" si="576"/>
        <v>0</v>
      </c>
      <c r="N855" s="16">
        <f>'БА в тыс. руб.'!I855*1000</f>
        <v>3390000</v>
      </c>
      <c r="O855" s="169">
        <f t="shared" si="577"/>
        <v>0</v>
      </c>
    </row>
    <row r="856" spans="1:15" s="83" customFormat="1" ht="25.5">
      <c r="A856" s="12" t="s">
        <v>973</v>
      </c>
      <c r="B856" s="25" t="s">
        <v>62</v>
      </c>
      <c r="C856" s="26" t="s">
        <v>14</v>
      </c>
      <c r="D856" s="26" t="s">
        <v>53</v>
      </c>
      <c r="E856" s="26" t="s">
        <v>793</v>
      </c>
      <c r="F856" s="26" t="s">
        <v>1043</v>
      </c>
      <c r="G856" s="27">
        <f t="shared" ref="G856" si="591">J856</f>
        <v>3480000</v>
      </c>
      <c r="H856" s="27">
        <f>L856</f>
        <v>2885000</v>
      </c>
      <c r="I856" s="27">
        <f>N856</f>
        <v>3390000</v>
      </c>
      <c r="J856" s="16">
        <f>'БА в тыс. руб.'!G856*1000</f>
        <v>3480000</v>
      </c>
      <c r="K856" s="169">
        <f t="shared" si="575"/>
        <v>0</v>
      </c>
      <c r="L856" s="16">
        <f>'БА в тыс. руб.'!H856*1000</f>
        <v>2885000</v>
      </c>
      <c r="M856" s="169">
        <f t="shared" si="576"/>
        <v>0</v>
      </c>
      <c r="N856" s="16">
        <f>'БА в тыс. руб.'!I856*1000</f>
        <v>3390000</v>
      </c>
      <c r="O856" s="169">
        <f t="shared" si="577"/>
        <v>0</v>
      </c>
    </row>
    <row r="857" spans="1:15" s="30" customFormat="1">
      <c r="A857" s="13" t="s">
        <v>109</v>
      </c>
      <c r="B857" s="25" t="s">
        <v>62</v>
      </c>
      <c r="C857" s="26" t="s">
        <v>14</v>
      </c>
      <c r="D857" s="26" t="s">
        <v>53</v>
      </c>
      <c r="E857" s="26" t="s">
        <v>793</v>
      </c>
      <c r="F857" s="26" t="s">
        <v>134</v>
      </c>
      <c r="G857" s="119">
        <f>G858</f>
        <v>249588120</v>
      </c>
      <c r="H857" s="119">
        <f t="shared" ref="H857:I857" si="592">H858</f>
        <v>206927870</v>
      </c>
      <c r="I857" s="119">
        <f t="shared" si="592"/>
        <v>243145940</v>
      </c>
      <c r="J857" s="16">
        <f>'БА в тыс. руб.'!G857*1000</f>
        <v>249588120</v>
      </c>
      <c r="K857" s="169">
        <f t="shared" si="575"/>
        <v>0</v>
      </c>
      <c r="L857" s="16">
        <f>'БА в тыс. руб.'!H857*1000</f>
        <v>206927870</v>
      </c>
      <c r="M857" s="169">
        <f t="shared" si="576"/>
        <v>0</v>
      </c>
      <c r="N857" s="16">
        <f>'БА в тыс. руб.'!I857*1000</f>
        <v>243145940</v>
      </c>
      <c r="O857" s="169">
        <f t="shared" si="577"/>
        <v>0</v>
      </c>
    </row>
    <row r="858" spans="1:15" s="103" customFormat="1" ht="25.5">
      <c r="A858" s="12" t="s">
        <v>978</v>
      </c>
      <c r="B858" s="25" t="s">
        <v>62</v>
      </c>
      <c r="C858" s="26" t="s">
        <v>14</v>
      </c>
      <c r="D858" s="26" t="s">
        <v>53</v>
      </c>
      <c r="E858" s="26" t="s">
        <v>793</v>
      </c>
      <c r="F858" s="26" t="s">
        <v>1064</v>
      </c>
      <c r="G858" s="27">
        <f t="shared" ref="G858" si="593">J858</f>
        <v>249588120</v>
      </c>
      <c r="H858" s="27">
        <f>L858</f>
        <v>206927870</v>
      </c>
      <c r="I858" s="27">
        <f>N858</f>
        <v>243145940</v>
      </c>
      <c r="J858" s="16">
        <f>'БА в тыс. руб.'!G858*1000</f>
        <v>249588120</v>
      </c>
      <c r="K858" s="169">
        <f t="shared" si="575"/>
        <v>0</v>
      </c>
      <c r="L858" s="16">
        <f>'БА в тыс. руб.'!H858*1000</f>
        <v>206927870</v>
      </c>
      <c r="M858" s="169">
        <f t="shared" si="576"/>
        <v>0</v>
      </c>
      <c r="N858" s="16">
        <f>'БА в тыс. руб.'!I858*1000</f>
        <v>243145940</v>
      </c>
      <c r="O858" s="169">
        <f t="shared" si="577"/>
        <v>0</v>
      </c>
    </row>
    <row r="859" spans="1:15" s="30" customFormat="1" ht="38.25">
      <c r="A859" s="32" t="s">
        <v>400</v>
      </c>
      <c r="B859" s="25" t="s">
        <v>62</v>
      </c>
      <c r="C859" s="26" t="s">
        <v>14</v>
      </c>
      <c r="D859" s="26" t="s">
        <v>53</v>
      </c>
      <c r="E859" s="26" t="s">
        <v>794</v>
      </c>
      <c r="F859" s="26" t="s">
        <v>58</v>
      </c>
      <c r="G859" s="119">
        <f>G860+G862</f>
        <v>5936840</v>
      </c>
      <c r="H859" s="119">
        <f t="shared" ref="H859:I859" si="594">H860+H862</f>
        <v>5754930</v>
      </c>
      <c r="I859" s="119">
        <f t="shared" si="594"/>
        <v>5589550</v>
      </c>
      <c r="J859" s="16">
        <f>'БА в тыс. руб.'!G859*1000</f>
        <v>5936840</v>
      </c>
      <c r="K859" s="169">
        <f t="shared" si="575"/>
        <v>0</v>
      </c>
      <c r="L859" s="16">
        <f>'БА в тыс. руб.'!H859*1000</f>
        <v>5754929.9999999991</v>
      </c>
      <c r="M859" s="169">
        <f t="shared" si="576"/>
        <v>0</v>
      </c>
      <c r="N859" s="16">
        <f>'БА в тыс. руб.'!I859*1000</f>
        <v>5589550</v>
      </c>
      <c r="O859" s="169">
        <f t="shared" si="577"/>
        <v>0</v>
      </c>
    </row>
    <row r="860" spans="1:15" s="30" customFormat="1" ht="25.5">
      <c r="A860" s="11" t="s">
        <v>108</v>
      </c>
      <c r="B860" s="25" t="s">
        <v>62</v>
      </c>
      <c r="C860" s="26" t="s">
        <v>14</v>
      </c>
      <c r="D860" s="26" t="s">
        <v>53</v>
      </c>
      <c r="E860" s="26" t="s">
        <v>794</v>
      </c>
      <c r="F860" s="26" t="s">
        <v>116</v>
      </c>
      <c r="G860" s="119">
        <f>G861</f>
        <v>92000</v>
      </c>
      <c r="H860" s="119">
        <f t="shared" ref="H860:I860" si="595">H861</f>
        <v>89200</v>
      </c>
      <c r="I860" s="119">
        <f t="shared" si="595"/>
        <v>86640</v>
      </c>
      <c r="J860" s="16">
        <f>'БА в тыс. руб.'!G860*1000</f>
        <v>92000</v>
      </c>
      <c r="K860" s="169">
        <f t="shared" si="575"/>
        <v>0</v>
      </c>
      <c r="L860" s="16">
        <f>'БА в тыс. руб.'!H860*1000</f>
        <v>89200</v>
      </c>
      <c r="M860" s="169">
        <f t="shared" si="576"/>
        <v>0</v>
      </c>
      <c r="N860" s="16">
        <f>'БА в тыс. руб.'!I860*1000</f>
        <v>86640</v>
      </c>
      <c r="O860" s="169">
        <f t="shared" si="577"/>
        <v>0</v>
      </c>
    </row>
    <row r="861" spans="1:15" s="83" customFormat="1" ht="25.5">
      <c r="A861" s="12" t="s">
        <v>973</v>
      </c>
      <c r="B861" s="25" t="s">
        <v>62</v>
      </c>
      <c r="C861" s="26" t="s">
        <v>14</v>
      </c>
      <c r="D861" s="26" t="s">
        <v>53</v>
      </c>
      <c r="E861" s="26" t="s">
        <v>794</v>
      </c>
      <c r="F861" s="26" t="s">
        <v>1043</v>
      </c>
      <c r="G861" s="27">
        <f t="shared" ref="G861" si="596">J861</f>
        <v>92000</v>
      </c>
      <c r="H861" s="27">
        <f>L861</f>
        <v>89200</v>
      </c>
      <c r="I861" s="27">
        <f>N861</f>
        <v>86640</v>
      </c>
      <c r="J861" s="16">
        <f>'БА в тыс. руб.'!G861*1000</f>
        <v>92000</v>
      </c>
      <c r="K861" s="169">
        <f t="shared" si="575"/>
        <v>0</v>
      </c>
      <c r="L861" s="16">
        <f>'БА в тыс. руб.'!H861*1000</f>
        <v>89200</v>
      </c>
      <c r="M861" s="169">
        <f t="shared" si="576"/>
        <v>0</v>
      </c>
      <c r="N861" s="16">
        <f>'БА в тыс. руб.'!I861*1000</f>
        <v>86640</v>
      </c>
      <c r="O861" s="169">
        <f t="shared" si="577"/>
        <v>0</v>
      </c>
    </row>
    <row r="862" spans="1:15" s="30" customFormat="1">
      <c r="A862" s="13" t="s">
        <v>109</v>
      </c>
      <c r="B862" s="25" t="s">
        <v>62</v>
      </c>
      <c r="C862" s="26" t="s">
        <v>14</v>
      </c>
      <c r="D862" s="26" t="s">
        <v>53</v>
      </c>
      <c r="E862" s="26" t="s">
        <v>794</v>
      </c>
      <c r="F862" s="26" t="s">
        <v>134</v>
      </c>
      <c r="G862" s="119">
        <f>G863</f>
        <v>5844840</v>
      </c>
      <c r="H862" s="119">
        <f t="shared" ref="H862:I862" si="597">H863</f>
        <v>5665730</v>
      </c>
      <c r="I862" s="119">
        <f t="shared" si="597"/>
        <v>5502910</v>
      </c>
      <c r="J862" s="16">
        <f>'БА в тыс. руб.'!G862*1000</f>
        <v>5844840</v>
      </c>
      <c r="K862" s="169">
        <f t="shared" si="575"/>
        <v>0</v>
      </c>
      <c r="L862" s="16">
        <f>'БА в тыс. руб.'!H862*1000</f>
        <v>5665730</v>
      </c>
      <c r="M862" s="169">
        <f t="shared" si="576"/>
        <v>0</v>
      </c>
      <c r="N862" s="16">
        <f>'БА в тыс. руб.'!I862*1000</f>
        <v>5502910</v>
      </c>
      <c r="O862" s="169">
        <f t="shared" si="577"/>
        <v>0</v>
      </c>
    </row>
    <row r="863" spans="1:15" s="83" customFormat="1" ht="25.5">
      <c r="A863" s="12" t="s">
        <v>978</v>
      </c>
      <c r="B863" s="25" t="s">
        <v>62</v>
      </c>
      <c r="C863" s="26" t="s">
        <v>14</v>
      </c>
      <c r="D863" s="26" t="s">
        <v>53</v>
      </c>
      <c r="E863" s="26" t="s">
        <v>794</v>
      </c>
      <c r="F863" s="26" t="s">
        <v>1064</v>
      </c>
      <c r="G863" s="27">
        <f t="shared" ref="G863" si="598">J863</f>
        <v>5844840</v>
      </c>
      <c r="H863" s="27">
        <f>L863</f>
        <v>5665730</v>
      </c>
      <c r="I863" s="27">
        <f>N863</f>
        <v>5502910</v>
      </c>
      <c r="J863" s="16">
        <f>'БА в тыс. руб.'!G863*1000</f>
        <v>5844840</v>
      </c>
      <c r="K863" s="169">
        <f t="shared" si="575"/>
        <v>0</v>
      </c>
      <c r="L863" s="16">
        <f>'БА в тыс. руб.'!H863*1000</f>
        <v>5665730</v>
      </c>
      <c r="M863" s="169">
        <f t="shared" si="576"/>
        <v>0</v>
      </c>
      <c r="N863" s="16">
        <f>'БА в тыс. руб.'!I863*1000</f>
        <v>5502910</v>
      </c>
      <c r="O863" s="169">
        <f t="shared" si="577"/>
        <v>0</v>
      </c>
    </row>
    <row r="864" spans="1:15" s="30" customFormat="1" ht="38.25">
      <c r="A864" s="32" t="s">
        <v>404</v>
      </c>
      <c r="B864" s="25" t="s">
        <v>62</v>
      </c>
      <c r="C864" s="26" t="s">
        <v>14</v>
      </c>
      <c r="D864" s="26" t="s">
        <v>53</v>
      </c>
      <c r="E864" s="26" t="s">
        <v>795</v>
      </c>
      <c r="F864" s="26" t="s">
        <v>58</v>
      </c>
      <c r="G864" s="119">
        <f>G865+G867</f>
        <v>196880</v>
      </c>
      <c r="H864" s="119">
        <f>H865+H867</f>
        <v>196880</v>
      </c>
      <c r="I864" s="119">
        <f>I865+I867</f>
        <v>196880</v>
      </c>
      <c r="J864" s="16">
        <f>'БА в тыс. руб.'!G864*1000</f>
        <v>196880</v>
      </c>
      <c r="K864" s="169">
        <f t="shared" si="575"/>
        <v>0</v>
      </c>
      <c r="L864" s="16">
        <f>'БА в тыс. руб.'!H864*1000</f>
        <v>196880</v>
      </c>
      <c r="M864" s="169">
        <f t="shared" si="576"/>
        <v>0</v>
      </c>
      <c r="N864" s="16">
        <f>'БА в тыс. руб.'!I864*1000</f>
        <v>196880</v>
      </c>
      <c r="O864" s="169">
        <f t="shared" si="577"/>
        <v>0</v>
      </c>
    </row>
    <row r="865" spans="1:15" s="30" customFormat="1" ht="25.5">
      <c r="A865" s="11" t="s">
        <v>108</v>
      </c>
      <c r="B865" s="25" t="s">
        <v>62</v>
      </c>
      <c r="C865" s="26" t="s">
        <v>14</v>
      </c>
      <c r="D865" s="26" t="s">
        <v>53</v>
      </c>
      <c r="E865" s="26" t="s">
        <v>795</v>
      </c>
      <c r="F865" s="26" t="s">
        <v>116</v>
      </c>
      <c r="G865" s="119">
        <f>G866</f>
        <v>1060</v>
      </c>
      <c r="H865" s="119">
        <f t="shared" ref="H865:I865" si="599">H866</f>
        <v>1060</v>
      </c>
      <c r="I865" s="119">
        <f t="shared" si="599"/>
        <v>1060</v>
      </c>
      <c r="J865" s="16">
        <f>'БА в тыс. руб.'!G865*1000</f>
        <v>1060</v>
      </c>
      <c r="K865" s="169">
        <f t="shared" si="575"/>
        <v>0</v>
      </c>
      <c r="L865" s="16">
        <f>'БА в тыс. руб.'!H865*1000</f>
        <v>1060</v>
      </c>
      <c r="M865" s="169">
        <f t="shared" si="576"/>
        <v>0</v>
      </c>
      <c r="N865" s="16">
        <f>'БА в тыс. руб.'!I865*1000</f>
        <v>1060</v>
      </c>
      <c r="O865" s="169">
        <f t="shared" si="577"/>
        <v>0</v>
      </c>
    </row>
    <row r="866" spans="1:15" s="83" customFormat="1" ht="25.5">
      <c r="A866" s="12" t="s">
        <v>973</v>
      </c>
      <c r="B866" s="25" t="s">
        <v>62</v>
      </c>
      <c r="C866" s="26" t="s">
        <v>14</v>
      </c>
      <c r="D866" s="26" t="s">
        <v>53</v>
      </c>
      <c r="E866" s="26" t="s">
        <v>795</v>
      </c>
      <c r="F866" s="26" t="s">
        <v>1043</v>
      </c>
      <c r="G866" s="27">
        <f t="shared" ref="G866" si="600">J866</f>
        <v>1060</v>
      </c>
      <c r="H866" s="27">
        <f>L866</f>
        <v>1060</v>
      </c>
      <c r="I866" s="27">
        <f>N866</f>
        <v>1060</v>
      </c>
      <c r="J866" s="16">
        <f>'БА в тыс. руб.'!G866*1000</f>
        <v>1060</v>
      </c>
      <c r="K866" s="169">
        <f t="shared" si="575"/>
        <v>0</v>
      </c>
      <c r="L866" s="16">
        <f>'БА в тыс. руб.'!H866*1000</f>
        <v>1060</v>
      </c>
      <c r="M866" s="169">
        <f t="shared" si="576"/>
        <v>0</v>
      </c>
      <c r="N866" s="16">
        <f>'БА в тыс. руб.'!I866*1000</f>
        <v>1060</v>
      </c>
      <c r="O866" s="169">
        <f t="shared" si="577"/>
        <v>0</v>
      </c>
    </row>
    <row r="867" spans="1:15" s="30" customFormat="1">
      <c r="A867" s="13" t="s">
        <v>109</v>
      </c>
      <c r="B867" s="25" t="s">
        <v>62</v>
      </c>
      <c r="C867" s="26" t="s">
        <v>14</v>
      </c>
      <c r="D867" s="26" t="s">
        <v>53</v>
      </c>
      <c r="E867" s="26" t="s">
        <v>795</v>
      </c>
      <c r="F867" s="26" t="s">
        <v>134</v>
      </c>
      <c r="G867" s="119">
        <f>G868</f>
        <v>195820</v>
      </c>
      <c r="H867" s="119">
        <f t="shared" ref="H867:I867" si="601">H868</f>
        <v>195820</v>
      </c>
      <c r="I867" s="119">
        <f t="shared" si="601"/>
        <v>195820</v>
      </c>
      <c r="J867" s="16">
        <f>'БА в тыс. руб.'!G867*1000</f>
        <v>195820</v>
      </c>
      <c r="K867" s="169">
        <f t="shared" si="575"/>
        <v>0</v>
      </c>
      <c r="L867" s="16">
        <f>'БА в тыс. руб.'!H867*1000</f>
        <v>195820</v>
      </c>
      <c r="M867" s="169">
        <f t="shared" si="576"/>
        <v>0</v>
      </c>
      <c r="N867" s="16">
        <f>'БА в тыс. руб.'!I867*1000</f>
        <v>195820</v>
      </c>
      <c r="O867" s="169">
        <f t="shared" si="577"/>
        <v>0</v>
      </c>
    </row>
    <row r="868" spans="1:15" s="83" customFormat="1" ht="25.5">
      <c r="A868" s="12" t="s">
        <v>978</v>
      </c>
      <c r="B868" s="25" t="s">
        <v>62</v>
      </c>
      <c r="C868" s="26" t="s">
        <v>14</v>
      </c>
      <c r="D868" s="26" t="s">
        <v>53</v>
      </c>
      <c r="E868" s="26" t="s">
        <v>795</v>
      </c>
      <c r="F868" s="26" t="s">
        <v>1064</v>
      </c>
      <c r="G868" s="27">
        <f t="shared" ref="G868" si="602">J868</f>
        <v>195820</v>
      </c>
      <c r="H868" s="27">
        <f>L868</f>
        <v>195820</v>
      </c>
      <c r="I868" s="27">
        <f>N868</f>
        <v>195820</v>
      </c>
      <c r="J868" s="16">
        <f>'БА в тыс. руб.'!G868*1000</f>
        <v>195820</v>
      </c>
      <c r="K868" s="169">
        <f t="shared" si="575"/>
        <v>0</v>
      </c>
      <c r="L868" s="16">
        <f>'БА в тыс. руб.'!H868*1000</f>
        <v>195820</v>
      </c>
      <c r="M868" s="169">
        <f t="shared" si="576"/>
        <v>0</v>
      </c>
      <c r="N868" s="16">
        <f>'БА в тыс. руб.'!I868*1000</f>
        <v>195820</v>
      </c>
      <c r="O868" s="169">
        <f t="shared" si="577"/>
        <v>0</v>
      </c>
    </row>
    <row r="869" spans="1:15" s="30" customFormat="1" ht="25.5">
      <c r="A869" s="32" t="s">
        <v>405</v>
      </c>
      <c r="B869" s="25" t="s">
        <v>62</v>
      </c>
      <c r="C869" s="26" t="s">
        <v>14</v>
      </c>
      <c r="D869" s="26" t="s">
        <v>53</v>
      </c>
      <c r="E869" s="26" t="s">
        <v>796</v>
      </c>
      <c r="F869" s="26" t="s">
        <v>58</v>
      </c>
      <c r="G869" s="119">
        <f>G870+G872</f>
        <v>556400</v>
      </c>
      <c r="H869" s="119">
        <f>H870+H872</f>
        <v>556400</v>
      </c>
      <c r="I869" s="119">
        <f>I870+I872</f>
        <v>556400</v>
      </c>
      <c r="J869" s="16">
        <f>'БА в тыс. руб.'!G869*1000</f>
        <v>556400</v>
      </c>
      <c r="K869" s="169">
        <f t="shared" si="575"/>
        <v>0</v>
      </c>
      <c r="L869" s="16">
        <f>'БА в тыс. руб.'!H869*1000</f>
        <v>556400</v>
      </c>
      <c r="M869" s="169">
        <f t="shared" si="576"/>
        <v>0</v>
      </c>
      <c r="N869" s="16">
        <f>'БА в тыс. руб.'!I869*1000</f>
        <v>556400</v>
      </c>
      <c r="O869" s="169">
        <f t="shared" si="577"/>
        <v>0</v>
      </c>
    </row>
    <row r="870" spans="1:15" s="30" customFormat="1" ht="25.5">
      <c r="A870" s="11" t="s">
        <v>108</v>
      </c>
      <c r="B870" s="25" t="s">
        <v>62</v>
      </c>
      <c r="C870" s="26" t="s">
        <v>14</v>
      </c>
      <c r="D870" s="26" t="s">
        <v>53</v>
      </c>
      <c r="E870" s="26" t="s">
        <v>796</v>
      </c>
      <c r="F870" s="26" t="s">
        <v>116</v>
      </c>
      <c r="G870" s="119">
        <f>G871</f>
        <v>7410</v>
      </c>
      <c r="H870" s="119">
        <f t="shared" ref="H870:I870" si="603">H871</f>
        <v>7410</v>
      </c>
      <c r="I870" s="119">
        <f t="shared" si="603"/>
        <v>7410</v>
      </c>
      <c r="J870" s="16">
        <f>'БА в тыс. руб.'!G870*1000</f>
        <v>7410</v>
      </c>
      <c r="K870" s="169">
        <f t="shared" si="575"/>
        <v>0</v>
      </c>
      <c r="L870" s="16">
        <f>'БА в тыс. руб.'!H870*1000</f>
        <v>7410</v>
      </c>
      <c r="M870" s="169">
        <f t="shared" si="576"/>
        <v>0</v>
      </c>
      <c r="N870" s="16">
        <f>'БА в тыс. руб.'!I870*1000</f>
        <v>7410</v>
      </c>
      <c r="O870" s="169">
        <f t="shared" si="577"/>
        <v>0</v>
      </c>
    </row>
    <row r="871" spans="1:15" s="83" customFormat="1" ht="25.5">
      <c r="A871" s="12" t="s">
        <v>973</v>
      </c>
      <c r="B871" s="25" t="s">
        <v>62</v>
      </c>
      <c r="C871" s="26" t="s">
        <v>14</v>
      </c>
      <c r="D871" s="26" t="s">
        <v>53</v>
      </c>
      <c r="E871" s="26" t="s">
        <v>796</v>
      </c>
      <c r="F871" s="26" t="s">
        <v>1043</v>
      </c>
      <c r="G871" s="27">
        <f t="shared" ref="G871" si="604">J871</f>
        <v>7410</v>
      </c>
      <c r="H871" s="27">
        <f>L871</f>
        <v>7410</v>
      </c>
      <c r="I871" s="27">
        <f>N871</f>
        <v>7410</v>
      </c>
      <c r="J871" s="16">
        <f>'БА в тыс. руб.'!G871*1000</f>
        <v>7410</v>
      </c>
      <c r="K871" s="169">
        <f t="shared" si="575"/>
        <v>0</v>
      </c>
      <c r="L871" s="16">
        <f>'БА в тыс. руб.'!H871*1000</f>
        <v>7410</v>
      </c>
      <c r="M871" s="169">
        <f t="shared" si="576"/>
        <v>0</v>
      </c>
      <c r="N871" s="16">
        <f>'БА в тыс. руб.'!I871*1000</f>
        <v>7410</v>
      </c>
      <c r="O871" s="169">
        <f t="shared" si="577"/>
        <v>0</v>
      </c>
    </row>
    <row r="872" spans="1:15" s="30" customFormat="1">
      <c r="A872" s="13" t="s">
        <v>109</v>
      </c>
      <c r="B872" s="25" t="s">
        <v>62</v>
      </c>
      <c r="C872" s="26" t="s">
        <v>14</v>
      </c>
      <c r="D872" s="26" t="s">
        <v>53</v>
      </c>
      <c r="E872" s="26" t="s">
        <v>796</v>
      </c>
      <c r="F872" s="26" t="s">
        <v>134</v>
      </c>
      <c r="G872" s="119">
        <f>G873</f>
        <v>548990</v>
      </c>
      <c r="H872" s="119">
        <f t="shared" ref="H872:I872" si="605">H873</f>
        <v>548990</v>
      </c>
      <c r="I872" s="119">
        <f t="shared" si="605"/>
        <v>548990</v>
      </c>
      <c r="J872" s="16">
        <f>'БА в тыс. руб.'!G872*1000</f>
        <v>548990</v>
      </c>
      <c r="K872" s="169">
        <f t="shared" si="575"/>
        <v>0</v>
      </c>
      <c r="L872" s="16">
        <f>'БА в тыс. руб.'!H872*1000</f>
        <v>548990</v>
      </c>
      <c r="M872" s="169">
        <f t="shared" si="576"/>
        <v>0</v>
      </c>
      <c r="N872" s="16">
        <f>'БА в тыс. руб.'!I872*1000</f>
        <v>548990</v>
      </c>
      <c r="O872" s="169">
        <f t="shared" si="577"/>
        <v>0</v>
      </c>
    </row>
    <row r="873" spans="1:15" s="83" customFormat="1" ht="25.5">
      <c r="A873" s="12" t="s">
        <v>978</v>
      </c>
      <c r="B873" s="25" t="s">
        <v>62</v>
      </c>
      <c r="C873" s="26" t="s">
        <v>14</v>
      </c>
      <c r="D873" s="26" t="s">
        <v>53</v>
      </c>
      <c r="E873" s="26" t="s">
        <v>796</v>
      </c>
      <c r="F873" s="26" t="s">
        <v>1064</v>
      </c>
      <c r="G873" s="27">
        <f t="shared" ref="G873" si="606">J873</f>
        <v>548990</v>
      </c>
      <c r="H873" s="27">
        <f>L873</f>
        <v>548990</v>
      </c>
      <c r="I873" s="27">
        <f>N873</f>
        <v>548990</v>
      </c>
      <c r="J873" s="16">
        <f>'БА в тыс. руб.'!G873*1000</f>
        <v>548990</v>
      </c>
      <c r="K873" s="169">
        <f t="shared" si="575"/>
        <v>0</v>
      </c>
      <c r="L873" s="16">
        <f>'БА в тыс. руб.'!H873*1000</f>
        <v>548990</v>
      </c>
      <c r="M873" s="169">
        <f t="shared" si="576"/>
        <v>0</v>
      </c>
      <c r="N873" s="16">
        <f>'БА в тыс. руб.'!I873*1000</f>
        <v>548990</v>
      </c>
      <c r="O873" s="169">
        <f t="shared" si="577"/>
        <v>0</v>
      </c>
    </row>
    <row r="874" spans="1:15" s="30" customFormat="1" ht="25.5">
      <c r="A874" s="32" t="s">
        <v>403</v>
      </c>
      <c r="B874" s="25" t="s">
        <v>62</v>
      </c>
      <c r="C874" s="26" t="s">
        <v>14</v>
      </c>
      <c r="D874" s="26" t="s">
        <v>53</v>
      </c>
      <c r="E874" s="26" t="s">
        <v>797</v>
      </c>
      <c r="F874" s="26" t="s">
        <v>58</v>
      </c>
      <c r="G874" s="119">
        <f>G875+G877</f>
        <v>280139800</v>
      </c>
      <c r="H874" s="119">
        <f>H875+H877</f>
        <v>232516030</v>
      </c>
      <c r="I874" s="119">
        <f>I875+I877</f>
        <v>280139800</v>
      </c>
      <c r="J874" s="16">
        <f>'БА в тыс. руб.'!G874*1000</f>
        <v>280139800</v>
      </c>
      <c r="K874" s="169">
        <f t="shared" si="575"/>
        <v>0</v>
      </c>
      <c r="L874" s="16">
        <f>'БА в тыс. руб.'!H874*1000</f>
        <v>232516030</v>
      </c>
      <c r="M874" s="169">
        <f t="shared" si="576"/>
        <v>0</v>
      </c>
      <c r="N874" s="16">
        <f>'БА в тыс. руб.'!I874*1000</f>
        <v>280139800</v>
      </c>
      <c r="O874" s="169">
        <f t="shared" si="577"/>
        <v>0</v>
      </c>
    </row>
    <row r="875" spans="1:15" s="30" customFormat="1" ht="25.5">
      <c r="A875" s="11" t="s">
        <v>108</v>
      </c>
      <c r="B875" s="25" t="s">
        <v>62</v>
      </c>
      <c r="C875" s="26" t="s">
        <v>14</v>
      </c>
      <c r="D875" s="26" t="s">
        <v>53</v>
      </c>
      <c r="E875" s="26" t="s">
        <v>797</v>
      </c>
      <c r="F875" s="26" t="s">
        <v>116</v>
      </c>
      <c r="G875" s="119">
        <f>G876</f>
        <v>3726000</v>
      </c>
      <c r="H875" s="119">
        <f t="shared" ref="H875:I875" si="607">H876</f>
        <v>3092360</v>
      </c>
      <c r="I875" s="119">
        <f t="shared" si="607"/>
        <v>3726000</v>
      </c>
      <c r="J875" s="16">
        <f>'БА в тыс. руб.'!G875*1000</f>
        <v>3726000</v>
      </c>
      <c r="K875" s="169">
        <f t="shared" si="575"/>
        <v>0</v>
      </c>
      <c r="L875" s="16">
        <f>'БА в тыс. руб.'!H875*1000</f>
        <v>3092360</v>
      </c>
      <c r="M875" s="169">
        <f t="shared" si="576"/>
        <v>0</v>
      </c>
      <c r="N875" s="16">
        <f>'БА в тыс. руб.'!I875*1000</f>
        <v>3726000</v>
      </c>
      <c r="O875" s="169">
        <f t="shared" si="577"/>
        <v>0</v>
      </c>
    </row>
    <row r="876" spans="1:15" s="83" customFormat="1" ht="25.5">
      <c r="A876" s="12" t="s">
        <v>973</v>
      </c>
      <c r="B876" s="25" t="s">
        <v>62</v>
      </c>
      <c r="C876" s="26" t="s">
        <v>14</v>
      </c>
      <c r="D876" s="26" t="s">
        <v>53</v>
      </c>
      <c r="E876" s="26" t="s">
        <v>797</v>
      </c>
      <c r="F876" s="26" t="s">
        <v>1043</v>
      </c>
      <c r="G876" s="27">
        <f t="shared" ref="G876" si="608">J876</f>
        <v>3726000</v>
      </c>
      <c r="H876" s="27">
        <f>L876</f>
        <v>3092360</v>
      </c>
      <c r="I876" s="27">
        <f>N876</f>
        <v>3726000</v>
      </c>
      <c r="J876" s="16">
        <f>'БА в тыс. руб.'!G876*1000</f>
        <v>3726000</v>
      </c>
      <c r="K876" s="169">
        <f t="shared" si="575"/>
        <v>0</v>
      </c>
      <c r="L876" s="16">
        <f>'БА в тыс. руб.'!H876*1000</f>
        <v>3092360</v>
      </c>
      <c r="M876" s="169">
        <f t="shared" si="576"/>
        <v>0</v>
      </c>
      <c r="N876" s="16">
        <f>'БА в тыс. руб.'!I876*1000</f>
        <v>3726000</v>
      </c>
      <c r="O876" s="169">
        <f t="shared" si="577"/>
        <v>0</v>
      </c>
    </row>
    <row r="877" spans="1:15" s="30" customFormat="1">
      <c r="A877" s="13" t="s">
        <v>109</v>
      </c>
      <c r="B877" s="25" t="s">
        <v>62</v>
      </c>
      <c r="C877" s="26" t="s">
        <v>14</v>
      </c>
      <c r="D877" s="26" t="s">
        <v>53</v>
      </c>
      <c r="E877" s="26" t="s">
        <v>797</v>
      </c>
      <c r="F877" s="26" t="s">
        <v>134</v>
      </c>
      <c r="G877" s="119">
        <f>G878</f>
        <v>276413800</v>
      </c>
      <c r="H877" s="119">
        <f t="shared" ref="H877:I877" si="609">H878</f>
        <v>229423670</v>
      </c>
      <c r="I877" s="119">
        <f t="shared" si="609"/>
        <v>276413800</v>
      </c>
      <c r="J877" s="16">
        <f>'БА в тыс. руб.'!G877*1000</f>
        <v>276413800</v>
      </c>
      <c r="K877" s="169">
        <f t="shared" si="575"/>
        <v>0</v>
      </c>
      <c r="L877" s="16">
        <f>'БА в тыс. руб.'!H877*1000</f>
        <v>229423670</v>
      </c>
      <c r="M877" s="169">
        <f t="shared" si="576"/>
        <v>0</v>
      </c>
      <c r="N877" s="16">
        <f>'БА в тыс. руб.'!I877*1000</f>
        <v>276413800</v>
      </c>
      <c r="O877" s="169">
        <f t="shared" si="577"/>
        <v>0</v>
      </c>
    </row>
    <row r="878" spans="1:15" s="83" customFormat="1" ht="25.5">
      <c r="A878" s="12" t="s">
        <v>978</v>
      </c>
      <c r="B878" s="25" t="s">
        <v>62</v>
      </c>
      <c r="C878" s="26" t="s">
        <v>14</v>
      </c>
      <c r="D878" s="26" t="s">
        <v>53</v>
      </c>
      <c r="E878" s="26" t="s">
        <v>797</v>
      </c>
      <c r="F878" s="26" t="s">
        <v>1064</v>
      </c>
      <c r="G878" s="27">
        <f t="shared" ref="G878" si="610">J878</f>
        <v>276413800</v>
      </c>
      <c r="H878" s="27">
        <f>L878</f>
        <v>229423670</v>
      </c>
      <c r="I878" s="27">
        <f>N878</f>
        <v>276413800</v>
      </c>
      <c r="J878" s="16">
        <f>'БА в тыс. руб.'!G878*1000</f>
        <v>276413800</v>
      </c>
      <c r="K878" s="169">
        <f t="shared" si="575"/>
        <v>0</v>
      </c>
      <c r="L878" s="16">
        <f>'БА в тыс. руб.'!H878*1000</f>
        <v>229423670</v>
      </c>
      <c r="M878" s="169">
        <f t="shared" si="576"/>
        <v>0</v>
      </c>
      <c r="N878" s="16">
        <f>'БА в тыс. руб.'!I878*1000</f>
        <v>276413800</v>
      </c>
      <c r="O878" s="169">
        <f t="shared" si="577"/>
        <v>0</v>
      </c>
    </row>
    <row r="879" spans="1:15" s="30" customFormat="1" ht="38.25">
      <c r="A879" s="32" t="s">
        <v>693</v>
      </c>
      <c r="B879" s="25" t="s">
        <v>62</v>
      </c>
      <c r="C879" s="26" t="s">
        <v>14</v>
      </c>
      <c r="D879" s="26" t="s">
        <v>53</v>
      </c>
      <c r="E879" s="26" t="s">
        <v>798</v>
      </c>
      <c r="F879" s="26" t="s">
        <v>58</v>
      </c>
      <c r="G879" s="119">
        <f>G882+G880</f>
        <v>5379230</v>
      </c>
      <c r="H879" s="119">
        <f>H882+H880</f>
        <v>5379230</v>
      </c>
      <c r="I879" s="119">
        <f>I882+I880</f>
        <v>5379230</v>
      </c>
      <c r="J879" s="16">
        <f>'БА в тыс. руб.'!G879*1000</f>
        <v>5379230</v>
      </c>
      <c r="K879" s="169">
        <f t="shared" si="575"/>
        <v>0</v>
      </c>
      <c r="L879" s="16">
        <f>'БА в тыс. руб.'!H879*1000</f>
        <v>5379230</v>
      </c>
      <c r="M879" s="169">
        <f t="shared" si="576"/>
        <v>0</v>
      </c>
      <c r="N879" s="16">
        <f>'БА в тыс. руб.'!I879*1000</f>
        <v>5379230</v>
      </c>
      <c r="O879" s="169">
        <f t="shared" si="577"/>
        <v>0</v>
      </c>
    </row>
    <row r="880" spans="1:15" s="30" customFormat="1" ht="25.5">
      <c r="A880" s="11" t="s">
        <v>108</v>
      </c>
      <c r="B880" s="25" t="s">
        <v>62</v>
      </c>
      <c r="C880" s="26" t="s">
        <v>14</v>
      </c>
      <c r="D880" s="26" t="s">
        <v>53</v>
      </c>
      <c r="E880" s="26" t="s">
        <v>798</v>
      </c>
      <c r="F880" s="26" t="s">
        <v>116</v>
      </c>
      <c r="G880" s="119">
        <f>G881</f>
        <v>61000</v>
      </c>
      <c r="H880" s="119">
        <f t="shared" ref="H880:I880" si="611">H881</f>
        <v>61000</v>
      </c>
      <c r="I880" s="119">
        <f t="shared" si="611"/>
        <v>61000</v>
      </c>
      <c r="J880" s="16">
        <f>'БА в тыс. руб.'!G880*1000</f>
        <v>61000</v>
      </c>
      <c r="K880" s="169">
        <f t="shared" si="575"/>
        <v>0</v>
      </c>
      <c r="L880" s="16">
        <f>'БА в тыс. руб.'!H880*1000</f>
        <v>61000</v>
      </c>
      <c r="M880" s="169">
        <f t="shared" si="576"/>
        <v>0</v>
      </c>
      <c r="N880" s="16">
        <f>'БА в тыс. руб.'!I880*1000</f>
        <v>61000</v>
      </c>
      <c r="O880" s="169">
        <f t="shared" si="577"/>
        <v>0</v>
      </c>
    </row>
    <row r="881" spans="1:15" s="83" customFormat="1" ht="25.5">
      <c r="A881" s="12" t="s">
        <v>973</v>
      </c>
      <c r="B881" s="25" t="s">
        <v>62</v>
      </c>
      <c r="C881" s="26" t="s">
        <v>14</v>
      </c>
      <c r="D881" s="26" t="s">
        <v>53</v>
      </c>
      <c r="E881" s="26" t="s">
        <v>798</v>
      </c>
      <c r="F881" s="26" t="s">
        <v>1043</v>
      </c>
      <c r="G881" s="27">
        <f t="shared" ref="G881" si="612">J881</f>
        <v>61000</v>
      </c>
      <c r="H881" s="27">
        <f>L881</f>
        <v>61000</v>
      </c>
      <c r="I881" s="27">
        <f>N881</f>
        <v>61000</v>
      </c>
      <c r="J881" s="16">
        <f>'БА в тыс. руб.'!G881*1000</f>
        <v>61000</v>
      </c>
      <c r="K881" s="169">
        <f t="shared" si="575"/>
        <v>0</v>
      </c>
      <c r="L881" s="16">
        <f>'БА в тыс. руб.'!H881*1000</f>
        <v>61000</v>
      </c>
      <c r="M881" s="169">
        <f t="shared" si="576"/>
        <v>0</v>
      </c>
      <c r="N881" s="16">
        <f>'БА в тыс. руб.'!I881*1000</f>
        <v>61000</v>
      </c>
      <c r="O881" s="169">
        <f t="shared" si="577"/>
        <v>0</v>
      </c>
    </row>
    <row r="882" spans="1:15" s="30" customFormat="1">
      <c r="A882" s="13" t="s">
        <v>109</v>
      </c>
      <c r="B882" s="25" t="s">
        <v>62</v>
      </c>
      <c r="C882" s="26" t="s">
        <v>14</v>
      </c>
      <c r="D882" s="26" t="s">
        <v>53</v>
      </c>
      <c r="E882" s="26" t="s">
        <v>798</v>
      </c>
      <c r="F882" s="26" t="s">
        <v>134</v>
      </c>
      <c r="G882" s="119">
        <f>G883</f>
        <v>5318230</v>
      </c>
      <c r="H882" s="119">
        <f t="shared" ref="H882:I882" si="613">H883</f>
        <v>5318230</v>
      </c>
      <c r="I882" s="119">
        <f t="shared" si="613"/>
        <v>5318230</v>
      </c>
      <c r="J882" s="16">
        <f>'БА в тыс. руб.'!G882*1000</f>
        <v>5318230</v>
      </c>
      <c r="K882" s="169">
        <f t="shared" si="575"/>
        <v>0</v>
      </c>
      <c r="L882" s="16">
        <f>'БА в тыс. руб.'!H882*1000</f>
        <v>5318230</v>
      </c>
      <c r="M882" s="169">
        <f t="shared" si="576"/>
        <v>0</v>
      </c>
      <c r="N882" s="16">
        <f>'БА в тыс. руб.'!I882*1000</f>
        <v>5318230</v>
      </c>
      <c r="O882" s="169">
        <f t="shared" si="577"/>
        <v>0</v>
      </c>
    </row>
    <row r="883" spans="1:15" s="83" customFormat="1" ht="25.5">
      <c r="A883" s="12" t="s">
        <v>978</v>
      </c>
      <c r="B883" s="25" t="s">
        <v>62</v>
      </c>
      <c r="C883" s="26" t="s">
        <v>14</v>
      </c>
      <c r="D883" s="26" t="s">
        <v>53</v>
      </c>
      <c r="E883" s="26" t="s">
        <v>798</v>
      </c>
      <c r="F883" s="26" t="s">
        <v>1064</v>
      </c>
      <c r="G883" s="27">
        <f t="shared" ref="G883" si="614">J883</f>
        <v>5318230</v>
      </c>
      <c r="H883" s="27">
        <f>L883</f>
        <v>5318230</v>
      </c>
      <c r="I883" s="27">
        <f>N883</f>
        <v>5318230</v>
      </c>
      <c r="J883" s="16">
        <f>'БА в тыс. руб.'!G883*1000</f>
        <v>5318230</v>
      </c>
      <c r="K883" s="169">
        <f t="shared" si="575"/>
        <v>0</v>
      </c>
      <c r="L883" s="16">
        <f>'БА в тыс. руб.'!H883*1000</f>
        <v>5318230</v>
      </c>
      <c r="M883" s="169">
        <f t="shared" si="576"/>
        <v>0</v>
      </c>
      <c r="N883" s="16">
        <f>'БА в тыс. руб.'!I883*1000</f>
        <v>5318230</v>
      </c>
      <c r="O883" s="169">
        <f t="shared" si="577"/>
        <v>0</v>
      </c>
    </row>
    <row r="884" spans="1:15" s="30" customFormat="1" ht="25.5">
      <c r="A884" s="152" t="s">
        <v>406</v>
      </c>
      <c r="B884" s="25" t="s">
        <v>62</v>
      </c>
      <c r="C884" s="26" t="s">
        <v>14</v>
      </c>
      <c r="D884" s="26" t="s">
        <v>53</v>
      </c>
      <c r="E884" s="26" t="s">
        <v>407</v>
      </c>
      <c r="F884" s="26" t="s">
        <v>58</v>
      </c>
      <c r="G884" s="161">
        <f>G885+G893+G901+G888+G896</f>
        <v>318230640</v>
      </c>
      <c r="H884" s="161">
        <f>H885+H893+H901+H888+H896</f>
        <v>311230880</v>
      </c>
      <c r="I884" s="161">
        <f>I885+I893+I901+I888+I896</f>
        <v>335106090</v>
      </c>
      <c r="J884" s="16">
        <f>'БА в тыс. руб.'!G884*1000</f>
        <v>318230640.00000006</v>
      </c>
      <c r="K884" s="169">
        <f t="shared" si="575"/>
        <v>0</v>
      </c>
      <c r="L884" s="16">
        <f>'БА в тыс. руб.'!H884*1000</f>
        <v>311230880</v>
      </c>
      <c r="M884" s="169">
        <f t="shared" si="576"/>
        <v>0</v>
      </c>
      <c r="N884" s="16">
        <f>'БА в тыс. руб.'!I884*1000</f>
        <v>335106089.99999994</v>
      </c>
      <c r="O884" s="169">
        <f t="shared" si="577"/>
        <v>0</v>
      </c>
    </row>
    <row r="885" spans="1:15" s="30" customFormat="1" ht="63.75">
      <c r="A885" s="32" t="s">
        <v>408</v>
      </c>
      <c r="B885" s="25" t="s">
        <v>62</v>
      </c>
      <c r="C885" s="26" t="s">
        <v>14</v>
      </c>
      <c r="D885" s="26" t="s">
        <v>53</v>
      </c>
      <c r="E885" s="26" t="s">
        <v>409</v>
      </c>
      <c r="F885" s="26" t="s">
        <v>58</v>
      </c>
      <c r="G885" s="119">
        <f>G886</f>
        <v>168353500</v>
      </c>
      <c r="H885" s="119">
        <f>H886</f>
        <v>168938600</v>
      </c>
      <c r="I885" s="119">
        <f>I886</f>
        <v>169829300</v>
      </c>
      <c r="J885" s="16">
        <f>'БА в тыс. руб.'!G885*1000</f>
        <v>168353500</v>
      </c>
      <c r="K885" s="169">
        <f t="shared" si="575"/>
        <v>0</v>
      </c>
      <c r="L885" s="16">
        <f>'БА в тыс. руб.'!H885*1000</f>
        <v>168938600</v>
      </c>
      <c r="M885" s="169">
        <f t="shared" si="576"/>
        <v>0</v>
      </c>
      <c r="N885" s="16">
        <f>'БА в тыс. руб.'!I885*1000</f>
        <v>169829300</v>
      </c>
      <c r="O885" s="169">
        <f t="shared" si="577"/>
        <v>0</v>
      </c>
    </row>
    <row r="886" spans="1:15" s="30" customFormat="1">
      <c r="A886" s="13" t="s">
        <v>109</v>
      </c>
      <c r="B886" s="25" t="s">
        <v>62</v>
      </c>
      <c r="C886" s="26" t="s">
        <v>14</v>
      </c>
      <c r="D886" s="26" t="s">
        <v>53</v>
      </c>
      <c r="E886" s="26" t="s">
        <v>409</v>
      </c>
      <c r="F886" s="26" t="s">
        <v>134</v>
      </c>
      <c r="G886" s="119">
        <f>G887</f>
        <v>168353500</v>
      </c>
      <c r="H886" s="119">
        <f t="shared" ref="H886:I886" si="615">H887</f>
        <v>168938600</v>
      </c>
      <c r="I886" s="119">
        <f t="shared" si="615"/>
        <v>169829300</v>
      </c>
      <c r="J886" s="16">
        <f>'БА в тыс. руб.'!G886*1000</f>
        <v>168353500</v>
      </c>
      <c r="K886" s="169">
        <f t="shared" si="575"/>
        <v>0</v>
      </c>
      <c r="L886" s="16">
        <f>'БА в тыс. руб.'!H886*1000</f>
        <v>168938600</v>
      </c>
      <c r="M886" s="169">
        <f t="shared" si="576"/>
        <v>0</v>
      </c>
      <c r="N886" s="16">
        <f>'БА в тыс. руб.'!I886*1000</f>
        <v>169829300</v>
      </c>
      <c r="O886" s="169">
        <f t="shared" si="577"/>
        <v>0</v>
      </c>
    </row>
    <row r="887" spans="1:15" s="83" customFormat="1" ht="25.5">
      <c r="A887" s="12" t="s">
        <v>978</v>
      </c>
      <c r="B887" s="25" t="s">
        <v>62</v>
      </c>
      <c r="C887" s="26" t="s">
        <v>14</v>
      </c>
      <c r="D887" s="26" t="s">
        <v>53</v>
      </c>
      <c r="E887" s="26" t="s">
        <v>409</v>
      </c>
      <c r="F887" s="26" t="s">
        <v>1064</v>
      </c>
      <c r="G887" s="27">
        <f t="shared" ref="G887" si="616">J887</f>
        <v>168353500</v>
      </c>
      <c r="H887" s="27">
        <f>L887</f>
        <v>168938600</v>
      </c>
      <c r="I887" s="27">
        <f>N887</f>
        <v>169829300</v>
      </c>
      <c r="J887" s="16">
        <f>'БА в тыс. руб.'!G887*1000</f>
        <v>168353500</v>
      </c>
      <c r="K887" s="169">
        <f t="shared" si="575"/>
        <v>0</v>
      </c>
      <c r="L887" s="16">
        <f>'БА в тыс. руб.'!H887*1000</f>
        <v>168938600</v>
      </c>
      <c r="M887" s="169">
        <f t="shared" si="576"/>
        <v>0</v>
      </c>
      <c r="N887" s="16">
        <f>'БА в тыс. руб.'!I887*1000</f>
        <v>169829300</v>
      </c>
      <c r="O887" s="169">
        <f t="shared" si="577"/>
        <v>0</v>
      </c>
    </row>
    <row r="888" spans="1:15" s="30" customFormat="1">
      <c r="A888" s="32" t="s">
        <v>410</v>
      </c>
      <c r="B888" s="25" t="s">
        <v>62</v>
      </c>
      <c r="C888" s="26" t="s">
        <v>14</v>
      </c>
      <c r="D888" s="26" t="s">
        <v>53</v>
      </c>
      <c r="E888" s="26" t="s">
        <v>411</v>
      </c>
      <c r="F888" s="26" t="s">
        <v>58</v>
      </c>
      <c r="G888" s="119">
        <f>G889+G891</f>
        <v>389830</v>
      </c>
      <c r="H888" s="119">
        <f>H889+H891</f>
        <v>389830</v>
      </c>
      <c r="I888" s="119">
        <f>I889+I891</f>
        <v>389830</v>
      </c>
      <c r="J888" s="16">
        <f>'БА в тыс. руб.'!G888*1000</f>
        <v>389830</v>
      </c>
      <c r="K888" s="169">
        <f t="shared" si="575"/>
        <v>0</v>
      </c>
      <c r="L888" s="16">
        <f>'БА в тыс. руб.'!H888*1000</f>
        <v>389830</v>
      </c>
      <c r="M888" s="169">
        <f t="shared" si="576"/>
        <v>0</v>
      </c>
      <c r="N888" s="16">
        <f>'БА в тыс. руб.'!I888*1000</f>
        <v>389830</v>
      </c>
      <c r="O888" s="169">
        <f t="shared" si="577"/>
        <v>0</v>
      </c>
    </row>
    <row r="889" spans="1:15" s="30" customFormat="1" ht="25.5">
      <c r="A889" s="11" t="s">
        <v>108</v>
      </c>
      <c r="B889" s="25" t="s">
        <v>62</v>
      </c>
      <c r="C889" s="26" t="s">
        <v>14</v>
      </c>
      <c r="D889" s="26" t="s">
        <v>53</v>
      </c>
      <c r="E889" s="26" t="s">
        <v>411</v>
      </c>
      <c r="F889" s="26" t="s">
        <v>116</v>
      </c>
      <c r="G889" s="119">
        <f>G890</f>
        <v>5760</v>
      </c>
      <c r="H889" s="119">
        <f t="shared" ref="H889:I889" si="617">H890</f>
        <v>5760</v>
      </c>
      <c r="I889" s="119">
        <f t="shared" si="617"/>
        <v>5760</v>
      </c>
      <c r="J889" s="16">
        <f>'БА в тыс. руб.'!G889*1000</f>
        <v>5760</v>
      </c>
      <c r="K889" s="169">
        <f t="shared" si="575"/>
        <v>0</v>
      </c>
      <c r="L889" s="16">
        <f>'БА в тыс. руб.'!H889*1000</f>
        <v>5760</v>
      </c>
      <c r="M889" s="169">
        <f t="shared" si="576"/>
        <v>0</v>
      </c>
      <c r="N889" s="16">
        <f>'БА в тыс. руб.'!I889*1000</f>
        <v>5760</v>
      </c>
      <c r="O889" s="169">
        <f t="shared" si="577"/>
        <v>0</v>
      </c>
    </row>
    <row r="890" spans="1:15" s="83" customFormat="1" ht="25.5">
      <c r="A890" s="12" t="s">
        <v>973</v>
      </c>
      <c r="B890" s="25" t="s">
        <v>62</v>
      </c>
      <c r="C890" s="26" t="s">
        <v>14</v>
      </c>
      <c r="D890" s="26" t="s">
        <v>53</v>
      </c>
      <c r="E890" s="26" t="s">
        <v>411</v>
      </c>
      <c r="F890" s="26" t="s">
        <v>1043</v>
      </c>
      <c r="G890" s="27">
        <f t="shared" ref="G890" si="618">J890</f>
        <v>5760</v>
      </c>
      <c r="H890" s="27">
        <f>L890</f>
        <v>5760</v>
      </c>
      <c r="I890" s="27">
        <f>N890</f>
        <v>5760</v>
      </c>
      <c r="J890" s="16">
        <f>'БА в тыс. руб.'!G890*1000</f>
        <v>5760</v>
      </c>
      <c r="K890" s="169">
        <f t="shared" si="575"/>
        <v>0</v>
      </c>
      <c r="L890" s="16">
        <f>'БА в тыс. руб.'!H890*1000</f>
        <v>5760</v>
      </c>
      <c r="M890" s="169">
        <f t="shared" si="576"/>
        <v>0</v>
      </c>
      <c r="N890" s="16">
        <f>'БА в тыс. руб.'!I890*1000</f>
        <v>5760</v>
      </c>
      <c r="O890" s="169">
        <f t="shared" si="577"/>
        <v>0</v>
      </c>
    </row>
    <row r="891" spans="1:15" s="30" customFormat="1">
      <c r="A891" s="13" t="s">
        <v>109</v>
      </c>
      <c r="B891" s="25" t="s">
        <v>62</v>
      </c>
      <c r="C891" s="26" t="s">
        <v>14</v>
      </c>
      <c r="D891" s="26" t="s">
        <v>53</v>
      </c>
      <c r="E891" s="26" t="s">
        <v>411</v>
      </c>
      <c r="F891" s="26" t="s">
        <v>134</v>
      </c>
      <c r="G891" s="119">
        <f>G892</f>
        <v>384070</v>
      </c>
      <c r="H891" s="119">
        <f t="shared" ref="H891:I891" si="619">H892</f>
        <v>384070</v>
      </c>
      <c r="I891" s="119">
        <f t="shared" si="619"/>
        <v>384070</v>
      </c>
      <c r="J891" s="16">
        <f>'БА в тыс. руб.'!G891*1000</f>
        <v>384070</v>
      </c>
      <c r="K891" s="169">
        <f t="shared" si="575"/>
        <v>0</v>
      </c>
      <c r="L891" s="16">
        <f>'БА в тыс. руб.'!H891*1000</f>
        <v>384070</v>
      </c>
      <c r="M891" s="169">
        <f t="shared" si="576"/>
        <v>0</v>
      </c>
      <c r="N891" s="16">
        <f>'БА в тыс. руб.'!I891*1000</f>
        <v>384070</v>
      </c>
      <c r="O891" s="169">
        <f t="shared" si="577"/>
        <v>0</v>
      </c>
    </row>
    <row r="892" spans="1:15" s="83" customFormat="1" ht="25.5">
      <c r="A892" s="12" t="s">
        <v>978</v>
      </c>
      <c r="B892" s="25" t="s">
        <v>62</v>
      </c>
      <c r="C892" s="26" t="s">
        <v>14</v>
      </c>
      <c r="D892" s="26" t="s">
        <v>53</v>
      </c>
      <c r="E892" s="26" t="s">
        <v>411</v>
      </c>
      <c r="F892" s="26" t="s">
        <v>1064</v>
      </c>
      <c r="G892" s="27">
        <f t="shared" ref="G892" si="620">J892</f>
        <v>384070</v>
      </c>
      <c r="H892" s="27">
        <f>L892</f>
        <v>384070</v>
      </c>
      <c r="I892" s="27">
        <f>N892</f>
        <v>384070</v>
      </c>
      <c r="J892" s="16">
        <f>'БА в тыс. руб.'!G892*1000</f>
        <v>384070</v>
      </c>
      <c r="K892" s="169">
        <f t="shared" si="575"/>
        <v>0</v>
      </c>
      <c r="L892" s="16">
        <f>'БА в тыс. руб.'!H892*1000</f>
        <v>384070</v>
      </c>
      <c r="M892" s="169">
        <f t="shared" si="576"/>
        <v>0</v>
      </c>
      <c r="N892" s="16">
        <f>'БА в тыс. руб.'!I892*1000</f>
        <v>384070</v>
      </c>
      <c r="O892" s="169">
        <f t="shared" si="577"/>
        <v>0</v>
      </c>
    </row>
    <row r="893" spans="1:15" s="30" customFormat="1">
      <c r="A893" s="32" t="s">
        <v>412</v>
      </c>
      <c r="B893" s="25" t="s">
        <v>62</v>
      </c>
      <c r="C893" s="26" t="s">
        <v>14</v>
      </c>
      <c r="D893" s="26" t="s">
        <v>53</v>
      </c>
      <c r="E893" s="26" t="s">
        <v>413</v>
      </c>
      <c r="F893" s="26" t="s">
        <v>58</v>
      </c>
      <c r="G893" s="119">
        <f>G894</f>
        <v>107715280</v>
      </c>
      <c r="H893" s="119">
        <f>H894</f>
        <v>93066000</v>
      </c>
      <c r="I893" s="119">
        <f>I894</f>
        <v>107715280</v>
      </c>
      <c r="J893" s="16">
        <f>'БА в тыс. руб.'!G893*1000</f>
        <v>107715280</v>
      </c>
      <c r="K893" s="169">
        <f t="shared" si="575"/>
        <v>0</v>
      </c>
      <c r="L893" s="16">
        <f>'БА в тыс. руб.'!H893*1000</f>
        <v>93066000</v>
      </c>
      <c r="M893" s="169">
        <f t="shared" si="576"/>
        <v>0</v>
      </c>
      <c r="N893" s="16">
        <f>'БА в тыс. руб.'!I893*1000</f>
        <v>107715280</v>
      </c>
      <c r="O893" s="169">
        <f t="shared" si="577"/>
        <v>0</v>
      </c>
    </row>
    <row r="894" spans="1:15" s="30" customFormat="1">
      <c r="A894" s="13" t="s">
        <v>109</v>
      </c>
      <c r="B894" s="25" t="s">
        <v>62</v>
      </c>
      <c r="C894" s="26" t="s">
        <v>14</v>
      </c>
      <c r="D894" s="26" t="s">
        <v>53</v>
      </c>
      <c r="E894" s="26" t="s">
        <v>413</v>
      </c>
      <c r="F894" s="26" t="s">
        <v>134</v>
      </c>
      <c r="G894" s="119">
        <f>G895</f>
        <v>107715280</v>
      </c>
      <c r="H894" s="119">
        <f t="shared" ref="H894:I894" si="621">H895</f>
        <v>93066000</v>
      </c>
      <c r="I894" s="119">
        <f t="shared" si="621"/>
        <v>107715280</v>
      </c>
      <c r="J894" s="16">
        <f>'БА в тыс. руб.'!G894*1000</f>
        <v>107715280</v>
      </c>
      <c r="K894" s="169">
        <f t="shared" si="575"/>
        <v>0</v>
      </c>
      <c r="L894" s="16">
        <f>'БА в тыс. руб.'!H894*1000</f>
        <v>93066000</v>
      </c>
      <c r="M894" s="169">
        <f t="shared" si="576"/>
        <v>0</v>
      </c>
      <c r="N894" s="16">
        <f>'БА в тыс. руб.'!I894*1000</f>
        <v>107715280</v>
      </c>
      <c r="O894" s="169">
        <f t="shared" si="577"/>
        <v>0</v>
      </c>
    </row>
    <row r="895" spans="1:15" s="83" customFormat="1" ht="25.5">
      <c r="A895" s="12" t="s">
        <v>978</v>
      </c>
      <c r="B895" s="25" t="s">
        <v>62</v>
      </c>
      <c r="C895" s="26" t="s">
        <v>14</v>
      </c>
      <c r="D895" s="26" t="s">
        <v>53</v>
      </c>
      <c r="E895" s="26" t="s">
        <v>413</v>
      </c>
      <c r="F895" s="26" t="s">
        <v>1064</v>
      </c>
      <c r="G895" s="27">
        <f t="shared" ref="G895" si="622">J895</f>
        <v>107715280</v>
      </c>
      <c r="H895" s="27">
        <f>L895</f>
        <v>93066000</v>
      </c>
      <c r="I895" s="27">
        <f>N895</f>
        <v>107715280</v>
      </c>
      <c r="J895" s="16">
        <f>'БА в тыс. руб.'!G895*1000</f>
        <v>107715280</v>
      </c>
      <c r="K895" s="169">
        <f t="shared" si="575"/>
        <v>0</v>
      </c>
      <c r="L895" s="16">
        <f>'БА в тыс. руб.'!H895*1000</f>
        <v>93066000</v>
      </c>
      <c r="M895" s="169">
        <f t="shared" si="576"/>
        <v>0</v>
      </c>
      <c r="N895" s="16">
        <f>'БА в тыс. руб.'!I895*1000</f>
        <v>107715280</v>
      </c>
      <c r="O895" s="169">
        <f t="shared" si="577"/>
        <v>0</v>
      </c>
    </row>
    <row r="896" spans="1:15" s="30" customFormat="1" ht="63.75">
      <c r="A896" s="126" t="s">
        <v>673</v>
      </c>
      <c r="B896" s="35" t="s">
        <v>62</v>
      </c>
      <c r="C896" s="36" t="s">
        <v>14</v>
      </c>
      <c r="D896" s="36" t="s">
        <v>53</v>
      </c>
      <c r="E896" s="36" t="s">
        <v>672</v>
      </c>
      <c r="F896" s="36" t="s">
        <v>58</v>
      </c>
      <c r="G896" s="161">
        <f>G899+G897</f>
        <v>2524000</v>
      </c>
      <c r="H896" s="161">
        <f>H899+H897</f>
        <v>2524000</v>
      </c>
      <c r="I896" s="161">
        <f>I899+I897</f>
        <v>2524000</v>
      </c>
      <c r="J896" s="16">
        <f>'БА в тыс. руб.'!G896*1000</f>
        <v>2524000</v>
      </c>
      <c r="K896" s="169">
        <f t="shared" si="575"/>
        <v>0</v>
      </c>
      <c r="L896" s="16">
        <f>'БА в тыс. руб.'!H896*1000</f>
        <v>2524000</v>
      </c>
      <c r="M896" s="169">
        <f t="shared" si="576"/>
        <v>0</v>
      </c>
      <c r="N896" s="16">
        <f>'БА в тыс. руб.'!I896*1000</f>
        <v>2524000</v>
      </c>
      <c r="O896" s="169">
        <f t="shared" si="577"/>
        <v>0</v>
      </c>
    </row>
    <row r="897" spans="1:15" s="30" customFormat="1" ht="25.5">
      <c r="A897" s="11" t="s">
        <v>108</v>
      </c>
      <c r="B897" s="35" t="s">
        <v>62</v>
      </c>
      <c r="C897" s="36" t="s">
        <v>14</v>
      </c>
      <c r="D897" s="36" t="s">
        <v>53</v>
      </c>
      <c r="E897" s="36" t="s">
        <v>672</v>
      </c>
      <c r="F897" s="36" t="s">
        <v>116</v>
      </c>
      <c r="G897" s="119">
        <f>G898</f>
        <v>25000</v>
      </c>
      <c r="H897" s="119">
        <f t="shared" ref="H897:I897" si="623">H898</f>
        <v>25000</v>
      </c>
      <c r="I897" s="119">
        <f t="shared" si="623"/>
        <v>25000</v>
      </c>
      <c r="J897" s="16">
        <f>'БА в тыс. руб.'!G897*1000</f>
        <v>25000</v>
      </c>
      <c r="K897" s="169">
        <f t="shared" si="575"/>
        <v>0</v>
      </c>
      <c r="L897" s="16">
        <f>'БА в тыс. руб.'!H897*1000</f>
        <v>25000</v>
      </c>
      <c r="M897" s="169">
        <f t="shared" si="576"/>
        <v>0</v>
      </c>
      <c r="N897" s="16">
        <f>'БА в тыс. руб.'!I897*1000</f>
        <v>25000</v>
      </c>
      <c r="O897" s="169">
        <f t="shared" si="577"/>
        <v>0</v>
      </c>
    </row>
    <row r="898" spans="1:15" s="83" customFormat="1" ht="25.5">
      <c r="A898" s="12" t="s">
        <v>973</v>
      </c>
      <c r="B898" s="35" t="s">
        <v>62</v>
      </c>
      <c r="C898" s="36" t="s">
        <v>14</v>
      </c>
      <c r="D898" s="36" t="s">
        <v>53</v>
      </c>
      <c r="E898" s="36" t="s">
        <v>672</v>
      </c>
      <c r="F898" s="36" t="s">
        <v>1043</v>
      </c>
      <c r="G898" s="27">
        <f t="shared" ref="G898" si="624">J898</f>
        <v>25000</v>
      </c>
      <c r="H898" s="27">
        <f>L898</f>
        <v>25000</v>
      </c>
      <c r="I898" s="27">
        <f>N898</f>
        <v>25000</v>
      </c>
      <c r="J898" s="16">
        <f>'БА в тыс. руб.'!G898*1000</f>
        <v>25000</v>
      </c>
      <c r="K898" s="169">
        <f t="shared" si="575"/>
        <v>0</v>
      </c>
      <c r="L898" s="16">
        <f>'БА в тыс. руб.'!H898*1000</f>
        <v>25000</v>
      </c>
      <c r="M898" s="169">
        <f t="shared" si="576"/>
        <v>0</v>
      </c>
      <c r="N898" s="16">
        <f>'БА в тыс. руб.'!I898*1000</f>
        <v>25000</v>
      </c>
      <c r="O898" s="169">
        <f t="shared" si="577"/>
        <v>0</v>
      </c>
    </row>
    <row r="899" spans="1:15" s="30" customFormat="1">
      <c r="A899" s="40" t="s">
        <v>109</v>
      </c>
      <c r="B899" s="35" t="s">
        <v>62</v>
      </c>
      <c r="C899" s="36" t="s">
        <v>14</v>
      </c>
      <c r="D899" s="36" t="s">
        <v>53</v>
      </c>
      <c r="E899" s="36" t="s">
        <v>672</v>
      </c>
      <c r="F899" s="36" t="s">
        <v>134</v>
      </c>
      <c r="G899" s="119">
        <f>G900</f>
        <v>2499000</v>
      </c>
      <c r="H899" s="119">
        <f t="shared" ref="H899:I899" si="625">H900</f>
        <v>2499000</v>
      </c>
      <c r="I899" s="119">
        <f t="shared" si="625"/>
        <v>2499000</v>
      </c>
      <c r="J899" s="16">
        <f>'БА в тыс. руб.'!G899*1000</f>
        <v>2499000</v>
      </c>
      <c r="K899" s="169">
        <f t="shared" si="575"/>
        <v>0</v>
      </c>
      <c r="L899" s="16">
        <f>'БА в тыс. руб.'!H899*1000</f>
        <v>2499000</v>
      </c>
      <c r="M899" s="169">
        <f t="shared" si="576"/>
        <v>0</v>
      </c>
      <c r="N899" s="16">
        <f>'БА в тыс. руб.'!I899*1000</f>
        <v>2499000</v>
      </c>
      <c r="O899" s="169">
        <f t="shared" si="577"/>
        <v>0</v>
      </c>
    </row>
    <row r="900" spans="1:15" s="83" customFormat="1" ht="25.5">
      <c r="A900" s="12" t="s">
        <v>978</v>
      </c>
      <c r="B900" s="35" t="s">
        <v>62</v>
      </c>
      <c r="C900" s="36" t="s">
        <v>14</v>
      </c>
      <c r="D900" s="36" t="s">
        <v>53</v>
      </c>
      <c r="E900" s="36" t="s">
        <v>672</v>
      </c>
      <c r="F900" s="36" t="s">
        <v>1064</v>
      </c>
      <c r="G900" s="27">
        <f t="shared" ref="G900" si="626">J900</f>
        <v>2499000</v>
      </c>
      <c r="H900" s="27">
        <f>L900</f>
        <v>2499000</v>
      </c>
      <c r="I900" s="27">
        <f>N900</f>
        <v>2499000</v>
      </c>
      <c r="J900" s="16">
        <f>'БА в тыс. руб.'!G900*1000</f>
        <v>2499000</v>
      </c>
      <c r="K900" s="169">
        <f t="shared" si="575"/>
        <v>0</v>
      </c>
      <c r="L900" s="16">
        <f>'БА в тыс. руб.'!H900*1000</f>
        <v>2499000</v>
      </c>
      <c r="M900" s="169">
        <f t="shared" si="576"/>
        <v>0</v>
      </c>
      <c r="N900" s="16">
        <f>'БА в тыс. руб.'!I900*1000</f>
        <v>2499000</v>
      </c>
      <c r="O900" s="169">
        <f t="shared" si="577"/>
        <v>0</v>
      </c>
    </row>
    <row r="901" spans="1:15" s="30" customFormat="1" ht="25.5">
      <c r="A901" s="126" t="s">
        <v>675</v>
      </c>
      <c r="B901" s="25" t="s">
        <v>62</v>
      </c>
      <c r="C901" s="26" t="s">
        <v>14</v>
      </c>
      <c r="D901" s="26" t="s">
        <v>53</v>
      </c>
      <c r="E901" s="26" t="s">
        <v>799</v>
      </c>
      <c r="F901" s="26" t="s">
        <v>58</v>
      </c>
      <c r="G901" s="119">
        <f>G902+G904</f>
        <v>39248030</v>
      </c>
      <c r="H901" s="119">
        <f>H902+H904</f>
        <v>46312450</v>
      </c>
      <c r="I901" s="119">
        <f>I902+I904</f>
        <v>54647680</v>
      </c>
      <c r="J901" s="16">
        <f>'БА в тыс. руб.'!G901*1000</f>
        <v>39248030</v>
      </c>
      <c r="K901" s="169">
        <f t="shared" si="575"/>
        <v>0</v>
      </c>
      <c r="L901" s="16">
        <f>'БА в тыс. руб.'!H901*1000</f>
        <v>46312450.000000007</v>
      </c>
      <c r="M901" s="169">
        <f t="shared" si="576"/>
        <v>0</v>
      </c>
      <c r="N901" s="16">
        <f>'БА в тыс. руб.'!I901*1000</f>
        <v>54647680</v>
      </c>
      <c r="O901" s="169">
        <f t="shared" si="577"/>
        <v>0</v>
      </c>
    </row>
    <row r="902" spans="1:15" s="30" customFormat="1" ht="25.5">
      <c r="A902" s="11" t="s">
        <v>108</v>
      </c>
      <c r="B902" s="25" t="s">
        <v>62</v>
      </c>
      <c r="C902" s="26" t="s">
        <v>14</v>
      </c>
      <c r="D902" s="26" t="s">
        <v>53</v>
      </c>
      <c r="E902" s="26" t="s">
        <v>799</v>
      </c>
      <c r="F902" s="26" t="s">
        <v>116</v>
      </c>
      <c r="G902" s="119">
        <f>G903</f>
        <v>484540</v>
      </c>
      <c r="H902" s="119">
        <f t="shared" ref="H902:I902" si="627">H903</f>
        <v>571760</v>
      </c>
      <c r="I902" s="119">
        <f t="shared" si="627"/>
        <v>674660</v>
      </c>
      <c r="J902" s="16">
        <f>'БА в тыс. руб.'!G902*1000</f>
        <v>484540</v>
      </c>
      <c r="K902" s="169">
        <f t="shared" si="575"/>
        <v>0</v>
      </c>
      <c r="L902" s="16">
        <f>'БА в тыс. руб.'!H902*1000</f>
        <v>571760</v>
      </c>
      <c r="M902" s="169">
        <f t="shared" si="576"/>
        <v>0</v>
      </c>
      <c r="N902" s="16">
        <f>'БА в тыс. руб.'!I902*1000</f>
        <v>674660</v>
      </c>
      <c r="O902" s="169">
        <f t="shared" si="577"/>
        <v>0</v>
      </c>
    </row>
    <row r="903" spans="1:15" s="83" customFormat="1" ht="25.5">
      <c r="A903" s="12" t="s">
        <v>973</v>
      </c>
      <c r="B903" s="25" t="s">
        <v>62</v>
      </c>
      <c r="C903" s="26" t="s">
        <v>14</v>
      </c>
      <c r="D903" s="26" t="s">
        <v>53</v>
      </c>
      <c r="E903" s="26" t="s">
        <v>799</v>
      </c>
      <c r="F903" s="26" t="s">
        <v>1043</v>
      </c>
      <c r="G903" s="27">
        <f t="shared" ref="G903" si="628">J903</f>
        <v>484540</v>
      </c>
      <c r="H903" s="27">
        <f>L903</f>
        <v>571760</v>
      </c>
      <c r="I903" s="27">
        <f>N903</f>
        <v>674660</v>
      </c>
      <c r="J903" s="16">
        <f>'БА в тыс. руб.'!G903*1000</f>
        <v>484540</v>
      </c>
      <c r="K903" s="169">
        <f t="shared" si="575"/>
        <v>0</v>
      </c>
      <c r="L903" s="16">
        <f>'БА в тыс. руб.'!H903*1000</f>
        <v>571760</v>
      </c>
      <c r="M903" s="169">
        <f t="shared" si="576"/>
        <v>0</v>
      </c>
      <c r="N903" s="16">
        <f>'БА в тыс. руб.'!I903*1000</f>
        <v>674660</v>
      </c>
      <c r="O903" s="169">
        <f t="shared" si="577"/>
        <v>0</v>
      </c>
    </row>
    <row r="904" spans="1:15" s="30" customFormat="1">
      <c r="A904" s="13" t="s">
        <v>109</v>
      </c>
      <c r="B904" s="25" t="s">
        <v>62</v>
      </c>
      <c r="C904" s="26" t="s">
        <v>14</v>
      </c>
      <c r="D904" s="26" t="s">
        <v>53</v>
      </c>
      <c r="E904" s="26" t="s">
        <v>799</v>
      </c>
      <c r="F904" s="26" t="s">
        <v>134</v>
      </c>
      <c r="G904" s="119">
        <f>G905</f>
        <v>38763490</v>
      </c>
      <c r="H904" s="119">
        <f t="shared" ref="H904:I904" si="629">H905</f>
        <v>45740690</v>
      </c>
      <c r="I904" s="119">
        <f t="shared" si="629"/>
        <v>53973020</v>
      </c>
      <c r="J904" s="16">
        <f>'БА в тыс. руб.'!G904*1000</f>
        <v>38763490</v>
      </c>
      <c r="K904" s="169">
        <f t="shared" ref="K904:K967" si="630">J904-G904</f>
        <v>0</v>
      </c>
      <c r="L904" s="16">
        <f>'БА в тыс. руб.'!H904*1000</f>
        <v>45740690</v>
      </c>
      <c r="M904" s="169">
        <f t="shared" ref="M904:M967" si="631">L904-H904</f>
        <v>0</v>
      </c>
      <c r="N904" s="16">
        <f>'БА в тыс. руб.'!I904*1000</f>
        <v>53973020</v>
      </c>
      <c r="O904" s="169">
        <f t="shared" ref="O904:O967" si="632">N904-I904</f>
        <v>0</v>
      </c>
    </row>
    <row r="905" spans="1:15" s="83" customFormat="1" ht="25.5">
      <c r="A905" s="12" t="s">
        <v>978</v>
      </c>
      <c r="B905" s="25" t="s">
        <v>62</v>
      </c>
      <c r="C905" s="26" t="s">
        <v>14</v>
      </c>
      <c r="D905" s="26" t="s">
        <v>53</v>
      </c>
      <c r="E905" s="26" t="s">
        <v>799</v>
      </c>
      <c r="F905" s="26" t="s">
        <v>1064</v>
      </c>
      <c r="G905" s="27">
        <f t="shared" ref="G905" si="633">J905</f>
        <v>38763490</v>
      </c>
      <c r="H905" s="27">
        <f>L905</f>
        <v>45740690</v>
      </c>
      <c r="I905" s="27">
        <f>N905</f>
        <v>53973020</v>
      </c>
      <c r="J905" s="16">
        <f>'БА в тыс. руб.'!G905*1000</f>
        <v>38763490</v>
      </c>
      <c r="K905" s="169">
        <f t="shared" si="630"/>
        <v>0</v>
      </c>
      <c r="L905" s="16">
        <f>'БА в тыс. руб.'!H905*1000</f>
        <v>45740690</v>
      </c>
      <c r="M905" s="169">
        <f t="shared" si="631"/>
        <v>0</v>
      </c>
      <c r="N905" s="16">
        <f>'БА в тыс. руб.'!I905*1000</f>
        <v>53973020</v>
      </c>
      <c r="O905" s="169">
        <f t="shared" si="632"/>
        <v>0</v>
      </c>
    </row>
    <row r="906" spans="1:15" s="30" customFormat="1" ht="38.25">
      <c r="A906" s="13" t="s">
        <v>842</v>
      </c>
      <c r="B906" s="25" t="s">
        <v>62</v>
      </c>
      <c r="C906" s="26" t="s">
        <v>14</v>
      </c>
      <c r="D906" s="26" t="s">
        <v>53</v>
      </c>
      <c r="E906" s="26" t="s">
        <v>414</v>
      </c>
      <c r="F906" s="26" t="s">
        <v>58</v>
      </c>
      <c r="G906" s="119">
        <f>G907+G941+G947+G951</f>
        <v>21836370</v>
      </c>
      <c r="H906" s="119">
        <f t="shared" ref="H906:I906" si="634">H907+H941+H947+H951</f>
        <v>20320410</v>
      </c>
      <c r="I906" s="119">
        <f t="shared" si="634"/>
        <v>20320410</v>
      </c>
      <c r="J906" s="16">
        <f>'БА в тыс. руб.'!G906*1000</f>
        <v>21836370</v>
      </c>
      <c r="K906" s="169">
        <f t="shared" si="630"/>
        <v>0</v>
      </c>
      <c r="L906" s="16">
        <f>'БА в тыс. руб.'!H906*1000</f>
        <v>20320409.999999996</v>
      </c>
      <c r="M906" s="169">
        <f t="shared" si="631"/>
        <v>0</v>
      </c>
      <c r="N906" s="16">
        <f>'БА в тыс. руб.'!I906*1000</f>
        <v>20320409.999999996</v>
      </c>
      <c r="O906" s="169">
        <f t="shared" si="632"/>
        <v>0</v>
      </c>
    </row>
    <row r="907" spans="1:15" s="30" customFormat="1" ht="25.5">
      <c r="A907" s="152" t="s">
        <v>636</v>
      </c>
      <c r="B907" s="25" t="s">
        <v>62</v>
      </c>
      <c r="C907" s="26" t="s">
        <v>14</v>
      </c>
      <c r="D907" s="26" t="s">
        <v>53</v>
      </c>
      <c r="E907" s="26" t="s">
        <v>415</v>
      </c>
      <c r="F907" s="26" t="s">
        <v>58</v>
      </c>
      <c r="G907" s="119">
        <f>G908+G911+G914+G917+G920+G923+G926+G929+G932+G935+G938</f>
        <v>19925740</v>
      </c>
      <c r="H907" s="119">
        <f t="shared" ref="H907:I907" si="635">H908+H911+H914+H917+H920+H923+H926+H929+H932+H935+H938</f>
        <v>18575740</v>
      </c>
      <c r="I907" s="119">
        <f t="shared" si="635"/>
        <v>18575740</v>
      </c>
      <c r="J907" s="16">
        <f>'БА в тыс. руб.'!G907*1000</f>
        <v>19925739.999999996</v>
      </c>
      <c r="K907" s="169">
        <f t="shared" si="630"/>
        <v>0</v>
      </c>
      <c r="L907" s="16">
        <f>'БА в тыс. руб.'!H907*1000</f>
        <v>18575739.999999996</v>
      </c>
      <c r="M907" s="169">
        <f t="shared" si="631"/>
        <v>0</v>
      </c>
      <c r="N907" s="16">
        <f>'БА в тыс. руб.'!I907*1000</f>
        <v>18575739.999999996</v>
      </c>
      <c r="O907" s="169">
        <f t="shared" si="632"/>
        <v>0</v>
      </c>
    </row>
    <row r="908" spans="1:15" s="30" customFormat="1" ht="38.25">
      <c r="A908" s="32" t="s">
        <v>416</v>
      </c>
      <c r="B908" s="25" t="s">
        <v>62</v>
      </c>
      <c r="C908" s="26" t="s">
        <v>14</v>
      </c>
      <c r="D908" s="26" t="s">
        <v>53</v>
      </c>
      <c r="E908" s="26" t="s">
        <v>417</v>
      </c>
      <c r="F908" s="26" t="s">
        <v>58</v>
      </c>
      <c r="G908" s="119">
        <f>G909</f>
        <v>6350000</v>
      </c>
      <c r="H908" s="119">
        <f>H909</f>
        <v>6350000</v>
      </c>
      <c r="I908" s="119">
        <f>I909</f>
        <v>6350000</v>
      </c>
      <c r="J908" s="16">
        <f>'БА в тыс. руб.'!G908*1000</f>
        <v>6350000</v>
      </c>
      <c r="K908" s="169">
        <f t="shared" si="630"/>
        <v>0</v>
      </c>
      <c r="L908" s="16">
        <f>'БА в тыс. руб.'!H908*1000</f>
        <v>6350000</v>
      </c>
      <c r="M908" s="169">
        <f t="shared" si="631"/>
        <v>0</v>
      </c>
      <c r="N908" s="16">
        <f>'БА в тыс. руб.'!I908*1000</f>
        <v>6350000</v>
      </c>
      <c r="O908" s="169">
        <f t="shared" si="632"/>
        <v>0</v>
      </c>
    </row>
    <row r="909" spans="1:15" s="30" customFormat="1">
      <c r="A909" s="13" t="s">
        <v>109</v>
      </c>
      <c r="B909" s="25" t="s">
        <v>62</v>
      </c>
      <c r="C909" s="26" t="s">
        <v>14</v>
      </c>
      <c r="D909" s="26" t="s">
        <v>53</v>
      </c>
      <c r="E909" s="26" t="s">
        <v>417</v>
      </c>
      <c r="F909" s="26" t="s">
        <v>134</v>
      </c>
      <c r="G909" s="119">
        <f>G910</f>
        <v>6350000</v>
      </c>
      <c r="H909" s="119">
        <f t="shared" ref="H909:I909" si="636">H910</f>
        <v>6350000</v>
      </c>
      <c r="I909" s="119">
        <f t="shared" si="636"/>
        <v>6350000</v>
      </c>
      <c r="J909" s="16">
        <f>'БА в тыс. руб.'!G909*1000</f>
        <v>6350000</v>
      </c>
      <c r="K909" s="169">
        <f t="shared" si="630"/>
        <v>0</v>
      </c>
      <c r="L909" s="16">
        <f>'БА в тыс. руб.'!H909*1000</f>
        <v>6350000</v>
      </c>
      <c r="M909" s="169">
        <f t="shared" si="631"/>
        <v>0</v>
      </c>
      <c r="N909" s="16">
        <f>'БА в тыс. руб.'!I909*1000</f>
        <v>6350000</v>
      </c>
      <c r="O909" s="169">
        <f t="shared" si="632"/>
        <v>0</v>
      </c>
    </row>
    <row r="910" spans="1:15" s="83" customFormat="1" ht="25.5">
      <c r="A910" s="12" t="s">
        <v>978</v>
      </c>
      <c r="B910" s="25" t="s">
        <v>62</v>
      </c>
      <c r="C910" s="26" t="s">
        <v>14</v>
      </c>
      <c r="D910" s="26" t="s">
        <v>53</v>
      </c>
      <c r="E910" s="26" t="s">
        <v>417</v>
      </c>
      <c r="F910" s="26" t="s">
        <v>1064</v>
      </c>
      <c r="G910" s="27">
        <f t="shared" ref="G910" si="637">J910</f>
        <v>6350000</v>
      </c>
      <c r="H910" s="27">
        <f>L910</f>
        <v>6350000</v>
      </c>
      <c r="I910" s="27">
        <f>N910</f>
        <v>6350000</v>
      </c>
      <c r="J910" s="16">
        <f>'БА в тыс. руб.'!G910*1000</f>
        <v>6350000</v>
      </c>
      <c r="K910" s="169">
        <f t="shared" si="630"/>
        <v>0</v>
      </c>
      <c r="L910" s="16">
        <f>'БА в тыс. руб.'!H910*1000</f>
        <v>6350000</v>
      </c>
      <c r="M910" s="169">
        <f t="shared" si="631"/>
        <v>0</v>
      </c>
      <c r="N910" s="16">
        <f>'БА в тыс. руб.'!I910*1000</f>
        <v>6350000</v>
      </c>
      <c r="O910" s="169">
        <f t="shared" si="632"/>
        <v>0</v>
      </c>
    </row>
    <row r="911" spans="1:15" s="30" customFormat="1" ht="38.25">
      <c r="A911" s="32" t="s">
        <v>418</v>
      </c>
      <c r="B911" s="25" t="s">
        <v>62</v>
      </c>
      <c r="C911" s="26" t="s">
        <v>14</v>
      </c>
      <c r="D911" s="26" t="s">
        <v>53</v>
      </c>
      <c r="E911" s="26" t="s">
        <v>419</v>
      </c>
      <c r="F911" s="26" t="s">
        <v>58</v>
      </c>
      <c r="G911" s="119">
        <f>G912</f>
        <v>694280</v>
      </c>
      <c r="H911" s="119">
        <f>H912</f>
        <v>694280</v>
      </c>
      <c r="I911" s="119">
        <f>I912</f>
        <v>694280</v>
      </c>
      <c r="J911" s="16">
        <f>'БА в тыс. руб.'!G911*1000</f>
        <v>694280</v>
      </c>
      <c r="K911" s="169">
        <f t="shared" si="630"/>
        <v>0</v>
      </c>
      <c r="L911" s="16">
        <f>'БА в тыс. руб.'!H911*1000</f>
        <v>694280</v>
      </c>
      <c r="M911" s="169">
        <f t="shared" si="631"/>
        <v>0</v>
      </c>
      <c r="N911" s="16">
        <f>'БА в тыс. руб.'!I911*1000</f>
        <v>694280</v>
      </c>
      <c r="O911" s="169">
        <f t="shared" si="632"/>
        <v>0</v>
      </c>
    </row>
    <row r="912" spans="1:15" s="30" customFormat="1">
      <c r="A912" s="13" t="s">
        <v>109</v>
      </c>
      <c r="B912" s="25" t="s">
        <v>62</v>
      </c>
      <c r="C912" s="26" t="s">
        <v>14</v>
      </c>
      <c r="D912" s="26" t="s">
        <v>53</v>
      </c>
      <c r="E912" s="26" t="s">
        <v>419</v>
      </c>
      <c r="F912" s="26" t="s">
        <v>134</v>
      </c>
      <c r="G912" s="119">
        <f>G913</f>
        <v>694280</v>
      </c>
      <c r="H912" s="119">
        <f t="shared" ref="H912:I912" si="638">H913</f>
        <v>694280</v>
      </c>
      <c r="I912" s="119">
        <f t="shared" si="638"/>
        <v>694280</v>
      </c>
      <c r="J912" s="16">
        <f>'БА в тыс. руб.'!G912*1000</f>
        <v>694280</v>
      </c>
      <c r="K912" s="169">
        <f t="shared" si="630"/>
        <v>0</v>
      </c>
      <c r="L912" s="16">
        <f>'БА в тыс. руб.'!H912*1000</f>
        <v>694280</v>
      </c>
      <c r="M912" s="169">
        <f t="shared" si="631"/>
        <v>0</v>
      </c>
      <c r="N912" s="16">
        <f>'БА в тыс. руб.'!I912*1000</f>
        <v>694280</v>
      </c>
      <c r="O912" s="169">
        <f t="shared" si="632"/>
        <v>0</v>
      </c>
    </row>
    <row r="913" spans="1:15" s="83" customFormat="1" ht="25.5">
      <c r="A913" s="12" t="s">
        <v>978</v>
      </c>
      <c r="B913" s="25" t="s">
        <v>62</v>
      </c>
      <c r="C913" s="26" t="s">
        <v>14</v>
      </c>
      <c r="D913" s="26" t="s">
        <v>53</v>
      </c>
      <c r="E913" s="26" t="s">
        <v>419</v>
      </c>
      <c r="F913" s="26" t="s">
        <v>1064</v>
      </c>
      <c r="G913" s="27">
        <f t="shared" ref="G913" si="639">J913</f>
        <v>694280</v>
      </c>
      <c r="H913" s="27">
        <f>L913</f>
        <v>694280</v>
      </c>
      <c r="I913" s="27">
        <f>N913</f>
        <v>694280</v>
      </c>
      <c r="J913" s="16">
        <f>'БА в тыс. руб.'!G913*1000</f>
        <v>694280</v>
      </c>
      <c r="K913" s="169">
        <f t="shared" si="630"/>
        <v>0</v>
      </c>
      <c r="L913" s="16">
        <f>'БА в тыс. руб.'!H913*1000</f>
        <v>694280</v>
      </c>
      <c r="M913" s="169">
        <f t="shared" si="631"/>
        <v>0</v>
      </c>
      <c r="N913" s="16">
        <f>'БА в тыс. руб.'!I913*1000</f>
        <v>694280</v>
      </c>
      <c r="O913" s="169">
        <f t="shared" si="632"/>
        <v>0</v>
      </c>
    </row>
    <row r="914" spans="1:15" s="30" customFormat="1" ht="25.5">
      <c r="A914" s="32" t="s">
        <v>420</v>
      </c>
      <c r="B914" s="25" t="s">
        <v>62</v>
      </c>
      <c r="C914" s="26" t="s">
        <v>14</v>
      </c>
      <c r="D914" s="26" t="s">
        <v>53</v>
      </c>
      <c r="E914" s="26" t="s">
        <v>421</v>
      </c>
      <c r="F914" s="26" t="s">
        <v>58</v>
      </c>
      <c r="G914" s="119">
        <f>G915</f>
        <v>5718000</v>
      </c>
      <c r="H914" s="119">
        <f>H915</f>
        <v>5718000</v>
      </c>
      <c r="I914" s="119">
        <f>I915</f>
        <v>5718000</v>
      </c>
      <c r="J914" s="16">
        <f>'БА в тыс. руб.'!G914*1000</f>
        <v>5718000</v>
      </c>
      <c r="K914" s="169">
        <f t="shared" si="630"/>
        <v>0</v>
      </c>
      <c r="L914" s="16">
        <f>'БА в тыс. руб.'!H914*1000</f>
        <v>5718000</v>
      </c>
      <c r="M914" s="169">
        <f t="shared" si="631"/>
        <v>0</v>
      </c>
      <c r="N914" s="16">
        <f>'БА в тыс. руб.'!I914*1000</f>
        <v>5718000</v>
      </c>
      <c r="O914" s="169">
        <f t="shared" si="632"/>
        <v>0</v>
      </c>
    </row>
    <row r="915" spans="1:15" s="30" customFormat="1">
      <c r="A915" s="13" t="s">
        <v>109</v>
      </c>
      <c r="B915" s="25" t="s">
        <v>62</v>
      </c>
      <c r="C915" s="26" t="s">
        <v>14</v>
      </c>
      <c r="D915" s="26" t="s">
        <v>53</v>
      </c>
      <c r="E915" s="26" t="s">
        <v>421</v>
      </c>
      <c r="F915" s="26" t="s">
        <v>134</v>
      </c>
      <c r="G915" s="119">
        <f>G916</f>
        <v>5718000</v>
      </c>
      <c r="H915" s="119">
        <f t="shared" ref="H915:I915" si="640">H916</f>
        <v>5718000</v>
      </c>
      <c r="I915" s="119">
        <f t="shared" si="640"/>
        <v>5718000</v>
      </c>
      <c r="J915" s="16">
        <f>'БА в тыс. руб.'!G915*1000</f>
        <v>5718000</v>
      </c>
      <c r="K915" s="169">
        <f t="shared" si="630"/>
        <v>0</v>
      </c>
      <c r="L915" s="16">
        <f>'БА в тыс. руб.'!H915*1000</f>
        <v>5718000</v>
      </c>
      <c r="M915" s="169">
        <f t="shared" si="631"/>
        <v>0</v>
      </c>
      <c r="N915" s="16">
        <f>'БА в тыс. руб.'!I915*1000</f>
        <v>5718000</v>
      </c>
      <c r="O915" s="169">
        <f t="shared" si="632"/>
        <v>0</v>
      </c>
    </row>
    <row r="916" spans="1:15" s="83" customFormat="1" ht="25.5">
      <c r="A916" s="12" t="s">
        <v>978</v>
      </c>
      <c r="B916" s="25" t="s">
        <v>62</v>
      </c>
      <c r="C916" s="26" t="s">
        <v>14</v>
      </c>
      <c r="D916" s="26" t="s">
        <v>53</v>
      </c>
      <c r="E916" s="26" t="s">
        <v>421</v>
      </c>
      <c r="F916" s="26" t="s">
        <v>1064</v>
      </c>
      <c r="G916" s="27">
        <f t="shared" ref="G916" si="641">J916</f>
        <v>5718000</v>
      </c>
      <c r="H916" s="27">
        <f>L916</f>
        <v>5718000</v>
      </c>
      <c r="I916" s="27">
        <f>N916</f>
        <v>5718000</v>
      </c>
      <c r="J916" s="16">
        <f>'БА в тыс. руб.'!G916*1000</f>
        <v>5718000</v>
      </c>
      <c r="K916" s="169">
        <f t="shared" si="630"/>
        <v>0</v>
      </c>
      <c r="L916" s="16">
        <f>'БА в тыс. руб.'!H916*1000</f>
        <v>5718000</v>
      </c>
      <c r="M916" s="169">
        <f t="shared" si="631"/>
        <v>0</v>
      </c>
      <c r="N916" s="16">
        <f>'БА в тыс. руб.'!I916*1000</f>
        <v>5718000</v>
      </c>
      <c r="O916" s="169">
        <f t="shared" si="632"/>
        <v>0</v>
      </c>
    </row>
    <row r="917" spans="1:15" s="30" customFormat="1" ht="25.5">
      <c r="A917" s="32" t="s">
        <v>422</v>
      </c>
      <c r="B917" s="25" t="s">
        <v>62</v>
      </c>
      <c r="C917" s="26" t="s">
        <v>14</v>
      </c>
      <c r="D917" s="26" t="s">
        <v>53</v>
      </c>
      <c r="E917" s="26" t="s">
        <v>423</v>
      </c>
      <c r="F917" s="26" t="s">
        <v>58</v>
      </c>
      <c r="G917" s="119">
        <f>G918</f>
        <v>1080000</v>
      </c>
      <c r="H917" s="119">
        <f>H918</f>
        <v>1080000</v>
      </c>
      <c r="I917" s="119">
        <f>I918</f>
        <v>1080000</v>
      </c>
      <c r="J917" s="16">
        <f>'БА в тыс. руб.'!G917*1000</f>
        <v>1080000</v>
      </c>
      <c r="K917" s="169">
        <f t="shared" si="630"/>
        <v>0</v>
      </c>
      <c r="L917" s="16">
        <f>'БА в тыс. руб.'!H917*1000</f>
        <v>1080000</v>
      </c>
      <c r="M917" s="169">
        <f t="shared" si="631"/>
        <v>0</v>
      </c>
      <c r="N917" s="16">
        <f>'БА в тыс. руб.'!I917*1000</f>
        <v>1080000</v>
      </c>
      <c r="O917" s="169">
        <f t="shared" si="632"/>
        <v>0</v>
      </c>
    </row>
    <row r="918" spans="1:15" s="30" customFormat="1">
      <c r="A918" s="13" t="s">
        <v>109</v>
      </c>
      <c r="B918" s="25" t="s">
        <v>62</v>
      </c>
      <c r="C918" s="26" t="s">
        <v>14</v>
      </c>
      <c r="D918" s="26" t="s">
        <v>53</v>
      </c>
      <c r="E918" s="26" t="s">
        <v>423</v>
      </c>
      <c r="F918" s="26" t="s">
        <v>134</v>
      </c>
      <c r="G918" s="119">
        <f>G919</f>
        <v>1080000</v>
      </c>
      <c r="H918" s="119">
        <f t="shared" ref="H918:I918" si="642">H919</f>
        <v>1080000</v>
      </c>
      <c r="I918" s="119">
        <f t="shared" si="642"/>
        <v>1080000</v>
      </c>
      <c r="J918" s="16">
        <f>'БА в тыс. руб.'!G918*1000</f>
        <v>1080000</v>
      </c>
      <c r="K918" s="169">
        <f t="shared" si="630"/>
        <v>0</v>
      </c>
      <c r="L918" s="16">
        <f>'БА в тыс. руб.'!H918*1000</f>
        <v>1080000</v>
      </c>
      <c r="M918" s="169">
        <f t="shared" si="631"/>
        <v>0</v>
      </c>
      <c r="N918" s="16">
        <f>'БА в тыс. руб.'!I918*1000</f>
        <v>1080000</v>
      </c>
      <c r="O918" s="169">
        <f t="shared" si="632"/>
        <v>0</v>
      </c>
    </row>
    <row r="919" spans="1:15" s="83" customFormat="1" ht="25.5">
      <c r="A919" s="12" t="s">
        <v>978</v>
      </c>
      <c r="B919" s="25" t="s">
        <v>62</v>
      </c>
      <c r="C919" s="26" t="s">
        <v>14</v>
      </c>
      <c r="D919" s="26" t="s">
        <v>53</v>
      </c>
      <c r="E919" s="26" t="s">
        <v>423</v>
      </c>
      <c r="F919" s="26" t="s">
        <v>1064</v>
      </c>
      <c r="G919" s="27">
        <f t="shared" ref="G919" si="643">J919</f>
        <v>1080000</v>
      </c>
      <c r="H919" s="27">
        <f>L919</f>
        <v>1080000</v>
      </c>
      <c r="I919" s="27">
        <f>N919</f>
        <v>1080000</v>
      </c>
      <c r="J919" s="16">
        <f>'БА в тыс. руб.'!G919*1000</f>
        <v>1080000</v>
      </c>
      <c r="K919" s="169">
        <f t="shared" si="630"/>
        <v>0</v>
      </c>
      <c r="L919" s="16">
        <f>'БА в тыс. руб.'!H919*1000</f>
        <v>1080000</v>
      </c>
      <c r="M919" s="169">
        <f t="shared" si="631"/>
        <v>0</v>
      </c>
      <c r="N919" s="16">
        <f>'БА в тыс. руб.'!I919*1000</f>
        <v>1080000</v>
      </c>
      <c r="O919" s="169">
        <f t="shared" si="632"/>
        <v>0</v>
      </c>
    </row>
    <row r="920" spans="1:15" s="30" customFormat="1" ht="102">
      <c r="A920" s="32" t="s">
        <v>424</v>
      </c>
      <c r="B920" s="25" t="s">
        <v>62</v>
      </c>
      <c r="C920" s="26" t="s">
        <v>14</v>
      </c>
      <c r="D920" s="26" t="s">
        <v>53</v>
      </c>
      <c r="E920" s="26" t="s">
        <v>425</v>
      </c>
      <c r="F920" s="26" t="s">
        <v>58</v>
      </c>
      <c r="G920" s="119">
        <f>G921</f>
        <v>1025460</v>
      </c>
      <c r="H920" s="119">
        <f>H921</f>
        <v>1025460</v>
      </c>
      <c r="I920" s="119">
        <f>I921</f>
        <v>1025460</v>
      </c>
      <c r="J920" s="16">
        <f>'БА в тыс. руб.'!G920*1000</f>
        <v>1025460</v>
      </c>
      <c r="K920" s="169">
        <f t="shared" si="630"/>
        <v>0</v>
      </c>
      <c r="L920" s="16">
        <f>'БА в тыс. руб.'!H920*1000</f>
        <v>1025460</v>
      </c>
      <c r="M920" s="169">
        <f t="shared" si="631"/>
        <v>0</v>
      </c>
      <c r="N920" s="16">
        <f>'БА в тыс. руб.'!I920*1000</f>
        <v>1025460</v>
      </c>
      <c r="O920" s="169">
        <f t="shared" si="632"/>
        <v>0</v>
      </c>
    </row>
    <row r="921" spans="1:15" s="30" customFormat="1">
      <c r="A921" s="13" t="s">
        <v>109</v>
      </c>
      <c r="B921" s="25" t="s">
        <v>62</v>
      </c>
      <c r="C921" s="26" t="s">
        <v>14</v>
      </c>
      <c r="D921" s="26" t="s">
        <v>53</v>
      </c>
      <c r="E921" s="26" t="s">
        <v>425</v>
      </c>
      <c r="F921" s="26" t="s">
        <v>134</v>
      </c>
      <c r="G921" s="119">
        <f>G922</f>
        <v>1025460</v>
      </c>
      <c r="H921" s="119">
        <f t="shared" ref="H921:I921" si="644">H922</f>
        <v>1025460</v>
      </c>
      <c r="I921" s="119">
        <f t="shared" si="644"/>
        <v>1025460</v>
      </c>
      <c r="J921" s="16">
        <f>'БА в тыс. руб.'!G921*1000</f>
        <v>1025460</v>
      </c>
      <c r="K921" s="169">
        <f t="shared" si="630"/>
        <v>0</v>
      </c>
      <c r="L921" s="16">
        <f>'БА в тыс. руб.'!H921*1000</f>
        <v>1025460</v>
      </c>
      <c r="M921" s="169">
        <f t="shared" si="631"/>
        <v>0</v>
      </c>
      <c r="N921" s="16">
        <f>'БА в тыс. руб.'!I921*1000</f>
        <v>1025460</v>
      </c>
      <c r="O921" s="169">
        <f t="shared" si="632"/>
        <v>0</v>
      </c>
    </row>
    <row r="922" spans="1:15" s="103" customFormat="1" ht="25.5">
      <c r="A922" s="12" t="s">
        <v>978</v>
      </c>
      <c r="B922" s="25" t="s">
        <v>62</v>
      </c>
      <c r="C922" s="26" t="s">
        <v>14</v>
      </c>
      <c r="D922" s="26" t="s">
        <v>53</v>
      </c>
      <c r="E922" s="26" t="s">
        <v>425</v>
      </c>
      <c r="F922" s="26" t="s">
        <v>1064</v>
      </c>
      <c r="G922" s="27">
        <f t="shared" ref="G922" si="645">J922</f>
        <v>1025460</v>
      </c>
      <c r="H922" s="27">
        <f>L922</f>
        <v>1025460</v>
      </c>
      <c r="I922" s="27">
        <f>N922</f>
        <v>1025460</v>
      </c>
      <c r="J922" s="16">
        <f>'БА в тыс. руб.'!G922*1000</f>
        <v>1025460</v>
      </c>
      <c r="K922" s="169">
        <f t="shared" si="630"/>
        <v>0</v>
      </c>
      <c r="L922" s="16">
        <f>'БА в тыс. руб.'!H922*1000</f>
        <v>1025460</v>
      </c>
      <c r="M922" s="169">
        <f t="shared" si="631"/>
        <v>0</v>
      </c>
      <c r="N922" s="16">
        <f>'БА в тыс. руб.'!I922*1000</f>
        <v>1025460</v>
      </c>
      <c r="O922" s="169">
        <f t="shared" si="632"/>
        <v>0</v>
      </c>
    </row>
    <row r="923" spans="1:15" s="30" customFormat="1" ht="25.5">
      <c r="A923" s="32" t="s">
        <v>426</v>
      </c>
      <c r="B923" s="25" t="s">
        <v>62</v>
      </c>
      <c r="C923" s="26" t="s">
        <v>14</v>
      </c>
      <c r="D923" s="26" t="s">
        <v>53</v>
      </c>
      <c r="E923" s="26" t="s">
        <v>427</v>
      </c>
      <c r="F923" s="26" t="s">
        <v>58</v>
      </c>
      <c r="G923" s="119">
        <f>G924</f>
        <v>714000</v>
      </c>
      <c r="H923" s="119">
        <f>H924</f>
        <v>714000</v>
      </c>
      <c r="I923" s="119">
        <f>I924</f>
        <v>714000</v>
      </c>
      <c r="J923" s="16">
        <f>'БА в тыс. руб.'!G923*1000</f>
        <v>714000</v>
      </c>
      <c r="K923" s="169">
        <f t="shared" si="630"/>
        <v>0</v>
      </c>
      <c r="L923" s="16">
        <f>'БА в тыс. руб.'!H923*1000</f>
        <v>714000</v>
      </c>
      <c r="M923" s="169">
        <f t="shared" si="631"/>
        <v>0</v>
      </c>
      <c r="N923" s="16">
        <f>'БА в тыс. руб.'!I923*1000</f>
        <v>714000</v>
      </c>
      <c r="O923" s="169">
        <f t="shared" si="632"/>
        <v>0</v>
      </c>
    </row>
    <row r="924" spans="1:15" s="30" customFormat="1">
      <c r="A924" s="13" t="s">
        <v>109</v>
      </c>
      <c r="B924" s="25" t="s">
        <v>62</v>
      </c>
      <c r="C924" s="26" t="s">
        <v>14</v>
      </c>
      <c r="D924" s="26" t="s">
        <v>53</v>
      </c>
      <c r="E924" s="26" t="s">
        <v>427</v>
      </c>
      <c r="F924" s="26" t="s">
        <v>134</v>
      </c>
      <c r="G924" s="119">
        <f>G925</f>
        <v>714000</v>
      </c>
      <c r="H924" s="119">
        <f t="shared" ref="H924:I924" si="646">H925</f>
        <v>714000</v>
      </c>
      <c r="I924" s="119">
        <f t="shared" si="646"/>
        <v>714000</v>
      </c>
      <c r="J924" s="16">
        <f>'БА в тыс. руб.'!G924*1000</f>
        <v>714000</v>
      </c>
      <c r="K924" s="169">
        <f t="shared" si="630"/>
        <v>0</v>
      </c>
      <c r="L924" s="16">
        <f>'БА в тыс. руб.'!H924*1000</f>
        <v>714000</v>
      </c>
      <c r="M924" s="169">
        <f t="shared" si="631"/>
        <v>0</v>
      </c>
      <c r="N924" s="16">
        <f>'БА в тыс. руб.'!I924*1000</f>
        <v>714000</v>
      </c>
      <c r="O924" s="169">
        <f t="shared" si="632"/>
        <v>0</v>
      </c>
    </row>
    <row r="925" spans="1:15" s="83" customFormat="1" ht="25.5">
      <c r="A925" s="12" t="s">
        <v>978</v>
      </c>
      <c r="B925" s="25" t="s">
        <v>62</v>
      </c>
      <c r="C925" s="26" t="s">
        <v>14</v>
      </c>
      <c r="D925" s="26" t="s">
        <v>53</v>
      </c>
      <c r="E925" s="26" t="s">
        <v>427</v>
      </c>
      <c r="F925" s="26" t="s">
        <v>1064</v>
      </c>
      <c r="G925" s="27">
        <f t="shared" ref="G925" si="647">J925</f>
        <v>714000</v>
      </c>
      <c r="H925" s="27">
        <f>L925</f>
        <v>714000</v>
      </c>
      <c r="I925" s="27">
        <f>N925</f>
        <v>714000</v>
      </c>
      <c r="J925" s="16">
        <f>'БА в тыс. руб.'!G925*1000</f>
        <v>714000</v>
      </c>
      <c r="K925" s="169">
        <f t="shared" si="630"/>
        <v>0</v>
      </c>
      <c r="L925" s="16">
        <f>'БА в тыс. руб.'!H925*1000</f>
        <v>714000</v>
      </c>
      <c r="M925" s="169">
        <f t="shared" si="631"/>
        <v>0</v>
      </c>
      <c r="N925" s="16">
        <f>'БА в тыс. руб.'!I925*1000</f>
        <v>714000</v>
      </c>
      <c r="O925" s="169">
        <f t="shared" si="632"/>
        <v>0</v>
      </c>
    </row>
    <row r="926" spans="1:15" s="30" customFormat="1" ht="51">
      <c r="A926" s="32" t="s">
        <v>428</v>
      </c>
      <c r="B926" s="25" t="s">
        <v>62</v>
      </c>
      <c r="C926" s="26" t="s">
        <v>14</v>
      </c>
      <c r="D926" s="26" t="s">
        <v>53</v>
      </c>
      <c r="E926" s="26" t="s">
        <v>429</v>
      </c>
      <c r="F926" s="26" t="s">
        <v>58</v>
      </c>
      <c r="G926" s="119">
        <f>G927</f>
        <v>1350000</v>
      </c>
      <c r="H926" s="119">
        <f>H927</f>
        <v>0</v>
      </c>
      <c r="I926" s="119">
        <f>I927</f>
        <v>0</v>
      </c>
      <c r="J926" s="16">
        <f>'БА в тыс. руб.'!G926*1000</f>
        <v>1350000</v>
      </c>
      <c r="K926" s="169">
        <f t="shared" si="630"/>
        <v>0</v>
      </c>
      <c r="L926" s="16">
        <f>'БА в тыс. руб.'!H926*1000</f>
        <v>0</v>
      </c>
      <c r="M926" s="169">
        <f t="shared" si="631"/>
        <v>0</v>
      </c>
      <c r="N926" s="16">
        <f>'БА в тыс. руб.'!I926*1000</f>
        <v>0</v>
      </c>
      <c r="O926" s="169">
        <f t="shared" si="632"/>
        <v>0</v>
      </c>
    </row>
    <row r="927" spans="1:15" s="30" customFormat="1">
      <c r="A927" s="13" t="s">
        <v>109</v>
      </c>
      <c r="B927" s="25" t="s">
        <v>62</v>
      </c>
      <c r="C927" s="26" t="s">
        <v>14</v>
      </c>
      <c r="D927" s="26" t="s">
        <v>53</v>
      </c>
      <c r="E927" s="26" t="s">
        <v>429</v>
      </c>
      <c r="F927" s="26" t="s">
        <v>134</v>
      </c>
      <c r="G927" s="119">
        <f>G928</f>
        <v>1350000</v>
      </c>
      <c r="H927" s="119">
        <f t="shared" ref="H927:I927" si="648">H928</f>
        <v>0</v>
      </c>
      <c r="I927" s="119">
        <f t="shared" si="648"/>
        <v>0</v>
      </c>
      <c r="J927" s="16">
        <f>'БА в тыс. руб.'!G927*1000</f>
        <v>1350000</v>
      </c>
      <c r="K927" s="169">
        <f t="shared" si="630"/>
        <v>0</v>
      </c>
      <c r="L927" s="16">
        <f>'БА в тыс. руб.'!H927*1000</f>
        <v>0</v>
      </c>
      <c r="M927" s="169">
        <f t="shared" si="631"/>
        <v>0</v>
      </c>
      <c r="N927" s="16">
        <f>'БА в тыс. руб.'!I927*1000</f>
        <v>0</v>
      </c>
      <c r="O927" s="169">
        <f t="shared" si="632"/>
        <v>0</v>
      </c>
    </row>
    <row r="928" spans="1:15" s="83" customFormat="1" ht="25.5">
      <c r="A928" s="12" t="s">
        <v>978</v>
      </c>
      <c r="B928" s="25" t="s">
        <v>62</v>
      </c>
      <c r="C928" s="26" t="s">
        <v>14</v>
      </c>
      <c r="D928" s="26" t="s">
        <v>53</v>
      </c>
      <c r="E928" s="26" t="s">
        <v>429</v>
      </c>
      <c r="F928" s="26" t="s">
        <v>1064</v>
      </c>
      <c r="G928" s="27">
        <f t="shared" ref="G928" si="649">J928</f>
        <v>1350000</v>
      </c>
      <c r="H928" s="27">
        <f>L928</f>
        <v>0</v>
      </c>
      <c r="I928" s="27">
        <f>N928</f>
        <v>0</v>
      </c>
      <c r="J928" s="16">
        <f>'БА в тыс. руб.'!G928*1000</f>
        <v>1350000</v>
      </c>
      <c r="K928" s="169">
        <f t="shared" si="630"/>
        <v>0</v>
      </c>
      <c r="L928" s="16">
        <f>'БА в тыс. руб.'!H928*1000</f>
        <v>0</v>
      </c>
      <c r="M928" s="169">
        <f t="shared" si="631"/>
        <v>0</v>
      </c>
      <c r="N928" s="16">
        <f>'БА в тыс. руб.'!I928*1000</f>
        <v>0</v>
      </c>
      <c r="O928" s="169">
        <f t="shared" si="632"/>
        <v>0</v>
      </c>
    </row>
    <row r="929" spans="1:15" s="30" customFormat="1" ht="25.5">
      <c r="A929" s="32" t="s">
        <v>430</v>
      </c>
      <c r="B929" s="25" t="s">
        <v>62</v>
      </c>
      <c r="C929" s="26" t="s">
        <v>14</v>
      </c>
      <c r="D929" s="26" t="s">
        <v>53</v>
      </c>
      <c r="E929" s="26" t="s">
        <v>431</v>
      </c>
      <c r="F929" s="26" t="s">
        <v>58</v>
      </c>
      <c r="G929" s="119">
        <f>G930</f>
        <v>1000000</v>
      </c>
      <c r="H929" s="119">
        <f>H930</f>
        <v>1000000</v>
      </c>
      <c r="I929" s="119">
        <f>I930</f>
        <v>1000000</v>
      </c>
      <c r="J929" s="16">
        <f>'БА в тыс. руб.'!G929*1000</f>
        <v>1000000</v>
      </c>
      <c r="K929" s="169">
        <f t="shared" si="630"/>
        <v>0</v>
      </c>
      <c r="L929" s="16">
        <f>'БА в тыс. руб.'!H929*1000</f>
        <v>1000000</v>
      </c>
      <c r="M929" s="169">
        <f t="shared" si="631"/>
        <v>0</v>
      </c>
      <c r="N929" s="16">
        <f>'БА в тыс. руб.'!I929*1000</f>
        <v>1000000</v>
      </c>
      <c r="O929" s="169">
        <f t="shared" si="632"/>
        <v>0</v>
      </c>
    </row>
    <row r="930" spans="1:15" s="30" customFormat="1">
      <c r="A930" s="13" t="s">
        <v>109</v>
      </c>
      <c r="B930" s="25" t="s">
        <v>62</v>
      </c>
      <c r="C930" s="26" t="s">
        <v>14</v>
      </c>
      <c r="D930" s="26" t="s">
        <v>53</v>
      </c>
      <c r="E930" s="26" t="s">
        <v>431</v>
      </c>
      <c r="F930" s="26" t="s">
        <v>134</v>
      </c>
      <c r="G930" s="119">
        <f>G931</f>
        <v>1000000</v>
      </c>
      <c r="H930" s="119">
        <f t="shared" ref="H930:I930" si="650">H931</f>
        <v>1000000</v>
      </c>
      <c r="I930" s="119">
        <f t="shared" si="650"/>
        <v>1000000</v>
      </c>
      <c r="J930" s="16">
        <f>'БА в тыс. руб.'!G930*1000</f>
        <v>1000000</v>
      </c>
      <c r="K930" s="169">
        <f t="shared" si="630"/>
        <v>0</v>
      </c>
      <c r="L930" s="16">
        <f>'БА в тыс. руб.'!H930*1000</f>
        <v>1000000</v>
      </c>
      <c r="M930" s="169">
        <f t="shared" si="631"/>
        <v>0</v>
      </c>
      <c r="N930" s="16">
        <f>'БА в тыс. руб.'!I930*1000</f>
        <v>1000000</v>
      </c>
      <c r="O930" s="169">
        <f t="shared" si="632"/>
        <v>0</v>
      </c>
    </row>
    <row r="931" spans="1:15" s="83" customFormat="1" ht="25.5">
      <c r="A931" s="12" t="s">
        <v>978</v>
      </c>
      <c r="B931" s="25" t="s">
        <v>62</v>
      </c>
      <c r="C931" s="26" t="s">
        <v>14</v>
      </c>
      <c r="D931" s="26" t="s">
        <v>53</v>
      </c>
      <c r="E931" s="26" t="s">
        <v>431</v>
      </c>
      <c r="F931" s="26" t="s">
        <v>1064</v>
      </c>
      <c r="G931" s="27">
        <f t="shared" ref="G931" si="651">J931</f>
        <v>1000000</v>
      </c>
      <c r="H931" s="27">
        <f>L931</f>
        <v>1000000</v>
      </c>
      <c r="I931" s="27">
        <f>N931</f>
        <v>1000000</v>
      </c>
      <c r="J931" s="16">
        <f>'БА в тыс. руб.'!G931*1000</f>
        <v>1000000</v>
      </c>
      <c r="K931" s="169">
        <f t="shared" si="630"/>
        <v>0</v>
      </c>
      <c r="L931" s="16">
        <f>'БА в тыс. руб.'!H931*1000</f>
        <v>1000000</v>
      </c>
      <c r="M931" s="169">
        <f t="shared" si="631"/>
        <v>0</v>
      </c>
      <c r="N931" s="16">
        <f>'БА в тыс. руб.'!I931*1000</f>
        <v>1000000</v>
      </c>
      <c r="O931" s="169">
        <f t="shared" si="632"/>
        <v>0</v>
      </c>
    </row>
    <row r="932" spans="1:15" s="33" customFormat="1" ht="25.5">
      <c r="A932" s="32" t="s">
        <v>432</v>
      </c>
      <c r="B932" s="25" t="s">
        <v>62</v>
      </c>
      <c r="C932" s="26" t="s">
        <v>14</v>
      </c>
      <c r="D932" s="26" t="s">
        <v>53</v>
      </c>
      <c r="E932" s="26" t="s">
        <v>433</v>
      </c>
      <c r="F932" s="26" t="s">
        <v>58</v>
      </c>
      <c r="G932" s="119">
        <f>G933</f>
        <v>1854000</v>
      </c>
      <c r="H932" s="119">
        <f>H933</f>
        <v>1854000</v>
      </c>
      <c r="I932" s="119">
        <f>I933</f>
        <v>1854000</v>
      </c>
      <c r="J932" s="16">
        <f>'БА в тыс. руб.'!G932*1000</f>
        <v>1854000</v>
      </c>
      <c r="K932" s="169">
        <f t="shared" si="630"/>
        <v>0</v>
      </c>
      <c r="L932" s="16">
        <f>'БА в тыс. руб.'!H932*1000</f>
        <v>1854000</v>
      </c>
      <c r="M932" s="169">
        <f t="shared" si="631"/>
        <v>0</v>
      </c>
      <c r="N932" s="16">
        <f>'БА в тыс. руб.'!I932*1000</f>
        <v>1854000</v>
      </c>
      <c r="O932" s="169">
        <f t="shared" si="632"/>
        <v>0</v>
      </c>
    </row>
    <row r="933" spans="1:15" s="33" customFormat="1">
      <c r="A933" s="13" t="s">
        <v>109</v>
      </c>
      <c r="B933" s="25" t="s">
        <v>62</v>
      </c>
      <c r="C933" s="26" t="s">
        <v>14</v>
      </c>
      <c r="D933" s="26" t="s">
        <v>53</v>
      </c>
      <c r="E933" s="26" t="s">
        <v>433</v>
      </c>
      <c r="F933" s="26" t="s">
        <v>134</v>
      </c>
      <c r="G933" s="119">
        <f>G934</f>
        <v>1854000</v>
      </c>
      <c r="H933" s="119">
        <f t="shared" ref="H933:I933" si="652">H934</f>
        <v>1854000</v>
      </c>
      <c r="I933" s="119">
        <f t="shared" si="652"/>
        <v>1854000</v>
      </c>
      <c r="J933" s="16">
        <f>'БА в тыс. руб.'!G933*1000</f>
        <v>1854000</v>
      </c>
      <c r="K933" s="169">
        <f t="shared" si="630"/>
        <v>0</v>
      </c>
      <c r="L933" s="16">
        <f>'БА в тыс. руб.'!H933*1000</f>
        <v>1854000</v>
      </c>
      <c r="M933" s="169">
        <f t="shared" si="631"/>
        <v>0</v>
      </c>
      <c r="N933" s="16">
        <f>'БА в тыс. руб.'!I933*1000</f>
        <v>1854000</v>
      </c>
      <c r="O933" s="169">
        <f t="shared" si="632"/>
        <v>0</v>
      </c>
    </row>
    <row r="934" spans="1:15" s="125" customFormat="1" ht="25.5">
      <c r="A934" s="12" t="s">
        <v>978</v>
      </c>
      <c r="B934" s="25" t="s">
        <v>62</v>
      </c>
      <c r="C934" s="26" t="s">
        <v>14</v>
      </c>
      <c r="D934" s="26" t="s">
        <v>53</v>
      </c>
      <c r="E934" s="26" t="s">
        <v>433</v>
      </c>
      <c r="F934" s="26" t="s">
        <v>1064</v>
      </c>
      <c r="G934" s="27">
        <f t="shared" ref="G934" si="653">J934</f>
        <v>1854000</v>
      </c>
      <c r="H934" s="27">
        <f>L934</f>
        <v>1854000</v>
      </c>
      <c r="I934" s="27">
        <f>N934</f>
        <v>1854000</v>
      </c>
      <c r="J934" s="16">
        <f>'БА в тыс. руб.'!G934*1000</f>
        <v>1854000</v>
      </c>
      <c r="K934" s="169">
        <f t="shared" si="630"/>
        <v>0</v>
      </c>
      <c r="L934" s="16">
        <f>'БА в тыс. руб.'!H934*1000</f>
        <v>1854000</v>
      </c>
      <c r="M934" s="169">
        <f t="shared" si="631"/>
        <v>0</v>
      </c>
      <c r="N934" s="16">
        <f>'БА в тыс. руб.'!I934*1000</f>
        <v>1854000</v>
      </c>
      <c r="O934" s="169">
        <f t="shared" si="632"/>
        <v>0</v>
      </c>
    </row>
    <row r="935" spans="1:15" s="33" customFormat="1" ht="25.5">
      <c r="A935" s="32" t="s">
        <v>434</v>
      </c>
      <c r="B935" s="25" t="s">
        <v>62</v>
      </c>
      <c r="C935" s="26" t="s">
        <v>14</v>
      </c>
      <c r="D935" s="26" t="s">
        <v>53</v>
      </c>
      <c r="E935" s="26" t="s">
        <v>435</v>
      </c>
      <c r="F935" s="26" t="s">
        <v>58</v>
      </c>
      <c r="G935" s="119">
        <f>G936</f>
        <v>40000</v>
      </c>
      <c r="H935" s="119">
        <f>H936</f>
        <v>40000</v>
      </c>
      <c r="I935" s="119">
        <f>I936</f>
        <v>40000</v>
      </c>
      <c r="J935" s="16">
        <f>'БА в тыс. руб.'!G935*1000</f>
        <v>40000</v>
      </c>
      <c r="K935" s="169">
        <f t="shared" si="630"/>
        <v>0</v>
      </c>
      <c r="L935" s="16">
        <f>'БА в тыс. руб.'!H935*1000</f>
        <v>40000</v>
      </c>
      <c r="M935" s="169">
        <f t="shared" si="631"/>
        <v>0</v>
      </c>
      <c r="N935" s="16">
        <f>'БА в тыс. руб.'!I935*1000</f>
        <v>40000</v>
      </c>
      <c r="O935" s="169">
        <f t="shared" si="632"/>
        <v>0</v>
      </c>
    </row>
    <row r="936" spans="1:15" s="33" customFormat="1">
      <c r="A936" s="13" t="s">
        <v>109</v>
      </c>
      <c r="B936" s="25" t="s">
        <v>62</v>
      </c>
      <c r="C936" s="26" t="s">
        <v>14</v>
      </c>
      <c r="D936" s="26" t="s">
        <v>53</v>
      </c>
      <c r="E936" s="26" t="s">
        <v>435</v>
      </c>
      <c r="F936" s="26" t="s">
        <v>134</v>
      </c>
      <c r="G936" s="119">
        <f>G937</f>
        <v>40000</v>
      </c>
      <c r="H936" s="119">
        <f t="shared" ref="H936:I936" si="654">H937</f>
        <v>40000</v>
      </c>
      <c r="I936" s="119">
        <f t="shared" si="654"/>
        <v>40000</v>
      </c>
      <c r="J936" s="16">
        <f>'БА в тыс. руб.'!G936*1000</f>
        <v>40000</v>
      </c>
      <c r="K936" s="169">
        <f t="shared" si="630"/>
        <v>0</v>
      </c>
      <c r="L936" s="16">
        <f>'БА в тыс. руб.'!H936*1000</f>
        <v>40000</v>
      </c>
      <c r="M936" s="169">
        <f t="shared" si="631"/>
        <v>0</v>
      </c>
      <c r="N936" s="16">
        <f>'БА в тыс. руб.'!I936*1000</f>
        <v>40000</v>
      </c>
      <c r="O936" s="169">
        <f t="shared" si="632"/>
        <v>0</v>
      </c>
    </row>
    <row r="937" spans="1:15" s="125" customFormat="1" ht="25.5">
      <c r="A937" s="12" t="s">
        <v>978</v>
      </c>
      <c r="B937" s="25" t="s">
        <v>62</v>
      </c>
      <c r="C937" s="26" t="s">
        <v>14</v>
      </c>
      <c r="D937" s="26" t="s">
        <v>53</v>
      </c>
      <c r="E937" s="26" t="s">
        <v>435</v>
      </c>
      <c r="F937" s="26" t="s">
        <v>1064</v>
      </c>
      <c r="G937" s="27">
        <f t="shared" ref="G937" si="655">J937</f>
        <v>40000</v>
      </c>
      <c r="H937" s="27">
        <f>L937</f>
        <v>40000</v>
      </c>
      <c r="I937" s="27">
        <f>N937</f>
        <v>40000</v>
      </c>
      <c r="J937" s="16">
        <f>'БА в тыс. руб.'!G937*1000</f>
        <v>40000</v>
      </c>
      <c r="K937" s="169">
        <f t="shared" si="630"/>
        <v>0</v>
      </c>
      <c r="L937" s="16">
        <f>'БА в тыс. руб.'!H937*1000</f>
        <v>40000</v>
      </c>
      <c r="M937" s="169">
        <f t="shared" si="631"/>
        <v>0</v>
      </c>
      <c r="N937" s="16">
        <f>'БА в тыс. руб.'!I937*1000</f>
        <v>40000</v>
      </c>
      <c r="O937" s="169">
        <f t="shared" si="632"/>
        <v>0</v>
      </c>
    </row>
    <row r="938" spans="1:15" s="33" customFormat="1" ht="38.25">
      <c r="A938" s="32" t="s">
        <v>804</v>
      </c>
      <c r="B938" s="25" t="s">
        <v>62</v>
      </c>
      <c r="C938" s="26" t="s">
        <v>14</v>
      </c>
      <c r="D938" s="26" t="s">
        <v>53</v>
      </c>
      <c r="E938" s="26" t="s">
        <v>436</v>
      </c>
      <c r="F938" s="26" t="s">
        <v>58</v>
      </c>
      <c r="G938" s="121">
        <f>G939</f>
        <v>100000</v>
      </c>
      <c r="H938" s="121">
        <f>H939</f>
        <v>100000</v>
      </c>
      <c r="I938" s="121">
        <f>I939</f>
        <v>100000</v>
      </c>
      <c r="J938" s="16">
        <f>'БА в тыс. руб.'!G938*1000</f>
        <v>100000</v>
      </c>
      <c r="K938" s="169">
        <f t="shared" si="630"/>
        <v>0</v>
      </c>
      <c r="L938" s="16">
        <f>'БА в тыс. руб.'!H938*1000</f>
        <v>100000</v>
      </c>
      <c r="M938" s="169">
        <f t="shared" si="631"/>
        <v>0</v>
      </c>
      <c r="N938" s="16">
        <f>'БА в тыс. руб.'!I938*1000</f>
        <v>100000</v>
      </c>
      <c r="O938" s="169">
        <f t="shared" si="632"/>
        <v>0</v>
      </c>
    </row>
    <row r="939" spans="1:15" s="33" customFormat="1">
      <c r="A939" s="13" t="s">
        <v>109</v>
      </c>
      <c r="B939" s="25" t="s">
        <v>62</v>
      </c>
      <c r="C939" s="26" t="s">
        <v>14</v>
      </c>
      <c r="D939" s="26" t="s">
        <v>53</v>
      </c>
      <c r="E939" s="26" t="s">
        <v>436</v>
      </c>
      <c r="F939" s="26" t="s">
        <v>134</v>
      </c>
      <c r="G939" s="119">
        <f>G940</f>
        <v>100000</v>
      </c>
      <c r="H939" s="119">
        <f t="shared" ref="H939:I939" si="656">H940</f>
        <v>100000</v>
      </c>
      <c r="I939" s="119">
        <f t="shared" si="656"/>
        <v>100000</v>
      </c>
      <c r="J939" s="16">
        <f>'БА в тыс. руб.'!G939*1000</f>
        <v>100000</v>
      </c>
      <c r="K939" s="169">
        <f t="shared" si="630"/>
        <v>0</v>
      </c>
      <c r="L939" s="16">
        <f>'БА в тыс. руб.'!H939*1000</f>
        <v>100000</v>
      </c>
      <c r="M939" s="169">
        <f t="shared" si="631"/>
        <v>0</v>
      </c>
      <c r="N939" s="16">
        <f>'БА в тыс. руб.'!I939*1000</f>
        <v>100000</v>
      </c>
      <c r="O939" s="169">
        <f t="shared" si="632"/>
        <v>0</v>
      </c>
    </row>
    <row r="940" spans="1:15" s="125" customFormat="1" ht="25.5">
      <c r="A940" s="12" t="s">
        <v>978</v>
      </c>
      <c r="B940" s="25" t="s">
        <v>62</v>
      </c>
      <c r="C940" s="26" t="s">
        <v>14</v>
      </c>
      <c r="D940" s="26" t="s">
        <v>53</v>
      </c>
      <c r="E940" s="26" t="s">
        <v>436</v>
      </c>
      <c r="F940" s="26" t="s">
        <v>1064</v>
      </c>
      <c r="G940" s="27">
        <f t="shared" ref="G940" si="657">J940</f>
        <v>100000</v>
      </c>
      <c r="H940" s="27">
        <f>L940</f>
        <v>100000</v>
      </c>
      <c r="I940" s="27">
        <f>N940</f>
        <v>100000</v>
      </c>
      <c r="J940" s="16">
        <f>'БА в тыс. руб.'!G940*1000</f>
        <v>100000</v>
      </c>
      <c r="K940" s="169">
        <f t="shared" si="630"/>
        <v>0</v>
      </c>
      <c r="L940" s="16">
        <f>'БА в тыс. руб.'!H940*1000</f>
        <v>100000</v>
      </c>
      <c r="M940" s="169">
        <f t="shared" si="631"/>
        <v>0</v>
      </c>
      <c r="N940" s="16">
        <f>'БА в тыс. руб.'!I940*1000</f>
        <v>100000</v>
      </c>
      <c r="O940" s="169">
        <f t="shared" si="632"/>
        <v>0</v>
      </c>
    </row>
    <row r="941" spans="1:15" s="33" customFormat="1" ht="25.5">
      <c r="A941" s="32" t="s">
        <v>800</v>
      </c>
      <c r="B941" s="25" t="s">
        <v>62</v>
      </c>
      <c r="C941" s="26" t="s">
        <v>14</v>
      </c>
      <c r="D941" s="26" t="s">
        <v>53</v>
      </c>
      <c r="E941" s="26" t="s">
        <v>801</v>
      </c>
      <c r="F941" s="26" t="s">
        <v>58</v>
      </c>
      <c r="G941" s="121">
        <f>G942</f>
        <v>1287750</v>
      </c>
      <c r="H941" s="121">
        <f t="shared" ref="H941:I941" si="658">H942</f>
        <v>1158980</v>
      </c>
      <c r="I941" s="121">
        <f t="shared" si="658"/>
        <v>1158980</v>
      </c>
      <c r="J941" s="16">
        <f>'БА в тыс. руб.'!G941*1000</f>
        <v>1287750</v>
      </c>
      <c r="K941" s="169">
        <f t="shared" si="630"/>
        <v>0</v>
      </c>
      <c r="L941" s="16">
        <f>'БА в тыс. руб.'!H941*1000</f>
        <v>1158980</v>
      </c>
      <c r="M941" s="169">
        <f t="shared" si="631"/>
        <v>0</v>
      </c>
      <c r="N941" s="16">
        <f>'БА в тыс. руб.'!I941*1000</f>
        <v>1158980</v>
      </c>
      <c r="O941" s="169">
        <f t="shared" si="632"/>
        <v>0</v>
      </c>
    </row>
    <row r="942" spans="1:15" s="33" customFormat="1" ht="25.5">
      <c r="A942" s="31" t="s">
        <v>192</v>
      </c>
      <c r="B942" s="25" t="s">
        <v>62</v>
      </c>
      <c r="C942" s="26" t="s">
        <v>14</v>
      </c>
      <c r="D942" s="26" t="s">
        <v>53</v>
      </c>
      <c r="E942" s="26" t="s">
        <v>802</v>
      </c>
      <c r="F942" s="26" t="s">
        <v>58</v>
      </c>
      <c r="G942" s="121">
        <f>G943+G945</f>
        <v>1287750</v>
      </c>
      <c r="H942" s="121">
        <f t="shared" ref="H942:I942" si="659">H943+H945</f>
        <v>1158980</v>
      </c>
      <c r="I942" s="121">
        <f t="shared" si="659"/>
        <v>1158980</v>
      </c>
      <c r="J942" s="16">
        <f>'БА в тыс. руб.'!G942*1000</f>
        <v>1287750</v>
      </c>
      <c r="K942" s="169">
        <f t="shared" si="630"/>
        <v>0</v>
      </c>
      <c r="L942" s="16">
        <f>'БА в тыс. руб.'!H942*1000</f>
        <v>1158980</v>
      </c>
      <c r="M942" s="169">
        <f t="shared" si="631"/>
        <v>0</v>
      </c>
      <c r="N942" s="16">
        <f>'БА в тыс. руб.'!I942*1000</f>
        <v>1158980</v>
      </c>
      <c r="O942" s="169">
        <f t="shared" si="632"/>
        <v>0</v>
      </c>
    </row>
    <row r="943" spans="1:15" s="33" customFormat="1" ht="25.5">
      <c r="A943" s="11" t="s">
        <v>108</v>
      </c>
      <c r="B943" s="25" t="s">
        <v>62</v>
      </c>
      <c r="C943" s="26" t="s">
        <v>14</v>
      </c>
      <c r="D943" s="26" t="s">
        <v>53</v>
      </c>
      <c r="E943" s="26" t="s">
        <v>802</v>
      </c>
      <c r="F943" s="26" t="s">
        <v>116</v>
      </c>
      <c r="G943" s="119">
        <f>G944</f>
        <v>1209000</v>
      </c>
      <c r="H943" s="119">
        <f t="shared" ref="H943:I943" si="660">H944</f>
        <v>1077980</v>
      </c>
      <c r="I943" s="119">
        <f t="shared" si="660"/>
        <v>1077980</v>
      </c>
      <c r="J943" s="16">
        <f>'БА в тыс. руб.'!G943*1000</f>
        <v>1209000</v>
      </c>
      <c r="K943" s="169">
        <f t="shared" si="630"/>
        <v>0</v>
      </c>
      <c r="L943" s="16">
        <f>'БА в тыс. руб.'!H943*1000</f>
        <v>1077980</v>
      </c>
      <c r="M943" s="169">
        <f t="shared" si="631"/>
        <v>0</v>
      </c>
      <c r="N943" s="16">
        <f>'БА в тыс. руб.'!I943*1000</f>
        <v>1077980</v>
      </c>
      <c r="O943" s="169">
        <f t="shared" si="632"/>
        <v>0</v>
      </c>
    </row>
    <row r="944" spans="1:15" s="125" customFormat="1" ht="25.5">
      <c r="A944" s="12" t="s">
        <v>973</v>
      </c>
      <c r="B944" s="25" t="s">
        <v>62</v>
      </c>
      <c r="C944" s="26" t="s">
        <v>14</v>
      </c>
      <c r="D944" s="26" t="s">
        <v>53</v>
      </c>
      <c r="E944" s="26" t="s">
        <v>802</v>
      </c>
      <c r="F944" s="26" t="s">
        <v>1043</v>
      </c>
      <c r="G944" s="27">
        <f t="shared" ref="G944" si="661">J944</f>
        <v>1209000</v>
      </c>
      <c r="H944" s="27">
        <f>L944</f>
        <v>1077980</v>
      </c>
      <c r="I944" s="27">
        <f>N944</f>
        <v>1077980</v>
      </c>
      <c r="J944" s="16">
        <f>'БА в тыс. руб.'!G944*1000</f>
        <v>1209000</v>
      </c>
      <c r="K944" s="169">
        <f t="shared" si="630"/>
        <v>0</v>
      </c>
      <c r="L944" s="16">
        <f>'БА в тыс. руб.'!H944*1000</f>
        <v>1077980</v>
      </c>
      <c r="M944" s="169">
        <f t="shared" si="631"/>
        <v>0</v>
      </c>
      <c r="N944" s="16">
        <f>'БА в тыс. руб.'!I944*1000</f>
        <v>1077980</v>
      </c>
      <c r="O944" s="169">
        <f t="shared" si="632"/>
        <v>0</v>
      </c>
    </row>
    <row r="945" spans="1:15" s="33" customFormat="1" ht="25.5">
      <c r="A945" s="13" t="s">
        <v>110</v>
      </c>
      <c r="B945" s="25" t="s">
        <v>62</v>
      </c>
      <c r="C945" s="26" t="s">
        <v>14</v>
      </c>
      <c r="D945" s="26" t="s">
        <v>53</v>
      </c>
      <c r="E945" s="26" t="s">
        <v>802</v>
      </c>
      <c r="F945" s="26" t="s">
        <v>117</v>
      </c>
      <c r="G945" s="119">
        <f>G946</f>
        <v>78750</v>
      </c>
      <c r="H945" s="119">
        <f t="shared" ref="H945:I945" si="662">H946</f>
        <v>81000</v>
      </c>
      <c r="I945" s="119">
        <f t="shared" si="662"/>
        <v>81000</v>
      </c>
      <c r="J945" s="16">
        <f>'БА в тыс. руб.'!G945*1000</f>
        <v>78750</v>
      </c>
      <c r="K945" s="169">
        <f t="shared" si="630"/>
        <v>0</v>
      </c>
      <c r="L945" s="16">
        <f>'БА в тыс. руб.'!H945*1000</f>
        <v>81000</v>
      </c>
      <c r="M945" s="169">
        <f t="shared" si="631"/>
        <v>0</v>
      </c>
      <c r="N945" s="16">
        <f>'БА в тыс. руб.'!I945*1000</f>
        <v>81000</v>
      </c>
      <c r="O945" s="169">
        <f t="shared" si="632"/>
        <v>0</v>
      </c>
    </row>
    <row r="946" spans="1:15" s="125" customFormat="1" ht="25.5">
      <c r="A946" s="12" t="s">
        <v>981</v>
      </c>
      <c r="B946" s="25" t="s">
        <v>62</v>
      </c>
      <c r="C946" s="26" t="s">
        <v>14</v>
      </c>
      <c r="D946" s="26" t="s">
        <v>53</v>
      </c>
      <c r="E946" s="26" t="s">
        <v>802</v>
      </c>
      <c r="F946" s="26" t="s">
        <v>1065</v>
      </c>
      <c r="G946" s="27">
        <f t="shared" ref="G946" si="663">J946</f>
        <v>78750</v>
      </c>
      <c r="H946" s="27">
        <f>L946</f>
        <v>81000</v>
      </c>
      <c r="I946" s="27">
        <f>N946</f>
        <v>81000</v>
      </c>
      <c r="J946" s="16">
        <f>'БА в тыс. руб.'!G946*1000</f>
        <v>78750</v>
      </c>
      <c r="K946" s="169">
        <f t="shared" si="630"/>
        <v>0</v>
      </c>
      <c r="L946" s="16">
        <f>'БА в тыс. руб.'!H946*1000</f>
        <v>81000</v>
      </c>
      <c r="M946" s="169">
        <f t="shared" si="631"/>
        <v>0</v>
      </c>
      <c r="N946" s="16">
        <f>'БА в тыс. руб.'!I946*1000</f>
        <v>81000</v>
      </c>
      <c r="O946" s="169">
        <f t="shared" si="632"/>
        <v>0</v>
      </c>
    </row>
    <row r="947" spans="1:15" s="33" customFormat="1" ht="25.5">
      <c r="A947" s="32" t="s">
        <v>803</v>
      </c>
      <c r="B947" s="25" t="s">
        <v>62</v>
      </c>
      <c r="C947" s="26" t="s">
        <v>14</v>
      </c>
      <c r="D947" s="26" t="s">
        <v>53</v>
      </c>
      <c r="E947" s="26" t="s">
        <v>805</v>
      </c>
      <c r="F947" s="26" t="s">
        <v>58</v>
      </c>
      <c r="G947" s="121">
        <f>G948</f>
        <v>251000</v>
      </c>
      <c r="H947" s="121">
        <f t="shared" ref="H947:I947" si="664">H948</f>
        <v>251000</v>
      </c>
      <c r="I947" s="121">
        <f t="shared" si="664"/>
        <v>251000</v>
      </c>
      <c r="J947" s="16">
        <f>'БА в тыс. руб.'!G947*1000</f>
        <v>251000</v>
      </c>
      <c r="K947" s="169">
        <f t="shared" si="630"/>
        <v>0</v>
      </c>
      <c r="L947" s="16">
        <f>'БА в тыс. руб.'!H947*1000</f>
        <v>251000</v>
      </c>
      <c r="M947" s="169">
        <f t="shared" si="631"/>
        <v>0</v>
      </c>
      <c r="N947" s="16">
        <f>'БА в тыс. руб.'!I947*1000</f>
        <v>251000</v>
      </c>
      <c r="O947" s="169">
        <f t="shared" si="632"/>
        <v>0</v>
      </c>
    </row>
    <row r="948" spans="1:15" s="33" customFormat="1" ht="38.25">
      <c r="A948" s="31" t="s">
        <v>881</v>
      </c>
      <c r="B948" s="25" t="s">
        <v>62</v>
      </c>
      <c r="C948" s="26" t="s">
        <v>14</v>
      </c>
      <c r="D948" s="26" t="s">
        <v>53</v>
      </c>
      <c r="E948" s="26" t="s">
        <v>806</v>
      </c>
      <c r="F948" s="26" t="s">
        <v>58</v>
      </c>
      <c r="G948" s="121">
        <f>G949</f>
        <v>251000</v>
      </c>
      <c r="H948" s="121">
        <f>H949</f>
        <v>251000</v>
      </c>
      <c r="I948" s="121">
        <f>I949</f>
        <v>251000</v>
      </c>
      <c r="J948" s="16">
        <f>'БА в тыс. руб.'!G948*1000</f>
        <v>251000</v>
      </c>
      <c r="K948" s="169">
        <f t="shared" si="630"/>
        <v>0</v>
      </c>
      <c r="L948" s="16">
        <f>'БА в тыс. руб.'!H948*1000</f>
        <v>251000</v>
      </c>
      <c r="M948" s="169">
        <f t="shared" si="631"/>
        <v>0</v>
      </c>
      <c r="N948" s="16">
        <f>'БА в тыс. руб.'!I948*1000</f>
        <v>251000</v>
      </c>
      <c r="O948" s="169">
        <f t="shared" si="632"/>
        <v>0</v>
      </c>
    </row>
    <row r="949" spans="1:15" s="33" customFormat="1" ht="25.5">
      <c r="A949" s="11" t="s">
        <v>108</v>
      </c>
      <c r="B949" s="25" t="s">
        <v>62</v>
      </c>
      <c r="C949" s="26" t="s">
        <v>14</v>
      </c>
      <c r="D949" s="26" t="s">
        <v>53</v>
      </c>
      <c r="E949" s="26" t="s">
        <v>806</v>
      </c>
      <c r="F949" s="26" t="s">
        <v>116</v>
      </c>
      <c r="G949" s="119">
        <f>G950</f>
        <v>251000</v>
      </c>
      <c r="H949" s="119">
        <f t="shared" ref="H949:I949" si="665">H950</f>
        <v>251000</v>
      </c>
      <c r="I949" s="119">
        <f t="shared" si="665"/>
        <v>251000</v>
      </c>
      <c r="J949" s="16">
        <f>'БА в тыс. руб.'!G949*1000</f>
        <v>251000</v>
      </c>
      <c r="K949" s="169">
        <f t="shared" si="630"/>
        <v>0</v>
      </c>
      <c r="L949" s="16">
        <f>'БА в тыс. руб.'!H949*1000</f>
        <v>251000</v>
      </c>
      <c r="M949" s="169">
        <f t="shared" si="631"/>
        <v>0</v>
      </c>
      <c r="N949" s="16">
        <f>'БА в тыс. руб.'!I949*1000</f>
        <v>251000</v>
      </c>
      <c r="O949" s="169">
        <f t="shared" si="632"/>
        <v>0</v>
      </c>
    </row>
    <row r="950" spans="1:15" s="125" customFormat="1" ht="25.5">
      <c r="A950" s="12" t="s">
        <v>973</v>
      </c>
      <c r="B950" s="25" t="s">
        <v>62</v>
      </c>
      <c r="C950" s="26" t="s">
        <v>14</v>
      </c>
      <c r="D950" s="26" t="s">
        <v>53</v>
      </c>
      <c r="E950" s="26" t="s">
        <v>806</v>
      </c>
      <c r="F950" s="26" t="s">
        <v>1043</v>
      </c>
      <c r="G950" s="27">
        <f t="shared" ref="G950" si="666">J950</f>
        <v>251000</v>
      </c>
      <c r="H950" s="27">
        <f>L950</f>
        <v>251000</v>
      </c>
      <c r="I950" s="27">
        <f>N950</f>
        <v>251000</v>
      </c>
      <c r="J950" s="16">
        <f>'БА в тыс. руб.'!G950*1000</f>
        <v>251000</v>
      </c>
      <c r="K950" s="169">
        <f t="shared" si="630"/>
        <v>0</v>
      </c>
      <c r="L950" s="16">
        <f>'БА в тыс. руб.'!H950*1000</f>
        <v>251000</v>
      </c>
      <c r="M950" s="169">
        <f t="shared" si="631"/>
        <v>0</v>
      </c>
      <c r="N950" s="16">
        <f>'БА в тыс. руб.'!I950*1000</f>
        <v>251000</v>
      </c>
      <c r="O950" s="169">
        <f t="shared" si="632"/>
        <v>0</v>
      </c>
    </row>
    <row r="951" spans="1:15" s="33" customFormat="1" ht="25.5">
      <c r="A951" s="11" t="s">
        <v>843</v>
      </c>
      <c r="B951" s="25" t="s">
        <v>62</v>
      </c>
      <c r="C951" s="26" t="s">
        <v>14</v>
      </c>
      <c r="D951" s="26" t="s">
        <v>53</v>
      </c>
      <c r="E951" s="26" t="s">
        <v>807</v>
      </c>
      <c r="F951" s="26" t="s">
        <v>58</v>
      </c>
      <c r="G951" s="119">
        <f>G952</f>
        <v>371880</v>
      </c>
      <c r="H951" s="119">
        <f t="shared" ref="H951:I951" si="667">H952</f>
        <v>334690</v>
      </c>
      <c r="I951" s="119">
        <f t="shared" si="667"/>
        <v>334690</v>
      </c>
      <c r="J951" s="16">
        <f>'БА в тыс. руб.'!G951*1000</f>
        <v>371880</v>
      </c>
      <c r="K951" s="169">
        <f t="shared" si="630"/>
        <v>0</v>
      </c>
      <c r="L951" s="16">
        <f>'БА в тыс. руб.'!H951*1000</f>
        <v>334690</v>
      </c>
      <c r="M951" s="169">
        <f t="shared" si="631"/>
        <v>0</v>
      </c>
      <c r="N951" s="16">
        <f>'БА в тыс. руб.'!I951*1000</f>
        <v>334690</v>
      </c>
      <c r="O951" s="169">
        <f t="shared" si="632"/>
        <v>0</v>
      </c>
    </row>
    <row r="952" spans="1:15" s="33" customFormat="1" ht="25.5">
      <c r="A952" s="31" t="s">
        <v>882</v>
      </c>
      <c r="B952" s="25" t="s">
        <v>62</v>
      </c>
      <c r="C952" s="26" t="s">
        <v>14</v>
      </c>
      <c r="D952" s="26" t="s">
        <v>53</v>
      </c>
      <c r="E952" s="26" t="s">
        <v>808</v>
      </c>
      <c r="F952" s="26" t="s">
        <v>58</v>
      </c>
      <c r="G952" s="121">
        <f t="shared" ref="G952:I953" si="668">G953</f>
        <v>371880</v>
      </c>
      <c r="H952" s="121">
        <f t="shared" si="668"/>
        <v>334690</v>
      </c>
      <c r="I952" s="121">
        <f t="shared" si="668"/>
        <v>334690</v>
      </c>
      <c r="J952" s="16">
        <f>'БА в тыс. руб.'!G952*1000</f>
        <v>371880</v>
      </c>
      <c r="K952" s="169">
        <f t="shared" si="630"/>
        <v>0</v>
      </c>
      <c r="L952" s="16">
        <f>'БА в тыс. руб.'!H952*1000</f>
        <v>334690</v>
      </c>
      <c r="M952" s="169">
        <f t="shared" si="631"/>
        <v>0</v>
      </c>
      <c r="N952" s="16">
        <f>'БА в тыс. руб.'!I952*1000</f>
        <v>334690</v>
      </c>
      <c r="O952" s="169">
        <f t="shared" si="632"/>
        <v>0</v>
      </c>
    </row>
    <row r="953" spans="1:15" s="33" customFormat="1" ht="25.5">
      <c r="A953" s="11" t="s">
        <v>108</v>
      </c>
      <c r="B953" s="25" t="s">
        <v>62</v>
      </c>
      <c r="C953" s="26" t="s">
        <v>14</v>
      </c>
      <c r="D953" s="26" t="s">
        <v>53</v>
      </c>
      <c r="E953" s="26" t="s">
        <v>808</v>
      </c>
      <c r="F953" s="26" t="s">
        <v>116</v>
      </c>
      <c r="G953" s="119">
        <f>G954</f>
        <v>371880</v>
      </c>
      <c r="H953" s="119">
        <f t="shared" si="668"/>
        <v>334690</v>
      </c>
      <c r="I953" s="119">
        <f t="shared" si="668"/>
        <v>334690</v>
      </c>
      <c r="J953" s="16">
        <f>'БА в тыс. руб.'!G953*1000</f>
        <v>371880</v>
      </c>
      <c r="K953" s="169">
        <f t="shared" si="630"/>
        <v>0</v>
      </c>
      <c r="L953" s="16">
        <f>'БА в тыс. руб.'!H953*1000</f>
        <v>334690</v>
      </c>
      <c r="M953" s="169">
        <f t="shared" si="631"/>
        <v>0</v>
      </c>
      <c r="N953" s="16">
        <f>'БА в тыс. руб.'!I953*1000</f>
        <v>334690</v>
      </c>
      <c r="O953" s="169">
        <f t="shared" si="632"/>
        <v>0</v>
      </c>
    </row>
    <row r="954" spans="1:15" s="125" customFormat="1" ht="25.5">
      <c r="A954" s="12" t="s">
        <v>973</v>
      </c>
      <c r="B954" s="25" t="s">
        <v>62</v>
      </c>
      <c r="C954" s="26" t="s">
        <v>14</v>
      </c>
      <c r="D954" s="26" t="s">
        <v>53</v>
      </c>
      <c r="E954" s="26" t="s">
        <v>808</v>
      </c>
      <c r="F954" s="26" t="s">
        <v>1043</v>
      </c>
      <c r="G954" s="27">
        <f t="shared" ref="G954" si="669">J954</f>
        <v>371880</v>
      </c>
      <c r="H954" s="27">
        <f>L954</f>
        <v>334690</v>
      </c>
      <c r="I954" s="27">
        <f>N954</f>
        <v>334690</v>
      </c>
      <c r="J954" s="16">
        <f>'БА в тыс. руб.'!G954*1000</f>
        <v>371880</v>
      </c>
      <c r="K954" s="169">
        <f t="shared" si="630"/>
        <v>0</v>
      </c>
      <c r="L954" s="16">
        <f>'БА в тыс. руб.'!H954*1000</f>
        <v>334690</v>
      </c>
      <c r="M954" s="169">
        <f t="shared" si="631"/>
        <v>0</v>
      </c>
      <c r="N954" s="16">
        <f>'БА в тыс. руб.'!I954*1000</f>
        <v>334690</v>
      </c>
      <c r="O954" s="169">
        <f t="shared" si="632"/>
        <v>0</v>
      </c>
    </row>
    <row r="955" spans="1:15" s="33" customFormat="1">
      <c r="A955" s="31" t="s">
        <v>145</v>
      </c>
      <c r="B955" s="25" t="s">
        <v>62</v>
      </c>
      <c r="C955" s="26" t="s">
        <v>14</v>
      </c>
      <c r="D955" s="26" t="s">
        <v>53</v>
      </c>
      <c r="E955" s="26" t="s">
        <v>437</v>
      </c>
      <c r="F955" s="26" t="s">
        <v>58</v>
      </c>
      <c r="G955" s="121">
        <f t="shared" ref="G955:I958" si="670">G956</f>
        <v>1739000</v>
      </c>
      <c r="H955" s="121">
        <f t="shared" si="670"/>
        <v>1739000</v>
      </c>
      <c r="I955" s="121">
        <f t="shared" si="670"/>
        <v>1739000</v>
      </c>
      <c r="J955" s="16">
        <f>'БА в тыс. руб.'!G955*1000</f>
        <v>1739000</v>
      </c>
      <c r="K955" s="169">
        <f t="shared" si="630"/>
        <v>0</v>
      </c>
      <c r="L955" s="16">
        <f>'БА в тыс. руб.'!H955*1000</f>
        <v>1739000</v>
      </c>
      <c r="M955" s="169">
        <f t="shared" si="631"/>
        <v>0</v>
      </c>
      <c r="N955" s="16">
        <f>'БА в тыс. руб.'!I955*1000</f>
        <v>1739000</v>
      </c>
      <c r="O955" s="169">
        <f t="shared" si="632"/>
        <v>0</v>
      </c>
    </row>
    <row r="956" spans="1:15" s="33" customFormat="1" ht="38.25">
      <c r="A956" s="120" t="s">
        <v>439</v>
      </c>
      <c r="B956" s="25" t="s">
        <v>62</v>
      </c>
      <c r="C956" s="26" t="s">
        <v>14</v>
      </c>
      <c r="D956" s="26" t="s">
        <v>53</v>
      </c>
      <c r="E956" s="26" t="s">
        <v>438</v>
      </c>
      <c r="F956" s="26" t="s">
        <v>58</v>
      </c>
      <c r="G956" s="121">
        <f t="shared" si="670"/>
        <v>1739000</v>
      </c>
      <c r="H956" s="121">
        <f t="shared" si="670"/>
        <v>1739000</v>
      </c>
      <c r="I956" s="121">
        <f t="shared" si="670"/>
        <v>1739000</v>
      </c>
      <c r="J956" s="16">
        <f>'БА в тыс. руб.'!G956*1000</f>
        <v>1739000</v>
      </c>
      <c r="K956" s="169">
        <f t="shared" si="630"/>
        <v>0</v>
      </c>
      <c r="L956" s="16">
        <f>'БА в тыс. руб.'!H956*1000</f>
        <v>1739000</v>
      </c>
      <c r="M956" s="169">
        <f t="shared" si="631"/>
        <v>0</v>
      </c>
      <c r="N956" s="16">
        <f>'БА в тыс. руб.'!I956*1000</f>
        <v>1739000</v>
      </c>
      <c r="O956" s="169">
        <f t="shared" si="632"/>
        <v>0</v>
      </c>
    </row>
    <row r="957" spans="1:15" s="33" customFormat="1" ht="38.25">
      <c r="A957" s="31" t="s">
        <v>157</v>
      </c>
      <c r="B957" s="25" t="s">
        <v>62</v>
      </c>
      <c r="C957" s="26" t="s">
        <v>14</v>
      </c>
      <c r="D957" s="26" t="s">
        <v>53</v>
      </c>
      <c r="E957" s="26" t="s">
        <v>767</v>
      </c>
      <c r="F957" s="26" t="s">
        <v>58</v>
      </c>
      <c r="G957" s="121">
        <f t="shared" si="670"/>
        <v>1739000</v>
      </c>
      <c r="H957" s="121">
        <f t="shared" si="670"/>
        <v>1739000</v>
      </c>
      <c r="I957" s="121">
        <f t="shared" si="670"/>
        <v>1739000</v>
      </c>
      <c r="J957" s="16">
        <f>'БА в тыс. руб.'!G957*1000</f>
        <v>1739000</v>
      </c>
      <c r="K957" s="169">
        <f t="shared" si="630"/>
        <v>0</v>
      </c>
      <c r="L957" s="16">
        <f>'БА в тыс. руб.'!H957*1000</f>
        <v>1739000</v>
      </c>
      <c r="M957" s="169">
        <f t="shared" si="631"/>
        <v>0</v>
      </c>
      <c r="N957" s="16">
        <f>'БА в тыс. руб.'!I957*1000</f>
        <v>1739000</v>
      </c>
      <c r="O957" s="169">
        <f t="shared" si="632"/>
        <v>0</v>
      </c>
    </row>
    <row r="958" spans="1:15" s="33" customFormat="1" ht="25.5">
      <c r="A958" s="13" t="s">
        <v>110</v>
      </c>
      <c r="B958" s="25" t="s">
        <v>62</v>
      </c>
      <c r="C958" s="26" t="s">
        <v>14</v>
      </c>
      <c r="D958" s="26" t="s">
        <v>53</v>
      </c>
      <c r="E958" s="26" t="s">
        <v>767</v>
      </c>
      <c r="F958" s="26" t="s">
        <v>117</v>
      </c>
      <c r="G958" s="119">
        <f>G959</f>
        <v>1739000</v>
      </c>
      <c r="H958" s="119">
        <f t="shared" si="670"/>
        <v>1739000</v>
      </c>
      <c r="I958" s="119">
        <f t="shared" si="670"/>
        <v>1739000</v>
      </c>
      <c r="J958" s="16">
        <f>'БА в тыс. руб.'!G958*1000</f>
        <v>1739000</v>
      </c>
      <c r="K958" s="169">
        <f t="shared" si="630"/>
        <v>0</v>
      </c>
      <c r="L958" s="16">
        <f>'БА в тыс. руб.'!H958*1000</f>
        <v>1739000</v>
      </c>
      <c r="M958" s="169">
        <f t="shared" si="631"/>
        <v>0</v>
      </c>
      <c r="N958" s="16">
        <f>'БА в тыс. руб.'!I958*1000</f>
        <v>1739000</v>
      </c>
      <c r="O958" s="169">
        <f t="shared" si="632"/>
        <v>0</v>
      </c>
    </row>
    <row r="959" spans="1:15" s="125" customFormat="1" ht="25.5">
      <c r="A959" s="12" t="s">
        <v>981</v>
      </c>
      <c r="B959" s="25" t="s">
        <v>62</v>
      </c>
      <c r="C959" s="26" t="s">
        <v>14</v>
      </c>
      <c r="D959" s="26" t="s">
        <v>53</v>
      </c>
      <c r="E959" s="26" t="s">
        <v>767</v>
      </c>
      <c r="F959" s="26" t="s">
        <v>1065</v>
      </c>
      <c r="G959" s="27">
        <f t="shared" ref="G959" si="671">J959</f>
        <v>1739000</v>
      </c>
      <c r="H959" s="27">
        <f>L959</f>
        <v>1739000</v>
      </c>
      <c r="I959" s="27">
        <f>N959</f>
        <v>1739000</v>
      </c>
      <c r="J959" s="16">
        <f>'БА в тыс. руб.'!G959*1000</f>
        <v>1739000</v>
      </c>
      <c r="K959" s="169">
        <f t="shared" si="630"/>
        <v>0</v>
      </c>
      <c r="L959" s="16">
        <f>'БА в тыс. руб.'!H959*1000</f>
        <v>1739000</v>
      </c>
      <c r="M959" s="169">
        <f t="shared" si="631"/>
        <v>0</v>
      </c>
      <c r="N959" s="16">
        <f>'БА в тыс. руб.'!I959*1000</f>
        <v>1739000</v>
      </c>
      <c r="O959" s="169">
        <f t="shared" si="632"/>
        <v>0</v>
      </c>
    </row>
    <row r="960" spans="1:15" s="163" customFormat="1">
      <c r="A960" s="21" t="s">
        <v>22</v>
      </c>
      <c r="B960" s="22" t="s">
        <v>62</v>
      </c>
      <c r="C960" s="23" t="s">
        <v>14</v>
      </c>
      <c r="D960" s="23" t="s">
        <v>37</v>
      </c>
      <c r="E960" s="23" t="s">
        <v>196</v>
      </c>
      <c r="F960" s="23" t="s">
        <v>58</v>
      </c>
      <c r="G960" s="24">
        <f t="shared" ref="G960:I962" si="672">G961</f>
        <v>127928840</v>
      </c>
      <c r="H960" s="24">
        <f t="shared" si="672"/>
        <v>128007240</v>
      </c>
      <c r="I960" s="24">
        <f t="shared" si="672"/>
        <v>128079240</v>
      </c>
      <c r="J960" s="16">
        <f>'БА в тыс. руб.'!G960*1000</f>
        <v>127928840.00000001</v>
      </c>
      <c r="K960" s="169">
        <f t="shared" si="630"/>
        <v>0</v>
      </c>
      <c r="L960" s="16">
        <f>'БА в тыс. руб.'!H960*1000</f>
        <v>128007240</v>
      </c>
      <c r="M960" s="169">
        <f t="shared" si="631"/>
        <v>0</v>
      </c>
      <c r="N960" s="16">
        <f>'БА в тыс. руб.'!I960*1000</f>
        <v>128079240</v>
      </c>
      <c r="O960" s="169">
        <f t="shared" si="632"/>
        <v>0</v>
      </c>
    </row>
    <row r="961" spans="1:15" s="163" customFormat="1" ht="25.5">
      <c r="A961" s="31" t="s">
        <v>727</v>
      </c>
      <c r="B961" s="25" t="s">
        <v>62</v>
      </c>
      <c r="C961" s="26" t="s">
        <v>14</v>
      </c>
      <c r="D961" s="26" t="s">
        <v>37</v>
      </c>
      <c r="E961" s="26" t="s">
        <v>327</v>
      </c>
      <c r="F961" s="26" t="s">
        <v>58</v>
      </c>
      <c r="G961" s="121">
        <f t="shared" si="672"/>
        <v>127928840</v>
      </c>
      <c r="H961" s="121">
        <f t="shared" si="672"/>
        <v>128007240</v>
      </c>
      <c r="I961" s="121">
        <f t="shared" si="672"/>
        <v>128079240</v>
      </c>
      <c r="J961" s="16">
        <f>'БА в тыс. руб.'!G961*1000</f>
        <v>127928840.00000001</v>
      </c>
      <c r="K961" s="169">
        <f t="shared" si="630"/>
        <v>0</v>
      </c>
      <c r="L961" s="16">
        <f>'БА в тыс. руб.'!H961*1000</f>
        <v>128007240</v>
      </c>
      <c r="M961" s="169">
        <f t="shared" si="631"/>
        <v>0</v>
      </c>
      <c r="N961" s="16">
        <f>'БА в тыс. руб.'!I961*1000</f>
        <v>128079240</v>
      </c>
      <c r="O961" s="169">
        <f t="shared" si="632"/>
        <v>0</v>
      </c>
    </row>
    <row r="962" spans="1:15" s="163" customFormat="1" ht="38.25">
      <c r="A962" s="120" t="s">
        <v>728</v>
      </c>
      <c r="B962" s="25" t="s">
        <v>62</v>
      </c>
      <c r="C962" s="26" t="s">
        <v>14</v>
      </c>
      <c r="D962" s="26" t="s">
        <v>37</v>
      </c>
      <c r="E962" s="26" t="s">
        <v>392</v>
      </c>
      <c r="F962" s="26" t="s">
        <v>58</v>
      </c>
      <c r="G962" s="121">
        <f t="shared" si="672"/>
        <v>127928840</v>
      </c>
      <c r="H962" s="121">
        <f t="shared" si="672"/>
        <v>128007240</v>
      </c>
      <c r="I962" s="121">
        <f t="shared" si="672"/>
        <v>128079240</v>
      </c>
      <c r="J962" s="16">
        <f>'БА в тыс. руб.'!G962*1000</f>
        <v>127928840.00000001</v>
      </c>
      <c r="K962" s="169">
        <f t="shared" si="630"/>
        <v>0</v>
      </c>
      <c r="L962" s="16">
        <f>'БА в тыс. руб.'!H962*1000</f>
        <v>128007240</v>
      </c>
      <c r="M962" s="169">
        <f t="shared" si="631"/>
        <v>0</v>
      </c>
      <c r="N962" s="16">
        <f>'БА в тыс. руб.'!I962*1000</f>
        <v>128079240</v>
      </c>
      <c r="O962" s="169">
        <f t="shared" si="632"/>
        <v>0</v>
      </c>
    </row>
    <row r="963" spans="1:15" s="30" customFormat="1" ht="25.5">
      <c r="A963" s="152" t="s">
        <v>406</v>
      </c>
      <c r="B963" s="25" t="s">
        <v>62</v>
      </c>
      <c r="C963" s="26" t="s">
        <v>14</v>
      </c>
      <c r="D963" s="26" t="s">
        <v>37</v>
      </c>
      <c r="E963" s="26" t="s">
        <v>407</v>
      </c>
      <c r="F963" s="26" t="s">
        <v>58</v>
      </c>
      <c r="G963" s="119">
        <f>G964+G967</f>
        <v>127928840</v>
      </c>
      <c r="H963" s="119">
        <f t="shared" ref="H963:I963" si="673">H964+H967</f>
        <v>128007240</v>
      </c>
      <c r="I963" s="119">
        <f t="shared" si="673"/>
        <v>128079240</v>
      </c>
      <c r="J963" s="16">
        <f>'БА в тыс. руб.'!G963*1000</f>
        <v>127928840.00000001</v>
      </c>
      <c r="K963" s="169">
        <f t="shared" si="630"/>
        <v>0</v>
      </c>
      <c r="L963" s="16">
        <f>'БА в тыс. руб.'!H963*1000</f>
        <v>128007240</v>
      </c>
      <c r="M963" s="169">
        <f t="shared" si="631"/>
        <v>0</v>
      </c>
      <c r="N963" s="16">
        <f>'БА в тыс. руб.'!I963*1000</f>
        <v>128079240</v>
      </c>
      <c r="O963" s="169">
        <f t="shared" si="632"/>
        <v>0</v>
      </c>
    </row>
    <row r="964" spans="1:15" s="30" customFormat="1" ht="51">
      <c r="A964" s="32" t="s">
        <v>920</v>
      </c>
      <c r="B964" s="25" t="s">
        <v>62</v>
      </c>
      <c r="C964" s="26" t="s">
        <v>14</v>
      </c>
      <c r="D964" s="26" t="s">
        <v>37</v>
      </c>
      <c r="E964" s="26" t="s">
        <v>440</v>
      </c>
      <c r="F964" s="26" t="s">
        <v>58</v>
      </c>
      <c r="G964" s="119">
        <f>G965</f>
        <v>126215740</v>
      </c>
      <c r="H964" s="119">
        <f>H965</f>
        <v>126215740</v>
      </c>
      <c r="I964" s="119">
        <f>I965</f>
        <v>126215740</v>
      </c>
      <c r="J964" s="16">
        <f>'БА в тыс. руб.'!G964*1000</f>
        <v>126215740</v>
      </c>
      <c r="K964" s="169">
        <f t="shared" si="630"/>
        <v>0</v>
      </c>
      <c r="L964" s="16">
        <f>'БА в тыс. руб.'!H964*1000</f>
        <v>126215740</v>
      </c>
      <c r="M964" s="169">
        <f t="shared" si="631"/>
        <v>0</v>
      </c>
      <c r="N964" s="16">
        <f>'БА в тыс. руб.'!I964*1000</f>
        <v>126215740</v>
      </c>
      <c r="O964" s="169">
        <f t="shared" si="632"/>
        <v>0</v>
      </c>
    </row>
    <row r="965" spans="1:15" s="30" customFormat="1">
      <c r="A965" s="13" t="s">
        <v>109</v>
      </c>
      <c r="B965" s="25" t="s">
        <v>62</v>
      </c>
      <c r="C965" s="26" t="s">
        <v>14</v>
      </c>
      <c r="D965" s="26" t="s">
        <v>37</v>
      </c>
      <c r="E965" s="26" t="s">
        <v>440</v>
      </c>
      <c r="F965" s="26" t="s">
        <v>134</v>
      </c>
      <c r="G965" s="119">
        <f>G966</f>
        <v>126215740</v>
      </c>
      <c r="H965" s="119">
        <f t="shared" ref="H965:I965" si="674">H966</f>
        <v>126215740</v>
      </c>
      <c r="I965" s="119">
        <f t="shared" si="674"/>
        <v>126215740</v>
      </c>
      <c r="J965" s="16">
        <f>'БА в тыс. руб.'!G965*1000</f>
        <v>126215740</v>
      </c>
      <c r="K965" s="169">
        <f t="shared" si="630"/>
        <v>0</v>
      </c>
      <c r="L965" s="16">
        <f>'БА в тыс. руб.'!H965*1000</f>
        <v>126215740</v>
      </c>
      <c r="M965" s="169">
        <f t="shared" si="631"/>
        <v>0</v>
      </c>
      <c r="N965" s="16">
        <f>'БА в тыс. руб.'!I965*1000</f>
        <v>126215740</v>
      </c>
      <c r="O965" s="169">
        <f t="shared" si="632"/>
        <v>0</v>
      </c>
    </row>
    <row r="966" spans="1:15" s="83" customFormat="1" ht="25.5">
      <c r="A966" s="12" t="s">
        <v>978</v>
      </c>
      <c r="B966" s="25" t="s">
        <v>62</v>
      </c>
      <c r="C966" s="26" t="s">
        <v>14</v>
      </c>
      <c r="D966" s="26" t="s">
        <v>37</v>
      </c>
      <c r="E966" s="26" t="s">
        <v>440</v>
      </c>
      <c r="F966" s="26" t="s">
        <v>1064</v>
      </c>
      <c r="G966" s="27">
        <f t="shared" ref="G966" si="675">J966</f>
        <v>126215740</v>
      </c>
      <c r="H966" s="27">
        <f>L966</f>
        <v>126215740</v>
      </c>
      <c r="I966" s="27">
        <f>N966</f>
        <v>126215740</v>
      </c>
      <c r="J966" s="16">
        <f>'БА в тыс. руб.'!G966*1000</f>
        <v>126215740</v>
      </c>
      <c r="K966" s="169">
        <f t="shared" si="630"/>
        <v>0</v>
      </c>
      <c r="L966" s="16">
        <f>'БА в тыс. руб.'!H966*1000</f>
        <v>126215740</v>
      </c>
      <c r="M966" s="169">
        <f t="shared" si="631"/>
        <v>0</v>
      </c>
      <c r="N966" s="16">
        <f>'БА в тыс. руб.'!I966*1000</f>
        <v>126215740</v>
      </c>
      <c r="O966" s="169">
        <f t="shared" si="632"/>
        <v>0</v>
      </c>
    </row>
    <row r="967" spans="1:15" s="30" customFormat="1" ht="51">
      <c r="A967" s="32" t="s">
        <v>441</v>
      </c>
      <c r="B967" s="25" t="s">
        <v>62</v>
      </c>
      <c r="C967" s="26" t="s">
        <v>14</v>
      </c>
      <c r="D967" s="26" t="s">
        <v>37</v>
      </c>
      <c r="E967" s="26" t="s">
        <v>442</v>
      </c>
      <c r="F967" s="26" t="s">
        <v>58</v>
      </c>
      <c r="G967" s="119">
        <f>G968</f>
        <v>1713100</v>
      </c>
      <c r="H967" s="119">
        <f>H968</f>
        <v>1791500</v>
      </c>
      <c r="I967" s="119">
        <f>I968</f>
        <v>1863500</v>
      </c>
      <c r="J967" s="16">
        <f>'БА в тыс. руб.'!G967*1000</f>
        <v>1713100</v>
      </c>
      <c r="K967" s="169">
        <f t="shared" si="630"/>
        <v>0</v>
      </c>
      <c r="L967" s="16">
        <f>'БА в тыс. руб.'!H967*1000</f>
        <v>1791500</v>
      </c>
      <c r="M967" s="169">
        <f t="shared" si="631"/>
        <v>0</v>
      </c>
      <c r="N967" s="16">
        <f>'БА в тыс. руб.'!I967*1000</f>
        <v>1863500</v>
      </c>
      <c r="O967" s="169">
        <f t="shared" si="632"/>
        <v>0</v>
      </c>
    </row>
    <row r="968" spans="1:15" s="30" customFormat="1">
      <c r="A968" s="13" t="s">
        <v>109</v>
      </c>
      <c r="B968" s="25" t="s">
        <v>62</v>
      </c>
      <c r="C968" s="26" t="s">
        <v>14</v>
      </c>
      <c r="D968" s="26" t="s">
        <v>37</v>
      </c>
      <c r="E968" s="26" t="s">
        <v>442</v>
      </c>
      <c r="F968" s="26" t="s">
        <v>134</v>
      </c>
      <c r="G968" s="119">
        <f>G969</f>
        <v>1713100</v>
      </c>
      <c r="H968" s="119">
        <f t="shared" ref="H968:I968" si="676">H969</f>
        <v>1791500</v>
      </c>
      <c r="I968" s="119">
        <f t="shared" si="676"/>
        <v>1863500</v>
      </c>
      <c r="J968" s="16">
        <f>'БА в тыс. руб.'!G968*1000</f>
        <v>1713100</v>
      </c>
      <c r="K968" s="169">
        <f t="shared" ref="K968:K1031" si="677">J968-G968</f>
        <v>0</v>
      </c>
      <c r="L968" s="16">
        <f>'БА в тыс. руб.'!H968*1000</f>
        <v>1791500</v>
      </c>
      <c r="M968" s="169">
        <f t="shared" ref="M968:M1031" si="678">L968-H968</f>
        <v>0</v>
      </c>
      <c r="N968" s="16">
        <f>'БА в тыс. руб.'!I968*1000</f>
        <v>1863500</v>
      </c>
      <c r="O968" s="169">
        <f t="shared" ref="O968:O1031" si="679">N968-I968</f>
        <v>0</v>
      </c>
    </row>
    <row r="969" spans="1:15" s="83" customFormat="1" ht="25.5">
      <c r="A969" s="12" t="s">
        <v>978</v>
      </c>
      <c r="B969" s="25" t="s">
        <v>62</v>
      </c>
      <c r="C969" s="26" t="s">
        <v>14</v>
      </c>
      <c r="D969" s="26" t="s">
        <v>37</v>
      </c>
      <c r="E969" s="26" t="s">
        <v>442</v>
      </c>
      <c r="F969" s="26" t="s">
        <v>1064</v>
      </c>
      <c r="G969" s="27">
        <f t="shared" ref="G969" si="680">J969</f>
        <v>1713100</v>
      </c>
      <c r="H969" s="27">
        <f>L969</f>
        <v>1791500</v>
      </c>
      <c r="I969" s="27">
        <f>N969</f>
        <v>1863500</v>
      </c>
      <c r="J969" s="16">
        <f>'БА в тыс. руб.'!G969*1000</f>
        <v>1713100</v>
      </c>
      <c r="K969" s="169">
        <f t="shared" si="677"/>
        <v>0</v>
      </c>
      <c r="L969" s="16">
        <f>'БА в тыс. руб.'!H969*1000</f>
        <v>1791500</v>
      </c>
      <c r="M969" s="169">
        <f t="shared" si="678"/>
        <v>0</v>
      </c>
      <c r="N969" s="16">
        <f>'БА в тыс. руб.'!I969*1000</f>
        <v>1863500</v>
      </c>
      <c r="O969" s="169">
        <f t="shared" si="679"/>
        <v>0</v>
      </c>
    </row>
    <row r="970" spans="1:15" s="164" customFormat="1" ht="12.75">
      <c r="A970" s="21" t="s">
        <v>36</v>
      </c>
      <c r="B970" s="22" t="s">
        <v>62</v>
      </c>
      <c r="C970" s="23" t="s">
        <v>14</v>
      </c>
      <c r="D970" s="23" t="s">
        <v>2</v>
      </c>
      <c r="E970" s="23" t="s">
        <v>196</v>
      </c>
      <c r="F970" s="23" t="s">
        <v>58</v>
      </c>
      <c r="G970" s="24">
        <f>G971+G988</f>
        <v>64187520</v>
      </c>
      <c r="H970" s="24">
        <f>H971+H988</f>
        <v>63990660</v>
      </c>
      <c r="I970" s="24">
        <f>I971+I988</f>
        <v>63990660</v>
      </c>
      <c r="J970" s="16">
        <f>'БА в тыс. руб.'!G970*1000</f>
        <v>64187520.000000007</v>
      </c>
      <c r="K970" s="169">
        <f t="shared" si="677"/>
        <v>0</v>
      </c>
      <c r="L970" s="16">
        <f>'БА в тыс. руб.'!H970*1000</f>
        <v>63990660.000000007</v>
      </c>
      <c r="M970" s="169">
        <f t="shared" si="678"/>
        <v>0</v>
      </c>
      <c r="N970" s="16">
        <f>'БА в тыс. руб.'!I970*1000</f>
        <v>63990660.000000007</v>
      </c>
      <c r="O970" s="169">
        <f t="shared" si="679"/>
        <v>0</v>
      </c>
    </row>
    <row r="971" spans="1:15" s="30" customFormat="1" ht="25.5">
      <c r="A971" s="31" t="s">
        <v>727</v>
      </c>
      <c r="B971" s="25" t="s">
        <v>62</v>
      </c>
      <c r="C971" s="26" t="s">
        <v>14</v>
      </c>
      <c r="D971" s="26" t="s">
        <v>2</v>
      </c>
      <c r="E971" s="26" t="s">
        <v>327</v>
      </c>
      <c r="F971" s="26" t="s">
        <v>58</v>
      </c>
      <c r="G971" s="119">
        <f>G972+G977</f>
        <v>2361660</v>
      </c>
      <c r="H971" s="119">
        <f t="shared" ref="H971:I971" si="681">H972+H977</f>
        <v>2135400</v>
      </c>
      <c r="I971" s="119">
        <f t="shared" si="681"/>
        <v>2135400</v>
      </c>
      <c r="J971" s="16">
        <f>'БА в тыс. руб.'!G971*1000</f>
        <v>2361660</v>
      </c>
      <c r="K971" s="169">
        <f t="shared" si="677"/>
        <v>0</v>
      </c>
      <c r="L971" s="16">
        <f>'БА в тыс. руб.'!H971*1000</f>
        <v>2135400</v>
      </c>
      <c r="M971" s="169">
        <f t="shared" si="678"/>
        <v>0</v>
      </c>
      <c r="N971" s="16">
        <f>'БА в тыс. руб.'!I971*1000</f>
        <v>2135400</v>
      </c>
      <c r="O971" s="169">
        <f t="shared" si="679"/>
        <v>0</v>
      </c>
    </row>
    <row r="972" spans="1:15" s="33" customFormat="1" ht="38.25">
      <c r="A972" s="31" t="s">
        <v>842</v>
      </c>
      <c r="B972" s="25" t="s">
        <v>62</v>
      </c>
      <c r="C972" s="26" t="s">
        <v>14</v>
      </c>
      <c r="D972" s="26" t="s">
        <v>2</v>
      </c>
      <c r="E972" s="26" t="s">
        <v>328</v>
      </c>
      <c r="F972" s="26" t="s">
        <v>58</v>
      </c>
      <c r="G972" s="121">
        <f t="shared" ref="G972:I975" si="682">G973</f>
        <v>1289450</v>
      </c>
      <c r="H972" s="121">
        <f t="shared" si="682"/>
        <v>1160510</v>
      </c>
      <c r="I972" s="121">
        <f t="shared" si="682"/>
        <v>1160510</v>
      </c>
      <c r="J972" s="16">
        <f>'БА в тыс. руб.'!G972*1000</f>
        <v>1289450</v>
      </c>
      <c r="K972" s="169">
        <f t="shared" si="677"/>
        <v>0</v>
      </c>
      <c r="L972" s="16">
        <f>'БА в тыс. руб.'!H972*1000</f>
        <v>1160510</v>
      </c>
      <c r="M972" s="169">
        <f t="shared" si="678"/>
        <v>0</v>
      </c>
      <c r="N972" s="16">
        <f>'БА в тыс. руб.'!I972*1000</f>
        <v>1160510</v>
      </c>
      <c r="O972" s="169">
        <f t="shared" si="679"/>
        <v>0</v>
      </c>
    </row>
    <row r="973" spans="1:15" s="33" customFormat="1" ht="25.5">
      <c r="A973" s="31" t="s">
        <v>811</v>
      </c>
      <c r="B973" s="25" t="s">
        <v>62</v>
      </c>
      <c r="C973" s="26" t="s">
        <v>14</v>
      </c>
      <c r="D973" s="26" t="s">
        <v>2</v>
      </c>
      <c r="E973" s="26" t="s">
        <v>809</v>
      </c>
      <c r="F973" s="26" t="s">
        <v>58</v>
      </c>
      <c r="G973" s="121">
        <f t="shared" si="682"/>
        <v>1289450</v>
      </c>
      <c r="H973" s="121">
        <f t="shared" si="682"/>
        <v>1160510</v>
      </c>
      <c r="I973" s="121">
        <f t="shared" si="682"/>
        <v>1160510</v>
      </c>
      <c r="J973" s="16">
        <f>'БА в тыс. руб.'!G973*1000</f>
        <v>1289450</v>
      </c>
      <c r="K973" s="169">
        <f t="shared" si="677"/>
        <v>0</v>
      </c>
      <c r="L973" s="16">
        <f>'БА в тыс. руб.'!H973*1000</f>
        <v>1160510</v>
      </c>
      <c r="M973" s="169">
        <f t="shared" si="678"/>
        <v>0</v>
      </c>
      <c r="N973" s="16">
        <f>'БА в тыс. руб.'!I973*1000</f>
        <v>1160510</v>
      </c>
      <c r="O973" s="169">
        <f t="shared" si="679"/>
        <v>0</v>
      </c>
    </row>
    <row r="974" spans="1:15" s="33" customFormat="1" ht="25.5">
      <c r="A974" s="31" t="s">
        <v>595</v>
      </c>
      <c r="B974" s="25" t="s">
        <v>62</v>
      </c>
      <c r="C974" s="26" t="s">
        <v>14</v>
      </c>
      <c r="D974" s="26" t="s">
        <v>2</v>
      </c>
      <c r="E974" s="26" t="s">
        <v>810</v>
      </c>
      <c r="F974" s="26" t="s">
        <v>58</v>
      </c>
      <c r="G974" s="121">
        <f t="shared" si="682"/>
        <v>1289450</v>
      </c>
      <c r="H974" s="121">
        <f t="shared" si="682"/>
        <v>1160510</v>
      </c>
      <c r="I974" s="121">
        <f t="shared" si="682"/>
        <v>1160510</v>
      </c>
      <c r="J974" s="16">
        <f>'БА в тыс. руб.'!G974*1000</f>
        <v>1289450</v>
      </c>
      <c r="K974" s="169">
        <f t="shared" si="677"/>
        <v>0</v>
      </c>
      <c r="L974" s="16">
        <f>'БА в тыс. руб.'!H974*1000</f>
        <v>1160510</v>
      </c>
      <c r="M974" s="169">
        <f t="shared" si="678"/>
        <v>0</v>
      </c>
      <c r="N974" s="16">
        <f>'БА в тыс. руб.'!I974*1000</f>
        <v>1160510</v>
      </c>
      <c r="O974" s="169">
        <f t="shared" si="679"/>
        <v>0</v>
      </c>
    </row>
    <row r="975" spans="1:15" s="33" customFormat="1" ht="25.5">
      <c r="A975" s="31" t="s">
        <v>111</v>
      </c>
      <c r="B975" s="25" t="s">
        <v>62</v>
      </c>
      <c r="C975" s="26" t="s">
        <v>14</v>
      </c>
      <c r="D975" s="26" t="s">
        <v>2</v>
      </c>
      <c r="E975" s="26" t="s">
        <v>810</v>
      </c>
      <c r="F975" s="26" t="s">
        <v>104</v>
      </c>
      <c r="G975" s="119">
        <f>G976</f>
        <v>1289450</v>
      </c>
      <c r="H975" s="119">
        <f t="shared" si="682"/>
        <v>1160510</v>
      </c>
      <c r="I975" s="119">
        <f t="shared" si="682"/>
        <v>1160510</v>
      </c>
      <c r="J975" s="16">
        <f>'БА в тыс. руб.'!G975*1000</f>
        <v>1289450</v>
      </c>
      <c r="K975" s="169">
        <f t="shared" si="677"/>
        <v>0</v>
      </c>
      <c r="L975" s="16">
        <f>'БА в тыс. руб.'!H975*1000</f>
        <v>1160510</v>
      </c>
      <c r="M975" s="169">
        <f t="shared" si="678"/>
        <v>0</v>
      </c>
      <c r="N975" s="16">
        <f>'БА в тыс. руб.'!I975*1000</f>
        <v>1160510</v>
      </c>
      <c r="O975" s="169">
        <f t="shared" si="679"/>
        <v>0</v>
      </c>
    </row>
    <row r="976" spans="1:15" s="125" customFormat="1" ht="76.5">
      <c r="A976" s="12" t="s">
        <v>1048</v>
      </c>
      <c r="B976" s="25" t="s">
        <v>62</v>
      </c>
      <c r="C976" s="26" t="s">
        <v>14</v>
      </c>
      <c r="D976" s="26" t="s">
        <v>2</v>
      </c>
      <c r="E976" s="26" t="s">
        <v>810</v>
      </c>
      <c r="F976" s="26" t="s">
        <v>1055</v>
      </c>
      <c r="G976" s="27">
        <f t="shared" ref="G976" si="683">J976</f>
        <v>1289450</v>
      </c>
      <c r="H976" s="27">
        <f>L976</f>
        <v>1160510</v>
      </c>
      <c r="I976" s="27">
        <f>N976</f>
        <v>1160510</v>
      </c>
      <c r="J976" s="16">
        <f>'БА в тыс. руб.'!G976*1000</f>
        <v>1289450</v>
      </c>
      <c r="K976" s="169">
        <f t="shared" si="677"/>
        <v>0</v>
      </c>
      <c r="L976" s="16">
        <f>'БА в тыс. руб.'!H976*1000</f>
        <v>1160510</v>
      </c>
      <c r="M976" s="169">
        <f t="shared" si="678"/>
        <v>0</v>
      </c>
      <c r="N976" s="16">
        <f>'БА в тыс. руб.'!I976*1000</f>
        <v>1160510</v>
      </c>
      <c r="O976" s="169">
        <f t="shared" si="679"/>
        <v>0</v>
      </c>
    </row>
    <row r="977" spans="1:15" s="33" customFormat="1">
      <c r="A977" s="31" t="s">
        <v>145</v>
      </c>
      <c r="B977" s="25" t="s">
        <v>62</v>
      </c>
      <c r="C977" s="26" t="s">
        <v>14</v>
      </c>
      <c r="D977" s="26" t="s">
        <v>2</v>
      </c>
      <c r="E977" s="26" t="s">
        <v>437</v>
      </c>
      <c r="F977" s="26" t="s">
        <v>58</v>
      </c>
      <c r="G977" s="119">
        <f>G978</f>
        <v>1072210</v>
      </c>
      <c r="H977" s="119">
        <f t="shared" ref="H977:I977" si="684">H978</f>
        <v>974890</v>
      </c>
      <c r="I977" s="119">
        <f t="shared" si="684"/>
        <v>974890</v>
      </c>
      <c r="J977" s="16">
        <f>'БА в тыс. руб.'!G977*1000</f>
        <v>1072210</v>
      </c>
      <c r="K977" s="169">
        <f t="shared" si="677"/>
        <v>0</v>
      </c>
      <c r="L977" s="16">
        <f>'БА в тыс. руб.'!H977*1000</f>
        <v>974890</v>
      </c>
      <c r="M977" s="169">
        <f t="shared" si="678"/>
        <v>0</v>
      </c>
      <c r="N977" s="16">
        <f>'БА в тыс. руб.'!I977*1000</f>
        <v>974890</v>
      </c>
      <c r="O977" s="169">
        <f t="shared" si="679"/>
        <v>0</v>
      </c>
    </row>
    <row r="978" spans="1:15" s="33" customFormat="1" ht="38.25">
      <c r="A978" s="31" t="s">
        <v>439</v>
      </c>
      <c r="B978" s="25" t="s">
        <v>62</v>
      </c>
      <c r="C978" s="26" t="s">
        <v>14</v>
      </c>
      <c r="D978" s="26" t="s">
        <v>2</v>
      </c>
      <c r="E978" s="26" t="s">
        <v>438</v>
      </c>
      <c r="F978" s="26" t="s">
        <v>58</v>
      </c>
      <c r="G978" s="119">
        <f>G979+G985</f>
        <v>1072210</v>
      </c>
      <c r="H978" s="119">
        <f>H979+H985</f>
        <v>974890</v>
      </c>
      <c r="I978" s="119">
        <f>I979+I985</f>
        <v>974890</v>
      </c>
      <c r="J978" s="16">
        <f>'БА в тыс. руб.'!G978*1000</f>
        <v>1072210</v>
      </c>
      <c r="K978" s="169">
        <f t="shared" si="677"/>
        <v>0</v>
      </c>
      <c r="L978" s="16">
        <f>'БА в тыс. руб.'!H978*1000</f>
        <v>974890</v>
      </c>
      <c r="M978" s="169">
        <f t="shared" si="678"/>
        <v>0</v>
      </c>
      <c r="N978" s="16">
        <f>'БА в тыс. руб.'!I978*1000</f>
        <v>974890</v>
      </c>
      <c r="O978" s="169">
        <f t="shared" si="679"/>
        <v>0</v>
      </c>
    </row>
    <row r="979" spans="1:15" s="33" customFormat="1" ht="38.25">
      <c r="A979" s="31" t="s">
        <v>157</v>
      </c>
      <c r="B979" s="25" t="s">
        <v>62</v>
      </c>
      <c r="C979" s="26" t="s">
        <v>14</v>
      </c>
      <c r="D979" s="26" t="s">
        <v>2</v>
      </c>
      <c r="E979" s="26" t="s">
        <v>767</v>
      </c>
      <c r="F979" s="26" t="s">
        <v>58</v>
      </c>
      <c r="G979" s="119">
        <f>G980+G982</f>
        <v>98960</v>
      </c>
      <c r="H979" s="119">
        <f t="shared" ref="H979:I979" si="685">H980+H982</f>
        <v>98960</v>
      </c>
      <c r="I979" s="119">
        <f t="shared" si="685"/>
        <v>98960</v>
      </c>
      <c r="J979" s="16">
        <f>'БА в тыс. руб.'!G979*1000</f>
        <v>98960.000000000015</v>
      </c>
      <c r="K979" s="169">
        <f t="shared" si="677"/>
        <v>0</v>
      </c>
      <c r="L979" s="16">
        <f>'БА в тыс. руб.'!H979*1000</f>
        <v>98960.000000000015</v>
      </c>
      <c r="M979" s="169">
        <f t="shared" si="678"/>
        <v>0</v>
      </c>
      <c r="N979" s="16">
        <f>'БА в тыс. руб.'!I979*1000</f>
        <v>98960.000000000015</v>
      </c>
      <c r="O979" s="169">
        <f t="shared" si="679"/>
        <v>0</v>
      </c>
    </row>
    <row r="980" spans="1:15" s="33" customFormat="1" ht="25.5">
      <c r="A980" s="11" t="s">
        <v>108</v>
      </c>
      <c r="B980" s="25" t="s">
        <v>62</v>
      </c>
      <c r="C980" s="26" t="s">
        <v>14</v>
      </c>
      <c r="D980" s="26" t="s">
        <v>2</v>
      </c>
      <c r="E980" s="26" t="s">
        <v>767</v>
      </c>
      <c r="F980" s="26" t="s">
        <v>116</v>
      </c>
      <c r="G980" s="119">
        <f>G981</f>
        <v>71690</v>
      </c>
      <c r="H980" s="119">
        <f t="shared" ref="H980:I980" si="686">H981</f>
        <v>71690</v>
      </c>
      <c r="I980" s="119">
        <f t="shared" si="686"/>
        <v>71690</v>
      </c>
      <c r="J980" s="16">
        <f>'БА в тыс. руб.'!G980*1000</f>
        <v>71690</v>
      </c>
      <c r="K980" s="169">
        <f t="shared" si="677"/>
        <v>0</v>
      </c>
      <c r="L980" s="16">
        <f>'БА в тыс. руб.'!H980*1000</f>
        <v>71690</v>
      </c>
      <c r="M980" s="169">
        <f t="shared" si="678"/>
        <v>0</v>
      </c>
      <c r="N980" s="16">
        <f>'БА в тыс. руб.'!I980*1000</f>
        <v>71690</v>
      </c>
      <c r="O980" s="169">
        <f t="shared" si="679"/>
        <v>0</v>
      </c>
    </row>
    <row r="981" spans="1:15" s="125" customFormat="1" ht="25.5">
      <c r="A981" s="12" t="s">
        <v>973</v>
      </c>
      <c r="B981" s="25" t="s">
        <v>62</v>
      </c>
      <c r="C981" s="26" t="s">
        <v>14</v>
      </c>
      <c r="D981" s="26" t="s">
        <v>2</v>
      </c>
      <c r="E981" s="26" t="s">
        <v>767</v>
      </c>
      <c r="F981" s="26" t="s">
        <v>1043</v>
      </c>
      <c r="G981" s="27">
        <f t="shared" ref="G981" si="687">J981</f>
        <v>71690</v>
      </c>
      <c r="H981" s="27">
        <f>L981</f>
        <v>71690</v>
      </c>
      <c r="I981" s="27">
        <f>N981</f>
        <v>71690</v>
      </c>
      <c r="J981" s="16">
        <f>'БА в тыс. руб.'!G981*1000</f>
        <v>71690</v>
      </c>
      <c r="K981" s="169">
        <f t="shared" si="677"/>
        <v>0</v>
      </c>
      <c r="L981" s="16">
        <f>'БА в тыс. руб.'!H981*1000</f>
        <v>71690</v>
      </c>
      <c r="M981" s="169">
        <f t="shared" si="678"/>
        <v>0</v>
      </c>
      <c r="N981" s="16">
        <f>'БА в тыс. руб.'!I981*1000</f>
        <v>71690</v>
      </c>
      <c r="O981" s="169">
        <f t="shared" si="679"/>
        <v>0</v>
      </c>
    </row>
    <row r="982" spans="1:15" s="33" customFormat="1">
      <c r="A982" s="11" t="s">
        <v>97</v>
      </c>
      <c r="B982" s="25" t="s">
        <v>62</v>
      </c>
      <c r="C982" s="26" t="s">
        <v>14</v>
      </c>
      <c r="D982" s="26" t="s">
        <v>2</v>
      </c>
      <c r="E982" s="26" t="s">
        <v>767</v>
      </c>
      <c r="F982" s="26" t="s">
        <v>118</v>
      </c>
      <c r="G982" s="119">
        <f>SUM(G983:G984)</f>
        <v>27270</v>
      </c>
      <c r="H982" s="119">
        <f t="shared" ref="H982:I982" si="688">SUM(H983:H984)</f>
        <v>27270</v>
      </c>
      <c r="I982" s="119">
        <f t="shared" si="688"/>
        <v>27270</v>
      </c>
      <c r="J982" s="16">
        <f>'БА в тыс. руб.'!G982*1000</f>
        <v>27270.000000000004</v>
      </c>
      <c r="K982" s="169">
        <f t="shared" si="677"/>
        <v>0</v>
      </c>
      <c r="L982" s="16">
        <f>'БА в тыс. руб.'!H982*1000</f>
        <v>27270.000000000004</v>
      </c>
      <c r="M982" s="169">
        <f t="shared" si="678"/>
        <v>0</v>
      </c>
      <c r="N982" s="16">
        <f>'БА в тыс. руб.'!I982*1000</f>
        <v>27270.000000000004</v>
      </c>
      <c r="O982" s="169">
        <f t="shared" si="679"/>
        <v>0</v>
      </c>
    </row>
    <row r="983" spans="1:15" s="125" customFormat="1">
      <c r="A983" s="12" t="s">
        <v>1036</v>
      </c>
      <c r="B983" s="25" t="s">
        <v>62</v>
      </c>
      <c r="C983" s="26" t="s">
        <v>14</v>
      </c>
      <c r="D983" s="26" t="s">
        <v>2</v>
      </c>
      <c r="E983" s="26" t="s">
        <v>767</v>
      </c>
      <c r="F983" s="26" t="s">
        <v>1061</v>
      </c>
      <c r="G983" s="27">
        <f t="shared" ref="G983:G984" si="689">J983</f>
        <v>25100</v>
      </c>
      <c r="H983" s="27">
        <f t="shared" ref="H983:H984" si="690">L983</f>
        <v>25100</v>
      </c>
      <c r="I983" s="27">
        <f t="shared" ref="I983:I984" si="691">N983</f>
        <v>25100</v>
      </c>
      <c r="J983" s="16">
        <f>'БА в тыс. руб.'!G983*1000</f>
        <v>25100</v>
      </c>
      <c r="K983" s="169">
        <f t="shared" si="677"/>
        <v>0</v>
      </c>
      <c r="L983" s="16">
        <f>'БА в тыс. руб.'!H983*1000</f>
        <v>25100</v>
      </c>
      <c r="M983" s="169">
        <f t="shared" si="678"/>
        <v>0</v>
      </c>
      <c r="N983" s="16">
        <f>'БА в тыс. руб.'!I983*1000</f>
        <v>25100</v>
      </c>
      <c r="O983" s="169">
        <f t="shared" si="679"/>
        <v>0</v>
      </c>
    </row>
    <row r="984" spans="1:15" s="125" customFormat="1">
      <c r="A984" s="12" t="s">
        <v>1037</v>
      </c>
      <c r="B984" s="25" t="s">
        <v>62</v>
      </c>
      <c r="C984" s="26" t="s">
        <v>14</v>
      </c>
      <c r="D984" s="26" t="s">
        <v>2</v>
      </c>
      <c r="E984" s="26" t="s">
        <v>767</v>
      </c>
      <c r="F984" s="26" t="s">
        <v>1062</v>
      </c>
      <c r="G984" s="27">
        <f t="shared" si="689"/>
        <v>2170</v>
      </c>
      <c r="H984" s="27">
        <f t="shared" si="690"/>
        <v>2170</v>
      </c>
      <c r="I984" s="27">
        <f t="shared" si="691"/>
        <v>2170</v>
      </c>
      <c r="J984" s="16">
        <f>'БА в тыс. руб.'!G984*1000</f>
        <v>2170</v>
      </c>
      <c r="K984" s="169">
        <f t="shared" si="677"/>
        <v>0</v>
      </c>
      <c r="L984" s="16">
        <f>'БА в тыс. руб.'!H984*1000</f>
        <v>2170</v>
      </c>
      <c r="M984" s="169">
        <f t="shared" si="678"/>
        <v>0</v>
      </c>
      <c r="N984" s="16">
        <f>'БА в тыс. руб.'!I984*1000</f>
        <v>2170</v>
      </c>
      <c r="O984" s="169">
        <f t="shared" si="679"/>
        <v>0</v>
      </c>
    </row>
    <row r="985" spans="1:15" s="33" customFormat="1" ht="38.25">
      <c r="A985" s="31" t="s">
        <v>706</v>
      </c>
      <c r="B985" s="25" t="s">
        <v>62</v>
      </c>
      <c r="C985" s="26" t="s">
        <v>14</v>
      </c>
      <c r="D985" s="26" t="s">
        <v>2</v>
      </c>
      <c r="E985" s="26" t="s">
        <v>766</v>
      </c>
      <c r="F985" s="26" t="s">
        <v>58</v>
      </c>
      <c r="G985" s="119">
        <f>G986</f>
        <v>973250</v>
      </c>
      <c r="H985" s="119">
        <f t="shared" ref="H985:I986" si="692">H986</f>
        <v>875930</v>
      </c>
      <c r="I985" s="119">
        <f t="shared" si="692"/>
        <v>875930</v>
      </c>
      <c r="J985" s="16">
        <f>'БА в тыс. руб.'!G985*1000</f>
        <v>973250</v>
      </c>
      <c r="K985" s="169">
        <f t="shared" si="677"/>
        <v>0</v>
      </c>
      <c r="L985" s="16">
        <f>'БА в тыс. руб.'!H985*1000</f>
        <v>875930</v>
      </c>
      <c r="M985" s="169">
        <f t="shared" si="678"/>
        <v>0</v>
      </c>
      <c r="N985" s="16">
        <f>'БА в тыс. руб.'!I985*1000</f>
        <v>875930</v>
      </c>
      <c r="O985" s="169">
        <f t="shared" si="679"/>
        <v>0</v>
      </c>
    </row>
    <row r="986" spans="1:15" s="33" customFormat="1" ht="25.5">
      <c r="A986" s="31" t="s">
        <v>108</v>
      </c>
      <c r="B986" s="25" t="s">
        <v>62</v>
      </c>
      <c r="C986" s="26" t="s">
        <v>14</v>
      </c>
      <c r="D986" s="26" t="s">
        <v>2</v>
      </c>
      <c r="E986" s="26" t="s">
        <v>766</v>
      </c>
      <c r="F986" s="26" t="s">
        <v>116</v>
      </c>
      <c r="G986" s="119">
        <f>G987</f>
        <v>973250</v>
      </c>
      <c r="H986" s="119">
        <f t="shared" si="692"/>
        <v>875930</v>
      </c>
      <c r="I986" s="119">
        <f t="shared" si="692"/>
        <v>875930</v>
      </c>
      <c r="J986" s="16">
        <f>'БА в тыс. руб.'!G986*1000</f>
        <v>973250</v>
      </c>
      <c r="K986" s="169">
        <f t="shared" si="677"/>
        <v>0</v>
      </c>
      <c r="L986" s="16">
        <f>'БА в тыс. руб.'!H986*1000</f>
        <v>875930</v>
      </c>
      <c r="M986" s="169">
        <f t="shared" si="678"/>
        <v>0</v>
      </c>
      <c r="N986" s="16">
        <f>'БА в тыс. руб.'!I986*1000</f>
        <v>875930</v>
      </c>
      <c r="O986" s="169">
        <f t="shared" si="679"/>
        <v>0</v>
      </c>
    </row>
    <row r="987" spans="1:15" s="125" customFormat="1" ht="25.5">
      <c r="A987" s="12" t="s">
        <v>973</v>
      </c>
      <c r="B987" s="25" t="s">
        <v>62</v>
      </c>
      <c r="C987" s="26" t="s">
        <v>14</v>
      </c>
      <c r="D987" s="26" t="s">
        <v>2</v>
      </c>
      <c r="E987" s="26" t="s">
        <v>766</v>
      </c>
      <c r="F987" s="26" t="s">
        <v>1043</v>
      </c>
      <c r="G987" s="27">
        <f t="shared" ref="G987" si="693">J987</f>
        <v>973250</v>
      </c>
      <c r="H987" s="27">
        <f>L987</f>
        <v>875930</v>
      </c>
      <c r="I987" s="27">
        <f>N987</f>
        <v>875930</v>
      </c>
      <c r="J987" s="16">
        <f>'БА в тыс. руб.'!G987*1000</f>
        <v>973250</v>
      </c>
      <c r="K987" s="169">
        <f t="shared" si="677"/>
        <v>0</v>
      </c>
      <c r="L987" s="16">
        <f>'БА в тыс. руб.'!H987*1000</f>
        <v>875930</v>
      </c>
      <c r="M987" s="169">
        <f t="shared" si="678"/>
        <v>0</v>
      </c>
      <c r="N987" s="16">
        <f>'БА в тыс. руб.'!I987*1000</f>
        <v>875930</v>
      </c>
      <c r="O987" s="169">
        <f t="shared" si="679"/>
        <v>0</v>
      </c>
    </row>
    <row r="988" spans="1:15" s="33" customFormat="1" ht="25.5">
      <c r="A988" s="120" t="s">
        <v>186</v>
      </c>
      <c r="B988" s="25" t="s">
        <v>62</v>
      </c>
      <c r="C988" s="26" t="s">
        <v>14</v>
      </c>
      <c r="D988" s="26" t="s">
        <v>2</v>
      </c>
      <c r="E988" s="25" t="s">
        <v>443</v>
      </c>
      <c r="F988" s="26" t="s">
        <v>58</v>
      </c>
      <c r="G988" s="121">
        <f>G989</f>
        <v>61825860</v>
      </c>
      <c r="H988" s="121">
        <f t="shared" ref="H988:I988" si="694">H989</f>
        <v>61855260</v>
      </c>
      <c r="I988" s="121">
        <f t="shared" si="694"/>
        <v>61855260</v>
      </c>
      <c r="J988" s="16">
        <f>'БА в тыс. руб.'!G988*1000</f>
        <v>61825860</v>
      </c>
      <c r="K988" s="169">
        <f t="shared" si="677"/>
        <v>0</v>
      </c>
      <c r="L988" s="16">
        <f>'БА в тыс. руб.'!H988*1000</f>
        <v>61855260.000000007</v>
      </c>
      <c r="M988" s="169">
        <f t="shared" si="678"/>
        <v>0</v>
      </c>
      <c r="N988" s="16">
        <f>'БА в тыс. руб.'!I988*1000</f>
        <v>61855260.000000007</v>
      </c>
      <c r="O988" s="169">
        <f t="shared" si="679"/>
        <v>0</v>
      </c>
    </row>
    <row r="989" spans="1:15" s="33" customFormat="1" ht="38.25">
      <c r="A989" s="120" t="s">
        <v>189</v>
      </c>
      <c r="B989" s="25" t="s">
        <v>62</v>
      </c>
      <c r="C989" s="26" t="s">
        <v>14</v>
      </c>
      <c r="D989" s="26" t="s">
        <v>2</v>
      </c>
      <c r="E989" s="25" t="s">
        <v>444</v>
      </c>
      <c r="F989" s="26" t="s">
        <v>58</v>
      </c>
      <c r="G989" s="121">
        <f>G990+G998+G1002+G1007</f>
        <v>61825860</v>
      </c>
      <c r="H989" s="121">
        <f>H990+H998+H1002+H1007</f>
        <v>61855260</v>
      </c>
      <c r="I989" s="121">
        <f>I990+I998+I1002+I1007</f>
        <v>61855260</v>
      </c>
      <c r="J989" s="16">
        <f>'БА в тыс. руб.'!G989*1000</f>
        <v>61825860</v>
      </c>
      <c r="K989" s="169">
        <f t="shared" si="677"/>
        <v>0</v>
      </c>
      <c r="L989" s="16">
        <f>'БА в тыс. руб.'!H989*1000</f>
        <v>61855260.000000007</v>
      </c>
      <c r="M989" s="169">
        <f t="shared" si="678"/>
        <v>0</v>
      </c>
      <c r="N989" s="16">
        <f>'БА в тыс. руб.'!I989*1000</f>
        <v>61855260.000000007</v>
      </c>
      <c r="O989" s="169">
        <f t="shared" si="679"/>
        <v>0</v>
      </c>
    </row>
    <row r="990" spans="1:15" s="33" customFormat="1" ht="25.5">
      <c r="A990" s="122" t="s">
        <v>114</v>
      </c>
      <c r="B990" s="25" t="s">
        <v>62</v>
      </c>
      <c r="C990" s="26" t="s">
        <v>14</v>
      </c>
      <c r="D990" s="26" t="s">
        <v>2</v>
      </c>
      <c r="E990" s="123" t="s">
        <v>445</v>
      </c>
      <c r="F990" s="26" t="s">
        <v>58</v>
      </c>
      <c r="G990" s="121">
        <f>G991+G994+G996</f>
        <v>846890</v>
      </c>
      <c r="H990" s="121">
        <f t="shared" ref="H990:I990" si="695">H991+H994+H996</f>
        <v>856030</v>
      </c>
      <c r="I990" s="121">
        <f t="shared" si="695"/>
        <v>856030</v>
      </c>
      <c r="J990" s="16">
        <f>'БА в тыс. руб.'!G990*1000</f>
        <v>846890</v>
      </c>
      <c r="K990" s="169">
        <f t="shared" si="677"/>
        <v>0</v>
      </c>
      <c r="L990" s="16">
        <f>'БА в тыс. руб.'!H990*1000</f>
        <v>856030.00000000012</v>
      </c>
      <c r="M990" s="169">
        <f t="shared" si="678"/>
        <v>0</v>
      </c>
      <c r="N990" s="16">
        <f>'БА в тыс. руб.'!I990*1000</f>
        <v>856030.00000000012</v>
      </c>
      <c r="O990" s="169">
        <f t="shared" si="679"/>
        <v>0</v>
      </c>
    </row>
    <row r="991" spans="1:15" s="33" customFormat="1" ht="25.5">
      <c r="A991" s="11" t="s">
        <v>107</v>
      </c>
      <c r="B991" s="25" t="s">
        <v>62</v>
      </c>
      <c r="C991" s="26" t="s">
        <v>14</v>
      </c>
      <c r="D991" s="26" t="s">
        <v>2</v>
      </c>
      <c r="E991" s="123" t="s">
        <v>445</v>
      </c>
      <c r="F991" s="26" t="s">
        <v>115</v>
      </c>
      <c r="G991" s="119">
        <f>SUM(G992:G993)</f>
        <v>132960</v>
      </c>
      <c r="H991" s="119">
        <f t="shared" ref="H991:I991" si="696">SUM(H992:H993)</f>
        <v>132960</v>
      </c>
      <c r="I991" s="119">
        <f t="shared" si="696"/>
        <v>132960</v>
      </c>
      <c r="J991" s="16">
        <f>'БА в тыс. руб.'!G991*1000</f>
        <v>132960</v>
      </c>
      <c r="K991" s="169">
        <f t="shared" si="677"/>
        <v>0</v>
      </c>
      <c r="L991" s="16">
        <f>'БА в тыс. руб.'!H991*1000</f>
        <v>132960</v>
      </c>
      <c r="M991" s="169">
        <f t="shared" si="678"/>
        <v>0</v>
      </c>
      <c r="N991" s="16">
        <f>'БА в тыс. руб.'!I991*1000</f>
        <v>132960</v>
      </c>
      <c r="O991" s="169">
        <f t="shared" si="679"/>
        <v>0</v>
      </c>
    </row>
    <row r="992" spans="1:15" s="33" customFormat="1" ht="25.5">
      <c r="A992" s="11" t="s">
        <v>937</v>
      </c>
      <c r="B992" s="25" t="s">
        <v>62</v>
      </c>
      <c r="C992" s="26" t="s">
        <v>14</v>
      </c>
      <c r="D992" s="26" t="s">
        <v>2</v>
      </c>
      <c r="E992" s="123" t="s">
        <v>445</v>
      </c>
      <c r="F992" s="26" t="s">
        <v>1059</v>
      </c>
      <c r="G992" s="27">
        <f t="shared" ref="G992:G993" si="697">J992</f>
        <v>102120</v>
      </c>
      <c r="H992" s="27">
        <f t="shared" ref="H992:H993" si="698">L992</f>
        <v>102120</v>
      </c>
      <c r="I992" s="27">
        <f t="shared" ref="I992:I993" si="699">N992</f>
        <v>102120</v>
      </c>
      <c r="J992" s="16">
        <f>'БА в тыс. руб.'!G992*1000</f>
        <v>102120</v>
      </c>
      <c r="K992" s="169">
        <f t="shared" si="677"/>
        <v>0</v>
      </c>
      <c r="L992" s="16">
        <f>'БА в тыс. руб.'!H992*1000</f>
        <v>102120</v>
      </c>
      <c r="M992" s="169">
        <f t="shared" si="678"/>
        <v>0</v>
      </c>
      <c r="N992" s="16">
        <f>'БА в тыс. руб.'!I992*1000</f>
        <v>102120</v>
      </c>
      <c r="O992" s="169">
        <f t="shared" si="679"/>
        <v>0</v>
      </c>
    </row>
    <row r="993" spans="1:15" s="33" customFormat="1" ht="38.25">
      <c r="A993" s="11" t="s">
        <v>939</v>
      </c>
      <c r="B993" s="25" t="s">
        <v>62</v>
      </c>
      <c r="C993" s="26" t="s">
        <v>14</v>
      </c>
      <c r="D993" s="26" t="s">
        <v>2</v>
      </c>
      <c r="E993" s="123" t="s">
        <v>445</v>
      </c>
      <c r="F993" s="26" t="s">
        <v>1060</v>
      </c>
      <c r="G993" s="27">
        <f t="shared" si="697"/>
        <v>30840</v>
      </c>
      <c r="H993" s="27">
        <f t="shared" si="698"/>
        <v>30840</v>
      </c>
      <c r="I993" s="27">
        <f t="shared" si="699"/>
        <v>30840</v>
      </c>
      <c r="J993" s="16">
        <f>'БА в тыс. руб.'!G993*1000</f>
        <v>30840</v>
      </c>
      <c r="K993" s="169">
        <f t="shared" si="677"/>
        <v>0</v>
      </c>
      <c r="L993" s="16">
        <f>'БА в тыс. руб.'!H993*1000</f>
        <v>30840</v>
      </c>
      <c r="M993" s="169">
        <f t="shared" si="678"/>
        <v>0</v>
      </c>
      <c r="N993" s="16">
        <f>'БА в тыс. руб.'!I993*1000</f>
        <v>30840</v>
      </c>
      <c r="O993" s="169">
        <f t="shared" si="679"/>
        <v>0</v>
      </c>
    </row>
    <row r="994" spans="1:15" s="33" customFormat="1" ht="25.5">
      <c r="A994" s="11" t="s">
        <v>108</v>
      </c>
      <c r="B994" s="25" t="s">
        <v>62</v>
      </c>
      <c r="C994" s="26" t="s">
        <v>14</v>
      </c>
      <c r="D994" s="26" t="s">
        <v>2</v>
      </c>
      <c r="E994" s="123" t="s">
        <v>445</v>
      </c>
      <c r="F994" s="26" t="s">
        <v>116</v>
      </c>
      <c r="G994" s="119">
        <f>G995</f>
        <v>703930</v>
      </c>
      <c r="H994" s="119">
        <f t="shared" ref="H994:I994" si="700">H995</f>
        <v>713070</v>
      </c>
      <c r="I994" s="119">
        <f t="shared" si="700"/>
        <v>713070</v>
      </c>
      <c r="J994" s="16">
        <f>'БА в тыс. руб.'!G994*1000</f>
        <v>703930</v>
      </c>
      <c r="K994" s="169">
        <f t="shared" si="677"/>
        <v>0</v>
      </c>
      <c r="L994" s="16">
        <f>'БА в тыс. руб.'!H994*1000</f>
        <v>713070</v>
      </c>
      <c r="M994" s="169">
        <f t="shared" si="678"/>
        <v>0</v>
      </c>
      <c r="N994" s="16">
        <f>'БА в тыс. руб.'!I994*1000</f>
        <v>713070</v>
      </c>
      <c r="O994" s="169">
        <f t="shared" si="679"/>
        <v>0</v>
      </c>
    </row>
    <row r="995" spans="1:15" s="105" customFormat="1" ht="25.5">
      <c r="A995" s="12" t="s">
        <v>973</v>
      </c>
      <c r="B995" s="25" t="s">
        <v>62</v>
      </c>
      <c r="C995" s="26" t="s">
        <v>14</v>
      </c>
      <c r="D995" s="26" t="s">
        <v>2</v>
      </c>
      <c r="E995" s="123" t="s">
        <v>445</v>
      </c>
      <c r="F995" s="26" t="s">
        <v>1043</v>
      </c>
      <c r="G995" s="27">
        <f t="shared" ref="G995" si="701">J995</f>
        <v>703930</v>
      </c>
      <c r="H995" s="27">
        <f>L995</f>
        <v>713070</v>
      </c>
      <c r="I995" s="27">
        <f>N995</f>
        <v>713070</v>
      </c>
      <c r="J995" s="16">
        <f>'БА в тыс. руб.'!G995*1000</f>
        <v>703930</v>
      </c>
      <c r="K995" s="169">
        <f t="shared" si="677"/>
        <v>0</v>
      </c>
      <c r="L995" s="16">
        <f>'БА в тыс. руб.'!H995*1000</f>
        <v>713070</v>
      </c>
      <c r="M995" s="169">
        <f t="shared" si="678"/>
        <v>0</v>
      </c>
      <c r="N995" s="16">
        <f>'БА в тыс. руб.'!I995*1000</f>
        <v>713070</v>
      </c>
      <c r="O995" s="169">
        <f t="shared" si="679"/>
        <v>0</v>
      </c>
    </row>
    <row r="996" spans="1:15" s="33" customFormat="1">
      <c r="A996" s="11" t="s">
        <v>97</v>
      </c>
      <c r="B996" s="25" t="s">
        <v>62</v>
      </c>
      <c r="C996" s="26" t="s">
        <v>14</v>
      </c>
      <c r="D996" s="26" t="s">
        <v>2</v>
      </c>
      <c r="E996" s="123" t="s">
        <v>445</v>
      </c>
      <c r="F996" s="26" t="s">
        <v>118</v>
      </c>
      <c r="G996" s="119">
        <f>G997</f>
        <v>10000</v>
      </c>
      <c r="H996" s="119">
        <f t="shared" ref="H996:I996" si="702">H997</f>
        <v>10000</v>
      </c>
      <c r="I996" s="119">
        <f t="shared" si="702"/>
        <v>10000</v>
      </c>
      <c r="J996" s="16">
        <f>'БА в тыс. руб.'!G996*1000</f>
        <v>10000</v>
      </c>
      <c r="K996" s="169">
        <f t="shared" si="677"/>
        <v>0</v>
      </c>
      <c r="L996" s="16">
        <f>'БА в тыс. руб.'!H996*1000</f>
        <v>10000</v>
      </c>
      <c r="M996" s="169">
        <f t="shared" si="678"/>
        <v>0</v>
      </c>
      <c r="N996" s="16">
        <f>'БА в тыс. руб.'!I996*1000</f>
        <v>10000</v>
      </c>
      <c r="O996" s="169">
        <f t="shared" si="679"/>
        <v>0</v>
      </c>
    </row>
    <row r="997" spans="1:15" s="33" customFormat="1">
      <c r="A997" s="11" t="s">
        <v>1037</v>
      </c>
      <c r="B997" s="25" t="s">
        <v>62</v>
      </c>
      <c r="C997" s="26" t="s">
        <v>14</v>
      </c>
      <c r="D997" s="26" t="s">
        <v>2</v>
      </c>
      <c r="E997" s="123" t="s">
        <v>445</v>
      </c>
      <c r="F997" s="26" t="s">
        <v>1062</v>
      </c>
      <c r="G997" s="27">
        <f t="shared" ref="G997" si="703">J997</f>
        <v>10000</v>
      </c>
      <c r="H997" s="27">
        <f>L997</f>
        <v>10000</v>
      </c>
      <c r="I997" s="27">
        <f>N997</f>
        <v>10000</v>
      </c>
      <c r="J997" s="16">
        <f>'БА в тыс. руб.'!G997*1000</f>
        <v>10000</v>
      </c>
      <c r="K997" s="169">
        <f t="shared" si="677"/>
        <v>0</v>
      </c>
      <c r="L997" s="16">
        <f>'БА в тыс. руб.'!H997*1000</f>
        <v>10000</v>
      </c>
      <c r="M997" s="169">
        <f t="shared" si="678"/>
        <v>0</v>
      </c>
      <c r="N997" s="16">
        <f>'БА в тыс. руб.'!I997*1000</f>
        <v>10000</v>
      </c>
      <c r="O997" s="169">
        <f t="shared" si="679"/>
        <v>0</v>
      </c>
    </row>
    <row r="998" spans="1:15" s="33" customFormat="1" ht="25.5">
      <c r="A998" s="122" t="s">
        <v>126</v>
      </c>
      <c r="B998" s="25" t="s">
        <v>62</v>
      </c>
      <c r="C998" s="26" t="s">
        <v>14</v>
      </c>
      <c r="D998" s="26" t="s">
        <v>2</v>
      </c>
      <c r="E998" s="123" t="s">
        <v>446</v>
      </c>
      <c r="F998" s="26" t="s">
        <v>58</v>
      </c>
      <c r="G998" s="121">
        <f>G999</f>
        <v>6126950</v>
      </c>
      <c r="H998" s="121">
        <f>H999</f>
        <v>6126950</v>
      </c>
      <c r="I998" s="121">
        <f>I999</f>
        <v>6126950</v>
      </c>
      <c r="J998" s="16">
        <f>'БА в тыс. руб.'!G998*1000</f>
        <v>6126950.0000000009</v>
      </c>
      <c r="K998" s="169">
        <f t="shared" si="677"/>
        <v>0</v>
      </c>
      <c r="L998" s="16">
        <f>'БА в тыс. руб.'!H998*1000</f>
        <v>6126950.0000000009</v>
      </c>
      <c r="M998" s="169">
        <f t="shared" si="678"/>
        <v>0</v>
      </c>
      <c r="N998" s="16">
        <f>'БА в тыс. руб.'!I998*1000</f>
        <v>6126950.0000000009</v>
      </c>
      <c r="O998" s="169">
        <f t="shared" si="679"/>
        <v>0</v>
      </c>
    </row>
    <row r="999" spans="1:15" s="33" customFormat="1" ht="25.5">
      <c r="A999" s="11" t="s">
        <v>107</v>
      </c>
      <c r="B999" s="25" t="s">
        <v>62</v>
      </c>
      <c r="C999" s="26" t="s">
        <v>14</v>
      </c>
      <c r="D999" s="26" t="s">
        <v>2</v>
      </c>
      <c r="E999" s="123" t="s">
        <v>446</v>
      </c>
      <c r="F999" s="26" t="s">
        <v>115</v>
      </c>
      <c r="G999" s="119">
        <f>SUM(G1000:G1001)</f>
        <v>6126950</v>
      </c>
      <c r="H999" s="119">
        <f t="shared" ref="H999:I999" si="704">SUM(H1000:H1001)</f>
        <v>6126950</v>
      </c>
      <c r="I999" s="119">
        <f t="shared" si="704"/>
        <v>6126950</v>
      </c>
      <c r="J999" s="16">
        <f>'БА в тыс. руб.'!G999*1000</f>
        <v>6126950.0000000009</v>
      </c>
      <c r="K999" s="169">
        <f t="shared" si="677"/>
        <v>0</v>
      </c>
      <c r="L999" s="16">
        <f>'БА в тыс. руб.'!H999*1000</f>
        <v>6126950.0000000009</v>
      </c>
      <c r="M999" s="169">
        <f t="shared" si="678"/>
        <v>0</v>
      </c>
      <c r="N999" s="16">
        <f>'БА в тыс. руб.'!I999*1000</f>
        <v>6126950.0000000009</v>
      </c>
      <c r="O999" s="169">
        <f t="shared" si="679"/>
        <v>0</v>
      </c>
    </row>
    <row r="1000" spans="1:15" s="33" customFormat="1">
      <c r="A1000" s="11" t="s">
        <v>936</v>
      </c>
      <c r="B1000" s="25" t="s">
        <v>62</v>
      </c>
      <c r="C1000" s="26" t="s">
        <v>14</v>
      </c>
      <c r="D1000" s="26" t="s">
        <v>2</v>
      </c>
      <c r="E1000" s="123" t="s">
        <v>446</v>
      </c>
      <c r="F1000" s="26" t="s">
        <v>1063</v>
      </c>
      <c r="G1000" s="27">
        <f t="shared" ref="G1000:G1001" si="705">J1000</f>
        <v>4705800</v>
      </c>
      <c r="H1000" s="27">
        <f t="shared" ref="H1000:H1001" si="706">L1000</f>
        <v>4705800</v>
      </c>
      <c r="I1000" s="27">
        <f t="shared" ref="I1000:I1001" si="707">N1000</f>
        <v>4705800</v>
      </c>
      <c r="J1000" s="16">
        <f>'БА в тыс. руб.'!G1000*1000</f>
        <v>4705800</v>
      </c>
      <c r="K1000" s="169">
        <f t="shared" si="677"/>
        <v>0</v>
      </c>
      <c r="L1000" s="16">
        <f>'БА в тыс. руб.'!H1000*1000</f>
        <v>4705800</v>
      </c>
      <c r="M1000" s="169">
        <f t="shared" si="678"/>
        <v>0</v>
      </c>
      <c r="N1000" s="16">
        <f>'БА в тыс. руб.'!I1000*1000</f>
        <v>4705800</v>
      </c>
      <c r="O1000" s="169">
        <f t="shared" si="679"/>
        <v>0</v>
      </c>
    </row>
    <row r="1001" spans="1:15" s="33" customFormat="1" ht="38.25">
      <c r="A1001" s="11" t="s">
        <v>939</v>
      </c>
      <c r="B1001" s="25" t="s">
        <v>62</v>
      </c>
      <c r="C1001" s="26" t="s">
        <v>14</v>
      </c>
      <c r="D1001" s="26" t="s">
        <v>2</v>
      </c>
      <c r="E1001" s="123" t="s">
        <v>446</v>
      </c>
      <c r="F1001" s="26" t="s">
        <v>1060</v>
      </c>
      <c r="G1001" s="27">
        <f t="shared" si="705"/>
        <v>1421150</v>
      </c>
      <c r="H1001" s="27">
        <f t="shared" si="706"/>
        <v>1421150</v>
      </c>
      <c r="I1001" s="27">
        <f t="shared" si="707"/>
        <v>1421150</v>
      </c>
      <c r="J1001" s="16">
        <f>'БА в тыс. руб.'!G1001*1000</f>
        <v>1421150</v>
      </c>
      <c r="K1001" s="169">
        <f t="shared" si="677"/>
        <v>0</v>
      </c>
      <c r="L1001" s="16">
        <f>'БА в тыс. руб.'!H1001*1000</f>
        <v>1421150</v>
      </c>
      <c r="M1001" s="169">
        <f t="shared" si="678"/>
        <v>0</v>
      </c>
      <c r="N1001" s="16">
        <f>'БА в тыс. руб.'!I1001*1000</f>
        <v>1421150</v>
      </c>
      <c r="O1001" s="169">
        <f t="shared" si="679"/>
        <v>0</v>
      </c>
    </row>
    <row r="1002" spans="1:15" s="33" customFormat="1" ht="51">
      <c r="A1002" s="122" t="s">
        <v>599</v>
      </c>
      <c r="B1002" s="25" t="s">
        <v>62</v>
      </c>
      <c r="C1002" s="26" t="s">
        <v>14</v>
      </c>
      <c r="D1002" s="26" t="s">
        <v>2</v>
      </c>
      <c r="E1002" s="123" t="s">
        <v>447</v>
      </c>
      <c r="F1002" s="26" t="s">
        <v>58</v>
      </c>
      <c r="G1002" s="121">
        <f>G1003</f>
        <v>1452290</v>
      </c>
      <c r="H1002" s="121">
        <f>H1003</f>
        <v>1452290</v>
      </c>
      <c r="I1002" s="121">
        <f>I1003</f>
        <v>1452290</v>
      </c>
      <c r="J1002" s="16">
        <f>'БА в тыс. руб.'!G1002*1000</f>
        <v>1452290</v>
      </c>
      <c r="K1002" s="169">
        <f t="shared" si="677"/>
        <v>0</v>
      </c>
      <c r="L1002" s="16">
        <f>'БА в тыс. руб.'!H1002*1000</f>
        <v>1452290</v>
      </c>
      <c r="M1002" s="169">
        <f t="shared" si="678"/>
        <v>0</v>
      </c>
      <c r="N1002" s="16">
        <f>'БА в тыс. руб.'!I1002*1000</f>
        <v>1452290</v>
      </c>
      <c r="O1002" s="169">
        <f t="shared" si="679"/>
        <v>0</v>
      </c>
    </row>
    <row r="1003" spans="1:15" s="33" customFormat="1" ht="25.5">
      <c r="A1003" s="11" t="s">
        <v>107</v>
      </c>
      <c r="B1003" s="25" t="s">
        <v>62</v>
      </c>
      <c r="C1003" s="26" t="s">
        <v>14</v>
      </c>
      <c r="D1003" s="26" t="s">
        <v>2</v>
      </c>
      <c r="E1003" s="123" t="s">
        <v>447</v>
      </c>
      <c r="F1003" s="26" t="s">
        <v>115</v>
      </c>
      <c r="G1003" s="119">
        <f>SUM(G1004:G1006)</f>
        <v>1452290</v>
      </c>
      <c r="H1003" s="119">
        <f t="shared" ref="H1003:I1003" si="708">SUM(H1004:H1006)</f>
        <v>1452290</v>
      </c>
      <c r="I1003" s="119">
        <f t="shared" si="708"/>
        <v>1452290</v>
      </c>
      <c r="J1003" s="16">
        <f>'БА в тыс. руб.'!G1003*1000</f>
        <v>1452290</v>
      </c>
      <c r="K1003" s="169">
        <f t="shared" si="677"/>
        <v>0</v>
      </c>
      <c r="L1003" s="16">
        <f>'БА в тыс. руб.'!H1003*1000</f>
        <v>1452290</v>
      </c>
      <c r="M1003" s="169">
        <f t="shared" si="678"/>
        <v>0</v>
      </c>
      <c r="N1003" s="16">
        <f>'БА в тыс. руб.'!I1003*1000</f>
        <v>1452290</v>
      </c>
      <c r="O1003" s="169">
        <f t="shared" si="679"/>
        <v>0</v>
      </c>
    </row>
    <row r="1004" spans="1:15" s="33" customFormat="1">
      <c r="A1004" s="11" t="s">
        <v>936</v>
      </c>
      <c r="B1004" s="25" t="s">
        <v>62</v>
      </c>
      <c r="C1004" s="26" t="s">
        <v>14</v>
      </c>
      <c r="D1004" s="26" t="s">
        <v>2</v>
      </c>
      <c r="E1004" s="123" t="s">
        <v>447</v>
      </c>
      <c r="F1004" s="26" t="s">
        <v>1063</v>
      </c>
      <c r="G1004" s="27">
        <f t="shared" ref="G1004:G1006" si="709">J1004</f>
        <v>1077130</v>
      </c>
      <c r="H1004" s="27">
        <f t="shared" ref="H1004:H1006" si="710">L1004</f>
        <v>1077130</v>
      </c>
      <c r="I1004" s="27">
        <f t="shared" ref="I1004:I1006" si="711">N1004</f>
        <v>1077130</v>
      </c>
      <c r="J1004" s="16">
        <f>'БА в тыс. руб.'!G1004*1000</f>
        <v>1077130</v>
      </c>
      <c r="K1004" s="169">
        <f t="shared" si="677"/>
        <v>0</v>
      </c>
      <c r="L1004" s="16">
        <f>'БА в тыс. руб.'!H1004*1000</f>
        <v>1077130</v>
      </c>
      <c r="M1004" s="169">
        <f t="shared" si="678"/>
        <v>0</v>
      </c>
      <c r="N1004" s="16">
        <f>'БА в тыс. руб.'!I1004*1000</f>
        <v>1077130</v>
      </c>
      <c r="O1004" s="169">
        <f t="shared" si="679"/>
        <v>0</v>
      </c>
    </row>
    <row r="1005" spans="1:15" s="33" customFormat="1" ht="25.5">
      <c r="A1005" s="11" t="s">
        <v>937</v>
      </c>
      <c r="B1005" s="25" t="s">
        <v>62</v>
      </c>
      <c r="C1005" s="26" t="s">
        <v>14</v>
      </c>
      <c r="D1005" s="26" t="s">
        <v>2</v>
      </c>
      <c r="E1005" s="123" t="s">
        <v>447</v>
      </c>
      <c r="F1005" s="26" t="s">
        <v>1059</v>
      </c>
      <c r="G1005" s="27">
        <f t="shared" si="709"/>
        <v>38300</v>
      </c>
      <c r="H1005" s="27">
        <f t="shared" si="710"/>
        <v>38300</v>
      </c>
      <c r="I1005" s="27">
        <f t="shared" si="711"/>
        <v>38300</v>
      </c>
      <c r="J1005" s="16">
        <f>'БА в тыс. руб.'!G1005*1000</f>
        <v>38300</v>
      </c>
      <c r="K1005" s="169"/>
      <c r="L1005" s="16">
        <f>'БА в тыс. руб.'!H1005*1000</f>
        <v>38300</v>
      </c>
      <c r="M1005" s="169"/>
      <c r="N1005" s="16">
        <f>'БА в тыс. руб.'!I1005*1000</f>
        <v>38300</v>
      </c>
      <c r="O1005" s="169"/>
    </row>
    <row r="1006" spans="1:15" s="33" customFormat="1" ht="38.25">
      <c r="A1006" s="11" t="s">
        <v>939</v>
      </c>
      <c r="B1006" s="25" t="s">
        <v>62</v>
      </c>
      <c r="C1006" s="26" t="s">
        <v>14</v>
      </c>
      <c r="D1006" s="26" t="s">
        <v>2</v>
      </c>
      <c r="E1006" s="123" t="s">
        <v>447</v>
      </c>
      <c r="F1006" s="26" t="s">
        <v>1060</v>
      </c>
      <c r="G1006" s="27">
        <f t="shared" si="709"/>
        <v>336860</v>
      </c>
      <c r="H1006" s="27">
        <f t="shared" si="710"/>
        <v>336860</v>
      </c>
      <c r="I1006" s="27">
        <f t="shared" si="711"/>
        <v>336860</v>
      </c>
      <c r="J1006" s="16">
        <f>'БА в тыс. руб.'!G1006*1000</f>
        <v>336860</v>
      </c>
      <c r="K1006" s="169">
        <f t="shared" si="677"/>
        <v>0</v>
      </c>
      <c r="L1006" s="16">
        <f>'БА в тыс. руб.'!H1006*1000</f>
        <v>336860</v>
      </c>
      <c r="M1006" s="169">
        <f t="shared" si="678"/>
        <v>0</v>
      </c>
      <c r="N1006" s="16">
        <f>'БА в тыс. руб.'!I1006*1000</f>
        <v>336860</v>
      </c>
      <c r="O1006" s="169">
        <f t="shared" si="679"/>
        <v>0</v>
      </c>
    </row>
    <row r="1007" spans="1:15" s="33" customFormat="1" ht="38.25">
      <c r="A1007" s="122" t="s">
        <v>600</v>
      </c>
      <c r="B1007" s="25" t="s">
        <v>62</v>
      </c>
      <c r="C1007" s="26" t="s">
        <v>14</v>
      </c>
      <c r="D1007" s="26" t="s">
        <v>2</v>
      </c>
      <c r="E1007" s="123" t="s">
        <v>448</v>
      </c>
      <c r="F1007" s="26" t="s">
        <v>58</v>
      </c>
      <c r="G1007" s="121">
        <f>G1008+G1012+G1014</f>
        <v>53399730</v>
      </c>
      <c r="H1007" s="121">
        <f>H1008+H1012+H1014</f>
        <v>53419990</v>
      </c>
      <c r="I1007" s="121">
        <f>I1008+I1012+I1014</f>
        <v>53419990</v>
      </c>
      <c r="J1007" s="16">
        <f>'БА в тыс. руб.'!G1007*1000</f>
        <v>53399730</v>
      </c>
      <c r="K1007" s="169">
        <f t="shared" si="677"/>
        <v>0</v>
      </c>
      <c r="L1007" s="16">
        <f>'БА в тыс. руб.'!H1007*1000</f>
        <v>53419990.000000007</v>
      </c>
      <c r="M1007" s="169">
        <f t="shared" si="678"/>
        <v>0</v>
      </c>
      <c r="N1007" s="16">
        <f>'БА в тыс. руб.'!I1007*1000</f>
        <v>53419990.000000007</v>
      </c>
      <c r="O1007" s="169">
        <f t="shared" si="679"/>
        <v>0</v>
      </c>
    </row>
    <row r="1008" spans="1:15" s="33" customFormat="1" ht="25.5">
      <c r="A1008" s="11" t="s">
        <v>107</v>
      </c>
      <c r="B1008" s="25" t="s">
        <v>62</v>
      </c>
      <c r="C1008" s="26" t="s">
        <v>14</v>
      </c>
      <c r="D1008" s="26" t="s">
        <v>2</v>
      </c>
      <c r="E1008" s="123" t="s">
        <v>448</v>
      </c>
      <c r="F1008" s="26" t="s">
        <v>115</v>
      </c>
      <c r="G1008" s="119">
        <f>SUM(G1009:G1011)</f>
        <v>51830190</v>
      </c>
      <c r="H1008" s="119">
        <f>SUM(H1009:H1011)</f>
        <v>51830190</v>
      </c>
      <c r="I1008" s="119">
        <f>SUM(I1009:I1011)</f>
        <v>51830190</v>
      </c>
      <c r="J1008" s="16">
        <f>'БА в тыс. руб.'!G1008*1000</f>
        <v>51830190</v>
      </c>
      <c r="K1008" s="169">
        <f t="shared" si="677"/>
        <v>0</v>
      </c>
      <c r="L1008" s="16">
        <f>'БА в тыс. руб.'!H1008*1000</f>
        <v>51830190</v>
      </c>
      <c r="M1008" s="169">
        <f t="shared" si="678"/>
        <v>0</v>
      </c>
      <c r="N1008" s="16">
        <f>'БА в тыс. руб.'!I1008*1000</f>
        <v>51830190</v>
      </c>
      <c r="O1008" s="169">
        <f t="shared" si="679"/>
        <v>0</v>
      </c>
    </row>
    <row r="1009" spans="1:15" s="33" customFormat="1">
      <c r="A1009" s="11" t="s">
        <v>936</v>
      </c>
      <c r="B1009" s="25" t="s">
        <v>62</v>
      </c>
      <c r="C1009" s="26" t="s">
        <v>14</v>
      </c>
      <c r="D1009" s="26" t="s">
        <v>2</v>
      </c>
      <c r="E1009" s="123" t="s">
        <v>448</v>
      </c>
      <c r="F1009" s="26" t="s">
        <v>1063</v>
      </c>
      <c r="G1009" s="27">
        <f t="shared" ref="G1009:G1011" si="712">J1009</f>
        <v>38700000</v>
      </c>
      <c r="H1009" s="27">
        <f t="shared" ref="H1009:H1011" si="713">L1009</f>
        <v>38700000</v>
      </c>
      <c r="I1009" s="27">
        <f t="shared" ref="I1009:I1011" si="714">N1009</f>
        <v>38700000</v>
      </c>
      <c r="J1009" s="16">
        <f>'БА в тыс. руб.'!G1009*1000</f>
        <v>38700000</v>
      </c>
      <c r="K1009" s="169">
        <f t="shared" si="677"/>
        <v>0</v>
      </c>
      <c r="L1009" s="16">
        <f>'БА в тыс. руб.'!H1009*1000</f>
        <v>38700000</v>
      </c>
      <c r="M1009" s="169">
        <f t="shared" si="678"/>
        <v>0</v>
      </c>
      <c r="N1009" s="16">
        <f>'БА в тыс. руб.'!I1009*1000</f>
        <v>38700000</v>
      </c>
      <c r="O1009" s="169">
        <f t="shared" si="679"/>
        <v>0</v>
      </c>
    </row>
    <row r="1010" spans="1:15" s="33" customFormat="1" ht="25.5">
      <c r="A1010" s="11" t="s">
        <v>937</v>
      </c>
      <c r="B1010" s="25" t="s">
        <v>62</v>
      </c>
      <c r="C1010" s="26" t="s">
        <v>14</v>
      </c>
      <c r="D1010" s="26" t="s">
        <v>2</v>
      </c>
      <c r="E1010" s="123" t="s">
        <v>448</v>
      </c>
      <c r="F1010" s="26" t="s">
        <v>1059</v>
      </c>
      <c r="G1010" s="27">
        <f t="shared" si="712"/>
        <v>1404150</v>
      </c>
      <c r="H1010" s="27">
        <f t="shared" si="713"/>
        <v>1404150</v>
      </c>
      <c r="I1010" s="27">
        <f t="shared" si="714"/>
        <v>1404150</v>
      </c>
      <c r="J1010" s="16">
        <f>'БА в тыс. руб.'!G1010*1000</f>
        <v>1404150</v>
      </c>
      <c r="K1010" s="169">
        <f t="shared" si="677"/>
        <v>0</v>
      </c>
      <c r="L1010" s="16">
        <f>'БА в тыс. руб.'!H1010*1000</f>
        <v>1404150</v>
      </c>
      <c r="M1010" s="169">
        <f t="shared" si="678"/>
        <v>0</v>
      </c>
      <c r="N1010" s="16">
        <f>'БА в тыс. руб.'!I1010*1000</f>
        <v>1404150</v>
      </c>
      <c r="O1010" s="169">
        <f t="shared" si="679"/>
        <v>0</v>
      </c>
    </row>
    <row r="1011" spans="1:15" s="33" customFormat="1" ht="38.25">
      <c r="A1011" s="11" t="s">
        <v>939</v>
      </c>
      <c r="B1011" s="25" t="s">
        <v>62</v>
      </c>
      <c r="C1011" s="26" t="s">
        <v>14</v>
      </c>
      <c r="D1011" s="26" t="s">
        <v>2</v>
      </c>
      <c r="E1011" s="123" t="s">
        <v>448</v>
      </c>
      <c r="F1011" s="26" t="s">
        <v>1060</v>
      </c>
      <c r="G1011" s="27">
        <f t="shared" si="712"/>
        <v>11726040</v>
      </c>
      <c r="H1011" s="27">
        <f t="shared" si="713"/>
        <v>11726040</v>
      </c>
      <c r="I1011" s="27">
        <f t="shared" si="714"/>
        <v>11726040</v>
      </c>
      <c r="J1011" s="16">
        <f>'БА в тыс. руб.'!G1011*1000</f>
        <v>11726040</v>
      </c>
      <c r="K1011" s="169"/>
      <c r="L1011" s="16">
        <f>'БА в тыс. руб.'!H1011*1000</f>
        <v>11726040</v>
      </c>
      <c r="M1011" s="169"/>
      <c r="N1011" s="16">
        <f>'БА в тыс. руб.'!I1011*1000</f>
        <v>11726040</v>
      </c>
      <c r="O1011" s="169"/>
    </row>
    <row r="1012" spans="1:15" s="33" customFormat="1" ht="25.5">
      <c r="A1012" s="11" t="s">
        <v>108</v>
      </c>
      <c r="B1012" s="25" t="s">
        <v>62</v>
      </c>
      <c r="C1012" s="26" t="s">
        <v>14</v>
      </c>
      <c r="D1012" s="26" t="s">
        <v>2</v>
      </c>
      <c r="E1012" s="123" t="s">
        <v>448</v>
      </c>
      <c r="F1012" s="26" t="s">
        <v>116</v>
      </c>
      <c r="G1012" s="119">
        <f>G1013</f>
        <v>1459540</v>
      </c>
      <c r="H1012" s="119">
        <f t="shared" ref="H1012:I1012" si="715">H1013</f>
        <v>1479800</v>
      </c>
      <c r="I1012" s="119">
        <f t="shared" si="715"/>
        <v>1479800</v>
      </c>
      <c r="J1012" s="16">
        <f>'БА в тыс. руб.'!G1012*1000</f>
        <v>1459540</v>
      </c>
      <c r="K1012" s="169">
        <f t="shared" si="677"/>
        <v>0</v>
      </c>
      <c r="L1012" s="16">
        <f>'БА в тыс. руб.'!H1012*1000</f>
        <v>1479800</v>
      </c>
      <c r="M1012" s="169">
        <f t="shared" si="678"/>
        <v>0</v>
      </c>
      <c r="N1012" s="16">
        <f>'БА в тыс. руб.'!I1012*1000</f>
        <v>1479800</v>
      </c>
      <c r="O1012" s="169">
        <f t="shared" si="679"/>
        <v>0</v>
      </c>
    </row>
    <row r="1013" spans="1:15" s="105" customFormat="1" ht="25.5">
      <c r="A1013" s="12" t="s">
        <v>973</v>
      </c>
      <c r="B1013" s="25" t="s">
        <v>62</v>
      </c>
      <c r="C1013" s="26" t="s">
        <v>14</v>
      </c>
      <c r="D1013" s="26" t="s">
        <v>2</v>
      </c>
      <c r="E1013" s="123" t="s">
        <v>448</v>
      </c>
      <c r="F1013" s="26" t="s">
        <v>1043</v>
      </c>
      <c r="G1013" s="27">
        <f t="shared" ref="G1013" si="716">J1013</f>
        <v>1459540</v>
      </c>
      <c r="H1013" s="27">
        <f>L1013</f>
        <v>1479800</v>
      </c>
      <c r="I1013" s="27">
        <f>N1013</f>
        <v>1479800</v>
      </c>
      <c r="J1013" s="16">
        <f>'БА в тыс. руб.'!G1013*1000</f>
        <v>1459540</v>
      </c>
      <c r="K1013" s="169">
        <f t="shared" si="677"/>
        <v>0</v>
      </c>
      <c r="L1013" s="16">
        <f>'БА в тыс. руб.'!H1013*1000</f>
        <v>1479800</v>
      </c>
      <c r="M1013" s="169">
        <f t="shared" si="678"/>
        <v>0</v>
      </c>
      <c r="N1013" s="16">
        <f>'БА в тыс. руб.'!I1013*1000</f>
        <v>1479800</v>
      </c>
      <c r="O1013" s="169">
        <f t="shared" si="679"/>
        <v>0</v>
      </c>
    </row>
    <row r="1014" spans="1:15" s="33" customFormat="1">
      <c r="A1014" s="11" t="s">
        <v>97</v>
      </c>
      <c r="B1014" s="25" t="s">
        <v>62</v>
      </c>
      <c r="C1014" s="26" t="s">
        <v>14</v>
      </c>
      <c r="D1014" s="26" t="s">
        <v>2</v>
      </c>
      <c r="E1014" s="123" t="s">
        <v>448</v>
      </c>
      <c r="F1014" s="26" t="s">
        <v>118</v>
      </c>
      <c r="G1014" s="119">
        <f>SUM(G1015:G1016)</f>
        <v>110000</v>
      </c>
      <c r="H1014" s="119">
        <f t="shared" ref="H1014:I1014" si="717">SUM(H1015:H1016)</f>
        <v>110000</v>
      </c>
      <c r="I1014" s="119">
        <f t="shared" si="717"/>
        <v>110000</v>
      </c>
      <c r="J1014" s="16">
        <f>'БА в тыс. руб.'!G1014*1000</f>
        <v>110000</v>
      </c>
      <c r="K1014" s="169">
        <f t="shared" si="677"/>
        <v>0</v>
      </c>
      <c r="L1014" s="16">
        <f>'БА в тыс. руб.'!H1014*1000</f>
        <v>110000</v>
      </c>
      <c r="M1014" s="169">
        <f t="shared" si="678"/>
        <v>0</v>
      </c>
      <c r="N1014" s="16">
        <f>'БА в тыс. руб.'!I1014*1000</f>
        <v>110000</v>
      </c>
      <c r="O1014" s="169">
        <f t="shared" si="679"/>
        <v>0</v>
      </c>
    </row>
    <row r="1015" spans="1:15" s="33" customFormat="1">
      <c r="A1015" s="11" t="s">
        <v>1036</v>
      </c>
      <c r="B1015" s="25" t="s">
        <v>62</v>
      </c>
      <c r="C1015" s="26" t="s">
        <v>14</v>
      </c>
      <c r="D1015" s="26" t="s">
        <v>2</v>
      </c>
      <c r="E1015" s="123" t="s">
        <v>448</v>
      </c>
      <c r="F1015" s="26" t="s">
        <v>1061</v>
      </c>
      <c r="G1015" s="27">
        <f t="shared" ref="G1015:G1017" si="718">J1015</f>
        <v>100000</v>
      </c>
      <c r="H1015" s="27">
        <f t="shared" ref="H1015:H1017" si="719">L1015</f>
        <v>100000</v>
      </c>
      <c r="I1015" s="27">
        <f t="shared" ref="I1015:I1017" si="720">N1015</f>
        <v>100000</v>
      </c>
      <c r="J1015" s="16">
        <f>'БА в тыс. руб.'!G1015*1000</f>
        <v>100000</v>
      </c>
      <c r="K1015" s="169">
        <f t="shared" si="677"/>
        <v>0</v>
      </c>
      <c r="L1015" s="16">
        <f>'БА в тыс. руб.'!H1015*1000</f>
        <v>100000</v>
      </c>
      <c r="M1015" s="169">
        <f t="shared" si="678"/>
        <v>0</v>
      </c>
      <c r="N1015" s="16">
        <f>'БА в тыс. руб.'!I1015*1000</f>
        <v>100000</v>
      </c>
      <c r="O1015" s="169">
        <f t="shared" si="679"/>
        <v>0</v>
      </c>
    </row>
    <row r="1016" spans="1:15" s="33" customFormat="1">
      <c r="A1016" s="11" t="s">
        <v>1037</v>
      </c>
      <c r="B1016" s="25" t="s">
        <v>62</v>
      </c>
      <c r="C1016" s="26" t="s">
        <v>14</v>
      </c>
      <c r="D1016" s="26" t="s">
        <v>2</v>
      </c>
      <c r="E1016" s="123" t="s">
        <v>448</v>
      </c>
      <c r="F1016" s="26" t="s">
        <v>1062</v>
      </c>
      <c r="G1016" s="27">
        <f t="shared" si="718"/>
        <v>10000</v>
      </c>
      <c r="H1016" s="27">
        <f t="shared" si="719"/>
        <v>10000</v>
      </c>
      <c r="I1016" s="27">
        <f t="shared" si="720"/>
        <v>10000</v>
      </c>
      <c r="J1016" s="16">
        <f>'БА в тыс. руб.'!G1016*1000</f>
        <v>10000</v>
      </c>
      <c r="K1016" s="169">
        <f t="shared" si="677"/>
        <v>0</v>
      </c>
      <c r="L1016" s="16">
        <f>'БА в тыс. руб.'!H1016*1000</f>
        <v>10000</v>
      </c>
      <c r="M1016" s="169">
        <f t="shared" si="678"/>
        <v>0</v>
      </c>
      <c r="N1016" s="16">
        <f>'БА в тыс. руб.'!I1016*1000</f>
        <v>10000</v>
      </c>
      <c r="O1016" s="169">
        <f t="shared" si="679"/>
        <v>0</v>
      </c>
    </row>
    <row r="1017" spans="1:15" s="104" customFormat="1">
      <c r="A1017" s="79"/>
      <c r="B1017" s="92"/>
      <c r="C1017" s="70"/>
      <c r="D1017" s="70"/>
      <c r="E1017" s="106"/>
      <c r="F1017" s="70"/>
      <c r="G1017" s="27">
        <f t="shared" si="718"/>
        <v>0</v>
      </c>
      <c r="H1017" s="27">
        <f t="shared" si="719"/>
        <v>0</v>
      </c>
      <c r="I1017" s="27">
        <f t="shared" si="720"/>
        <v>0</v>
      </c>
      <c r="J1017" s="16">
        <f>'БА в тыс. руб.'!G1017*1000</f>
        <v>0</v>
      </c>
      <c r="K1017" s="169">
        <f t="shared" si="677"/>
        <v>0</v>
      </c>
      <c r="L1017" s="16">
        <f>'БА в тыс. руб.'!H1017*1000</f>
        <v>0</v>
      </c>
      <c r="M1017" s="169">
        <f t="shared" si="678"/>
        <v>0</v>
      </c>
      <c r="N1017" s="16">
        <f>'БА в тыс. руб.'!I1017*1000</f>
        <v>0</v>
      </c>
      <c r="O1017" s="169">
        <f t="shared" si="679"/>
        <v>0</v>
      </c>
    </row>
    <row r="1018" spans="1:15" s="3" customFormat="1" ht="25.5">
      <c r="A1018" s="28" t="s">
        <v>694</v>
      </c>
      <c r="B1018" s="14" t="s">
        <v>67</v>
      </c>
      <c r="C1018" s="15" t="s">
        <v>51</v>
      </c>
      <c r="D1018" s="15" t="s">
        <v>51</v>
      </c>
      <c r="E1018" s="15" t="s">
        <v>196</v>
      </c>
      <c r="F1018" s="15" t="s">
        <v>58</v>
      </c>
      <c r="G1018" s="29">
        <f>G1019+G1039</f>
        <v>195692910</v>
      </c>
      <c r="H1018" s="29">
        <f>H1019+H1039</f>
        <v>172467660</v>
      </c>
      <c r="I1018" s="29">
        <f>I1019+I1039</f>
        <v>172467660</v>
      </c>
      <c r="J1018" s="16">
        <f>'БА в тыс. руб.'!G1018*1000</f>
        <v>195692909.99999997</v>
      </c>
      <c r="K1018" s="169">
        <f t="shared" si="677"/>
        <v>0</v>
      </c>
      <c r="L1018" s="16">
        <f>'БА в тыс. руб.'!H1018*1000</f>
        <v>172467659.99999997</v>
      </c>
      <c r="M1018" s="169">
        <f t="shared" si="678"/>
        <v>0</v>
      </c>
      <c r="N1018" s="16">
        <f>'БА в тыс. руб.'!I1018*1000</f>
        <v>172467659.99999997</v>
      </c>
      <c r="O1018" s="169">
        <f t="shared" si="679"/>
        <v>0</v>
      </c>
    </row>
    <row r="1019" spans="1:15" s="3" customFormat="1">
      <c r="A1019" s="17" t="s">
        <v>70</v>
      </c>
      <c r="B1019" s="18" t="s">
        <v>67</v>
      </c>
      <c r="C1019" s="19" t="s">
        <v>71</v>
      </c>
      <c r="D1019" s="19" t="s">
        <v>51</v>
      </c>
      <c r="E1019" s="19" t="s">
        <v>196</v>
      </c>
      <c r="F1019" s="19" t="s">
        <v>58</v>
      </c>
      <c r="G1019" s="20">
        <f>G1020</f>
        <v>148272770</v>
      </c>
      <c r="H1019" s="20">
        <f>H1020</f>
        <v>147969660</v>
      </c>
      <c r="I1019" s="20">
        <f>I1020</f>
        <v>147969660</v>
      </c>
      <c r="J1019" s="16">
        <f>'БА в тыс. руб.'!G1019*1000</f>
        <v>148272770</v>
      </c>
      <c r="K1019" s="169">
        <f t="shared" si="677"/>
        <v>0</v>
      </c>
      <c r="L1019" s="16">
        <f>'БА в тыс. руб.'!H1019*1000</f>
        <v>147969659.99999997</v>
      </c>
      <c r="M1019" s="169">
        <f t="shared" si="678"/>
        <v>0</v>
      </c>
      <c r="N1019" s="16">
        <f>'БА в тыс. руб.'!I1019*1000</f>
        <v>147969659.99999997</v>
      </c>
      <c r="O1019" s="169">
        <f t="shared" si="679"/>
        <v>0</v>
      </c>
    </row>
    <row r="1020" spans="1:15" s="3" customFormat="1">
      <c r="A1020" s="21" t="s">
        <v>779</v>
      </c>
      <c r="B1020" s="22" t="s">
        <v>67</v>
      </c>
      <c r="C1020" s="23" t="s">
        <v>71</v>
      </c>
      <c r="D1020" s="23" t="s">
        <v>53</v>
      </c>
      <c r="E1020" s="23" t="s">
        <v>196</v>
      </c>
      <c r="F1020" s="23" t="s">
        <v>58</v>
      </c>
      <c r="G1020" s="24">
        <f>G1021+G1027+G1033</f>
        <v>148272770</v>
      </c>
      <c r="H1020" s="24">
        <f>H1021+H1027+H1033</f>
        <v>147969660</v>
      </c>
      <c r="I1020" s="24">
        <f>I1021+I1027+I1033</f>
        <v>147969660</v>
      </c>
      <c r="J1020" s="16">
        <f>'БА в тыс. руб.'!G1020*1000</f>
        <v>148272770</v>
      </c>
      <c r="K1020" s="169">
        <f t="shared" si="677"/>
        <v>0</v>
      </c>
      <c r="L1020" s="16">
        <f>'БА в тыс. руб.'!H1020*1000</f>
        <v>147969659.99999997</v>
      </c>
      <c r="M1020" s="169">
        <f t="shared" si="678"/>
        <v>0</v>
      </c>
      <c r="N1020" s="16">
        <f>'БА в тыс. руб.'!I1020*1000</f>
        <v>147969659.99999997</v>
      </c>
      <c r="O1020" s="169">
        <f t="shared" si="679"/>
        <v>0</v>
      </c>
    </row>
    <row r="1021" spans="1:15" s="3" customFormat="1" ht="25.5">
      <c r="A1021" s="11" t="s">
        <v>740</v>
      </c>
      <c r="B1021" s="25" t="s">
        <v>67</v>
      </c>
      <c r="C1021" s="26" t="s">
        <v>71</v>
      </c>
      <c r="D1021" s="26" t="s">
        <v>53</v>
      </c>
      <c r="E1021" s="26" t="s">
        <v>449</v>
      </c>
      <c r="F1021" s="26" t="s">
        <v>58</v>
      </c>
      <c r="G1021" s="27">
        <f t="shared" ref="G1021:I1025" si="721">G1022</f>
        <v>147588280</v>
      </c>
      <c r="H1021" s="27">
        <f t="shared" si="721"/>
        <v>147736110</v>
      </c>
      <c r="I1021" s="27">
        <f t="shared" si="721"/>
        <v>147736110</v>
      </c>
      <c r="J1021" s="16">
        <f>'БА в тыс. руб.'!G1021*1000</f>
        <v>147588280</v>
      </c>
      <c r="K1021" s="169">
        <f t="shared" si="677"/>
        <v>0</v>
      </c>
      <c r="L1021" s="16">
        <f>'БА в тыс. руб.'!H1021*1000</f>
        <v>147736110</v>
      </c>
      <c r="M1021" s="169">
        <f t="shared" si="678"/>
        <v>0</v>
      </c>
      <c r="N1021" s="16">
        <f>'БА в тыс. руб.'!I1021*1000</f>
        <v>147736110</v>
      </c>
      <c r="O1021" s="169">
        <f t="shared" si="679"/>
        <v>0</v>
      </c>
    </row>
    <row r="1022" spans="1:15" s="3" customFormat="1" ht="38.25">
      <c r="A1022" s="11" t="s">
        <v>141</v>
      </c>
      <c r="B1022" s="25" t="s">
        <v>67</v>
      </c>
      <c r="C1022" s="26" t="s">
        <v>71</v>
      </c>
      <c r="D1022" s="26" t="s">
        <v>53</v>
      </c>
      <c r="E1022" s="26" t="s">
        <v>450</v>
      </c>
      <c r="F1022" s="26" t="s">
        <v>58</v>
      </c>
      <c r="G1022" s="27">
        <f t="shared" si="721"/>
        <v>147588280</v>
      </c>
      <c r="H1022" s="27">
        <f t="shared" si="721"/>
        <v>147736110</v>
      </c>
      <c r="I1022" s="27">
        <f t="shared" si="721"/>
        <v>147736110</v>
      </c>
      <c r="J1022" s="16">
        <f>'БА в тыс. руб.'!G1022*1000</f>
        <v>147588280</v>
      </c>
      <c r="K1022" s="169">
        <f t="shared" si="677"/>
        <v>0</v>
      </c>
      <c r="L1022" s="16">
        <f>'БА в тыс. руб.'!H1022*1000</f>
        <v>147736110</v>
      </c>
      <c r="M1022" s="169">
        <f t="shared" si="678"/>
        <v>0</v>
      </c>
      <c r="N1022" s="16">
        <f>'БА в тыс. руб.'!I1022*1000</f>
        <v>147736110</v>
      </c>
      <c r="O1022" s="169">
        <f t="shared" si="679"/>
        <v>0</v>
      </c>
    </row>
    <row r="1023" spans="1:15" s="3" customFormat="1" ht="38.25">
      <c r="A1023" s="11" t="s">
        <v>587</v>
      </c>
      <c r="B1023" s="25" t="s">
        <v>67</v>
      </c>
      <c r="C1023" s="26" t="s">
        <v>71</v>
      </c>
      <c r="D1023" s="26" t="s">
        <v>53</v>
      </c>
      <c r="E1023" s="26" t="s">
        <v>451</v>
      </c>
      <c r="F1023" s="26" t="s">
        <v>58</v>
      </c>
      <c r="G1023" s="27">
        <f>G1024</f>
        <v>147588280</v>
      </c>
      <c r="H1023" s="27">
        <f t="shared" si="721"/>
        <v>147736110</v>
      </c>
      <c r="I1023" s="27">
        <f t="shared" si="721"/>
        <v>147736110</v>
      </c>
      <c r="J1023" s="16">
        <f>'БА в тыс. руб.'!G1023*1000</f>
        <v>147588280</v>
      </c>
      <c r="K1023" s="169">
        <f t="shared" si="677"/>
        <v>0</v>
      </c>
      <c r="L1023" s="16">
        <f>'БА в тыс. руб.'!H1023*1000</f>
        <v>147736110</v>
      </c>
      <c r="M1023" s="169">
        <f t="shared" si="678"/>
        <v>0</v>
      </c>
      <c r="N1023" s="16">
        <f>'БА в тыс. руб.'!I1023*1000</f>
        <v>147736110</v>
      </c>
      <c r="O1023" s="169">
        <f t="shared" si="679"/>
        <v>0</v>
      </c>
    </row>
    <row r="1024" spans="1:15" s="3" customFormat="1" ht="25.5">
      <c r="A1024" s="39" t="s">
        <v>247</v>
      </c>
      <c r="B1024" s="25" t="s">
        <v>67</v>
      </c>
      <c r="C1024" s="26" t="s">
        <v>71</v>
      </c>
      <c r="D1024" s="26" t="s">
        <v>53</v>
      </c>
      <c r="E1024" s="26" t="s">
        <v>452</v>
      </c>
      <c r="F1024" s="26" t="s">
        <v>58</v>
      </c>
      <c r="G1024" s="27">
        <f>G1025</f>
        <v>147588280</v>
      </c>
      <c r="H1024" s="27">
        <f t="shared" si="721"/>
        <v>147736110</v>
      </c>
      <c r="I1024" s="27">
        <f t="shared" si="721"/>
        <v>147736110</v>
      </c>
      <c r="J1024" s="16">
        <f>'БА в тыс. руб.'!G1024*1000</f>
        <v>147588280</v>
      </c>
      <c r="K1024" s="169">
        <f t="shared" si="677"/>
        <v>0</v>
      </c>
      <c r="L1024" s="16">
        <f>'БА в тыс. руб.'!H1024*1000</f>
        <v>147736110</v>
      </c>
      <c r="M1024" s="169">
        <f t="shared" si="678"/>
        <v>0</v>
      </c>
      <c r="N1024" s="16">
        <f>'БА в тыс. руб.'!I1024*1000</f>
        <v>147736110</v>
      </c>
      <c r="O1024" s="169">
        <f t="shared" si="679"/>
        <v>0</v>
      </c>
    </row>
    <row r="1025" spans="1:15" s="3" customFormat="1">
      <c r="A1025" s="13" t="s">
        <v>92</v>
      </c>
      <c r="B1025" s="25" t="s">
        <v>67</v>
      </c>
      <c r="C1025" s="26" t="s">
        <v>71</v>
      </c>
      <c r="D1025" s="26" t="s">
        <v>53</v>
      </c>
      <c r="E1025" s="26" t="s">
        <v>452</v>
      </c>
      <c r="F1025" s="26" t="s">
        <v>138</v>
      </c>
      <c r="G1025" s="27">
        <f>G1026</f>
        <v>147588280</v>
      </c>
      <c r="H1025" s="27">
        <f t="shared" si="721"/>
        <v>147736110</v>
      </c>
      <c r="I1025" s="27">
        <f t="shared" si="721"/>
        <v>147736110</v>
      </c>
      <c r="J1025" s="16">
        <f>'БА в тыс. руб.'!G1025*1000</f>
        <v>147588280</v>
      </c>
      <c r="K1025" s="169">
        <f t="shared" si="677"/>
        <v>0</v>
      </c>
      <c r="L1025" s="16">
        <f>'БА в тыс. руб.'!H1025*1000</f>
        <v>147736110</v>
      </c>
      <c r="M1025" s="169">
        <f t="shared" si="678"/>
        <v>0</v>
      </c>
      <c r="N1025" s="16">
        <f>'БА в тыс. руб.'!I1025*1000</f>
        <v>147736110</v>
      </c>
      <c r="O1025" s="169">
        <f t="shared" si="679"/>
        <v>0</v>
      </c>
    </row>
    <row r="1026" spans="1:15" s="4" customFormat="1" ht="38.25">
      <c r="A1026" s="12" t="s">
        <v>1015</v>
      </c>
      <c r="B1026" s="25" t="s">
        <v>67</v>
      </c>
      <c r="C1026" s="26" t="s">
        <v>71</v>
      </c>
      <c r="D1026" s="26" t="s">
        <v>53</v>
      </c>
      <c r="E1026" s="26" t="s">
        <v>452</v>
      </c>
      <c r="F1026" s="26" t="s">
        <v>67</v>
      </c>
      <c r="G1026" s="27">
        <f t="shared" ref="G1026" si="722">J1026</f>
        <v>147588280</v>
      </c>
      <c r="H1026" s="27">
        <f>L1026</f>
        <v>147736110</v>
      </c>
      <c r="I1026" s="27">
        <f>N1026</f>
        <v>147736110</v>
      </c>
      <c r="J1026" s="16">
        <f>'БА в тыс. руб.'!G1026*1000</f>
        <v>147588280</v>
      </c>
      <c r="K1026" s="169">
        <f t="shared" si="677"/>
        <v>0</v>
      </c>
      <c r="L1026" s="16">
        <f>'БА в тыс. руб.'!H1026*1000</f>
        <v>147736110</v>
      </c>
      <c r="M1026" s="169">
        <f t="shared" si="678"/>
        <v>0</v>
      </c>
      <c r="N1026" s="16">
        <f>'БА в тыс. руб.'!I1026*1000</f>
        <v>147736110</v>
      </c>
      <c r="O1026" s="169">
        <f t="shared" si="679"/>
        <v>0</v>
      </c>
    </row>
    <row r="1027" spans="1:15" s="3" customFormat="1" ht="63.75">
      <c r="A1027" s="11" t="s">
        <v>756</v>
      </c>
      <c r="B1027" s="25" t="s">
        <v>67</v>
      </c>
      <c r="C1027" s="26" t="s">
        <v>71</v>
      </c>
      <c r="D1027" s="26" t="s">
        <v>53</v>
      </c>
      <c r="E1027" s="26" t="s">
        <v>339</v>
      </c>
      <c r="F1027" s="26" t="s">
        <v>58</v>
      </c>
      <c r="G1027" s="27">
        <f t="shared" ref="G1027:I1031" si="723">G1028</f>
        <v>259490</v>
      </c>
      <c r="H1027" s="27">
        <f t="shared" si="723"/>
        <v>233550</v>
      </c>
      <c r="I1027" s="27">
        <f t="shared" si="723"/>
        <v>233550</v>
      </c>
      <c r="J1027" s="16">
        <f>'БА в тыс. руб.'!G1027*1000</f>
        <v>259490</v>
      </c>
      <c r="K1027" s="169">
        <f t="shared" si="677"/>
        <v>0</v>
      </c>
      <c r="L1027" s="16">
        <f>'БА в тыс. руб.'!H1027*1000</f>
        <v>233550</v>
      </c>
      <c r="M1027" s="169">
        <f t="shared" si="678"/>
        <v>0</v>
      </c>
      <c r="N1027" s="16">
        <f>'БА в тыс. руб.'!I1027*1000</f>
        <v>233550</v>
      </c>
      <c r="O1027" s="169">
        <f t="shared" si="679"/>
        <v>0</v>
      </c>
    </row>
    <row r="1028" spans="1:15" s="3" customFormat="1" ht="25.5">
      <c r="A1028" s="11" t="s">
        <v>136</v>
      </c>
      <c r="B1028" s="25" t="s">
        <v>67</v>
      </c>
      <c r="C1028" s="26" t="s">
        <v>71</v>
      </c>
      <c r="D1028" s="26" t="s">
        <v>53</v>
      </c>
      <c r="E1028" s="26" t="s">
        <v>340</v>
      </c>
      <c r="F1028" s="26" t="s">
        <v>58</v>
      </c>
      <c r="G1028" s="27">
        <f t="shared" si="723"/>
        <v>259490</v>
      </c>
      <c r="H1028" s="27">
        <f t="shared" si="723"/>
        <v>233550</v>
      </c>
      <c r="I1028" s="27">
        <f t="shared" si="723"/>
        <v>233550</v>
      </c>
      <c r="J1028" s="16">
        <f>'БА в тыс. руб.'!G1028*1000</f>
        <v>259490</v>
      </c>
      <c r="K1028" s="169">
        <f t="shared" si="677"/>
        <v>0</v>
      </c>
      <c r="L1028" s="16">
        <f>'БА в тыс. руб.'!H1028*1000</f>
        <v>233550</v>
      </c>
      <c r="M1028" s="169">
        <f t="shared" si="678"/>
        <v>0</v>
      </c>
      <c r="N1028" s="16">
        <f>'БА в тыс. руб.'!I1028*1000</f>
        <v>233550</v>
      </c>
      <c r="O1028" s="169">
        <f t="shared" si="679"/>
        <v>0</v>
      </c>
    </row>
    <row r="1029" spans="1:15" s="3" customFormat="1" ht="25.5">
      <c r="A1029" s="11" t="s">
        <v>667</v>
      </c>
      <c r="B1029" s="25" t="s">
        <v>67</v>
      </c>
      <c r="C1029" s="26" t="s">
        <v>71</v>
      </c>
      <c r="D1029" s="26" t="s">
        <v>53</v>
      </c>
      <c r="E1029" s="26" t="s">
        <v>609</v>
      </c>
      <c r="F1029" s="26" t="s">
        <v>58</v>
      </c>
      <c r="G1029" s="27">
        <f t="shared" si="723"/>
        <v>259490</v>
      </c>
      <c r="H1029" s="27">
        <f t="shared" si="723"/>
        <v>233550</v>
      </c>
      <c r="I1029" s="27">
        <f t="shared" si="723"/>
        <v>233550</v>
      </c>
      <c r="J1029" s="16">
        <f>'БА в тыс. руб.'!G1029*1000</f>
        <v>259490</v>
      </c>
      <c r="K1029" s="169">
        <f t="shared" si="677"/>
        <v>0</v>
      </c>
      <c r="L1029" s="16">
        <f>'БА в тыс. руб.'!H1029*1000</f>
        <v>233550</v>
      </c>
      <c r="M1029" s="169">
        <f t="shared" si="678"/>
        <v>0</v>
      </c>
      <c r="N1029" s="16">
        <f>'БА в тыс. руб.'!I1029*1000</f>
        <v>233550</v>
      </c>
      <c r="O1029" s="169">
        <f t="shared" si="679"/>
        <v>0</v>
      </c>
    </row>
    <row r="1030" spans="1:15" s="3" customFormat="1" ht="38.25">
      <c r="A1030" s="11" t="s">
        <v>177</v>
      </c>
      <c r="B1030" s="25" t="s">
        <v>67</v>
      </c>
      <c r="C1030" s="26" t="s">
        <v>71</v>
      </c>
      <c r="D1030" s="26" t="s">
        <v>53</v>
      </c>
      <c r="E1030" s="26" t="s">
        <v>610</v>
      </c>
      <c r="F1030" s="26" t="s">
        <v>58</v>
      </c>
      <c r="G1030" s="27">
        <f t="shared" si="723"/>
        <v>259490</v>
      </c>
      <c r="H1030" s="27">
        <f t="shared" si="723"/>
        <v>233550</v>
      </c>
      <c r="I1030" s="27">
        <f t="shared" si="723"/>
        <v>233550</v>
      </c>
      <c r="J1030" s="16">
        <f>'БА в тыс. руб.'!G1030*1000</f>
        <v>259490</v>
      </c>
      <c r="K1030" s="169">
        <f t="shared" si="677"/>
        <v>0</v>
      </c>
      <c r="L1030" s="16">
        <f>'БА в тыс. руб.'!H1030*1000</f>
        <v>233550</v>
      </c>
      <c r="M1030" s="169">
        <f t="shared" si="678"/>
        <v>0</v>
      </c>
      <c r="N1030" s="16">
        <f>'БА в тыс. руб.'!I1030*1000</f>
        <v>233550</v>
      </c>
      <c r="O1030" s="169">
        <f t="shared" si="679"/>
        <v>0</v>
      </c>
    </row>
    <row r="1031" spans="1:15" s="3" customFormat="1">
      <c r="A1031" s="13" t="s">
        <v>92</v>
      </c>
      <c r="B1031" s="25" t="s">
        <v>67</v>
      </c>
      <c r="C1031" s="26" t="s">
        <v>71</v>
      </c>
      <c r="D1031" s="26" t="s">
        <v>53</v>
      </c>
      <c r="E1031" s="26" t="s">
        <v>610</v>
      </c>
      <c r="F1031" s="26" t="s">
        <v>138</v>
      </c>
      <c r="G1031" s="27">
        <f>G1032</f>
        <v>259490</v>
      </c>
      <c r="H1031" s="27">
        <f t="shared" si="723"/>
        <v>233550</v>
      </c>
      <c r="I1031" s="27">
        <f t="shared" si="723"/>
        <v>233550</v>
      </c>
      <c r="J1031" s="16">
        <f>'БА в тыс. руб.'!G1031*1000</f>
        <v>259490</v>
      </c>
      <c r="K1031" s="169">
        <f t="shared" si="677"/>
        <v>0</v>
      </c>
      <c r="L1031" s="16">
        <f>'БА в тыс. руб.'!H1031*1000</f>
        <v>233550</v>
      </c>
      <c r="M1031" s="169">
        <f t="shared" si="678"/>
        <v>0</v>
      </c>
      <c r="N1031" s="16">
        <f>'БА в тыс. руб.'!I1031*1000</f>
        <v>233550</v>
      </c>
      <c r="O1031" s="169">
        <f t="shared" si="679"/>
        <v>0</v>
      </c>
    </row>
    <row r="1032" spans="1:15" s="4" customFormat="1">
      <c r="A1032" s="12" t="s">
        <v>1016</v>
      </c>
      <c r="B1032" s="25" t="s">
        <v>67</v>
      </c>
      <c r="C1032" s="26" t="s">
        <v>71</v>
      </c>
      <c r="D1032" s="26" t="s">
        <v>53</v>
      </c>
      <c r="E1032" s="26" t="s">
        <v>610</v>
      </c>
      <c r="F1032" s="26" t="s">
        <v>1046</v>
      </c>
      <c r="G1032" s="27">
        <f t="shared" ref="G1032" si="724">J1032</f>
        <v>259490</v>
      </c>
      <c r="H1032" s="27">
        <f>L1032</f>
        <v>233550</v>
      </c>
      <c r="I1032" s="27">
        <f>N1032</f>
        <v>233550</v>
      </c>
      <c r="J1032" s="16">
        <f>'БА в тыс. руб.'!G1032*1000</f>
        <v>259490</v>
      </c>
      <c r="K1032" s="169">
        <f t="shared" ref="K1032:K1095" si="725">J1032-G1032</f>
        <v>0</v>
      </c>
      <c r="L1032" s="16">
        <f>'БА в тыс. руб.'!H1032*1000</f>
        <v>233550</v>
      </c>
      <c r="M1032" s="169">
        <f t="shared" ref="M1032:M1095" si="726">L1032-H1032</f>
        <v>0</v>
      </c>
      <c r="N1032" s="16">
        <f>'БА в тыс. руб.'!I1032*1000</f>
        <v>233550</v>
      </c>
      <c r="O1032" s="169">
        <f t="shared" ref="O1032:O1095" si="727">N1032-I1032</f>
        <v>0</v>
      </c>
    </row>
    <row r="1033" spans="1:15" s="3" customFormat="1" ht="25.5">
      <c r="A1033" s="11" t="s">
        <v>757</v>
      </c>
      <c r="B1033" s="25" t="s">
        <v>67</v>
      </c>
      <c r="C1033" s="26" t="s">
        <v>71</v>
      </c>
      <c r="D1033" s="26" t="s">
        <v>53</v>
      </c>
      <c r="E1033" s="26" t="s">
        <v>342</v>
      </c>
      <c r="F1033" s="26" t="s">
        <v>58</v>
      </c>
      <c r="G1033" s="27">
        <f t="shared" ref="G1033:I1034" si="728">G1034</f>
        <v>425000</v>
      </c>
      <c r="H1033" s="27">
        <f t="shared" si="728"/>
        <v>0</v>
      </c>
      <c r="I1033" s="27">
        <f t="shared" si="728"/>
        <v>0</v>
      </c>
      <c r="J1033" s="16">
        <f>'БА в тыс. руб.'!G1033*1000</f>
        <v>425000</v>
      </c>
      <c r="K1033" s="169">
        <f t="shared" si="725"/>
        <v>0</v>
      </c>
      <c r="L1033" s="16">
        <f>'БА в тыс. руб.'!H1033*1000</f>
        <v>0</v>
      </c>
      <c r="M1033" s="169">
        <f t="shared" si="726"/>
        <v>0</v>
      </c>
      <c r="N1033" s="16">
        <f>'БА в тыс. руб.'!I1033*1000</f>
        <v>0</v>
      </c>
      <c r="O1033" s="169">
        <f t="shared" si="727"/>
        <v>0</v>
      </c>
    </row>
    <row r="1034" spans="1:15" s="3" customFormat="1" ht="38.25">
      <c r="A1034" s="34" t="s">
        <v>758</v>
      </c>
      <c r="B1034" s="25" t="s">
        <v>67</v>
      </c>
      <c r="C1034" s="26" t="s">
        <v>71</v>
      </c>
      <c r="D1034" s="26" t="s">
        <v>53</v>
      </c>
      <c r="E1034" s="26" t="s">
        <v>343</v>
      </c>
      <c r="F1034" s="26" t="s">
        <v>58</v>
      </c>
      <c r="G1034" s="27">
        <f t="shared" si="728"/>
        <v>425000</v>
      </c>
      <c r="H1034" s="27">
        <f t="shared" si="728"/>
        <v>0</v>
      </c>
      <c r="I1034" s="27">
        <f t="shared" si="728"/>
        <v>0</v>
      </c>
      <c r="J1034" s="16">
        <f>'БА в тыс. руб.'!G1034*1000</f>
        <v>425000</v>
      </c>
      <c r="K1034" s="169">
        <f t="shared" si="725"/>
        <v>0</v>
      </c>
      <c r="L1034" s="16">
        <f>'БА в тыс. руб.'!H1034*1000</f>
        <v>0</v>
      </c>
      <c r="M1034" s="169">
        <f t="shared" si="726"/>
        <v>0</v>
      </c>
      <c r="N1034" s="16">
        <f>'БА в тыс. руб.'!I1034*1000</f>
        <v>0</v>
      </c>
      <c r="O1034" s="169">
        <f t="shared" si="727"/>
        <v>0</v>
      </c>
    </row>
    <row r="1035" spans="1:15" s="3" customFormat="1" ht="25.5">
      <c r="A1035" s="11" t="s">
        <v>344</v>
      </c>
      <c r="B1035" s="25" t="s">
        <v>67</v>
      </c>
      <c r="C1035" s="26" t="s">
        <v>71</v>
      </c>
      <c r="D1035" s="26" t="s">
        <v>53</v>
      </c>
      <c r="E1035" s="26" t="s">
        <v>345</v>
      </c>
      <c r="F1035" s="26" t="s">
        <v>58</v>
      </c>
      <c r="G1035" s="27">
        <f>G1037</f>
        <v>425000</v>
      </c>
      <c r="H1035" s="27">
        <f>H1037</f>
        <v>0</v>
      </c>
      <c r="I1035" s="27">
        <f>I1037</f>
        <v>0</v>
      </c>
      <c r="J1035" s="16">
        <f>'БА в тыс. руб.'!G1035*1000</f>
        <v>425000</v>
      </c>
      <c r="K1035" s="169">
        <f t="shared" si="725"/>
        <v>0</v>
      </c>
      <c r="L1035" s="16">
        <f>'БА в тыс. руб.'!H1035*1000</f>
        <v>0</v>
      </c>
      <c r="M1035" s="169">
        <f t="shared" si="726"/>
        <v>0</v>
      </c>
      <c r="N1035" s="16">
        <f>'БА в тыс. руб.'!I1035*1000</f>
        <v>0</v>
      </c>
      <c r="O1035" s="169">
        <f t="shared" si="727"/>
        <v>0</v>
      </c>
    </row>
    <row r="1036" spans="1:15" s="3" customFormat="1" ht="25.5">
      <c r="A1036" s="13" t="s">
        <v>174</v>
      </c>
      <c r="B1036" s="25" t="s">
        <v>67</v>
      </c>
      <c r="C1036" s="26" t="s">
        <v>71</v>
      </c>
      <c r="D1036" s="26" t="s">
        <v>53</v>
      </c>
      <c r="E1036" s="26" t="s">
        <v>346</v>
      </c>
      <c r="F1036" s="26" t="s">
        <v>58</v>
      </c>
      <c r="G1036" s="27">
        <f>G1037</f>
        <v>425000</v>
      </c>
      <c r="H1036" s="27">
        <f>H1037</f>
        <v>0</v>
      </c>
      <c r="I1036" s="27">
        <f>I1037</f>
        <v>0</v>
      </c>
      <c r="J1036" s="16">
        <f>'БА в тыс. руб.'!G1036*1000</f>
        <v>425000</v>
      </c>
      <c r="K1036" s="169">
        <f t="shared" si="725"/>
        <v>0</v>
      </c>
      <c r="L1036" s="16">
        <f>'БА в тыс. руб.'!H1036*1000</f>
        <v>0</v>
      </c>
      <c r="M1036" s="169">
        <f t="shared" si="726"/>
        <v>0</v>
      </c>
      <c r="N1036" s="16">
        <f>'БА в тыс. руб.'!I1036*1000</f>
        <v>0</v>
      </c>
      <c r="O1036" s="169">
        <f t="shared" si="727"/>
        <v>0</v>
      </c>
    </row>
    <row r="1037" spans="1:15" s="3" customFormat="1" ht="16.149999999999999" customHeight="1">
      <c r="A1037" s="13" t="s">
        <v>92</v>
      </c>
      <c r="B1037" s="25" t="s">
        <v>67</v>
      </c>
      <c r="C1037" s="26" t="s">
        <v>71</v>
      </c>
      <c r="D1037" s="26" t="s">
        <v>53</v>
      </c>
      <c r="E1037" s="26" t="s">
        <v>346</v>
      </c>
      <c r="F1037" s="26" t="s">
        <v>138</v>
      </c>
      <c r="G1037" s="27">
        <f>G1038</f>
        <v>425000</v>
      </c>
      <c r="H1037" s="27">
        <f t="shared" ref="H1037:I1037" si="729">H1038</f>
        <v>0</v>
      </c>
      <c r="I1037" s="27">
        <f t="shared" si="729"/>
        <v>0</v>
      </c>
      <c r="J1037" s="16">
        <f>'БА в тыс. руб.'!G1037*1000</f>
        <v>425000</v>
      </c>
      <c r="K1037" s="169">
        <f t="shared" si="725"/>
        <v>0</v>
      </c>
      <c r="L1037" s="16">
        <f>'БА в тыс. руб.'!H1037*1000</f>
        <v>0</v>
      </c>
      <c r="M1037" s="169">
        <f t="shared" si="726"/>
        <v>0</v>
      </c>
      <c r="N1037" s="16">
        <f>'БА в тыс. руб.'!I1037*1000</f>
        <v>0</v>
      </c>
      <c r="O1037" s="169">
        <f t="shared" si="727"/>
        <v>0</v>
      </c>
    </row>
    <row r="1038" spans="1:15" s="4" customFormat="1" ht="16.149999999999999" customHeight="1">
      <c r="A1038" s="12" t="s">
        <v>1016</v>
      </c>
      <c r="B1038" s="25" t="s">
        <v>67</v>
      </c>
      <c r="C1038" s="26" t="s">
        <v>71</v>
      </c>
      <c r="D1038" s="26" t="s">
        <v>53</v>
      </c>
      <c r="E1038" s="26" t="s">
        <v>346</v>
      </c>
      <c r="F1038" s="26" t="s">
        <v>1046</v>
      </c>
      <c r="G1038" s="27">
        <f t="shared" ref="G1038" si="730">J1038</f>
        <v>425000</v>
      </c>
      <c r="H1038" s="27">
        <f>L1038</f>
        <v>0</v>
      </c>
      <c r="I1038" s="27">
        <f>N1038</f>
        <v>0</v>
      </c>
      <c r="J1038" s="16">
        <f>'БА в тыс. руб.'!G1038*1000</f>
        <v>425000</v>
      </c>
      <c r="K1038" s="169">
        <f t="shared" si="725"/>
        <v>0</v>
      </c>
      <c r="L1038" s="16">
        <f>'БА в тыс. руб.'!H1038*1000</f>
        <v>0</v>
      </c>
      <c r="M1038" s="169">
        <f t="shared" si="726"/>
        <v>0</v>
      </c>
      <c r="N1038" s="16">
        <f>'БА в тыс. руб.'!I1038*1000</f>
        <v>0</v>
      </c>
      <c r="O1038" s="169">
        <f t="shared" si="727"/>
        <v>0</v>
      </c>
    </row>
    <row r="1039" spans="1:15" s="3" customFormat="1">
      <c r="A1039" s="17" t="s">
        <v>39</v>
      </c>
      <c r="B1039" s="18" t="s">
        <v>67</v>
      </c>
      <c r="C1039" s="19" t="s">
        <v>78</v>
      </c>
      <c r="D1039" s="19" t="s">
        <v>51</v>
      </c>
      <c r="E1039" s="19" t="s">
        <v>196</v>
      </c>
      <c r="F1039" s="19" t="s">
        <v>58</v>
      </c>
      <c r="G1039" s="20">
        <f>G1040+G1047+G1069+G1079</f>
        <v>47420140</v>
      </c>
      <c r="H1039" s="20">
        <f>H1040+H1047+H1069+H1079</f>
        <v>24498000</v>
      </c>
      <c r="I1039" s="20">
        <f>I1040+I1047+I1069+I1079</f>
        <v>24498000</v>
      </c>
      <c r="J1039" s="16">
        <f>'БА в тыс. руб.'!G1039*1000</f>
        <v>47420140</v>
      </c>
      <c r="K1039" s="169">
        <f t="shared" si="725"/>
        <v>0</v>
      </c>
      <c r="L1039" s="16">
        <f>'БА в тыс. руб.'!H1039*1000</f>
        <v>24498000</v>
      </c>
      <c r="M1039" s="169">
        <f t="shared" si="726"/>
        <v>0</v>
      </c>
      <c r="N1039" s="16">
        <f>'БА в тыс. руб.'!I1039*1000</f>
        <v>24498000</v>
      </c>
      <c r="O1039" s="169">
        <f t="shared" si="727"/>
        <v>0</v>
      </c>
    </row>
    <row r="1040" spans="1:15" s="3" customFormat="1">
      <c r="A1040" s="21" t="s">
        <v>79</v>
      </c>
      <c r="B1040" s="22" t="s">
        <v>67</v>
      </c>
      <c r="C1040" s="23" t="s">
        <v>78</v>
      </c>
      <c r="D1040" s="23" t="s">
        <v>65</v>
      </c>
      <c r="E1040" s="23" t="s">
        <v>196</v>
      </c>
      <c r="F1040" s="23" t="s">
        <v>58</v>
      </c>
      <c r="G1040" s="24">
        <f t="shared" ref="G1040:I1045" si="731">G1041</f>
        <v>2976140</v>
      </c>
      <c r="H1040" s="24">
        <f t="shared" si="731"/>
        <v>2977180</v>
      </c>
      <c r="I1040" s="24">
        <f t="shared" si="731"/>
        <v>2977180</v>
      </c>
      <c r="J1040" s="16">
        <f>'БА в тыс. руб.'!G1040*1000</f>
        <v>2976140</v>
      </c>
      <c r="K1040" s="169">
        <f t="shared" si="725"/>
        <v>0</v>
      </c>
      <c r="L1040" s="16">
        <f>'БА в тыс. руб.'!H1040*1000</f>
        <v>2977180</v>
      </c>
      <c r="M1040" s="169">
        <f t="shared" si="726"/>
        <v>0</v>
      </c>
      <c r="N1040" s="16">
        <f>'БА в тыс. руб.'!I1040*1000</f>
        <v>2977180</v>
      </c>
      <c r="O1040" s="169">
        <f t="shared" si="727"/>
        <v>0</v>
      </c>
    </row>
    <row r="1041" spans="1:15" s="3" customFormat="1" ht="25.5">
      <c r="A1041" s="11" t="s">
        <v>740</v>
      </c>
      <c r="B1041" s="25" t="s">
        <v>67</v>
      </c>
      <c r="C1041" s="26" t="s">
        <v>78</v>
      </c>
      <c r="D1041" s="26" t="s">
        <v>65</v>
      </c>
      <c r="E1041" s="26" t="s">
        <v>449</v>
      </c>
      <c r="F1041" s="26" t="s">
        <v>58</v>
      </c>
      <c r="G1041" s="27">
        <f t="shared" si="731"/>
        <v>2976140</v>
      </c>
      <c r="H1041" s="27">
        <f t="shared" si="731"/>
        <v>2977180</v>
      </c>
      <c r="I1041" s="27">
        <f t="shared" si="731"/>
        <v>2977180</v>
      </c>
      <c r="J1041" s="16">
        <f>'БА в тыс. руб.'!G1041*1000</f>
        <v>2976140</v>
      </c>
      <c r="K1041" s="169">
        <f t="shared" si="725"/>
        <v>0</v>
      </c>
      <c r="L1041" s="16">
        <f>'БА в тыс. руб.'!H1041*1000</f>
        <v>2977180</v>
      </c>
      <c r="M1041" s="169">
        <f t="shared" si="726"/>
        <v>0</v>
      </c>
      <c r="N1041" s="16">
        <f>'БА в тыс. руб.'!I1041*1000</f>
        <v>2977180</v>
      </c>
      <c r="O1041" s="169">
        <f t="shared" si="727"/>
        <v>0</v>
      </c>
    </row>
    <row r="1042" spans="1:15" s="3" customFormat="1" ht="38.25">
      <c r="A1042" s="11" t="s">
        <v>141</v>
      </c>
      <c r="B1042" s="25" t="s">
        <v>67</v>
      </c>
      <c r="C1042" s="26" t="s">
        <v>78</v>
      </c>
      <c r="D1042" s="26" t="s">
        <v>65</v>
      </c>
      <c r="E1042" s="26" t="s">
        <v>450</v>
      </c>
      <c r="F1042" s="26" t="s">
        <v>58</v>
      </c>
      <c r="G1042" s="27">
        <f>G1043</f>
        <v>2976140</v>
      </c>
      <c r="H1042" s="27">
        <f>H1043</f>
        <v>2977180</v>
      </c>
      <c r="I1042" s="27">
        <f>I1043</f>
        <v>2977180</v>
      </c>
      <c r="J1042" s="16">
        <f>'БА в тыс. руб.'!G1042*1000</f>
        <v>2976140</v>
      </c>
      <c r="K1042" s="169">
        <f t="shared" si="725"/>
        <v>0</v>
      </c>
      <c r="L1042" s="16">
        <f>'БА в тыс. руб.'!H1042*1000</f>
        <v>2977180</v>
      </c>
      <c r="M1042" s="169">
        <f t="shared" si="726"/>
        <v>0</v>
      </c>
      <c r="N1042" s="16">
        <f>'БА в тыс. руб.'!I1042*1000</f>
        <v>2977180</v>
      </c>
      <c r="O1042" s="169">
        <f t="shared" si="727"/>
        <v>0</v>
      </c>
    </row>
    <row r="1043" spans="1:15" s="3" customFormat="1" ht="25.5">
      <c r="A1043" s="34" t="s">
        <v>475</v>
      </c>
      <c r="B1043" s="35" t="s">
        <v>67</v>
      </c>
      <c r="C1043" s="36" t="s">
        <v>78</v>
      </c>
      <c r="D1043" s="36" t="s">
        <v>65</v>
      </c>
      <c r="E1043" s="36" t="s">
        <v>476</v>
      </c>
      <c r="F1043" s="36" t="s">
        <v>58</v>
      </c>
      <c r="G1043" s="37">
        <f>G1044</f>
        <v>2976140</v>
      </c>
      <c r="H1043" s="37">
        <f t="shared" ref="H1043:I1043" si="732">H1044</f>
        <v>2977180</v>
      </c>
      <c r="I1043" s="37">
        <f t="shared" si="732"/>
        <v>2977180</v>
      </c>
      <c r="J1043" s="16">
        <f>'БА в тыс. руб.'!G1043*1000</f>
        <v>2976140</v>
      </c>
      <c r="K1043" s="169">
        <f t="shared" si="725"/>
        <v>0</v>
      </c>
      <c r="L1043" s="16">
        <f>'БА в тыс. руб.'!H1043*1000</f>
        <v>2977180</v>
      </c>
      <c r="M1043" s="169">
        <f t="shared" si="726"/>
        <v>0</v>
      </c>
      <c r="N1043" s="16">
        <f>'БА в тыс. руб.'!I1043*1000</f>
        <v>2977180</v>
      </c>
      <c r="O1043" s="169">
        <f t="shared" si="727"/>
        <v>0</v>
      </c>
    </row>
    <row r="1044" spans="1:15" s="3" customFormat="1" ht="25.5">
      <c r="A1044" s="39" t="s">
        <v>247</v>
      </c>
      <c r="B1044" s="35" t="s">
        <v>67</v>
      </c>
      <c r="C1044" s="36" t="s">
        <v>78</v>
      </c>
      <c r="D1044" s="36" t="s">
        <v>65</v>
      </c>
      <c r="E1044" s="36" t="s">
        <v>477</v>
      </c>
      <c r="F1044" s="36" t="s">
        <v>58</v>
      </c>
      <c r="G1044" s="37">
        <f t="shared" si="731"/>
        <v>2976140</v>
      </c>
      <c r="H1044" s="37">
        <f t="shared" si="731"/>
        <v>2977180</v>
      </c>
      <c r="I1044" s="37">
        <f t="shared" si="731"/>
        <v>2977180</v>
      </c>
      <c r="J1044" s="16">
        <f>'БА в тыс. руб.'!G1044*1000</f>
        <v>2976140</v>
      </c>
      <c r="K1044" s="169">
        <f t="shared" si="725"/>
        <v>0</v>
      </c>
      <c r="L1044" s="16">
        <f>'БА в тыс. руб.'!H1044*1000</f>
        <v>2977180</v>
      </c>
      <c r="M1044" s="169">
        <f t="shared" si="726"/>
        <v>0</v>
      </c>
      <c r="N1044" s="16">
        <f>'БА в тыс. руб.'!I1044*1000</f>
        <v>2977180</v>
      </c>
      <c r="O1044" s="169">
        <f t="shared" si="727"/>
        <v>0</v>
      </c>
    </row>
    <row r="1045" spans="1:15" s="3" customFormat="1">
      <c r="A1045" s="13" t="s">
        <v>92</v>
      </c>
      <c r="B1045" s="35" t="s">
        <v>67</v>
      </c>
      <c r="C1045" s="36" t="s">
        <v>78</v>
      </c>
      <c r="D1045" s="36" t="s">
        <v>65</v>
      </c>
      <c r="E1045" s="36" t="s">
        <v>477</v>
      </c>
      <c r="F1045" s="36" t="s">
        <v>138</v>
      </c>
      <c r="G1045" s="27">
        <f>G1046</f>
        <v>2976140</v>
      </c>
      <c r="H1045" s="27">
        <f t="shared" si="731"/>
        <v>2977180</v>
      </c>
      <c r="I1045" s="27">
        <f t="shared" si="731"/>
        <v>2977180</v>
      </c>
      <c r="J1045" s="16">
        <f>'БА в тыс. руб.'!G1045*1000</f>
        <v>2976140</v>
      </c>
      <c r="K1045" s="169">
        <f t="shared" si="725"/>
        <v>0</v>
      </c>
      <c r="L1045" s="16">
        <f>'БА в тыс. руб.'!H1045*1000</f>
        <v>2977180</v>
      </c>
      <c r="M1045" s="169">
        <f t="shared" si="726"/>
        <v>0</v>
      </c>
      <c r="N1045" s="16">
        <f>'БА в тыс. руб.'!I1045*1000</f>
        <v>2977180</v>
      </c>
      <c r="O1045" s="169">
        <f t="shared" si="727"/>
        <v>0</v>
      </c>
    </row>
    <row r="1046" spans="1:15" s="4" customFormat="1" ht="38.25">
      <c r="A1046" s="12" t="s">
        <v>1015</v>
      </c>
      <c r="B1046" s="35" t="s">
        <v>67</v>
      </c>
      <c r="C1046" s="36" t="s">
        <v>78</v>
      </c>
      <c r="D1046" s="36" t="s">
        <v>65</v>
      </c>
      <c r="E1046" s="36" t="s">
        <v>477</v>
      </c>
      <c r="F1046" s="36" t="s">
        <v>67</v>
      </c>
      <c r="G1046" s="27">
        <f t="shared" ref="G1046" si="733">J1046</f>
        <v>2976140</v>
      </c>
      <c r="H1046" s="27">
        <f>L1046</f>
        <v>2977180</v>
      </c>
      <c r="I1046" s="27">
        <f>N1046</f>
        <v>2977180</v>
      </c>
      <c r="J1046" s="16">
        <f>'БА в тыс. руб.'!G1046*1000</f>
        <v>2976140</v>
      </c>
      <c r="K1046" s="169">
        <f t="shared" si="725"/>
        <v>0</v>
      </c>
      <c r="L1046" s="16">
        <f>'БА в тыс. руб.'!H1046*1000</f>
        <v>2977180</v>
      </c>
      <c r="M1046" s="169">
        <f t="shared" si="726"/>
        <v>0</v>
      </c>
      <c r="N1046" s="16">
        <f>'БА в тыс. руб.'!I1046*1000</f>
        <v>2977180</v>
      </c>
      <c r="O1046" s="169">
        <f t="shared" si="727"/>
        <v>0</v>
      </c>
    </row>
    <row r="1047" spans="1:15" s="3" customFormat="1">
      <c r="A1047" s="21" t="s">
        <v>80</v>
      </c>
      <c r="B1047" s="22" t="s">
        <v>67</v>
      </c>
      <c r="C1047" s="23" t="s">
        <v>78</v>
      </c>
      <c r="D1047" s="23" t="s">
        <v>66</v>
      </c>
      <c r="E1047" s="23" t="s">
        <v>196</v>
      </c>
      <c r="F1047" s="23" t="s">
        <v>58</v>
      </c>
      <c r="G1047" s="24">
        <f>G1048+G1054</f>
        <v>13046770</v>
      </c>
      <c r="H1047" s="24">
        <f>H1048+H1054</f>
        <v>11728590</v>
      </c>
      <c r="I1047" s="24">
        <f>I1048+I1054</f>
        <v>11728590</v>
      </c>
      <c r="J1047" s="16">
        <f>'БА в тыс. руб.'!G1047*1000</f>
        <v>13046770</v>
      </c>
      <c r="K1047" s="169">
        <f t="shared" si="725"/>
        <v>0</v>
      </c>
      <c r="L1047" s="16">
        <f>'БА в тыс. руб.'!H1047*1000</f>
        <v>11728590</v>
      </c>
      <c r="M1047" s="169">
        <f t="shared" si="726"/>
        <v>0</v>
      </c>
      <c r="N1047" s="16">
        <f>'БА в тыс. руб.'!I1047*1000</f>
        <v>11728590</v>
      </c>
      <c r="O1047" s="169">
        <f t="shared" si="727"/>
        <v>0</v>
      </c>
    </row>
    <row r="1048" spans="1:15" s="3" customFormat="1" ht="25.5">
      <c r="A1048" s="11" t="s">
        <v>740</v>
      </c>
      <c r="B1048" s="25" t="s">
        <v>67</v>
      </c>
      <c r="C1048" s="26" t="s">
        <v>78</v>
      </c>
      <c r="D1048" s="26" t="s">
        <v>66</v>
      </c>
      <c r="E1048" s="26" t="s">
        <v>449</v>
      </c>
      <c r="F1048" s="26" t="s">
        <v>58</v>
      </c>
      <c r="G1048" s="27">
        <f t="shared" ref="G1048:I1050" si="734">G1049</f>
        <v>8206770</v>
      </c>
      <c r="H1048" s="27">
        <f t="shared" si="734"/>
        <v>7386090</v>
      </c>
      <c r="I1048" s="27">
        <f t="shared" si="734"/>
        <v>7386090</v>
      </c>
      <c r="J1048" s="16">
        <f>'БА в тыс. руб.'!G1048*1000</f>
        <v>8206770</v>
      </c>
      <c r="K1048" s="169">
        <f t="shared" si="725"/>
        <v>0</v>
      </c>
      <c r="L1048" s="16">
        <f>'БА в тыс. руб.'!H1048*1000</f>
        <v>7386090</v>
      </c>
      <c r="M1048" s="169">
        <f t="shared" si="726"/>
        <v>0</v>
      </c>
      <c r="N1048" s="16">
        <f>'БА в тыс. руб.'!I1048*1000</f>
        <v>7386090</v>
      </c>
      <c r="O1048" s="169">
        <f t="shared" si="727"/>
        <v>0</v>
      </c>
    </row>
    <row r="1049" spans="1:15" s="3" customFormat="1" ht="38.25">
      <c r="A1049" s="11" t="s">
        <v>141</v>
      </c>
      <c r="B1049" s="25" t="s">
        <v>67</v>
      </c>
      <c r="C1049" s="26" t="s">
        <v>78</v>
      </c>
      <c r="D1049" s="26" t="s">
        <v>66</v>
      </c>
      <c r="E1049" s="26" t="s">
        <v>450</v>
      </c>
      <c r="F1049" s="26" t="s">
        <v>58</v>
      </c>
      <c r="G1049" s="27">
        <f t="shared" si="734"/>
        <v>8206770</v>
      </c>
      <c r="H1049" s="27">
        <f t="shared" si="734"/>
        <v>7386090</v>
      </c>
      <c r="I1049" s="27">
        <f t="shared" si="734"/>
        <v>7386090</v>
      </c>
      <c r="J1049" s="16">
        <f>'БА в тыс. руб.'!G1049*1000</f>
        <v>8206770</v>
      </c>
      <c r="K1049" s="169">
        <f t="shared" si="725"/>
        <v>0</v>
      </c>
      <c r="L1049" s="16">
        <f>'БА в тыс. руб.'!H1049*1000</f>
        <v>7386090</v>
      </c>
      <c r="M1049" s="169">
        <f t="shared" si="726"/>
        <v>0</v>
      </c>
      <c r="N1049" s="16">
        <f>'БА в тыс. руб.'!I1049*1000</f>
        <v>7386090</v>
      </c>
      <c r="O1049" s="169">
        <f t="shared" si="727"/>
        <v>0</v>
      </c>
    </row>
    <row r="1050" spans="1:15" s="3" customFormat="1" ht="63.75">
      <c r="A1050" s="11" t="s">
        <v>884</v>
      </c>
      <c r="B1050" s="25" t="s">
        <v>67</v>
      </c>
      <c r="C1050" s="26" t="s">
        <v>78</v>
      </c>
      <c r="D1050" s="26" t="s">
        <v>66</v>
      </c>
      <c r="E1050" s="26" t="s">
        <v>812</v>
      </c>
      <c r="F1050" s="26" t="s">
        <v>58</v>
      </c>
      <c r="G1050" s="27">
        <f>G1051</f>
        <v>8206770</v>
      </c>
      <c r="H1050" s="27">
        <f t="shared" si="734"/>
        <v>7386090</v>
      </c>
      <c r="I1050" s="27">
        <f t="shared" si="734"/>
        <v>7386090</v>
      </c>
      <c r="J1050" s="16">
        <f>'БА в тыс. руб.'!G1050*1000</f>
        <v>8206770</v>
      </c>
      <c r="K1050" s="169">
        <f t="shared" si="725"/>
        <v>0</v>
      </c>
      <c r="L1050" s="16">
        <f>'БА в тыс. руб.'!H1050*1000</f>
        <v>7386090</v>
      </c>
      <c r="M1050" s="169">
        <f t="shared" si="726"/>
        <v>0</v>
      </c>
      <c r="N1050" s="16">
        <f>'БА в тыс. руб.'!I1050*1000</f>
        <v>7386090</v>
      </c>
      <c r="O1050" s="169">
        <f t="shared" si="727"/>
        <v>0</v>
      </c>
    </row>
    <row r="1051" spans="1:15" s="3" customFormat="1" ht="25.5">
      <c r="A1051" s="39" t="s">
        <v>247</v>
      </c>
      <c r="B1051" s="35" t="s">
        <v>67</v>
      </c>
      <c r="C1051" s="26" t="s">
        <v>78</v>
      </c>
      <c r="D1051" s="26" t="s">
        <v>66</v>
      </c>
      <c r="E1051" s="36" t="s">
        <v>813</v>
      </c>
      <c r="F1051" s="36" t="s">
        <v>58</v>
      </c>
      <c r="G1051" s="37">
        <f t="shared" ref="G1051:I1052" si="735">G1052</f>
        <v>8206770</v>
      </c>
      <c r="H1051" s="37">
        <f t="shared" si="735"/>
        <v>7386090</v>
      </c>
      <c r="I1051" s="37">
        <f t="shared" si="735"/>
        <v>7386090</v>
      </c>
      <c r="J1051" s="16">
        <f>'БА в тыс. руб.'!G1051*1000</f>
        <v>8206770</v>
      </c>
      <c r="K1051" s="169">
        <f t="shared" si="725"/>
        <v>0</v>
      </c>
      <c r="L1051" s="16">
        <f>'БА в тыс. руб.'!H1051*1000</f>
        <v>7386090</v>
      </c>
      <c r="M1051" s="169">
        <f t="shared" si="726"/>
        <v>0</v>
      </c>
      <c r="N1051" s="16">
        <f>'БА в тыс. руб.'!I1051*1000</f>
        <v>7386090</v>
      </c>
      <c r="O1051" s="169">
        <f t="shared" si="727"/>
        <v>0</v>
      </c>
    </row>
    <row r="1052" spans="1:15" s="3" customFormat="1">
      <c r="A1052" s="13" t="s">
        <v>92</v>
      </c>
      <c r="B1052" s="35" t="s">
        <v>67</v>
      </c>
      <c r="C1052" s="26" t="s">
        <v>78</v>
      </c>
      <c r="D1052" s="26" t="s">
        <v>66</v>
      </c>
      <c r="E1052" s="36" t="s">
        <v>813</v>
      </c>
      <c r="F1052" s="36" t="s">
        <v>138</v>
      </c>
      <c r="G1052" s="27">
        <f>G1053</f>
        <v>8206770</v>
      </c>
      <c r="H1052" s="27">
        <f t="shared" si="735"/>
        <v>7386090</v>
      </c>
      <c r="I1052" s="27">
        <f t="shared" si="735"/>
        <v>7386090</v>
      </c>
      <c r="J1052" s="16">
        <f>'БА в тыс. руб.'!G1052*1000</f>
        <v>8206770</v>
      </c>
      <c r="K1052" s="169">
        <f t="shared" si="725"/>
        <v>0</v>
      </c>
      <c r="L1052" s="16">
        <f>'БА в тыс. руб.'!H1052*1000</f>
        <v>7386090</v>
      </c>
      <c r="M1052" s="169">
        <f t="shared" si="726"/>
        <v>0</v>
      </c>
      <c r="N1052" s="16">
        <f>'БА в тыс. руб.'!I1052*1000</f>
        <v>7386090</v>
      </c>
      <c r="O1052" s="169">
        <f t="shared" si="727"/>
        <v>0</v>
      </c>
    </row>
    <row r="1053" spans="1:15" s="4" customFormat="1" ht="38.25">
      <c r="A1053" s="12" t="s">
        <v>1015</v>
      </c>
      <c r="B1053" s="35" t="s">
        <v>67</v>
      </c>
      <c r="C1053" s="26" t="s">
        <v>78</v>
      </c>
      <c r="D1053" s="26" t="s">
        <v>66</v>
      </c>
      <c r="E1053" s="36" t="s">
        <v>813</v>
      </c>
      <c r="F1053" s="36" t="s">
        <v>67</v>
      </c>
      <c r="G1053" s="27">
        <f t="shared" ref="G1053" si="736">J1053</f>
        <v>8206770</v>
      </c>
      <c r="H1053" s="27">
        <f>L1053</f>
        <v>7386090</v>
      </c>
      <c r="I1053" s="27">
        <f>N1053</f>
        <v>7386090</v>
      </c>
      <c r="J1053" s="16">
        <f>'БА в тыс. руб.'!G1053*1000</f>
        <v>8206770</v>
      </c>
      <c r="K1053" s="169">
        <f t="shared" si="725"/>
        <v>0</v>
      </c>
      <c r="L1053" s="16">
        <f>'БА в тыс. руб.'!H1053*1000</f>
        <v>7386090</v>
      </c>
      <c r="M1053" s="169">
        <f t="shared" si="726"/>
        <v>0</v>
      </c>
      <c r="N1053" s="16">
        <f>'БА в тыс. руб.'!I1053*1000</f>
        <v>7386090</v>
      </c>
      <c r="O1053" s="169">
        <f t="shared" si="727"/>
        <v>0</v>
      </c>
    </row>
    <row r="1054" spans="1:15" s="3" customFormat="1" ht="25.5">
      <c r="A1054" s="11" t="s">
        <v>883</v>
      </c>
      <c r="B1054" s="25" t="s">
        <v>67</v>
      </c>
      <c r="C1054" s="26" t="s">
        <v>78</v>
      </c>
      <c r="D1054" s="26" t="s">
        <v>66</v>
      </c>
      <c r="E1054" s="26" t="s">
        <v>478</v>
      </c>
      <c r="F1054" s="26" t="s">
        <v>58</v>
      </c>
      <c r="G1054" s="27">
        <f>G1055+G1061+G1065</f>
        <v>4840000</v>
      </c>
      <c r="H1054" s="27">
        <f>H1055+H1061+H1065</f>
        <v>4342500</v>
      </c>
      <c r="I1054" s="27">
        <f>I1055+I1061+I1065</f>
        <v>4342500</v>
      </c>
      <c r="J1054" s="16">
        <f>'БА в тыс. руб.'!G1054*1000</f>
        <v>4840000</v>
      </c>
      <c r="K1054" s="169">
        <f t="shared" si="725"/>
        <v>0</v>
      </c>
      <c r="L1054" s="16">
        <f>'БА в тыс. руб.'!H1054*1000</f>
        <v>4342500</v>
      </c>
      <c r="M1054" s="169">
        <f t="shared" si="726"/>
        <v>0</v>
      </c>
      <c r="N1054" s="16">
        <f>'БА в тыс. руб.'!I1054*1000</f>
        <v>4342500</v>
      </c>
      <c r="O1054" s="169">
        <f t="shared" si="727"/>
        <v>0</v>
      </c>
    </row>
    <row r="1055" spans="1:15" s="3" customFormat="1" ht="25.5">
      <c r="A1055" s="11" t="s">
        <v>619</v>
      </c>
      <c r="B1055" s="25" t="s">
        <v>67</v>
      </c>
      <c r="C1055" s="26" t="s">
        <v>78</v>
      </c>
      <c r="D1055" s="26" t="s">
        <v>66</v>
      </c>
      <c r="E1055" s="26" t="s">
        <v>479</v>
      </c>
      <c r="F1055" s="26" t="s">
        <v>58</v>
      </c>
      <c r="G1055" s="27">
        <f>G1056</f>
        <v>4750000</v>
      </c>
      <c r="H1055" s="27">
        <f t="shared" ref="H1055:I1055" si="737">H1056</f>
        <v>4275000</v>
      </c>
      <c r="I1055" s="27">
        <f t="shared" si="737"/>
        <v>4275000</v>
      </c>
      <c r="J1055" s="16">
        <f>'БА в тыс. руб.'!G1055*1000</f>
        <v>4750000</v>
      </c>
      <c r="K1055" s="169">
        <f t="shared" si="725"/>
        <v>0</v>
      </c>
      <c r="L1055" s="16">
        <f>'БА в тыс. руб.'!H1055*1000</f>
        <v>4275000</v>
      </c>
      <c r="M1055" s="169">
        <f t="shared" si="726"/>
        <v>0</v>
      </c>
      <c r="N1055" s="16">
        <f>'БА в тыс. руб.'!I1055*1000</f>
        <v>4275000</v>
      </c>
      <c r="O1055" s="169">
        <f t="shared" si="727"/>
        <v>0</v>
      </c>
    </row>
    <row r="1056" spans="1:15" s="3" customFormat="1" ht="25.5">
      <c r="A1056" s="11" t="s">
        <v>163</v>
      </c>
      <c r="B1056" s="25" t="s">
        <v>67</v>
      </c>
      <c r="C1056" s="26" t="s">
        <v>78</v>
      </c>
      <c r="D1056" s="26" t="s">
        <v>66</v>
      </c>
      <c r="E1056" s="26" t="s">
        <v>480</v>
      </c>
      <c r="F1056" s="26" t="s">
        <v>58</v>
      </c>
      <c r="G1056" s="27">
        <f>G1059+G1057</f>
        <v>4750000</v>
      </c>
      <c r="H1056" s="27">
        <f>H1059+H1057</f>
        <v>4275000</v>
      </c>
      <c r="I1056" s="27">
        <f>I1059+I1057</f>
        <v>4275000</v>
      </c>
      <c r="J1056" s="16">
        <f>'БА в тыс. руб.'!G1056*1000</f>
        <v>4750000</v>
      </c>
      <c r="K1056" s="169">
        <f t="shared" si="725"/>
        <v>0</v>
      </c>
      <c r="L1056" s="16">
        <f>'БА в тыс. руб.'!H1056*1000</f>
        <v>4275000</v>
      </c>
      <c r="M1056" s="169">
        <f t="shared" si="726"/>
        <v>0</v>
      </c>
      <c r="N1056" s="16">
        <f>'БА в тыс. руб.'!I1056*1000</f>
        <v>4275000</v>
      </c>
      <c r="O1056" s="169">
        <f t="shared" si="727"/>
        <v>0</v>
      </c>
    </row>
    <row r="1057" spans="1:15" s="3" customFormat="1">
      <c r="A1057" s="11" t="s">
        <v>106</v>
      </c>
      <c r="B1057" s="25" t="s">
        <v>67</v>
      </c>
      <c r="C1057" s="26" t="s">
        <v>78</v>
      </c>
      <c r="D1057" s="26" t="s">
        <v>66</v>
      </c>
      <c r="E1057" s="26" t="s">
        <v>480</v>
      </c>
      <c r="F1057" s="26" t="s">
        <v>121</v>
      </c>
      <c r="G1057" s="27">
        <f>G1058</f>
        <v>3052000</v>
      </c>
      <c r="H1057" s="27">
        <f t="shared" ref="H1057:I1057" si="738">H1058</f>
        <v>2577000</v>
      </c>
      <c r="I1057" s="27">
        <f t="shared" si="738"/>
        <v>2577000</v>
      </c>
      <c r="J1057" s="16">
        <f>'БА в тыс. руб.'!G1057*1000</f>
        <v>3052000</v>
      </c>
      <c r="K1057" s="169">
        <f t="shared" si="725"/>
        <v>0</v>
      </c>
      <c r="L1057" s="16">
        <f>'БА в тыс. руб.'!H1057*1000</f>
        <v>2577000</v>
      </c>
      <c r="M1057" s="169">
        <f t="shared" si="726"/>
        <v>0</v>
      </c>
      <c r="N1057" s="16">
        <f>'БА в тыс. руб.'!I1057*1000</f>
        <v>2577000</v>
      </c>
      <c r="O1057" s="169">
        <f t="shared" si="727"/>
        <v>0</v>
      </c>
    </row>
    <row r="1058" spans="1:15" s="4" customFormat="1" ht="38.25">
      <c r="A1058" s="12" t="s">
        <v>934</v>
      </c>
      <c r="B1058" s="25" t="s">
        <v>67</v>
      </c>
      <c r="C1058" s="26" t="s">
        <v>78</v>
      </c>
      <c r="D1058" s="26" t="s">
        <v>66</v>
      </c>
      <c r="E1058" s="26" t="s">
        <v>480</v>
      </c>
      <c r="F1058" s="26" t="s">
        <v>1071</v>
      </c>
      <c r="G1058" s="27">
        <f t="shared" ref="G1058" si="739">J1058</f>
        <v>3052000</v>
      </c>
      <c r="H1058" s="27">
        <f>L1058</f>
        <v>2577000</v>
      </c>
      <c r="I1058" s="27">
        <f>N1058</f>
        <v>2577000</v>
      </c>
      <c r="J1058" s="16">
        <f>'БА в тыс. руб.'!G1058*1000</f>
        <v>3052000</v>
      </c>
      <c r="K1058" s="169">
        <f t="shared" si="725"/>
        <v>0</v>
      </c>
      <c r="L1058" s="16">
        <f>'БА в тыс. руб.'!H1058*1000</f>
        <v>2577000</v>
      </c>
      <c r="M1058" s="169">
        <f t="shared" si="726"/>
        <v>0</v>
      </c>
      <c r="N1058" s="16">
        <f>'БА в тыс. руб.'!I1058*1000</f>
        <v>2577000</v>
      </c>
      <c r="O1058" s="169">
        <f t="shared" si="727"/>
        <v>0</v>
      </c>
    </row>
    <row r="1059" spans="1:15" s="3" customFormat="1" ht="25.5">
      <c r="A1059" s="11" t="s">
        <v>108</v>
      </c>
      <c r="B1059" s="25" t="s">
        <v>67</v>
      </c>
      <c r="C1059" s="26" t="s">
        <v>78</v>
      </c>
      <c r="D1059" s="26" t="s">
        <v>66</v>
      </c>
      <c r="E1059" s="26" t="s">
        <v>480</v>
      </c>
      <c r="F1059" s="26" t="s">
        <v>116</v>
      </c>
      <c r="G1059" s="27">
        <f>G1060</f>
        <v>1698000</v>
      </c>
      <c r="H1059" s="27">
        <f t="shared" ref="H1059:I1059" si="740">H1060</f>
        <v>1698000</v>
      </c>
      <c r="I1059" s="27">
        <f t="shared" si="740"/>
        <v>1698000</v>
      </c>
      <c r="J1059" s="16">
        <f>'БА в тыс. руб.'!G1059*1000</f>
        <v>1698000</v>
      </c>
      <c r="K1059" s="169">
        <f t="shared" si="725"/>
        <v>0</v>
      </c>
      <c r="L1059" s="16">
        <f>'БА в тыс. руб.'!H1059*1000</f>
        <v>1698000</v>
      </c>
      <c r="M1059" s="169">
        <f t="shared" si="726"/>
        <v>0</v>
      </c>
      <c r="N1059" s="16">
        <f>'БА в тыс. руб.'!I1059*1000</f>
        <v>1698000</v>
      </c>
      <c r="O1059" s="169">
        <f t="shared" si="727"/>
        <v>0</v>
      </c>
    </row>
    <row r="1060" spans="1:15" s="4" customFormat="1" ht="25.5">
      <c r="A1060" s="12" t="s">
        <v>973</v>
      </c>
      <c r="B1060" s="25" t="s">
        <v>67</v>
      </c>
      <c r="C1060" s="26" t="s">
        <v>78</v>
      </c>
      <c r="D1060" s="26" t="s">
        <v>66</v>
      </c>
      <c r="E1060" s="26" t="s">
        <v>480</v>
      </c>
      <c r="F1060" s="26" t="s">
        <v>1043</v>
      </c>
      <c r="G1060" s="27">
        <f t="shared" ref="G1060" si="741">J1060</f>
        <v>1698000</v>
      </c>
      <c r="H1060" s="27">
        <f>L1060</f>
        <v>1698000</v>
      </c>
      <c r="I1060" s="27">
        <f>N1060</f>
        <v>1698000</v>
      </c>
      <c r="J1060" s="16">
        <f>'БА в тыс. руб.'!G1060*1000</f>
        <v>1698000</v>
      </c>
      <c r="K1060" s="169">
        <f t="shared" si="725"/>
        <v>0</v>
      </c>
      <c r="L1060" s="16">
        <f>'БА в тыс. руб.'!H1060*1000</f>
        <v>1698000</v>
      </c>
      <c r="M1060" s="169">
        <f t="shared" si="726"/>
        <v>0</v>
      </c>
      <c r="N1060" s="16">
        <f>'БА в тыс. руб.'!I1060*1000</f>
        <v>1698000</v>
      </c>
      <c r="O1060" s="169">
        <f t="shared" si="727"/>
        <v>0</v>
      </c>
    </row>
    <row r="1061" spans="1:15" s="3" customFormat="1" ht="38.25">
      <c r="A1061" s="40" t="s">
        <v>814</v>
      </c>
      <c r="B1061" s="25" t="s">
        <v>67</v>
      </c>
      <c r="C1061" s="26" t="s">
        <v>78</v>
      </c>
      <c r="D1061" s="26" t="s">
        <v>66</v>
      </c>
      <c r="E1061" s="26" t="s">
        <v>815</v>
      </c>
      <c r="F1061" s="26" t="s">
        <v>58</v>
      </c>
      <c r="G1061" s="27">
        <f>G1062</f>
        <v>15000</v>
      </c>
      <c r="H1061" s="27">
        <f t="shared" ref="H1061:I1063" si="742">H1062</f>
        <v>11250</v>
      </c>
      <c r="I1061" s="27">
        <f t="shared" si="742"/>
        <v>11250</v>
      </c>
      <c r="J1061" s="16">
        <f>'БА в тыс. руб.'!G1061*1000</f>
        <v>15000</v>
      </c>
      <c r="K1061" s="169">
        <f t="shared" si="725"/>
        <v>0</v>
      </c>
      <c r="L1061" s="16">
        <f>'БА в тыс. руб.'!H1061*1000</f>
        <v>11250</v>
      </c>
      <c r="M1061" s="169">
        <f t="shared" si="726"/>
        <v>0</v>
      </c>
      <c r="N1061" s="16">
        <f>'БА в тыс. руб.'!I1061*1000</f>
        <v>11250</v>
      </c>
      <c r="O1061" s="169">
        <f t="shared" si="727"/>
        <v>0</v>
      </c>
    </row>
    <row r="1062" spans="1:15" s="3" customFormat="1">
      <c r="A1062" s="12" t="s">
        <v>885</v>
      </c>
      <c r="B1062" s="25" t="s">
        <v>67</v>
      </c>
      <c r="C1062" s="26" t="s">
        <v>78</v>
      </c>
      <c r="D1062" s="26" t="s">
        <v>66</v>
      </c>
      <c r="E1062" s="26" t="s">
        <v>816</v>
      </c>
      <c r="F1062" s="26" t="s">
        <v>58</v>
      </c>
      <c r="G1062" s="27">
        <f>G1063</f>
        <v>15000</v>
      </c>
      <c r="H1062" s="27">
        <f t="shared" si="742"/>
        <v>11250</v>
      </c>
      <c r="I1062" s="27">
        <f t="shared" si="742"/>
        <v>11250</v>
      </c>
      <c r="J1062" s="16">
        <f>'БА в тыс. руб.'!G1062*1000</f>
        <v>15000</v>
      </c>
      <c r="K1062" s="169">
        <f t="shared" si="725"/>
        <v>0</v>
      </c>
      <c r="L1062" s="16">
        <f>'БА в тыс. руб.'!H1062*1000</f>
        <v>11250</v>
      </c>
      <c r="M1062" s="169">
        <f t="shared" si="726"/>
        <v>0</v>
      </c>
      <c r="N1062" s="16">
        <f>'БА в тыс. руб.'!I1062*1000</f>
        <v>11250</v>
      </c>
      <c r="O1062" s="169">
        <f t="shared" si="727"/>
        <v>0</v>
      </c>
    </row>
    <row r="1063" spans="1:15" s="3" customFormat="1" ht="25.5">
      <c r="A1063" s="11" t="s">
        <v>108</v>
      </c>
      <c r="B1063" s="25" t="s">
        <v>67</v>
      </c>
      <c r="C1063" s="26" t="s">
        <v>78</v>
      </c>
      <c r="D1063" s="26" t="s">
        <v>66</v>
      </c>
      <c r="E1063" s="26" t="s">
        <v>816</v>
      </c>
      <c r="F1063" s="26" t="s">
        <v>116</v>
      </c>
      <c r="G1063" s="27">
        <f>G1064</f>
        <v>15000</v>
      </c>
      <c r="H1063" s="27">
        <f t="shared" si="742"/>
        <v>11250</v>
      </c>
      <c r="I1063" s="27">
        <f t="shared" si="742"/>
        <v>11250</v>
      </c>
      <c r="J1063" s="16">
        <f>'БА в тыс. руб.'!G1063*1000</f>
        <v>15000</v>
      </c>
      <c r="K1063" s="169">
        <f t="shared" si="725"/>
        <v>0</v>
      </c>
      <c r="L1063" s="16">
        <f>'БА в тыс. руб.'!H1063*1000</f>
        <v>11250</v>
      </c>
      <c r="M1063" s="169">
        <f t="shared" si="726"/>
        <v>0</v>
      </c>
      <c r="N1063" s="16">
        <f>'БА в тыс. руб.'!I1063*1000</f>
        <v>11250</v>
      </c>
      <c r="O1063" s="169">
        <f t="shared" si="727"/>
        <v>0</v>
      </c>
    </row>
    <row r="1064" spans="1:15" s="4" customFormat="1" ht="25.5">
      <c r="A1064" s="12" t="s">
        <v>973</v>
      </c>
      <c r="B1064" s="25" t="s">
        <v>67</v>
      </c>
      <c r="C1064" s="26" t="s">
        <v>78</v>
      </c>
      <c r="D1064" s="26" t="s">
        <v>66</v>
      </c>
      <c r="E1064" s="26" t="s">
        <v>816</v>
      </c>
      <c r="F1064" s="26" t="s">
        <v>1043</v>
      </c>
      <c r="G1064" s="27">
        <f t="shared" ref="G1064" si="743">J1064</f>
        <v>15000</v>
      </c>
      <c r="H1064" s="27">
        <f>L1064</f>
        <v>11250</v>
      </c>
      <c r="I1064" s="27">
        <f>N1064</f>
        <v>11250</v>
      </c>
      <c r="J1064" s="16">
        <f>'БА в тыс. руб.'!G1064*1000</f>
        <v>15000</v>
      </c>
      <c r="K1064" s="169">
        <f t="shared" si="725"/>
        <v>0</v>
      </c>
      <c r="L1064" s="16">
        <f>'БА в тыс. руб.'!H1064*1000</f>
        <v>11250</v>
      </c>
      <c r="M1064" s="169">
        <f t="shared" si="726"/>
        <v>0</v>
      </c>
      <c r="N1064" s="16">
        <f>'БА в тыс. руб.'!I1064*1000</f>
        <v>11250</v>
      </c>
      <c r="O1064" s="169">
        <f t="shared" si="727"/>
        <v>0</v>
      </c>
    </row>
    <row r="1065" spans="1:15" s="3" customFormat="1" ht="38.25">
      <c r="A1065" s="40" t="s">
        <v>817</v>
      </c>
      <c r="B1065" s="25" t="s">
        <v>67</v>
      </c>
      <c r="C1065" s="26" t="s">
        <v>78</v>
      </c>
      <c r="D1065" s="26" t="s">
        <v>66</v>
      </c>
      <c r="E1065" s="26" t="s">
        <v>818</v>
      </c>
      <c r="F1065" s="26" t="s">
        <v>58</v>
      </c>
      <c r="G1065" s="27">
        <f t="shared" ref="G1065:I1067" si="744">G1066</f>
        <v>75000</v>
      </c>
      <c r="H1065" s="27">
        <f t="shared" si="744"/>
        <v>56250</v>
      </c>
      <c r="I1065" s="27">
        <f t="shared" si="744"/>
        <v>56250</v>
      </c>
      <c r="J1065" s="16">
        <f>'БА в тыс. руб.'!G1065*1000</f>
        <v>75000</v>
      </c>
      <c r="K1065" s="169">
        <f t="shared" si="725"/>
        <v>0</v>
      </c>
      <c r="L1065" s="16">
        <f>'БА в тыс. руб.'!H1065*1000</f>
        <v>56250</v>
      </c>
      <c r="M1065" s="169">
        <f t="shared" si="726"/>
        <v>0</v>
      </c>
      <c r="N1065" s="16">
        <f>'БА в тыс. руб.'!I1065*1000</f>
        <v>56250</v>
      </c>
      <c r="O1065" s="169">
        <f t="shared" si="727"/>
        <v>0</v>
      </c>
    </row>
    <row r="1066" spans="1:15" s="3" customFormat="1" ht="25.5">
      <c r="A1066" s="12" t="s">
        <v>886</v>
      </c>
      <c r="B1066" s="25" t="s">
        <v>67</v>
      </c>
      <c r="C1066" s="26" t="s">
        <v>78</v>
      </c>
      <c r="D1066" s="26" t="s">
        <v>66</v>
      </c>
      <c r="E1066" s="26" t="s">
        <v>908</v>
      </c>
      <c r="F1066" s="26" t="s">
        <v>58</v>
      </c>
      <c r="G1066" s="27">
        <f>G1067</f>
        <v>75000</v>
      </c>
      <c r="H1066" s="27">
        <f t="shared" si="744"/>
        <v>56250</v>
      </c>
      <c r="I1066" s="27">
        <f t="shared" si="744"/>
        <v>56250</v>
      </c>
      <c r="J1066" s="16">
        <f>'БА в тыс. руб.'!G1066*1000</f>
        <v>75000</v>
      </c>
      <c r="K1066" s="169">
        <f t="shared" si="725"/>
        <v>0</v>
      </c>
      <c r="L1066" s="16">
        <f>'БА в тыс. руб.'!H1066*1000</f>
        <v>56250</v>
      </c>
      <c r="M1066" s="169">
        <f t="shared" si="726"/>
        <v>0</v>
      </c>
      <c r="N1066" s="16">
        <f>'БА в тыс. руб.'!I1066*1000</f>
        <v>56250</v>
      </c>
      <c r="O1066" s="169">
        <f t="shared" si="727"/>
        <v>0</v>
      </c>
    </row>
    <row r="1067" spans="1:15" s="3" customFormat="1" ht="25.5">
      <c r="A1067" s="11" t="s">
        <v>108</v>
      </c>
      <c r="B1067" s="25" t="s">
        <v>67</v>
      </c>
      <c r="C1067" s="26" t="s">
        <v>78</v>
      </c>
      <c r="D1067" s="26" t="s">
        <v>66</v>
      </c>
      <c r="E1067" s="26" t="s">
        <v>908</v>
      </c>
      <c r="F1067" s="26" t="s">
        <v>116</v>
      </c>
      <c r="G1067" s="27">
        <f>G1068</f>
        <v>75000</v>
      </c>
      <c r="H1067" s="27">
        <f t="shared" si="744"/>
        <v>56250</v>
      </c>
      <c r="I1067" s="27">
        <f t="shared" si="744"/>
        <v>56250</v>
      </c>
      <c r="J1067" s="16">
        <f>'БА в тыс. руб.'!G1067*1000</f>
        <v>75000</v>
      </c>
      <c r="K1067" s="169">
        <f t="shared" si="725"/>
        <v>0</v>
      </c>
      <c r="L1067" s="16">
        <f>'БА в тыс. руб.'!H1067*1000</f>
        <v>56250</v>
      </c>
      <c r="M1067" s="169">
        <f t="shared" si="726"/>
        <v>0</v>
      </c>
      <c r="N1067" s="16">
        <f>'БА в тыс. руб.'!I1067*1000</f>
        <v>56250</v>
      </c>
      <c r="O1067" s="169">
        <f t="shared" si="727"/>
        <v>0</v>
      </c>
    </row>
    <row r="1068" spans="1:15" s="4" customFormat="1" ht="25.5">
      <c r="A1068" s="12" t="s">
        <v>973</v>
      </c>
      <c r="B1068" s="25" t="s">
        <v>67</v>
      </c>
      <c r="C1068" s="26" t="s">
        <v>78</v>
      </c>
      <c r="D1068" s="26" t="s">
        <v>66</v>
      </c>
      <c r="E1068" s="26" t="s">
        <v>908</v>
      </c>
      <c r="F1068" s="26" t="s">
        <v>1043</v>
      </c>
      <c r="G1068" s="27">
        <f t="shared" ref="G1068" si="745">J1068</f>
        <v>75000</v>
      </c>
      <c r="H1068" s="27">
        <f>L1068</f>
        <v>56250</v>
      </c>
      <c r="I1068" s="27">
        <f>N1068</f>
        <v>56250</v>
      </c>
      <c r="J1068" s="16">
        <f>'БА в тыс. руб.'!G1068*1000</f>
        <v>75000</v>
      </c>
      <c r="K1068" s="169">
        <f t="shared" si="725"/>
        <v>0</v>
      </c>
      <c r="L1068" s="16">
        <f>'БА в тыс. руб.'!H1068*1000</f>
        <v>56250</v>
      </c>
      <c r="M1068" s="169">
        <f t="shared" si="726"/>
        <v>0</v>
      </c>
      <c r="N1068" s="16">
        <f>'БА в тыс. руб.'!I1068*1000</f>
        <v>56250</v>
      </c>
      <c r="O1068" s="169">
        <f t="shared" si="727"/>
        <v>0</v>
      </c>
    </row>
    <row r="1069" spans="1:15" s="3" customFormat="1">
      <c r="A1069" s="21" t="s">
        <v>81</v>
      </c>
      <c r="B1069" s="22" t="s">
        <v>67</v>
      </c>
      <c r="C1069" s="23" t="s">
        <v>78</v>
      </c>
      <c r="D1069" s="23" t="s">
        <v>53</v>
      </c>
      <c r="E1069" s="23" t="s">
        <v>196</v>
      </c>
      <c r="F1069" s="23" t="s">
        <v>58</v>
      </c>
      <c r="G1069" s="24">
        <f>G1070</f>
        <v>21605000</v>
      </c>
      <c r="H1069" s="24">
        <f>H1070</f>
        <v>0</v>
      </c>
      <c r="I1069" s="24">
        <f>I1070</f>
        <v>0</v>
      </c>
      <c r="J1069" s="16">
        <f>'БА в тыс. руб.'!G1069*1000</f>
        <v>21605000</v>
      </c>
      <c r="K1069" s="169">
        <f t="shared" si="725"/>
        <v>0</v>
      </c>
      <c r="L1069" s="16">
        <f>'БА в тыс. руб.'!H1069*1000</f>
        <v>0</v>
      </c>
      <c r="M1069" s="169">
        <f t="shared" si="726"/>
        <v>0</v>
      </c>
      <c r="N1069" s="16">
        <f>'БА в тыс. руб.'!I1069*1000</f>
        <v>0</v>
      </c>
      <c r="O1069" s="169">
        <f t="shared" si="727"/>
        <v>0</v>
      </c>
    </row>
    <row r="1070" spans="1:15" s="3" customFormat="1" ht="25.5">
      <c r="A1070" s="11" t="s">
        <v>740</v>
      </c>
      <c r="B1070" s="25" t="s">
        <v>67</v>
      </c>
      <c r="C1070" s="26" t="s">
        <v>78</v>
      </c>
      <c r="D1070" s="26" t="s">
        <v>53</v>
      </c>
      <c r="E1070" s="26" t="s">
        <v>449</v>
      </c>
      <c r="F1070" s="26" t="s">
        <v>58</v>
      </c>
      <c r="G1070" s="27">
        <f t="shared" ref="G1070:I1077" si="746">G1071</f>
        <v>21605000</v>
      </c>
      <c r="H1070" s="27">
        <f t="shared" si="746"/>
        <v>0</v>
      </c>
      <c r="I1070" s="27">
        <f t="shared" si="746"/>
        <v>0</v>
      </c>
      <c r="J1070" s="16">
        <f>'БА в тыс. руб.'!G1070*1000</f>
        <v>21605000</v>
      </c>
      <c r="K1070" s="169">
        <f t="shared" si="725"/>
        <v>0</v>
      </c>
      <c r="L1070" s="16">
        <f>'БА в тыс. руб.'!H1070*1000</f>
        <v>0</v>
      </c>
      <c r="M1070" s="169">
        <f t="shared" si="726"/>
        <v>0</v>
      </c>
      <c r="N1070" s="16">
        <f>'БА в тыс. руб.'!I1070*1000</f>
        <v>0</v>
      </c>
      <c r="O1070" s="169">
        <f t="shared" si="727"/>
        <v>0</v>
      </c>
    </row>
    <row r="1071" spans="1:15" s="3" customFormat="1" ht="25.5">
      <c r="A1071" s="11" t="s">
        <v>883</v>
      </c>
      <c r="B1071" s="25" t="s">
        <v>67</v>
      </c>
      <c r="C1071" s="26" t="s">
        <v>78</v>
      </c>
      <c r="D1071" s="26" t="s">
        <v>53</v>
      </c>
      <c r="E1071" s="26" t="s">
        <v>478</v>
      </c>
      <c r="F1071" s="26" t="s">
        <v>58</v>
      </c>
      <c r="G1071" s="27">
        <f>G1072</f>
        <v>21605000</v>
      </c>
      <c r="H1071" s="27">
        <f t="shared" si="746"/>
        <v>0</v>
      </c>
      <c r="I1071" s="27">
        <f t="shared" si="746"/>
        <v>0</v>
      </c>
      <c r="J1071" s="16">
        <f>'БА в тыс. руб.'!G1071*1000</f>
        <v>21605000</v>
      </c>
      <c r="K1071" s="169">
        <f t="shared" si="725"/>
        <v>0</v>
      </c>
      <c r="L1071" s="16">
        <f>'БА в тыс. руб.'!H1071*1000</f>
        <v>0</v>
      </c>
      <c r="M1071" s="169">
        <f t="shared" si="726"/>
        <v>0</v>
      </c>
      <c r="N1071" s="16">
        <f>'БА в тыс. руб.'!I1071*1000</f>
        <v>0</v>
      </c>
      <c r="O1071" s="169">
        <f t="shared" si="727"/>
        <v>0</v>
      </c>
    </row>
    <row r="1072" spans="1:15" s="3" customFormat="1" ht="51">
      <c r="A1072" s="11" t="s">
        <v>925</v>
      </c>
      <c r="B1072" s="25" t="s">
        <v>67</v>
      </c>
      <c r="C1072" s="26" t="s">
        <v>78</v>
      </c>
      <c r="D1072" s="26" t="s">
        <v>53</v>
      </c>
      <c r="E1072" s="26" t="s">
        <v>613</v>
      </c>
      <c r="F1072" s="26" t="s">
        <v>58</v>
      </c>
      <c r="G1072" s="27">
        <f>G1073+G1076</f>
        <v>21605000</v>
      </c>
      <c r="H1072" s="27">
        <f t="shared" ref="H1072:I1072" si="747">H1073+H1076</f>
        <v>0</v>
      </c>
      <c r="I1072" s="27">
        <f t="shared" si="747"/>
        <v>0</v>
      </c>
      <c r="J1072" s="16">
        <f>'БА в тыс. руб.'!G1072*1000</f>
        <v>21605000</v>
      </c>
      <c r="K1072" s="169">
        <f t="shared" si="725"/>
        <v>0</v>
      </c>
      <c r="L1072" s="16">
        <f>'БА в тыс. руб.'!H1072*1000</f>
        <v>0</v>
      </c>
      <c r="M1072" s="169">
        <f t="shared" si="726"/>
        <v>0</v>
      </c>
      <c r="N1072" s="16">
        <f>'БА в тыс. руб.'!I1072*1000</f>
        <v>0</v>
      </c>
      <c r="O1072" s="169">
        <f t="shared" si="727"/>
        <v>0</v>
      </c>
    </row>
    <row r="1073" spans="1:15" s="3" customFormat="1" ht="63.75">
      <c r="A1073" s="11" t="s">
        <v>904</v>
      </c>
      <c r="B1073" s="25" t="s">
        <v>67</v>
      </c>
      <c r="C1073" s="26" t="s">
        <v>78</v>
      </c>
      <c r="D1073" s="26" t="s">
        <v>53</v>
      </c>
      <c r="E1073" s="26" t="s">
        <v>614</v>
      </c>
      <c r="F1073" s="26" t="s">
        <v>58</v>
      </c>
      <c r="G1073" s="27">
        <f t="shared" si="746"/>
        <v>1105000</v>
      </c>
      <c r="H1073" s="27">
        <f t="shared" si="746"/>
        <v>0</v>
      </c>
      <c r="I1073" s="27">
        <f t="shared" si="746"/>
        <v>0</v>
      </c>
      <c r="J1073" s="16">
        <f>'БА в тыс. руб.'!G1073*1000</f>
        <v>1105000</v>
      </c>
      <c r="K1073" s="169">
        <f t="shared" si="725"/>
        <v>0</v>
      </c>
      <c r="L1073" s="16">
        <f>'БА в тыс. руб.'!H1073*1000</f>
        <v>0</v>
      </c>
      <c r="M1073" s="169">
        <f t="shared" si="726"/>
        <v>0</v>
      </c>
      <c r="N1073" s="16">
        <f>'БА в тыс. руб.'!I1073*1000</f>
        <v>0</v>
      </c>
      <c r="O1073" s="169">
        <f t="shared" si="727"/>
        <v>0</v>
      </c>
    </row>
    <row r="1074" spans="1:15" s="3" customFormat="1" ht="25.5">
      <c r="A1074" s="11" t="s">
        <v>111</v>
      </c>
      <c r="B1074" s="25" t="s">
        <v>67</v>
      </c>
      <c r="C1074" s="26" t="s">
        <v>78</v>
      </c>
      <c r="D1074" s="26" t="s">
        <v>53</v>
      </c>
      <c r="E1074" s="26" t="s">
        <v>614</v>
      </c>
      <c r="F1074" s="26" t="s">
        <v>104</v>
      </c>
      <c r="G1074" s="27">
        <f>G1075</f>
        <v>1105000</v>
      </c>
      <c r="H1074" s="27">
        <f t="shared" si="746"/>
        <v>0</v>
      </c>
      <c r="I1074" s="27">
        <f t="shared" si="746"/>
        <v>0</v>
      </c>
      <c r="J1074" s="16">
        <f>'БА в тыс. руб.'!G1074*1000</f>
        <v>1105000</v>
      </c>
      <c r="K1074" s="169">
        <f t="shared" si="725"/>
        <v>0</v>
      </c>
      <c r="L1074" s="16">
        <f>'БА в тыс. руб.'!H1074*1000</f>
        <v>0</v>
      </c>
      <c r="M1074" s="169">
        <f t="shared" si="726"/>
        <v>0</v>
      </c>
      <c r="N1074" s="16">
        <f>'БА в тыс. руб.'!I1074*1000</f>
        <v>0</v>
      </c>
      <c r="O1074" s="169">
        <f t="shared" si="727"/>
        <v>0</v>
      </c>
    </row>
    <row r="1075" spans="1:15" s="94" customFormat="1" ht="76.5">
      <c r="A1075" s="12" t="s">
        <v>1048</v>
      </c>
      <c r="B1075" s="25" t="s">
        <v>67</v>
      </c>
      <c r="C1075" s="26" t="s">
        <v>78</v>
      </c>
      <c r="D1075" s="26" t="s">
        <v>53</v>
      </c>
      <c r="E1075" s="26" t="s">
        <v>614</v>
      </c>
      <c r="F1075" s="26" t="s">
        <v>1055</v>
      </c>
      <c r="G1075" s="27">
        <f t="shared" ref="G1075" si="748">J1075</f>
        <v>1105000</v>
      </c>
      <c r="H1075" s="27">
        <f>L1075</f>
        <v>0</v>
      </c>
      <c r="I1075" s="27">
        <f>N1075</f>
        <v>0</v>
      </c>
      <c r="J1075" s="16">
        <f>'БА в тыс. руб.'!G1075*1000</f>
        <v>1105000</v>
      </c>
      <c r="K1075" s="169">
        <f t="shared" si="725"/>
        <v>0</v>
      </c>
      <c r="L1075" s="16">
        <f>'БА в тыс. руб.'!H1075*1000</f>
        <v>0</v>
      </c>
      <c r="M1075" s="169">
        <f t="shared" si="726"/>
        <v>0</v>
      </c>
      <c r="N1075" s="16">
        <f>'БА в тыс. руб.'!I1075*1000</f>
        <v>0</v>
      </c>
      <c r="O1075" s="169">
        <f t="shared" si="727"/>
        <v>0</v>
      </c>
    </row>
    <row r="1076" spans="1:15" s="3" customFormat="1" ht="51">
      <c r="A1076" s="11" t="s">
        <v>927</v>
      </c>
      <c r="B1076" s="25" t="s">
        <v>67</v>
      </c>
      <c r="C1076" s="26" t="s">
        <v>78</v>
      </c>
      <c r="D1076" s="26" t="s">
        <v>53</v>
      </c>
      <c r="E1076" s="26" t="s">
        <v>926</v>
      </c>
      <c r="F1076" s="26" t="s">
        <v>58</v>
      </c>
      <c r="G1076" s="27">
        <f t="shared" si="746"/>
        <v>20500000</v>
      </c>
      <c r="H1076" s="27">
        <f t="shared" si="746"/>
        <v>0</v>
      </c>
      <c r="I1076" s="27">
        <f t="shared" si="746"/>
        <v>0</v>
      </c>
      <c r="J1076" s="16">
        <f>'БА в тыс. руб.'!G1076*1000</f>
        <v>20500000</v>
      </c>
      <c r="K1076" s="169">
        <f t="shared" si="725"/>
        <v>0</v>
      </c>
      <c r="L1076" s="16">
        <f>'БА в тыс. руб.'!H1076*1000</f>
        <v>0</v>
      </c>
      <c r="M1076" s="169">
        <f t="shared" si="726"/>
        <v>0</v>
      </c>
      <c r="N1076" s="16">
        <f>'БА в тыс. руб.'!I1076*1000</f>
        <v>0</v>
      </c>
      <c r="O1076" s="169">
        <f t="shared" si="727"/>
        <v>0</v>
      </c>
    </row>
    <row r="1077" spans="1:15" s="3" customFormat="1" ht="25.5">
      <c r="A1077" s="11" t="s">
        <v>111</v>
      </c>
      <c r="B1077" s="25" t="s">
        <v>67</v>
      </c>
      <c r="C1077" s="26" t="s">
        <v>78</v>
      </c>
      <c r="D1077" s="26" t="s">
        <v>53</v>
      </c>
      <c r="E1077" s="26" t="s">
        <v>926</v>
      </c>
      <c r="F1077" s="26" t="s">
        <v>104</v>
      </c>
      <c r="G1077" s="27">
        <f>G1078</f>
        <v>20500000</v>
      </c>
      <c r="H1077" s="27">
        <f t="shared" si="746"/>
        <v>0</v>
      </c>
      <c r="I1077" s="27">
        <f t="shared" si="746"/>
        <v>0</v>
      </c>
      <c r="J1077" s="16">
        <f>'БА в тыс. руб.'!G1077*1000</f>
        <v>20500000</v>
      </c>
      <c r="K1077" s="169">
        <f t="shared" si="725"/>
        <v>0</v>
      </c>
      <c r="L1077" s="16">
        <f>'БА в тыс. руб.'!H1077*1000</f>
        <v>0</v>
      </c>
      <c r="M1077" s="169">
        <f t="shared" si="726"/>
        <v>0</v>
      </c>
      <c r="N1077" s="16">
        <f>'БА в тыс. руб.'!I1077*1000</f>
        <v>0</v>
      </c>
      <c r="O1077" s="169">
        <f t="shared" si="727"/>
        <v>0</v>
      </c>
    </row>
    <row r="1078" spans="1:15" s="4" customFormat="1" ht="76.5">
      <c r="A1078" s="12" t="s">
        <v>1048</v>
      </c>
      <c r="B1078" s="25" t="s">
        <v>67</v>
      </c>
      <c r="C1078" s="26" t="s">
        <v>78</v>
      </c>
      <c r="D1078" s="26" t="s">
        <v>53</v>
      </c>
      <c r="E1078" s="26" t="s">
        <v>926</v>
      </c>
      <c r="F1078" s="26" t="s">
        <v>1055</v>
      </c>
      <c r="G1078" s="27">
        <f t="shared" ref="G1078" si="749">J1078</f>
        <v>20500000</v>
      </c>
      <c r="H1078" s="27">
        <f>L1078</f>
        <v>0</v>
      </c>
      <c r="I1078" s="27">
        <f>N1078</f>
        <v>0</v>
      </c>
      <c r="J1078" s="16">
        <f>'БА в тыс. руб.'!G1078*1000</f>
        <v>20500000</v>
      </c>
      <c r="K1078" s="169">
        <f t="shared" si="725"/>
        <v>0</v>
      </c>
      <c r="L1078" s="16">
        <f>'БА в тыс. руб.'!H1078*1000</f>
        <v>0</v>
      </c>
      <c r="M1078" s="169">
        <f t="shared" si="726"/>
        <v>0</v>
      </c>
      <c r="N1078" s="16">
        <f>'БА в тыс. руб.'!I1078*1000</f>
        <v>0</v>
      </c>
      <c r="O1078" s="169">
        <f t="shared" si="727"/>
        <v>0</v>
      </c>
    </row>
    <row r="1079" spans="1:15" s="3" customFormat="1">
      <c r="A1079" s="21" t="s">
        <v>82</v>
      </c>
      <c r="B1079" s="22" t="s">
        <v>67</v>
      </c>
      <c r="C1079" s="23" t="s">
        <v>78</v>
      </c>
      <c r="D1079" s="23" t="s">
        <v>8</v>
      </c>
      <c r="E1079" s="23" t="s">
        <v>196</v>
      </c>
      <c r="F1079" s="23" t="s">
        <v>58</v>
      </c>
      <c r="G1079" s="24">
        <f t="shared" ref="G1079:I1080" si="750">G1080</f>
        <v>9792230</v>
      </c>
      <c r="H1079" s="24">
        <f t="shared" si="750"/>
        <v>9792230</v>
      </c>
      <c r="I1079" s="24">
        <f t="shared" si="750"/>
        <v>9792230</v>
      </c>
      <c r="J1079" s="16">
        <f>'БА в тыс. руб.'!G1079*1000</f>
        <v>9792230</v>
      </c>
      <c r="K1079" s="169">
        <f t="shared" si="725"/>
        <v>0</v>
      </c>
      <c r="L1079" s="16">
        <f>'БА в тыс. руб.'!H1079*1000</f>
        <v>9792230</v>
      </c>
      <c r="M1079" s="169">
        <f t="shared" si="726"/>
        <v>0</v>
      </c>
      <c r="N1079" s="16">
        <f>'БА в тыс. руб.'!I1079*1000</f>
        <v>9792230</v>
      </c>
      <c r="O1079" s="169">
        <f t="shared" si="727"/>
        <v>0</v>
      </c>
    </row>
    <row r="1080" spans="1:15" s="3" customFormat="1" ht="25.5">
      <c r="A1080" s="11" t="s">
        <v>698</v>
      </c>
      <c r="B1080" s="25" t="s">
        <v>67</v>
      </c>
      <c r="C1080" s="26" t="s">
        <v>78</v>
      </c>
      <c r="D1080" s="26" t="s">
        <v>8</v>
      </c>
      <c r="E1080" s="26" t="s">
        <v>481</v>
      </c>
      <c r="F1080" s="26" t="s">
        <v>58</v>
      </c>
      <c r="G1080" s="27">
        <f t="shared" si="750"/>
        <v>9792230</v>
      </c>
      <c r="H1080" s="27">
        <f t="shared" si="750"/>
        <v>9792230</v>
      </c>
      <c r="I1080" s="27">
        <f t="shared" si="750"/>
        <v>9792230</v>
      </c>
      <c r="J1080" s="16">
        <f>'БА в тыс. руб.'!G1080*1000</f>
        <v>9792230</v>
      </c>
      <c r="K1080" s="169">
        <f t="shared" si="725"/>
        <v>0</v>
      </c>
      <c r="L1080" s="16">
        <f>'БА в тыс. руб.'!H1080*1000</f>
        <v>9792230</v>
      </c>
      <c r="M1080" s="169">
        <f t="shared" si="726"/>
        <v>0</v>
      </c>
      <c r="N1080" s="16">
        <f>'БА в тыс. руб.'!I1080*1000</f>
        <v>9792230</v>
      </c>
      <c r="O1080" s="169">
        <f t="shared" si="727"/>
        <v>0</v>
      </c>
    </row>
    <row r="1081" spans="1:15" s="3" customFormat="1" ht="38.25">
      <c r="A1081" s="11" t="s">
        <v>699</v>
      </c>
      <c r="B1081" s="25" t="s">
        <v>67</v>
      </c>
      <c r="C1081" s="26" t="s">
        <v>78</v>
      </c>
      <c r="D1081" s="26" t="s">
        <v>8</v>
      </c>
      <c r="E1081" s="26" t="s">
        <v>482</v>
      </c>
      <c r="F1081" s="26" t="s">
        <v>58</v>
      </c>
      <c r="G1081" s="27">
        <f>G1082+G1091</f>
        <v>9792230</v>
      </c>
      <c r="H1081" s="27">
        <f>H1082+H1091</f>
        <v>9792230</v>
      </c>
      <c r="I1081" s="27">
        <f>I1082+I1091</f>
        <v>9792230</v>
      </c>
      <c r="J1081" s="16">
        <f>'БА в тыс. руб.'!G1081*1000</f>
        <v>9792230</v>
      </c>
      <c r="K1081" s="169">
        <f t="shared" si="725"/>
        <v>0</v>
      </c>
      <c r="L1081" s="16">
        <f>'БА в тыс. руб.'!H1081*1000</f>
        <v>9792230</v>
      </c>
      <c r="M1081" s="169">
        <f t="shared" si="726"/>
        <v>0</v>
      </c>
      <c r="N1081" s="16">
        <f>'БА в тыс. руб.'!I1081*1000</f>
        <v>9792230</v>
      </c>
      <c r="O1081" s="169">
        <f t="shared" si="727"/>
        <v>0</v>
      </c>
    </row>
    <row r="1082" spans="1:15" s="3" customFormat="1" ht="25.5">
      <c r="A1082" s="11" t="s">
        <v>114</v>
      </c>
      <c r="B1082" s="25" t="s">
        <v>67</v>
      </c>
      <c r="C1082" s="26" t="s">
        <v>78</v>
      </c>
      <c r="D1082" s="26" t="s">
        <v>8</v>
      </c>
      <c r="E1082" s="26" t="s">
        <v>483</v>
      </c>
      <c r="F1082" s="26" t="s">
        <v>58</v>
      </c>
      <c r="G1082" s="27">
        <f>G1083+G1086+G1088</f>
        <v>1028750</v>
      </c>
      <c r="H1082" s="27">
        <f t="shared" ref="H1082:I1082" si="751">H1083+H1086+H1088</f>
        <v>1028750</v>
      </c>
      <c r="I1082" s="27">
        <f t="shared" si="751"/>
        <v>1028750</v>
      </c>
      <c r="J1082" s="16">
        <f>'БА в тыс. руб.'!G1082*1000</f>
        <v>1028750</v>
      </c>
      <c r="K1082" s="169">
        <f t="shared" si="725"/>
        <v>0</v>
      </c>
      <c r="L1082" s="16">
        <f>'БА в тыс. руб.'!H1082*1000</f>
        <v>1028750</v>
      </c>
      <c r="M1082" s="169">
        <f t="shared" si="726"/>
        <v>0</v>
      </c>
      <c r="N1082" s="16">
        <f>'БА в тыс. руб.'!I1082*1000</f>
        <v>1028750</v>
      </c>
      <c r="O1082" s="169">
        <f t="shared" si="727"/>
        <v>0</v>
      </c>
    </row>
    <row r="1083" spans="1:15" s="3" customFormat="1" ht="25.5">
      <c r="A1083" s="12" t="s">
        <v>107</v>
      </c>
      <c r="B1083" s="25" t="s">
        <v>67</v>
      </c>
      <c r="C1083" s="26" t="s">
        <v>78</v>
      </c>
      <c r="D1083" s="26" t="s">
        <v>8</v>
      </c>
      <c r="E1083" s="26" t="s">
        <v>483</v>
      </c>
      <c r="F1083" s="26" t="s">
        <v>115</v>
      </c>
      <c r="G1083" s="27">
        <f>SUM(G1084:G1085)</f>
        <v>235450</v>
      </c>
      <c r="H1083" s="27">
        <f t="shared" ref="H1083:I1083" si="752">SUM(H1084:H1085)</f>
        <v>235450</v>
      </c>
      <c r="I1083" s="27">
        <f t="shared" si="752"/>
        <v>235450</v>
      </c>
      <c r="J1083" s="16">
        <f>'БА в тыс. руб.'!G1083*1000</f>
        <v>235450</v>
      </c>
      <c r="K1083" s="169">
        <f t="shared" si="725"/>
        <v>0</v>
      </c>
      <c r="L1083" s="16">
        <f>'БА в тыс. руб.'!H1083*1000</f>
        <v>235450</v>
      </c>
      <c r="M1083" s="169">
        <f t="shared" si="726"/>
        <v>0</v>
      </c>
      <c r="N1083" s="16">
        <f>'БА в тыс. руб.'!I1083*1000</f>
        <v>235450</v>
      </c>
      <c r="O1083" s="169">
        <f t="shared" si="727"/>
        <v>0</v>
      </c>
    </row>
    <row r="1084" spans="1:15" s="3" customFormat="1" ht="25.5">
      <c r="A1084" s="11" t="s">
        <v>937</v>
      </c>
      <c r="B1084" s="25" t="s">
        <v>67</v>
      </c>
      <c r="C1084" s="26" t="s">
        <v>78</v>
      </c>
      <c r="D1084" s="26" t="s">
        <v>8</v>
      </c>
      <c r="E1084" s="26" t="s">
        <v>483</v>
      </c>
      <c r="F1084" s="26" t="s">
        <v>1059</v>
      </c>
      <c r="G1084" s="27">
        <f t="shared" ref="G1084:G1085" si="753">J1084</f>
        <v>180840</v>
      </c>
      <c r="H1084" s="27">
        <f t="shared" ref="H1084:H1085" si="754">L1084</f>
        <v>180840</v>
      </c>
      <c r="I1084" s="27">
        <f t="shared" ref="I1084:I1085" si="755">N1084</f>
        <v>180840</v>
      </c>
      <c r="J1084" s="16">
        <f>'БА в тыс. руб.'!G1084*1000</f>
        <v>180840</v>
      </c>
      <c r="K1084" s="169">
        <f t="shared" si="725"/>
        <v>0</v>
      </c>
      <c r="L1084" s="16">
        <f>'БА в тыс. руб.'!H1084*1000</f>
        <v>180840</v>
      </c>
      <c r="M1084" s="169">
        <f t="shared" si="726"/>
        <v>0</v>
      </c>
      <c r="N1084" s="16">
        <f>'БА в тыс. руб.'!I1084*1000</f>
        <v>180840</v>
      </c>
      <c r="O1084" s="169">
        <f t="shared" si="727"/>
        <v>0</v>
      </c>
    </row>
    <row r="1085" spans="1:15" s="3" customFormat="1" ht="38.25">
      <c r="A1085" s="11" t="s">
        <v>939</v>
      </c>
      <c r="B1085" s="25" t="s">
        <v>67</v>
      </c>
      <c r="C1085" s="26" t="s">
        <v>78</v>
      </c>
      <c r="D1085" s="26" t="s">
        <v>8</v>
      </c>
      <c r="E1085" s="26" t="s">
        <v>483</v>
      </c>
      <c r="F1085" s="26" t="s">
        <v>1060</v>
      </c>
      <c r="G1085" s="27">
        <f t="shared" si="753"/>
        <v>54610</v>
      </c>
      <c r="H1085" s="27">
        <f t="shared" si="754"/>
        <v>54610</v>
      </c>
      <c r="I1085" s="27">
        <f t="shared" si="755"/>
        <v>54610</v>
      </c>
      <c r="J1085" s="16">
        <f>'БА в тыс. руб.'!G1085*1000</f>
        <v>54610</v>
      </c>
      <c r="K1085" s="169">
        <f t="shared" si="725"/>
        <v>0</v>
      </c>
      <c r="L1085" s="16">
        <f>'БА в тыс. руб.'!H1085*1000</f>
        <v>54610</v>
      </c>
      <c r="M1085" s="169">
        <f t="shared" si="726"/>
        <v>0</v>
      </c>
      <c r="N1085" s="16">
        <f>'БА в тыс. руб.'!I1085*1000</f>
        <v>54610</v>
      </c>
      <c r="O1085" s="169">
        <f t="shared" si="727"/>
        <v>0</v>
      </c>
    </row>
    <row r="1086" spans="1:15" s="3" customFormat="1" ht="25.5">
      <c r="A1086" s="11" t="s">
        <v>108</v>
      </c>
      <c r="B1086" s="25" t="s">
        <v>67</v>
      </c>
      <c r="C1086" s="26" t="s">
        <v>78</v>
      </c>
      <c r="D1086" s="26" t="s">
        <v>8</v>
      </c>
      <c r="E1086" s="26" t="s">
        <v>483</v>
      </c>
      <c r="F1086" s="26" t="s">
        <v>116</v>
      </c>
      <c r="G1086" s="27">
        <f>G1087</f>
        <v>786300</v>
      </c>
      <c r="H1086" s="27">
        <f t="shared" ref="H1086:I1086" si="756">H1087</f>
        <v>786300</v>
      </c>
      <c r="I1086" s="27">
        <f t="shared" si="756"/>
        <v>786300</v>
      </c>
      <c r="J1086" s="16">
        <f>'БА в тыс. руб.'!G1086*1000</f>
        <v>786300</v>
      </c>
      <c r="K1086" s="169">
        <f t="shared" si="725"/>
        <v>0</v>
      </c>
      <c r="L1086" s="16">
        <f>'БА в тыс. руб.'!H1086*1000</f>
        <v>786300</v>
      </c>
      <c r="M1086" s="169">
        <f t="shared" si="726"/>
        <v>0</v>
      </c>
      <c r="N1086" s="16">
        <f>'БА в тыс. руб.'!I1086*1000</f>
        <v>786300</v>
      </c>
      <c r="O1086" s="169">
        <f t="shared" si="727"/>
        <v>0</v>
      </c>
    </row>
    <row r="1087" spans="1:15" s="94" customFormat="1" ht="25.5">
      <c r="A1087" s="12" t="s">
        <v>973</v>
      </c>
      <c r="B1087" s="25" t="s">
        <v>67</v>
      </c>
      <c r="C1087" s="26" t="s">
        <v>78</v>
      </c>
      <c r="D1087" s="26" t="s">
        <v>8</v>
      </c>
      <c r="E1087" s="26" t="s">
        <v>483</v>
      </c>
      <c r="F1087" s="26" t="s">
        <v>1043</v>
      </c>
      <c r="G1087" s="27">
        <f t="shared" ref="G1087" si="757">J1087</f>
        <v>786300</v>
      </c>
      <c r="H1087" s="27">
        <f>L1087</f>
        <v>786300</v>
      </c>
      <c r="I1087" s="27">
        <f>N1087</f>
        <v>786300</v>
      </c>
      <c r="J1087" s="16">
        <f>'БА в тыс. руб.'!G1087*1000</f>
        <v>786300</v>
      </c>
      <c r="K1087" s="169">
        <f t="shared" si="725"/>
        <v>0</v>
      </c>
      <c r="L1087" s="16">
        <f>'БА в тыс. руб.'!H1087*1000</f>
        <v>786300</v>
      </c>
      <c r="M1087" s="169">
        <f t="shared" si="726"/>
        <v>0</v>
      </c>
      <c r="N1087" s="16">
        <f>'БА в тыс. руб.'!I1087*1000</f>
        <v>786300</v>
      </c>
      <c r="O1087" s="169">
        <f t="shared" si="727"/>
        <v>0</v>
      </c>
    </row>
    <row r="1088" spans="1:15" s="3" customFormat="1">
      <c r="A1088" s="11" t="s">
        <v>97</v>
      </c>
      <c r="B1088" s="25" t="s">
        <v>67</v>
      </c>
      <c r="C1088" s="26" t="s">
        <v>78</v>
      </c>
      <c r="D1088" s="26" t="s">
        <v>8</v>
      </c>
      <c r="E1088" s="26" t="s">
        <v>483</v>
      </c>
      <c r="F1088" s="26" t="s">
        <v>118</v>
      </c>
      <c r="G1088" s="27">
        <f>SUM(G1089:G1090)</f>
        <v>7000</v>
      </c>
      <c r="H1088" s="27">
        <f>SUM(H1089:H1090)</f>
        <v>7000</v>
      </c>
      <c r="I1088" s="27">
        <f>SUM(I1089:I1090)</f>
        <v>7000</v>
      </c>
      <c r="J1088" s="16">
        <f>'БА в тыс. руб.'!G1088*1000</f>
        <v>7000</v>
      </c>
      <c r="K1088" s="169">
        <f t="shared" si="725"/>
        <v>0</v>
      </c>
      <c r="L1088" s="16">
        <f>'БА в тыс. руб.'!H1088*1000</f>
        <v>7000</v>
      </c>
      <c r="M1088" s="169">
        <f t="shared" si="726"/>
        <v>0</v>
      </c>
      <c r="N1088" s="16">
        <f>'БА в тыс. руб.'!I1088*1000</f>
        <v>7000</v>
      </c>
      <c r="O1088" s="169">
        <f t="shared" si="727"/>
        <v>0</v>
      </c>
    </row>
    <row r="1089" spans="1:15" s="3" customFormat="1">
      <c r="A1089" s="11" t="s">
        <v>1036</v>
      </c>
      <c r="B1089" s="25" t="s">
        <v>67</v>
      </c>
      <c r="C1089" s="26" t="s">
        <v>78</v>
      </c>
      <c r="D1089" s="26" t="s">
        <v>8</v>
      </c>
      <c r="E1089" s="26" t="s">
        <v>483</v>
      </c>
      <c r="F1089" s="26" t="s">
        <v>1061</v>
      </c>
      <c r="G1089" s="27">
        <f t="shared" ref="G1089:G1090" si="758">J1089</f>
        <v>2000</v>
      </c>
      <c r="H1089" s="27">
        <f t="shared" ref="H1089:H1090" si="759">L1089</f>
        <v>2000</v>
      </c>
      <c r="I1089" s="27">
        <f t="shared" ref="I1089:I1090" si="760">N1089</f>
        <v>2000</v>
      </c>
      <c r="J1089" s="16">
        <f>'БА в тыс. руб.'!G1089*1000</f>
        <v>2000</v>
      </c>
      <c r="K1089" s="169">
        <f t="shared" si="725"/>
        <v>0</v>
      </c>
      <c r="L1089" s="16">
        <f>'БА в тыс. руб.'!H1089*1000</f>
        <v>2000</v>
      </c>
      <c r="M1089" s="169">
        <f t="shared" si="726"/>
        <v>0</v>
      </c>
      <c r="N1089" s="16">
        <f>'БА в тыс. руб.'!I1089*1000</f>
        <v>2000</v>
      </c>
      <c r="O1089" s="169">
        <f t="shared" si="727"/>
        <v>0</v>
      </c>
    </row>
    <row r="1090" spans="1:15" s="3" customFormat="1">
      <c r="A1090" s="11" t="s">
        <v>1037</v>
      </c>
      <c r="B1090" s="25" t="s">
        <v>67</v>
      </c>
      <c r="C1090" s="26" t="s">
        <v>78</v>
      </c>
      <c r="D1090" s="26" t="s">
        <v>8</v>
      </c>
      <c r="E1090" s="26" t="s">
        <v>483</v>
      </c>
      <c r="F1090" s="26" t="s">
        <v>1062</v>
      </c>
      <c r="G1090" s="27">
        <f t="shared" si="758"/>
        <v>5000</v>
      </c>
      <c r="H1090" s="27">
        <f t="shared" si="759"/>
        <v>5000</v>
      </c>
      <c r="I1090" s="27">
        <f t="shared" si="760"/>
        <v>5000</v>
      </c>
      <c r="J1090" s="16">
        <f>'БА в тыс. руб.'!G1090*1000</f>
        <v>5000</v>
      </c>
      <c r="K1090" s="169">
        <f t="shared" si="725"/>
        <v>0</v>
      </c>
      <c r="L1090" s="16">
        <f>'БА в тыс. руб.'!H1090*1000</f>
        <v>5000</v>
      </c>
      <c r="M1090" s="169">
        <f t="shared" si="726"/>
        <v>0</v>
      </c>
      <c r="N1090" s="16">
        <f>'БА в тыс. руб.'!I1090*1000</f>
        <v>5000</v>
      </c>
      <c r="O1090" s="169">
        <f t="shared" si="727"/>
        <v>0</v>
      </c>
    </row>
    <row r="1091" spans="1:15" s="3" customFormat="1" ht="25.5">
      <c r="A1091" s="11" t="s">
        <v>126</v>
      </c>
      <c r="B1091" s="25" t="s">
        <v>67</v>
      </c>
      <c r="C1091" s="26" t="s">
        <v>78</v>
      </c>
      <c r="D1091" s="26" t="s">
        <v>8</v>
      </c>
      <c r="E1091" s="26" t="s">
        <v>484</v>
      </c>
      <c r="F1091" s="26" t="s">
        <v>58</v>
      </c>
      <c r="G1091" s="27">
        <f>G1092</f>
        <v>8763480</v>
      </c>
      <c r="H1091" s="27">
        <f t="shared" ref="H1091:I1091" si="761">H1092</f>
        <v>8763480</v>
      </c>
      <c r="I1091" s="27">
        <f t="shared" si="761"/>
        <v>8763480</v>
      </c>
      <c r="J1091" s="16">
        <f>'БА в тыс. руб.'!G1091*1000</f>
        <v>8763480</v>
      </c>
      <c r="K1091" s="169">
        <f t="shared" si="725"/>
        <v>0</v>
      </c>
      <c r="L1091" s="16">
        <f>'БА в тыс. руб.'!H1091*1000</f>
        <v>8763480</v>
      </c>
      <c r="M1091" s="169">
        <f t="shared" si="726"/>
        <v>0</v>
      </c>
      <c r="N1091" s="16">
        <f>'БА в тыс. руб.'!I1091*1000</f>
        <v>8763480</v>
      </c>
      <c r="O1091" s="169">
        <f t="shared" si="727"/>
        <v>0</v>
      </c>
    </row>
    <row r="1092" spans="1:15" s="3" customFormat="1" ht="25.5">
      <c r="A1092" s="11" t="s">
        <v>107</v>
      </c>
      <c r="B1092" s="25" t="s">
        <v>67</v>
      </c>
      <c r="C1092" s="26" t="s">
        <v>78</v>
      </c>
      <c r="D1092" s="26" t="s">
        <v>8</v>
      </c>
      <c r="E1092" s="26" t="s">
        <v>484</v>
      </c>
      <c r="F1092" s="26" t="s">
        <v>115</v>
      </c>
      <c r="G1092" s="27">
        <f>SUM(G1093:G1094)</f>
        <v>8763480</v>
      </c>
      <c r="H1092" s="27">
        <f t="shared" ref="H1092:I1092" si="762">SUM(H1093:H1094)</f>
        <v>8763480</v>
      </c>
      <c r="I1092" s="27">
        <f t="shared" si="762"/>
        <v>8763480</v>
      </c>
      <c r="J1092" s="16">
        <f>'БА в тыс. руб.'!G1092*1000</f>
        <v>8763480</v>
      </c>
      <c r="K1092" s="169">
        <f t="shared" si="725"/>
        <v>0</v>
      </c>
      <c r="L1092" s="16">
        <f>'БА в тыс. руб.'!H1092*1000</f>
        <v>8763480</v>
      </c>
      <c r="M1092" s="169">
        <f t="shared" si="726"/>
        <v>0</v>
      </c>
      <c r="N1092" s="16">
        <f>'БА в тыс. руб.'!I1092*1000</f>
        <v>8763480</v>
      </c>
      <c r="O1092" s="169">
        <f t="shared" si="727"/>
        <v>0</v>
      </c>
    </row>
    <row r="1093" spans="1:15" s="3" customFormat="1">
      <c r="A1093" s="11" t="s">
        <v>936</v>
      </c>
      <c r="B1093" s="25" t="s">
        <v>67</v>
      </c>
      <c r="C1093" s="26" t="s">
        <v>78</v>
      </c>
      <c r="D1093" s="26" t="s">
        <v>8</v>
      </c>
      <c r="E1093" s="26" t="s">
        <v>484</v>
      </c>
      <c r="F1093" s="26" t="s">
        <v>1063</v>
      </c>
      <c r="G1093" s="27">
        <f t="shared" ref="G1093:G1095" si="763">J1093</f>
        <v>6730780</v>
      </c>
      <c r="H1093" s="27">
        <f t="shared" ref="H1093:H1095" si="764">L1093</f>
        <v>6730780</v>
      </c>
      <c r="I1093" s="27">
        <f t="shared" ref="I1093:I1095" si="765">N1093</f>
        <v>6730780</v>
      </c>
      <c r="J1093" s="16">
        <f>'БА в тыс. руб.'!G1093*1000</f>
        <v>6730780</v>
      </c>
      <c r="K1093" s="169">
        <f t="shared" si="725"/>
        <v>0</v>
      </c>
      <c r="L1093" s="16">
        <f>'БА в тыс. руб.'!H1093*1000</f>
        <v>6730780</v>
      </c>
      <c r="M1093" s="169">
        <f t="shared" si="726"/>
        <v>0</v>
      </c>
      <c r="N1093" s="16">
        <f>'БА в тыс. руб.'!I1093*1000</f>
        <v>6730780</v>
      </c>
      <c r="O1093" s="169">
        <f t="shared" si="727"/>
        <v>0</v>
      </c>
    </row>
    <row r="1094" spans="1:15" s="3" customFormat="1" ht="38.25">
      <c r="A1094" s="11" t="s">
        <v>939</v>
      </c>
      <c r="B1094" s="25" t="s">
        <v>67</v>
      </c>
      <c r="C1094" s="26" t="s">
        <v>78</v>
      </c>
      <c r="D1094" s="26" t="s">
        <v>8</v>
      </c>
      <c r="E1094" s="26" t="s">
        <v>484</v>
      </c>
      <c r="F1094" s="26" t="s">
        <v>1060</v>
      </c>
      <c r="G1094" s="27">
        <f t="shared" si="763"/>
        <v>2032700</v>
      </c>
      <c r="H1094" s="27">
        <f t="shared" si="764"/>
        <v>2032700</v>
      </c>
      <c r="I1094" s="27">
        <f t="shared" si="765"/>
        <v>2032700</v>
      </c>
      <c r="J1094" s="16">
        <f>'БА в тыс. руб.'!G1094*1000</f>
        <v>2032700</v>
      </c>
      <c r="K1094" s="169">
        <f t="shared" si="725"/>
        <v>0</v>
      </c>
      <c r="L1094" s="16">
        <f>'БА в тыс. руб.'!H1094*1000</f>
        <v>2032700</v>
      </c>
      <c r="M1094" s="169">
        <f t="shared" si="726"/>
        <v>0</v>
      </c>
      <c r="N1094" s="16">
        <f>'БА в тыс. руб.'!I1094*1000</f>
        <v>2032700</v>
      </c>
      <c r="O1094" s="169">
        <f t="shared" si="727"/>
        <v>0</v>
      </c>
    </row>
    <row r="1095" spans="1:15" s="71" customFormat="1">
      <c r="A1095" s="93"/>
      <c r="B1095" s="92"/>
      <c r="C1095" s="70"/>
      <c r="D1095" s="70"/>
      <c r="E1095" s="70"/>
      <c r="F1095" s="70"/>
      <c r="G1095" s="27">
        <f t="shared" si="763"/>
        <v>0</v>
      </c>
      <c r="H1095" s="27">
        <f t="shared" si="764"/>
        <v>0</v>
      </c>
      <c r="I1095" s="27">
        <f t="shared" si="765"/>
        <v>0</v>
      </c>
      <c r="J1095" s="16">
        <f>'БА в тыс. руб.'!G1095*1000</f>
        <v>0</v>
      </c>
      <c r="K1095" s="169">
        <f t="shared" si="725"/>
        <v>0</v>
      </c>
      <c r="L1095" s="16">
        <f>'БА в тыс. руб.'!H1095*1000</f>
        <v>0</v>
      </c>
      <c r="M1095" s="169">
        <f t="shared" si="726"/>
        <v>0</v>
      </c>
      <c r="N1095" s="16">
        <f>'БА в тыс. руб.'!I1095*1000</f>
        <v>0</v>
      </c>
      <c r="O1095" s="169">
        <f t="shared" si="727"/>
        <v>0</v>
      </c>
    </row>
    <row r="1096" spans="1:15" s="3" customFormat="1">
      <c r="A1096" s="28" t="s">
        <v>4</v>
      </c>
      <c r="B1096" s="14" t="s">
        <v>5</v>
      </c>
      <c r="C1096" s="15" t="s">
        <v>51</v>
      </c>
      <c r="D1096" s="15" t="s">
        <v>51</v>
      </c>
      <c r="E1096" s="15" t="s">
        <v>196</v>
      </c>
      <c r="F1096" s="15" t="s">
        <v>58</v>
      </c>
      <c r="G1096" s="29">
        <f>G1097+G1134+G1148+G1170</f>
        <v>122620650</v>
      </c>
      <c r="H1096" s="29">
        <f>H1097+H1134+H1148+H1170</f>
        <v>116143740</v>
      </c>
      <c r="I1096" s="29">
        <f>I1097+I1134+I1148+I1170</f>
        <v>116143740</v>
      </c>
      <c r="J1096" s="16">
        <f>'БА в тыс. руб.'!G1096*1000</f>
        <v>122620650.00000003</v>
      </c>
      <c r="K1096" s="169">
        <f t="shared" ref="K1096:K1159" si="766">J1096-G1096</f>
        <v>0</v>
      </c>
      <c r="L1096" s="16">
        <f>'БА в тыс. руб.'!H1096*1000</f>
        <v>116143740</v>
      </c>
      <c r="M1096" s="169">
        <f t="shared" ref="M1096:M1159" si="767">L1096-H1096</f>
        <v>0</v>
      </c>
      <c r="N1096" s="16">
        <f>'БА в тыс. руб.'!I1096*1000</f>
        <v>116143740</v>
      </c>
      <c r="O1096" s="169">
        <f t="shared" ref="O1096:O1159" si="768">N1096-I1096</f>
        <v>0</v>
      </c>
    </row>
    <row r="1097" spans="1:15" s="3" customFormat="1">
      <c r="A1097" s="17" t="s">
        <v>64</v>
      </c>
      <c r="B1097" s="18" t="s">
        <v>5</v>
      </c>
      <c r="C1097" s="19" t="s">
        <v>65</v>
      </c>
      <c r="D1097" s="19" t="s">
        <v>51</v>
      </c>
      <c r="E1097" s="19" t="s">
        <v>196</v>
      </c>
      <c r="F1097" s="19" t="s">
        <v>58</v>
      </c>
      <c r="G1097" s="20">
        <f>G1098+G1124</f>
        <v>32698800</v>
      </c>
      <c r="H1097" s="20">
        <f>H1098+H1124</f>
        <v>32713680</v>
      </c>
      <c r="I1097" s="20">
        <f>I1098+I1124</f>
        <v>32713680</v>
      </c>
      <c r="J1097" s="16">
        <f>'БА в тыс. руб.'!G1097*1000</f>
        <v>32698800.000000004</v>
      </c>
      <c r="K1097" s="169">
        <f t="shared" si="766"/>
        <v>0</v>
      </c>
      <c r="L1097" s="16">
        <f>'БА в тыс. руб.'!H1097*1000</f>
        <v>32713680</v>
      </c>
      <c r="M1097" s="169">
        <f t="shared" si="767"/>
        <v>0</v>
      </c>
      <c r="N1097" s="16">
        <f>'БА в тыс. руб.'!I1097*1000</f>
        <v>32713680</v>
      </c>
      <c r="O1097" s="169">
        <f t="shared" si="768"/>
        <v>0</v>
      </c>
    </row>
    <row r="1098" spans="1:15" s="3" customFormat="1" ht="38.25">
      <c r="A1098" s="21" t="s">
        <v>31</v>
      </c>
      <c r="B1098" s="22" t="s">
        <v>5</v>
      </c>
      <c r="C1098" s="23" t="s">
        <v>65</v>
      </c>
      <c r="D1098" s="23" t="s">
        <v>37</v>
      </c>
      <c r="E1098" s="23" t="s">
        <v>196</v>
      </c>
      <c r="F1098" s="23" t="s">
        <v>58</v>
      </c>
      <c r="G1098" s="24">
        <f t="shared" ref="G1098:I1099" si="769">G1099</f>
        <v>32308600</v>
      </c>
      <c r="H1098" s="24">
        <f t="shared" si="769"/>
        <v>32323480</v>
      </c>
      <c r="I1098" s="24">
        <f t="shared" si="769"/>
        <v>32323480</v>
      </c>
      <c r="J1098" s="16">
        <f>'БА в тыс. руб.'!G1098*1000</f>
        <v>32308600.000000004</v>
      </c>
      <c r="K1098" s="169">
        <f t="shared" si="766"/>
        <v>0</v>
      </c>
      <c r="L1098" s="16">
        <f>'БА в тыс. руб.'!H1098*1000</f>
        <v>32323480</v>
      </c>
      <c r="M1098" s="169">
        <f t="shared" si="767"/>
        <v>0</v>
      </c>
      <c r="N1098" s="16">
        <f>'БА в тыс. руб.'!I1098*1000</f>
        <v>32323480</v>
      </c>
      <c r="O1098" s="169">
        <f t="shared" si="768"/>
        <v>0</v>
      </c>
    </row>
    <row r="1099" spans="1:15" s="3" customFormat="1" ht="25.5">
      <c r="A1099" s="40" t="s">
        <v>146</v>
      </c>
      <c r="B1099" s="35" t="s">
        <v>5</v>
      </c>
      <c r="C1099" s="36" t="s">
        <v>65</v>
      </c>
      <c r="D1099" s="36" t="s">
        <v>37</v>
      </c>
      <c r="E1099" s="36" t="s">
        <v>485</v>
      </c>
      <c r="F1099" s="36" t="s">
        <v>58</v>
      </c>
      <c r="G1099" s="37">
        <f t="shared" si="769"/>
        <v>32308600</v>
      </c>
      <c r="H1099" s="37">
        <f t="shared" si="769"/>
        <v>32323480</v>
      </c>
      <c r="I1099" s="37">
        <f t="shared" si="769"/>
        <v>32323480</v>
      </c>
      <c r="J1099" s="16">
        <f>'БА в тыс. руб.'!G1099*1000</f>
        <v>32308600.000000004</v>
      </c>
      <c r="K1099" s="169">
        <f t="shared" si="766"/>
        <v>0</v>
      </c>
      <c r="L1099" s="16">
        <f>'БА в тыс. руб.'!H1099*1000</f>
        <v>32323480</v>
      </c>
      <c r="M1099" s="169">
        <f t="shared" si="767"/>
        <v>0</v>
      </c>
      <c r="N1099" s="16">
        <f>'БА в тыс. руб.'!I1099*1000</f>
        <v>32323480</v>
      </c>
      <c r="O1099" s="169">
        <f t="shared" si="768"/>
        <v>0</v>
      </c>
    </row>
    <row r="1100" spans="1:15" s="3" customFormat="1" ht="25.5">
      <c r="A1100" s="40" t="s">
        <v>147</v>
      </c>
      <c r="B1100" s="35" t="s">
        <v>5</v>
      </c>
      <c r="C1100" s="36" t="s">
        <v>65</v>
      </c>
      <c r="D1100" s="36" t="s">
        <v>37</v>
      </c>
      <c r="E1100" s="36" t="s">
        <v>486</v>
      </c>
      <c r="F1100" s="36" t="s">
        <v>58</v>
      </c>
      <c r="G1100" s="37">
        <f>G1101+G1110+G1114+G1121</f>
        <v>32308600</v>
      </c>
      <c r="H1100" s="37">
        <f>H1101+H1110+H1114+H1121</f>
        <v>32323480</v>
      </c>
      <c r="I1100" s="37">
        <f>I1101+I1110+I1114+I1121</f>
        <v>32323480</v>
      </c>
      <c r="J1100" s="16">
        <f>'БА в тыс. руб.'!G1100*1000</f>
        <v>32308600.000000004</v>
      </c>
      <c r="K1100" s="169">
        <f t="shared" si="766"/>
        <v>0</v>
      </c>
      <c r="L1100" s="16">
        <f>'БА в тыс. руб.'!H1100*1000</f>
        <v>32323480</v>
      </c>
      <c r="M1100" s="169">
        <f t="shared" si="767"/>
        <v>0</v>
      </c>
      <c r="N1100" s="16">
        <f>'БА в тыс. руб.'!I1100*1000</f>
        <v>32323480</v>
      </c>
      <c r="O1100" s="169">
        <f t="shared" si="768"/>
        <v>0</v>
      </c>
    </row>
    <row r="1101" spans="1:15" s="3" customFormat="1" ht="25.5">
      <c r="A1101" s="11" t="s">
        <v>114</v>
      </c>
      <c r="B1101" s="35" t="s">
        <v>5</v>
      </c>
      <c r="C1101" s="36" t="s">
        <v>65</v>
      </c>
      <c r="D1101" s="36" t="s">
        <v>37</v>
      </c>
      <c r="E1101" s="36" t="s">
        <v>487</v>
      </c>
      <c r="F1101" s="36" t="s">
        <v>58</v>
      </c>
      <c r="G1101" s="37">
        <f>G1102+G1105+G1107</f>
        <v>3523330</v>
      </c>
      <c r="H1101" s="37">
        <f t="shared" ref="H1101:I1101" si="770">H1102+H1105+H1107</f>
        <v>3538210</v>
      </c>
      <c r="I1101" s="37">
        <f t="shared" si="770"/>
        <v>3538210</v>
      </c>
      <c r="J1101" s="16">
        <f>'БА в тыс. руб.'!G1101*1000</f>
        <v>3523330</v>
      </c>
      <c r="K1101" s="169">
        <f t="shared" si="766"/>
        <v>0</v>
      </c>
      <c r="L1101" s="16">
        <f>'БА в тыс. руб.'!H1101*1000</f>
        <v>3538210</v>
      </c>
      <c r="M1101" s="169">
        <f t="shared" si="767"/>
        <v>0</v>
      </c>
      <c r="N1101" s="16">
        <f>'БА в тыс. руб.'!I1101*1000</f>
        <v>3538210</v>
      </c>
      <c r="O1101" s="169">
        <f t="shared" si="768"/>
        <v>0</v>
      </c>
    </row>
    <row r="1102" spans="1:15" s="3" customFormat="1" ht="25.5">
      <c r="A1102" s="12" t="s">
        <v>107</v>
      </c>
      <c r="B1102" s="35" t="s">
        <v>5</v>
      </c>
      <c r="C1102" s="36" t="s">
        <v>65</v>
      </c>
      <c r="D1102" s="36" t="s">
        <v>37</v>
      </c>
      <c r="E1102" s="36" t="s">
        <v>487</v>
      </c>
      <c r="F1102" s="36" t="s">
        <v>115</v>
      </c>
      <c r="G1102" s="37">
        <f>SUM(G1103:G1104)</f>
        <v>620460</v>
      </c>
      <c r="H1102" s="37">
        <f t="shared" ref="H1102:I1102" si="771">SUM(H1103:H1104)</f>
        <v>620460</v>
      </c>
      <c r="I1102" s="37">
        <f t="shared" si="771"/>
        <v>620460</v>
      </c>
      <c r="J1102" s="16">
        <f>'БА в тыс. руб.'!G1102*1000</f>
        <v>620460</v>
      </c>
      <c r="K1102" s="169">
        <f t="shared" si="766"/>
        <v>0</v>
      </c>
      <c r="L1102" s="16">
        <f>'БА в тыс. руб.'!H1102*1000</f>
        <v>620460</v>
      </c>
      <c r="M1102" s="169">
        <f t="shared" si="767"/>
        <v>0</v>
      </c>
      <c r="N1102" s="16">
        <f>'БА в тыс. руб.'!I1102*1000</f>
        <v>620460</v>
      </c>
      <c r="O1102" s="169">
        <f t="shared" si="768"/>
        <v>0</v>
      </c>
    </row>
    <row r="1103" spans="1:15" s="71" customFormat="1" ht="25.5">
      <c r="A1103" s="11" t="s">
        <v>937</v>
      </c>
      <c r="B1103" s="25" t="s">
        <v>5</v>
      </c>
      <c r="C1103" s="26" t="s">
        <v>65</v>
      </c>
      <c r="D1103" s="26" t="s">
        <v>37</v>
      </c>
      <c r="E1103" s="26" t="s">
        <v>487</v>
      </c>
      <c r="F1103" s="26" t="s">
        <v>1059</v>
      </c>
      <c r="G1103" s="27">
        <f t="shared" ref="G1103:G1104" si="772">J1103</f>
        <v>476560</v>
      </c>
      <c r="H1103" s="27">
        <f t="shared" ref="H1103:H1104" si="773">L1103</f>
        <v>476560</v>
      </c>
      <c r="I1103" s="27">
        <f t="shared" ref="I1103:I1104" si="774">N1103</f>
        <v>476560</v>
      </c>
      <c r="J1103" s="16">
        <f>'БА в тыс. руб.'!G1103*1000</f>
        <v>476560</v>
      </c>
      <c r="K1103" s="169">
        <f t="shared" si="766"/>
        <v>0</v>
      </c>
      <c r="L1103" s="16">
        <f>'БА в тыс. руб.'!H1103*1000</f>
        <v>476560</v>
      </c>
      <c r="M1103" s="169">
        <f t="shared" si="767"/>
        <v>0</v>
      </c>
      <c r="N1103" s="16">
        <f>'БА в тыс. руб.'!I1103*1000</f>
        <v>476560</v>
      </c>
      <c r="O1103" s="169">
        <f t="shared" si="768"/>
        <v>0</v>
      </c>
    </row>
    <row r="1104" spans="1:15" s="71" customFormat="1" ht="38.25">
      <c r="A1104" s="11" t="s">
        <v>939</v>
      </c>
      <c r="B1104" s="25" t="s">
        <v>5</v>
      </c>
      <c r="C1104" s="26" t="s">
        <v>65</v>
      </c>
      <c r="D1104" s="26" t="s">
        <v>37</v>
      </c>
      <c r="E1104" s="26" t="s">
        <v>487</v>
      </c>
      <c r="F1104" s="26" t="s">
        <v>1060</v>
      </c>
      <c r="G1104" s="27">
        <f t="shared" si="772"/>
        <v>143900</v>
      </c>
      <c r="H1104" s="27">
        <f t="shared" si="773"/>
        <v>143900</v>
      </c>
      <c r="I1104" s="27">
        <f t="shared" si="774"/>
        <v>143900</v>
      </c>
      <c r="J1104" s="16">
        <f>'БА в тыс. руб.'!G1104*1000</f>
        <v>143900</v>
      </c>
      <c r="K1104" s="169">
        <f t="shared" si="766"/>
        <v>0</v>
      </c>
      <c r="L1104" s="16">
        <f>'БА в тыс. руб.'!H1104*1000</f>
        <v>143900</v>
      </c>
      <c r="M1104" s="169">
        <f t="shared" si="767"/>
        <v>0</v>
      </c>
      <c r="N1104" s="16">
        <f>'БА в тыс. руб.'!I1104*1000</f>
        <v>143900</v>
      </c>
      <c r="O1104" s="169">
        <f t="shared" si="768"/>
        <v>0</v>
      </c>
    </row>
    <row r="1105" spans="1:15" s="3" customFormat="1" ht="25.5">
      <c r="A1105" s="11" t="s">
        <v>108</v>
      </c>
      <c r="B1105" s="35" t="s">
        <v>5</v>
      </c>
      <c r="C1105" s="36" t="s">
        <v>65</v>
      </c>
      <c r="D1105" s="36" t="s">
        <v>37</v>
      </c>
      <c r="E1105" s="36" t="s">
        <v>487</v>
      </c>
      <c r="F1105" s="36" t="s">
        <v>116</v>
      </c>
      <c r="G1105" s="37">
        <f>G1106</f>
        <v>2805870</v>
      </c>
      <c r="H1105" s="37">
        <f t="shared" ref="H1105:I1105" si="775">H1106</f>
        <v>2820750</v>
      </c>
      <c r="I1105" s="37">
        <f t="shared" si="775"/>
        <v>2820750</v>
      </c>
      <c r="J1105" s="16">
        <f>'БА в тыс. руб.'!G1105*1000</f>
        <v>2805870</v>
      </c>
      <c r="K1105" s="169">
        <f t="shared" si="766"/>
        <v>0</v>
      </c>
      <c r="L1105" s="16">
        <f>'БА в тыс. руб.'!H1105*1000</f>
        <v>2820750</v>
      </c>
      <c r="M1105" s="169">
        <f t="shared" si="767"/>
        <v>0</v>
      </c>
      <c r="N1105" s="16">
        <f>'БА в тыс. руб.'!I1105*1000</f>
        <v>2820750</v>
      </c>
      <c r="O1105" s="169">
        <f t="shared" si="768"/>
        <v>0</v>
      </c>
    </row>
    <row r="1106" spans="1:15" s="4" customFormat="1" ht="25.5">
      <c r="A1106" s="12" t="s">
        <v>973</v>
      </c>
      <c r="B1106" s="35" t="s">
        <v>5</v>
      </c>
      <c r="C1106" s="36" t="s">
        <v>65</v>
      </c>
      <c r="D1106" s="36" t="s">
        <v>37</v>
      </c>
      <c r="E1106" s="36" t="s">
        <v>487</v>
      </c>
      <c r="F1106" s="36" t="s">
        <v>1043</v>
      </c>
      <c r="G1106" s="27">
        <f t="shared" ref="G1106" si="776">J1106</f>
        <v>2805870</v>
      </c>
      <c r="H1106" s="27">
        <f>L1106</f>
        <v>2820750</v>
      </c>
      <c r="I1106" s="27">
        <f>N1106</f>
        <v>2820750</v>
      </c>
      <c r="J1106" s="16">
        <f>'БА в тыс. руб.'!G1106*1000</f>
        <v>2805870</v>
      </c>
      <c r="K1106" s="169">
        <f t="shared" si="766"/>
        <v>0</v>
      </c>
      <c r="L1106" s="16">
        <f>'БА в тыс. руб.'!H1106*1000</f>
        <v>2820750</v>
      </c>
      <c r="M1106" s="169">
        <f t="shared" si="767"/>
        <v>0</v>
      </c>
      <c r="N1106" s="16">
        <f>'БА в тыс. руб.'!I1106*1000</f>
        <v>2820750</v>
      </c>
      <c r="O1106" s="169">
        <f t="shared" si="768"/>
        <v>0</v>
      </c>
    </row>
    <row r="1107" spans="1:15" s="3" customFormat="1">
      <c r="A1107" s="11" t="s">
        <v>97</v>
      </c>
      <c r="B1107" s="25" t="s">
        <v>5</v>
      </c>
      <c r="C1107" s="26" t="s">
        <v>65</v>
      </c>
      <c r="D1107" s="26" t="s">
        <v>37</v>
      </c>
      <c r="E1107" s="26" t="s">
        <v>487</v>
      </c>
      <c r="F1107" s="26" t="s">
        <v>118</v>
      </c>
      <c r="G1107" s="27">
        <f>SUM(G1108:G1109)</f>
        <v>97000</v>
      </c>
      <c r="H1107" s="27">
        <f t="shared" ref="H1107:I1107" si="777">SUM(H1108:H1109)</f>
        <v>97000</v>
      </c>
      <c r="I1107" s="27">
        <f t="shared" si="777"/>
        <v>97000</v>
      </c>
      <c r="J1107" s="16">
        <f>'БА в тыс. руб.'!G1107*1000</f>
        <v>97000</v>
      </c>
      <c r="K1107" s="169">
        <f t="shared" si="766"/>
        <v>0</v>
      </c>
      <c r="L1107" s="16">
        <f>'БА в тыс. руб.'!H1107*1000</f>
        <v>97000</v>
      </c>
      <c r="M1107" s="169">
        <f t="shared" si="767"/>
        <v>0</v>
      </c>
      <c r="N1107" s="16">
        <f>'БА в тыс. руб.'!I1107*1000</f>
        <v>97000</v>
      </c>
      <c r="O1107" s="169">
        <f t="shared" si="768"/>
        <v>0</v>
      </c>
    </row>
    <row r="1108" spans="1:15" s="3" customFormat="1">
      <c r="A1108" s="11" t="s">
        <v>1036</v>
      </c>
      <c r="B1108" s="25" t="s">
        <v>5</v>
      </c>
      <c r="C1108" s="26" t="s">
        <v>65</v>
      </c>
      <c r="D1108" s="26" t="s">
        <v>37</v>
      </c>
      <c r="E1108" s="26" t="s">
        <v>487</v>
      </c>
      <c r="F1108" s="26" t="s">
        <v>1061</v>
      </c>
      <c r="G1108" s="27">
        <f t="shared" ref="G1108:G1109" si="778">J1108</f>
        <v>77000</v>
      </c>
      <c r="H1108" s="27">
        <f t="shared" ref="H1108:H1109" si="779">L1108</f>
        <v>77000</v>
      </c>
      <c r="I1108" s="27">
        <f t="shared" ref="I1108:I1109" si="780">N1108</f>
        <v>77000</v>
      </c>
      <c r="J1108" s="16">
        <f>'БА в тыс. руб.'!G1108*1000</f>
        <v>77000</v>
      </c>
      <c r="K1108" s="169">
        <f t="shared" si="766"/>
        <v>0</v>
      </c>
      <c r="L1108" s="16">
        <f>'БА в тыс. руб.'!H1108*1000</f>
        <v>77000</v>
      </c>
      <c r="M1108" s="169">
        <f t="shared" si="767"/>
        <v>0</v>
      </c>
      <c r="N1108" s="16">
        <f>'БА в тыс. руб.'!I1108*1000</f>
        <v>77000</v>
      </c>
      <c r="O1108" s="169">
        <f t="shared" si="768"/>
        <v>0</v>
      </c>
    </row>
    <row r="1109" spans="1:15" s="3" customFormat="1">
      <c r="A1109" s="11" t="s">
        <v>1037</v>
      </c>
      <c r="B1109" s="25" t="s">
        <v>5</v>
      </c>
      <c r="C1109" s="26" t="s">
        <v>65</v>
      </c>
      <c r="D1109" s="26" t="s">
        <v>37</v>
      </c>
      <c r="E1109" s="26" t="s">
        <v>487</v>
      </c>
      <c r="F1109" s="26" t="s">
        <v>1062</v>
      </c>
      <c r="G1109" s="27">
        <f t="shared" si="778"/>
        <v>20000</v>
      </c>
      <c r="H1109" s="27">
        <f t="shared" si="779"/>
        <v>20000</v>
      </c>
      <c r="I1109" s="27">
        <f t="shared" si="780"/>
        <v>20000</v>
      </c>
      <c r="J1109" s="16">
        <f>'БА в тыс. руб.'!G1109*1000</f>
        <v>20000</v>
      </c>
      <c r="K1109" s="169">
        <f t="shared" si="766"/>
        <v>0</v>
      </c>
      <c r="L1109" s="16">
        <f>'БА в тыс. руб.'!H1109*1000</f>
        <v>20000</v>
      </c>
      <c r="M1109" s="169">
        <f t="shared" si="767"/>
        <v>0</v>
      </c>
      <c r="N1109" s="16">
        <f>'БА в тыс. руб.'!I1109*1000</f>
        <v>20000</v>
      </c>
      <c r="O1109" s="169">
        <f t="shared" si="768"/>
        <v>0</v>
      </c>
    </row>
    <row r="1110" spans="1:15" s="3" customFormat="1" ht="25.5">
      <c r="A1110" s="11" t="s">
        <v>126</v>
      </c>
      <c r="B1110" s="25" t="s">
        <v>5</v>
      </c>
      <c r="C1110" s="26" t="s">
        <v>65</v>
      </c>
      <c r="D1110" s="26" t="s">
        <v>37</v>
      </c>
      <c r="E1110" s="26" t="s">
        <v>488</v>
      </c>
      <c r="F1110" s="26" t="s">
        <v>58</v>
      </c>
      <c r="G1110" s="27">
        <f>G1111</f>
        <v>27685780</v>
      </c>
      <c r="H1110" s="27">
        <f>H1111</f>
        <v>27685780</v>
      </c>
      <c r="I1110" s="27">
        <f>I1111</f>
        <v>27685780</v>
      </c>
      <c r="J1110" s="16">
        <f>'БА в тыс. руб.'!G1110*1000</f>
        <v>27685780</v>
      </c>
      <c r="K1110" s="169">
        <f t="shared" si="766"/>
        <v>0</v>
      </c>
      <c r="L1110" s="16">
        <f>'БА в тыс. руб.'!H1110*1000</f>
        <v>27685780</v>
      </c>
      <c r="M1110" s="169">
        <f t="shared" si="767"/>
        <v>0</v>
      </c>
      <c r="N1110" s="16">
        <f>'БА в тыс. руб.'!I1110*1000</f>
        <v>27685780</v>
      </c>
      <c r="O1110" s="169">
        <f t="shared" si="768"/>
        <v>0</v>
      </c>
    </row>
    <row r="1111" spans="1:15" s="3" customFormat="1" ht="25.5">
      <c r="A1111" s="11" t="s">
        <v>107</v>
      </c>
      <c r="B1111" s="25" t="s">
        <v>5</v>
      </c>
      <c r="C1111" s="26" t="s">
        <v>65</v>
      </c>
      <c r="D1111" s="26" t="s">
        <v>37</v>
      </c>
      <c r="E1111" s="26" t="s">
        <v>488</v>
      </c>
      <c r="F1111" s="26" t="s">
        <v>115</v>
      </c>
      <c r="G1111" s="27">
        <f>SUM(G1112:G1113)</f>
        <v>27685780</v>
      </c>
      <c r="H1111" s="27">
        <f t="shared" ref="H1111:I1111" si="781">SUM(H1112:H1113)</f>
        <v>27685780</v>
      </c>
      <c r="I1111" s="27">
        <f t="shared" si="781"/>
        <v>27685780</v>
      </c>
      <c r="J1111" s="16">
        <f>'БА в тыс. руб.'!G1111*1000</f>
        <v>27685780</v>
      </c>
      <c r="K1111" s="169">
        <f t="shared" si="766"/>
        <v>0</v>
      </c>
      <c r="L1111" s="16">
        <f>'БА в тыс. руб.'!H1111*1000</f>
        <v>27685780</v>
      </c>
      <c r="M1111" s="169">
        <f t="shared" si="767"/>
        <v>0</v>
      </c>
      <c r="N1111" s="16">
        <f>'БА в тыс. руб.'!I1111*1000</f>
        <v>27685780</v>
      </c>
      <c r="O1111" s="169">
        <f t="shared" si="768"/>
        <v>0</v>
      </c>
    </row>
    <row r="1112" spans="1:15" s="3" customFormat="1">
      <c r="A1112" s="11" t="s">
        <v>936</v>
      </c>
      <c r="B1112" s="25" t="s">
        <v>5</v>
      </c>
      <c r="C1112" s="26" t="s">
        <v>65</v>
      </c>
      <c r="D1112" s="26" t="s">
        <v>37</v>
      </c>
      <c r="E1112" s="26" t="s">
        <v>488</v>
      </c>
      <c r="F1112" s="26" t="s">
        <v>1063</v>
      </c>
      <c r="G1112" s="27">
        <f t="shared" ref="G1112:G1113" si="782">J1112</f>
        <v>21264040</v>
      </c>
      <c r="H1112" s="27">
        <f t="shared" ref="H1112:H1113" si="783">L1112</f>
        <v>21264040</v>
      </c>
      <c r="I1112" s="27">
        <f t="shared" ref="I1112:I1113" si="784">N1112</f>
        <v>21264040</v>
      </c>
      <c r="J1112" s="16">
        <f>'БА в тыс. руб.'!G1112*1000</f>
        <v>21264040</v>
      </c>
      <c r="K1112" s="169">
        <f t="shared" si="766"/>
        <v>0</v>
      </c>
      <c r="L1112" s="16">
        <f>'БА в тыс. руб.'!H1112*1000</f>
        <v>21264040</v>
      </c>
      <c r="M1112" s="169">
        <f t="shared" si="767"/>
        <v>0</v>
      </c>
      <c r="N1112" s="16">
        <f>'БА в тыс. руб.'!I1112*1000</f>
        <v>21264040</v>
      </c>
      <c r="O1112" s="169">
        <f t="shared" si="768"/>
        <v>0</v>
      </c>
    </row>
    <row r="1113" spans="1:15" s="3" customFormat="1" ht="38.25">
      <c r="A1113" s="11" t="s">
        <v>939</v>
      </c>
      <c r="B1113" s="25" t="s">
        <v>5</v>
      </c>
      <c r="C1113" s="26" t="s">
        <v>65</v>
      </c>
      <c r="D1113" s="26" t="s">
        <v>37</v>
      </c>
      <c r="E1113" s="26" t="s">
        <v>488</v>
      </c>
      <c r="F1113" s="26" t="s">
        <v>1060</v>
      </c>
      <c r="G1113" s="27">
        <f t="shared" si="782"/>
        <v>6421740</v>
      </c>
      <c r="H1113" s="27">
        <f t="shared" si="783"/>
        <v>6421740</v>
      </c>
      <c r="I1113" s="27">
        <f t="shared" si="784"/>
        <v>6421740</v>
      </c>
      <c r="J1113" s="16">
        <f>'БА в тыс. руб.'!G1113*1000</f>
        <v>6421740</v>
      </c>
      <c r="K1113" s="169">
        <f t="shared" si="766"/>
        <v>0</v>
      </c>
      <c r="L1113" s="16">
        <f>'БА в тыс. руб.'!H1113*1000</f>
        <v>6421740</v>
      </c>
      <c r="M1113" s="169">
        <f t="shared" si="767"/>
        <v>0</v>
      </c>
      <c r="N1113" s="16">
        <f>'БА в тыс. руб.'!I1113*1000</f>
        <v>6421740</v>
      </c>
      <c r="O1113" s="169">
        <f t="shared" si="768"/>
        <v>0</v>
      </c>
    </row>
    <row r="1114" spans="1:15" s="3" customFormat="1" ht="51">
      <c r="A1114" s="32" t="s">
        <v>598</v>
      </c>
      <c r="B1114" s="25" t="s">
        <v>5</v>
      </c>
      <c r="C1114" s="26" t="s">
        <v>65</v>
      </c>
      <c r="D1114" s="26" t="s">
        <v>37</v>
      </c>
      <c r="E1114" s="26" t="s">
        <v>489</v>
      </c>
      <c r="F1114" s="26" t="s">
        <v>58</v>
      </c>
      <c r="G1114" s="27">
        <f>G1115+G1119</f>
        <v>1047750</v>
      </c>
      <c r="H1114" s="27">
        <f>H1115+H1119</f>
        <v>1047750</v>
      </c>
      <c r="I1114" s="27">
        <f>I1115+I1119</f>
        <v>1047750</v>
      </c>
      <c r="J1114" s="16">
        <f>'БА в тыс. руб.'!G1114*1000</f>
        <v>1047750</v>
      </c>
      <c r="K1114" s="169">
        <f t="shared" si="766"/>
        <v>0</v>
      </c>
      <c r="L1114" s="16">
        <f>'БА в тыс. руб.'!H1114*1000</f>
        <v>1047750</v>
      </c>
      <c r="M1114" s="169">
        <f t="shared" si="767"/>
        <v>0</v>
      </c>
      <c r="N1114" s="16">
        <f>'БА в тыс. руб.'!I1114*1000</f>
        <v>1047750</v>
      </c>
      <c r="O1114" s="169">
        <f t="shared" si="768"/>
        <v>0</v>
      </c>
    </row>
    <row r="1115" spans="1:15" s="3" customFormat="1" ht="25.5">
      <c r="A1115" s="11" t="s">
        <v>107</v>
      </c>
      <c r="B1115" s="25" t="s">
        <v>5</v>
      </c>
      <c r="C1115" s="26" t="s">
        <v>65</v>
      </c>
      <c r="D1115" s="26" t="s">
        <v>37</v>
      </c>
      <c r="E1115" s="26" t="s">
        <v>489</v>
      </c>
      <c r="F1115" s="26" t="s">
        <v>115</v>
      </c>
      <c r="G1115" s="27">
        <f>SUM(G1116:G1118)</f>
        <v>989330</v>
      </c>
      <c r="H1115" s="27">
        <f t="shared" ref="H1115:I1115" si="785">SUM(H1116:H1118)</f>
        <v>989330</v>
      </c>
      <c r="I1115" s="27">
        <f t="shared" si="785"/>
        <v>989330</v>
      </c>
      <c r="J1115" s="16">
        <f>'БА в тыс. руб.'!G1115*1000</f>
        <v>989329.99999999988</v>
      </c>
      <c r="K1115" s="169">
        <f t="shared" si="766"/>
        <v>0</v>
      </c>
      <c r="L1115" s="16">
        <f>'БА в тыс. руб.'!H1115*1000</f>
        <v>989329.99999999988</v>
      </c>
      <c r="M1115" s="169">
        <f t="shared" si="767"/>
        <v>0</v>
      </c>
      <c r="N1115" s="16">
        <f>'БА в тыс. руб.'!I1115*1000</f>
        <v>989329.99999999988</v>
      </c>
      <c r="O1115" s="169">
        <f t="shared" si="768"/>
        <v>0</v>
      </c>
    </row>
    <row r="1116" spans="1:15" s="3" customFormat="1">
      <c r="A1116" s="11" t="s">
        <v>936</v>
      </c>
      <c r="B1116" s="25" t="s">
        <v>5</v>
      </c>
      <c r="C1116" s="26" t="s">
        <v>65</v>
      </c>
      <c r="D1116" s="26" t="s">
        <v>37</v>
      </c>
      <c r="E1116" s="26" t="s">
        <v>489</v>
      </c>
      <c r="F1116" s="26" t="s">
        <v>1063</v>
      </c>
      <c r="G1116" s="27">
        <f t="shared" ref="G1116:G1118" si="786">J1116</f>
        <v>721560</v>
      </c>
      <c r="H1116" s="27">
        <f t="shared" ref="H1116:H1118" si="787">L1116</f>
        <v>721560</v>
      </c>
      <c r="I1116" s="27">
        <f t="shared" ref="I1116:I1118" si="788">N1116</f>
        <v>721560</v>
      </c>
      <c r="J1116" s="16">
        <f>'БА в тыс. руб.'!G1116*1000</f>
        <v>721560</v>
      </c>
      <c r="K1116" s="169">
        <f t="shared" si="766"/>
        <v>0</v>
      </c>
      <c r="L1116" s="16">
        <f>'БА в тыс. руб.'!H1116*1000</f>
        <v>721560</v>
      </c>
      <c r="M1116" s="169">
        <f t="shared" si="767"/>
        <v>0</v>
      </c>
      <c r="N1116" s="16">
        <f>'БА в тыс. руб.'!I1116*1000</f>
        <v>721560</v>
      </c>
      <c r="O1116" s="169">
        <f t="shared" si="768"/>
        <v>0</v>
      </c>
    </row>
    <row r="1117" spans="1:15" s="3" customFormat="1" ht="25.5">
      <c r="A1117" s="12" t="s">
        <v>937</v>
      </c>
      <c r="B1117" s="25" t="s">
        <v>5</v>
      </c>
      <c r="C1117" s="26" t="s">
        <v>65</v>
      </c>
      <c r="D1117" s="26" t="s">
        <v>37</v>
      </c>
      <c r="E1117" s="26" t="s">
        <v>489</v>
      </c>
      <c r="F1117" s="26" t="s">
        <v>1059</v>
      </c>
      <c r="G1117" s="27">
        <f t="shared" si="786"/>
        <v>38300</v>
      </c>
      <c r="H1117" s="27">
        <f t="shared" si="787"/>
        <v>38300</v>
      </c>
      <c r="I1117" s="27">
        <f t="shared" si="788"/>
        <v>38300</v>
      </c>
      <c r="J1117" s="16">
        <f>'БА в тыс. руб.'!G1117*1000</f>
        <v>38300</v>
      </c>
      <c r="K1117" s="169">
        <f t="shared" si="766"/>
        <v>0</v>
      </c>
      <c r="L1117" s="16">
        <f>'БА в тыс. руб.'!H1117*1000</f>
        <v>38300</v>
      </c>
      <c r="M1117" s="169"/>
      <c r="N1117" s="16">
        <f>'БА в тыс. руб.'!I1117*1000</f>
        <v>38300</v>
      </c>
      <c r="O1117" s="169"/>
    </row>
    <row r="1118" spans="1:15" s="3" customFormat="1" ht="38.25">
      <c r="A1118" s="11" t="s">
        <v>939</v>
      </c>
      <c r="B1118" s="25" t="s">
        <v>5</v>
      </c>
      <c r="C1118" s="26" t="s">
        <v>65</v>
      </c>
      <c r="D1118" s="26" t="s">
        <v>37</v>
      </c>
      <c r="E1118" s="26" t="s">
        <v>489</v>
      </c>
      <c r="F1118" s="26" t="s">
        <v>1060</v>
      </c>
      <c r="G1118" s="27">
        <f t="shared" si="786"/>
        <v>229470</v>
      </c>
      <c r="H1118" s="27">
        <f t="shared" si="787"/>
        <v>229470</v>
      </c>
      <c r="I1118" s="27">
        <f t="shared" si="788"/>
        <v>229470</v>
      </c>
      <c r="J1118" s="16">
        <f>'БА в тыс. руб.'!G1118*1000</f>
        <v>229470</v>
      </c>
      <c r="K1118" s="169">
        <f t="shared" si="766"/>
        <v>0</v>
      </c>
      <c r="L1118" s="16">
        <f>'БА в тыс. руб.'!H1118*1000</f>
        <v>229470</v>
      </c>
      <c r="M1118" s="169">
        <f t="shared" si="767"/>
        <v>0</v>
      </c>
      <c r="N1118" s="16">
        <f>'БА в тыс. руб.'!I1118*1000</f>
        <v>229470</v>
      </c>
      <c r="O1118" s="169">
        <f t="shared" si="768"/>
        <v>0</v>
      </c>
    </row>
    <row r="1119" spans="1:15" s="3" customFormat="1" ht="25.5">
      <c r="A1119" s="11" t="s">
        <v>108</v>
      </c>
      <c r="B1119" s="25" t="s">
        <v>5</v>
      </c>
      <c r="C1119" s="26" t="s">
        <v>65</v>
      </c>
      <c r="D1119" s="26" t="s">
        <v>37</v>
      </c>
      <c r="E1119" s="26" t="s">
        <v>489</v>
      </c>
      <c r="F1119" s="26" t="s">
        <v>116</v>
      </c>
      <c r="G1119" s="27">
        <f>G1120</f>
        <v>58420</v>
      </c>
      <c r="H1119" s="27">
        <f t="shared" ref="H1119:I1119" si="789">H1120</f>
        <v>58420</v>
      </c>
      <c r="I1119" s="27">
        <f t="shared" si="789"/>
        <v>58420</v>
      </c>
      <c r="J1119" s="16">
        <f>'БА в тыс. руб.'!G1119*1000</f>
        <v>58420</v>
      </c>
      <c r="K1119" s="169">
        <f t="shared" si="766"/>
        <v>0</v>
      </c>
      <c r="L1119" s="16">
        <f>'БА в тыс. руб.'!H1119*1000</f>
        <v>58420</v>
      </c>
      <c r="M1119" s="169">
        <f t="shared" si="767"/>
        <v>0</v>
      </c>
      <c r="N1119" s="16">
        <f>'БА в тыс. руб.'!I1119*1000</f>
        <v>58420</v>
      </c>
      <c r="O1119" s="169">
        <f t="shared" si="768"/>
        <v>0</v>
      </c>
    </row>
    <row r="1120" spans="1:15" s="94" customFormat="1" ht="25.5">
      <c r="A1120" s="12" t="s">
        <v>973</v>
      </c>
      <c r="B1120" s="25" t="s">
        <v>5</v>
      </c>
      <c r="C1120" s="26" t="s">
        <v>65</v>
      </c>
      <c r="D1120" s="26" t="s">
        <v>37</v>
      </c>
      <c r="E1120" s="26" t="s">
        <v>489</v>
      </c>
      <c r="F1120" s="26" t="s">
        <v>1043</v>
      </c>
      <c r="G1120" s="27">
        <f t="shared" ref="G1120" si="790">J1120</f>
        <v>58420</v>
      </c>
      <c r="H1120" s="27">
        <f>L1120</f>
        <v>58420</v>
      </c>
      <c r="I1120" s="27">
        <f>N1120</f>
        <v>58420</v>
      </c>
      <c r="J1120" s="16">
        <f>'БА в тыс. руб.'!G1120*1000</f>
        <v>58420</v>
      </c>
      <c r="K1120" s="169">
        <f t="shared" si="766"/>
        <v>0</v>
      </c>
      <c r="L1120" s="16">
        <f>'БА в тыс. руб.'!H1120*1000</f>
        <v>58420</v>
      </c>
      <c r="M1120" s="169">
        <f t="shared" si="767"/>
        <v>0</v>
      </c>
      <c r="N1120" s="16">
        <f>'БА в тыс. руб.'!I1120*1000</f>
        <v>58420</v>
      </c>
      <c r="O1120" s="169">
        <f t="shared" si="768"/>
        <v>0</v>
      </c>
    </row>
    <row r="1121" spans="1:15" s="3" customFormat="1" ht="51">
      <c r="A1121" s="34" t="s">
        <v>870</v>
      </c>
      <c r="B1121" s="35" t="s">
        <v>5</v>
      </c>
      <c r="C1121" s="36" t="s">
        <v>65</v>
      </c>
      <c r="D1121" s="36" t="s">
        <v>37</v>
      </c>
      <c r="E1121" s="36" t="s">
        <v>490</v>
      </c>
      <c r="F1121" s="36" t="s">
        <v>58</v>
      </c>
      <c r="G1121" s="37">
        <f>G1122</f>
        <v>51740</v>
      </c>
      <c r="H1121" s="37">
        <f>H1122</f>
        <v>51740</v>
      </c>
      <c r="I1121" s="37">
        <f>I1122</f>
        <v>51740</v>
      </c>
      <c r="J1121" s="16">
        <f>'БА в тыс. руб.'!G1121*1000</f>
        <v>51740</v>
      </c>
      <c r="K1121" s="169">
        <f t="shared" si="766"/>
        <v>0</v>
      </c>
      <c r="L1121" s="16">
        <f>'БА в тыс. руб.'!H1121*1000</f>
        <v>51740</v>
      </c>
      <c r="M1121" s="169">
        <f t="shared" si="767"/>
        <v>0</v>
      </c>
      <c r="N1121" s="16">
        <f>'БА в тыс. руб.'!I1121*1000</f>
        <v>51740</v>
      </c>
      <c r="O1121" s="169">
        <f t="shared" si="768"/>
        <v>0</v>
      </c>
    </row>
    <row r="1122" spans="1:15" s="3" customFormat="1" ht="25.5">
      <c r="A1122" s="11" t="s">
        <v>108</v>
      </c>
      <c r="B1122" s="35" t="s">
        <v>5</v>
      </c>
      <c r="C1122" s="36" t="s">
        <v>65</v>
      </c>
      <c r="D1122" s="36" t="s">
        <v>37</v>
      </c>
      <c r="E1122" s="36" t="s">
        <v>490</v>
      </c>
      <c r="F1122" s="36" t="s">
        <v>116</v>
      </c>
      <c r="G1122" s="37">
        <f>G1123</f>
        <v>51740</v>
      </c>
      <c r="H1122" s="37">
        <f t="shared" ref="H1122:I1122" si="791">H1123</f>
        <v>51740</v>
      </c>
      <c r="I1122" s="37">
        <f t="shared" si="791"/>
        <v>51740</v>
      </c>
      <c r="J1122" s="16">
        <f>'БА в тыс. руб.'!G1122*1000</f>
        <v>51740</v>
      </c>
      <c r="K1122" s="169">
        <f t="shared" si="766"/>
        <v>0</v>
      </c>
      <c r="L1122" s="16">
        <f>'БА в тыс. руб.'!H1122*1000</f>
        <v>51740</v>
      </c>
      <c r="M1122" s="169">
        <f t="shared" si="767"/>
        <v>0</v>
      </c>
      <c r="N1122" s="16">
        <f>'БА в тыс. руб.'!I1122*1000</f>
        <v>51740</v>
      </c>
      <c r="O1122" s="169">
        <f t="shared" si="768"/>
        <v>0</v>
      </c>
    </row>
    <row r="1123" spans="1:15" s="4" customFormat="1" ht="25.5">
      <c r="A1123" s="12" t="s">
        <v>973</v>
      </c>
      <c r="B1123" s="35" t="s">
        <v>5</v>
      </c>
      <c r="C1123" s="36" t="s">
        <v>65</v>
      </c>
      <c r="D1123" s="36" t="s">
        <v>37</v>
      </c>
      <c r="E1123" s="36" t="s">
        <v>490</v>
      </c>
      <c r="F1123" s="36" t="s">
        <v>1043</v>
      </c>
      <c r="G1123" s="27">
        <f t="shared" ref="G1123" si="792">J1123</f>
        <v>51740</v>
      </c>
      <c r="H1123" s="27">
        <f>L1123</f>
        <v>51740</v>
      </c>
      <c r="I1123" s="27">
        <f>N1123</f>
        <v>51740</v>
      </c>
      <c r="J1123" s="16">
        <f>'БА в тыс. руб.'!G1123*1000</f>
        <v>51740</v>
      </c>
      <c r="K1123" s="169">
        <f t="shared" si="766"/>
        <v>0</v>
      </c>
      <c r="L1123" s="16">
        <f>'БА в тыс. руб.'!H1123*1000</f>
        <v>51740</v>
      </c>
      <c r="M1123" s="169">
        <f t="shared" si="767"/>
        <v>0</v>
      </c>
      <c r="N1123" s="16">
        <f>'БА в тыс. руб.'!I1123*1000</f>
        <v>51740</v>
      </c>
      <c r="O1123" s="169">
        <f t="shared" si="768"/>
        <v>0</v>
      </c>
    </row>
    <row r="1124" spans="1:15" s="3" customFormat="1">
      <c r="A1124" s="21" t="s">
        <v>38</v>
      </c>
      <c r="B1124" s="22" t="s">
        <v>5</v>
      </c>
      <c r="C1124" s="23" t="s">
        <v>65</v>
      </c>
      <c r="D1124" s="23" t="s">
        <v>84</v>
      </c>
      <c r="E1124" s="23" t="s">
        <v>196</v>
      </c>
      <c r="F1124" s="23" t="s">
        <v>58</v>
      </c>
      <c r="G1124" s="24">
        <f>G1125</f>
        <v>390200</v>
      </c>
      <c r="H1124" s="24">
        <f t="shared" ref="H1124:I1124" si="793">H1125</f>
        <v>390200</v>
      </c>
      <c r="I1124" s="24">
        <f t="shared" si="793"/>
        <v>390200</v>
      </c>
      <c r="J1124" s="16">
        <f>'БА в тыс. руб.'!G1124*1000</f>
        <v>390200</v>
      </c>
      <c r="K1124" s="169">
        <f t="shared" si="766"/>
        <v>0</v>
      </c>
      <c r="L1124" s="16">
        <f>'БА в тыс. руб.'!H1124*1000</f>
        <v>390200</v>
      </c>
      <c r="M1124" s="169">
        <f t="shared" si="767"/>
        <v>0</v>
      </c>
      <c r="N1124" s="16">
        <f>'БА в тыс. руб.'!I1124*1000</f>
        <v>390200</v>
      </c>
      <c r="O1124" s="169">
        <f t="shared" si="768"/>
        <v>0</v>
      </c>
    </row>
    <row r="1125" spans="1:15" s="3" customFormat="1" ht="38.25">
      <c r="A1125" s="13" t="s">
        <v>745</v>
      </c>
      <c r="B1125" s="35" t="s">
        <v>5</v>
      </c>
      <c r="C1125" s="36" t="s">
        <v>65</v>
      </c>
      <c r="D1125" s="36" t="s">
        <v>84</v>
      </c>
      <c r="E1125" s="36" t="s">
        <v>280</v>
      </c>
      <c r="F1125" s="36" t="s">
        <v>58</v>
      </c>
      <c r="G1125" s="37">
        <f t="shared" ref="G1125:I1129" si="794">G1126</f>
        <v>390200</v>
      </c>
      <c r="H1125" s="37">
        <f t="shared" si="794"/>
        <v>390200</v>
      </c>
      <c r="I1125" s="37">
        <f t="shared" si="794"/>
        <v>390200</v>
      </c>
      <c r="J1125" s="16">
        <f>'БА в тыс. руб.'!G1125*1000</f>
        <v>390200</v>
      </c>
      <c r="K1125" s="169">
        <f t="shared" si="766"/>
        <v>0</v>
      </c>
      <c r="L1125" s="16">
        <f>'БА в тыс. руб.'!H1125*1000</f>
        <v>390200</v>
      </c>
      <c r="M1125" s="169">
        <f t="shared" si="767"/>
        <v>0</v>
      </c>
      <c r="N1125" s="16">
        <f>'БА в тыс. руб.'!I1125*1000</f>
        <v>390200</v>
      </c>
      <c r="O1125" s="169">
        <f t="shared" si="768"/>
        <v>0</v>
      </c>
    </row>
    <row r="1126" spans="1:15" s="3" customFormat="1" ht="51">
      <c r="A1126" s="13" t="s">
        <v>746</v>
      </c>
      <c r="B1126" s="25" t="s">
        <v>5</v>
      </c>
      <c r="C1126" s="36" t="s">
        <v>65</v>
      </c>
      <c r="D1126" s="36" t="s">
        <v>84</v>
      </c>
      <c r="E1126" s="36" t="s">
        <v>281</v>
      </c>
      <c r="F1126" s="36" t="s">
        <v>58</v>
      </c>
      <c r="G1126" s="37">
        <f t="shared" si="794"/>
        <v>390200</v>
      </c>
      <c r="H1126" s="37">
        <f t="shared" si="794"/>
        <v>390200</v>
      </c>
      <c r="I1126" s="37">
        <f t="shared" si="794"/>
        <v>390200</v>
      </c>
      <c r="J1126" s="16">
        <f>'БА в тыс. руб.'!G1126*1000</f>
        <v>390200</v>
      </c>
      <c r="K1126" s="169">
        <f t="shared" si="766"/>
        <v>0</v>
      </c>
      <c r="L1126" s="16">
        <f>'БА в тыс. руб.'!H1126*1000</f>
        <v>390200</v>
      </c>
      <c r="M1126" s="169">
        <f t="shared" si="767"/>
        <v>0</v>
      </c>
      <c r="N1126" s="16">
        <f>'БА в тыс. руб.'!I1126*1000</f>
        <v>390200</v>
      </c>
      <c r="O1126" s="169">
        <f t="shared" si="768"/>
        <v>0</v>
      </c>
    </row>
    <row r="1127" spans="1:15" s="3" customFormat="1" ht="38.25">
      <c r="A1127" s="11" t="s">
        <v>282</v>
      </c>
      <c r="B1127" s="25" t="s">
        <v>5</v>
      </c>
      <c r="C1127" s="36" t="s">
        <v>65</v>
      </c>
      <c r="D1127" s="36" t="s">
        <v>84</v>
      </c>
      <c r="E1127" s="36" t="s">
        <v>283</v>
      </c>
      <c r="F1127" s="36" t="s">
        <v>58</v>
      </c>
      <c r="G1127" s="37">
        <f>G1128+G1131</f>
        <v>390200</v>
      </c>
      <c r="H1127" s="37">
        <f>H1128+H1131</f>
        <v>390200</v>
      </c>
      <c r="I1127" s="37">
        <f>I1128+I1131</f>
        <v>390200</v>
      </c>
      <c r="J1127" s="16">
        <f>'БА в тыс. руб.'!G1127*1000</f>
        <v>390200</v>
      </c>
      <c r="K1127" s="169">
        <f t="shared" si="766"/>
        <v>0</v>
      </c>
      <c r="L1127" s="16">
        <f>'БА в тыс. руб.'!H1127*1000</f>
        <v>390200</v>
      </c>
      <c r="M1127" s="169">
        <f t="shared" si="767"/>
        <v>0</v>
      </c>
      <c r="N1127" s="16">
        <f>'БА в тыс. руб.'!I1127*1000</f>
        <v>390200</v>
      </c>
      <c r="O1127" s="169">
        <f t="shared" si="768"/>
        <v>0</v>
      </c>
    </row>
    <row r="1128" spans="1:15" s="3" customFormat="1" ht="25.5">
      <c r="A1128" s="11" t="s">
        <v>167</v>
      </c>
      <c r="B1128" s="25" t="s">
        <v>5</v>
      </c>
      <c r="C1128" s="36" t="s">
        <v>65</v>
      </c>
      <c r="D1128" s="36" t="s">
        <v>84</v>
      </c>
      <c r="E1128" s="36" t="s">
        <v>491</v>
      </c>
      <c r="F1128" s="36" t="s">
        <v>58</v>
      </c>
      <c r="G1128" s="37">
        <f t="shared" si="794"/>
        <v>350000</v>
      </c>
      <c r="H1128" s="37">
        <f t="shared" si="794"/>
        <v>350000</v>
      </c>
      <c r="I1128" s="37">
        <f t="shared" si="794"/>
        <v>350000</v>
      </c>
      <c r="J1128" s="16">
        <f>'БА в тыс. руб.'!G1128*1000</f>
        <v>350000</v>
      </c>
      <c r="K1128" s="169">
        <f t="shared" si="766"/>
        <v>0</v>
      </c>
      <c r="L1128" s="16">
        <f>'БА в тыс. руб.'!H1128*1000</f>
        <v>350000</v>
      </c>
      <c r="M1128" s="169">
        <f t="shared" si="767"/>
        <v>0</v>
      </c>
      <c r="N1128" s="16">
        <f>'БА в тыс. руб.'!I1128*1000</f>
        <v>350000</v>
      </c>
      <c r="O1128" s="169">
        <f t="shared" si="768"/>
        <v>0</v>
      </c>
    </row>
    <row r="1129" spans="1:15" s="3" customFormat="1" ht="25.5">
      <c r="A1129" s="11" t="s">
        <v>108</v>
      </c>
      <c r="B1129" s="25" t="s">
        <v>5</v>
      </c>
      <c r="C1129" s="36" t="s">
        <v>65</v>
      </c>
      <c r="D1129" s="36" t="s">
        <v>84</v>
      </c>
      <c r="E1129" s="36" t="s">
        <v>491</v>
      </c>
      <c r="F1129" s="36" t="s">
        <v>116</v>
      </c>
      <c r="G1129" s="37">
        <f>G1130</f>
        <v>350000</v>
      </c>
      <c r="H1129" s="37">
        <f t="shared" si="794"/>
        <v>350000</v>
      </c>
      <c r="I1129" s="37">
        <f t="shared" si="794"/>
        <v>350000</v>
      </c>
      <c r="J1129" s="16">
        <f>'БА в тыс. руб.'!G1129*1000</f>
        <v>350000</v>
      </c>
      <c r="K1129" s="169">
        <f t="shared" si="766"/>
        <v>0</v>
      </c>
      <c r="L1129" s="16">
        <f>'БА в тыс. руб.'!H1129*1000</f>
        <v>350000</v>
      </c>
      <c r="M1129" s="169">
        <f t="shared" si="767"/>
        <v>0</v>
      </c>
      <c r="N1129" s="16">
        <f>'БА в тыс. руб.'!I1129*1000</f>
        <v>350000</v>
      </c>
      <c r="O1129" s="169">
        <f t="shared" si="768"/>
        <v>0</v>
      </c>
    </row>
    <row r="1130" spans="1:15" s="4" customFormat="1" ht="25.5">
      <c r="A1130" s="12" t="s">
        <v>973</v>
      </c>
      <c r="B1130" s="25" t="s">
        <v>5</v>
      </c>
      <c r="C1130" s="36" t="s">
        <v>65</v>
      </c>
      <c r="D1130" s="36" t="s">
        <v>84</v>
      </c>
      <c r="E1130" s="36" t="s">
        <v>491</v>
      </c>
      <c r="F1130" s="36" t="s">
        <v>1043</v>
      </c>
      <c r="G1130" s="27">
        <f t="shared" ref="G1130" si="795">J1130</f>
        <v>350000</v>
      </c>
      <c r="H1130" s="27">
        <f>L1130</f>
        <v>350000</v>
      </c>
      <c r="I1130" s="27">
        <f>N1130</f>
        <v>350000</v>
      </c>
      <c r="J1130" s="16">
        <f>'БА в тыс. руб.'!G1130*1000</f>
        <v>350000</v>
      </c>
      <c r="K1130" s="169">
        <f t="shared" si="766"/>
        <v>0</v>
      </c>
      <c r="L1130" s="16">
        <f>'БА в тыс. руб.'!H1130*1000</f>
        <v>350000</v>
      </c>
      <c r="M1130" s="169">
        <f t="shared" si="767"/>
        <v>0</v>
      </c>
      <c r="N1130" s="16">
        <f>'БА в тыс. руб.'!I1130*1000</f>
        <v>350000</v>
      </c>
      <c r="O1130" s="169">
        <f t="shared" si="768"/>
        <v>0</v>
      </c>
    </row>
    <row r="1131" spans="1:15" s="3" customFormat="1" ht="25.5">
      <c r="A1131" s="11" t="s">
        <v>859</v>
      </c>
      <c r="B1131" s="25" t="s">
        <v>5</v>
      </c>
      <c r="C1131" s="36" t="s">
        <v>65</v>
      </c>
      <c r="D1131" s="36" t="s">
        <v>84</v>
      </c>
      <c r="E1131" s="43" t="s">
        <v>858</v>
      </c>
      <c r="F1131" s="26" t="s">
        <v>58</v>
      </c>
      <c r="G1131" s="27">
        <f>G1132</f>
        <v>40200</v>
      </c>
      <c r="H1131" s="27">
        <f t="shared" ref="H1131:I1132" si="796">H1132</f>
        <v>40200</v>
      </c>
      <c r="I1131" s="27">
        <f t="shared" si="796"/>
        <v>40200</v>
      </c>
      <c r="J1131" s="16">
        <f>'БА в тыс. руб.'!G1131*1000</f>
        <v>40200</v>
      </c>
      <c r="K1131" s="169">
        <f t="shared" si="766"/>
        <v>0</v>
      </c>
      <c r="L1131" s="16">
        <f>'БА в тыс. руб.'!H1131*1000</f>
        <v>40200</v>
      </c>
      <c r="M1131" s="169">
        <f t="shared" si="767"/>
        <v>0</v>
      </c>
      <c r="N1131" s="16">
        <f>'БА в тыс. руб.'!I1131*1000</f>
        <v>40200</v>
      </c>
      <c r="O1131" s="169">
        <f t="shared" si="768"/>
        <v>0</v>
      </c>
    </row>
    <row r="1132" spans="1:15" s="3" customFormat="1" ht="25.5">
      <c r="A1132" s="11" t="s">
        <v>108</v>
      </c>
      <c r="B1132" s="25" t="s">
        <v>5</v>
      </c>
      <c r="C1132" s="36" t="s">
        <v>65</v>
      </c>
      <c r="D1132" s="36" t="s">
        <v>84</v>
      </c>
      <c r="E1132" s="43" t="s">
        <v>858</v>
      </c>
      <c r="F1132" s="26" t="s">
        <v>116</v>
      </c>
      <c r="G1132" s="27">
        <f>G1133</f>
        <v>40200</v>
      </c>
      <c r="H1132" s="27">
        <f t="shared" si="796"/>
        <v>40200</v>
      </c>
      <c r="I1132" s="27">
        <f t="shared" si="796"/>
        <v>40200</v>
      </c>
      <c r="J1132" s="16">
        <f>'БА в тыс. руб.'!G1132*1000</f>
        <v>40200</v>
      </c>
      <c r="K1132" s="169">
        <f t="shared" si="766"/>
        <v>0</v>
      </c>
      <c r="L1132" s="16">
        <f>'БА в тыс. руб.'!H1132*1000</f>
        <v>40200</v>
      </c>
      <c r="M1132" s="169">
        <f t="shared" si="767"/>
        <v>0</v>
      </c>
      <c r="N1132" s="16">
        <f>'БА в тыс. руб.'!I1132*1000</f>
        <v>40200</v>
      </c>
      <c r="O1132" s="169">
        <f t="shared" si="768"/>
        <v>0</v>
      </c>
    </row>
    <row r="1133" spans="1:15" s="4" customFormat="1" ht="25.5">
      <c r="A1133" s="12" t="s">
        <v>973</v>
      </c>
      <c r="B1133" s="25" t="s">
        <v>5</v>
      </c>
      <c r="C1133" s="36" t="s">
        <v>65</v>
      </c>
      <c r="D1133" s="36" t="s">
        <v>84</v>
      </c>
      <c r="E1133" s="43" t="s">
        <v>858</v>
      </c>
      <c r="F1133" s="26" t="s">
        <v>1043</v>
      </c>
      <c r="G1133" s="27">
        <f t="shared" ref="G1133" si="797">J1133</f>
        <v>40200</v>
      </c>
      <c r="H1133" s="27">
        <f>L1133</f>
        <v>40200</v>
      </c>
      <c r="I1133" s="27">
        <f>N1133</f>
        <v>40200</v>
      </c>
      <c r="J1133" s="16">
        <f>'БА в тыс. руб.'!G1133*1000</f>
        <v>40200</v>
      </c>
      <c r="K1133" s="169">
        <f t="shared" si="766"/>
        <v>0</v>
      </c>
      <c r="L1133" s="16">
        <f>'БА в тыс. руб.'!H1133*1000</f>
        <v>40200</v>
      </c>
      <c r="M1133" s="169">
        <f t="shared" si="767"/>
        <v>0</v>
      </c>
      <c r="N1133" s="16">
        <f>'БА в тыс. руб.'!I1133*1000</f>
        <v>40200</v>
      </c>
      <c r="O1133" s="169">
        <f t="shared" si="768"/>
        <v>0</v>
      </c>
    </row>
    <row r="1134" spans="1:15" s="3" customFormat="1">
      <c r="A1134" s="17" t="s">
        <v>35</v>
      </c>
      <c r="B1134" s="18" t="s">
        <v>5</v>
      </c>
      <c r="C1134" s="19" t="s">
        <v>37</v>
      </c>
      <c r="D1134" s="19" t="s">
        <v>51</v>
      </c>
      <c r="E1134" s="19" t="s">
        <v>196</v>
      </c>
      <c r="F1134" s="19" t="s">
        <v>58</v>
      </c>
      <c r="G1134" s="20">
        <f t="shared" ref="G1134:I1137" si="798">G1135</f>
        <v>67497950</v>
      </c>
      <c r="H1134" s="20">
        <f t="shared" si="798"/>
        <v>61526090</v>
      </c>
      <c r="I1134" s="20">
        <f t="shared" si="798"/>
        <v>61526090</v>
      </c>
      <c r="J1134" s="16">
        <f>'БА в тыс. руб.'!G1134*1000</f>
        <v>67497950.000000015</v>
      </c>
      <c r="K1134" s="169">
        <f t="shared" si="766"/>
        <v>0</v>
      </c>
      <c r="L1134" s="16">
        <f>'БА в тыс. руб.'!H1134*1000</f>
        <v>61526090.000000007</v>
      </c>
      <c r="M1134" s="169">
        <f t="shared" si="767"/>
        <v>0</v>
      </c>
      <c r="N1134" s="16">
        <f>'БА в тыс. руб.'!I1134*1000</f>
        <v>61526090.000000007</v>
      </c>
      <c r="O1134" s="169">
        <f t="shared" si="768"/>
        <v>0</v>
      </c>
    </row>
    <row r="1135" spans="1:15" s="3" customFormat="1">
      <c r="A1135" s="21" t="s">
        <v>88</v>
      </c>
      <c r="B1135" s="22" t="s">
        <v>5</v>
      </c>
      <c r="C1135" s="23" t="s">
        <v>37</v>
      </c>
      <c r="D1135" s="23" t="s">
        <v>25</v>
      </c>
      <c r="E1135" s="23" t="s">
        <v>196</v>
      </c>
      <c r="F1135" s="23" t="s">
        <v>58</v>
      </c>
      <c r="G1135" s="24">
        <f t="shared" si="798"/>
        <v>67497950</v>
      </c>
      <c r="H1135" s="24">
        <f t="shared" si="798"/>
        <v>61526090</v>
      </c>
      <c r="I1135" s="24">
        <f t="shared" si="798"/>
        <v>61526090</v>
      </c>
      <c r="J1135" s="16">
        <f>'БА в тыс. руб.'!G1135*1000</f>
        <v>67497950.000000015</v>
      </c>
      <c r="K1135" s="169">
        <f t="shared" si="766"/>
        <v>0</v>
      </c>
      <c r="L1135" s="16">
        <f>'БА в тыс. руб.'!H1135*1000</f>
        <v>61526090.000000007</v>
      </c>
      <c r="M1135" s="169">
        <f t="shared" si="767"/>
        <v>0</v>
      </c>
      <c r="N1135" s="16">
        <f>'БА в тыс. руб.'!I1135*1000</f>
        <v>61526090.000000007</v>
      </c>
      <c r="O1135" s="169">
        <f t="shared" si="768"/>
        <v>0</v>
      </c>
    </row>
    <row r="1136" spans="1:15" s="3" customFormat="1" ht="38.25">
      <c r="A1136" s="12" t="s">
        <v>722</v>
      </c>
      <c r="B1136" s="35" t="s">
        <v>5</v>
      </c>
      <c r="C1136" s="36" t="s">
        <v>37</v>
      </c>
      <c r="D1136" s="36" t="s">
        <v>25</v>
      </c>
      <c r="E1136" s="36" t="s">
        <v>300</v>
      </c>
      <c r="F1136" s="36" t="s">
        <v>58</v>
      </c>
      <c r="G1136" s="37">
        <f t="shared" si="798"/>
        <v>67497950</v>
      </c>
      <c r="H1136" s="37">
        <f t="shared" si="798"/>
        <v>61526090</v>
      </c>
      <c r="I1136" s="37">
        <f t="shared" si="798"/>
        <v>61526090</v>
      </c>
      <c r="J1136" s="16">
        <f>'БА в тыс. руб.'!G1136*1000</f>
        <v>67497950.000000015</v>
      </c>
      <c r="K1136" s="169">
        <f t="shared" si="766"/>
        <v>0</v>
      </c>
      <c r="L1136" s="16">
        <f>'БА в тыс. руб.'!H1136*1000</f>
        <v>61526090.000000007</v>
      </c>
      <c r="M1136" s="169">
        <f t="shared" si="767"/>
        <v>0</v>
      </c>
      <c r="N1136" s="16">
        <f>'БА в тыс. руб.'!I1136*1000</f>
        <v>61526090.000000007</v>
      </c>
      <c r="O1136" s="169">
        <f t="shared" si="768"/>
        <v>0</v>
      </c>
    </row>
    <row r="1137" spans="1:15" s="3" customFormat="1" ht="38.25">
      <c r="A1137" s="40" t="s">
        <v>729</v>
      </c>
      <c r="B1137" s="35" t="s">
        <v>5</v>
      </c>
      <c r="C1137" s="36" t="s">
        <v>37</v>
      </c>
      <c r="D1137" s="36" t="s">
        <v>25</v>
      </c>
      <c r="E1137" s="36" t="s">
        <v>301</v>
      </c>
      <c r="F1137" s="36" t="s">
        <v>58</v>
      </c>
      <c r="G1137" s="37">
        <f t="shared" si="798"/>
        <v>67497950</v>
      </c>
      <c r="H1137" s="37">
        <f t="shared" si="798"/>
        <v>61526090</v>
      </c>
      <c r="I1137" s="37">
        <f t="shared" si="798"/>
        <v>61526090</v>
      </c>
      <c r="J1137" s="16">
        <f>'БА в тыс. руб.'!G1137*1000</f>
        <v>67497950.000000015</v>
      </c>
      <c r="K1137" s="169">
        <f t="shared" si="766"/>
        <v>0</v>
      </c>
      <c r="L1137" s="16">
        <f>'БА в тыс. руб.'!H1137*1000</f>
        <v>61526090.000000007</v>
      </c>
      <c r="M1137" s="169">
        <f t="shared" si="767"/>
        <v>0</v>
      </c>
      <c r="N1137" s="16">
        <f>'БА в тыс. руб.'!I1137*1000</f>
        <v>61526090.000000007</v>
      </c>
      <c r="O1137" s="169">
        <f t="shared" si="768"/>
        <v>0</v>
      </c>
    </row>
    <row r="1138" spans="1:15" s="3" customFormat="1" ht="38.25">
      <c r="A1138" s="40" t="s">
        <v>644</v>
      </c>
      <c r="B1138" s="35" t="s">
        <v>5</v>
      </c>
      <c r="C1138" s="36" t="s">
        <v>37</v>
      </c>
      <c r="D1138" s="36" t="s">
        <v>25</v>
      </c>
      <c r="E1138" s="36" t="s">
        <v>302</v>
      </c>
      <c r="F1138" s="36" t="s">
        <v>58</v>
      </c>
      <c r="G1138" s="37">
        <f>G1145+G1139+G1142</f>
        <v>67497950</v>
      </c>
      <c r="H1138" s="37">
        <f>H1145+H1139+H1142</f>
        <v>61526090</v>
      </c>
      <c r="I1138" s="37">
        <f>I1145+I1139+I1142</f>
        <v>61526090</v>
      </c>
      <c r="J1138" s="16">
        <f>'БА в тыс. руб.'!G1138*1000</f>
        <v>67497950.000000015</v>
      </c>
      <c r="K1138" s="169">
        <f t="shared" si="766"/>
        <v>0</v>
      </c>
      <c r="L1138" s="16">
        <f>'БА в тыс. руб.'!H1138*1000</f>
        <v>61526090.000000007</v>
      </c>
      <c r="M1138" s="169">
        <f t="shared" si="767"/>
        <v>0</v>
      </c>
      <c r="N1138" s="16">
        <f>'БА в тыс. руб.'!I1138*1000</f>
        <v>61526090.000000007</v>
      </c>
      <c r="O1138" s="169">
        <f t="shared" si="768"/>
        <v>0</v>
      </c>
    </row>
    <row r="1139" spans="1:15" s="127" customFormat="1" ht="25.5">
      <c r="A1139" s="11" t="s">
        <v>493</v>
      </c>
      <c r="B1139" s="25" t="s">
        <v>5</v>
      </c>
      <c r="C1139" s="26" t="s">
        <v>37</v>
      </c>
      <c r="D1139" s="26" t="s">
        <v>25</v>
      </c>
      <c r="E1139" s="26" t="s">
        <v>494</v>
      </c>
      <c r="F1139" s="26" t="s">
        <v>58</v>
      </c>
      <c r="G1139" s="27">
        <f t="shared" ref="G1139:I1140" si="799">G1140</f>
        <v>10668700</v>
      </c>
      <c r="H1139" s="27">
        <f t="shared" si="799"/>
        <v>10379760</v>
      </c>
      <c r="I1139" s="27">
        <f t="shared" si="799"/>
        <v>10379760</v>
      </c>
      <c r="J1139" s="16">
        <f>'БА в тыс. руб.'!G1139*1000</f>
        <v>10668700</v>
      </c>
      <c r="K1139" s="169">
        <f t="shared" si="766"/>
        <v>0</v>
      </c>
      <c r="L1139" s="16">
        <f>'БА в тыс. руб.'!H1139*1000</f>
        <v>10379760</v>
      </c>
      <c r="M1139" s="169">
        <f t="shared" si="767"/>
        <v>0</v>
      </c>
      <c r="N1139" s="16">
        <f>'БА в тыс. руб.'!I1139*1000</f>
        <v>10379760</v>
      </c>
      <c r="O1139" s="169">
        <f t="shared" si="768"/>
        <v>0</v>
      </c>
    </row>
    <row r="1140" spans="1:15" s="127" customFormat="1" ht="25.5">
      <c r="A1140" s="11" t="s">
        <v>108</v>
      </c>
      <c r="B1140" s="25" t="s">
        <v>5</v>
      </c>
      <c r="C1140" s="26" t="s">
        <v>37</v>
      </c>
      <c r="D1140" s="26" t="s">
        <v>25</v>
      </c>
      <c r="E1140" s="26" t="s">
        <v>494</v>
      </c>
      <c r="F1140" s="26" t="s">
        <v>116</v>
      </c>
      <c r="G1140" s="27">
        <f t="shared" si="799"/>
        <v>10668700</v>
      </c>
      <c r="H1140" s="27">
        <f t="shared" si="799"/>
        <v>10379760</v>
      </c>
      <c r="I1140" s="27">
        <f t="shared" si="799"/>
        <v>10379760</v>
      </c>
      <c r="J1140" s="16">
        <f>'БА в тыс. руб.'!G1140*1000</f>
        <v>10668700</v>
      </c>
      <c r="K1140" s="169">
        <f t="shared" si="766"/>
        <v>0</v>
      </c>
      <c r="L1140" s="16">
        <f>'БА в тыс. руб.'!H1140*1000</f>
        <v>10379760</v>
      </c>
      <c r="M1140" s="169">
        <f t="shared" si="767"/>
        <v>0</v>
      </c>
      <c r="N1140" s="16">
        <f>'БА в тыс. руб.'!I1140*1000</f>
        <v>10379760</v>
      </c>
      <c r="O1140" s="169">
        <f t="shared" si="768"/>
        <v>0</v>
      </c>
    </row>
    <row r="1141" spans="1:15" s="4" customFormat="1" ht="25.5">
      <c r="A1141" s="12" t="s">
        <v>973</v>
      </c>
      <c r="B1141" s="25" t="s">
        <v>5</v>
      </c>
      <c r="C1141" s="26" t="s">
        <v>37</v>
      </c>
      <c r="D1141" s="26" t="s">
        <v>25</v>
      </c>
      <c r="E1141" s="26" t="s">
        <v>494</v>
      </c>
      <c r="F1141" s="26" t="s">
        <v>1043</v>
      </c>
      <c r="G1141" s="27">
        <f t="shared" ref="G1141" si="800">J1141</f>
        <v>10668700</v>
      </c>
      <c r="H1141" s="27">
        <f>L1141</f>
        <v>10379760</v>
      </c>
      <c r="I1141" s="27">
        <f>N1141</f>
        <v>10379760</v>
      </c>
      <c r="J1141" s="16">
        <f>'БА в тыс. руб.'!G1141*1000</f>
        <v>10668700</v>
      </c>
      <c r="K1141" s="169">
        <f t="shared" si="766"/>
        <v>0</v>
      </c>
      <c r="L1141" s="16">
        <f>'БА в тыс. руб.'!H1141*1000</f>
        <v>10379760</v>
      </c>
      <c r="M1141" s="169">
        <f t="shared" si="767"/>
        <v>0</v>
      </c>
      <c r="N1141" s="16">
        <f>'БА в тыс. руб.'!I1141*1000</f>
        <v>10379760</v>
      </c>
      <c r="O1141" s="169">
        <f t="shared" si="768"/>
        <v>0</v>
      </c>
    </row>
    <row r="1142" spans="1:15" s="127" customFormat="1" ht="63.75">
      <c r="A1142" s="11" t="s">
        <v>889</v>
      </c>
      <c r="B1142" s="25" t="s">
        <v>5</v>
      </c>
      <c r="C1142" s="26" t="s">
        <v>37</v>
      </c>
      <c r="D1142" s="26" t="s">
        <v>25</v>
      </c>
      <c r="E1142" s="26" t="s">
        <v>834</v>
      </c>
      <c r="F1142" s="26" t="s">
        <v>58</v>
      </c>
      <c r="G1142" s="27">
        <f>G1143</f>
        <v>14389290</v>
      </c>
      <c r="H1142" s="27">
        <f t="shared" ref="H1142:I1143" si="801">H1143</f>
        <v>0</v>
      </c>
      <c r="I1142" s="27">
        <f t="shared" si="801"/>
        <v>0</v>
      </c>
      <c r="J1142" s="16">
        <f>'БА в тыс. руб.'!G1142*1000</f>
        <v>14389290</v>
      </c>
      <c r="K1142" s="169">
        <f t="shared" si="766"/>
        <v>0</v>
      </c>
      <c r="L1142" s="16">
        <f>'БА в тыс. руб.'!H1142*1000</f>
        <v>0</v>
      </c>
      <c r="M1142" s="169">
        <f t="shared" si="767"/>
        <v>0</v>
      </c>
      <c r="N1142" s="16">
        <f>'БА в тыс. руб.'!I1142*1000</f>
        <v>0</v>
      </c>
      <c r="O1142" s="169">
        <f t="shared" si="768"/>
        <v>0</v>
      </c>
    </row>
    <row r="1143" spans="1:15" s="127" customFormat="1" ht="25.5">
      <c r="A1143" s="11" t="s">
        <v>108</v>
      </c>
      <c r="B1143" s="25" t="s">
        <v>5</v>
      </c>
      <c r="C1143" s="26" t="s">
        <v>37</v>
      </c>
      <c r="D1143" s="26" t="s">
        <v>25</v>
      </c>
      <c r="E1143" s="26" t="s">
        <v>834</v>
      </c>
      <c r="F1143" s="26" t="s">
        <v>116</v>
      </c>
      <c r="G1143" s="27">
        <f>G1144</f>
        <v>14389290</v>
      </c>
      <c r="H1143" s="27">
        <f t="shared" si="801"/>
        <v>0</v>
      </c>
      <c r="I1143" s="27">
        <f t="shared" si="801"/>
        <v>0</v>
      </c>
      <c r="J1143" s="16">
        <f>'БА в тыс. руб.'!G1143*1000</f>
        <v>14389290</v>
      </c>
      <c r="K1143" s="169">
        <f t="shared" si="766"/>
        <v>0</v>
      </c>
      <c r="L1143" s="16">
        <f>'БА в тыс. руб.'!H1143*1000</f>
        <v>0</v>
      </c>
      <c r="M1143" s="169">
        <f t="shared" si="767"/>
        <v>0</v>
      </c>
      <c r="N1143" s="16">
        <f>'БА в тыс. руб.'!I1143*1000</f>
        <v>0</v>
      </c>
      <c r="O1143" s="169">
        <f t="shared" si="768"/>
        <v>0</v>
      </c>
    </row>
    <row r="1144" spans="1:15" s="4" customFormat="1" ht="25.5">
      <c r="A1144" s="12" t="s">
        <v>973</v>
      </c>
      <c r="B1144" s="25" t="s">
        <v>5</v>
      </c>
      <c r="C1144" s="26" t="s">
        <v>37</v>
      </c>
      <c r="D1144" s="26" t="s">
        <v>25</v>
      </c>
      <c r="E1144" s="26" t="s">
        <v>834</v>
      </c>
      <c r="F1144" s="26" t="s">
        <v>1043</v>
      </c>
      <c r="G1144" s="27">
        <f t="shared" ref="G1144" si="802">J1144</f>
        <v>14389290</v>
      </c>
      <c r="H1144" s="27">
        <f>L1144</f>
        <v>0</v>
      </c>
      <c r="I1144" s="27">
        <f>N1144</f>
        <v>0</v>
      </c>
      <c r="J1144" s="16">
        <f>'БА в тыс. руб.'!G1144*1000</f>
        <v>14389290</v>
      </c>
      <c r="K1144" s="169">
        <f t="shared" si="766"/>
        <v>0</v>
      </c>
      <c r="L1144" s="16">
        <f>'БА в тыс. руб.'!H1144*1000</f>
        <v>0</v>
      </c>
      <c r="M1144" s="169">
        <f t="shared" si="767"/>
        <v>0</v>
      </c>
      <c r="N1144" s="16">
        <f>'БА в тыс. руб.'!I1144*1000</f>
        <v>0</v>
      </c>
      <c r="O1144" s="169">
        <f t="shared" si="768"/>
        <v>0</v>
      </c>
    </row>
    <row r="1145" spans="1:15" s="3" customFormat="1" ht="25.5">
      <c r="A1145" s="11" t="s">
        <v>902</v>
      </c>
      <c r="B1145" s="25" t="s">
        <v>5</v>
      </c>
      <c r="C1145" s="26" t="s">
        <v>37</v>
      </c>
      <c r="D1145" s="26" t="s">
        <v>25</v>
      </c>
      <c r="E1145" s="26" t="s">
        <v>909</v>
      </c>
      <c r="F1145" s="26" t="s">
        <v>58</v>
      </c>
      <c r="G1145" s="27">
        <f>G1146</f>
        <v>42439960</v>
      </c>
      <c r="H1145" s="27">
        <f>H1146</f>
        <v>51146330</v>
      </c>
      <c r="I1145" s="27">
        <f>I1146</f>
        <v>51146330</v>
      </c>
      <c r="J1145" s="16">
        <f>'БА в тыс. руб.'!G1145*1000</f>
        <v>42439960</v>
      </c>
      <c r="K1145" s="169">
        <f t="shared" si="766"/>
        <v>0</v>
      </c>
      <c r="L1145" s="16">
        <f>'БА в тыс. руб.'!H1145*1000</f>
        <v>51146330</v>
      </c>
      <c r="M1145" s="169">
        <f t="shared" si="767"/>
        <v>0</v>
      </c>
      <c r="N1145" s="16">
        <f>'БА в тыс. руб.'!I1145*1000</f>
        <v>51146330</v>
      </c>
      <c r="O1145" s="169">
        <f t="shared" si="768"/>
        <v>0</v>
      </c>
    </row>
    <row r="1146" spans="1:15" s="3" customFormat="1" ht="25.5">
      <c r="A1146" s="11" t="s">
        <v>108</v>
      </c>
      <c r="B1146" s="25" t="s">
        <v>5</v>
      </c>
      <c r="C1146" s="26" t="s">
        <v>37</v>
      </c>
      <c r="D1146" s="26" t="s">
        <v>25</v>
      </c>
      <c r="E1146" s="26" t="s">
        <v>909</v>
      </c>
      <c r="F1146" s="26" t="s">
        <v>116</v>
      </c>
      <c r="G1146" s="27">
        <f>G1147</f>
        <v>42439960</v>
      </c>
      <c r="H1146" s="27">
        <f t="shared" ref="H1146:I1146" si="803">H1147</f>
        <v>51146330</v>
      </c>
      <c r="I1146" s="27">
        <f t="shared" si="803"/>
        <v>51146330</v>
      </c>
      <c r="J1146" s="16">
        <f>'БА в тыс. руб.'!G1146*1000</f>
        <v>42439960</v>
      </c>
      <c r="K1146" s="169">
        <f t="shared" si="766"/>
        <v>0</v>
      </c>
      <c r="L1146" s="16">
        <f>'БА в тыс. руб.'!H1146*1000</f>
        <v>51146330</v>
      </c>
      <c r="M1146" s="169">
        <f t="shared" si="767"/>
        <v>0</v>
      </c>
      <c r="N1146" s="16">
        <f>'БА в тыс. руб.'!I1146*1000</f>
        <v>51146330</v>
      </c>
      <c r="O1146" s="169">
        <f t="shared" si="768"/>
        <v>0</v>
      </c>
    </row>
    <row r="1147" spans="1:15" s="4" customFormat="1" ht="25.5">
      <c r="A1147" s="12" t="s">
        <v>973</v>
      </c>
      <c r="B1147" s="25" t="s">
        <v>5</v>
      </c>
      <c r="C1147" s="26" t="s">
        <v>37</v>
      </c>
      <c r="D1147" s="26" t="s">
        <v>25</v>
      </c>
      <c r="E1147" s="26" t="s">
        <v>909</v>
      </c>
      <c r="F1147" s="26" t="s">
        <v>1043</v>
      </c>
      <c r="G1147" s="27">
        <f t="shared" ref="G1147" si="804">J1147</f>
        <v>42439960</v>
      </c>
      <c r="H1147" s="27">
        <f>L1147</f>
        <v>51146330</v>
      </c>
      <c r="I1147" s="27">
        <f>N1147</f>
        <v>51146330</v>
      </c>
      <c r="J1147" s="16">
        <f>'БА в тыс. руб.'!G1147*1000</f>
        <v>42439960</v>
      </c>
      <c r="K1147" s="169">
        <f t="shared" si="766"/>
        <v>0</v>
      </c>
      <c r="L1147" s="16">
        <f>'БА в тыс. руб.'!H1147*1000</f>
        <v>51146330</v>
      </c>
      <c r="M1147" s="169">
        <f t="shared" si="767"/>
        <v>0</v>
      </c>
      <c r="N1147" s="16">
        <f>'БА в тыс. руб.'!I1147*1000</f>
        <v>51146330</v>
      </c>
      <c r="O1147" s="169">
        <f t="shared" si="768"/>
        <v>0</v>
      </c>
    </row>
    <row r="1148" spans="1:15" s="130" customFormat="1">
      <c r="A1148" s="17" t="s">
        <v>7</v>
      </c>
      <c r="B1148" s="18" t="s">
        <v>5</v>
      </c>
      <c r="C1148" s="19" t="s">
        <v>8</v>
      </c>
      <c r="D1148" s="19" t="s">
        <v>51</v>
      </c>
      <c r="E1148" s="19" t="s">
        <v>196</v>
      </c>
      <c r="F1148" s="19" t="s">
        <v>58</v>
      </c>
      <c r="G1148" s="20">
        <f>G1149+G1157</f>
        <v>20783350</v>
      </c>
      <c r="H1148" s="20">
        <f>H1149+H1157</f>
        <v>20312970</v>
      </c>
      <c r="I1148" s="20">
        <f>I1149+I1157</f>
        <v>20312970</v>
      </c>
      <c r="J1148" s="16">
        <f>'БА в тыс. руб.'!G1148*1000</f>
        <v>20783350.000000004</v>
      </c>
      <c r="K1148" s="170">
        <f t="shared" si="766"/>
        <v>0</v>
      </c>
      <c r="L1148" s="16">
        <f>'БА в тыс. руб.'!H1148*1000</f>
        <v>20312969.999999996</v>
      </c>
      <c r="M1148" s="170">
        <f t="shared" si="767"/>
        <v>0</v>
      </c>
      <c r="N1148" s="16">
        <f>'БА в тыс. руб.'!I1148*1000</f>
        <v>20312969.999999996</v>
      </c>
      <c r="O1148" s="170">
        <f t="shared" si="768"/>
        <v>0</v>
      </c>
    </row>
    <row r="1149" spans="1:15" s="3" customFormat="1">
      <c r="A1149" s="21" t="s">
        <v>9</v>
      </c>
      <c r="B1149" s="22" t="s">
        <v>5</v>
      </c>
      <c r="C1149" s="23" t="s">
        <v>8</v>
      </c>
      <c r="D1149" s="23" t="s">
        <v>65</v>
      </c>
      <c r="E1149" s="23" t="s">
        <v>196</v>
      </c>
      <c r="F1149" s="23" t="s">
        <v>58</v>
      </c>
      <c r="G1149" s="24">
        <f t="shared" ref="G1149:I1153" si="805">G1150</f>
        <v>1601730</v>
      </c>
      <c r="H1149" s="24">
        <f t="shared" si="805"/>
        <v>1635850</v>
      </c>
      <c r="I1149" s="24">
        <f t="shared" si="805"/>
        <v>1635850</v>
      </c>
      <c r="J1149" s="16">
        <f>'БА в тыс. руб.'!G1149*1000</f>
        <v>1601730</v>
      </c>
      <c r="K1149" s="169">
        <f t="shared" si="766"/>
        <v>0</v>
      </c>
      <c r="L1149" s="16">
        <f>'БА в тыс. руб.'!H1149*1000</f>
        <v>1635850</v>
      </c>
      <c r="M1149" s="169">
        <f t="shared" si="767"/>
        <v>0</v>
      </c>
      <c r="N1149" s="16">
        <f>'БА в тыс. руб.'!I1149*1000</f>
        <v>1635850</v>
      </c>
      <c r="O1149" s="169">
        <f t="shared" si="768"/>
        <v>0</v>
      </c>
    </row>
    <row r="1150" spans="1:15" s="3" customFormat="1" ht="38.25">
      <c r="A1150" s="11" t="s">
        <v>722</v>
      </c>
      <c r="B1150" s="25" t="s">
        <v>5</v>
      </c>
      <c r="C1150" s="26" t="s">
        <v>8</v>
      </c>
      <c r="D1150" s="26" t="s">
        <v>65</v>
      </c>
      <c r="E1150" s="26" t="s">
        <v>300</v>
      </c>
      <c r="F1150" s="26" t="s">
        <v>58</v>
      </c>
      <c r="G1150" s="27">
        <f t="shared" si="805"/>
        <v>1601730</v>
      </c>
      <c r="H1150" s="27">
        <f t="shared" si="805"/>
        <v>1635850</v>
      </c>
      <c r="I1150" s="27">
        <f t="shared" si="805"/>
        <v>1635850</v>
      </c>
      <c r="J1150" s="16">
        <f>'БА в тыс. руб.'!G1150*1000</f>
        <v>1601730</v>
      </c>
      <c r="K1150" s="169">
        <f t="shared" si="766"/>
        <v>0</v>
      </c>
      <c r="L1150" s="16">
        <f>'БА в тыс. руб.'!H1150*1000</f>
        <v>1635850</v>
      </c>
      <c r="M1150" s="169">
        <f t="shared" si="767"/>
        <v>0</v>
      </c>
      <c r="N1150" s="16">
        <f>'БА в тыс. руб.'!I1150*1000</f>
        <v>1635850</v>
      </c>
      <c r="O1150" s="169">
        <f t="shared" si="768"/>
        <v>0</v>
      </c>
    </row>
    <row r="1151" spans="1:15" s="3" customFormat="1" ht="25.5">
      <c r="A1151" s="13" t="s">
        <v>155</v>
      </c>
      <c r="B1151" s="25" t="s">
        <v>5</v>
      </c>
      <c r="C1151" s="26" t="s">
        <v>8</v>
      </c>
      <c r="D1151" s="26" t="s">
        <v>65</v>
      </c>
      <c r="E1151" s="26" t="s">
        <v>495</v>
      </c>
      <c r="F1151" s="26" t="s">
        <v>58</v>
      </c>
      <c r="G1151" s="27">
        <f t="shared" si="805"/>
        <v>1601730</v>
      </c>
      <c r="H1151" s="27">
        <f t="shared" si="805"/>
        <v>1635850</v>
      </c>
      <c r="I1151" s="27">
        <f t="shared" si="805"/>
        <v>1635850</v>
      </c>
      <c r="J1151" s="16">
        <f>'БА в тыс. руб.'!G1151*1000</f>
        <v>1601730</v>
      </c>
      <c r="K1151" s="169">
        <f t="shared" si="766"/>
        <v>0</v>
      </c>
      <c r="L1151" s="16">
        <f>'БА в тыс. руб.'!H1151*1000</f>
        <v>1635850</v>
      </c>
      <c r="M1151" s="169">
        <f t="shared" si="767"/>
        <v>0</v>
      </c>
      <c r="N1151" s="16">
        <f>'БА в тыс. руб.'!I1151*1000</f>
        <v>1635850</v>
      </c>
      <c r="O1151" s="169">
        <f t="shared" si="768"/>
        <v>0</v>
      </c>
    </row>
    <row r="1152" spans="1:15" s="3" customFormat="1" ht="38.25">
      <c r="A1152" s="13" t="s">
        <v>496</v>
      </c>
      <c r="B1152" s="25" t="s">
        <v>5</v>
      </c>
      <c r="C1152" s="26" t="s">
        <v>8</v>
      </c>
      <c r="D1152" s="26" t="s">
        <v>65</v>
      </c>
      <c r="E1152" s="26" t="s">
        <v>497</v>
      </c>
      <c r="F1152" s="26" t="s">
        <v>58</v>
      </c>
      <c r="G1152" s="27">
        <f>G1153</f>
        <v>1601730</v>
      </c>
      <c r="H1152" s="27">
        <f t="shared" si="805"/>
        <v>1635850</v>
      </c>
      <c r="I1152" s="27">
        <f t="shared" si="805"/>
        <v>1635850</v>
      </c>
      <c r="J1152" s="16">
        <f>'БА в тыс. руб.'!G1152*1000</f>
        <v>1601730</v>
      </c>
      <c r="K1152" s="169">
        <f t="shared" si="766"/>
        <v>0</v>
      </c>
      <c r="L1152" s="16">
        <f>'БА в тыс. руб.'!H1152*1000</f>
        <v>1635850</v>
      </c>
      <c r="M1152" s="169">
        <f t="shared" si="767"/>
        <v>0</v>
      </c>
      <c r="N1152" s="16">
        <f>'БА в тыс. руб.'!I1152*1000</f>
        <v>1635850</v>
      </c>
      <c r="O1152" s="169">
        <f t="shared" si="768"/>
        <v>0</v>
      </c>
    </row>
    <row r="1153" spans="1:15" s="3" customFormat="1" ht="25.5">
      <c r="A1153" s="11" t="s">
        <v>148</v>
      </c>
      <c r="B1153" s="25" t="s">
        <v>5</v>
      </c>
      <c r="C1153" s="26" t="s">
        <v>8</v>
      </c>
      <c r="D1153" s="26" t="s">
        <v>65</v>
      </c>
      <c r="E1153" s="26" t="s">
        <v>498</v>
      </c>
      <c r="F1153" s="26" t="s">
        <v>58</v>
      </c>
      <c r="G1153" s="27">
        <f t="shared" si="805"/>
        <v>1601730</v>
      </c>
      <c r="H1153" s="27">
        <f t="shared" si="805"/>
        <v>1635850</v>
      </c>
      <c r="I1153" s="27">
        <f t="shared" si="805"/>
        <v>1635850</v>
      </c>
      <c r="J1153" s="16">
        <f>'БА в тыс. руб.'!G1153*1000</f>
        <v>1601730</v>
      </c>
      <c r="K1153" s="169">
        <f t="shared" si="766"/>
        <v>0</v>
      </c>
      <c r="L1153" s="16">
        <f>'БА в тыс. руб.'!H1153*1000</f>
        <v>1635850</v>
      </c>
      <c r="M1153" s="169">
        <f t="shared" si="767"/>
        <v>0</v>
      </c>
      <c r="N1153" s="16">
        <f>'БА в тыс. руб.'!I1153*1000</f>
        <v>1635850</v>
      </c>
      <c r="O1153" s="169">
        <f t="shared" si="768"/>
        <v>0</v>
      </c>
    </row>
    <row r="1154" spans="1:15" s="3" customFormat="1" ht="25.5">
      <c r="A1154" s="11" t="s">
        <v>108</v>
      </c>
      <c r="B1154" s="25" t="s">
        <v>5</v>
      </c>
      <c r="C1154" s="26" t="s">
        <v>8</v>
      </c>
      <c r="D1154" s="26" t="s">
        <v>65</v>
      </c>
      <c r="E1154" s="26" t="s">
        <v>498</v>
      </c>
      <c r="F1154" s="26" t="s">
        <v>116</v>
      </c>
      <c r="G1154" s="27">
        <f>SUM(G1155:G1156)</f>
        <v>1601730</v>
      </c>
      <c r="H1154" s="27">
        <f t="shared" ref="H1154:I1154" si="806">SUM(H1155:H1156)</f>
        <v>1635850</v>
      </c>
      <c r="I1154" s="27">
        <f t="shared" si="806"/>
        <v>1635850</v>
      </c>
      <c r="J1154" s="16">
        <f>'БА в тыс. руб.'!G1154*1000</f>
        <v>1601730</v>
      </c>
      <c r="K1154" s="169">
        <f t="shared" si="766"/>
        <v>0</v>
      </c>
      <c r="L1154" s="16">
        <f>'БА в тыс. руб.'!H1154*1000</f>
        <v>1635850</v>
      </c>
      <c r="M1154" s="169">
        <f t="shared" si="767"/>
        <v>0</v>
      </c>
      <c r="N1154" s="16">
        <f>'БА в тыс. руб.'!I1154*1000</f>
        <v>1635850</v>
      </c>
      <c r="O1154" s="169">
        <f t="shared" si="768"/>
        <v>0</v>
      </c>
    </row>
    <row r="1155" spans="1:15" s="3" customFormat="1">
      <c r="A1155" s="11"/>
      <c r="B1155" s="25" t="s">
        <v>5</v>
      </c>
      <c r="C1155" s="26" t="s">
        <v>8</v>
      </c>
      <c r="D1155" s="26" t="s">
        <v>65</v>
      </c>
      <c r="E1155" s="26" t="s">
        <v>498</v>
      </c>
      <c r="F1155" s="26" t="s">
        <v>1070</v>
      </c>
      <c r="G1155" s="27">
        <f t="shared" ref="G1155:G1156" si="807">J1155</f>
        <v>501730</v>
      </c>
      <c r="H1155" s="27">
        <f t="shared" ref="H1155:H1156" si="808">L1155</f>
        <v>535850</v>
      </c>
      <c r="I1155" s="27">
        <f t="shared" ref="I1155:I1156" si="809">N1155</f>
        <v>535850</v>
      </c>
      <c r="J1155" s="16">
        <f>'БА в тыс. руб.'!G1155*1000</f>
        <v>501730</v>
      </c>
      <c r="K1155" s="169"/>
      <c r="L1155" s="16">
        <f>'БА в тыс. руб.'!H1155*1000</f>
        <v>535850</v>
      </c>
      <c r="M1155" s="169"/>
      <c r="N1155" s="16">
        <f>'БА в тыс. руб.'!I1155*1000</f>
        <v>535850</v>
      </c>
      <c r="O1155" s="169"/>
    </row>
    <row r="1156" spans="1:15" s="3" customFormat="1" ht="25.5">
      <c r="A1156" s="12" t="s">
        <v>973</v>
      </c>
      <c r="B1156" s="25" t="s">
        <v>5</v>
      </c>
      <c r="C1156" s="26" t="s">
        <v>8</v>
      </c>
      <c r="D1156" s="26" t="s">
        <v>65</v>
      </c>
      <c r="E1156" s="26" t="s">
        <v>498</v>
      </c>
      <c r="F1156" s="26" t="s">
        <v>1043</v>
      </c>
      <c r="G1156" s="27">
        <f t="shared" si="807"/>
        <v>1100000</v>
      </c>
      <c r="H1156" s="27">
        <f t="shared" si="808"/>
        <v>1100000</v>
      </c>
      <c r="I1156" s="27">
        <f t="shared" si="809"/>
        <v>1100000</v>
      </c>
      <c r="J1156" s="16">
        <f>'БА в тыс. руб.'!G1156*1000</f>
        <v>1100000</v>
      </c>
      <c r="K1156" s="169">
        <f t="shared" si="766"/>
        <v>0</v>
      </c>
      <c r="L1156" s="16">
        <f>'БА в тыс. руб.'!H1156*1000</f>
        <v>1100000</v>
      </c>
      <c r="M1156" s="169">
        <f t="shared" si="767"/>
        <v>0</v>
      </c>
      <c r="N1156" s="16">
        <f>'БА в тыс. руб.'!I1156*1000</f>
        <v>1100000</v>
      </c>
      <c r="O1156" s="169">
        <f t="shared" si="768"/>
        <v>0</v>
      </c>
    </row>
    <row r="1157" spans="1:15" s="3" customFormat="1">
      <c r="A1157" s="21" t="s">
        <v>1</v>
      </c>
      <c r="B1157" s="22" t="s">
        <v>5</v>
      </c>
      <c r="C1157" s="23" t="s">
        <v>8</v>
      </c>
      <c r="D1157" s="23" t="s">
        <v>53</v>
      </c>
      <c r="E1157" s="23" t="s">
        <v>196</v>
      </c>
      <c r="F1157" s="23" t="s">
        <v>58</v>
      </c>
      <c r="G1157" s="24">
        <f t="shared" ref="G1157:I1159" si="810">G1158</f>
        <v>19181620</v>
      </c>
      <c r="H1157" s="24">
        <f t="shared" si="810"/>
        <v>18677120</v>
      </c>
      <c r="I1157" s="24">
        <f t="shared" si="810"/>
        <v>18677120</v>
      </c>
      <c r="J1157" s="16">
        <f>'БА в тыс. руб.'!G1157*1000</f>
        <v>19181620.000000004</v>
      </c>
      <c r="K1157" s="169">
        <f t="shared" si="766"/>
        <v>0</v>
      </c>
      <c r="L1157" s="16">
        <f>'БА в тыс. руб.'!H1157*1000</f>
        <v>18677120</v>
      </c>
      <c r="M1157" s="169">
        <f t="shared" si="767"/>
        <v>0</v>
      </c>
      <c r="N1157" s="16">
        <f>'БА в тыс. руб.'!I1157*1000</f>
        <v>18677120</v>
      </c>
      <c r="O1157" s="169">
        <f t="shared" si="768"/>
        <v>0</v>
      </c>
    </row>
    <row r="1158" spans="1:15" s="3" customFormat="1" ht="38.25">
      <c r="A1158" s="12" t="s">
        <v>722</v>
      </c>
      <c r="B1158" s="35" t="s">
        <v>5</v>
      </c>
      <c r="C1158" s="36" t="s">
        <v>8</v>
      </c>
      <c r="D1158" s="36" t="s">
        <v>53</v>
      </c>
      <c r="E1158" s="36" t="s">
        <v>300</v>
      </c>
      <c r="F1158" s="36" t="s">
        <v>58</v>
      </c>
      <c r="G1158" s="37">
        <f t="shared" si="810"/>
        <v>19181620</v>
      </c>
      <c r="H1158" s="37">
        <f t="shared" si="810"/>
        <v>18677120</v>
      </c>
      <c r="I1158" s="37">
        <f t="shared" si="810"/>
        <v>18677120</v>
      </c>
      <c r="J1158" s="16">
        <f>'БА в тыс. руб.'!G1158*1000</f>
        <v>19181620.000000004</v>
      </c>
      <c r="K1158" s="169">
        <f t="shared" si="766"/>
        <v>0</v>
      </c>
      <c r="L1158" s="16">
        <f>'БА в тыс. руб.'!H1158*1000</f>
        <v>18677120</v>
      </c>
      <c r="M1158" s="169">
        <f t="shared" si="767"/>
        <v>0</v>
      </c>
      <c r="N1158" s="16">
        <f>'БА в тыс. руб.'!I1158*1000</f>
        <v>18677120</v>
      </c>
      <c r="O1158" s="169">
        <f t="shared" si="768"/>
        <v>0</v>
      </c>
    </row>
    <row r="1159" spans="1:15" s="3" customFormat="1">
      <c r="A1159" s="40" t="s">
        <v>142</v>
      </c>
      <c r="B1159" s="35" t="s">
        <v>5</v>
      </c>
      <c r="C1159" s="36" t="s">
        <v>8</v>
      </c>
      <c r="D1159" s="36" t="s">
        <v>53</v>
      </c>
      <c r="E1159" s="36" t="s">
        <v>453</v>
      </c>
      <c r="F1159" s="36" t="s">
        <v>58</v>
      </c>
      <c r="G1159" s="37">
        <f t="shared" si="810"/>
        <v>19181620</v>
      </c>
      <c r="H1159" s="37">
        <f t="shared" si="810"/>
        <v>18677120</v>
      </c>
      <c r="I1159" s="37">
        <f t="shared" si="810"/>
        <v>18677120</v>
      </c>
      <c r="J1159" s="16">
        <f>'БА в тыс. руб.'!G1159*1000</f>
        <v>19181620.000000004</v>
      </c>
      <c r="K1159" s="169">
        <f t="shared" si="766"/>
        <v>0</v>
      </c>
      <c r="L1159" s="16">
        <f>'БА в тыс. руб.'!H1159*1000</f>
        <v>18677120</v>
      </c>
      <c r="M1159" s="169">
        <f t="shared" si="767"/>
        <v>0</v>
      </c>
      <c r="N1159" s="16">
        <f>'БА в тыс. руб.'!I1159*1000</f>
        <v>18677120</v>
      </c>
      <c r="O1159" s="169">
        <f t="shared" si="768"/>
        <v>0</v>
      </c>
    </row>
    <row r="1160" spans="1:15" s="3" customFormat="1" ht="25.5">
      <c r="A1160" s="40" t="s">
        <v>454</v>
      </c>
      <c r="B1160" s="35" t="s">
        <v>5</v>
      </c>
      <c r="C1160" s="36" t="s">
        <v>8</v>
      </c>
      <c r="D1160" s="36" t="s">
        <v>53</v>
      </c>
      <c r="E1160" s="26" t="s">
        <v>645</v>
      </c>
      <c r="F1160" s="36" t="s">
        <v>58</v>
      </c>
      <c r="G1160" s="37">
        <f>G1161+G1164+G1167</f>
        <v>19181620</v>
      </c>
      <c r="H1160" s="37">
        <f>H1161+H1164+H1167</f>
        <v>18677120</v>
      </c>
      <c r="I1160" s="37">
        <f>I1161+I1164+I1167</f>
        <v>18677120</v>
      </c>
      <c r="J1160" s="16">
        <f>'БА в тыс. руб.'!G1160*1000</f>
        <v>19181620.000000004</v>
      </c>
      <c r="K1160" s="169">
        <f t="shared" ref="K1160:K1224" si="811">J1160-G1160</f>
        <v>0</v>
      </c>
      <c r="L1160" s="16">
        <f>'БА в тыс. руб.'!H1160*1000</f>
        <v>18677120</v>
      </c>
      <c r="M1160" s="169">
        <f t="shared" ref="M1160:M1224" si="812">L1160-H1160</f>
        <v>0</v>
      </c>
      <c r="N1160" s="16">
        <f>'БА в тыс. руб.'!I1160*1000</f>
        <v>18677120</v>
      </c>
      <c r="O1160" s="169">
        <f t="shared" ref="O1160:O1224" si="813">N1160-I1160</f>
        <v>0</v>
      </c>
    </row>
    <row r="1161" spans="1:15" s="3" customFormat="1" ht="25.5">
      <c r="A1161" s="11" t="s">
        <v>158</v>
      </c>
      <c r="B1161" s="35" t="s">
        <v>5</v>
      </c>
      <c r="C1161" s="36" t="s">
        <v>8</v>
      </c>
      <c r="D1161" s="36" t="s">
        <v>53</v>
      </c>
      <c r="E1161" s="36" t="s">
        <v>646</v>
      </c>
      <c r="F1161" s="36" t="s">
        <v>58</v>
      </c>
      <c r="G1161" s="37">
        <f>G1162</f>
        <v>8659190</v>
      </c>
      <c r="H1161" s="37">
        <f>H1162</f>
        <v>8259320</v>
      </c>
      <c r="I1161" s="37">
        <f>I1162</f>
        <v>8259320</v>
      </c>
      <c r="J1161" s="16">
        <f>'БА в тыс. руб.'!G1161*1000</f>
        <v>8659190</v>
      </c>
      <c r="K1161" s="169">
        <f t="shared" si="811"/>
        <v>0</v>
      </c>
      <c r="L1161" s="16">
        <f>'БА в тыс. руб.'!H1161*1000</f>
        <v>8259320</v>
      </c>
      <c r="M1161" s="169">
        <f t="shared" si="812"/>
        <v>0</v>
      </c>
      <c r="N1161" s="16">
        <f>'БА в тыс. руб.'!I1161*1000</f>
        <v>8259320</v>
      </c>
      <c r="O1161" s="169">
        <f t="shared" si="813"/>
        <v>0</v>
      </c>
    </row>
    <row r="1162" spans="1:15" s="3" customFormat="1" ht="25.5">
      <c r="A1162" s="11" t="s">
        <v>108</v>
      </c>
      <c r="B1162" s="35" t="s">
        <v>5</v>
      </c>
      <c r="C1162" s="36" t="s">
        <v>8</v>
      </c>
      <c r="D1162" s="36" t="s">
        <v>53</v>
      </c>
      <c r="E1162" s="36" t="s">
        <v>646</v>
      </c>
      <c r="F1162" s="36" t="s">
        <v>116</v>
      </c>
      <c r="G1162" s="37">
        <f>G1163</f>
        <v>8659190</v>
      </c>
      <c r="H1162" s="37">
        <f t="shared" ref="H1162:I1162" si="814">H1163</f>
        <v>8259320</v>
      </c>
      <c r="I1162" s="37">
        <f t="shared" si="814"/>
        <v>8259320</v>
      </c>
      <c r="J1162" s="16">
        <f>'БА в тыс. руб.'!G1162*1000</f>
        <v>8659190</v>
      </c>
      <c r="K1162" s="169">
        <f t="shared" si="811"/>
        <v>0</v>
      </c>
      <c r="L1162" s="16">
        <f>'БА в тыс. руб.'!H1162*1000</f>
        <v>8259320</v>
      </c>
      <c r="M1162" s="169">
        <f t="shared" si="812"/>
        <v>0</v>
      </c>
      <c r="N1162" s="16">
        <f>'БА в тыс. руб.'!I1162*1000</f>
        <v>8259320</v>
      </c>
      <c r="O1162" s="169">
        <f t="shared" si="813"/>
        <v>0</v>
      </c>
    </row>
    <row r="1163" spans="1:15" s="4" customFormat="1" ht="25.5">
      <c r="A1163" s="12" t="s">
        <v>973</v>
      </c>
      <c r="B1163" s="35" t="s">
        <v>5</v>
      </c>
      <c r="C1163" s="36" t="s">
        <v>8</v>
      </c>
      <c r="D1163" s="36" t="s">
        <v>53</v>
      </c>
      <c r="E1163" s="36" t="s">
        <v>646</v>
      </c>
      <c r="F1163" s="36" t="s">
        <v>1043</v>
      </c>
      <c r="G1163" s="27">
        <f t="shared" ref="G1163" si="815">J1163</f>
        <v>8659190</v>
      </c>
      <c r="H1163" s="27">
        <f>L1163</f>
        <v>8259320</v>
      </c>
      <c r="I1163" s="27">
        <f>N1163</f>
        <v>8259320</v>
      </c>
      <c r="J1163" s="16">
        <f>'БА в тыс. руб.'!G1163*1000</f>
        <v>8659190</v>
      </c>
      <c r="K1163" s="169">
        <f t="shared" si="811"/>
        <v>0</v>
      </c>
      <c r="L1163" s="16">
        <f>'БА в тыс. руб.'!H1163*1000</f>
        <v>8259320</v>
      </c>
      <c r="M1163" s="169">
        <f t="shared" si="812"/>
        <v>0</v>
      </c>
      <c r="N1163" s="16">
        <f>'БА в тыс. руб.'!I1163*1000</f>
        <v>8259320</v>
      </c>
      <c r="O1163" s="169">
        <f t="shared" si="813"/>
        <v>0</v>
      </c>
    </row>
    <row r="1164" spans="1:15" s="3" customFormat="1">
      <c r="A1164" s="12" t="s">
        <v>890</v>
      </c>
      <c r="B1164" s="35" t="s">
        <v>5</v>
      </c>
      <c r="C1164" s="36" t="s">
        <v>8</v>
      </c>
      <c r="D1164" s="36" t="s">
        <v>53</v>
      </c>
      <c r="E1164" s="36" t="s">
        <v>910</v>
      </c>
      <c r="F1164" s="36" t="s">
        <v>58</v>
      </c>
      <c r="G1164" s="37">
        <f>G1165</f>
        <v>1046349.9999999999</v>
      </c>
      <c r="H1164" s="37">
        <f>H1165</f>
        <v>941720</v>
      </c>
      <c r="I1164" s="37">
        <f>I1165</f>
        <v>941720</v>
      </c>
      <c r="J1164" s="16">
        <f>'БА в тыс. руб.'!G1164*1000</f>
        <v>1046349.9999999999</v>
      </c>
      <c r="K1164" s="169">
        <f t="shared" si="811"/>
        <v>0</v>
      </c>
      <c r="L1164" s="16">
        <f>'БА в тыс. руб.'!H1164*1000</f>
        <v>941720</v>
      </c>
      <c r="M1164" s="169">
        <f t="shared" si="812"/>
        <v>0</v>
      </c>
      <c r="N1164" s="16">
        <f>'БА в тыс. руб.'!I1164*1000</f>
        <v>941720</v>
      </c>
      <c r="O1164" s="169">
        <f t="shared" si="813"/>
        <v>0</v>
      </c>
    </row>
    <row r="1165" spans="1:15" s="3" customFormat="1" ht="25.5">
      <c r="A1165" s="11" t="s">
        <v>108</v>
      </c>
      <c r="B1165" s="35" t="s">
        <v>5</v>
      </c>
      <c r="C1165" s="36" t="s">
        <v>8</v>
      </c>
      <c r="D1165" s="36" t="s">
        <v>53</v>
      </c>
      <c r="E1165" s="36" t="s">
        <v>910</v>
      </c>
      <c r="F1165" s="36" t="s">
        <v>116</v>
      </c>
      <c r="G1165" s="37">
        <f>G1166</f>
        <v>1046349.9999999999</v>
      </c>
      <c r="H1165" s="37">
        <f t="shared" ref="H1165:I1165" si="816">H1166</f>
        <v>941720</v>
      </c>
      <c r="I1165" s="37">
        <f t="shared" si="816"/>
        <v>941720</v>
      </c>
      <c r="J1165" s="16">
        <f>'БА в тыс. руб.'!G1165*1000</f>
        <v>1046349.9999999999</v>
      </c>
      <c r="K1165" s="169">
        <f t="shared" si="811"/>
        <v>0</v>
      </c>
      <c r="L1165" s="16">
        <f>'БА в тыс. руб.'!H1165*1000</f>
        <v>941720</v>
      </c>
      <c r="M1165" s="169">
        <f t="shared" si="812"/>
        <v>0</v>
      </c>
      <c r="N1165" s="16">
        <f>'БА в тыс. руб.'!I1165*1000</f>
        <v>941720</v>
      </c>
      <c r="O1165" s="169">
        <f t="shared" si="813"/>
        <v>0</v>
      </c>
    </row>
    <row r="1166" spans="1:15" s="4" customFormat="1" ht="25.5">
      <c r="A1166" s="12" t="s">
        <v>973</v>
      </c>
      <c r="B1166" s="35" t="s">
        <v>5</v>
      </c>
      <c r="C1166" s="36" t="s">
        <v>8</v>
      </c>
      <c r="D1166" s="36" t="s">
        <v>53</v>
      </c>
      <c r="E1166" s="36" t="s">
        <v>910</v>
      </c>
      <c r="F1166" s="36" t="s">
        <v>1043</v>
      </c>
      <c r="G1166" s="27">
        <f t="shared" ref="G1166" si="817">J1166</f>
        <v>1046349.9999999999</v>
      </c>
      <c r="H1166" s="27">
        <f>L1166</f>
        <v>941720</v>
      </c>
      <c r="I1166" s="27">
        <f>N1166</f>
        <v>941720</v>
      </c>
      <c r="J1166" s="16">
        <f>'БА в тыс. руб.'!G1166*1000</f>
        <v>1046349.9999999999</v>
      </c>
      <c r="K1166" s="169">
        <f t="shared" si="811"/>
        <v>0</v>
      </c>
      <c r="L1166" s="16">
        <f>'БА в тыс. руб.'!H1166*1000</f>
        <v>941720</v>
      </c>
      <c r="M1166" s="169">
        <f t="shared" si="812"/>
        <v>0</v>
      </c>
      <c r="N1166" s="16">
        <f>'БА в тыс. руб.'!I1166*1000</f>
        <v>941720</v>
      </c>
      <c r="O1166" s="169">
        <f t="shared" si="813"/>
        <v>0</v>
      </c>
    </row>
    <row r="1167" spans="1:15" s="3" customFormat="1" ht="51">
      <c r="A1167" s="12" t="s">
        <v>891</v>
      </c>
      <c r="B1167" s="35" t="s">
        <v>5</v>
      </c>
      <c r="C1167" s="36" t="s">
        <v>8</v>
      </c>
      <c r="D1167" s="36" t="s">
        <v>53</v>
      </c>
      <c r="E1167" s="36" t="s">
        <v>911</v>
      </c>
      <c r="F1167" s="36" t="s">
        <v>58</v>
      </c>
      <c r="G1167" s="37">
        <f>G1168</f>
        <v>9476080</v>
      </c>
      <c r="H1167" s="37">
        <f>H1168</f>
        <v>9476080</v>
      </c>
      <c r="I1167" s="37">
        <f>I1168</f>
        <v>9476080</v>
      </c>
      <c r="J1167" s="16">
        <f>'БА в тыс. руб.'!G1167*1000</f>
        <v>9476080</v>
      </c>
      <c r="K1167" s="169">
        <f t="shared" si="811"/>
        <v>0</v>
      </c>
      <c r="L1167" s="16">
        <f>'БА в тыс. руб.'!H1167*1000</f>
        <v>9476080</v>
      </c>
      <c r="M1167" s="169">
        <f t="shared" si="812"/>
        <v>0</v>
      </c>
      <c r="N1167" s="16">
        <f>'БА в тыс. руб.'!I1167*1000</f>
        <v>9476080</v>
      </c>
      <c r="O1167" s="169">
        <f t="shared" si="813"/>
        <v>0</v>
      </c>
    </row>
    <row r="1168" spans="1:15" s="3" customFormat="1" ht="25.5">
      <c r="A1168" s="11" t="s">
        <v>108</v>
      </c>
      <c r="B1168" s="35" t="s">
        <v>5</v>
      </c>
      <c r="C1168" s="36" t="s">
        <v>8</v>
      </c>
      <c r="D1168" s="36" t="s">
        <v>53</v>
      </c>
      <c r="E1168" s="36" t="s">
        <v>911</v>
      </c>
      <c r="F1168" s="36" t="s">
        <v>116</v>
      </c>
      <c r="G1168" s="37">
        <f>G1169</f>
        <v>9476080</v>
      </c>
      <c r="H1168" s="37">
        <f t="shared" ref="H1168:I1168" si="818">H1169</f>
        <v>9476080</v>
      </c>
      <c r="I1168" s="37">
        <f t="shared" si="818"/>
        <v>9476080</v>
      </c>
      <c r="J1168" s="16">
        <f>'БА в тыс. руб.'!G1168*1000</f>
        <v>9476080</v>
      </c>
      <c r="K1168" s="169">
        <f t="shared" si="811"/>
        <v>0</v>
      </c>
      <c r="L1168" s="16">
        <f>'БА в тыс. руб.'!H1168*1000</f>
        <v>9476080</v>
      </c>
      <c r="M1168" s="169">
        <f t="shared" si="812"/>
        <v>0</v>
      </c>
      <c r="N1168" s="16">
        <f>'БА в тыс. руб.'!I1168*1000</f>
        <v>9476080</v>
      </c>
      <c r="O1168" s="169">
        <f t="shared" si="813"/>
        <v>0</v>
      </c>
    </row>
    <row r="1169" spans="1:15" s="4" customFormat="1" ht="25.5">
      <c r="A1169" s="12" t="s">
        <v>973</v>
      </c>
      <c r="B1169" s="35" t="s">
        <v>5</v>
      </c>
      <c r="C1169" s="36" t="s">
        <v>8</v>
      </c>
      <c r="D1169" s="36" t="s">
        <v>53</v>
      </c>
      <c r="E1169" s="36" t="s">
        <v>911</v>
      </c>
      <c r="F1169" s="36" t="s">
        <v>1043</v>
      </c>
      <c r="G1169" s="27">
        <f t="shared" ref="G1169" si="819">J1169</f>
        <v>9476080</v>
      </c>
      <c r="H1169" s="27">
        <f>L1169</f>
        <v>9476080</v>
      </c>
      <c r="I1169" s="27">
        <f>N1169</f>
        <v>9476080</v>
      </c>
      <c r="J1169" s="16">
        <f>'БА в тыс. руб.'!G1169*1000</f>
        <v>9476080</v>
      </c>
      <c r="K1169" s="169">
        <f t="shared" si="811"/>
        <v>0</v>
      </c>
      <c r="L1169" s="16">
        <f>'БА в тыс. руб.'!H1169*1000</f>
        <v>9476080</v>
      </c>
      <c r="M1169" s="169">
        <f t="shared" si="812"/>
        <v>0</v>
      </c>
      <c r="N1169" s="16">
        <f>'БА в тыс. руб.'!I1169*1000</f>
        <v>9476080</v>
      </c>
      <c r="O1169" s="169">
        <f t="shared" si="813"/>
        <v>0</v>
      </c>
    </row>
    <row r="1170" spans="1:15" s="3" customFormat="1">
      <c r="A1170" s="17" t="s">
        <v>499</v>
      </c>
      <c r="B1170" s="18" t="s">
        <v>5</v>
      </c>
      <c r="C1170" s="19" t="s">
        <v>50</v>
      </c>
      <c r="D1170" s="19" t="s">
        <v>51</v>
      </c>
      <c r="E1170" s="19" t="s">
        <v>196</v>
      </c>
      <c r="F1170" s="19" t="s">
        <v>58</v>
      </c>
      <c r="G1170" s="20">
        <f t="shared" ref="G1170:I1173" si="820">G1171</f>
        <v>1640550</v>
      </c>
      <c r="H1170" s="20">
        <f t="shared" si="820"/>
        <v>1591000</v>
      </c>
      <c r="I1170" s="20">
        <f t="shared" si="820"/>
        <v>1591000</v>
      </c>
      <c r="J1170" s="16">
        <f>'БА в тыс. руб.'!G1170*1000</f>
        <v>1640550</v>
      </c>
      <c r="K1170" s="169">
        <f t="shared" si="811"/>
        <v>0</v>
      </c>
      <c r="L1170" s="16">
        <f>'БА в тыс. руб.'!H1170*1000</f>
        <v>1591000</v>
      </c>
      <c r="M1170" s="169">
        <f t="shared" si="812"/>
        <v>0</v>
      </c>
      <c r="N1170" s="16">
        <f>'БА в тыс. руб.'!I1170*1000</f>
        <v>1591000</v>
      </c>
      <c r="O1170" s="169">
        <f t="shared" si="813"/>
        <v>0</v>
      </c>
    </row>
    <row r="1171" spans="1:15" s="3" customFormat="1">
      <c r="A1171" s="21" t="s">
        <v>27</v>
      </c>
      <c r="B1171" s="22" t="s">
        <v>5</v>
      </c>
      <c r="C1171" s="23" t="s">
        <v>50</v>
      </c>
      <c r="D1171" s="23" t="s">
        <v>65</v>
      </c>
      <c r="E1171" s="23" t="s">
        <v>196</v>
      </c>
      <c r="F1171" s="23" t="s">
        <v>58</v>
      </c>
      <c r="G1171" s="24">
        <f t="shared" si="820"/>
        <v>1640550</v>
      </c>
      <c r="H1171" s="24">
        <f t="shared" si="820"/>
        <v>1591000</v>
      </c>
      <c r="I1171" s="24">
        <f t="shared" si="820"/>
        <v>1591000</v>
      </c>
      <c r="J1171" s="16">
        <f>'БА в тыс. руб.'!G1171*1000</f>
        <v>1640550</v>
      </c>
      <c r="K1171" s="169">
        <f t="shared" si="811"/>
        <v>0</v>
      </c>
      <c r="L1171" s="16">
        <f>'БА в тыс. руб.'!H1171*1000</f>
        <v>1591000</v>
      </c>
      <c r="M1171" s="169">
        <f t="shared" si="812"/>
        <v>0</v>
      </c>
      <c r="N1171" s="16">
        <f>'БА в тыс. руб.'!I1171*1000</f>
        <v>1591000</v>
      </c>
      <c r="O1171" s="169">
        <f t="shared" si="813"/>
        <v>0</v>
      </c>
    </row>
    <row r="1172" spans="1:15" s="3" customFormat="1">
      <c r="A1172" s="11" t="s">
        <v>739</v>
      </c>
      <c r="B1172" s="35" t="s">
        <v>5</v>
      </c>
      <c r="C1172" s="36" t="s">
        <v>50</v>
      </c>
      <c r="D1172" s="36" t="s">
        <v>65</v>
      </c>
      <c r="E1172" s="36" t="s">
        <v>277</v>
      </c>
      <c r="F1172" s="36" t="s">
        <v>58</v>
      </c>
      <c r="G1172" s="37">
        <f t="shared" si="820"/>
        <v>1640550</v>
      </c>
      <c r="H1172" s="37">
        <f t="shared" si="820"/>
        <v>1591000</v>
      </c>
      <c r="I1172" s="37">
        <f t="shared" si="820"/>
        <v>1591000</v>
      </c>
      <c r="J1172" s="16">
        <f>'БА в тыс. руб.'!G1172*1000</f>
        <v>1640550</v>
      </c>
      <c r="K1172" s="169">
        <f t="shared" si="811"/>
        <v>0</v>
      </c>
      <c r="L1172" s="16">
        <f>'БА в тыс. руб.'!H1172*1000</f>
        <v>1591000</v>
      </c>
      <c r="M1172" s="169">
        <f t="shared" si="812"/>
        <v>0</v>
      </c>
      <c r="N1172" s="16">
        <f>'БА в тыс. руб.'!I1172*1000</f>
        <v>1591000</v>
      </c>
      <c r="O1172" s="169">
        <f t="shared" si="813"/>
        <v>0</v>
      </c>
    </row>
    <row r="1173" spans="1:15" s="3" customFormat="1" ht="51">
      <c r="A1173" s="40" t="s">
        <v>191</v>
      </c>
      <c r="B1173" s="35" t="s">
        <v>5</v>
      </c>
      <c r="C1173" s="36" t="s">
        <v>50</v>
      </c>
      <c r="D1173" s="36" t="s">
        <v>65</v>
      </c>
      <c r="E1173" s="36" t="s">
        <v>278</v>
      </c>
      <c r="F1173" s="36" t="s">
        <v>58</v>
      </c>
      <c r="G1173" s="37">
        <f t="shared" si="820"/>
        <v>1640550</v>
      </c>
      <c r="H1173" s="37">
        <f t="shared" si="820"/>
        <v>1591000</v>
      </c>
      <c r="I1173" s="37">
        <f t="shared" si="820"/>
        <v>1591000</v>
      </c>
      <c r="J1173" s="16">
        <f>'БА в тыс. руб.'!G1173*1000</f>
        <v>1640550</v>
      </c>
      <c r="K1173" s="169">
        <f t="shared" si="811"/>
        <v>0</v>
      </c>
      <c r="L1173" s="16">
        <f>'БА в тыс. руб.'!H1173*1000</f>
        <v>1591000</v>
      </c>
      <c r="M1173" s="169">
        <f t="shared" si="812"/>
        <v>0</v>
      </c>
      <c r="N1173" s="16">
        <f>'БА в тыс. руб.'!I1173*1000</f>
        <v>1591000</v>
      </c>
      <c r="O1173" s="169">
        <f t="shared" si="813"/>
        <v>0</v>
      </c>
    </row>
    <row r="1174" spans="1:15" s="3" customFormat="1" ht="63.75">
      <c r="A1174" s="40" t="s">
        <v>605</v>
      </c>
      <c r="B1174" s="35" t="s">
        <v>5</v>
      </c>
      <c r="C1174" s="36" t="s">
        <v>50</v>
      </c>
      <c r="D1174" s="36" t="s">
        <v>65</v>
      </c>
      <c r="E1174" s="36" t="s">
        <v>279</v>
      </c>
      <c r="F1174" s="36" t="s">
        <v>58</v>
      </c>
      <c r="G1174" s="37">
        <f>G1175+G1178</f>
        <v>1640550</v>
      </c>
      <c r="H1174" s="37">
        <f>H1175+H1178</f>
        <v>1591000</v>
      </c>
      <c r="I1174" s="37">
        <f>I1175+I1178</f>
        <v>1591000</v>
      </c>
      <c r="J1174" s="16">
        <f>'БА в тыс. руб.'!G1174*1000</f>
        <v>1640550</v>
      </c>
      <c r="K1174" s="169">
        <f t="shared" si="811"/>
        <v>0</v>
      </c>
      <c r="L1174" s="16">
        <f>'БА в тыс. руб.'!H1174*1000</f>
        <v>1591000</v>
      </c>
      <c r="M1174" s="169">
        <f t="shared" si="812"/>
        <v>0</v>
      </c>
      <c r="N1174" s="16">
        <f>'БА в тыс. руб.'!I1174*1000</f>
        <v>1591000</v>
      </c>
      <c r="O1174" s="169">
        <f t="shared" si="813"/>
        <v>0</v>
      </c>
    </row>
    <row r="1175" spans="1:15" s="3" customFormat="1" ht="25.5">
      <c r="A1175" s="11" t="s">
        <v>161</v>
      </c>
      <c r="B1175" s="35" t="s">
        <v>5</v>
      </c>
      <c r="C1175" s="36" t="s">
        <v>50</v>
      </c>
      <c r="D1175" s="36" t="s">
        <v>65</v>
      </c>
      <c r="E1175" s="36" t="s">
        <v>320</v>
      </c>
      <c r="F1175" s="36" t="s">
        <v>58</v>
      </c>
      <c r="G1175" s="37">
        <f>G1176</f>
        <v>1145000</v>
      </c>
      <c r="H1175" s="37">
        <f>H1176</f>
        <v>1095450</v>
      </c>
      <c r="I1175" s="37">
        <f>I1176</f>
        <v>1095450</v>
      </c>
      <c r="J1175" s="16">
        <f>'БА в тыс. руб.'!G1175*1000</f>
        <v>1145000</v>
      </c>
      <c r="K1175" s="169">
        <f t="shared" si="811"/>
        <v>0</v>
      </c>
      <c r="L1175" s="16">
        <f>'БА в тыс. руб.'!H1175*1000</f>
        <v>1095450</v>
      </c>
      <c r="M1175" s="169">
        <f t="shared" si="812"/>
        <v>0</v>
      </c>
      <c r="N1175" s="16">
        <f>'БА в тыс. руб.'!I1175*1000</f>
        <v>1095450</v>
      </c>
      <c r="O1175" s="169">
        <f t="shared" si="813"/>
        <v>0</v>
      </c>
    </row>
    <row r="1176" spans="1:15" s="3" customFormat="1" ht="25.5">
      <c r="A1176" s="11" t="s">
        <v>108</v>
      </c>
      <c r="B1176" s="35" t="s">
        <v>5</v>
      </c>
      <c r="C1176" s="36" t="s">
        <v>50</v>
      </c>
      <c r="D1176" s="36" t="s">
        <v>65</v>
      </c>
      <c r="E1176" s="36" t="s">
        <v>320</v>
      </c>
      <c r="F1176" s="36" t="s">
        <v>116</v>
      </c>
      <c r="G1176" s="37">
        <f>G1177</f>
        <v>1145000</v>
      </c>
      <c r="H1176" s="37">
        <f t="shared" ref="H1176:I1176" si="821">H1177</f>
        <v>1095450</v>
      </c>
      <c r="I1176" s="37">
        <f t="shared" si="821"/>
        <v>1095450</v>
      </c>
      <c r="J1176" s="16">
        <f>'БА в тыс. руб.'!G1176*1000</f>
        <v>1145000</v>
      </c>
      <c r="K1176" s="169">
        <f t="shared" si="811"/>
        <v>0</v>
      </c>
      <c r="L1176" s="16">
        <f>'БА в тыс. руб.'!H1176*1000</f>
        <v>1095450</v>
      </c>
      <c r="M1176" s="169">
        <f t="shared" si="812"/>
        <v>0</v>
      </c>
      <c r="N1176" s="16">
        <f>'БА в тыс. руб.'!I1176*1000</f>
        <v>1095450</v>
      </c>
      <c r="O1176" s="169">
        <f t="shared" si="813"/>
        <v>0</v>
      </c>
    </row>
    <row r="1177" spans="1:15" s="4" customFormat="1" ht="25.5">
      <c r="A1177" s="12" t="s">
        <v>973</v>
      </c>
      <c r="B1177" s="35" t="s">
        <v>5</v>
      </c>
      <c r="C1177" s="36" t="s">
        <v>50</v>
      </c>
      <c r="D1177" s="36" t="s">
        <v>65</v>
      </c>
      <c r="E1177" s="36" t="s">
        <v>320</v>
      </c>
      <c r="F1177" s="36" t="s">
        <v>1043</v>
      </c>
      <c r="G1177" s="27">
        <f t="shared" ref="G1177" si="822">J1177</f>
        <v>1145000</v>
      </c>
      <c r="H1177" s="27">
        <f>L1177</f>
        <v>1095450</v>
      </c>
      <c r="I1177" s="27">
        <f>N1177</f>
        <v>1095450</v>
      </c>
      <c r="J1177" s="16">
        <f>'БА в тыс. руб.'!G1177*1000</f>
        <v>1145000</v>
      </c>
      <c r="K1177" s="169">
        <f t="shared" si="811"/>
        <v>0</v>
      </c>
      <c r="L1177" s="16">
        <f>'БА в тыс. руб.'!H1177*1000</f>
        <v>1095450</v>
      </c>
      <c r="M1177" s="169">
        <f t="shared" si="812"/>
        <v>0</v>
      </c>
      <c r="N1177" s="16">
        <f>'БА в тыс. руб.'!I1177*1000</f>
        <v>1095450</v>
      </c>
      <c r="O1177" s="169">
        <f t="shared" si="813"/>
        <v>0</v>
      </c>
    </row>
    <row r="1178" spans="1:15" s="3" customFormat="1" ht="25.5">
      <c r="A1178" s="12" t="s">
        <v>892</v>
      </c>
      <c r="B1178" s="35" t="s">
        <v>5</v>
      </c>
      <c r="C1178" s="36" t="s">
        <v>50</v>
      </c>
      <c r="D1178" s="36" t="s">
        <v>65</v>
      </c>
      <c r="E1178" s="36" t="s">
        <v>500</v>
      </c>
      <c r="F1178" s="36" t="s">
        <v>58</v>
      </c>
      <c r="G1178" s="37">
        <f>G1179</f>
        <v>495550</v>
      </c>
      <c r="H1178" s="37">
        <f>H1179</f>
        <v>495550</v>
      </c>
      <c r="I1178" s="37">
        <f>I1179</f>
        <v>495550</v>
      </c>
      <c r="J1178" s="16">
        <f>'БА в тыс. руб.'!G1178*1000</f>
        <v>495550</v>
      </c>
      <c r="K1178" s="169">
        <f t="shared" si="811"/>
        <v>0</v>
      </c>
      <c r="L1178" s="16">
        <f>'БА в тыс. руб.'!H1178*1000</f>
        <v>495550</v>
      </c>
      <c r="M1178" s="169">
        <f t="shared" si="812"/>
        <v>0</v>
      </c>
      <c r="N1178" s="16">
        <f>'БА в тыс. руб.'!I1178*1000</f>
        <v>495550</v>
      </c>
      <c r="O1178" s="169">
        <f t="shared" si="813"/>
        <v>0</v>
      </c>
    </row>
    <row r="1179" spans="1:15" ht="25.5">
      <c r="A1179" s="11" t="s">
        <v>108</v>
      </c>
      <c r="B1179" s="35" t="s">
        <v>5</v>
      </c>
      <c r="C1179" s="36" t="s">
        <v>50</v>
      </c>
      <c r="D1179" s="36" t="s">
        <v>65</v>
      </c>
      <c r="E1179" s="36" t="s">
        <v>500</v>
      </c>
      <c r="F1179" s="36" t="s">
        <v>116</v>
      </c>
      <c r="G1179" s="37">
        <f>G1180</f>
        <v>495550</v>
      </c>
      <c r="H1179" s="37">
        <f t="shared" ref="H1179:I1179" si="823">H1180</f>
        <v>495550</v>
      </c>
      <c r="I1179" s="37">
        <f t="shared" si="823"/>
        <v>495550</v>
      </c>
      <c r="J1179" s="16">
        <f>'БА в тыс. руб.'!G1179*1000</f>
        <v>495550</v>
      </c>
      <c r="K1179" s="169">
        <f t="shared" si="811"/>
        <v>0</v>
      </c>
      <c r="L1179" s="16">
        <f>'БА в тыс. руб.'!H1179*1000</f>
        <v>495550</v>
      </c>
      <c r="M1179" s="169">
        <f t="shared" si="812"/>
        <v>0</v>
      </c>
      <c r="N1179" s="16">
        <f>'БА в тыс. руб.'!I1179*1000</f>
        <v>495550</v>
      </c>
      <c r="O1179" s="169">
        <f t="shared" si="813"/>
        <v>0</v>
      </c>
    </row>
    <row r="1180" spans="1:15" s="98" customFormat="1" ht="25.5">
      <c r="A1180" s="12" t="s">
        <v>973</v>
      </c>
      <c r="B1180" s="35" t="s">
        <v>5</v>
      </c>
      <c r="C1180" s="36" t="s">
        <v>50</v>
      </c>
      <c r="D1180" s="36" t="s">
        <v>65</v>
      </c>
      <c r="E1180" s="36" t="s">
        <v>500</v>
      </c>
      <c r="F1180" s="36" t="s">
        <v>1043</v>
      </c>
      <c r="G1180" s="27">
        <f t="shared" ref="G1180:G1181" si="824">J1180</f>
        <v>495550</v>
      </c>
      <c r="H1180" s="27">
        <f t="shared" ref="H1180:H1181" si="825">L1180</f>
        <v>495550</v>
      </c>
      <c r="I1180" s="27">
        <f t="shared" ref="I1180:I1181" si="826">N1180</f>
        <v>495550</v>
      </c>
      <c r="J1180" s="16">
        <f>'БА в тыс. руб.'!G1180*1000</f>
        <v>495550</v>
      </c>
      <c r="K1180" s="169">
        <f t="shared" si="811"/>
        <v>0</v>
      </c>
      <c r="L1180" s="16">
        <f>'БА в тыс. руб.'!H1180*1000</f>
        <v>495550</v>
      </c>
      <c r="M1180" s="169">
        <f t="shared" si="812"/>
        <v>0</v>
      </c>
      <c r="N1180" s="16">
        <f>'БА в тыс. руб.'!I1180*1000</f>
        <v>495550</v>
      </c>
      <c r="O1180" s="169">
        <f t="shared" si="813"/>
        <v>0</v>
      </c>
    </row>
    <row r="1181" spans="1:15" s="98" customFormat="1">
      <c r="A1181" s="79"/>
      <c r="B1181" s="96"/>
      <c r="C1181" s="97"/>
      <c r="D1181" s="97"/>
      <c r="E1181" s="97"/>
      <c r="F1181" s="97"/>
      <c r="G1181" s="27">
        <f t="shared" si="824"/>
        <v>0</v>
      </c>
      <c r="H1181" s="27">
        <f t="shared" si="825"/>
        <v>0</v>
      </c>
      <c r="I1181" s="27">
        <f t="shared" si="826"/>
        <v>0</v>
      </c>
      <c r="J1181" s="16">
        <f>'БА в тыс. руб.'!G1181*1000</f>
        <v>0</v>
      </c>
      <c r="K1181" s="169">
        <f t="shared" si="811"/>
        <v>0</v>
      </c>
      <c r="L1181" s="16">
        <f>'БА в тыс. руб.'!H1181*1000</f>
        <v>0</v>
      </c>
      <c r="M1181" s="169">
        <f t="shared" si="812"/>
        <v>0</v>
      </c>
      <c r="N1181" s="16">
        <f>'БА в тыс. руб.'!I1181*1000</f>
        <v>0</v>
      </c>
      <c r="O1181" s="169">
        <f t="shared" si="813"/>
        <v>0</v>
      </c>
    </row>
    <row r="1182" spans="1:15" s="3" customFormat="1">
      <c r="A1182" s="28" t="s">
        <v>11</v>
      </c>
      <c r="B1182" s="14" t="s">
        <v>12</v>
      </c>
      <c r="C1182" s="15" t="s">
        <v>51</v>
      </c>
      <c r="D1182" s="15" t="s">
        <v>51</v>
      </c>
      <c r="E1182" s="15" t="s">
        <v>196</v>
      </c>
      <c r="F1182" s="15" t="s">
        <v>58</v>
      </c>
      <c r="G1182" s="29">
        <f>G1183+G1217+G1231+G1253</f>
        <v>108451540</v>
      </c>
      <c r="H1182" s="29">
        <f>H1183+H1217+H1231+H1253</f>
        <v>102174110</v>
      </c>
      <c r="I1182" s="29">
        <f>I1183+I1217+I1231+I1253</f>
        <v>102174110</v>
      </c>
      <c r="J1182" s="16">
        <f>'БА в тыс. руб.'!G1182*1000</f>
        <v>108451540</v>
      </c>
      <c r="K1182" s="169">
        <f t="shared" si="811"/>
        <v>0</v>
      </c>
      <c r="L1182" s="16">
        <f>'БА в тыс. руб.'!H1182*1000</f>
        <v>102174110</v>
      </c>
      <c r="M1182" s="169">
        <f t="shared" si="812"/>
        <v>0</v>
      </c>
      <c r="N1182" s="16">
        <f>'БА в тыс. руб.'!I1182*1000</f>
        <v>102174110</v>
      </c>
      <c r="O1182" s="169">
        <f t="shared" si="813"/>
        <v>0</v>
      </c>
    </row>
    <row r="1183" spans="1:15" s="3" customFormat="1">
      <c r="A1183" s="17" t="s">
        <v>64</v>
      </c>
      <c r="B1183" s="18" t="s">
        <v>12</v>
      </c>
      <c r="C1183" s="19" t="s">
        <v>65</v>
      </c>
      <c r="D1183" s="19" t="s">
        <v>51</v>
      </c>
      <c r="E1183" s="19" t="s">
        <v>196</v>
      </c>
      <c r="F1183" s="19" t="s">
        <v>58</v>
      </c>
      <c r="G1183" s="20">
        <f>G1184+G1210</f>
        <v>30927470</v>
      </c>
      <c r="H1183" s="20">
        <f>H1184+H1210</f>
        <v>30960300</v>
      </c>
      <c r="I1183" s="20">
        <f>I1184+I1210</f>
        <v>30960300</v>
      </c>
      <c r="J1183" s="16">
        <f>'БА в тыс. руб.'!G1183*1000</f>
        <v>30927470</v>
      </c>
      <c r="K1183" s="169">
        <f t="shared" si="811"/>
        <v>0</v>
      </c>
      <c r="L1183" s="16">
        <f>'БА в тыс. руб.'!H1183*1000</f>
        <v>30960300.000000004</v>
      </c>
      <c r="M1183" s="169">
        <f t="shared" si="812"/>
        <v>0</v>
      </c>
      <c r="N1183" s="16">
        <f>'БА в тыс. руб.'!I1183*1000</f>
        <v>30960300.000000004</v>
      </c>
      <c r="O1183" s="169">
        <f t="shared" si="813"/>
        <v>0</v>
      </c>
    </row>
    <row r="1184" spans="1:15" s="3" customFormat="1" ht="38.25">
      <c r="A1184" s="21" t="s">
        <v>31</v>
      </c>
      <c r="B1184" s="22" t="s">
        <v>12</v>
      </c>
      <c r="C1184" s="23" t="s">
        <v>65</v>
      </c>
      <c r="D1184" s="23" t="s">
        <v>37</v>
      </c>
      <c r="E1184" s="23" t="s">
        <v>196</v>
      </c>
      <c r="F1184" s="23" t="s">
        <v>58</v>
      </c>
      <c r="G1184" s="24">
        <f t="shared" ref="G1184:I1185" si="827">G1185</f>
        <v>30573170</v>
      </c>
      <c r="H1184" s="24">
        <f t="shared" si="827"/>
        <v>30602450</v>
      </c>
      <c r="I1184" s="24">
        <f t="shared" si="827"/>
        <v>30602450</v>
      </c>
      <c r="J1184" s="16">
        <f>'БА в тыс. руб.'!G1184*1000</f>
        <v>30573170.000000004</v>
      </c>
      <c r="K1184" s="169">
        <f t="shared" si="811"/>
        <v>0</v>
      </c>
      <c r="L1184" s="16">
        <f>'БА в тыс. руб.'!H1184*1000</f>
        <v>30602450.000000004</v>
      </c>
      <c r="M1184" s="169">
        <f t="shared" si="812"/>
        <v>0</v>
      </c>
      <c r="N1184" s="16">
        <f>'БА в тыс. руб.'!I1184*1000</f>
        <v>30602450.000000004</v>
      </c>
      <c r="O1184" s="169">
        <f t="shared" si="813"/>
        <v>0</v>
      </c>
    </row>
    <row r="1185" spans="1:15" s="3" customFormat="1" ht="25.5">
      <c r="A1185" s="11" t="s">
        <v>149</v>
      </c>
      <c r="B1185" s="25" t="s">
        <v>12</v>
      </c>
      <c r="C1185" s="26" t="s">
        <v>65</v>
      </c>
      <c r="D1185" s="26" t="s">
        <v>37</v>
      </c>
      <c r="E1185" s="26" t="s">
        <v>501</v>
      </c>
      <c r="F1185" s="26" t="s">
        <v>58</v>
      </c>
      <c r="G1185" s="27">
        <f t="shared" si="827"/>
        <v>30573170</v>
      </c>
      <c r="H1185" s="27">
        <f t="shared" si="827"/>
        <v>30602450</v>
      </c>
      <c r="I1185" s="27">
        <f t="shared" si="827"/>
        <v>30602450</v>
      </c>
      <c r="J1185" s="16">
        <f>'БА в тыс. руб.'!G1185*1000</f>
        <v>30573170.000000004</v>
      </c>
      <c r="K1185" s="169">
        <f t="shared" si="811"/>
        <v>0</v>
      </c>
      <c r="L1185" s="16">
        <f>'БА в тыс. руб.'!H1185*1000</f>
        <v>30602450.000000004</v>
      </c>
      <c r="M1185" s="169">
        <f t="shared" si="812"/>
        <v>0</v>
      </c>
      <c r="N1185" s="16">
        <f>'БА в тыс. руб.'!I1185*1000</f>
        <v>30602450.000000004</v>
      </c>
      <c r="O1185" s="169">
        <f t="shared" si="813"/>
        <v>0</v>
      </c>
    </row>
    <row r="1186" spans="1:15" s="3" customFormat="1" ht="25.5">
      <c r="A1186" s="11" t="s">
        <v>150</v>
      </c>
      <c r="B1186" s="25" t="s">
        <v>12</v>
      </c>
      <c r="C1186" s="26" t="s">
        <v>65</v>
      </c>
      <c r="D1186" s="26" t="s">
        <v>37</v>
      </c>
      <c r="E1186" s="26" t="s">
        <v>502</v>
      </c>
      <c r="F1186" s="26" t="s">
        <v>58</v>
      </c>
      <c r="G1186" s="27">
        <f>G1187+G1196+G1200+G1207</f>
        <v>30573170</v>
      </c>
      <c r="H1186" s="27">
        <f>H1187+H1196+H1200+H1207</f>
        <v>30602450</v>
      </c>
      <c r="I1186" s="27">
        <f>I1187+I1196+I1200+I1207</f>
        <v>30602450</v>
      </c>
      <c r="J1186" s="16">
        <f>'БА в тыс. руб.'!G1186*1000</f>
        <v>30573170.000000004</v>
      </c>
      <c r="K1186" s="169">
        <f t="shared" si="811"/>
        <v>0</v>
      </c>
      <c r="L1186" s="16">
        <f>'БА в тыс. руб.'!H1186*1000</f>
        <v>30602450.000000004</v>
      </c>
      <c r="M1186" s="169">
        <f t="shared" si="812"/>
        <v>0</v>
      </c>
      <c r="N1186" s="16">
        <f>'БА в тыс. руб.'!I1186*1000</f>
        <v>30602450.000000004</v>
      </c>
      <c r="O1186" s="169">
        <f t="shared" si="813"/>
        <v>0</v>
      </c>
    </row>
    <row r="1187" spans="1:15" s="3" customFormat="1" ht="25.5">
      <c r="A1187" s="11" t="s">
        <v>114</v>
      </c>
      <c r="B1187" s="25" t="s">
        <v>12</v>
      </c>
      <c r="C1187" s="26" t="s">
        <v>65</v>
      </c>
      <c r="D1187" s="26" t="s">
        <v>37</v>
      </c>
      <c r="E1187" s="26" t="s">
        <v>503</v>
      </c>
      <c r="F1187" s="26" t="s">
        <v>58</v>
      </c>
      <c r="G1187" s="27">
        <f>G1188+G1191+G1193</f>
        <v>3759800</v>
      </c>
      <c r="H1187" s="27">
        <f t="shared" ref="H1187:I1187" si="828">H1188+H1191+H1193</f>
        <v>3789080</v>
      </c>
      <c r="I1187" s="27">
        <f t="shared" si="828"/>
        <v>3789080</v>
      </c>
      <c r="J1187" s="16">
        <f>'БА в тыс. руб.'!G1187*1000</f>
        <v>3759800</v>
      </c>
      <c r="K1187" s="169">
        <f t="shared" si="811"/>
        <v>0</v>
      </c>
      <c r="L1187" s="16">
        <f>'БА в тыс. руб.'!H1187*1000</f>
        <v>3789080.0000000005</v>
      </c>
      <c r="M1187" s="169">
        <f t="shared" si="812"/>
        <v>0</v>
      </c>
      <c r="N1187" s="16">
        <f>'БА в тыс. руб.'!I1187*1000</f>
        <v>3789080.0000000005</v>
      </c>
      <c r="O1187" s="169">
        <f t="shared" si="813"/>
        <v>0</v>
      </c>
    </row>
    <row r="1188" spans="1:15" s="3" customFormat="1" ht="25.5">
      <c r="A1188" s="34" t="s">
        <v>107</v>
      </c>
      <c r="B1188" s="25" t="s">
        <v>12</v>
      </c>
      <c r="C1188" s="26" t="s">
        <v>65</v>
      </c>
      <c r="D1188" s="26" t="s">
        <v>37</v>
      </c>
      <c r="E1188" s="26" t="s">
        <v>503</v>
      </c>
      <c r="F1188" s="26" t="s">
        <v>115</v>
      </c>
      <c r="G1188" s="27">
        <f>SUM(G1189:G1190)</f>
        <v>637110</v>
      </c>
      <c r="H1188" s="27">
        <f t="shared" ref="H1188:I1188" si="829">SUM(H1189:H1190)</f>
        <v>637110</v>
      </c>
      <c r="I1188" s="27">
        <f t="shared" si="829"/>
        <v>637110</v>
      </c>
      <c r="J1188" s="16">
        <f>'БА в тыс. руб.'!G1188*1000</f>
        <v>637110</v>
      </c>
      <c r="K1188" s="169">
        <f t="shared" si="811"/>
        <v>0</v>
      </c>
      <c r="L1188" s="16">
        <f>'БА в тыс. руб.'!H1188*1000</f>
        <v>637110</v>
      </c>
      <c r="M1188" s="169">
        <f t="shared" si="812"/>
        <v>0</v>
      </c>
      <c r="N1188" s="16">
        <f>'БА в тыс. руб.'!I1188*1000</f>
        <v>637110</v>
      </c>
      <c r="O1188" s="169">
        <f t="shared" si="813"/>
        <v>0</v>
      </c>
    </row>
    <row r="1189" spans="1:15" s="71" customFormat="1" ht="25.5">
      <c r="A1189" s="12" t="s">
        <v>937</v>
      </c>
      <c r="B1189" s="25" t="s">
        <v>12</v>
      </c>
      <c r="C1189" s="26" t="s">
        <v>65</v>
      </c>
      <c r="D1189" s="26" t="s">
        <v>37</v>
      </c>
      <c r="E1189" s="26" t="s">
        <v>503</v>
      </c>
      <c r="F1189" s="26" t="s">
        <v>1059</v>
      </c>
      <c r="G1189" s="27">
        <f t="shared" ref="G1189:G1190" si="830">J1189</f>
        <v>489330</v>
      </c>
      <c r="H1189" s="27">
        <f t="shared" ref="H1189:H1190" si="831">L1189</f>
        <v>489330</v>
      </c>
      <c r="I1189" s="27">
        <f t="shared" ref="I1189:I1190" si="832">N1189</f>
        <v>489330</v>
      </c>
      <c r="J1189" s="16">
        <f>'БА в тыс. руб.'!G1189*1000</f>
        <v>489330</v>
      </c>
      <c r="K1189" s="169">
        <f t="shared" si="811"/>
        <v>0</v>
      </c>
      <c r="L1189" s="16">
        <f>'БА в тыс. руб.'!H1189*1000</f>
        <v>489330</v>
      </c>
      <c r="M1189" s="169">
        <f t="shared" si="812"/>
        <v>0</v>
      </c>
      <c r="N1189" s="16">
        <f>'БА в тыс. руб.'!I1189*1000</f>
        <v>489330</v>
      </c>
      <c r="O1189" s="169">
        <f t="shared" si="813"/>
        <v>0</v>
      </c>
    </row>
    <row r="1190" spans="1:15" s="71" customFormat="1" ht="38.25">
      <c r="A1190" s="12" t="s">
        <v>939</v>
      </c>
      <c r="B1190" s="25" t="s">
        <v>12</v>
      </c>
      <c r="C1190" s="26" t="s">
        <v>65</v>
      </c>
      <c r="D1190" s="26" t="s">
        <v>37</v>
      </c>
      <c r="E1190" s="26" t="s">
        <v>503</v>
      </c>
      <c r="F1190" s="26" t="s">
        <v>1060</v>
      </c>
      <c r="G1190" s="27">
        <f t="shared" si="830"/>
        <v>147780</v>
      </c>
      <c r="H1190" s="27">
        <f t="shared" si="831"/>
        <v>147780</v>
      </c>
      <c r="I1190" s="27">
        <f t="shared" si="832"/>
        <v>147780</v>
      </c>
      <c r="J1190" s="16">
        <f>'БА в тыс. руб.'!G1190*1000</f>
        <v>147780</v>
      </c>
      <c r="K1190" s="169">
        <f t="shared" si="811"/>
        <v>0</v>
      </c>
      <c r="L1190" s="16">
        <f>'БА в тыс. руб.'!H1190*1000</f>
        <v>147780</v>
      </c>
      <c r="M1190" s="169">
        <f t="shared" si="812"/>
        <v>0</v>
      </c>
      <c r="N1190" s="16">
        <f>'БА в тыс. руб.'!I1190*1000</f>
        <v>147780</v>
      </c>
      <c r="O1190" s="169">
        <f t="shared" si="813"/>
        <v>0</v>
      </c>
    </row>
    <row r="1191" spans="1:15" s="3" customFormat="1" ht="25.5">
      <c r="A1191" s="11" t="s">
        <v>108</v>
      </c>
      <c r="B1191" s="25" t="s">
        <v>12</v>
      </c>
      <c r="C1191" s="26" t="s">
        <v>65</v>
      </c>
      <c r="D1191" s="26" t="s">
        <v>37</v>
      </c>
      <c r="E1191" s="26" t="s">
        <v>503</v>
      </c>
      <c r="F1191" s="26" t="s">
        <v>116</v>
      </c>
      <c r="G1191" s="27">
        <f>G1192</f>
        <v>3080790</v>
      </c>
      <c r="H1191" s="27">
        <f t="shared" ref="H1191:I1191" si="833">H1192</f>
        <v>3110070</v>
      </c>
      <c r="I1191" s="27">
        <f t="shared" si="833"/>
        <v>3110070</v>
      </c>
      <c r="J1191" s="16">
        <f>'БА в тыс. руб.'!G1191*1000</f>
        <v>3080790</v>
      </c>
      <c r="K1191" s="169">
        <f t="shared" si="811"/>
        <v>0</v>
      </c>
      <c r="L1191" s="16">
        <f>'БА в тыс. руб.'!H1191*1000</f>
        <v>3110070</v>
      </c>
      <c r="M1191" s="169">
        <f t="shared" si="812"/>
        <v>0</v>
      </c>
      <c r="N1191" s="16">
        <f>'БА в тыс. руб.'!I1191*1000</f>
        <v>3110070</v>
      </c>
      <c r="O1191" s="169">
        <f t="shared" si="813"/>
        <v>0</v>
      </c>
    </row>
    <row r="1192" spans="1:15" s="4" customFormat="1" ht="25.5">
      <c r="A1192" s="12" t="s">
        <v>973</v>
      </c>
      <c r="B1192" s="25" t="s">
        <v>12</v>
      </c>
      <c r="C1192" s="26" t="s">
        <v>65</v>
      </c>
      <c r="D1192" s="26" t="s">
        <v>37</v>
      </c>
      <c r="E1192" s="26" t="s">
        <v>503</v>
      </c>
      <c r="F1192" s="26" t="s">
        <v>1043</v>
      </c>
      <c r="G1192" s="27">
        <f t="shared" ref="G1192" si="834">J1192</f>
        <v>3080790</v>
      </c>
      <c r="H1192" s="27">
        <f>L1192</f>
        <v>3110070</v>
      </c>
      <c r="I1192" s="27">
        <f>N1192</f>
        <v>3110070</v>
      </c>
      <c r="J1192" s="16">
        <f>'БА в тыс. руб.'!G1192*1000</f>
        <v>3080790</v>
      </c>
      <c r="K1192" s="169">
        <f t="shared" si="811"/>
        <v>0</v>
      </c>
      <c r="L1192" s="16">
        <f>'БА в тыс. руб.'!H1192*1000</f>
        <v>3110070</v>
      </c>
      <c r="M1192" s="169">
        <f t="shared" si="812"/>
        <v>0</v>
      </c>
      <c r="N1192" s="16">
        <f>'БА в тыс. руб.'!I1192*1000</f>
        <v>3110070</v>
      </c>
      <c r="O1192" s="169">
        <f t="shared" si="813"/>
        <v>0</v>
      </c>
    </row>
    <row r="1193" spans="1:15" s="3" customFormat="1">
      <c r="A1193" s="11" t="s">
        <v>97</v>
      </c>
      <c r="B1193" s="25" t="s">
        <v>12</v>
      </c>
      <c r="C1193" s="26" t="s">
        <v>65</v>
      </c>
      <c r="D1193" s="26" t="s">
        <v>37</v>
      </c>
      <c r="E1193" s="26" t="s">
        <v>503</v>
      </c>
      <c r="F1193" s="26" t="s">
        <v>118</v>
      </c>
      <c r="G1193" s="27">
        <f>SUM(G1194:G1195)</f>
        <v>41900</v>
      </c>
      <c r="H1193" s="27">
        <f t="shared" ref="H1193:I1193" si="835">SUM(H1194:H1195)</f>
        <v>41900</v>
      </c>
      <c r="I1193" s="27">
        <f t="shared" si="835"/>
        <v>41900</v>
      </c>
      <c r="J1193" s="16">
        <f>'БА в тыс. руб.'!G1193*1000</f>
        <v>41900.000000000007</v>
      </c>
      <c r="K1193" s="169">
        <f t="shared" si="811"/>
        <v>0</v>
      </c>
      <c r="L1193" s="16">
        <f>'БА в тыс. руб.'!H1193*1000</f>
        <v>41900.000000000007</v>
      </c>
      <c r="M1193" s="169">
        <f t="shared" si="812"/>
        <v>0</v>
      </c>
      <c r="N1193" s="16">
        <f>'БА в тыс. руб.'!I1193*1000</f>
        <v>41900.000000000007</v>
      </c>
      <c r="O1193" s="169">
        <f t="shared" si="813"/>
        <v>0</v>
      </c>
    </row>
    <row r="1194" spans="1:15" s="3" customFormat="1">
      <c r="A1194" s="11" t="s">
        <v>1036</v>
      </c>
      <c r="B1194" s="25" t="s">
        <v>12</v>
      </c>
      <c r="C1194" s="26" t="s">
        <v>65</v>
      </c>
      <c r="D1194" s="26" t="s">
        <v>37</v>
      </c>
      <c r="E1194" s="26" t="s">
        <v>503</v>
      </c>
      <c r="F1194" s="26" t="s">
        <v>1061</v>
      </c>
      <c r="G1194" s="27">
        <f t="shared" ref="G1194:G1195" si="836">J1194</f>
        <v>22800</v>
      </c>
      <c r="H1194" s="27">
        <f t="shared" ref="H1194:H1195" si="837">L1194</f>
        <v>22800</v>
      </c>
      <c r="I1194" s="27">
        <f t="shared" ref="I1194:I1195" si="838">N1194</f>
        <v>22800</v>
      </c>
      <c r="J1194" s="16">
        <f>'БА в тыс. руб.'!G1194*1000</f>
        <v>22800</v>
      </c>
      <c r="K1194" s="169">
        <f t="shared" si="811"/>
        <v>0</v>
      </c>
      <c r="L1194" s="16">
        <f>'БА в тыс. руб.'!H1194*1000</f>
        <v>22800</v>
      </c>
      <c r="M1194" s="169">
        <f t="shared" si="812"/>
        <v>0</v>
      </c>
      <c r="N1194" s="16">
        <f>'БА в тыс. руб.'!I1194*1000</f>
        <v>22800</v>
      </c>
      <c r="O1194" s="169">
        <f t="shared" si="813"/>
        <v>0</v>
      </c>
    </row>
    <row r="1195" spans="1:15" s="3" customFormat="1">
      <c r="A1195" s="11" t="s">
        <v>1037</v>
      </c>
      <c r="B1195" s="25" t="s">
        <v>12</v>
      </c>
      <c r="C1195" s="26" t="s">
        <v>65</v>
      </c>
      <c r="D1195" s="26" t="s">
        <v>37</v>
      </c>
      <c r="E1195" s="26" t="s">
        <v>503</v>
      </c>
      <c r="F1195" s="26" t="s">
        <v>1062</v>
      </c>
      <c r="G1195" s="27">
        <f t="shared" si="836"/>
        <v>19100</v>
      </c>
      <c r="H1195" s="27">
        <f t="shared" si="837"/>
        <v>19100</v>
      </c>
      <c r="I1195" s="27">
        <f t="shared" si="838"/>
        <v>19100</v>
      </c>
      <c r="J1195" s="16">
        <f>'БА в тыс. руб.'!G1195*1000</f>
        <v>19100</v>
      </c>
      <c r="K1195" s="169">
        <f t="shared" si="811"/>
        <v>0</v>
      </c>
      <c r="L1195" s="16">
        <f>'БА в тыс. руб.'!H1195*1000</f>
        <v>19100</v>
      </c>
      <c r="M1195" s="169">
        <f t="shared" si="812"/>
        <v>0</v>
      </c>
      <c r="N1195" s="16">
        <f>'БА в тыс. руб.'!I1195*1000</f>
        <v>19100</v>
      </c>
      <c r="O1195" s="169">
        <f t="shared" si="813"/>
        <v>0</v>
      </c>
    </row>
    <row r="1196" spans="1:15" s="3" customFormat="1" ht="25.5">
      <c r="A1196" s="34" t="s">
        <v>504</v>
      </c>
      <c r="B1196" s="25" t="s">
        <v>12</v>
      </c>
      <c r="C1196" s="26" t="s">
        <v>65</v>
      </c>
      <c r="D1196" s="26" t="s">
        <v>37</v>
      </c>
      <c r="E1196" s="26" t="s">
        <v>505</v>
      </c>
      <c r="F1196" s="26" t="s">
        <v>58</v>
      </c>
      <c r="G1196" s="27">
        <f>G1197</f>
        <v>25543000</v>
      </c>
      <c r="H1196" s="27">
        <f>H1197</f>
        <v>25543000</v>
      </c>
      <c r="I1196" s="27">
        <f>I1197</f>
        <v>25543000</v>
      </c>
      <c r="J1196" s="16">
        <f>'БА в тыс. руб.'!G1196*1000</f>
        <v>25543000</v>
      </c>
      <c r="K1196" s="169">
        <f t="shared" si="811"/>
        <v>0</v>
      </c>
      <c r="L1196" s="16">
        <f>'БА в тыс. руб.'!H1196*1000</f>
        <v>25543000</v>
      </c>
      <c r="M1196" s="169">
        <f t="shared" si="812"/>
        <v>0</v>
      </c>
      <c r="N1196" s="16">
        <f>'БА в тыс. руб.'!I1196*1000</f>
        <v>25543000</v>
      </c>
      <c r="O1196" s="169">
        <f t="shared" si="813"/>
        <v>0</v>
      </c>
    </row>
    <row r="1197" spans="1:15" s="3" customFormat="1" ht="25.5">
      <c r="A1197" s="34" t="s">
        <v>107</v>
      </c>
      <c r="B1197" s="25" t="s">
        <v>12</v>
      </c>
      <c r="C1197" s="26" t="s">
        <v>65</v>
      </c>
      <c r="D1197" s="26" t="s">
        <v>37</v>
      </c>
      <c r="E1197" s="26" t="s">
        <v>505</v>
      </c>
      <c r="F1197" s="26" t="s">
        <v>115</v>
      </c>
      <c r="G1197" s="27">
        <f>SUM(G1198:G1199)</f>
        <v>25543000</v>
      </c>
      <c r="H1197" s="27">
        <f t="shared" ref="H1197:I1197" si="839">SUM(H1198:H1199)</f>
        <v>25543000</v>
      </c>
      <c r="I1197" s="27">
        <f t="shared" si="839"/>
        <v>25543000</v>
      </c>
      <c r="J1197" s="16">
        <f>'БА в тыс. руб.'!G1197*1000</f>
        <v>25543000</v>
      </c>
      <c r="K1197" s="169">
        <f t="shared" si="811"/>
        <v>0</v>
      </c>
      <c r="L1197" s="16">
        <f>'БА в тыс. руб.'!H1197*1000</f>
        <v>25543000</v>
      </c>
      <c r="M1197" s="169">
        <f t="shared" si="812"/>
        <v>0</v>
      </c>
      <c r="N1197" s="16">
        <f>'БА в тыс. руб.'!I1197*1000</f>
        <v>25543000</v>
      </c>
      <c r="O1197" s="169">
        <f t="shared" si="813"/>
        <v>0</v>
      </c>
    </row>
    <row r="1198" spans="1:15" s="94" customFormat="1">
      <c r="A1198" s="12" t="s">
        <v>936</v>
      </c>
      <c r="B1198" s="25" t="s">
        <v>12</v>
      </c>
      <c r="C1198" s="26" t="s">
        <v>65</v>
      </c>
      <c r="D1198" s="26" t="s">
        <v>37</v>
      </c>
      <c r="E1198" s="26" t="s">
        <v>505</v>
      </c>
      <c r="F1198" s="26" t="s">
        <v>1063</v>
      </c>
      <c r="G1198" s="27">
        <f t="shared" ref="G1198:G1199" si="840">J1198</f>
        <v>19618280</v>
      </c>
      <c r="H1198" s="27">
        <f t="shared" ref="H1198:H1199" si="841">L1198</f>
        <v>19618280</v>
      </c>
      <c r="I1198" s="27">
        <f t="shared" ref="I1198:I1199" si="842">N1198</f>
        <v>19618280</v>
      </c>
      <c r="J1198" s="16">
        <f>'БА в тыс. руб.'!G1198*1000</f>
        <v>19618280</v>
      </c>
      <c r="K1198" s="169">
        <f t="shared" si="811"/>
        <v>0</v>
      </c>
      <c r="L1198" s="16">
        <f>'БА в тыс. руб.'!H1198*1000</f>
        <v>19618280</v>
      </c>
      <c r="M1198" s="169">
        <f t="shared" si="812"/>
        <v>0</v>
      </c>
      <c r="N1198" s="16">
        <f>'БА в тыс. руб.'!I1198*1000</f>
        <v>19618280</v>
      </c>
      <c r="O1198" s="169">
        <f t="shared" si="813"/>
        <v>0</v>
      </c>
    </row>
    <row r="1199" spans="1:15" s="94" customFormat="1" ht="38.25">
      <c r="A1199" s="12" t="s">
        <v>939</v>
      </c>
      <c r="B1199" s="25" t="s">
        <v>12</v>
      </c>
      <c r="C1199" s="26" t="s">
        <v>65</v>
      </c>
      <c r="D1199" s="26" t="s">
        <v>37</v>
      </c>
      <c r="E1199" s="26" t="s">
        <v>505</v>
      </c>
      <c r="F1199" s="26" t="s">
        <v>1060</v>
      </c>
      <c r="G1199" s="27">
        <f t="shared" si="840"/>
        <v>5924720</v>
      </c>
      <c r="H1199" s="27">
        <f t="shared" si="841"/>
        <v>5924720</v>
      </c>
      <c r="I1199" s="27">
        <f t="shared" si="842"/>
        <v>5924720</v>
      </c>
      <c r="J1199" s="16">
        <f>'БА в тыс. руб.'!G1199*1000</f>
        <v>5924720</v>
      </c>
      <c r="K1199" s="169">
        <f t="shared" si="811"/>
        <v>0</v>
      </c>
      <c r="L1199" s="16">
        <f>'БА в тыс. руб.'!H1199*1000</f>
        <v>5924720</v>
      </c>
      <c r="M1199" s="169">
        <f t="shared" si="812"/>
        <v>0</v>
      </c>
      <c r="N1199" s="16">
        <f>'БА в тыс. руб.'!I1199*1000</f>
        <v>5924720</v>
      </c>
      <c r="O1199" s="169">
        <f t="shared" si="813"/>
        <v>0</v>
      </c>
    </row>
    <row r="1200" spans="1:15" s="3" customFormat="1" ht="51">
      <c r="A1200" s="126" t="s">
        <v>598</v>
      </c>
      <c r="B1200" s="25" t="s">
        <v>12</v>
      </c>
      <c r="C1200" s="26" t="s">
        <v>65</v>
      </c>
      <c r="D1200" s="26" t="s">
        <v>37</v>
      </c>
      <c r="E1200" s="26" t="s">
        <v>506</v>
      </c>
      <c r="F1200" s="26" t="s">
        <v>58</v>
      </c>
      <c r="G1200" s="27">
        <f>G1201+G1205</f>
        <v>1218630</v>
      </c>
      <c r="H1200" s="27">
        <f>H1201+H1205</f>
        <v>1218630</v>
      </c>
      <c r="I1200" s="27">
        <f>I1201+I1205</f>
        <v>1218630</v>
      </c>
      <c r="J1200" s="16">
        <f>'БА в тыс. руб.'!G1200*1000</f>
        <v>1218630</v>
      </c>
      <c r="K1200" s="169">
        <f t="shared" si="811"/>
        <v>0</v>
      </c>
      <c r="L1200" s="16">
        <f>'БА в тыс. руб.'!H1200*1000</f>
        <v>1218630</v>
      </c>
      <c r="M1200" s="169">
        <f t="shared" si="812"/>
        <v>0</v>
      </c>
      <c r="N1200" s="16">
        <f>'БА в тыс. руб.'!I1200*1000</f>
        <v>1218630</v>
      </c>
      <c r="O1200" s="169">
        <f t="shared" si="813"/>
        <v>0</v>
      </c>
    </row>
    <row r="1201" spans="1:15" s="3" customFormat="1" ht="25.5">
      <c r="A1201" s="34" t="s">
        <v>107</v>
      </c>
      <c r="B1201" s="25" t="s">
        <v>12</v>
      </c>
      <c r="C1201" s="26" t="s">
        <v>65</v>
      </c>
      <c r="D1201" s="26" t="s">
        <v>37</v>
      </c>
      <c r="E1201" s="26" t="s">
        <v>506</v>
      </c>
      <c r="F1201" s="26" t="s">
        <v>115</v>
      </c>
      <c r="G1201" s="27">
        <f>SUM(G1202:G1204)</f>
        <v>1059710</v>
      </c>
      <c r="H1201" s="27">
        <f t="shared" ref="H1201:I1201" si="843">SUM(H1202:H1204)</f>
        <v>1059710</v>
      </c>
      <c r="I1201" s="27">
        <f t="shared" si="843"/>
        <v>1059710</v>
      </c>
      <c r="J1201" s="16">
        <f>'БА в тыс. руб.'!G1201*1000</f>
        <v>1059710</v>
      </c>
      <c r="K1201" s="169">
        <f t="shared" si="811"/>
        <v>0</v>
      </c>
      <c r="L1201" s="16">
        <f>'БА в тыс. руб.'!H1201*1000</f>
        <v>1059710</v>
      </c>
      <c r="M1201" s="169">
        <f t="shared" si="812"/>
        <v>0</v>
      </c>
      <c r="N1201" s="16">
        <f>'БА в тыс. руб.'!I1201*1000</f>
        <v>1059710</v>
      </c>
      <c r="O1201" s="169">
        <f t="shared" si="813"/>
        <v>0</v>
      </c>
    </row>
    <row r="1202" spans="1:15" s="4" customFormat="1">
      <c r="A1202" s="11" t="s">
        <v>936</v>
      </c>
      <c r="B1202" s="25" t="s">
        <v>12</v>
      </c>
      <c r="C1202" s="26" t="s">
        <v>65</v>
      </c>
      <c r="D1202" s="26" t="s">
        <v>37</v>
      </c>
      <c r="E1202" s="26" t="s">
        <v>506</v>
      </c>
      <c r="F1202" s="26" t="s">
        <v>1063</v>
      </c>
      <c r="G1202" s="27">
        <f t="shared" ref="G1202:G1204" si="844">J1202</f>
        <v>775600</v>
      </c>
      <c r="H1202" s="27">
        <f t="shared" ref="H1202:H1204" si="845">L1202</f>
        <v>775600</v>
      </c>
      <c r="I1202" s="27">
        <f t="shared" ref="I1202:I1204" si="846">N1202</f>
        <v>775600</v>
      </c>
      <c r="J1202" s="16">
        <f>'БА в тыс. руб.'!G1202*1000</f>
        <v>775600</v>
      </c>
      <c r="K1202" s="169">
        <f t="shared" si="811"/>
        <v>0</v>
      </c>
      <c r="L1202" s="16">
        <f>'БА в тыс. руб.'!H1202*1000</f>
        <v>775600</v>
      </c>
      <c r="M1202" s="169">
        <f t="shared" si="812"/>
        <v>0</v>
      </c>
      <c r="N1202" s="16">
        <f>'БА в тыс. руб.'!I1202*1000</f>
        <v>775600</v>
      </c>
      <c r="O1202" s="169">
        <f t="shared" si="813"/>
        <v>0</v>
      </c>
    </row>
    <row r="1203" spans="1:15" s="4" customFormat="1" ht="25.5">
      <c r="A1203" s="12" t="s">
        <v>937</v>
      </c>
      <c r="B1203" s="25" t="s">
        <v>12</v>
      </c>
      <c r="C1203" s="26" t="s">
        <v>65</v>
      </c>
      <c r="D1203" s="26" t="s">
        <v>37</v>
      </c>
      <c r="E1203" s="26" t="s">
        <v>506</v>
      </c>
      <c r="F1203" s="26" t="s">
        <v>1059</v>
      </c>
      <c r="G1203" s="27">
        <f t="shared" si="844"/>
        <v>38300</v>
      </c>
      <c r="H1203" s="27">
        <f t="shared" si="845"/>
        <v>38300</v>
      </c>
      <c r="I1203" s="27">
        <f t="shared" si="846"/>
        <v>38300</v>
      </c>
      <c r="J1203" s="16">
        <f>'БА в тыс. руб.'!G1203*1000</f>
        <v>38300</v>
      </c>
      <c r="K1203" s="169"/>
      <c r="L1203" s="16">
        <f>'БА в тыс. руб.'!H1203*1000</f>
        <v>38300</v>
      </c>
      <c r="M1203" s="169"/>
      <c r="N1203" s="16">
        <f>'БА в тыс. руб.'!I1203*1000</f>
        <v>38300</v>
      </c>
      <c r="O1203" s="169"/>
    </row>
    <row r="1204" spans="1:15" s="4" customFormat="1" ht="38.25">
      <c r="A1204" s="11" t="s">
        <v>939</v>
      </c>
      <c r="B1204" s="25" t="s">
        <v>12</v>
      </c>
      <c r="C1204" s="26" t="s">
        <v>65</v>
      </c>
      <c r="D1204" s="26" t="s">
        <v>37</v>
      </c>
      <c r="E1204" s="26" t="s">
        <v>506</v>
      </c>
      <c r="F1204" s="26" t="s">
        <v>1060</v>
      </c>
      <c r="G1204" s="27">
        <f t="shared" si="844"/>
        <v>245810</v>
      </c>
      <c r="H1204" s="27">
        <f t="shared" si="845"/>
        <v>245810</v>
      </c>
      <c r="I1204" s="27">
        <f t="shared" si="846"/>
        <v>245810</v>
      </c>
      <c r="J1204" s="16">
        <f>'БА в тыс. руб.'!G1204*1000</f>
        <v>245810</v>
      </c>
      <c r="K1204" s="169">
        <f t="shared" si="811"/>
        <v>0</v>
      </c>
      <c r="L1204" s="16">
        <f>'БА в тыс. руб.'!H1204*1000</f>
        <v>245810</v>
      </c>
      <c r="M1204" s="169">
        <f t="shared" si="812"/>
        <v>0</v>
      </c>
      <c r="N1204" s="16">
        <f>'БА в тыс. руб.'!I1204*1000</f>
        <v>245810</v>
      </c>
      <c r="O1204" s="169">
        <f t="shared" si="813"/>
        <v>0</v>
      </c>
    </row>
    <row r="1205" spans="1:15" s="3" customFormat="1" ht="25.5">
      <c r="A1205" s="11" t="s">
        <v>108</v>
      </c>
      <c r="B1205" s="25" t="s">
        <v>12</v>
      </c>
      <c r="C1205" s="26" t="s">
        <v>65</v>
      </c>
      <c r="D1205" s="26" t="s">
        <v>37</v>
      </c>
      <c r="E1205" s="26" t="s">
        <v>506</v>
      </c>
      <c r="F1205" s="26" t="s">
        <v>116</v>
      </c>
      <c r="G1205" s="27">
        <f>G1206</f>
        <v>158920</v>
      </c>
      <c r="H1205" s="27">
        <f t="shared" ref="H1205:I1205" si="847">H1206</f>
        <v>158920</v>
      </c>
      <c r="I1205" s="27">
        <f t="shared" si="847"/>
        <v>158920</v>
      </c>
      <c r="J1205" s="16">
        <f>'БА в тыс. руб.'!G1205*1000</f>
        <v>158920</v>
      </c>
      <c r="K1205" s="169">
        <f t="shared" si="811"/>
        <v>0</v>
      </c>
      <c r="L1205" s="16">
        <f>'БА в тыс. руб.'!H1205*1000</f>
        <v>158920</v>
      </c>
      <c r="M1205" s="169">
        <f t="shared" si="812"/>
        <v>0</v>
      </c>
      <c r="N1205" s="16">
        <f>'БА в тыс. руб.'!I1205*1000</f>
        <v>158920</v>
      </c>
      <c r="O1205" s="169">
        <f t="shared" si="813"/>
        <v>0</v>
      </c>
    </row>
    <row r="1206" spans="1:15" s="4" customFormat="1" ht="25.5">
      <c r="A1206" s="12" t="s">
        <v>973</v>
      </c>
      <c r="B1206" s="25" t="s">
        <v>12</v>
      </c>
      <c r="C1206" s="26" t="s">
        <v>65</v>
      </c>
      <c r="D1206" s="26" t="s">
        <v>37</v>
      </c>
      <c r="E1206" s="26" t="s">
        <v>506</v>
      </c>
      <c r="F1206" s="26" t="s">
        <v>1043</v>
      </c>
      <c r="G1206" s="27">
        <f t="shared" ref="G1206" si="848">J1206</f>
        <v>158920</v>
      </c>
      <c r="H1206" s="27">
        <f>L1206</f>
        <v>158920</v>
      </c>
      <c r="I1206" s="27">
        <f>N1206</f>
        <v>158920</v>
      </c>
      <c r="J1206" s="16">
        <f>'БА в тыс. руб.'!G1206*1000</f>
        <v>158920</v>
      </c>
      <c r="K1206" s="169">
        <f t="shared" si="811"/>
        <v>0</v>
      </c>
      <c r="L1206" s="16">
        <f>'БА в тыс. руб.'!H1206*1000</f>
        <v>158920</v>
      </c>
      <c r="M1206" s="169">
        <f t="shared" si="812"/>
        <v>0</v>
      </c>
      <c r="N1206" s="16">
        <f>'БА в тыс. руб.'!I1206*1000</f>
        <v>158920</v>
      </c>
      <c r="O1206" s="169">
        <f t="shared" si="813"/>
        <v>0</v>
      </c>
    </row>
    <row r="1207" spans="1:15" s="3" customFormat="1" ht="51">
      <c r="A1207" s="34" t="s">
        <v>870</v>
      </c>
      <c r="B1207" s="25" t="str">
        <f t="shared" ref="B1207:D1209" si="849">B1196</f>
        <v>618</v>
      </c>
      <c r="C1207" s="26" t="str">
        <f t="shared" si="849"/>
        <v>01</v>
      </c>
      <c r="D1207" s="26" t="str">
        <f t="shared" si="849"/>
        <v>04</v>
      </c>
      <c r="E1207" s="26" t="s">
        <v>507</v>
      </c>
      <c r="F1207" s="26" t="s">
        <v>58</v>
      </c>
      <c r="G1207" s="27">
        <f>G1208</f>
        <v>51740</v>
      </c>
      <c r="H1207" s="27">
        <f>H1208</f>
        <v>51740</v>
      </c>
      <c r="I1207" s="27">
        <f>I1208</f>
        <v>51740</v>
      </c>
      <c r="J1207" s="16">
        <f>'БА в тыс. руб.'!G1207*1000</f>
        <v>51740</v>
      </c>
      <c r="K1207" s="169">
        <f t="shared" si="811"/>
        <v>0</v>
      </c>
      <c r="L1207" s="16">
        <f>'БА в тыс. руб.'!H1207*1000</f>
        <v>51740</v>
      </c>
      <c r="M1207" s="169">
        <f t="shared" si="812"/>
        <v>0</v>
      </c>
      <c r="N1207" s="16">
        <f>'БА в тыс. руб.'!I1207*1000</f>
        <v>51740</v>
      </c>
      <c r="O1207" s="169">
        <f t="shared" si="813"/>
        <v>0</v>
      </c>
    </row>
    <row r="1208" spans="1:15" s="3" customFormat="1" ht="25.5">
      <c r="A1208" s="11" t="s">
        <v>108</v>
      </c>
      <c r="B1208" s="25" t="str">
        <f t="shared" si="849"/>
        <v>618</v>
      </c>
      <c r="C1208" s="26" t="str">
        <f t="shared" si="849"/>
        <v>01</v>
      </c>
      <c r="D1208" s="26" t="str">
        <f t="shared" si="849"/>
        <v>04</v>
      </c>
      <c r="E1208" s="26" t="s">
        <v>507</v>
      </c>
      <c r="F1208" s="26" t="s">
        <v>116</v>
      </c>
      <c r="G1208" s="27">
        <f>G1209</f>
        <v>51740</v>
      </c>
      <c r="H1208" s="27">
        <f t="shared" ref="H1208:I1208" si="850">H1209</f>
        <v>51740</v>
      </c>
      <c r="I1208" s="27">
        <f t="shared" si="850"/>
        <v>51740</v>
      </c>
      <c r="J1208" s="16">
        <f>'БА в тыс. руб.'!G1208*1000</f>
        <v>51740</v>
      </c>
      <c r="K1208" s="169">
        <f t="shared" si="811"/>
        <v>0</v>
      </c>
      <c r="L1208" s="16">
        <f>'БА в тыс. руб.'!H1208*1000</f>
        <v>51740</v>
      </c>
      <c r="M1208" s="169">
        <f t="shared" si="812"/>
        <v>0</v>
      </c>
      <c r="N1208" s="16">
        <f>'БА в тыс. руб.'!I1208*1000</f>
        <v>51740</v>
      </c>
      <c r="O1208" s="169">
        <f t="shared" si="813"/>
        <v>0</v>
      </c>
    </row>
    <row r="1209" spans="1:15" s="4" customFormat="1" ht="25.5">
      <c r="A1209" s="12" t="s">
        <v>973</v>
      </c>
      <c r="B1209" s="25" t="str">
        <f t="shared" si="849"/>
        <v>618</v>
      </c>
      <c r="C1209" s="26" t="str">
        <f t="shared" si="849"/>
        <v>01</v>
      </c>
      <c r="D1209" s="26" t="str">
        <f t="shared" si="849"/>
        <v>04</v>
      </c>
      <c r="E1209" s="26" t="s">
        <v>507</v>
      </c>
      <c r="F1209" s="26" t="s">
        <v>1043</v>
      </c>
      <c r="G1209" s="27">
        <f t="shared" ref="G1209" si="851">J1209</f>
        <v>51740</v>
      </c>
      <c r="H1209" s="27">
        <f>L1209</f>
        <v>51740</v>
      </c>
      <c r="I1209" s="27">
        <f>N1209</f>
        <v>51740</v>
      </c>
      <c r="J1209" s="16">
        <f>'БА в тыс. руб.'!G1209*1000</f>
        <v>51740</v>
      </c>
      <c r="K1209" s="169">
        <f t="shared" si="811"/>
        <v>0</v>
      </c>
      <c r="L1209" s="16">
        <f>'БА в тыс. руб.'!H1209*1000</f>
        <v>51740</v>
      </c>
      <c r="M1209" s="169">
        <f t="shared" si="812"/>
        <v>0</v>
      </c>
      <c r="N1209" s="16">
        <f>'БА в тыс. руб.'!I1209*1000</f>
        <v>51740</v>
      </c>
      <c r="O1209" s="169">
        <f t="shared" si="813"/>
        <v>0</v>
      </c>
    </row>
    <row r="1210" spans="1:15" s="3" customFormat="1">
      <c r="A1210" s="21" t="s">
        <v>38</v>
      </c>
      <c r="B1210" s="22" t="s">
        <v>12</v>
      </c>
      <c r="C1210" s="23" t="s">
        <v>65</v>
      </c>
      <c r="D1210" s="23" t="s">
        <v>84</v>
      </c>
      <c r="E1210" s="23" t="s">
        <v>196</v>
      </c>
      <c r="F1210" s="23" t="s">
        <v>58</v>
      </c>
      <c r="G1210" s="24">
        <f>G1211</f>
        <v>354300</v>
      </c>
      <c r="H1210" s="24">
        <f t="shared" ref="H1210:I1210" si="852">H1211</f>
        <v>357850</v>
      </c>
      <c r="I1210" s="24">
        <f t="shared" si="852"/>
        <v>357850</v>
      </c>
      <c r="J1210" s="16">
        <f>'БА в тыс. руб.'!G1210*1000</f>
        <v>354300</v>
      </c>
      <c r="K1210" s="169">
        <f t="shared" si="811"/>
        <v>0</v>
      </c>
      <c r="L1210" s="16">
        <f>'БА в тыс. руб.'!H1210*1000</f>
        <v>357850</v>
      </c>
      <c r="M1210" s="169">
        <f t="shared" si="812"/>
        <v>0</v>
      </c>
      <c r="N1210" s="16">
        <f>'БА в тыс. руб.'!I1210*1000</f>
        <v>357850</v>
      </c>
      <c r="O1210" s="169">
        <f t="shared" si="813"/>
        <v>0</v>
      </c>
    </row>
    <row r="1211" spans="1:15" s="3" customFormat="1" ht="38.25">
      <c r="A1211" s="13" t="s">
        <v>745</v>
      </c>
      <c r="B1211" s="25" t="s">
        <v>12</v>
      </c>
      <c r="C1211" s="26" t="s">
        <v>65</v>
      </c>
      <c r="D1211" s="26" t="s">
        <v>84</v>
      </c>
      <c r="E1211" s="26" t="s">
        <v>280</v>
      </c>
      <c r="F1211" s="26" t="s">
        <v>58</v>
      </c>
      <c r="G1211" s="27">
        <f t="shared" ref="G1211:I1215" si="853">G1212</f>
        <v>354300</v>
      </c>
      <c r="H1211" s="27">
        <f t="shared" si="853"/>
        <v>357850</v>
      </c>
      <c r="I1211" s="27">
        <f t="shared" si="853"/>
        <v>357850</v>
      </c>
      <c r="J1211" s="16">
        <f>'БА в тыс. руб.'!G1211*1000</f>
        <v>354300</v>
      </c>
      <c r="K1211" s="169">
        <f t="shared" si="811"/>
        <v>0</v>
      </c>
      <c r="L1211" s="16">
        <f>'БА в тыс. руб.'!H1211*1000</f>
        <v>357850</v>
      </c>
      <c r="M1211" s="169">
        <f t="shared" si="812"/>
        <v>0</v>
      </c>
      <c r="N1211" s="16">
        <f>'БА в тыс. руб.'!I1211*1000</f>
        <v>357850</v>
      </c>
      <c r="O1211" s="169">
        <f t="shared" si="813"/>
        <v>0</v>
      </c>
    </row>
    <row r="1212" spans="1:15" s="3" customFormat="1" ht="51">
      <c r="A1212" s="13" t="s">
        <v>746</v>
      </c>
      <c r="B1212" s="25" t="s">
        <v>12</v>
      </c>
      <c r="C1212" s="26" t="s">
        <v>65</v>
      </c>
      <c r="D1212" s="26" t="s">
        <v>84</v>
      </c>
      <c r="E1212" s="26" t="s">
        <v>281</v>
      </c>
      <c r="F1212" s="26" t="s">
        <v>58</v>
      </c>
      <c r="G1212" s="27">
        <f t="shared" si="853"/>
        <v>354300</v>
      </c>
      <c r="H1212" s="27">
        <f t="shared" si="853"/>
        <v>357850</v>
      </c>
      <c r="I1212" s="27">
        <f t="shared" si="853"/>
        <v>357850</v>
      </c>
      <c r="J1212" s="16">
        <f>'БА в тыс. руб.'!G1212*1000</f>
        <v>354300</v>
      </c>
      <c r="K1212" s="169">
        <f t="shared" si="811"/>
        <v>0</v>
      </c>
      <c r="L1212" s="16">
        <f>'БА в тыс. руб.'!H1212*1000</f>
        <v>357850</v>
      </c>
      <c r="M1212" s="169">
        <f t="shared" si="812"/>
        <v>0</v>
      </c>
      <c r="N1212" s="16">
        <f>'БА в тыс. руб.'!I1212*1000</f>
        <v>357850</v>
      </c>
      <c r="O1212" s="169">
        <f t="shared" si="813"/>
        <v>0</v>
      </c>
    </row>
    <row r="1213" spans="1:15" s="3" customFormat="1" ht="38.25">
      <c r="A1213" s="140" t="s">
        <v>282</v>
      </c>
      <c r="B1213" s="141" t="s">
        <v>12</v>
      </c>
      <c r="C1213" s="26" t="s">
        <v>65</v>
      </c>
      <c r="D1213" s="26" t="s">
        <v>84</v>
      </c>
      <c r="E1213" s="26" t="s">
        <v>283</v>
      </c>
      <c r="F1213" s="26" t="s">
        <v>58</v>
      </c>
      <c r="G1213" s="27">
        <f t="shared" si="853"/>
        <v>354300</v>
      </c>
      <c r="H1213" s="27">
        <f t="shared" si="853"/>
        <v>357850</v>
      </c>
      <c r="I1213" s="27">
        <f t="shared" si="853"/>
        <v>357850</v>
      </c>
      <c r="J1213" s="16">
        <f>'БА в тыс. руб.'!G1213*1000</f>
        <v>354300</v>
      </c>
      <c r="K1213" s="169">
        <f t="shared" si="811"/>
        <v>0</v>
      </c>
      <c r="L1213" s="16">
        <f>'БА в тыс. руб.'!H1213*1000</f>
        <v>357850</v>
      </c>
      <c r="M1213" s="169">
        <f t="shared" si="812"/>
        <v>0</v>
      </c>
      <c r="N1213" s="16">
        <f>'БА в тыс. руб.'!I1213*1000</f>
        <v>357850</v>
      </c>
      <c r="O1213" s="169">
        <f t="shared" si="813"/>
        <v>0</v>
      </c>
    </row>
    <row r="1214" spans="1:15" s="3" customFormat="1" ht="25.5">
      <c r="A1214" s="11" t="s">
        <v>167</v>
      </c>
      <c r="B1214" s="25" t="s">
        <v>12</v>
      </c>
      <c r="C1214" s="26" t="s">
        <v>65</v>
      </c>
      <c r="D1214" s="26" t="s">
        <v>84</v>
      </c>
      <c r="E1214" s="26" t="s">
        <v>491</v>
      </c>
      <c r="F1214" s="26" t="s">
        <v>58</v>
      </c>
      <c r="G1214" s="27">
        <f t="shared" si="853"/>
        <v>354300</v>
      </c>
      <c r="H1214" s="27">
        <f t="shared" si="853"/>
        <v>357850</v>
      </c>
      <c r="I1214" s="27">
        <f t="shared" si="853"/>
        <v>357850</v>
      </c>
      <c r="J1214" s="16">
        <f>'БА в тыс. руб.'!G1214*1000</f>
        <v>354300</v>
      </c>
      <c r="K1214" s="169">
        <f t="shared" si="811"/>
        <v>0</v>
      </c>
      <c r="L1214" s="16">
        <f>'БА в тыс. руб.'!H1214*1000</f>
        <v>357850</v>
      </c>
      <c r="M1214" s="169">
        <f t="shared" si="812"/>
        <v>0</v>
      </c>
      <c r="N1214" s="16">
        <f>'БА в тыс. руб.'!I1214*1000</f>
        <v>357850</v>
      </c>
      <c r="O1214" s="169">
        <f t="shared" si="813"/>
        <v>0</v>
      </c>
    </row>
    <row r="1215" spans="1:15" s="3" customFormat="1" ht="25.5">
      <c r="A1215" s="11" t="s">
        <v>108</v>
      </c>
      <c r="B1215" s="25" t="s">
        <v>12</v>
      </c>
      <c r="C1215" s="26" t="s">
        <v>65</v>
      </c>
      <c r="D1215" s="26" t="s">
        <v>84</v>
      </c>
      <c r="E1215" s="26" t="s">
        <v>491</v>
      </c>
      <c r="F1215" s="26" t="s">
        <v>116</v>
      </c>
      <c r="G1215" s="27">
        <f>G1216</f>
        <v>354300</v>
      </c>
      <c r="H1215" s="27">
        <f t="shared" si="853"/>
        <v>357850</v>
      </c>
      <c r="I1215" s="27">
        <f t="shared" si="853"/>
        <v>357850</v>
      </c>
      <c r="J1215" s="16">
        <f>'БА в тыс. руб.'!G1215*1000</f>
        <v>354300</v>
      </c>
      <c r="K1215" s="169">
        <f t="shared" si="811"/>
        <v>0</v>
      </c>
      <c r="L1215" s="16">
        <f>'БА в тыс. руб.'!H1215*1000</f>
        <v>357850</v>
      </c>
      <c r="M1215" s="169">
        <f t="shared" si="812"/>
        <v>0</v>
      </c>
      <c r="N1215" s="16">
        <f>'БА в тыс. руб.'!I1215*1000</f>
        <v>357850</v>
      </c>
      <c r="O1215" s="169">
        <f t="shared" si="813"/>
        <v>0</v>
      </c>
    </row>
    <row r="1216" spans="1:15" s="4" customFormat="1" ht="25.5">
      <c r="A1216" s="12" t="s">
        <v>973</v>
      </c>
      <c r="B1216" s="25" t="s">
        <v>12</v>
      </c>
      <c r="C1216" s="26" t="s">
        <v>65</v>
      </c>
      <c r="D1216" s="26" t="s">
        <v>84</v>
      </c>
      <c r="E1216" s="26" t="s">
        <v>491</v>
      </c>
      <c r="F1216" s="26" t="s">
        <v>1043</v>
      </c>
      <c r="G1216" s="27">
        <f t="shared" ref="G1216" si="854">J1216</f>
        <v>354300</v>
      </c>
      <c r="H1216" s="27">
        <f>L1216</f>
        <v>357850</v>
      </c>
      <c r="I1216" s="27">
        <f>N1216</f>
        <v>357850</v>
      </c>
      <c r="J1216" s="16">
        <f>'БА в тыс. руб.'!G1216*1000</f>
        <v>354300</v>
      </c>
      <c r="K1216" s="169">
        <f t="shared" si="811"/>
        <v>0</v>
      </c>
      <c r="L1216" s="16">
        <f>'БА в тыс. руб.'!H1216*1000</f>
        <v>357850</v>
      </c>
      <c r="M1216" s="169">
        <f t="shared" si="812"/>
        <v>0</v>
      </c>
      <c r="N1216" s="16">
        <f>'БА в тыс. руб.'!I1216*1000</f>
        <v>357850</v>
      </c>
      <c r="O1216" s="169">
        <f t="shared" si="813"/>
        <v>0</v>
      </c>
    </row>
    <row r="1217" spans="1:15" s="3" customFormat="1">
      <c r="A1217" s="17" t="s">
        <v>35</v>
      </c>
      <c r="B1217" s="18" t="s">
        <v>12</v>
      </c>
      <c r="C1217" s="19" t="s">
        <v>37</v>
      </c>
      <c r="D1217" s="19" t="s">
        <v>51</v>
      </c>
      <c r="E1217" s="19" t="s">
        <v>196</v>
      </c>
      <c r="F1217" s="19" t="s">
        <v>58</v>
      </c>
      <c r="G1217" s="20">
        <f t="shared" ref="G1217:I1220" si="855">G1218</f>
        <v>55609450</v>
      </c>
      <c r="H1217" s="20">
        <f t="shared" si="855"/>
        <v>49975940</v>
      </c>
      <c r="I1217" s="20">
        <f t="shared" si="855"/>
        <v>49975940</v>
      </c>
      <c r="J1217" s="16">
        <f>'БА в тыс. руб.'!G1217*1000</f>
        <v>55609450</v>
      </c>
      <c r="K1217" s="169">
        <f t="shared" si="811"/>
        <v>0</v>
      </c>
      <c r="L1217" s="16">
        <f>'БА в тыс. руб.'!H1217*1000</f>
        <v>49975940</v>
      </c>
      <c r="M1217" s="169">
        <f t="shared" si="812"/>
        <v>0</v>
      </c>
      <c r="N1217" s="16">
        <f>'БА в тыс. руб.'!I1217*1000</f>
        <v>49975940</v>
      </c>
      <c r="O1217" s="169">
        <f t="shared" si="813"/>
        <v>0</v>
      </c>
    </row>
    <row r="1218" spans="1:15" s="3" customFormat="1">
      <c r="A1218" s="21" t="s">
        <v>88</v>
      </c>
      <c r="B1218" s="22" t="s">
        <v>12</v>
      </c>
      <c r="C1218" s="23" t="s">
        <v>37</v>
      </c>
      <c r="D1218" s="23" t="s">
        <v>25</v>
      </c>
      <c r="E1218" s="23" t="s">
        <v>196</v>
      </c>
      <c r="F1218" s="23" t="s">
        <v>58</v>
      </c>
      <c r="G1218" s="24">
        <f t="shared" si="855"/>
        <v>55609450</v>
      </c>
      <c r="H1218" s="24">
        <f t="shared" si="855"/>
        <v>49975940</v>
      </c>
      <c r="I1218" s="24">
        <f t="shared" si="855"/>
        <v>49975940</v>
      </c>
      <c r="J1218" s="16">
        <f>'БА в тыс. руб.'!G1218*1000</f>
        <v>55609450</v>
      </c>
      <c r="K1218" s="169">
        <f t="shared" si="811"/>
        <v>0</v>
      </c>
      <c r="L1218" s="16">
        <f>'БА в тыс. руб.'!H1218*1000</f>
        <v>49975940</v>
      </c>
      <c r="M1218" s="169">
        <f t="shared" si="812"/>
        <v>0</v>
      </c>
      <c r="N1218" s="16">
        <f>'БА в тыс. руб.'!I1218*1000</f>
        <v>49975940</v>
      </c>
      <c r="O1218" s="169">
        <f t="shared" si="813"/>
        <v>0</v>
      </c>
    </row>
    <row r="1219" spans="1:15" s="3" customFormat="1" ht="38.25">
      <c r="A1219" s="12" t="s">
        <v>722</v>
      </c>
      <c r="B1219" s="25" t="s">
        <v>12</v>
      </c>
      <c r="C1219" s="26" t="s">
        <v>37</v>
      </c>
      <c r="D1219" s="26" t="s">
        <v>25</v>
      </c>
      <c r="E1219" s="26" t="s">
        <v>300</v>
      </c>
      <c r="F1219" s="26" t="s">
        <v>58</v>
      </c>
      <c r="G1219" s="27">
        <f t="shared" si="855"/>
        <v>55609450</v>
      </c>
      <c r="H1219" s="27">
        <f t="shared" si="855"/>
        <v>49975940</v>
      </c>
      <c r="I1219" s="27">
        <f t="shared" si="855"/>
        <v>49975940</v>
      </c>
      <c r="J1219" s="16">
        <f>'БА в тыс. руб.'!G1219*1000</f>
        <v>55609450</v>
      </c>
      <c r="K1219" s="169">
        <f t="shared" si="811"/>
        <v>0</v>
      </c>
      <c r="L1219" s="16">
        <f>'БА в тыс. руб.'!H1219*1000</f>
        <v>49975940</v>
      </c>
      <c r="M1219" s="169">
        <f t="shared" si="812"/>
        <v>0</v>
      </c>
      <c r="N1219" s="16">
        <f>'БА в тыс. руб.'!I1219*1000</f>
        <v>49975940</v>
      </c>
      <c r="O1219" s="169">
        <f t="shared" si="813"/>
        <v>0</v>
      </c>
    </row>
    <row r="1220" spans="1:15" s="3" customFormat="1" ht="38.25">
      <c r="A1220" s="40" t="s">
        <v>729</v>
      </c>
      <c r="B1220" s="142" t="s">
        <v>12</v>
      </c>
      <c r="C1220" s="26" t="s">
        <v>37</v>
      </c>
      <c r="D1220" s="26" t="s">
        <v>25</v>
      </c>
      <c r="E1220" s="26" t="s">
        <v>301</v>
      </c>
      <c r="F1220" s="26" t="s">
        <v>58</v>
      </c>
      <c r="G1220" s="27">
        <f t="shared" si="855"/>
        <v>55609450</v>
      </c>
      <c r="H1220" s="27">
        <f t="shared" si="855"/>
        <v>49975940</v>
      </c>
      <c r="I1220" s="27">
        <f t="shared" si="855"/>
        <v>49975940</v>
      </c>
      <c r="J1220" s="16">
        <f>'БА в тыс. руб.'!G1220*1000</f>
        <v>55609450</v>
      </c>
      <c r="K1220" s="169">
        <f t="shared" si="811"/>
        <v>0</v>
      </c>
      <c r="L1220" s="16">
        <f>'БА в тыс. руб.'!H1220*1000</f>
        <v>49975940</v>
      </c>
      <c r="M1220" s="169">
        <f t="shared" si="812"/>
        <v>0</v>
      </c>
      <c r="N1220" s="16">
        <f>'БА в тыс. руб.'!I1220*1000</f>
        <v>49975940</v>
      </c>
      <c r="O1220" s="169">
        <f t="shared" si="813"/>
        <v>0</v>
      </c>
    </row>
    <row r="1221" spans="1:15" s="3" customFormat="1" ht="38.25">
      <c r="A1221" s="40" t="s">
        <v>644</v>
      </c>
      <c r="B1221" s="25" t="s">
        <v>12</v>
      </c>
      <c r="C1221" s="26" t="s">
        <v>37</v>
      </c>
      <c r="D1221" s="26" t="s">
        <v>25</v>
      </c>
      <c r="E1221" s="26" t="s">
        <v>302</v>
      </c>
      <c r="F1221" s="26" t="s">
        <v>58</v>
      </c>
      <c r="G1221" s="27">
        <f>G1228+G1222+G1225</f>
        <v>55609450</v>
      </c>
      <c r="H1221" s="27">
        <f>H1228+H1222+H1225</f>
        <v>49975940</v>
      </c>
      <c r="I1221" s="27">
        <f>I1228+I1222+I1225</f>
        <v>49975940</v>
      </c>
      <c r="J1221" s="16">
        <f>'БА в тыс. руб.'!G1221*1000</f>
        <v>55609450</v>
      </c>
      <c r="K1221" s="169">
        <f t="shared" si="811"/>
        <v>0</v>
      </c>
      <c r="L1221" s="16">
        <f>'БА в тыс. руб.'!H1221*1000</f>
        <v>49975940</v>
      </c>
      <c r="M1221" s="169">
        <f t="shared" si="812"/>
        <v>0</v>
      </c>
      <c r="N1221" s="16">
        <f>'БА в тыс. руб.'!I1221*1000</f>
        <v>49975940</v>
      </c>
      <c r="O1221" s="169">
        <f t="shared" si="813"/>
        <v>0</v>
      </c>
    </row>
    <row r="1222" spans="1:15" s="3" customFormat="1" ht="25.5">
      <c r="A1222" s="12" t="s">
        <v>493</v>
      </c>
      <c r="B1222" s="25" t="s">
        <v>12</v>
      </c>
      <c r="C1222" s="26" t="s">
        <v>37</v>
      </c>
      <c r="D1222" s="26" t="s">
        <v>25</v>
      </c>
      <c r="E1222" s="26" t="s">
        <v>494</v>
      </c>
      <c r="F1222" s="26" t="s">
        <v>58</v>
      </c>
      <c r="G1222" s="27">
        <f>G1223</f>
        <v>11400000</v>
      </c>
      <c r="H1222" s="27">
        <f>H1223</f>
        <v>10087430</v>
      </c>
      <c r="I1222" s="27">
        <f>I1223</f>
        <v>10087430</v>
      </c>
      <c r="J1222" s="16">
        <f>'БА в тыс. руб.'!G1222*1000</f>
        <v>11400000</v>
      </c>
      <c r="K1222" s="169">
        <f t="shared" si="811"/>
        <v>0</v>
      </c>
      <c r="L1222" s="16">
        <f>'БА в тыс. руб.'!H1222*1000</f>
        <v>10087430</v>
      </c>
      <c r="M1222" s="169">
        <f t="shared" si="812"/>
        <v>0</v>
      </c>
      <c r="N1222" s="16">
        <f>'БА в тыс. руб.'!I1222*1000</f>
        <v>10087430</v>
      </c>
      <c r="O1222" s="169">
        <f t="shared" si="813"/>
        <v>0</v>
      </c>
    </row>
    <row r="1223" spans="1:15" s="3" customFormat="1" ht="25.5">
      <c r="A1223" s="11" t="s">
        <v>108</v>
      </c>
      <c r="B1223" s="25" t="s">
        <v>12</v>
      </c>
      <c r="C1223" s="26" t="s">
        <v>37</v>
      </c>
      <c r="D1223" s="26" t="s">
        <v>25</v>
      </c>
      <c r="E1223" s="26" t="s">
        <v>494</v>
      </c>
      <c r="F1223" s="26" t="s">
        <v>116</v>
      </c>
      <c r="G1223" s="27">
        <f>G1224</f>
        <v>11400000</v>
      </c>
      <c r="H1223" s="27">
        <f t="shared" ref="H1223:I1223" si="856">H1224</f>
        <v>10087430</v>
      </c>
      <c r="I1223" s="27">
        <f t="shared" si="856"/>
        <v>10087430</v>
      </c>
      <c r="J1223" s="16">
        <f>'БА в тыс. руб.'!G1223*1000</f>
        <v>11400000</v>
      </c>
      <c r="K1223" s="169">
        <f t="shared" si="811"/>
        <v>0</v>
      </c>
      <c r="L1223" s="16">
        <f>'БА в тыс. руб.'!H1223*1000</f>
        <v>10087430</v>
      </c>
      <c r="M1223" s="169">
        <f t="shared" si="812"/>
        <v>0</v>
      </c>
      <c r="N1223" s="16">
        <f>'БА в тыс. руб.'!I1223*1000</f>
        <v>10087430</v>
      </c>
      <c r="O1223" s="169">
        <f t="shared" si="813"/>
        <v>0</v>
      </c>
    </row>
    <row r="1224" spans="1:15" s="4" customFormat="1" ht="25.5">
      <c r="A1224" s="12" t="s">
        <v>973</v>
      </c>
      <c r="B1224" s="25" t="s">
        <v>12</v>
      </c>
      <c r="C1224" s="26" t="s">
        <v>37</v>
      </c>
      <c r="D1224" s="26" t="s">
        <v>25</v>
      </c>
      <c r="E1224" s="26" t="s">
        <v>494</v>
      </c>
      <c r="F1224" s="26" t="s">
        <v>1043</v>
      </c>
      <c r="G1224" s="27">
        <f t="shared" ref="G1224" si="857">J1224</f>
        <v>11400000</v>
      </c>
      <c r="H1224" s="27">
        <f>L1224</f>
        <v>10087430</v>
      </c>
      <c r="I1224" s="27">
        <f>N1224</f>
        <v>10087430</v>
      </c>
      <c r="J1224" s="16">
        <f>'БА в тыс. руб.'!G1224*1000</f>
        <v>11400000</v>
      </c>
      <c r="K1224" s="169">
        <f t="shared" si="811"/>
        <v>0</v>
      </c>
      <c r="L1224" s="16">
        <f>'БА в тыс. руб.'!H1224*1000</f>
        <v>10087430</v>
      </c>
      <c r="M1224" s="169">
        <f t="shared" si="812"/>
        <v>0</v>
      </c>
      <c r="N1224" s="16">
        <f>'БА в тыс. руб.'!I1224*1000</f>
        <v>10087430</v>
      </c>
      <c r="O1224" s="169">
        <f t="shared" si="813"/>
        <v>0</v>
      </c>
    </row>
    <row r="1225" spans="1:15" s="3" customFormat="1" ht="63.75">
      <c r="A1225" s="11" t="s">
        <v>889</v>
      </c>
      <c r="B1225" s="25" t="s">
        <v>12</v>
      </c>
      <c r="C1225" s="26" t="s">
        <v>37</v>
      </c>
      <c r="D1225" s="26" t="s">
        <v>25</v>
      </c>
      <c r="E1225" s="26" t="s">
        <v>834</v>
      </c>
      <c r="F1225" s="26" t="s">
        <v>58</v>
      </c>
      <c r="G1225" s="27">
        <f>G1226</f>
        <v>11412000</v>
      </c>
      <c r="H1225" s="27">
        <f t="shared" ref="H1225:I1226" si="858">H1226</f>
        <v>0</v>
      </c>
      <c r="I1225" s="27">
        <f t="shared" si="858"/>
        <v>0</v>
      </c>
      <c r="J1225" s="16">
        <f>'БА в тыс. руб.'!G1225*1000</f>
        <v>11412000</v>
      </c>
      <c r="K1225" s="169">
        <f t="shared" ref="K1225:K1289" si="859">J1225-G1225</f>
        <v>0</v>
      </c>
      <c r="L1225" s="16">
        <f>'БА в тыс. руб.'!H1225*1000</f>
        <v>0</v>
      </c>
      <c r="M1225" s="169">
        <f t="shared" ref="M1225:M1289" si="860">L1225-H1225</f>
        <v>0</v>
      </c>
      <c r="N1225" s="16">
        <f>'БА в тыс. руб.'!I1225*1000</f>
        <v>0</v>
      </c>
      <c r="O1225" s="169">
        <f t="shared" ref="O1225:O1289" si="861">N1225-I1225</f>
        <v>0</v>
      </c>
    </row>
    <row r="1226" spans="1:15" s="3" customFormat="1" ht="25.5">
      <c r="A1226" s="11" t="s">
        <v>108</v>
      </c>
      <c r="B1226" s="25" t="s">
        <v>12</v>
      </c>
      <c r="C1226" s="26" t="s">
        <v>37</v>
      </c>
      <c r="D1226" s="26" t="s">
        <v>25</v>
      </c>
      <c r="E1226" s="26" t="s">
        <v>834</v>
      </c>
      <c r="F1226" s="26" t="s">
        <v>116</v>
      </c>
      <c r="G1226" s="27">
        <f>G1227</f>
        <v>11412000</v>
      </c>
      <c r="H1226" s="27">
        <f t="shared" si="858"/>
        <v>0</v>
      </c>
      <c r="I1226" s="27">
        <f t="shared" si="858"/>
        <v>0</v>
      </c>
      <c r="J1226" s="16">
        <f>'БА в тыс. руб.'!G1226*1000</f>
        <v>11412000</v>
      </c>
      <c r="K1226" s="169">
        <f t="shared" si="859"/>
        <v>0</v>
      </c>
      <c r="L1226" s="16">
        <f>'БА в тыс. руб.'!H1226*1000</f>
        <v>0</v>
      </c>
      <c r="M1226" s="169">
        <f t="shared" si="860"/>
        <v>0</v>
      </c>
      <c r="N1226" s="16">
        <f>'БА в тыс. руб.'!I1226*1000</f>
        <v>0</v>
      </c>
      <c r="O1226" s="169">
        <f t="shared" si="861"/>
        <v>0</v>
      </c>
    </row>
    <row r="1227" spans="1:15" s="4" customFormat="1" ht="25.5">
      <c r="A1227" s="12" t="s">
        <v>973</v>
      </c>
      <c r="B1227" s="25" t="s">
        <v>12</v>
      </c>
      <c r="C1227" s="26" t="s">
        <v>37</v>
      </c>
      <c r="D1227" s="26" t="s">
        <v>25</v>
      </c>
      <c r="E1227" s="26" t="s">
        <v>834</v>
      </c>
      <c r="F1227" s="26" t="s">
        <v>1043</v>
      </c>
      <c r="G1227" s="27">
        <f t="shared" ref="G1227" si="862">J1227</f>
        <v>11412000</v>
      </c>
      <c r="H1227" s="27">
        <f>L1227</f>
        <v>0</v>
      </c>
      <c r="I1227" s="27">
        <f>N1227</f>
        <v>0</v>
      </c>
      <c r="J1227" s="16">
        <f>'БА в тыс. руб.'!G1227*1000</f>
        <v>11412000</v>
      </c>
      <c r="K1227" s="169">
        <f t="shared" si="859"/>
        <v>0</v>
      </c>
      <c r="L1227" s="16">
        <f>'БА в тыс. руб.'!H1227*1000</f>
        <v>0</v>
      </c>
      <c r="M1227" s="169">
        <f t="shared" si="860"/>
        <v>0</v>
      </c>
      <c r="N1227" s="16">
        <f>'БА в тыс. руб.'!I1227*1000</f>
        <v>0</v>
      </c>
      <c r="O1227" s="169">
        <f t="shared" si="861"/>
        <v>0</v>
      </c>
    </row>
    <row r="1228" spans="1:15" s="3" customFormat="1" ht="25.5">
      <c r="A1228" s="11" t="s">
        <v>902</v>
      </c>
      <c r="B1228" s="25" t="s">
        <v>12</v>
      </c>
      <c r="C1228" s="26" t="s">
        <v>37</v>
      </c>
      <c r="D1228" s="26" t="s">
        <v>25</v>
      </c>
      <c r="E1228" s="26" t="s">
        <v>909</v>
      </c>
      <c r="F1228" s="26" t="s">
        <v>58</v>
      </c>
      <c r="G1228" s="27">
        <f>G1229</f>
        <v>32797449.999999996</v>
      </c>
      <c r="H1228" s="27">
        <f>H1229</f>
        <v>39888510</v>
      </c>
      <c r="I1228" s="27">
        <f>I1229</f>
        <v>39888510</v>
      </c>
      <c r="J1228" s="16">
        <f>'БА в тыс. руб.'!G1228*1000</f>
        <v>32797449.999999996</v>
      </c>
      <c r="K1228" s="169">
        <f t="shared" si="859"/>
        <v>0</v>
      </c>
      <c r="L1228" s="16">
        <f>'БА в тыс. руб.'!H1228*1000</f>
        <v>39888510</v>
      </c>
      <c r="M1228" s="169">
        <f t="shared" si="860"/>
        <v>0</v>
      </c>
      <c r="N1228" s="16">
        <f>'БА в тыс. руб.'!I1228*1000</f>
        <v>39888510</v>
      </c>
      <c r="O1228" s="169">
        <f t="shared" si="861"/>
        <v>0</v>
      </c>
    </row>
    <row r="1229" spans="1:15" s="3" customFormat="1" ht="25.5">
      <c r="A1229" s="11" t="s">
        <v>108</v>
      </c>
      <c r="B1229" s="25" t="s">
        <v>12</v>
      </c>
      <c r="C1229" s="26" t="s">
        <v>37</v>
      </c>
      <c r="D1229" s="26" t="s">
        <v>25</v>
      </c>
      <c r="E1229" s="26" t="s">
        <v>909</v>
      </c>
      <c r="F1229" s="26" t="s">
        <v>116</v>
      </c>
      <c r="G1229" s="27">
        <f>G1230</f>
        <v>32797449.999999996</v>
      </c>
      <c r="H1229" s="27">
        <f t="shared" ref="H1229:I1229" si="863">H1230</f>
        <v>39888510</v>
      </c>
      <c r="I1229" s="27">
        <f t="shared" si="863"/>
        <v>39888510</v>
      </c>
      <c r="J1229" s="16">
        <f>'БА в тыс. руб.'!G1229*1000</f>
        <v>32797449.999999996</v>
      </c>
      <c r="K1229" s="169">
        <f t="shared" si="859"/>
        <v>0</v>
      </c>
      <c r="L1229" s="16">
        <f>'БА в тыс. руб.'!H1229*1000</f>
        <v>39888510</v>
      </c>
      <c r="M1229" s="169">
        <f t="shared" si="860"/>
        <v>0</v>
      </c>
      <c r="N1229" s="16">
        <f>'БА в тыс. руб.'!I1229*1000</f>
        <v>39888510</v>
      </c>
      <c r="O1229" s="169">
        <f t="shared" si="861"/>
        <v>0</v>
      </c>
    </row>
    <row r="1230" spans="1:15" s="4" customFormat="1" ht="25.5">
      <c r="A1230" s="12" t="s">
        <v>973</v>
      </c>
      <c r="B1230" s="25" t="s">
        <v>12</v>
      </c>
      <c r="C1230" s="26" t="s">
        <v>37</v>
      </c>
      <c r="D1230" s="26" t="s">
        <v>25</v>
      </c>
      <c r="E1230" s="26" t="s">
        <v>909</v>
      </c>
      <c r="F1230" s="26" t="s">
        <v>1043</v>
      </c>
      <c r="G1230" s="27">
        <f t="shared" ref="G1230" si="864">J1230</f>
        <v>32797449.999999996</v>
      </c>
      <c r="H1230" s="27">
        <f>L1230</f>
        <v>39888510</v>
      </c>
      <c r="I1230" s="27">
        <f>N1230</f>
        <v>39888510</v>
      </c>
      <c r="J1230" s="16">
        <f>'БА в тыс. руб.'!G1230*1000</f>
        <v>32797449.999999996</v>
      </c>
      <c r="K1230" s="169">
        <f t="shared" si="859"/>
        <v>0</v>
      </c>
      <c r="L1230" s="16">
        <f>'БА в тыс. руб.'!H1230*1000</f>
        <v>39888510</v>
      </c>
      <c r="M1230" s="169">
        <f t="shared" si="860"/>
        <v>0</v>
      </c>
      <c r="N1230" s="16">
        <f>'БА в тыс. руб.'!I1230*1000</f>
        <v>39888510</v>
      </c>
      <c r="O1230" s="169">
        <f t="shared" si="861"/>
        <v>0</v>
      </c>
    </row>
    <row r="1231" spans="1:15" s="3" customFormat="1">
      <c r="A1231" s="17" t="s">
        <v>7</v>
      </c>
      <c r="B1231" s="18" t="s">
        <v>12</v>
      </c>
      <c r="C1231" s="19" t="s">
        <v>8</v>
      </c>
      <c r="D1231" s="19" t="s">
        <v>51</v>
      </c>
      <c r="E1231" s="19" t="s">
        <v>196</v>
      </c>
      <c r="F1231" s="19" t="s">
        <v>58</v>
      </c>
      <c r="G1231" s="20">
        <f>G1232+G1240</f>
        <v>20378620</v>
      </c>
      <c r="H1231" s="20">
        <f>H1232+H1240</f>
        <v>19757870</v>
      </c>
      <c r="I1231" s="20">
        <f>I1232+I1240</f>
        <v>19757870</v>
      </c>
      <c r="J1231" s="16">
        <f>'БА в тыс. руб.'!G1231*1000</f>
        <v>20378620</v>
      </c>
      <c r="K1231" s="169">
        <f t="shared" si="859"/>
        <v>0</v>
      </c>
      <c r="L1231" s="16">
        <f>'БА в тыс. руб.'!H1231*1000</f>
        <v>19757870</v>
      </c>
      <c r="M1231" s="169">
        <f t="shared" si="860"/>
        <v>0</v>
      </c>
      <c r="N1231" s="16">
        <f>'БА в тыс. руб.'!I1231*1000</f>
        <v>19757870</v>
      </c>
      <c r="O1231" s="169">
        <f t="shared" si="861"/>
        <v>0</v>
      </c>
    </row>
    <row r="1232" spans="1:15" s="3" customFormat="1">
      <c r="A1232" s="21" t="s">
        <v>9</v>
      </c>
      <c r="B1232" s="22" t="s">
        <v>12</v>
      </c>
      <c r="C1232" s="23" t="s">
        <v>8</v>
      </c>
      <c r="D1232" s="23" t="s">
        <v>65</v>
      </c>
      <c r="E1232" s="23" t="s">
        <v>196</v>
      </c>
      <c r="F1232" s="23" t="s">
        <v>58</v>
      </c>
      <c r="G1232" s="24">
        <f t="shared" ref="G1232:I1233" si="865">G1233</f>
        <v>1256660</v>
      </c>
      <c r="H1232" s="24">
        <f t="shared" si="865"/>
        <v>1220060</v>
      </c>
      <c r="I1232" s="24">
        <f t="shared" si="865"/>
        <v>1220060</v>
      </c>
      <c r="J1232" s="16">
        <f>'БА в тыс. руб.'!G1232*1000</f>
        <v>1256659.9999999998</v>
      </c>
      <c r="K1232" s="169">
        <f t="shared" si="859"/>
        <v>0</v>
      </c>
      <c r="L1232" s="16">
        <f>'БА в тыс. руб.'!H1232*1000</f>
        <v>1220060</v>
      </c>
      <c r="M1232" s="169">
        <f t="shared" si="860"/>
        <v>0</v>
      </c>
      <c r="N1232" s="16">
        <f>'БА в тыс. руб.'!I1232*1000</f>
        <v>1220060</v>
      </c>
      <c r="O1232" s="169">
        <f t="shared" si="861"/>
        <v>0</v>
      </c>
    </row>
    <row r="1233" spans="1:15" s="3" customFormat="1" ht="38.25">
      <c r="A1233" s="12" t="s">
        <v>722</v>
      </c>
      <c r="B1233" s="25" t="s">
        <v>12</v>
      </c>
      <c r="C1233" s="26" t="s">
        <v>8</v>
      </c>
      <c r="D1233" s="26" t="s">
        <v>65</v>
      </c>
      <c r="E1233" s="26" t="s">
        <v>300</v>
      </c>
      <c r="F1233" s="26" t="s">
        <v>58</v>
      </c>
      <c r="G1233" s="27">
        <f t="shared" si="865"/>
        <v>1256660</v>
      </c>
      <c r="H1233" s="27">
        <f t="shared" si="865"/>
        <v>1220060</v>
      </c>
      <c r="I1233" s="27">
        <f t="shared" si="865"/>
        <v>1220060</v>
      </c>
      <c r="J1233" s="16">
        <f>'БА в тыс. руб.'!G1233*1000</f>
        <v>1256659.9999999998</v>
      </c>
      <c r="K1233" s="169">
        <f t="shared" si="859"/>
        <v>0</v>
      </c>
      <c r="L1233" s="16">
        <f>'БА в тыс. руб.'!H1233*1000</f>
        <v>1220060</v>
      </c>
      <c r="M1233" s="169">
        <f t="shared" si="860"/>
        <v>0</v>
      </c>
      <c r="N1233" s="16">
        <f>'БА в тыс. руб.'!I1233*1000</f>
        <v>1220060</v>
      </c>
      <c r="O1233" s="169">
        <f t="shared" si="861"/>
        <v>0</v>
      </c>
    </row>
    <row r="1234" spans="1:15" s="3" customFormat="1" ht="25.5">
      <c r="A1234" s="11" t="s">
        <v>155</v>
      </c>
      <c r="B1234" s="25" t="s">
        <v>12</v>
      </c>
      <c r="C1234" s="26" t="s">
        <v>8</v>
      </c>
      <c r="D1234" s="26" t="s">
        <v>65</v>
      </c>
      <c r="E1234" s="26" t="s">
        <v>495</v>
      </c>
      <c r="F1234" s="26" t="s">
        <v>58</v>
      </c>
      <c r="G1234" s="27">
        <f>G1237</f>
        <v>1256660</v>
      </c>
      <c r="H1234" s="27">
        <f>H1237</f>
        <v>1220060</v>
      </c>
      <c r="I1234" s="27">
        <f>I1237</f>
        <v>1220060</v>
      </c>
      <c r="J1234" s="16">
        <f>'БА в тыс. руб.'!G1234*1000</f>
        <v>1256659.9999999998</v>
      </c>
      <c r="K1234" s="169">
        <f t="shared" si="859"/>
        <v>0</v>
      </c>
      <c r="L1234" s="16">
        <f>'БА в тыс. руб.'!H1234*1000</f>
        <v>1220060</v>
      </c>
      <c r="M1234" s="169">
        <f t="shared" si="860"/>
        <v>0</v>
      </c>
      <c r="N1234" s="16">
        <f>'БА в тыс. руб.'!I1234*1000</f>
        <v>1220060</v>
      </c>
      <c r="O1234" s="169">
        <f t="shared" si="861"/>
        <v>0</v>
      </c>
    </row>
    <row r="1235" spans="1:15" s="3" customFormat="1" ht="38.25">
      <c r="A1235" s="40" t="s">
        <v>522</v>
      </c>
      <c r="B1235" s="35" t="s">
        <v>12</v>
      </c>
      <c r="C1235" s="36" t="s">
        <v>8</v>
      </c>
      <c r="D1235" s="36" t="s">
        <v>65</v>
      </c>
      <c r="E1235" s="36" t="s">
        <v>497</v>
      </c>
      <c r="F1235" s="36" t="s">
        <v>58</v>
      </c>
      <c r="G1235" s="37">
        <f t="shared" ref="G1235:I1236" si="866">G1236</f>
        <v>1256660</v>
      </c>
      <c r="H1235" s="37">
        <f t="shared" si="866"/>
        <v>1220060</v>
      </c>
      <c r="I1235" s="37">
        <f t="shared" si="866"/>
        <v>1220060</v>
      </c>
      <c r="J1235" s="16">
        <f>'БА в тыс. руб.'!G1235*1000</f>
        <v>1256659.9999999998</v>
      </c>
      <c r="K1235" s="169">
        <f t="shared" si="859"/>
        <v>0</v>
      </c>
      <c r="L1235" s="16">
        <f>'БА в тыс. руб.'!H1235*1000</f>
        <v>1220060</v>
      </c>
      <c r="M1235" s="169">
        <f t="shared" si="860"/>
        <v>0</v>
      </c>
      <c r="N1235" s="16">
        <f>'БА в тыс. руб.'!I1235*1000</f>
        <v>1220060</v>
      </c>
      <c r="O1235" s="169">
        <f t="shared" si="861"/>
        <v>0</v>
      </c>
    </row>
    <row r="1236" spans="1:15" s="3" customFormat="1" ht="25.5">
      <c r="A1236" s="12" t="s">
        <v>148</v>
      </c>
      <c r="B1236" s="25" t="s">
        <v>12</v>
      </c>
      <c r="C1236" s="26" t="s">
        <v>8</v>
      </c>
      <c r="D1236" s="26" t="s">
        <v>65</v>
      </c>
      <c r="E1236" s="26" t="s">
        <v>498</v>
      </c>
      <c r="F1236" s="26" t="s">
        <v>58</v>
      </c>
      <c r="G1236" s="27">
        <f t="shared" si="866"/>
        <v>1256660</v>
      </c>
      <c r="H1236" s="27">
        <f t="shared" si="866"/>
        <v>1220060</v>
      </c>
      <c r="I1236" s="27">
        <f t="shared" si="866"/>
        <v>1220060</v>
      </c>
      <c r="J1236" s="16">
        <f>'БА в тыс. руб.'!G1236*1000</f>
        <v>1256659.9999999998</v>
      </c>
      <c r="K1236" s="169">
        <f t="shared" si="859"/>
        <v>0</v>
      </c>
      <c r="L1236" s="16">
        <f>'БА в тыс. руб.'!H1236*1000</f>
        <v>1220060</v>
      </c>
      <c r="M1236" s="169">
        <f t="shared" si="860"/>
        <v>0</v>
      </c>
      <c r="N1236" s="16">
        <f>'БА в тыс. руб.'!I1236*1000</f>
        <v>1220060</v>
      </c>
      <c r="O1236" s="169">
        <f t="shared" si="861"/>
        <v>0</v>
      </c>
    </row>
    <row r="1237" spans="1:15" s="3" customFormat="1" ht="25.5">
      <c r="A1237" s="11" t="s">
        <v>108</v>
      </c>
      <c r="B1237" s="25" t="s">
        <v>12</v>
      </c>
      <c r="C1237" s="26" t="s">
        <v>8</v>
      </c>
      <c r="D1237" s="26" t="s">
        <v>65</v>
      </c>
      <c r="E1237" s="26" t="s">
        <v>498</v>
      </c>
      <c r="F1237" s="26" t="s">
        <v>116</v>
      </c>
      <c r="G1237" s="27">
        <f>SUM(G1238:G1239)</f>
        <v>1256660</v>
      </c>
      <c r="H1237" s="27">
        <f t="shared" ref="H1237:I1237" si="867">SUM(H1238:H1239)</f>
        <v>1220060</v>
      </c>
      <c r="I1237" s="27">
        <f t="shared" si="867"/>
        <v>1220060</v>
      </c>
      <c r="J1237" s="16">
        <f>'БА в тыс. руб.'!G1237*1000</f>
        <v>1256659.9999999998</v>
      </c>
      <c r="K1237" s="169">
        <f t="shared" si="859"/>
        <v>0</v>
      </c>
      <c r="L1237" s="16">
        <f>'БА в тыс. руб.'!H1237*1000</f>
        <v>1220060</v>
      </c>
      <c r="M1237" s="169">
        <f t="shared" si="860"/>
        <v>0</v>
      </c>
      <c r="N1237" s="16">
        <f>'БА в тыс. руб.'!I1237*1000</f>
        <v>1220060</v>
      </c>
      <c r="O1237" s="169">
        <f t="shared" si="861"/>
        <v>0</v>
      </c>
    </row>
    <row r="1238" spans="1:15" s="3" customFormat="1">
      <c r="A1238" s="11"/>
      <c r="B1238" s="25" t="s">
        <v>12</v>
      </c>
      <c r="C1238" s="26" t="s">
        <v>8</v>
      </c>
      <c r="D1238" s="26" t="s">
        <v>65</v>
      </c>
      <c r="E1238" s="26" t="s">
        <v>498</v>
      </c>
      <c r="F1238" s="26" t="s">
        <v>1070</v>
      </c>
      <c r="G1238" s="27">
        <f t="shared" ref="G1238:G1239" si="868">J1238</f>
        <v>259120</v>
      </c>
      <c r="H1238" s="27">
        <f t="shared" ref="H1238:H1239" si="869">L1238</f>
        <v>222520</v>
      </c>
      <c r="I1238" s="27">
        <f t="shared" ref="I1238:I1239" si="870">N1238</f>
        <v>222520</v>
      </c>
      <c r="J1238" s="16">
        <f>'БА в тыс. руб.'!G1238*1000</f>
        <v>259120</v>
      </c>
      <c r="K1238" s="169"/>
      <c r="L1238" s="16">
        <f>'БА в тыс. руб.'!H1238*1000</f>
        <v>222520</v>
      </c>
      <c r="M1238" s="169"/>
      <c r="N1238" s="16">
        <f>'БА в тыс. руб.'!I1238*1000</f>
        <v>222520</v>
      </c>
      <c r="O1238" s="169"/>
    </row>
    <row r="1239" spans="1:15" s="3" customFormat="1" ht="25.5">
      <c r="A1239" s="12" t="s">
        <v>973</v>
      </c>
      <c r="B1239" s="25" t="s">
        <v>12</v>
      </c>
      <c r="C1239" s="26" t="s">
        <v>8</v>
      </c>
      <c r="D1239" s="26" t="s">
        <v>65</v>
      </c>
      <c r="E1239" s="26" t="s">
        <v>498</v>
      </c>
      <c r="F1239" s="26" t="s">
        <v>1043</v>
      </c>
      <c r="G1239" s="27">
        <f t="shared" si="868"/>
        <v>997540</v>
      </c>
      <c r="H1239" s="27">
        <f t="shared" si="869"/>
        <v>997540</v>
      </c>
      <c r="I1239" s="27">
        <f t="shared" si="870"/>
        <v>997540</v>
      </c>
      <c r="J1239" s="16">
        <f>'БА в тыс. руб.'!G1239*1000</f>
        <v>997540</v>
      </c>
      <c r="K1239" s="169">
        <f t="shared" si="859"/>
        <v>0</v>
      </c>
      <c r="L1239" s="16">
        <f>'БА в тыс. руб.'!H1239*1000</f>
        <v>997540</v>
      </c>
      <c r="M1239" s="169">
        <f t="shared" si="860"/>
        <v>0</v>
      </c>
      <c r="N1239" s="16">
        <f>'БА в тыс. руб.'!I1239*1000</f>
        <v>997540</v>
      </c>
      <c r="O1239" s="169">
        <f t="shared" si="861"/>
        <v>0</v>
      </c>
    </row>
    <row r="1240" spans="1:15" s="3" customFormat="1">
      <c r="A1240" s="21" t="s">
        <v>1</v>
      </c>
      <c r="B1240" s="22" t="s">
        <v>12</v>
      </c>
      <c r="C1240" s="23" t="s">
        <v>8</v>
      </c>
      <c r="D1240" s="23" t="s">
        <v>53</v>
      </c>
      <c r="E1240" s="23" t="s">
        <v>196</v>
      </c>
      <c r="F1240" s="23" t="s">
        <v>58</v>
      </c>
      <c r="G1240" s="24">
        <f t="shared" ref="G1240:I1242" si="871">G1241</f>
        <v>19121960</v>
      </c>
      <c r="H1240" s="24">
        <f t="shared" si="871"/>
        <v>18537810</v>
      </c>
      <c r="I1240" s="24">
        <f t="shared" si="871"/>
        <v>18537810</v>
      </c>
      <c r="J1240" s="16">
        <f>'БА в тыс. руб.'!G1240*1000</f>
        <v>19121960</v>
      </c>
      <c r="K1240" s="169">
        <f t="shared" si="859"/>
        <v>0</v>
      </c>
      <c r="L1240" s="16">
        <f>'БА в тыс. руб.'!H1240*1000</f>
        <v>18537809.999999996</v>
      </c>
      <c r="M1240" s="169">
        <f t="shared" si="860"/>
        <v>0</v>
      </c>
      <c r="N1240" s="16">
        <f>'БА в тыс. руб.'!I1240*1000</f>
        <v>18537809.999999996</v>
      </c>
      <c r="O1240" s="169">
        <f t="shared" si="861"/>
        <v>0</v>
      </c>
    </row>
    <row r="1241" spans="1:15" s="3" customFormat="1" ht="38.25">
      <c r="A1241" s="12" t="s">
        <v>722</v>
      </c>
      <c r="B1241" s="25" t="s">
        <v>12</v>
      </c>
      <c r="C1241" s="26" t="s">
        <v>8</v>
      </c>
      <c r="D1241" s="26" t="s">
        <v>53</v>
      </c>
      <c r="E1241" s="26" t="s">
        <v>300</v>
      </c>
      <c r="F1241" s="26" t="s">
        <v>58</v>
      </c>
      <c r="G1241" s="27">
        <f t="shared" si="871"/>
        <v>19121960</v>
      </c>
      <c r="H1241" s="27">
        <f t="shared" si="871"/>
        <v>18537810</v>
      </c>
      <c r="I1241" s="27">
        <f t="shared" si="871"/>
        <v>18537810</v>
      </c>
      <c r="J1241" s="16">
        <f>'БА в тыс. руб.'!G1241*1000</f>
        <v>19121960</v>
      </c>
      <c r="K1241" s="169">
        <f t="shared" si="859"/>
        <v>0</v>
      </c>
      <c r="L1241" s="16">
        <f>'БА в тыс. руб.'!H1241*1000</f>
        <v>18537809.999999996</v>
      </c>
      <c r="M1241" s="169">
        <f t="shared" si="860"/>
        <v>0</v>
      </c>
      <c r="N1241" s="16">
        <f>'БА в тыс. руб.'!I1241*1000</f>
        <v>18537809.999999996</v>
      </c>
      <c r="O1241" s="169">
        <f t="shared" si="861"/>
        <v>0</v>
      </c>
    </row>
    <row r="1242" spans="1:15" s="3" customFormat="1">
      <c r="A1242" s="11" t="s">
        <v>142</v>
      </c>
      <c r="B1242" s="25" t="s">
        <v>12</v>
      </c>
      <c r="C1242" s="26" t="s">
        <v>8</v>
      </c>
      <c r="D1242" s="26" t="s">
        <v>53</v>
      </c>
      <c r="E1242" s="26" t="s">
        <v>453</v>
      </c>
      <c r="F1242" s="26" t="s">
        <v>58</v>
      </c>
      <c r="G1242" s="27">
        <f t="shared" si="871"/>
        <v>19121960</v>
      </c>
      <c r="H1242" s="27">
        <f t="shared" si="871"/>
        <v>18537810</v>
      </c>
      <c r="I1242" s="27">
        <f t="shared" si="871"/>
        <v>18537810</v>
      </c>
      <c r="J1242" s="16">
        <f>'БА в тыс. руб.'!G1242*1000</f>
        <v>19121960</v>
      </c>
      <c r="K1242" s="169">
        <f t="shared" si="859"/>
        <v>0</v>
      </c>
      <c r="L1242" s="16">
        <f>'БА в тыс. руб.'!H1242*1000</f>
        <v>18537809.999999996</v>
      </c>
      <c r="M1242" s="169">
        <f t="shared" si="860"/>
        <v>0</v>
      </c>
      <c r="N1242" s="16">
        <f>'БА в тыс. руб.'!I1242*1000</f>
        <v>18537809.999999996</v>
      </c>
      <c r="O1242" s="169">
        <f t="shared" si="861"/>
        <v>0</v>
      </c>
    </row>
    <row r="1243" spans="1:15" s="3" customFormat="1" ht="25.5">
      <c r="A1243" s="40" t="s">
        <v>454</v>
      </c>
      <c r="B1243" s="35" t="s">
        <v>12</v>
      </c>
      <c r="C1243" s="36" t="s">
        <v>8</v>
      </c>
      <c r="D1243" s="36" t="s">
        <v>53</v>
      </c>
      <c r="E1243" s="26" t="s">
        <v>645</v>
      </c>
      <c r="F1243" s="36" t="s">
        <v>58</v>
      </c>
      <c r="G1243" s="37">
        <f>G1244+G1247+G1250</f>
        <v>19121960</v>
      </c>
      <c r="H1243" s="37">
        <f>H1244+H1247+H1250</f>
        <v>18537810</v>
      </c>
      <c r="I1243" s="37">
        <f>I1244+I1247+I1250</f>
        <v>18537810</v>
      </c>
      <c r="J1243" s="16">
        <f>'БА в тыс. руб.'!G1243*1000</f>
        <v>19121960</v>
      </c>
      <c r="K1243" s="169">
        <f t="shared" si="859"/>
        <v>0</v>
      </c>
      <c r="L1243" s="16">
        <f>'БА в тыс. руб.'!H1243*1000</f>
        <v>18537809.999999996</v>
      </c>
      <c r="M1243" s="169">
        <f t="shared" si="860"/>
        <v>0</v>
      </c>
      <c r="N1243" s="16">
        <f>'БА в тыс. руб.'!I1243*1000</f>
        <v>18537809.999999996</v>
      </c>
      <c r="O1243" s="169">
        <f t="shared" si="861"/>
        <v>0</v>
      </c>
    </row>
    <row r="1244" spans="1:15" s="3" customFormat="1" ht="25.5">
      <c r="A1244" s="11" t="s">
        <v>158</v>
      </c>
      <c r="B1244" s="25" t="s">
        <v>12</v>
      </c>
      <c r="C1244" s="26" t="s">
        <v>8</v>
      </c>
      <c r="D1244" s="26" t="s">
        <v>53</v>
      </c>
      <c r="E1244" s="26" t="s">
        <v>646</v>
      </c>
      <c r="F1244" s="26" t="s">
        <v>58</v>
      </c>
      <c r="G1244" s="27">
        <f>G1245</f>
        <v>11078740</v>
      </c>
      <c r="H1244" s="27">
        <f>H1245</f>
        <v>10599220</v>
      </c>
      <c r="I1244" s="27">
        <f>I1245</f>
        <v>10599220</v>
      </c>
      <c r="J1244" s="16">
        <f>'БА в тыс. руб.'!G1244*1000</f>
        <v>11078740</v>
      </c>
      <c r="K1244" s="169">
        <f t="shared" si="859"/>
        <v>0</v>
      </c>
      <c r="L1244" s="16">
        <f>'БА в тыс. руб.'!H1244*1000</f>
        <v>10599220</v>
      </c>
      <c r="M1244" s="169">
        <f t="shared" si="860"/>
        <v>0</v>
      </c>
      <c r="N1244" s="16">
        <f>'БА в тыс. руб.'!I1244*1000</f>
        <v>10599220</v>
      </c>
      <c r="O1244" s="169">
        <f t="shared" si="861"/>
        <v>0</v>
      </c>
    </row>
    <row r="1245" spans="1:15" s="3" customFormat="1" ht="25.5">
      <c r="A1245" s="11" t="s">
        <v>108</v>
      </c>
      <c r="B1245" s="25" t="s">
        <v>12</v>
      </c>
      <c r="C1245" s="26" t="s">
        <v>8</v>
      </c>
      <c r="D1245" s="26" t="s">
        <v>53</v>
      </c>
      <c r="E1245" s="26" t="s">
        <v>646</v>
      </c>
      <c r="F1245" s="26" t="s">
        <v>116</v>
      </c>
      <c r="G1245" s="27">
        <f>G1246</f>
        <v>11078740</v>
      </c>
      <c r="H1245" s="27">
        <f t="shared" ref="H1245:I1245" si="872">H1246</f>
        <v>10599220</v>
      </c>
      <c r="I1245" s="27">
        <f t="shared" si="872"/>
        <v>10599220</v>
      </c>
      <c r="J1245" s="16">
        <f>'БА в тыс. руб.'!G1245*1000</f>
        <v>11078740</v>
      </c>
      <c r="K1245" s="169">
        <f t="shared" si="859"/>
        <v>0</v>
      </c>
      <c r="L1245" s="16">
        <f>'БА в тыс. руб.'!H1245*1000</f>
        <v>10599220</v>
      </c>
      <c r="M1245" s="169">
        <f t="shared" si="860"/>
        <v>0</v>
      </c>
      <c r="N1245" s="16">
        <f>'БА в тыс. руб.'!I1245*1000</f>
        <v>10599220</v>
      </c>
      <c r="O1245" s="169">
        <f t="shared" si="861"/>
        <v>0</v>
      </c>
    </row>
    <row r="1246" spans="1:15" s="4" customFormat="1" ht="25.5">
      <c r="A1246" s="12" t="s">
        <v>973</v>
      </c>
      <c r="B1246" s="25" t="s">
        <v>12</v>
      </c>
      <c r="C1246" s="26" t="s">
        <v>8</v>
      </c>
      <c r="D1246" s="26" t="s">
        <v>53</v>
      </c>
      <c r="E1246" s="26" t="s">
        <v>646</v>
      </c>
      <c r="F1246" s="26" t="s">
        <v>1043</v>
      </c>
      <c r="G1246" s="27">
        <f t="shared" ref="G1246" si="873">J1246</f>
        <v>11078740</v>
      </c>
      <c r="H1246" s="27">
        <f>L1246</f>
        <v>10599220</v>
      </c>
      <c r="I1246" s="27">
        <f>N1246</f>
        <v>10599220</v>
      </c>
      <c r="J1246" s="16">
        <f>'БА в тыс. руб.'!G1246*1000</f>
        <v>11078740</v>
      </c>
      <c r="K1246" s="169">
        <f t="shared" si="859"/>
        <v>0</v>
      </c>
      <c r="L1246" s="16">
        <f>'БА в тыс. руб.'!H1246*1000</f>
        <v>10599220</v>
      </c>
      <c r="M1246" s="169">
        <f t="shared" si="860"/>
        <v>0</v>
      </c>
      <c r="N1246" s="16">
        <f>'БА в тыс. руб.'!I1246*1000</f>
        <v>10599220</v>
      </c>
      <c r="O1246" s="169">
        <f t="shared" si="861"/>
        <v>0</v>
      </c>
    </row>
    <row r="1247" spans="1:15" s="3" customFormat="1">
      <c r="A1247" s="12" t="s">
        <v>890</v>
      </c>
      <c r="B1247" s="25" t="s">
        <v>12</v>
      </c>
      <c r="C1247" s="36" t="s">
        <v>8</v>
      </c>
      <c r="D1247" s="36" t="s">
        <v>53</v>
      </c>
      <c r="E1247" s="36" t="s">
        <v>910</v>
      </c>
      <c r="F1247" s="36" t="s">
        <v>58</v>
      </c>
      <c r="G1247" s="27">
        <f>G1248</f>
        <v>1046349.9999999999</v>
      </c>
      <c r="H1247" s="27">
        <f>H1248</f>
        <v>941720</v>
      </c>
      <c r="I1247" s="27">
        <f>I1248</f>
        <v>941720</v>
      </c>
      <c r="J1247" s="16">
        <f>'БА в тыс. руб.'!G1247*1000</f>
        <v>1046349.9999999999</v>
      </c>
      <c r="K1247" s="169">
        <f t="shared" si="859"/>
        <v>0</v>
      </c>
      <c r="L1247" s="16">
        <f>'БА в тыс. руб.'!H1247*1000</f>
        <v>941720</v>
      </c>
      <c r="M1247" s="169">
        <f t="shared" si="860"/>
        <v>0</v>
      </c>
      <c r="N1247" s="16">
        <f>'БА в тыс. руб.'!I1247*1000</f>
        <v>941720</v>
      </c>
      <c r="O1247" s="169">
        <f t="shared" si="861"/>
        <v>0</v>
      </c>
    </row>
    <row r="1248" spans="1:15" s="3" customFormat="1" ht="25.5">
      <c r="A1248" s="11" t="s">
        <v>108</v>
      </c>
      <c r="B1248" s="25" t="s">
        <v>12</v>
      </c>
      <c r="C1248" s="36" t="s">
        <v>8</v>
      </c>
      <c r="D1248" s="36" t="s">
        <v>53</v>
      </c>
      <c r="E1248" s="36" t="s">
        <v>910</v>
      </c>
      <c r="F1248" s="36" t="s">
        <v>116</v>
      </c>
      <c r="G1248" s="27">
        <f>G1249</f>
        <v>1046349.9999999999</v>
      </c>
      <c r="H1248" s="27">
        <f t="shared" ref="H1248:I1248" si="874">H1249</f>
        <v>941720</v>
      </c>
      <c r="I1248" s="27">
        <f t="shared" si="874"/>
        <v>941720</v>
      </c>
      <c r="J1248" s="16">
        <f>'БА в тыс. руб.'!G1248*1000</f>
        <v>1046349.9999999999</v>
      </c>
      <c r="K1248" s="169">
        <f t="shared" si="859"/>
        <v>0</v>
      </c>
      <c r="L1248" s="16">
        <f>'БА в тыс. руб.'!H1248*1000</f>
        <v>941720</v>
      </c>
      <c r="M1248" s="169">
        <f t="shared" si="860"/>
        <v>0</v>
      </c>
      <c r="N1248" s="16">
        <f>'БА в тыс. руб.'!I1248*1000</f>
        <v>941720</v>
      </c>
      <c r="O1248" s="169">
        <f t="shared" si="861"/>
        <v>0</v>
      </c>
    </row>
    <row r="1249" spans="1:15" s="4" customFormat="1" ht="25.5">
      <c r="A1249" s="12" t="s">
        <v>973</v>
      </c>
      <c r="B1249" s="25" t="s">
        <v>12</v>
      </c>
      <c r="C1249" s="36" t="s">
        <v>8</v>
      </c>
      <c r="D1249" s="36" t="s">
        <v>53</v>
      </c>
      <c r="E1249" s="36" t="s">
        <v>910</v>
      </c>
      <c r="F1249" s="36" t="s">
        <v>1043</v>
      </c>
      <c r="G1249" s="27">
        <f t="shared" ref="G1249" si="875">J1249</f>
        <v>1046349.9999999999</v>
      </c>
      <c r="H1249" s="27">
        <f>L1249</f>
        <v>941720</v>
      </c>
      <c r="I1249" s="27">
        <f>N1249</f>
        <v>941720</v>
      </c>
      <c r="J1249" s="16">
        <f>'БА в тыс. руб.'!G1249*1000</f>
        <v>1046349.9999999999</v>
      </c>
      <c r="K1249" s="169">
        <f t="shared" si="859"/>
        <v>0</v>
      </c>
      <c r="L1249" s="16">
        <f>'БА в тыс. руб.'!H1249*1000</f>
        <v>941720</v>
      </c>
      <c r="M1249" s="169">
        <f t="shared" si="860"/>
        <v>0</v>
      </c>
      <c r="N1249" s="16">
        <f>'БА в тыс. руб.'!I1249*1000</f>
        <v>941720</v>
      </c>
      <c r="O1249" s="169">
        <f t="shared" si="861"/>
        <v>0</v>
      </c>
    </row>
    <row r="1250" spans="1:15" s="3" customFormat="1" ht="51">
      <c r="A1250" s="12" t="s">
        <v>891</v>
      </c>
      <c r="B1250" s="35" t="s">
        <v>12</v>
      </c>
      <c r="C1250" s="36" t="s">
        <v>8</v>
      </c>
      <c r="D1250" s="36" t="s">
        <v>53</v>
      </c>
      <c r="E1250" s="26" t="s">
        <v>911</v>
      </c>
      <c r="F1250" s="36" t="s">
        <v>58</v>
      </c>
      <c r="G1250" s="37">
        <f>G1251</f>
        <v>6996870</v>
      </c>
      <c r="H1250" s="37">
        <f>H1251</f>
        <v>6996870</v>
      </c>
      <c r="I1250" s="37">
        <f>I1251</f>
        <v>6996870</v>
      </c>
      <c r="J1250" s="16">
        <f>'БА в тыс. руб.'!G1250*1000</f>
        <v>6996870</v>
      </c>
      <c r="K1250" s="169">
        <f t="shared" si="859"/>
        <v>0</v>
      </c>
      <c r="L1250" s="16">
        <f>'БА в тыс. руб.'!H1250*1000</f>
        <v>6996870</v>
      </c>
      <c r="M1250" s="169">
        <f t="shared" si="860"/>
        <v>0</v>
      </c>
      <c r="N1250" s="16">
        <f>'БА в тыс. руб.'!I1250*1000</f>
        <v>6996870</v>
      </c>
      <c r="O1250" s="169">
        <f t="shared" si="861"/>
        <v>0</v>
      </c>
    </row>
    <row r="1251" spans="1:15" s="3" customFormat="1" ht="25.5">
      <c r="A1251" s="11" t="s">
        <v>108</v>
      </c>
      <c r="B1251" s="25" t="s">
        <v>12</v>
      </c>
      <c r="C1251" s="26" t="s">
        <v>8</v>
      </c>
      <c r="D1251" s="26" t="s">
        <v>53</v>
      </c>
      <c r="E1251" s="26" t="s">
        <v>911</v>
      </c>
      <c r="F1251" s="26" t="s">
        <v>116</v>
      </c>
      <c r="G1251" s="27">
        <f>G1252</f>
        <v>6996870</v>
      </c>
      <c r="H1251" s="27">
        <f t="shared" ref="H1251:I1251" si="876">H1252</f>
        <v>6996870</v>
      </c>
      <c r="I1251" s="27">
        <f t="shared" si="876"/>
        <v>6996870</v>
      </c>
      <c r="J1251" s="16">
        <f>'БА в тыс. руб.'!G1251*1000</f>
        <v>6996870</v>
      </c>
      <c r="K1251" s="169">
        <f t="shared" si="859"/>
        <v>0</v>
      </c>
      <c r="L1251" s="16">
        <f>'БА в тыс. руб.'!H1251*1000</f>
        <v>6996870</v>
      </c>
      <c r="M1251" s="169">
        <f t="shared" si="860"/>
        <v>0</v>
      </c>
      <c r="N1251" s="16">
        <f>'БА в тыс. руб.'!I1251*1000</f>
        <v>6996870</v>
      </c>
      <c r="O1251" s="169">
        <f t="shared" si="861"/>
        <v>0</v>
      </c>
    </row>
    <row r="1252" spans="1:15" s="94" customFormat="1" ht="25.5">
      <c r="A1252" s="12" t="s">
        <v>973</v>
      </c>
      <c r="B1252" s="25" t="s">
        <v>12</v>
      </c>
      <c r="C1252" s="26" t="s">
        <v>8</v>
      </c>
      <c r="D1252" s="26" t="s">
        <v>53</v>
      </c>
      <c r="E1252" s="26" t="s">
        <v>911</v>
      </c>
      <c r="F1252" s="26" t="s">
        <v>1043</v>
      </c>
      <c r="G1252" s="27">
        <f t="shared" ref="G1252" si="877">J1252</f>
        <v>6996870</v>
      </c>
      <c r="H1252" s="27">
        <f>L1252</f>
        <v>6996870</v>
      </c>
      <c r="I1252" s="27">
        <f>N1252</f>
        <v>6996870</v>
      </c>
      <c r="J1252" s="16">
        <f>'БА в тыс. руб.'!G1252*1000</f>
        <v>6996870</v>
      </c>
      <c r="K1252" s="169">
        <f t="shared" si="859"/>
        <v>0</v>
      </c>
      <c r="L1252" s="16">
        <f>'БА в тыс. руб.'!H1252*1000</f>
        <v>6996870</v>
      </c>
      <c r="M1252" s="169">
        <f t="shared" si="860"/>
        <v>0</v>
      </c>
      <c r="N1252" s="16">
        <f>'БА в тыс. руб.'!I1252*1000</f>
        <v>6996870</v>
      </c>
      <c r="O1252" s="169">
        <f t="shared" si="861"/>
        <v>0</v>
      </c>
    </row>
    <row r="1253" spans="1:15" s="3" customFormat="1">
      <c r="A1253" s="17" t="s">
        <v>499</v>
      </c>
      <c r="B1253" s="18" t="s">
        <v>12</v>
      </c>
      <c r="C1253" s="19" t="s">
        <v>50</v>
      </c>
      <c r="D1253" s="19" t="s">
        <v>51</v>
      </c>
      <c r="E1253" s="19" t="s">
        <v>196</v>
      </c>
      <c r="F1253" s="19" t="s">
        <v>58</v>
      </c>
      <c r="G1253" s="20">
        <f t="shared" ref="G1253:I1256" si="878">G1254</f>
        <v>1536000</v>
      </c>
      <c r="H1253" s="20">
        <f t="shared" si="878"/>
        <v>1480000</v>
      </c>
      <c r="I1253" s="20">
        <f t="shared" si="878"/>
        <v>1480000</v>
      </c>
      <c r="J1253" s="16">
        <f>'БА в тыс. руб.'!G1253*1000</f>
        <v>1536000</v>
      </c>
      <c r="K1253" s="169">
        <f t="shared" si="859"/>
        <v>0</v>
      </c>
      <c r="L1253" s="16">
        <f>'БА в тыс. руб.'!H1253*1000</f>
        <v>1480000</v>
      </c>
      <c r="M1253" s="169">
        <f t="shared" si="860"/>
        <v>0</v>
      </c>
      <c r="N1253" s="16">
        <f>'БА в тыс. руб.'!I1253*1000</f>
        <v>1480000</v>
      </c>
      <c r="O1253" s="169">
        <f t="shared" si="861"/>
        <v>0</v>
      </c>
    </row>
    <row r="1254" spans="1:15" s="3" customFormat="1">
      <c r="A1254" s="21" t="s">
        <v>27</v>
      </c>
      <c r="B1254" s="22" t="s">
        <v>12</v>
      </c>
      <c r="C1254" s="23" t="s">
        <v>50</v>
      </c>
      <c r="D1254" s="23" t="s">
        <v>65</v>
      </c>
      <c r="E1254" s="23" t="s">
        <v>196</v>
      </c>
      <c r="F1254" s="23" t="s">
        <v>58</v>
      </c>
      <c r="G1254" s="24">
        <f t="shared" si="878"/>
        <v>1536000</v>
      </c>
      <c r="H1254" s="24">
        <f t="shared" si="878"/>
        <v>1480000</v>
      </c>
      <c r="I1254" s="24">
        <f t="shared" si="878"/>
        <v>1480000</v>
      </c>
      <c r="J1254" s="16">
        <f>'БА в тыс. руб.'!G1254*1000</f>
        <v>1536000</v>
      </c>
      <c r="K1254" s="169">
        <f t="shared" si="859"/>
        <v>0</v>
      </c>
      <c r="L1254" s="16">
        <f>'БА в тыс. руб.'!H1254*1000</f>
        <v>1480000</v>
      </c>
      <c r="M1254" s="169">
        <f t="shared" si="860"/>
        <v>0</v>
      </c>
      <c r="N1254" s="16">
        <f>'БА в тыс. руб.'!I1254*1000</f>
        <v>1480000</v>
      </c>
      <c r="O1254" s="169">
        <f t="shared" si="861"/>
        <v>0</v>
      </c>
    </row>
    <row r="1255" spans="1:15" s="3" customFormat="1">
      <c r="A1255" s="11" t="s">
        <v>739</v>
      </c>
      <c r="B1255" s="25" t="s">
        <v>12</v>
      </c>
      <c r="C1255" s="26" t="s">
        <v>50</v>
      </c>
      <c r="D1255" s="26" t="s">
        <v>65</v>
      </c>
      <c r="E1255" s="26" t="s">
        <v>277</v>
      </c>
      <c r="F1255" s="26" t="s">
        <v>58</v>
      </c>
      <c r="G1255" s="27">
        <f t="shared" si="878"/>
        <v>1536000</v>
      </c>
      <c r="H1255" s="27">
        <f t="shared" si="878"/>
        <v>1480000</v>
      </c>
      <c r="I1255" s="27">
        <f t="shared" si="878"/>
        <v>1480000</v>
      </c>
      <c r="J1255" s="16">
        <f>'БА в тыс. руб.'!G1255*1000</f>
        <v>1536000</v>
      </c>
      <c r="K1255" s="169">
        <f t="shared" si="859"/>
        <v>0</v>
      </c>
      <c r="L1255" s="16">
        <f>'БА в тыс. руб.'!H1255*1000</f>
        <v>1480000</v>
      </c>
      <c r="M1255" s="169">
        <f t="shared" si="860"/>
        <v>0</v>
      </c>
      <c r="N1255" s="16">
        <f>'БА в тыс. руб.'!I1255*1000</f>
        <v>1480000</v>
      </c>
      <c r="O1255" s="169">
        <f t="shared" si="861"/>
        <v>0</v>
      </c>
    </row>
    <row r="1256" spans="1:15" s="3" customFormat="1" ht="51">
      <c r="A1256" s="12" t="s">
        <v>194</v>
      </c>
      <c r="B1256" s="25" t="s">
        <v>12</v>
      </c>
      <c r="C1256" s="26" t="s">
        <v>50</v>
      </c>
      <c r="D1256" s="26" t="s">
        <v>65</v>
      </c>
      <c r="E1256" s="26" t="s">
        <v>278</v>
      </c>
      <c r="F1256" s="26" t="s">
        <v>58</v>
      </c>
      <c r="G1256" s="27">
        <f t="shared" si="878"/>
        <v>1536000</v>
      </c>
      <c r="H1256" s="27">
        <f t="shared" si="878"/>
        <v>1480000</v>
      </c>
      <c r="I1256" s="27">
        <f t="shared" si="878"/>
        <v>1480000</v>
      </c>
      <c r="J1256" s="16">
        <f>'БА в тыс. руб.'!G1256*1000</f>
        <v>1536000</v>
      </c>
      <c r="K1256" s="169">
        <f t="shared" si="859"/>
        <v>0</v>
      </c>
      <c r="L1256" s="16">
        <f>'БА в тыс. руб.'!H1256*1000</f>
        <v>1480000</v>
      </c>
      <c r="M1256" s="169">
        <f t="shared" si="860"/>
        <v>0</v>
      </c>
      <c r="N1256" s="16">
        <f>'БА в тыс. руб.'!I1256*1000</f>
        <v>1480000</v>
      </c>
      <c r="O1256" s="169">
        <f t="shared" si="861"/>
        <v>0</v>
      </c>
    </row>
    <row r="1257" spans="1:15" s="3" customFormat="1" ht="63.75">
      <c r="A1257" s="40" t="s">
        <v>605</v>
      </c>
      <c r="B1257" s="35" t="s">
        <v>12</v>
      </c>
      <c r="C1257" s="36" t="s">
        <v>50</v>
      </c>
      <c r="D1257" s="36" t="s">
        <v>65</v>
      </c>
      <c r="E1257" s="36" t="s">
        <v>279</v>
      </c>
      <c r="F1257" s="36" t="s">
        <v>58</v>
      </c>
      <c r="G1257" s="37">
        <f>G1258+G1261</f>
        <v>1536000</v>
      </c>
      <c r="H1257" s="37">
        <f>H1258+H1261</f>
        <v>1480000</v>
      </c>
      <c r="I1257" s="37">
        <f>I1258+I1261</f>
        <v>1480000</v>
      </c>
      <c r="J1257" s="16">
        <f>'БА в тыс. руб.'!G1257*1000</f>
        <v>1536000</v>
      </c>
      <c r="K1257" s="169">
        <f t="shared" si="859"/>
        <v>0</v>
      </c>
      <c r="L1257" s="16">
        <f>'БА в тыс. руб.'!H1257*1000</f>
        <v>1480000</v>
      </c>
      <c r="M1257" s="169">
        <f t="shared" si="860"/>
        <v>0</v>
      </c>
      <c r="N1257" s="16">
        <f>'БА в тыс. руб.'!I1257*1000</f>
        <v>1480000</v>
      </c>
      <c r="O1257" s="169">
        <f t="shared" si="861"/>
        <v>0</v>
      </c>
    </row>
    <row r="1258" spans="1:15" s="3" customFormat="1" ht="25.5">
      <c r="A1258" s="11" t="s">
        <v>161</v>
      </c>
      <c r="B1258" s="25" t="s">
        <v>12</v>
      </c>
      <c r="C1258" s="26" t="s">
        <v>50</v>
      </c>
      <c r="D1258" s="26" t="s">
        <v>65</v>
      </c>
      <c r="E1258" s="26" t="s">
        <v>320</v>
      </c>
      <c r="F1258" s="26" t="s">
        <v>58</v>
      </c>
      <c r="G1258" s="27">
        <f>G1259</f>
        <v>975000</v>
      </c>
      <c r="H1258" s="27">
        <f>H1259</f>
        <v>919000</v>
      </c>
      <c r="I1258" s="27">
        <f>I1259</f>
        <v>919000</v>
      </c>
      <c r="J1258" s="16">
        <f>'БА в тыс. руб.'!G1258*1000</f>
        <v>975000</v>
      </c>
      <c r="K1258" s="169">
        <f t="shared" si="859"/>
        <v>0</v>
      </c>
      <c r="L1258" s="16">
        <f>'БА в тыс. руб.'!H1258*1000</f>
        <v>919000</v>
      </c>
      <c r="M1258" s="169">
        <f t="shared" si="860"/>
        <v>0</v>
      </c>
      <c r="N1258" s="16">
        <f>'БА в тыс. руб.'!I1258*1000</f>
        <v>919000</v>
      </c>
      <c r="O1258" s="169">
        <f t="shared" si="861"/>
        <v>0</v>
      </c>
    </row>
    <row r="1259" spans="1:15" s="3" customFormat="1" ht="25.5">
      <c r="A1259" s="11" t="s">
        <v>108</v>
      </c>
      <c r="B1259" s="25" t="s">
        <v>12</v>
      </c>
      <c r="C1259" s="26" t="s">
        <v>50</v>
      </c>
      <c r="D1259" s="26" t="s">
        <v>65</v>
      </c>
      <c r="E1259" s="26" t="s">
        <v>320</v>
      </c>
      <c r="F1259" s="26" t="s">
        <v>116</v>
      </c>
      <c r="G1259" s="27">
        <f>G1260</f>
        <v>975000</v>
      </c>
      <c r="H1259" s="27">
        <f t="shared" ref="H1259:I1259" si="879">H1260</f>
        <v>919000</v>
      </c>
      <c r="I1259" s="27">
        <f t="shared" si="879"/>
        <v>919000</v>
      </c>
      <c r="J1259" s="16">
        <f>'БА в тыс. руб.'!G1259*1000</f>
        <v>975000</v>
      </c>
      <c r="K1259" s="169">
        <f t="shared" si="859"/>
        <v>0</v>
      </c>
      <c r="L1259" s="16">
        <f>'БА в тыс. руб.'!H1259*1000</f>
        <v>919000</v>
      </c>
      <c r="M1259" s="169">
        <f t="shared" si="860"/>
        <v>0</v>
      </c>
      <c r="N1259" s="16">
        <f>'БА в тыс. руб.'!I1259*1000</f>
        <v>919000</v>
      </c>
      <c r="O1259" s="169">
        <f t="shared" si="861"/>
        <v>0</v>
      </c>
    </row>
    <row r="1260" spans="1:15" s="4" customFormat="1" ht="25.5">
      <c r="A1260" s="12" t="s">
        <v>973</v>
      </c>
      <c r="B1260" s="25" t="s">
        <v>12</v>
      </c>
      <c r="C1260" s="26" t="s">
        <v>50</v>
      </c>
      <c r="D1260" s="26" t="s">
        <v>65</v>
      </c>
      <c r="E1260" s="26" t="s">
        <v>320</v>
      </c>
      <c r="F1260" s="26" t="s">
        <v>1043</v>
      </c>
      <c r="G1260" s="27">
        <f t="shared" ref="G1260" si="880">J1260</f>
        <v>975000</v>
      </c>
      <c r="H1260" s="27">
        <f>L1260</f>
        <v>919000</v>
      </c>
      <c r="I1260" s="27">
        <f>N1260</f>
        <v>919000</v>
      </c>
      <c r="J1260" s="16">
        <f>'БА в тыс. руб.'!G1260*1000</f>
        <v>975000</v>
      </c>
      <c r="K1260" s="169">
        <f t="shared" si="859"/>
        <v>0</v>
      </c>
      <c r="L1260" s="16">
        <f>'БА в тыс. руб.'!H1260*1000</f>
        <v>919000</v>
      </c>
      <c r="M1260" s="169">
        <f t="shared" si="860"/>
        <v>0</v>
      </c>
      <c r="N1260" s="16">
        <f>'БА в тыс. руб.'!I1260*1000</f>
        <v>919000</v>
      </c>
      <c r="O1260" s="169">
        <f t="shared" si="861"/>
        <v>0</v>
      </c>
    </row>
    <row r="1261" spans="1:15" s="3" customFormat="1" ht="25.5">
      <c r="A1261" s="12" t="s">
        <v>892</v>
      </c>
      <c r="B1261" s="25" t="s">
        <v>12</v>
      </c>
      <c r="C1261" s="26" t="s">
        <v>50</v>
      </c>
      <c r="D1261" s="26" t="s">
        <v>65</v>
      </c>
      <c r="E1261" s="26" t="s">
        <v>500</v>
      </c>
      <c r="F1261" s="26" t="s">
        <v>58</v>
      </c>
      <c r="G1261" s="27">
        <f>G1262</f>
        <v>561000</v>
      </c>
      <c r="H1261" s="27">
        <f>H1262</f>
        <v>561000</v>
      </c>
      <c r="I1261" s="27">
        <f>I1262</f>
        <v>561000</v>
      </c>
      <c r="J1261" s="16">
        <f>'БА в тыс. руб.'!G1261*1000</f>
        <v>561000</v>
      </c>
      <c r="K1261" s="169">
        <f t="shared" si="859"/>
        <v>0</v>
      </c>
      <c r="L1261" s="16">
        <f>'БА в тыс. руб.'!H1261*1000</f>
        <v>561000</v>
      </c>
      <c r="M1261" s="169">
        <f t="shared" si="860"/>
        <v>0</v>
      </c>
      <c r="N1261" s="16">
        <f>'БА в тыс. руб.'!I1261*1000</f>
        <v>561000</v>
      </c>
      <c r="O1261" s="169">
        <f t="shared" si="861"/>
        <v>0</v>
      </c>
    </row>
    <row r="1262" spans="1:15" s="3" customFormat="1" ht="25.5">
      <c r="A1262" s="11" t="s">
        <v>108</v>
      </c>
      <c r="B1262" s="25" t="s">
        <v>12</v>
      </c>
      <c r="C1262" s="26" t="s">
        <v>50</v>
      </c>
      <c r="D1262" s="26" t="s">
        <v>65</v>
      </c>
      <c r="E1262" s="26" t="s">
        <v>500</v>
      </c>
      <c r="F1262" s="26" t="s">
        <v>116</v>
      </c>
      <c r="G1262" s="27">
        <f>G1263</f>
        <v>561000</v>
      </c>
      <c r="H1262" s="27">
        <f t="shared" ref="H1262:I1262" si="881">H1263</f>
        <v>561000</v>
      </c>
      <c r="I1262" s="27">
        <f t="shared" si="881"/>
        <v>561000</v>
      </c>
      <c r="J1262" s="16">
        <f>'БА в тыс. руб.'!G1262*1000</f>
        <v>561000</v>
      </c>
      <c r="K1262" s="169">
        <f t="shared" si="859"/>
        <v>0</v>
      </c>
      <c r="L1262" s="16">
        <f>'БА в тыс. руб.'!H1262*1000</f>
        <v>561000</v>
      </c>
      <c r="M1262" s="169">
        <f t="shared" si="860"/>
        <v>0</v>
      </c>
      <c r="N1262" s="16">
        <f>'БА в тыс. руб.'!I1262*1000</f>
        <v>561000</v>
      </c>
      <c r="O1262" s="169">
        <f t="shared" si="861"/>
        <v>0</v>
      </c>
    </row>
    <row r="1263" spans="1:15" s="4" customFormat="1" ht="25.5">
      <c r="A1263" s="12" t="s">
        <v>973</v>
      </c>
      <c r="B1263" s="25" t="s">
        <v>12</v>
      </c>
      <c r="C1263" s="26" t="s">
        <v>50</v>
      </c>
      <c r="D1263" s="26" t="s">
        <v>65</v>
      </c>
      <c r="E1263" s="26" t="s">
        <v>500</v>
      </c>
      <c r="F1263" s="26" t="s">
        <v>1043</v>
      </c>
      <c r="G1263" s="27">
        <f t="shared" ref="G1263:G1264" si="882">J1263</f>
        <v>561000</v>
      </c>
      <c r="H1263" s="27">
        <f t="shared" ref="H1263:H1264" si="883">L1263</f>
        <v>561000</v>
      </c>
      <c r="I1263" s="27">
        <f t="shared" ref="I1263:I1264" si="884">N1263</f>
        <v>561000</v>
      </c>
      <c r="J1263" s="16">
        <f>'БА в тыс. руб.'!G1263*1000</f>
        <v>561000</v>
      </c>
      <c r="K1263" s="169">
        <f t="shared" si="859"/>
        <v>0</v>
      </c>
      <c r="L1263" s="16">
        <f>'БА в тыс. руб.'!H1263*1000</f>
        <v>561000</v>
      </c>
      <c r="M1263" s="169">
        <f t="shared" si="860"/>
        <v>0</v>
      </c>
      <c r="N1263" s="16">
        <f>'БА в тыс. руб.'!I1263*1000</f>
        <v>561000</v>
      </c>
      <c r="O1263" s="169">
        <f t="shared" si="861"/>
        <v>0</v>
      </c>
    </row>
    <row r="1264" spans="1:15" s="3" customFormat="1">
      <c r="A1264" s="11"/>
      <c r="B1264" s="25"/>
      <c r="C1264" s="26"/>
      <c r="D1264" s="26"/>
      <c r="E1264" s="26"/>
      <c r="F1264" s="26"/>
      <c r="G1264" s="27">
        <f t="shared" si="882"/>
        <v>0</v>
      </c>
      <c r="H1264" s="27">
        <f t="shared" si="883"/>
        <v>0</v>
      </c>
      <c r="I1264" s="27">
        <f t="shared" si="884"/>
        <v>0</v>
      </c>
      <c r="J1264" s="16">
        <f>'БА в тыс. руб.'!G1264*1000</f>
        <v>0</v>
      </c>
      <c r="K1264" s="169">
        <f t="shared" si="859"/>
        <v>0</v>
      </c>
      <c r="L1264" s="16">
        <f>'БА в тыс. руб.'!H1264*1000</f>
        <v>0</v>
      </c>
      <c r="M1264" s="169">
        <f t="shared" si="860"/>
        <v>0</v>
      </c>
      <c r="N1264" s="16">
        <f>'БА в тыс. руб.'!I1264*1000</f>
        <v>0</v>
      </c>
      <c r="O1264" s="169">
        <f t="shared" si="861"/>
        <v>0</v>
      </c>
    </row>
    <row r="1265" spans="1:15" s="3" customFormat="1">
      <c r="A1265" s="9" t="s">
        <v>17</v>
      </c>
      <c r="B1265" s="14" t="s">
        <v>18</v>
      </c>
      <c r="C1265" s="15" t="s">
        <v>51</v>
      </c>
      <c r="D1265" s="15" t="s">
        <v>51</v>
      </c>
      <c r="E1265" s="143" t="s">
        <v>196</v>
      </c>
      <c r="F1265" s="15" t="s">
        <v>58</v>
      </c>
      <c r="G1265" s="29">
        <f>G1266+G1303+G1317+G1336</f>
        <v>167614750</v>
      </c>
      <c r="H1265" s="29">
        <f>H1266+H1303+H1317+H1336</f>
        <v>156136920</v>
      </c>
      <c r="I1265" s="29">
        <f>I1266+I1303+I1317+I1336</f>
        <v>156136920</v>
      </c>
      <c r="J1265" s="16">
        <f>'БА в тыс. руб.'!G1265*1000</f>
        <v>167614750.00000003</v>
      </c>
      <c r="K1265" s="169">
        <f t="shared" si="859"/>
        <v>0</v>
      </c>
      <c r="L1265" s="16">
        <f>'БА в тыс. руб.'!H1265*1000</f>
        <v>156136919.99999997</v>
      </c>
      <c r="M1265" s="169">
        <f t="shared" si="860"/>
        <v>0</v>
      </c>
      <c r="N1265" s="16">
        <f>'БА в тыс. руб.'!I1265*1000</f>
        <v>156136919.99999997</v>
      </c>
      <c r="O1265" s="169">
        <f t="shared" si="861"/>
        <v>0</v>
      </c>
    </row>
    <row r="1266" spans="1:15" s="3" customFormat="1">
      <c r="A1266" s="139" t="s">
        <v>64</v>
      </c>
      <c r="B1266" s="18" t="s">
        <v>18</v>
      </c>
      <c r="C1266" s="19" t="s">
        <v>65</v>
      </c>
      <c r="D1266" s="19" t="s">
        <v>51</v>
      </c>
      <c r="E1266" s="19" t="s">
        <v>196</v>
      </c>
      <c r="F1266" s="19" t="s">
        <v>58</v>
      </c>
      <c r="G1266" s="20">
        <f>G1267+G1293</f>
        <v>41675890</v>
      </c>
      <c r="H1266" s="20">
        <f>H1267+H1293</f>
        <v>41705760</v>
      </c>
      <c r="I1266" s="20">
        <f>I1267+I1293</f>
        <v>41705760</v>
      </c>
      <c r="J1266" s="16">
        <f>'БА в тыс. руб.'!G1266*1000</f>
        <v>41675890</v>
      </c>
      <c r="K1266" s="169">
        <f t="shared" si="859"/>
        <v>0</v>
      </c>
      <c r="L1266" s="16">
        <f>'БА в тыс. руб.'!H1266*1000</f>
        <v>41705760</v>
      </c>
      <c r="M1266" s="169">
        <f t="shared" si="860"/>
        <v>0</v>
      </c>
      <c r="N1266" s="16">
        <f>'БА в тыс. руб.'!I1266*1000</f>
        <v>41705760</v>
      </c>
      <c r="O1266" s="169">
        <f t="shared" si="861"/>
        <v>0</v>
      </c>
    </row>
    <row r="1267" spans="1:15" s="3" customFormat="1" ht="39">
      <c r="A1267" s="144" t="s">
        <v>31</v>
      </c>
      <c r="B1267" s="22" t="s">
        <v>18</v>
      </c>
      <c r="C1267" s="23" t="s">
        <v>65</v>
      </c>
      <c r="D1267" s="23" t="s">
        <v>37</v>
      </c>
      <c r="E1267" s="23" t="s">
        <v>196</v>
      </c>
      <c r="F1267" s="23" t="s">
        <v>58</v>
      </c>
      <c r="G1267" s="24">
        <f t="shared" ref="G1267:I1268" si="885">G1268</f>
        <v>41120820</v>
      </c>
      <c r="H1267" s="24">
        <f t="shared" si="885"/>
        <v>41146860</v>
      </c>
      <c r="I1267" s="24">
        <f t="shared" si="885"/>
        <v>41146860</v>
      </c>
      <c r="J1267" s="16">
        <f>'БА в тыс. руб.'!G1267*1000</f>
        <v>41120820</v>
      </c>
      <c r="K1267" s="169">
        <f t="shared" si="859"/>
        <v>0</v>
      </c>
      <c r="L1267" s="16">
        <f>'БА в тыс. руб.'!H1267*1000</f>
        <v>41146860</v>
      </c>
      <c r="M1267" s="169">
        <f t="shared" si="860"/>
        <v>0</v>
      </c>
      <c r="N1267" s="16">
        <f>'БА в тыс. руб.'!I1267*1000</f>
        <v>41146860</v>
      </c>
      <c r="O1267" s="169">
        <f t="shared" si="861"/>
        <v>0</v>
      </c>
    </row>
    <row r="1268" spans="1:15" s="3" customFormat="1" ht="25.5">
      <c r="A1268" s="11" t="s">
        <v>151</v>
      </c>
      <c r="B1268" s="26" t="s">
        <v>18</v>
      </c>
      <c r="C1268" s="26" t="s">
        <v>65</v>
      </c>
      <c r="D1268" s="26" t="s">
        <v>37</v>
      </c>
      <c r="E1268" s="26" t="s">
        <v>553</v>
      </c>
      <c r="F1268" s="26" t="s">
        <v>58</v>
      </c>
      <c r="G1268" s="27">
        <f t="shared" si="885"/>
        <v>41120820</v>
      </c>
      <c r="H1268" s="27">
        <f t="shared" si="885"/>
        <v>41146860</v>
      </c>
      <c r="I1268" s="27">
        <f t="shared" si="885"/>
        <v>41146860</v>
      </c>
      <c r="J1268" s="16">
        <f>'БА в тыс. руб.'!G1268*1000</f>
        <v>41120820</v>
      </c>
      <c r="K1268" s="169">
        <f t="shared" si="859"/>
        <v>0</v>
      </c>
      <c r="L1268" s="16">
        <f>'БА в тыс. руб.'!H1268*1000</f>
        <v>41146860</v>
      </c>
      <c r="M1268" s="169">
        <f t="shared" si="860"/>
        <v>0</v>
      </c>
      <c r="N1268" s="16">
        <f>'БА в тыс. руб.'!I1268*1000</f>
        <v>41146860</v>
      </c>
      <c r="O1268" s="169">
        <f t="shared" si="861"/>
        <v>0</v>
      </c>
    </row>
    <row r="1269" spans="1:15" s="3" customFormat="1" ht="25.5">
      <c r="A1269" s="11" t="s">
        <v>152</v>
      </c>
      <c r="B1269" s="26" t="s">
        <v>18</v>
      </c>
      <c r="C1269" s="26" t="s">
        <v>65</v>
      </c>
      <c r="D1269" s="26" t="s">
        <v>37</v>
      </c>
      <c r="E1269" s="26" t="s">
        <v>554</v>
      </c>
      <c r="F1269" s="26" t="s">
        <v>58</v>
      </c>
      <c r="G1269" s="37">
        <f>G1290+G1283+G1279+G1270</f>
        <v>41120820</v>
      </c>
      <c r="H1269" s="37">
        <f>H1290+H1283+H1279+H1270</f>
        <v>41146860</v>
      </c>
      <c r="I1269" s="37">
        <f>I1290+I1283+I1279+I1270</f>
        <v>41146860</v>
      </c>
      <c r="J1269" s="16">
        <f>'БА в тыс. руб.'!G1269*1000</f>
        <v>41120820</v>
      </c>
      <c r="K1269" s="169">
        <f t="shared" si="859"/>
        <v>0</v>
      </c>
      <c r="L1269" s="16">
        <f>'БА в тыс. руб.'!H1269*1000</f>
        <v>41146860</v>
      </c>
      <c r="M1269" s="169">
        <f t="shared" si="860"/>
        <v>0</v>
      </c>
      <c r="N1269" s="16">
        <f>'БА в тыс. руб.'!I1269*1000</f>
        <v>41146860</v>
      </c>
      <c r="O1269" s="169">
        <f t="shared" si="861"/>
        <v>0</v>
      </c>
    </row>
    <row r="1270" spans="1:15" s="3" customFormat="1" ht="25.5">
      <c r="A1270" s="11" t="s">
        <v>114</v>
      </c>
      <c r="B1270" s="26" t="s">
        <v>18</v>
      </c>
      <c r="C1270" s="26" t="s">
        <v>65</v>
      </c>
      <c r="D1270" s="26" t="s">
        <v>37</v>
      </c>
      <c r="E1270" s="26" t="s">
        <v>555</v>
      </c>
      <c r="F1270" s="26" t="s">
        <v>58</v>
      </c>
      <c r="G1270" s="37">
        <f>G1271+G1274+G1276</f>
        <v>4553030</v>
      </c>
      <c r="H1270" s="37">
        <f t="shared" ref="H1270:I1270" si="886">H1271+H1274+H1276</f>
        <v>4579070</v>
      </c>
      <c r="I1270" s="37">
        <f t="shared" si="886"/>
        <v>4579070</v>
      </c>
      <c r="J1270" s="16">
        <f>'БА в тыс. руб.'!G1270*1000</f>
        <v>4553030</v>
      </c>
      <c r="K1270" s="169">
        <f t="shared" si="859"/>
        <v>0</v>
      </c>
      <c r="L1270" s="16">
        <f>'БА в тыс. руб.'!H1270*1000</f>
        <v>4579070.0000000009</v>
      </c>
      <c r="M1270" s="169">
        <f t="shared" si="860"/>
        <v>0</v>
      </c>
      <c r="N1270" s="16">
        <f>'БА в тыс. руб.'!I1270*1000</f>
        <v>4579070.0000000009</v>
      </c>
      <c r="O1270" s="169">
        <f t="shared" si="861"/>
        <v>0</v>
      </c>
    </row>
    <row r="1271" spans="1:15" s="145" customFormat="1" ht="25.5">
      <c r="A1271" s="34" t="s">
        <v>107</v>
      </c>
      <c r="B1271" s="36" t="s">
        <v>18</v>
      </c>
      <c r="C1271" s="36" t="s">
        <v>65</v>
      </c>
      <c r="D1271" s="36" t="s">
        <v>37</v>
      </c>
      <c r="E1271" s="26" t="s">
        <v>555</v>
      </c>
      <c r="F1271" s="36" t="s">
        <v>115</v>
      </c>
      <c r="G1271" s="37">
        <f>SUM(G1272:G1273)</f>
        <v>803310</v>
      </c>
      <c r="H1271" s="37">
        <f t="shared" ref="H1271:I1271" si="887">SUM(H1272:H1273)</f>
        <v>803310</v>
      </c>
      <c r="I1271" s="37">
        <f t="shared" si="887"/>
        <v>803310</v>
      </c>
      <c r="J1271" s="16">
        <f>'БА в тыс. руб.'!G1271*1000</f>
        <v>803310.00000000012</v>
      </c>
      <c r="K1271" s="169">
        <f t="shared" si="859"/>
        <v>0</v>
      </c>
      <c r="L1271" s="16">
        <f>'БА в тыс. руб.'!H1271*1000</f>
        <v>803310.00000000012</v>
      </c>
      <c r="M1271" s="169">
        <f t="shared" si="860"/>
        <v>0</v>
      </c>
      <c r="N1271" s="16">
        <f>'БА в тыс. руб.'!I1271*1000</f>
        <v>803310.00000000012</v>
      </c>
      <c r="O1271" s="169">
        <f t="shared" si="861"/>
        <v>0</v>
      </c>
    </row>
    <row r="1272" spans="1:15" s="4" customFormat="1" ht="25.5">
      <c r="A1272" s="12" t="s">
        <v>937</v>
      </c>
      <c r="B1272" s="36" t="s">
        <v>18</v>
      </c>
      <c r="C1272" s="36" t="s">
        <v>65</v>
      </c>
      <c r="D1272" s="36" t="s">
        <v>37</v>
      </c>
      <c r="E1272" s="26" t="s">
        <v>555</v>
      </c>
      <c r="F1272" s="26" t="s">
        <v>1059</v>
      </c>
      <c r="G1272" s="27">
        <f t="shared" ref="G1272:G1273" si="888">J1272</f>
        <v>616980</v>
      </c>
      <c r="H1272" s="27">
        <f t="shared" ref="H1272:H1273" si="889">L1272</f>
        <v>616980</v>
      </c>
      <c r="I1272" s="27">
        <f t="shared" ref="I1272:I1273" si="890">N1272</f>
        <v>616980</v>
      </c>
      <c r="J1272" s="16">
        <f>'БА в тыс. руб.'!G1272*1000</f>
        <v>616980</v>
      </c>
      <c r="K1272" s="169">
        <f t="shared" si="859"/>
        <v>0</v>
      </c>
      <c r="L1272" s="16">
        <f>'БА в тыс. руб.'!H1272*1000</f>
        <v>616980</v>
      </c>
      <c r="M1272" s="169">
        <f t="shared" si="860"/>
        <v>0</v>
      </c>
      <c r="N1272" s="16">
        <f>'БА в тыс. руб.'!I1272*1000</f>
        <v>616980</v>
      </c>
      <c r="O1272" s="169">
        <f t="shared" si="861"/>
        <v>0</v>
      </c>
    </row>
    <row r="1273" spans="1:15" s="4" customFormat="1" ht="38.25">
      <c r="A1273" s="12" t="s">
        <v>939</v>
      </c>
      <c r="B1273" s="36" t="s">
        <v>18</v>
      </c>
      <c r="C1273" s="36" t="s">
        <v>65</v>
      </c>
      <c r="D1273" s="36" t="s">
        <v>37</v>
      </c>
      <c r="E1273" s="26" t="s">
        <v>555</v>
      </c>
      <c r="F1273" s="26" t="s">
        <v>1060</v>
      </c>
      <c r="G1273" s="27">
        <f t="shared" si="888"/>
        <v>186330</v>
      </c>
      <c r="H1273" s="27">
        <f t="shared" si="889"/>
        <v>186330</v>
      </c>
      <c r="I1273" s="27">
        <f t="shared" si="890"/>
        <v>186330</v>
      </c>
      <c r="J1273" s="16">
        <f>'БА в тыс. руб.'!G1273*1000</f>
        <v>186330</v>
      </c>
      <c r="K1273" s="169">
        <f t="shared" si="859"/>
        <v>0</v>
      </c>
      <c r="L1273" s="16">
        <f>'БА в тыс. руб.'!H1273*1000</f>
        <v>186330</v>
      </c>
      <c r="M1273" s="169">
        <f t="shared" si="860"/>
        <v>0</v>
      </c>
      <c r="N1273" s="16">
        <f>'БА в тыс. руб.'!I1273*1000</f>
        <v>186330</v>
      </c>
      <c r="O1273" s="169">
        <f t="shared" si="861"/>
        <v>0</v>
      </c>
    </row>
    <row r="1274" spans="1:15" s="3" customFormat="1" ht="25.5">
      <c r="A1274" s="11" t="s">
        <v>108</v>
      </c>
      <c r="B1274" s="26" t="s">
        <v>18</v>
      </c>
      <c r="C1274" s="26" t="s">
        <v>65</v>
      </c>
      <c r="D1274" s="26" t="s">
        <v>37</v>
      </c>
      <c r="E1274" s="26" t="s">
        <v>555</v>
      </c>
      <c r="F1274" s="26" t="s">
        <v>116</v>
      </c>
      <c r="G1274" s="37">
        <f>G1275</f>
        <v>3469720</v>
      </c>
      <c r="H1274" s="37">
        <f t="shared" ref="H1274:I1274" si="891">H1275</f>
        <v>3495760</v>
      </c>
      <c r="I1274" s="37">
        <f t="shared" si="891"/>
        <v>3495760</v>
      </c>
      <c r="J1274" s="16">
        <f>'БА в тыс. руб.'!G1274*1000</f>
        <v>3469720</v>
      </c>
      <c r="K1274" s="169">
        <f t="shared" si="859"/>
        <v>0</v>
      </c>
      <c r="L1274" s="16">
        <f>'БА в тыс. руб.'!H1274*1000</f>
        <v>3495760</v>
      </c>
      <c r="M1274" s="169">
        <f t="shared" si="860"/>
        <v>0</v>
      </c>
      <c r="N1274" s="16">
        <f>'БА в тыс. руб.'!I1274*1000</f>
        <v>3495760</v>
      </c>
      <c r="O1274" s="169">
        <f t="shared" si="861"/>
        <v>0</v>
      </c>
    </row>
    <row r="1275" spans="1:15" s="4" customFormat="1" ht="25.5">
      <c r="A1275" s="12" t="s">
        <v>973</v>
      </c>
      <c r="B1275" s="26" t="s">
        <v>18</v>
      </c>
      <c r="C1275" s="26" t="s">
        <v>65</v>
      </c>
      <c r="D1275" s="26" t="s">
        <v>37</v>
      </c>
      <c r="E1275" s="26" t="s">
        <v>555</v>
      </c>
      <c r="F1275" s="26" t="s">
        <v>1043</v>
      </c>
      <c r="G1275" s="27">
        <f t="shared" ref="G1275" si="892">J1275</f>
        <v>3469720</v>
      </c>
      <c r="H1275" s="27">
        <f>L1275</f>
        <v>3495760</v>
      </c>
      <c r="I1275" s="27">
        <f>N1275</f>
        <v>3495760</v>
      </c>
      <c r="J1275" s="16">
        <f>'БА в тыс. руб.'!G1275*1000</f>
        <v>3469720</v>
      </c>
      <c r="K1275" s="169">
        <f t="shared" si="859"/>
        <v>0</v>
      </c>
      <c r="L1275" s="16">
        <f>'БА в тыс. руб.'!H1275*1000</f>
        <v>3495760</v>
      </c>
      <c r="M1275" s="169">
        <f t="shared" si="860"/>
        <v>0</v>
      </c>
      <c r="N1275" s="16">
        <f>'БА в тыс. руб.'!I1275*1000</f>
        <v>3495760</v>
      </c>
      <c r="O1275" s="169">
        <f t="shared" si="861"/>
        <v>0</v>
      </c>
    </row>
    <row r="1276" spans="1:15" s="3" customFormat="1">
      <c r="A1276" s="11" t="s">
        <v>97</v>
      </c>
      <c r="B1276" s="36" t="s">
        <v>18</v>
      </c>
      <c r="C1276" s="36" t="s">
        <v>65</v>
      </c>
      <c r="D1276" s="36" t="s">
        <v>37</v>
      </c>
      <c r="E1276" s="26" t="s">
        <v>555</v>
      </c>
      <c r="F1276" s="36" t="s">
        <v>118</v>
      </c>
      <c r="G1276" s="37">
        <f>SUM(G1277:G1278)</f>
        <v>280000</v>
      </c>
      <c r="H1276" s="37">
        <f t="shared" ref="H1276:I1276" si="893">SUM(H1277:H1278)</f>
        <v>280000</v>
      </c>
      <c r="I1276" s="37">
        <f t="shared" si="893"/>
        <v>280000</v>
      </c>
      <c r="J1276" s="16">
        <f>'БА в тыс. руб.'!G1276*1000</f>
        <v>280000</v>
      </c>
      <c r="K1276" s="169">
        <f t="shared" si="859"/>
        <v>0</v>
      </c>
      <c r="L1276" s="16">
        <f>'БА в тыс. руб.'!H1276*1000</f>
        <v>280000</v>
      </c>
      <c r="M1276" s="169">
        <f t="shared" si="860"/>
        <v>0</v>
      </c>
      <c r="N1276" s="16">
        <f>'БА в тыс. руб.'!I1276*1000</f>
        <v>280000</v>
      </c>
      <c r="O1276" s="169">
        <f t="shared" si="861"/>
        <v>0</v>
      </c>
    </row>
    <row r="1277" spans="1:15" s="4" customFormat="1">
      <c r="A1277" s="12" t="s">
        <v>1036</v>
      </c>
      <c r="B1277" s="36" t="s">
        <v>18</v>
      </c>
      <c r="C1277" s="36" t="s">
        <v>65</v>
      </c>
      <c r="D1277" s="36" t="s">
        <v>37</v>
      </c>
      <c r="E1277" s="26" t="s">
        <v>555</v>
      </c>
      <c r="F1277" s="26" t="s">
        <v>1061</v>
      </c>
      <c r="G1277" s="27">
        <f t="shared" ref="G1277:G1278" si="894">J1277</f>
        <v>260000</v>
      </c>
      <c r="H1277" s="27">
        <f t="shared" ref="H1277:H1278" si="895">L1277</f>
        <v>260000</v>
      </c>
      <c r="I1277" s="27">
        <f t="shared" ref="I1277:I1278" si="896">N1277</f>
        <v>260000</v>
      </c>
      <c r="J1277" s="16">
        <f>'БА в тыс. руб.'!G1277*1000</f>
        <v>260000</v>
      </c>
      <c r="K1277" s="169">
        <f t="shared" si="859"/>
        <v>0</v>
      </c>
      <c r="L1277" s="16">
        <f>'БА в тыс. руб.'!H1277*1000</f>
        <v>260000</v>
      </c>
      <c r="M1277" s="169">
        <f t="shared" si="860"/>
        <v>0</v>
      </c>
      <c r="N1277" s="16">
        <f>'БА в тыс. руб.'!I1277*1000</f>
        <v>260000</v>
      </c>
      <c r="O1277" s="169">
        <f t="shared" si="861"/>
        <v>0</v>
      </c>
    </row>
    <row r="1278" spans="1:15" s="4" customFormat="1">
      <c r="A1278" s="12" t="s">
        <v>1037</v>
      </c>
      <c r="B1278" s="36" t="s">
        <v>18</v>
      </c>
      <c r="C1278" s="36" t="s">
        <v>65</v>
      </c>
      <c r="D1278" s="36" t="s">
        <v>37</v>
      </c>
      <c r="E1278" s="26" t="s">
        <v>555</v>
      </c>
      <c r="F1278" s="26" t="s">
        <v>1062</v>
      </c>
      <c r="G1278" s="27">
        <f t="shared" si="894"/>
        <v>20000</v>
      </c>
      <c r="H1278" s="27">
        <f t="shared" si="895"/>
        <v>20000</v>
      </c>
      <c r="I1278" s="27">
        <f t="shared" si="896"/>
        <v>20000</v>
      </c>
      <c r="J1278" s="16">
        <f>'БА в тыс. руб.'!G1278*1000</f>
        <v>20000</v>
      </c>
      <c r="K1278" s="169">
        <f t="shared" si="859"/>
        <v>0</v>
      </c>
      <c r="L1278" s="16">
        <f>'БА в тыс. руб.'!H1278*1000</f>
        <v>20000</v>
      </c>
      <c r="M1278" s="169">
        <f t="shared" si="860"/>
        <v>0</v>
      </c>
      <c r="N1278" s="16">
        <f>'БА в тыс. руб.'!I1278*1000</f>
        <v>20000</v>
      </c>
      <c r="O1278" s="169">
        <f t="shared" si="861"/>
        <v>0</v>
      </c>
    </row>
    <row r="1279" spans="1:15" s="127" customFormat="1" ht="25.5">
      <c r="A1279" s="34" t="s">
        <v>504</v>
      </c>
      <c r="B1279" s="36" t="s">
        <v>18</v>
      </c>
      <c r="C1279" s="36" t="s">
        <v>65</v>
      </c>
      <c r="D1279" s="36" t="s">
        <v>37</v>
      </c>
      <c r="E1279" s="36" t="s">
        <v>556</v>
      </c>
      <c r="F1279" s="36" t="s">
        <v>58</v>
      </c>
      <c r="G1279" s="37">
        <f>G1280</f>
        <v>34981070</v>
      </c>
      <c r="H1279" s="37">
        <f>H1280</f>
        <v>34981070</v>
      </c>
      <c r="I1279" s="37">
        <f>I1280</f>
        <v>34981070</v>
      </c>
      <c r="J1279" s="16">
        <f>'БА в тыс. руб.'!G1279*1000</f>
        <v>34981070</v>
      </c>
      <c r="K1279" s="169">
        <f t="shared" si="859"/>
        <v>0</v>
      </c>
      <c r="L1279" s="16">
        <f>'БА в тыс. руб.'!H1279*1000</f>
        <v>34981070</v>
      </c>
      <c r="M1279" s="169">
        <f t="shared" si="860"/>
        <v>0</v>
      </c>
      <c r="N1279" s="16">
        <f>'БА в тыс. руб.'!I1279*1000</f>
        <v>34981070</v>
      </c>
      <c r="O1279" s="169">
        <f t="shared" si="861"/>
        <v>0</v>
      </c>
    </row>
    <row r="1280" spans="1:15" s="145" customFormat="1" ht="25.5">
      <c r="A1280" s="34" t="s">
        <v>107</v>
      </c>
      <c r="B1280" s="36" t="s">
        <v>18</v>
      </c>
      <c r="C1280" s="36" t="s">
        <v>65</v>
      </c>
      <c r="D1280" s="36" t="s">
        <v>37</v>
      </c>
      <c r="E1280" s="36" t="s">
        <v>556</v>
      </c>
      <c r="F1280" s="36" t="s">
        <v>115</v>
      </c>
      <c r="G1280" s="37">
        <f>SUM(G1281:G1282)</f>
        <v>34981070</v>
      </c>
      <c r="H1280" s="37">
        <f t="shared" ref="H1280:I1280" si="897">SUM(H1281:H1282)</f>
        <v>34981070</v>
      </c>
      <c r="I1280" s="37">
        <f t="shared" si="897"/>
        <v>34981070</v>
      </c>
      <c r="J1280" s="16">
        <f>'БА в тыс. руб.'!G1280*1000</f>
        <v>34981070</v>
      </c>
      <c r="K1280" s="169">
        <f t="shared" si="859"/>
        <v>0</v>
      </c>
      <c r="L1280" s="16">
        <f>'БА в тыс. руб.'!H1280*1000</f>
        <v>34981070</v>
      </c>
      <c r="M1280" s="169">
        <f t="shared" si="860"/>
        <v>0</v>
      </c>
      <c r="N1280" s="16">
        <f>'БА в тыс. руб.'!I1280*1000</f>
        <v>34981070</v>
      </c>
      <c r="O1280" s="169">
        <f t="shared" si="861"/>
        <v>0</v>
      </c>
    </row>
    <row r="1281" spans="1:15" s="4" customFormat="1">
      <c r="A1281" s="12" t="s">
        <v>936</v>
      </c>
      <c r="B1281" s="36" t="s">
        <v>18</v>
      </c>
      <c r="C1281" s="36" t="s">
        <v>65</v>
      </c>
      <c r="D1281" s="36" t="s">
        <v>37</v>
      </c>
      <c r="E1281" s="36" t="s">
        <v>556</v>
      </c>
      <c r="F1281" s="26" t="s">
        <v>1063</v>
      </c>
      <c r="G1281" s="27">
        <f t="shared" ref="G1281:G1282" si="898">J1281</f>
        <v>26867180</v>
      </c>
      <c r="H1281" s="27">
        <f t="shared" ref="H1281:H1282" si="899">L1281</f>
        <v>26867180</v>
      </c>
      <c r="I1281" s="27">
        <f t="shared" ref="I1281:I1282" si="900">N1281</f>
        <v>26867180</v>
      </c>
      <c r="J1281" s="16">
        <f>'БА в тыс. руб.'!G1281*1000</f>
        <v>26867180</v>
      </c>
      <c r="K1281" s="169">
        <f t="shared" si="859"/>
        <v>0</v>
      </c>
      <c r="L1281" s="16">
        <f>'БА в тыс. руб.'!H1281*1000</f>
        <v>26867180</v>
      </c>
      <c r="M1281" s="169">
        <f t="shared" si="860"/>
        <v>0</v>
      </c>
      <c r="N1281" s="16">
        <f>'БА в тыс. руб.'!I1281*1000</f>
        <v>26867180</v>
      </c>
      <c r="O1281" s="169">
        <f t="shared" si="861"/>
        <v>0</v>
      </c>
    </row>
    <row r="1282" spans="1:15" s="4" customFormat="1" ht="38.25">
      <c r="A1282" s="12" t="s">
        <v>939</v>
      </c>
      <c r="B1282" s="36" t="s">
        <v>18</v>
      </c>
      <c r="C1282" s="36" t="s">
        <v>65</v>
      </c>
      <c r="D1282" s="36" t="s">
        <v>37</v>
      </c>
      <c r="E1282" s="36" t="s">
        <v>556</v>
      </c>
      <c r="F1282" s="26" t="s">
        <v>1060</v>
      </c>
      <c r="G1282" s="27">
        <f t="shared" si="898"/>
        <v>8113890</v>
      </c>
      <c r="H1282" s="27">
        <f t="shared" si="899"/>
        <v>8113890</v>
      </c>
      <c r="I1282" s="27">
        <f t="shared" si="900"/>
        <v>8113890</v>
      </c>
      <c r="J1282" s="16">
        <f>'БА в тыс. руб.'!G1282*1000</f>
        <v>8113890</v>
      </c>
      <c r="K1282" s="169">
        <f t="shared" si="859"/>
        <v>0</v>
      </c>
      <c r="L1282" s="16">
        <f>'БА в тыс. руб.'!H1282*1000</f>
        <v>8113890</v>
      </c>
      <c r="M1282" s="169">
        <f t="shared" si="860"/>
        <v>0</v>
      </c>
      <c r="N1282" s="16">
        <f>'БА в тыс. руб.'!I1282*1000</f>
        <v>8113890</v>
      </c>
      <c r="O1282" s="169">
        <f t="shared" si="861"/>
        <v>0</v>
      </c>
    </row>
    <row r="1283" spans="1:15" s="127" customFormat="1" ht="51">
      <c r="A1283" s="126" t="s">
        <v>598</v>
      </c>
      <c r="B1283" s="36" t="s">
        <v>18</v>
      </c>
      <c r="C1283" s="36" t="s">
        <v>65</v>
      </c>
      <c r="D1283" s="36" t="s">
        <v>37</v>
      </c>
      <c r="E1283" s="36" t="s">
        <v>557</v>
      </c>
      <c r="F1283" s="36" t="s">
        <v>58</v>
      </c>
      <c r="G1283" s="37">
        <f>G1284+G1288</f>
        <v>1534980</v>
      </c>
      <c r="H1283" s="37">
        <f>H1284+H1288</f>
        <v>1534980</v>
      </c>
      <c r="I1283" s="37">
        <f>I1284+I1288</f>
        <v>1534980</v>
      </c>
      <c r="J1283" s="16">
        <f>'БА в тыс. руб.'!G1283*1000</f>
        <v>1534980</v>
      </c>
      <c r="K1283" s="169">
        <f t="shared" si="859"/>
        <v>0</v>
      </c>
      <c r="L1283" s="16">
        <f>'БА в тыс. руб.'!H1283*1000</f>
        <v>1534980</v>
      </c>
      <c r="M1283" s="169">
        <f t="shared" si="860"/>
        <v>0</v>
      </c>
      <c r="N1283" s="16">
        <f>'БА в тыс. руб.'!I1283*1000</f>
        <v>1534980</v>
      </c>
      <c r="O1283" s="169">
        <f t="shared" si="861"/>
        <v>0</v>
      </c>
    </row>
    <row r="1284" spans="1:15" s="145" customFormat="1" ht="25.5">
      <c r="A1284" s="34" t="s">
        <v>107</v>
      </c>
      <c r="B1284" s="36" t="s">
        <v>18</v>
      </c>
      <c r="C1284" s="36" t="s">
        <v>65</v>
      </c>
      <c r="D1284" s="36" t="s">
        <v>37</v>
      </c>
      <c r="E1284" s="36" t="s">
        <v>557</v>
      </c>
      <c r="F1284" s="36" t="s">
        <v>115</v>
      </c>
      <c r="G1284" s="37">
        <f>SUM(G1285:G1287)</f>
        <v>1338680</v>
      </c>
      <c r="H1284" s="37">
        <f t="shared" ref="H1284:I1284" si="901">SUM(H1285:H1287)</f>
        <v>1338680</v>
      </c>
      <c r="I1284" s="37">
        <f t="shared" si="901"/>
        <v>1338680</v>
      </c>
      <c r="J1284" s="16">
        <f>'БА в тыс. руб.'!G1284*1000</f>
        <v>1338680</v>
      </c>
      <c r="K1284" s="169">
        <f t="shared" si="859"/>
        <v>0</v>
      </c>
      <c r="L1284" s="16">
        <f>'БА в тыс. руб.'!H1284*1000</f>
        <v>1338680</v>
      </c>
      <c r="M1284" s="169">
        <f t="shared" si="860"/>
        <v>0</v>
      </c>
      <c r="N1284" s="16">
        <f>'БА в тыс. руб.'!I1284*1000</f>
        <v>1338680</v>
      </c>
      <c r="O1284" s="169">
        <f t="shared" si="861"/>
        <v>0</v>
      </c>
    </row>
    <row r="1285" spans="1:15" s="145" customFormat="1">
      <c r="A1285" s="11" t="s">
        <v>936</v>
      </c>
      <c r="B1285" s="36" t="s">
        <v>18</v>
      </c>
      <c r="C1285" s="36" t="s">
        <v>65</v>
      </c>
      <c r="D1285" s="36" t="s">
        <v>37</v>
      </c>
      <c r="E1285" s="36" t="s">
        <v>557</v>
      </c>
      <c r="F1285" s="26" t="s">
        <v>1063</v>
      </c>
      <c r="G1285" s="27">
        <f t="shared" ref="G1285:G1287" si="902">J1285</f>
        <v>977110</v>
      </c>
      <c r="H1285" s="27">
        <f t="shared" ref="H1285:H1287" si="903">L1285</f>
        <v>977110</v>
      </c>
      <c r="I1285" s="27">
        <f t="shared" ref="I1285:I1287" si="904">N1285</f>
        <v>977110</v>
      </c>
      <c r="J1285" s="16">
        <f>'БА в тыс. руб.'!G1285*1000</f>
        <v>977110</v>
      </c>
      <c r="K1285" s="169"/>
      <c r="L1285" s="16">
        <f>'БА в тыс. руб.'!H1285*1000</f>
        <v>977110</v>
      </c>
      <c r="M1285" s="169"/>
      <c r="N1285" s="16">
        <f>'БА в тыс. руб.'!I1285*1000</f>
        <v>977110</v>
      </c>
      <c r="O1285" s="169"/>
    </row>
    <row r="1286" spans="1:15" s="4" customFormat="1" ht="15" customHeight="1">
      <c r="A1286" s="12" t="s">
        <v>937</v>
      </c>
      <c r="B1286" s="36" t="s">
        <v>18</v>
      </c>
      <c r="C1286" s="36" t="s">
        <v>65</v>
      </c>
      <c r="D1286" s="36" t="s">
        <v>37</v>
      </c>
      <c r="E1286" s="36" t="s">
        <v>557</v>
      </c>
      <c r="F1286" s="26" t="s">
        <v>1059</v>
      </c>
      <c r="G1286" s="27">
        <f t="shared" si="902"/>
        <v>51060</v>
      </c>
      <c r="H1286" s="27">
        <f t="shared" si="903"/>
        <v>51060</v>
      </c>
      <c r="I1286" s="27">
        <f t="shared" si="904"/>
        <v>51060</v>
      </c>
      <c r="J1286" s="16">
        <f>'БА в тыс. руб.'!G1286*1000</f>
        <v>51060</v>
      </c>
      <c r="K1286" s="169">
        <f t="shared" si="859"/>
        <v>0</v>
      </c>
      <c r="L1286" s="16">
        <f>'БА в тыс. руб.'!H1286*1000</f>
        <v>51060</v>
      </c>
      <c r="M1286" s="169">
        <f t="shared" si="860"/>
        <v>0</v>
      </c>
      <c r="N1286" s="16">
        <f>'БА в тыс. руб.'!I1286*1000</f>
        <v>51060</v>
      </c>
      <c r="O1286" s="169">
        <f t="shared" si="861"/>
        <v>0</v>
      </c>
    </row>
    <row r="1287" spans="1:15" s="4" customFormat="1" ht="38.25">
      <c r="A1287" s="11" t="s">
        <v>939</v>
      </c>
      <c r="B1287" s="36" t="s">
        <v>18</v>
      </c>
      <c r="C1287" s="36" t="s">
        <v>65</v>
      </c>
      <c r="D1287" s="36" t="s">
        <v>37</v>
      </c>
      <c r="E1287" s="36" t="s">
        <v>557</v>
      </c>
      <c r="F1287" s="26" t="s">
        <v>1060</v>
      </c>
      <c r="G1287" s="27">
        <f t="shared" si="902"/>
        <v>310510</v>
      </c>
      <c r="H1287" s="27">
        <f t="shared" si="903"/>
        <v>310510</v>
      </c>
      <c r="I1287" s="27">
        <f t="shared" si="904"/>
        <v>310510</v>
      </c>
      <c r="J1287" s="16">
        <f>'БА в тыс. руб.'!G1287*1000</f>
        <v>310510</v>
      </c>
      <c r="K1287" s="169">
        <f t="shared" si="859"/>
        <v>0</v>
      </c>
      <c r="L1287" s="16">
        <f>'БА в тыс. руб.'!H1287*1000</f>
        <v>310510</v>
      </c>
      <c r="M1287" s="169">
        <f t="shared" si="860"/>
        <v>0</v>
      </c>
      <c r="N1287" s="16">
        <f>'БА в тыс. руб.'!I1287*1000</f>
        <v>310510</v>
      </c>
      <c r="O1287" s="169">
        <f t="shared" si="861"/>
        <v>0</v>
      </c>
    </row>
    <row r="1288" spans="1:15" s="145" customFormat="1" ht="25.5">
      <c r="A1288" s="11" t="s">
        <v>108</v>
      </c>
      <c r="B1288" s="36" t="s">
        <v>18</v>
      </c>
      <c r="C1288" s="36" t="s">
        <v>65</v>
      </c>
      <c r="D1288" s="36" t="s">
        <v>37</v>
      </c>
      <c r="E1288" s="36" t="s">
        <v>557</v>
      </c>
      <c r="F1288" s="36" t="s">
        <v>116</v>
      </c>
      <c r="G1288" s="37">
        <f>G1289</f>
        <v>196300</v>
      </c>
      <c r="H1288" s="37">
        <f t="shared" ref="H1288:I1288" si="905">H1289</f>
        <v>196300</v>
      </c>
      <c r="I1288" s="37">
        <f t="shared" si="905"/>
        <v>196300</v>
      </c>
      <c r="J1288" s="16">
        <f>'БА в тыс. руб.'!G1288*1000</f>
        <v>196300</v>
      </c>
      <c r="K1288" s="169">
        <f t="shared" si="859"/>
        <v>0</v>
      </c>
      <c r="L1288" s="16">
        <f>'БА в тыс. руб.'!H1288*1000</f>
        <v>196300</v>
      </c>
      <c r="M1288" s="169">
        <f t="shared" si="860"/>
        <v>0</v>
      </c>
      <c r="N1288" s="16">
        <f>'БА в тыс. руб.'!I1288*1000</f>
        <v>196300</v>
      </c>
      <c r="O1288" s="169">
        <f t="shared" si="861"/>
        <v>0</v>
      </c>
    </row>
    <row r="1289" spans="1:15" s="4" customFormat="1" ht="25.5">
      <c r="A1289" s="12" t="s">
        <v>973</v>
      </c>
      <c r="B1289" s="36" t="s">
        <v>18</v>
      </c>
      <c r="C1289" s="36" t="s">
        <v>65</v>
      </c>
      <c r="D1289" s="36" t="s">
        <v>37</v>
      </c>
      <c r="E1289" s="36" t="s">
        <v>557</v>
      </c>
      <c r="F1289" s="36" t="s">
        <v>1043</v>
      </c>
      <c r="G1289" s="27">
        <f t="shared" ref="G1289" si="906">J1289</f>
        <v>196300</v>
      </c>
      <c r="H1289" s="27">
        <f>L1289</f>
        <v>196300</v>
      </c>
      <c r="I1289" s="27">
        <f>N1289</f>
        <v>196300</v>
      </c>
      <c r="J1289" s="16">
        <f>'БА в тыс. руб.'!G1289*1000</f>
        <v>196300</v>
      </c>
      <c r="K1289" s="169">
        <f t="shared" si="859"/>
        <v>0</v>
      </c>
      <c r="L1289" s="16">
        <f>'БА в тыс. руб.'!H1289*1000</f>
        <v>196300</v>
      </c>
      <c r="M1289" s="169">
        <f t="shared" si="860"/>
        <v>0</v>
      </c>
      <c r="N1289" s="16">
        <f>'БА в тыс. руб.'!I1289*1000</f>
        <v>196300</v>
      </c>
      <c r="O1289" s="169">
        <f t="shared" si="861"/>
        <v>0</v>
      </c>
    </row>
    <row r="1290" spans="1:15" s="127" customFormat="1" ht="51">
      <c r="A1290" s="34" t="s">
        <v>870</v>
      </c>
      <c r="B1290" s="36" t="s">
        <v>18</v>
      </c>
      <c r="C1290" s="36" t="s">
        <v>65</v>
      </c>
      <c r="D1290" s="36" t="s">
        <v>37</v>
      </c>
      <c r="E1290" s="36" t="s">
        <v>558</v>
      </c>
      <c r="F1290" s="36" t="s">
        <v>58</v>
      </c>
      <c r="G1290" s="37">
        <f>G1291</f>
        <v>51740</v>
      </c>
      <c r="H1290" s="37">
        <f>H1291</f>
        <v>51740</v>
      </c>
      <c r="I1290" s="37">
        <f>I1291</f>
        <v>51740</v>
      </c>
      <c r="J1290" s="16">
        <f>'БА в тыс. руб.'!G1290*1000</f>
        <v>51740</v>
      </c>
      <c r="K1290" s="169">
        <f t="shared" ref="K1290:K1354" si="907">J1290-G1290</f>
        <v>0</v>
      </c>
      <c r="L1290" s="16">
        <f>'БА в тыс. руб.'!H1290*1000</f>
        <v>51740</v>
      </c>
      <c r="M1290" s="169">
        <f t="shared" ref="M1290:M1354" si="908">L1290-H1290</f>
        <v>0</v>
      </c>
      <c r="N1290" s="16">
        <f>'БА в тыс. руб.'!I1290*1000</f>
        <v>51740</v>
      </c>
      <c r="O1290" s="169">
        <f t="shared" ref="O1290:O1354" si="909">N1290-I1290</f>
        <v>0</v>
      </c>
    </row>
    <row r="1291" spans="1:15" s="145" customFormat="1" ht="25.5">
      <c r="A1291" s="11" t="s">
        <v>108</v>
      </c>
      <c r="B1291" s="36" t="s">
        <v>18</v>
      </c>
      <c r="C1291" s="36" t="s">
        <v>65</v>
      </c>
      <c r="D1291" s="36" t="s">
        <v>37</v>
      </c>
      <c r="E1291" s="36" t="s">
        <v>558</v>
      </c>
      <c r="F1291" s="36" t="s">
        <v>116</v>
      </c>
      <c r="G1291" s="37">
        <f>G1292</f>
        <v>51740</v>
      </c>
      <c r="H1291" s="37">
        <f t="shared" ref="H1291:I1291" si="910">H1292</f>
        <v>51740</v>
      </c>
      <c r="I1291" s="37">
        <f t="shared" si="910"/>
        <v>51740</v>
      </c>
      <c r="J1291" s="16">
        <f>'БА в тыс. руб.'!G1291*1000</f>
        <v>51740</v>
      </c>
      <c r="K1291" s="169">
        <f t="shared" si="907"/>
        <v>0</v>
      </c>
      <c r="L1291" s="16">
        <f>'БА в тыс. руб.'!H1291*1000</f>
        <v>51740</v>
      </c>
      <c r="M1291" s="169">
        <f t="shared" si="908"/>
        <v>0</v>
      </c>
      <c r="N1291" s="16">
        <f>'БА в тыс. руб.'!I1291*1000</f>
        <v>51740</v>
      </c>
      <c r="O1291" s="169">
        <f t="shared" si="909"/>
        <v>0</v>
      </c>
    </row>
    <row r="1292" spans="1:15" s="4" customFormat="1" ht="25.5">
      <c r="A1292" s="12" t="s">
        <v>973</v>
      </c>
      <c r="B1292" s="36" t="s">
        <v>18</v>
      </c>
      <c r="C1292" s="36" t="s">
        <v>65</v>
      </c>
      <c r="D1292" s="36" t="s">
        <v>37</v>
      </c>
      <c r="E1292" s="36" t="s">
        <v>558</v>
      </c>
      <c r="F1292" s="36" t="s">
        <v>1043</v>
      </c>
      <c r="G1292" s="27">
        <f t="shared" ref="G1292" si="911">J1292</f>
        <v>51740</v>
      </c>
      <c r="H1292" s="27">
        <f>L1292</f>
        <v>51740</v>
      </c>
      <c r="I1292" s="27">
        <f>N1292</f>
        <v>51740</v>
      </c>
      <c r="J1292" s="16">
        <f>'БА в тыс. руб.'!G1292*1000</f>
        <v>51740</v>
      </c>
      <c r="K1292" s="169">
        <f t="shared" si="907"/>
        <v>0</v>
      </c>
      <c r="L1292" s="16">
        <f>'БА в тыс. руб.'!H1292*1000</f>
        <v>51740</v>
      </c>
      <c r="M1292" s="169">
        <f t="shared" si="908"/>
        <v>0</v>
      </c>
      <c r="N1292" s="16">
        <f>'БА в тыс. руб.'!I1292*1000</f>
        <v>51740</v>
      </c>
      <c r="O1292" s="169">
        <f t="shared" si="909"/>
        <v>0</v>
      </c>
    </row>
    <row r="1293" spans="1:15" s="3" customFormat="1">
      <c r="A1293" s="128" t="s">
        <v>38</v>
      </c>
      <c r="B1293" s="22" t="s">
        <v>18</v>
      </c>
      <c r="C1293" s="23" t="s">
        <v>65</v>
      </c>
      <c r="D1293" s="23" t="s">
        <v>84</v>
      </c>
      <c r="E1293" s="23" t="s">
        <v>196</v>
      </c>
      <c r="F1293" s="23" t="s">
        <v>58</v>
      </c>
      <c r="G1293" s="24">
        <f>G1294</f>
        <v>555070</v>
      </c>
      <c r="H1293" s="24">
        <f t="shared" ref="H1293:I1298" si="912">H1294</f>
        <v>558900</v>
      </c>
      <c r="I1293" s="24">
        <f t="shared" si="912"/>
        <v>558900</v>
      </c>
      <c r="J1293" s="16">
        <f>'БА в тыс. руб.'!G1293*1000</f>
        <v>555070</v>
      </c>
      <c r="K1293" s="169">
        <f t="shared" si="907"/>
        <v>0</v>
      </c>
      <c r="L1293" s="16">
        <f>'БА в тыс. руб.'!H1293*1000</f>
        <v>558900</v>
      </c>
      <c r="M1293" s="169">
        <f t="shared" si="908"/>
        <v>0</v>
      </c>
      <c r="N1293" s="16">
        <f>'БА в тыс. руб.'!I1293*1000</f>
        <v>558900</v>
      </c>
      <c r="O1293" s="169">
        <f t="shared" si="909"/>
        <v>0</v>
      </c>
    </row>
    <row r="1294" spans="1:15" s="3" customFormat="1" ht="38.25">
      <c r="A1294" s="13" t="s">
        <v>745</v>
      </c>
      <c r="B1294" s="26" t="s">
        <v>18</v>
      </c>
      <c r="C1294" s="26" t="s">
        <v>65</v>
      </c>
      <c r="D1294" s="26" t="s">
        <v>84</v>
      </c>
      <c r="E1294" s="26" t="s">
        <v>280</v>
      </c>
      <c r="F1294" s="26" t="s">
        <v>58</v>
      </c>
      <c r="G1294" s="27">
        <f>G1295</f>
        <v>555070</v>
      </c>
      <c r="H1294" s="27">
        <f t="shared" si="912"/>
        <v>558900</v>
      </c>
      <c r="I1294" s="27">
        <f t="shared" si="912"/>
        <v>558900</v>
      </c>
      <c r="J1294" s="16">
        <f>'БА в тыс. руб.'!G1294*1000</f>
        <v>555070</v>
      </c>
      <c r="K1294" s="169">
        <f t="shared" si="907"/>
        <v>0</v>
      </c>
      <c r="L1294" s="16">
        <f>'БА в тыс. руб.'!H1294*1000</f>
        <v>558900</v>
      </c>
      <c r="M1294" s="169">
        <f t="shared" si="908"/>
        <v>0</v>
      </c>
      <c r="N1294" s="16">
        <f>'БА в тыс. руб.'!I1294*1000</f>
        <v>558900</v>
      </c>
      <c r="O1294" s="169">
        <f t="shared" si="909"/>
        <v>0</v>
      </c>
    </row>
    <row r="1295" spans="1:15" s="3" customFormat="1" ht="51">
      <c r="A1295" s="13" t="s">
        <v>746</v>
      </c>
      <c r="B1295" s="141" t="s">
        <v>18</v>
      </c>
      <c r="C1295" s="26" t="s">
        <v>65</v>
      </c>
      <c r="D1295" s="26" t="s">
        <v>84</v>
      </c>
      <c r="E1295" s="26" t="s">
        <v>281</v>
      </c>
      <c r="F1295" s="26" t="s">
        <v>58</v>
      </c>
      <c r="G1295" s="27">
        <f>G1296</f>
        <v>555070</v>
      </c>
      <c r="H1295" s="27">
        <f t="shared" si="912"/>
        <v>558900</v>
      </c>
      <c r="I1295" s="27">
        <f t="shared" si="912"/>
        <v>558900</v>
      </c>
      <c r="J1295" s="16">
        <f>'БА в тыс. руб.'!G1295*1000</f>
        <v>555070</v>
      </c>
      <c r="K1295" s="169">
        <f t="shared" si="907"/>
        <v>0</v>
      </c>
      <c r="L1295" s="16">
        <f>'БА в тыс. руб.'!H1295*1000</f>
        <v>558900</v>
      </c>
      <c r="M1295" s="169">
        <f t="shared" si="908"/>
        <v>0</v>
      </c>
      <c r="N1295" s="16">
        <f>'БА в тыс. руб.'!I1295*1000</f>
        <v>558900</v>
      </c>
      <c r="O1295" s="169">
        <f t="shared" si="909"/>
        <v>0</v>
      </c>
    </row>
    <row r="1296" spans="1:15" s="3" customFormat="1" ht="38.25">
      <c r="A1296" s="140" t="s">
        <v>282</v>
      </c>
      <c r="B1296" s="141" t="s">
        <v>18</v>
      </c>
      <c r="C1296" s="26" t="s">
        <v>65</v>
      </c>
      <c r="D1296" s="26" t="s">
        <v>84</v>
      </c>
      <c r="E1296" s="26" t="s">
        <v>283</v>
      </c>
      <c r="F1296" s="26" t="s">
        <v>58</v>
      </c>
      <c r="G1296" s="27">
        <f>G1297+G1300</f>
        <v>555070</v>
      </c>
      <c r="H1296" s="27">
        <f>H1297+H1300</f>
        <v>558900</v>
      </c>
      <c r="I1296" s="27">
        <f>I1297+I1300</f>
        <v>558900</v>
      </c>
      <c r="J1296" s="16">
        <f>'БА в тыс. руб.'!G1296*1000</f>
        <v>555070</v>
      </c>
      <c r="K1296" s="169">
        <f t="shared" si="907"/>
        <v>0</v>
      </c>
      <c r="L1296" s="16">
        <f>'БА в тыс. руб.'!H1296*1000</f>
        <v>558900</v>
      </c>
      <c r="M1296" s="169">
        <f t="shared" si="908"/>
        <v>0</v>
      </c>
      <c r="N1296" s="16">
        <f>'БА в тыс. руб.'!I1296*1000</f>
        <v>558900</v>
      </c>
      <c r="O1296" s="169">
        <f t="shared" si="909"/>
        <v>0</v>
      </c>
    </row>
    <row r="1297" spans="1:15" s="3" customFormat="1" ht="25.5">
      <c r="A1297" s="120" t="s">
        <v>167</v>
      </c>
      <c r="B1297" s="141" t="s">
        <v>18</v>
      </c>
      <c r="C1297" s="26" t="s">
        <v>65</v>
      </c>
      <c r="D1297" s="26" t="s">
        <v>84</v>
      </c>
      <c r="E1297" s="26" t="s">
        <v>491</v>
      </c>
      <c r="F1297" s="26" t="s">
        <v>58</v>
      </c>
      <c r="G1297" s="27">
        <f>G1298</f>
        <v>472810.00000000006</v>
      </c>
      <c r="H1297" s="27">
        <f t="shared" si="912"/>
        <v>476640</v>
      </c>
      <c r="I1297" s="27">
        <f t="shared" si="912"/>
        <v>476640</v>
      </c>
      <c r="J1297" s="16">
        <f>'БА в тыс. руб.'!G1297*1000</f>
        <v>472810.00000000006</v>
      </c>
      <c r="K1297" s="169">
        <f t="shared" si="907"/>
        <v>0</v>
      </c>
      <c r="L1297" s="16">
        <f>'БА в тыс. руб.'!H1297*1000</f>
        <v>476640</v>
      </c>
      <c r="M1297" s="169">
        <f t="shared" si="908"/>
        <v>0</v>
      </c>
      <c r="N1297" s="16">
        <f>'БА в тыс. руб.'!I1297*1000</f>
        <v>476640</v>
      </c>
      <c r="O1297" s="169">
        <f t="shared" si="909"/>
        <v>0</v>
      </c>
    </row>
    <row r="1298" spans="1:15" s="3" customFormat="1" ht="25.5">
      <c r="A1298" s="11" t="s">
        <v>108</v>
      </c>
      <c r="B1298" s="141" t="s">
        <v>18</v>
      </c>
      <c r="C1298" s="26" t="s">
        <v>65</v>
      </c>
      <c r="D1298" s="26" t="s">
        <v>84</v>
      </c>
      <c r="E1298" s="26" t="s">
        <v>491</v>
      </c>
      <c r="F1298" s="26" t="s">
        <v>116</v>
      </c>
      <c r="G1298" s="37">
        <f>G1299</f>
        <v>472810.00000000006</v>
      </c>
      <c r="H1298" s="37">
        <f t="shared" si="912"/>
        <v>476640</v>
      </c>
      <c r="I1298" s="37">
        <f t="shared" si="912"/>
        <v>476640</v>
      </c>
      <c r="J1298" s="16">
        <f>'БА в тыс. руб.'!G1298*1000</f>
        <v>472810.00000000006</v>
      </c>
      <c r="K1298" s="169">
        <f t="shared" si="907"/>
        <v>0</v>
      </c>
      <c r="L1298" s="16">
        <f>'БА в тыс. руб.'!H1298*1000</f>
        <v>476640</v>
      </c>
      <c r="M1298" s="169">
        <f t="shared" si="908"/>
        <v>0</v>
      </c>
      <c r="N1298" s="16">
        <f>'БА в тыс. руб.'!I1298*1000</f>
        <v>476640</v>
      </c>
      <c r="O1298" s="169">
        <f t="shared" si="909"/>
        <v>0</v>
      </c>
    </row>
    <row r="1299" spans="1:15" s="4" customFormat="1" ht="25.5">
      <c r="A1299" s="12" t="s">
        <v>973</v>
      </c>
      <c r="B1299" s="141" t="s">
        <v>18</v>
      </c>
      <c r="C1299" s="26" t="s">
        <v>65</v>
      </c>
      <c r="D1299" s="26" t="s">
        <v>84</v>
      </c>
      <c r="E1299" s="26" t="s">
        <v>491</v>
      </c>
      <c r="F1299" s="26" t="s">
        <v>1043</v>
      </c>
      <c r="G1299" s="27">
        <f t="shared" ref="G1299" si="913">J1299</f>
        <v>472810.00000000006</v>
      </c>
      <c r="H1299" s="27">
        <f>L1299</f>
        <v>476640</v>
      </c>
      <c r="I1299" s="27">
        <f>N1299</f>
        <v>476640</v>
      </c>
      <c r="J1299" s="16">
        <f>'БА в тыс. руб.'!G1299*1000</f>
        <v>472810.00000000006</v>
      </c>
      <c r="K1299" s="169">
        <f t="shared" si="907"/>
        <v>0</v>
      </c>
      <c r="L1299" s="16">
        <f>'БА в тыс. руб.'!H1299*1000</f>
        <v>476640</v>
      </c>
      <c r="M1299" s="169">
        <f t="shared" si="908"/>
        <v>0</v>
      </c>
      <c r="N1299" s="16">
        <f>'БА в тыс. руб.'!I1299*1000</f>
        <v>476640</v>
      </c>
      <c r="O1299" s="169">
        <f t="shared" si="909"/>
        <v>0</v>
      </c>
    </row>
    <row r="1300" spans="1:15" s="3" customFormat="1" ht="25.5">
      <c r="A1300" s="11" t="s">
        <v>859</v>
      </c>
      <c r="B1300" s="141" t="s">
        <v>18</v>
      </c>
      <c r="C1300" s="36" t="s">
        <v>65</v>
      </c>
      <c r="D1300" s="36" t="s">
        <v>84</v>
      </c>
      <c r="E1300" s="43" t="s">
        <v>858</v>
      </c>
      <c r="F1300" s="26" t="s">
        <v>58</v>
      </c>
      <c r="G1300" s="27">
        <f>G1301</f>
        <v>82260</v>
      </c>
      <c r="H1300" s="27">
        <f t="shared" ref="H1300:I1301" si="914">H1301</f>
        <v>82260</v>
      </c>
      <c r="I1300" s="27">
        <f t="shared" si="914"/>
        <v>82260</v>
      </c>
      <c r="J1300" s="16">
        <f>'БА в тыс. руб.'!G1300*1000</f>
        <v>82260</v>
      </c>
      <c r="K1300" s="169">
        <f t="shared" si="907"/>
        <v>0</v>
      </c>
      <c r="L1300" s="16">
        <f>'БА в тыс. руб.'!H1300*1000</f>
        <v>82260</v>
      </c>
      <c r="M1300" s="169">
        <f t="shared" si="908"/>
        <v>0</v>
      </c>
      <c r="N1300" s="16">
        <f>'БА в тыс. руб.'!I1300*1000</f>
        <v>82260</v>
      </c>
      <c r="O1300" s="169">
        <f t="shared" si="909"/>
        <v>0</v>
      </c>
    </row>
    <row r="1301" spans="1:15" s="3" customFormat="1" ht="25.5">
      <c r="A1301" s="11" t="s">
        <v>108</v>
      </c>
      <c r="B1301" s="141" t="s">
        <v>18</v>
      </c>
      <c r="C1301" s="36" t="s">
        <v>65</v>
      </c>
      <c r="D1301" s="36" t="s">
        <v>84</v>
      </c>
      <c r="E1301" s="43" t="s">
        <v>858</v>
      </c>
      <c r="F1301" s="26" t="s">
        <v>116</v>
      </c>
      <c r="G1301" s="27">
        <f>G1302</f>
        <v>82260</v>
      </c>
      <c r="H1301" s="27">
        <f t="shared" si="914"/>
        <v>82260</v>
      </c>
      <c r="I1301" s="27">
        <f t="shared" si="914"/>
        <v>82260</v>
      </c>
      <c r="J1301" s="16">
        <f>'БА в тыс. руб.'!G1301*1000</f>
        <v>82260</v>
      </c>
      <c r="K1301" s="169">
        <f t="shared" si="907"/>
        <v>0</v>
      </c>
      <c r="L1301" s="16">
        <f>'БА в тыс. руб.'!H1301*1000</f>
        <v>82260</v>
      </c>
      <c r="M1301" s="169">
        <f t="shared" si="908"/>
        <v>0</v>
      </c>
      <c r="N1301" s="16">
        <f>'БА в тыс. руб.'!I1301*1000</f>
        <v>82260</v>
      </c>
      <c r="O1301" s="169">
        <f t="shared" si="909"/>
        <v>0</v>
      </c>
    </row>
    <row r="1302" spans="1:15" s="4" customFormat="1" ht="25.5">
      <c r="A1302" s="12" t="s">
        <v>973</v>
      </c>
      <c r="B1302" s="141" t="s">
        <v>18</v>
      </c>
      <c r="C1302" s="36" t="s">
        <v>65</v>
      </c>
      <c r="D1302" s="36" t="s">
        <v>84</v>
      </c>
      <c r="E1302" s="43" t="s">
        <v>858</v>
      </c>
      <c r="F1302" s="26" t="s">
        <v>1043</v>
      </c>
      <c r="G1302" s="27">
        <f t="shared" ref="G1302" si="915">J1302</f>
        <v>82260</v>
      </c>
      <c r="H1302" s="27">
        <f>L1302</f>
        <v>82260</v>
      </c>
      <c r="I1302" s="27">
        <f>N1302</f>
        <v>82260</v>
      </c>
      <c r="J1302" s="16">
        <f>'БА в тыс. руб.'!G1302*1000</f>
        <v>82260</v>
      </c>
      <c r="K1302" s="169">
        <f t="shared" si="907"/>
        <v>0</v>
      </c>
      <c r="L1302" s="16">
        <f>'БА в тыс. руб.'!H1302*1000</f>
        <v>82260</v>
      </c>
      <c r="M1302" s="169">
        <f t="shared" si="908"/>
        <v>0</v>
      </c>
      <c r="N1302" s="16">
        <f>'БА в тыс. руб.'!I1302*1000</f>
        <v>82260</v>
      </c>
      <c r="O1302" s="169">
        <f t="shared" si="909"/>
        <v>0</v>
      </c>
    </row>
    <row r="1303" spans="1:15" s="3" customFormat="1">
      <c r="A1303" s="139" t="s">
        <v>35</v>
      </c>
      <c r="B1303" s="18" t="s">
        <v>18</v>
      </c>
      <c r="C1303" s="19" t="s">
        <v>37</v>
      </c>
      <c r="D1303" s="19" t="s">
        <v>51</v>
      </c>
      <c r="E1303" s="19" t="s">
        <v>196</v>
      </c>
      <c r="F1303" s="19" t="s">
        <v>58</v>
      </c>
      <c r="G1303" s="20">
        <f t="shared" ref="G1303:I1305" si="916">G1304</f>
        <v>104824570</v>
      </c>
      <c r="H1303" s="20">
        <f t="shared" si="916"/>
        <v>94442440</v>
      </c>
      <c r="I1303" s="20">
        <f t="shared" si="916"/>
        <v>94442440</v>
      </c>
      <c r="J1303" s="16">
        <f>'БА в тыс. руб.'!G1303*1000</f>
        <v>104824570</v>
      </c>
      <c r="K1303" s="169">
        <f t="shared" si="907"/>
        <v>0</v>
      </c>
      <c r="L1303" s="16">
        <f>'БА в тыс. руб.'!H1303*1000</f>
        <v>94442439.999999985</v>
      </c>
      <c r="M1303" s="169">
        <f t="shared" si="908"/>
        <v>0</v>
      </c>
      <c r="N1303" s="16">
        <f>'БА в тыс. руб.'!I1303*1000</f>
        <v>94442439.999999985</v>
      </c>
      <c r="O1303" s="169">
        <f t="shared" si="909"/>
        <v>0</v>
      </c>
    </row>
    <row r="1304" spans="1:15" s="3" customFormat="1">
      <c r="A1304" s="144" t="s">
        <v>88</v>
      </c>
      <c r="B1304" s="22" t="s">
        <v>18</v>
      </c>
      <c r="C1304" s="23" t="s">
        <v>37</v>
      </c>
      <c r="D1304" s="23" t="s">
        <v>25</v>
      </c>
      <c r="E1304" s="23" t="s">
        <v>196</v>
      </c>
      <c r="F1304" s="23" t="s">
        <v>58</v>
      </c>
      <c r="G1304" s="24">
        <f>G1305</f>
        <v>104824570</v>
      </c>
      <c r="H1304" s="24">
        <f t="shared" si="916"/>
        <v>94442440</v>
      </c>
      <c r="I1304" s="24">
        <f t="shared" si="916"/>
        <v>94442440</v>
      </c>
      <c r="J1304" s="16">
        <f>'БА в тыс. руб.'!G1304*1000</f>
        <v>104824570</v>
      </c>
      <c r="K1304" s="169">
        <f t="shared" si="907"/>
        <v>0</v>
      </c>
      <c r="L1304" s="16">
        <f>'БА в тыс. руб.'!H1304*1000</f>
        <v>94442439.999999985</v>
      </c>
      <c r="M1304" s="169">
        <f t="shared" si="908"/>
        <v>0</v>
      </c>
      <c r="N1304" s="16">
        <f>'БА в тыс. руб.'!I1304*1000</f>
        <v>94442439.999999985</v>
      </c>
      <c r="O1304" s="169">
        <f t="shared" si="909"/>
        <v>0</v>
      </c>
    </row>
    <row r="1305" spans="1:15" s="3" customFormat="1" ht="38.25">
      <c r="A1305" s="12" t="s">
        <v>722</v>
      </c>
      <c r="B1305" s="36" t="s">
        <v>18</v>
      </c>
      <c r="C1305" s="35" t="s">
        <v>37</v>
      </c>
      <c r="D1305" s="35" t="s">
        <v>25</v>
      </c>
      <c r="E1305" s="35" t="s">
        <v>300</v>
      </c>
      <c r="F1305" s="36" t="s">
        <v>58</v>
      </c>
      <c r="G1305" s="146">
        <f t="shared" si="916"/>
        <v>104824570</v>
      </c>
      <c r="H1305" s="146">
        <f t="shared" si="916"/>
        <v>94442440</v>
      </c>
      <c r="I1305" s="146">
        <f t="shared" si="916"/>
        <v>94442440</v>
      </c>
      <c r="J1305" s="16">
        <f>'БА в тыс. руб.'!G1305*1000</f>
        <v>104824570</v>
      </c>
      <c r="K1305" s="169">
        <f t="shared" si="907"/>
        <v>0</v>
      </c>
      <c r="L1305" s="16">
        <f>'БА в тыс. руб.'!H1305*1000</f>
        <v>94442439.999999985</v>
      </c>
      <c r="M1305" s="169">
        <f t="shared" si="908"/>
        <v>0</v>
      </c>
      <c r="N1305" s="16">
        <f>'БА в тыс. руб.'!I1305*1000</f>
        <v>94442439.999999985</v>
      </c>
      <c r="O1305" s="169">
        <f t="shared" si="909"/>
        <v>0</v>
      </c>
    </row>
    <row r="1306" spans="1:15" s="3" customFormat="1" ht="38.25">
      <c r="A1306" s="40" t="s">
        <v>729</v>
      </c>
      <c r="B1306" s="36" t="s">
        <v>18</v>
      </c>
      <c r="C1306" s="35" t="s">
        <v>37</v>
      </c>
      <c r="D1306" s="35" t="s">
        <v>25</v>
      </c>
      <c r="E1306" s="147" t="s">
        <v>301</v>
      </c>
      <c r="F1306" s="147" t="s">
        <v>58</v>
      </c>
      <c r="G1306" s="37">
        <f>G1307</f>
        <v>104824570</v>
      </c>
      <c r="H1306" s="37">
        <f>H1307</f>
        <v>94442440</v>
      </c>
      <c r="I1306" s="37">
        <f>I1307</f>
        <v>94442440</v>
      </c>
      <c r="J1306" s="16">
        <f>'БА в тыс. руб.'!G1306*1000</f>
        <v>104824570</v>
      </c>
      <c r="K1306" s="169">
        <f t="shared" si="907"/>
        <v>0</v>
      </c>
      <c r="L1306" s="16">
        <f>'БА в тыс. руб.'!H1306*1000</f>
        <v>94442439.999999985</v>
      </c>
      <c r="M1306" s="169">
        <f t="shared" si="908"/>
        <v>0</v>
      </c>
      <c r="N1306" s="16">
        <f>'БА в тыс. руб.'!I1306*1000</f>
        <v>94442439.999999985</v>
      </c>
      <c r="O1306" s="169">
        <f t="shared" si="909"/>
        <v>0</v>
      </c>
    </row>
    <row r="1307" spans="1:15" s="3" customFormat="1" ht="38.25">
      <c r="A1307" s="34" t="s">
        <v>644</v>
      </c>
      <c r="B1307" s="36" t="s">
        <v>18</v>
      </c>
      <c r="C1307" s="36" t="s">
        <v>37</v>
      </c>
      <c r="D1307" s="36" t="s">
        <v>25</v>
      </c>
      <c r="E1307" s="36" t="s">
        <v>302</v>
      </c>
      <c r="F1307" s="36" t="s">
        <v>58</v>
      </c>
      <c r="G1307" s="37">
        <f>G1314+G1308+G1311</f>
        <v>104824570</v>
      </c>
      <c r="H1307" s="37">
        <f>H1314+H1308+H1311</f>
        <v>94442440</v>
      </c>
      <c r="I1307" s="37">
        <f>I1314+I1308+I1311</f>
        <v>94442440</v>
      </c>
      <c r="J1307" s="16">
        <f>'БА в тыс. руб.'!G1307*1000</f>
        <v>104824570</v>
      </c>
      <c r="K1307" s="169">
        <f t="shared" si="907"/>
        <v>0</v>
      </c>
      <c r="L1307" s="16">
        <f>'БА в тыс. руб.'!H1307*1000</f>
        <v>94442439.999999985</v>
      </c>
      <c r="M1307" s="169">
        <f t="shared" si="908"/>
        <v>0</v>
      </c>
      <c r="N1307" s="16">
        <f>'БА в тыс. руб.'!I1307*1000</f>
        <v>94442439.999999985</v>
      </c>
      <c r="O1307" s="169">
        <f t="shared" si="909"/>
        <v>0</v>
      </c>
    </row>
    <row r="1308" spans="1:15" s="3" customFormat="1" ht="25.5">
      <c r="A1308" s="112" t="s">
        <v>493</v>
      </c>
      <c r="B1308" s="36" t="s">
        <v>18</v>
      </c>
      <c r="C1308" s="36" t="s">
        <v>37</v>
      </c>
      <c r="D1308" s="36" t="s">
        <v>25</v>
      </c>
      <c r="E1308" s="36" t="s">
        <v>494</v>
      </c>
      <c r="F1308" s="36" t="s">
        <v>58</v>
      </c>
      <c r="G1308" s="37">
        <f>G1309</f>
        <v>10900210</v>
      </c>
      <c r="H1308" s="37">
        <f>H1309</f>
        <v>9495510</v>
      </c>
      <c r="I1308" s="37">
        <f>I1309</f>
        <v>9495510</v>
      </c>
      <c r="J1308" s="16">
        <f>'БА в тыс. руб.'!G1308*1000</f>
        <v>10900210</v>
      </c>
      <c r="K1308" s="169">
        <f t="shared" si="907"/>
        <v>0</v>
      </c>
      <c r="L1308" s="16">
        <f>'БА в тыс. руб.'!H1308*1000</f>
        <v>9495510</v>
      </c>
      <c r="M1308" s="169">
        <f t="shared" si="908"/>
        <v>0</v>
      </c>
      <c r="N1308" s="16">
        <f>'БА в тыс. руб.'!I1308*1000</f>
        <v>9495510</v>
      </c>
      <c r="O1308" s="169">
        <f t="shared" si="909"/>
        <v>0</v>
      </c>
    </row>
    <row r="1309" spans="1:15" s="127" customFormat="1" ht="25.5">
      <c r="A1309" s="11" t="s">
        <v>108</v>
      </c>
      <c r="B1309" s="36" t="s">
        <v>18</v>
      </c>
      <c r="C1309" s="36" t="s">
        <v>37</v>
      </c>
      <c r="D1309" s="36" t="s">
        <v>25</v>
      </c>
      <c r="E1309" s="36" t="s">
        <v>494</v>
      </c>
      <c r="F1309" s="36" t="s">
        <v>116</v>
      </c>
      <c r="G1309" s="37">
        <f>G1310</f>
        <v>10900210</v>
      </c>
      <c r="H1309" s="37">
        <f t="shared" ref="H1309:I1309" si="917">H1310</f>
        <v>9495510</v>
      </c>
      <c r="I1309" s="37">
        <f t="shared" si="917"/>
        <v>9495510</v>
      </c>
      <c r="J1309" s="16">
        <f>'БА в тыс. руб.'!G1309*1000</f>
        <v>10900210</v>
      </c>
      <c r="K1309" s="169">
        <f t="shared" si="907"/>
        <v>0</v>
      </c>
      <c r="L1309" s="16">
        <f>'БА в тыс. руб.'!H1309*1000</f>
        <v>9495510</v>
      </c>
      <c r="M1309" s="169">
        <f t="shared" si="908"/>
        <v>0</v>
      </c>
      <c r="N1309" s="16">
        <f>'БА в тыс. руб.'!I1309*1000</f>
        <v>9495510</v>
      </c>
      <c r="O1309" s="169">
        <f t="shared" si="909"/>
        <v>0</v>
      </c>
    </row>
    <row r="1310" spans="1:15" s="4" customFormat="1" ht="25.5">
      <c r="A1310" s="12" t="s">
        <v>973</v>
      </c>
      <c r="B1310" s="36" t="s">
        <v>18</v>
      </c>
      <c r="C1310" s="36" t="s">
        <v>37</v>
      </c>
      <c r="D1310" s="36" t="s">
        <v>25</v>
      </c>
      <c r="E1310" s="36" t="s">
        <v>494</v>
      </c>
      <c r="F1310" s="36" t="s">
        <v>1043</v>
      </c>
      <c r="G1310" s="27">
        <f t="shared" ref="G1310" si="918">J1310</f>
        <v>10900210</v>
      </c>
      <c r="H1310" s="27">
        <f>L1310</f>
        <v>9495510</v>
      </c>
      <c r="I1310" s="27">
        <f>N1310</f>
        <v>9495510</v>
      </c>
      <c r="J1310" s="16">
        <f>'БА в тыс. руб.'!G1310*1000</f>
        <v>10900210</v>
      </c>
      <c r="K1310" s="169">
        <f t="shared" si="907"/>
        <v>0</v>
      </c>
      <c r="L1310" s="16">
        <f>'БА в тыс. руб.'!H1310*1000</f>
        <v>9495510</v>
      </c>
      <c r="M1310" s="169">
        <f t="shared" si="908"/>
        <v>0</v>
      </c>
      <c r="N1310" s="16">
        <f>'БА в тыс. руб.'!I1310*1000</f>
        <v>9495510</v>
      </c>
      <c r="O1310" s="169">
        <f t="shared" si="909"/>
        <v>0</v>
      </c>
    </row>
    <row r="1311" spans="1:15" s="127" customFormat="1" ht="63.75">
      <c r="A1311" s="11" t="s">
        <v>889</v>
      </c>
      <c r="B1311" s="36" t="s">
        <v>18</v>
      </c>
      <c r="C1311" s="26" t="s">
        <v>37</v>
      </c>
      <c r="D1311" s="26" t="s">
        <v>25</v>
      </c>
      <c r="E1311" s="26" t="s">
        <v>834</v>
      </c>
      <c r="F1311" s="26" t="s">
        <v>58</v>
      </c>
      <c r="G1311" s="27">
        <f>G1312</f>
        <v>23816000</v>
      </c>
      <c r="H1311" s="27">
        <f t="shared" ref="H1311:I1312" si="919">H1312</f>
        <v>0</v>
      </c>
      <c r="I1311" s="27">
        <f t="shared" si="919"/>
        <v>0</v>
      </c>
      <c r="J1311" s="16">
        <f>'БА в тыс. руб.'!G1311*1000</f>
        <v>23816000</v>
      </c>
      <c r="K1311" s="169">
        <f t="shared" si="907"/>
        <v>0</v>
      </c>
      <c r="L1311" s="16">
        <f>'БА в тыс. руб.'!H1311*1000</f>
        <v>0</v>
      </c>
      <c r="M1311" s="169">
        <f t="shared" si="908"/>
        <v>0</v>
      </c>
      <c r="N1311" s="16">
        <f>'БА в тыс. руб.'!I1311*1000</f>
        <v>0</v>
      </c>
      <c r="O1311" s="169">
        <f t="shared" si="909"/>
        <v>0</v>
      </c>
    </row>
    <row r="1312" spans="1:15" s="127" customFormat="1" ht="25.5">
      <c r="A1312" s="11" t="s">
        <v>108</v>
      </c>
      <c r="B1312" s="36" t="s">
        <v>18</v>
      </c>
      <c r="C1312" s="26" t="s">
        <v>37</v>
      </c>
      <c r="D1312" s="26" t="s">
        <v>25</v>
      </c>
      <c r="E1312" s="26" t="s">
        <v>834</v>
      </c>
      <c r="F1312" s="26" t="s">
        <v>116</v>
      </c>
      <c r="G1312" s="27">
        <f>G1313</f>
        <v>23816000</v>
      </c>
      <c r="H1312" s="27">
        <f t="shared" si="919"/>
        <v>0</v>
      </c>
      <c r="I1312" s="27">
        <f t="shared" si="919"/>
        <v>0</v>
      </c>
      <c r="J1312" s="16">
        <f>'БА в тыс. руб.'!G1312*1000</f>
        <v>23816000</v>
      </c>
      <c r="K1312" s="169">
        <f t="shared" si="907"/>
        <v>0</v>
      </c>
      <c r="L1312" s="16">
        <f>'БА в тыс. руб.'!H1312*1000</f>
        <v>0</v>
      </c>
      <c r="M1312" s="169">
        <f t="shared" si="908"/>
        <v>0</v>
      </c>
      <c r="N1312" s="16">
        <f>'БА в тыс. руб.'!I1312*1000</f>
        <v>0</v>
      </c>
      <c r="O1312" s="169">
        <f t="shared" si="909"/>
        <v>0</v>
      </c>
    </row>
    <row r="1313" spans="1:15" s="4" customFormat="1" ht="25.5">
      <c r="A1313" s="12" t="s">
        <v>973</v>
      </c>
      <c r="B1313" s="36" t="s">
        <v>18</v>
      </c>
      <c r="C1313" s="26" t="s">
        <v>37</v>
      </c>
      <c r="D1313" s="26" t="s">
        <v>25</v>
      </c>
      <c r="E1313" s="26" t="s">
        <v>834</v>
      </c>
      <c r="F1313" s="26" t="s">
        <v>1043</v>
      </c>
      <c r="G1313" s="27">
        <f t="shared" ref="G1313" si="920">J1313</f>
        <v>23816000</v>
      </c>
      <c r="H1313" s="27">
        <f>L1313</f>
        <v>0</v>
      </c>
      <c r="I1313" s="27">
        <f>N1313</f>
        <v>0</v>
      </c>
      <c r="J1313" s="16">
        <f>'БА в тыс. руб.'!G1313*1000</f>
        <v>23816000</v>
      </c>
      <c r="K1313" s="169">
        <f t="shared" si="907"/>
        <v>0</v>
      </c>
      <c r="L1313" s="16">
        <f>'БА в тыс. руб.'!H1313*1000</f>
        <v>0</v>
      </c>
      <c r="M1313" s="169">
        <f t="shared" si="908"/>
        <v>0</v>
      </c>
      <c r="N1313" s="16">
        <f>'БА в тыс. руб.'!I1313*1000</f>
        <v>0</v>
      </c>
      <c r="O1313" s="169">
        <f t="shared" si="909"/>
        <v>0</v>
      </c>
    </row>
    <row r="1314" spans="1:15" s="3" customFormat="1" ht="25.5">
      <c r="A1314" s="11" t="s">
        <v>902</v>
      </c>
      <c r="B1314" s="36" t="s">
        <v>18</v>
      </c>
      <c r="C1314" s="36" t="s">
        <v>37</v>
      </c>
      <c r="D1314" s="36" t="s">
        <v>25</v>
      </c>
      <c r="E1314" s="26" t="s">
        <v>909</v>
      </c>
      <c r="F1314" s="36" t="s">
        <v>58</v>
      </c>
      <c r="G1314" s="37">
        <f>G1315</f>
        <v>70108360</v>
      </c>
      <c r="H1314" s="37">
        <f>H1315</f>
        <v>84946930</v>
      </c>
      <c r="I1314" s="37">
        <f>I1315</f>
        <v>84946930</v>
      </c>
      <c r="J1314" s="16">
        <f>'БА в тыс. руб.'!G1314*1000</f>
        <v>70108360</v>
      </c>
      <c r="K1314" s="169">
        <f t="shared" si="907"/>
        <v>0</v>
      </c>
      <c r="L1314" s="16">
        <f>'БА в тыс. руб.'!H1314*1000</f>
        <v>84946930</v>
      </c>
      <c r="M1314" s="169">
        <f t="shared" si="908"/>
        <v>0</v>
      </c>
      <c r="N1314" s="16">
        <f>'БА в тыс. руб.'!I1314*1000</f>
        <v>84946930</v>
      </c>
      <c r="O1314" s="169">
        <f t="shared" si="909"/>
        <v>0</v>
      </c>
    </row>
    <row r="1315" spans="1:15" s="3" customFormat="1" ht="25.5">
      <c r="A1315" s="11" t="s">
        <v>108</v>
      </c>
      <c r="B1315" s="36" t="s">
        <v>18</v>
      </c>
      <c r="C1315" s="36" t="s">
        <v>37</v>
      </c>
      <c r="D1315" s="36" t="s">
        <v>25</v>
      </c>
      <c r="E1315" s="26" t="s">
        <v>909</v>
      </c>
      <c r="F1315" s="36" t="s">
        <v>116</v>
      </c>
      <c r="G1315" s="37">
        <f>G1316</f>
        <v>70108360</v>
      </c>
      <c r="H1315" s="37">
        <f t="shared" ref="H1315:I1315" si="921">H1316</f>
        <v>84946930</v>
      </c>
      <c r="I1315" s="37">
        <f t="shared" si="921"/>
        <v>84946930</v>
      </c>
      <c r="J1315" s="16">
        <f>'БА в тыс. руб.'!G1315*1000</f>
        <v>70108360</v>
      </c>
      <c r="K1315" s="169">
        <f t="shared" si="907"/>
        <v>0</v>
      </c>
      <c r="L1315" s="16">
        <f>'БА в тыс. руб.'!H1315*1000</f>
        <v>84946930</v>
      </c>
      <c r="M1315" s="169">
        <f t="shared" si="908"/>
        <v>0</v>
      </c>
      <c r="N1315" s="16">
        <f>'БА в тыс. руб.'!I1315*1000</f>
        <v>84946930</v>
      </c>
      <c r="O1315" s="169">
        <f t="shared" si="909"/>
        <v>0</v>
      </c>
    </row>
    <row r="1316" spans="1:15" s="4" customFormat="1" ht="25.5">
      <c r="A1316" s="12" t="s">
        <v>973</v>
      </c>
      <c r="B1316" s="36" t="s">
        <v>18</v>
      </c>
      <c r="C1316" s="36" t="s">
        <v>37</v>
      </c>
      <c r="D1316" s="36" t="s">
        <v>25</v>
      </c>
      <c r="E1316" s="26" t="s">
        <v>909</v>
      </c>
      <c r="F1316" s="36" t="s">
        <v>1043</v>
      </c>
      <c r="G1316" s="27">
        <f t="shared" ref="G1316" si="922">J1316</f>
        <v>70108360</v>
      </c>
      <c r="H1316" s="27">
        <f>L1316</f>
        <v>84946930</v>
      </c>
      <c r="I1316" s="27">
        <f>N1316</f>
        <v>84946930</v>
      </c>
      <c r="J1316" s="16">
        <f>'БА в тыс. руб.'!G1316*1000</f>
        <v>70108360</v>
      </c>
      <c r="K1316" s="169">
        <f t="shared" si="907"/>
        <v>0</v>
      </c>
      <c r="L1316" s="16">
        <f>'БА в тыс. руб.'!H1316*1000</f>
        <v>84946930</v>
      </c>
      <c r="M1316" s="169">
        <f t="shared" si="908"/>
        <v>0</v>
      </c>
      <c r="N1316" s="16">
        <f>'БА в тыс. руб.'!I1316*1000</f>
        <v>84946930</v>
      </c>
      <c r="O1316" s="169">
        <f t="shared" si="909"/>
        <v>0</v>
      </c>
    </row>
    <row r="1317" spans="1:15" s="127" customFormat="1">
      <c r="A1317" s="139" t="s">
        <v>7</v>
      </c>
      <c r="B1317" s="18" t="s">
        <v>18</v>
      </c>
      <c r="C1317" s="19" t="s">
        <v>8</v>
      </c>
      <c r="D1317" s="19" t="s">
        <v>51</v>
      </c>
      <c r="E1317" s="19" t="s">
        <v>196</v>
      </c>
      <c r="F1317" s="19" t="s">
        <v>58</v>
      </c>
      <c r="G1317" s="20">
        <f>G1318+G1326</f>
        <v>19501790</v>
      </c>
      <c r="H1317" s="20">
        <f>H1318+H1326</f>
        <v>18439720</v>
      </c>
      <c r="I1317" s="20">
        <f>I1318+I1326</f>
        <v>18439720</v>
      </c>
      <c r="J1317" s="16">
        <f>'БА в тыс. руб.'!G1317*1000</f>
        <v>19501790</v>
      </c>
      <c r="K1317" s="169">
        <f t="shared" si="907"/>
        <v>0</v>
      </c>
      <c r="L1317" s="16">
        <f>'БА в тыс. руб.'!H1317*1000</f>
        <v>18439719.999999996</v>
      </c>
      <c r="M1317" s="169">
        <f t="shared" si="908"/>
        <v>0</v>
      </c>
      <c r="N1317" s="16">
        <f>'БА в тыс. руб.'!I1317*1000</f>
        <v>18439719.999999996</v>
      </c>
      <c r="O1317" s="169">
        <f t="shared" si="909"/>
        <v>0</v>
      </c>
    </row>
    <row r="1318" spans="1:15" s="3" customFormat="1">
      <c r="A1318" s="131" t="s">
        <v>9</v>
      </c>
      <c r="B1318" s="132" t="s">
        <v>18</v>
      </c>
      <c r="C1318" s="133" t="s">
        <v>8</v>
      </c>
      <c r="D1318" s="133" t="s">
        <v>65</v>
      </c>
      <c r="E1318" s="133" t="s">
        <v>196</v>
      </c>
      <c r="F1318" s="133" t="s">
        <v>58</v>
      </c>
      <c r="G1318" s="134">
        <f>G1319</f>
        <v>3447930</v>
      </c>
      <c r="H1318" s="134">
        <f t="shared" ref="H1318:I1318" si="923">H1319</f>
        <v>3222930</v>
      </c>
      <c r="I1318" s="134">
        <f t="shared" si="923"/>
        <v>3222930</v>
      </c>
      <c r="J1318" s="16">
        <f>'БА в тыс. руб.'!G1318*1000</f>
        <v>3447930</v>
      </c>
      <c r="K1318" s="169">
        <f t="shared" si="907"/>
        <v>0</v>
      </c>
      <c r="L1318" s="16">
        <f>'БА в тыс. руб.'!H1318*1000</f>
        <v>3222930</v>
      </c>
      <c r="M1318" s="169">
        <f t="shared" si="908"/>
        <v>0</v>
      </c>
      <c r="N1318" s="16">
        <f>'БА в тыс. руб.'!I1318*1000</f>
        <v>3222930</v>
      </c>
      <c r="O1318" s="169">
        <f t="shared" si="909"/>
        <v>0</v>
      </c>
    </row>
    <row r="1319" spans="1:15" s="3" customFormat="1" ht="38.25">
      <c r="A1319" s="12" t="s">
        <v>722</v>
      </c>
      <c r="B1319" s="36" t="s">
        <v>18</v>
      </c>
      <c r="C1319" s="36" t="s">
        <v>8</v>
      </c>
      <c r="D1319" s="36" t="s">
        <v>65</v>
      </c>
      <c r="E1319" s="36" t="s">
        <v>300</v>
      </c>
      <c r="F1319" s="36" t="s">
        <v>58</v>
      </c>
      <c r="G1319" s="44">
        <f>G1320</f>
        <v>3447930</v>
      </c>
      <c r="H1319" s="44">
        <f>H1320</f>
        <v>3222930</v>
      </c>
      <c r="I1319" s="44">
        <f>I1320</f>
        <v>3222930</v>
      </c>
      <c r="J1319" s="16">
        <f>'БА в тыс. руб.'!G1319*1000</f>
        <v>3447930</v>
      </c>
      <c r="K1319" s="169">
        <f t="shared" si="907"/>
        <v>0</v>
      </c>
      <c r="L1319" s="16">
        <f>'БА в тыс. руб.'!H1319*1000</f>
        <v>3222930</v>
      </c>
      <c r="M1319" s="169">
        <f t="shared" si="908"/>
        <v>0</v>
      </c>
      <c r="N1319" s="16">
        <f>'БА в тыс. руб.'!I1319*1000</f>
        <v>3222930</v>
      </c>
      <c r="O1319" s="169">
        <f t="shared" si="909"/>
        <v>0</v>
      </c>
    </row>
    <row r="1320" spans="1:15" s="127" customFormat="1" ht="25.5">
      <c r="A1320" s="135" t="s">
        <v>155</v>
      </c>
      <c r="B1320" s="136" t="s">
        <v>18</v>
      </c>
      <c r="C1320" s="136" t="s">
        <v>8</v>
      </c>
      <c r="D1320" s="136" t="s">
        <v>65</v>
      </c>
      <c r="E1320" s="136" t="s">
        <v>495</v>
      </c>
      <c r="F1320" s="136" t="s">
        <v>58</v>
      </c>
      <c r="G1320" s="137">
        <f>G1321</f>
        <v>3447930</v>
      </c>
      <c r="H1320" s="137">
        <f>H1321</f>
        <v>3222930</v>
      </c>
      <c r="I1320" s="137">
        <f>I1321</f>
        <v>3222930</v>
      </c>
      <c r="J1320" s="16">
        <f>'БА в тыс. руб.'!G1320*1000</f>
        <v>3447930</v>
      </c>
      <c r="K1320" s="169">
        <f t="shared" si="907"/>
        <v>0</v>
      </c>
      <c r="L1320" s="16">
        <f>'БА в тыс. руб.'!H1320*1000</f>
        <v>3222930</v>
      </c>
      <c r="M1320" s="169">
        <f t="shared" si="908"/>
        <v>0</v>
      </c>
      <c r="N1320" s="16">
        <f>'БА в тыс. руб.'!I1320*1000</f>
        <v>3222930</v>
      </c>
      <c r="O1320" s="169">
        <f t="shared" si="909"/>
        <v>0</v>
      </c>
    </row>
    <row r="1321" spans="1:15" s="3" customFormat="1" ht="38.25">
      <c r="A1321" s="34" t="s">
        <v>522</v>
      </c>
      <c r="B1321" s="36" t="s">
        <v>18</v>
      </c>
      <c r="C1321" s="36" t="s">
        <v>8</v>
      </c>
      <c r="D1321" s="36" t="s">
        <v>65</v>
      </c>
      <c r="E1321" s="36" t="s">
        <v>497</v>
      </c>
      <c r="F1321" s="36" t="s">
        <v>58</v>
      </c>
      <c r="G1321" s="37">
        <f>G1322</f>
        <v>3447930</v>
      </c>
      <c r="H1321" s="37">
        <f t="shared" ref="H1321:I1321" si="924">H1322</f>
        <v>3222930</v>
      </c>
      <c r="I1321" s="37">
        <f t="shared" si="924"/>
        <v>3222930</v>
      </c>
      <c r="J1321" s="16">
        <f>'БА в тыс. руб.'!G1321*1000</f>
        <v>3447930</v>
      </c>
      <c r="K1321" s="169">
        <f t="shared" si="907"/>
        <v>0</v>
      </c>
      <c r="L1321" s="16">
        <f>'БА в тыс. руб.'!H1321*1000</f>
        <v>3222930</v>
      </c>
      <c r="M1321" s="169">
        <f t="shared" si="908"/>
        <v>0</v>
      </c>
      <c r="N1321" s="16">
        <f>'БА в тыс. руб.'!I1321*1000</f>
        <v>3222930</v>
      </c>
      <c r="O1321" s="169">
        <f t="shared" si="909"/>
        <v>0</v>
      </c>
    </row>
    <row r="1322" spans="1:15" s="3" customFormat="1" ht="25.5">
      <c r="A1322" s="138" t="s">
        <v>148</v>
      </c>
      <c r="B1322" s="36" t="s">
        <v>18</v>
      </c>
      <c r="C1322" s="36" t="s">
        <v>8</v>
      </c>
      <c r="D1322" s="36" t="s">
        <v>65</v>
      </c>
      <c r="E1322" s="36" t="s">
        <v>498</v>
      </c>
      <c r="F1322" s="36" t="s">
        <v>58</v>
      </c>
      <c r="G1322" s="37">
        <f>G1323</f>
        <v>3447930</v>
      </c>
      <c r="H1322" s="37">
        <f>H1323</f>
        <v>3222930</v>
      </c>
      <c r="I1322" s="37">
        <f>I1323</f>
        <v>3222930</v>
      </c>
      <c r="J1322" s="16">
        <f>'БА в тыс. руб.'!G1322*1000</f>
        <v>3447930</v>
      </c>
      <c r="K1322" s="169">
        <f t="shared" si="907"/>
        <v>0</v>
      </c>
      <c r="L1322" s="16">
        <f>'БА в тыс. руб.'!H1322*1000</f>
        <v>3222930</v>
      </c>
      <c r="M1322" s="169">
        <f t="shared" si="908"/>
        <v>0</v>
      </c>
      <c r="N1322" s="16">
        <f>'БА в тыс. руб.'!I1322*1000</f>
        <v>3222930</v>
      </c>
      <c r="O1322" s="169">
        <f t="shared" si="909"/>
        <v>0</v>
      </c>
    </row>
    <row r="1323" spans="1:15" s="3" customFormat="1" ht="25.5">
      <c r="A1323" s="11" t="s">
        <v>108</v>
      </c>
      <c r="B1323" s="36" t="s">
        <v>18</v>
      </c>
      <c r="C1323" s="36" t="s">
        <v>8</v>
      </c>
      <c r="D1323" s="36" t="s">
        <v>65</v>
      </c>
      <c r="E1323" s="36" t="s">
        <v>498</v>
      </c>
      <c r="F1323" s="36" t="s">
        <v>116</v>
      </c>
      <c r="G1323" s="37">
        <f>SUM(G1324:G1325)</f>
        <v>3447930</v>
      </c>
      <c r="H1323" s="37">
        <f t="shared" ref="H1323:I1323" si="925">SUM(H1324:H1325)</f>
        <v>3222930</v>
      </c>
      <c r="I1323" s="37">
        <f t="shared" si="925"/>
        <v>3222930</v>
      </c>
      <c r="J1323" s="16">
        <f>'БА в тыс. руб.'!G1323*1000</f>
        <v>3447930</v>
      </c>
      <c r="K1323" s="169">
        <f t="shared" si="907"/>
        <v>0</v>
      </c>
      <c r="L1323" s="16">
        <f>'БА в тыс. руб.'!H1323*1000</f>
        <v>3222930</v>
      </c>
      <c r="M1323" s="169">
        <f t="shared" si="908"/>
        <v>0</v>
      </c>
      <c r="N1323" s="16">
        <f>'БА в тыс. руб.'!I1323*1000</f>
        <v>3222930</v>
      </c>
      <c r="O1323" s="169">
        <f t="shared" si="909"/>
        <v>0</v>
      </c>
    </row>
    <row r="1324" spans="1:15" s="3" customFormat="1">
      <c r="A1324" s="11"/>
      <c r="B1324" s="36" t="s">
        <v>18</v>
      </c>
      <c r="C1324" s="36" t="s">
        <v>8</v>
      </c>
      <c r="D1324" s="36" t="s">
        <v>65</v>
      </c>
      <c r="E1324" s="36" t="s">
        <v>498</v>
      </c>
      <c r="F1324" s="26" t="s">
        <v>1070</v>
      </c>
      <c r="G1324" s="27">
        <f t="shared" ref="G1324:G1325" si="926">J1324</f>
        <v>870000</v>
      </c>
      <c r="H1324" s="27">
        <f t="shared" ref="H1324:H1325" si="927">L1324</f>
        <v>730000</v>
      </c>
      <c r="I1324" s="27">
        <f t="shared" ref="I1324:I1325" si="928">N1324</f>
        <v>730000</v>
      </c>
      <c r="J1324" s="16">
        <f>'БА в тыс. руб.'!G1324*1000</f>
        <v>870000</v>
      </c>
      <c r="K1324" s="169"/>
      <c r="L1324" s="16">
        <f>'БА в тыс. руб.'!H1324*1000</f>
        <v>730000</v>
      </c>
      <c r="M1324" s="169"/>
      <c r="N1324" s="16">
        <f>'БА в тыс. руб.'!I1324*1000</f>
        <v>730000</v>
      </c>
      <c r="O1324" s="169"/>
    </row>
    <row r="1325" spans="1:15" s="4" customFormat="1" ht="15" customHeight="1">
      <c r="A1325" s="12" t="s">
        <v>973</v>
      </c>
      <c r="B1325" s="36" t="s">
        <v>18</v>
      </c>
      <c r="C1325" s="36" t="s">
        <v>8</v>
      </c>
      <c r="D1325" s="36" t="s">
        <v>65</v>
      </c>
      <c r="E1325" s="36" t="s">
        <v>498</v>
      </c>
      <c r="F1325" s="26" t="s">
        <v>1043</v>
      </c>
      <c r="G1325" s="27">
        <f t="shared" si="926"/>
        <v>2577930</v>
      </c>
      <c r="H1325" s="27">
        <f t="shared" si="927"/>
        <v>2492930</v>
      </c>
      <c r="I1325" s="27">
        <f t="shared" si="928"/>
        <v>2492930</v>
      </c>
      <c r="J1325" s="16">
        <f>'БА в тыс. руб.'!G1325*1000</f>
        <v>2577930</v>
      </c>
      <c r="K1325" s="169">
        <f t="shared" si="907"/>
        <v>0</v>
      </c>
      <c r="L1325" s="16">
        <f>'БА в тыс. руб.'!H1325*1000</f>
        <v>2492930</v>
      </c>
      <c r="M1325" s="169">
        <f t="shared" si="908"/>
        <v>0</v>
      </c>
      <c r="N1325" s="16">
        <f>'БА в тыс. руб.'!I1325*1000</f>
        <v>2492930</v>
      </c>
      <c r="O1325" s="169">
        <f t="shared" si="909"/>
        <v>0</v>
      </c>
    </row>
    <row r="1326" spans="1:15" s="3" customFormat="1">
      <c r="A1326" s="128" t="s">
        <v>1</v>
      </c>
      <c r="B1326" s="22" t="s">
        <v>18</v>
      </c>
      <c r="C1326" s="23" t="s">
        <v>8</v>
      </c>
      <c r="D1326" s="23" t="s">
        <v>53</v>
      </c>
      <c r="E1326" s="23" t="s">
        <v>196</v>
      </c>
      <c r="F1326" s="23" t="s">
        <v>58</v>
      </c>
      <c r="G1326" s="24">
        <f t="shared" ref="G1326:I1328" si="929">G1327</f>
        <v>16053860</v>
      </c>
      <c r="H1326" s="24">
        <f t="shared" si="929"/>
        <v>15216790</v>
      </c>
      <c r="I1326" s="24">
        <f t="shared" si="929"/>
        <v>15216790</v>
      </c>
      <c r="J1326" s="16">
        <f>'БА в тыс. руб.'!G1326*1000</f>
        <v>16053860</v>
      </c>
      <c r="K1326" s="169">
        <f t="shared" si="907"/>
        <v>0</v>
      </c>
      <c r="L1326" s="16">
        <f>'БА в тыс. руб.'!H1326*1000</f>
        <v>15216789.999999998</v>
      </c>
      <c r="M1326" s="169">
        <f t="shared" si="908"/>
        <v>0</v>
      </c>
      <c r="N1326" s="16">
        <f>'БА в тыс. руб.'!I1326*1000</f>
        <v>15216789.999999998</v>
      </c>
      <c r="O1326" s="169">
        <f t="shared" si="909"/>
        <v>0</v>
      </c>
    </row>
    <row r="1327" spans="1:15" s="3" customFormat="1" ht="38.25">
      <c r="A1327" s="12" t="s">
        <v>722</v>
      </c>
      <c r="B1327" s="36" t="s">
        <v>18</v>
      </c>
      <c r="C1327" s="36" t="s">
        <v>8</v>
      </c>
      <c r="D1327" s="36" t="s">
        <v>53</v>
      </c>
      <c r="E1327" s="36" t="s">
        <v>300</v>
      </c>
      <c r="F1327" s="36" t="s">
        <v>58</v>
      </c>
      <c r="G1327" s="37">
        <f t="shared" si="929"/>
        <v>16053860</v>
      </c>
      <c r="H1327" s="37">
        <f t="shared" si="929"/>
        <v>15216790</v>
      </c>
      <c r="I1327" s="37">
        <f t="shared" si="929"/>
        <v>15216790</v>
      </c>
      <c r="J1327" s="16">
        <f>'БА в тыс. руб.'!G1327*1000</f>
        <v>16053860</v>
      </c>
      <c r="K1327" s="169">
        <f t="shared" si="907"/>
        <v>0</v>
      </c>
      <c r="L1327" s="16">
        <f>'БА в тыс. руб.'!H1327*1000</f>
        <v>15216789.999999998</v>
      </c>
      <c r="M1327" s="169">
        <f t="shared" si="908"/>
        <v>0</v>
      </c>
      <c r="N1327" s="16">
        <f>'БА в тыс. руб.'!I1327*1000</f>
        <v>15216789.999999998</v>
      </c>
      <c r="O1327" s="169">
        <f t="shared" si="909"/>
        <v>0</v>
      </c>
    </row>
    <row r="1328" spans="1:15" s="3" customFormat="1">
      <c r="A1328" s="148" t="s">
        <v>142</v>
      </c>
      <c r="B1328" s="36" t="s">
        <v>18</v>
      </c>
      <c r="C1328" s="36" t="s">
        <v>8</v>
      </c>
      <c r="D1328" s="36" t="s">
        <v>53</v>
      </c>
      <c r="E1328" s="36" t="s">
        <v>453</v>
      </c>
      <c r="F1328" s="36" t="s">
        <v>58</v>
      </c>
      <c r="G1328" s="37">
        <f t="shared" si="929"/>
        <v>16053860</v>
      </c>
      <c r="H1328" s="37">
        <f t="shared" si="929"/>
        <v>15216790</v>
      </c>
      <c r="I1328" s="37">
        <f t="shared" si="929"/>
        <v>15216790</v>
      </c>
      <c r="J1328" s="16">
        <f>'БА в тыс. руб.'!G1328*1000</f>
        <v>16053860</v>
      </c>
      <c r="K1328" s="169">
        <f t="shared" si="907"/>
        <v>0</v>
      </c>
      <c r="L1328" s="16">
        <f>'БА в тыс. руб.'!H1328*1000</f>
        <v>15216789.999999998</v>
      </c>
      <c r="M1328" s="169">
        <f t="shared" si="908"/>
        <v>0</v>
      </c>
      <c r="N1328" s="16">
        <f>'БА в тыс. руб.'!I1328*1000</f>
        <v>15216789.999999998</v>
      </c>
      <c r="O1328" s="169">
        <f t="shared" si="909"/>
        <v>0</v>
      </c>
    </row>
    <row r="1329" spans="1:15" s="3" customFormat="1" ht="25.5">
      <c r="A1329" s="148" t="s">
        <v>454</v>
      </c>
      <c r="B1329" s="36" t="s">
        <v>18</v>
      </c>
      <c r="C1329" s="36" t="s">
        <v>8</v>
      </c>
      <c r="D1329" s="36" t="s">
        <v>53</v>
      </c>
      <c r="E1329" s="26" t="s">
        <v>645</v>
      </c>
      <c r="F1329" s="36" t="s">
        <v>58</v>
      </c>
      <c r="G1329" s="37">
        <f>G1331+G1334</f>
        <v>16053860</v>
      </c>
      <c r="H1329" s="37">
        <f>H1331+H1334</f>
        <v>15216790</v>
      </c>
      <c r="I1329" s="37">
        <f>I1331+I1334</f>
        <v>15216790</v>
      </c>
      <c r="J1329" s="16">
        <f>'БА в тыс. руб.'!G1329*1000</f>
        <v>16053860</v>
      </c>
      <c r="K1329" s="169">
        <f t="shared" si="907"/>
        <v>0</v>
      </c>
      <c r="L1329" s="16">
        <f>'БА в тыс. руб.'!H1329*1000</f>
        <v>15216789.999999998</v>
      </c>
      <c r="M1329" s="169">
        <f t="shared" si="908"/>
        <v>0</v>
      </c>
      <c r="N1329" s="16">
        <f>'БА в тыс. руб.'!I1329*1000</f>
        <v>15216789.999999998</v>
      </c>
      <c r="O1329" s="169">
        <f t="shared" si="909"/>
        <v>0</v>
      </c>
    </row>
    <row r="1330" spans="1:15" s="3" customFormat="1" ht="25.5">
      <c r="A1330" s="148" t="s">
        <v>158</v>
      </c>
      <c r="B1330" s="36" t="s">
        <v>18</v>
      </c>
      <c r="C1330" s="36" t="s">
        <v>8</v>
      </c>
      <c r="D1330" s="36" t="s">
        <v>53</v>
      </c>
      <c r="E1330" s="26" t="s">
        <v>646</v>
      </c>
      <c r="F1330" s="36" t="s">
        <v>58</v>
      </c>
      <c r="G1330" s="37">
        <f>G1331</f>
        <v>15007510</v>
      </c>
      <c r="H1330" s="37">
        <f>H1331</f>
        <v>14275070</v>
      </c>
      <c r="I1330" s="37">
        <f>I1331</f>
        <v>14275070</v>
      </c>
      <c r="J1330" s="16">
        <f>'БА в тыс. руб.'!G1330*1000</f>
        <v>15007510</v>
      </c>
      <c r="K1330" s="169">
        <f t="shared" si="907"/>
        <v>0</v>
      </c>
      <c r="L1330" s="16">
        <f>'БА в тыс. руб.'!H1330*1000</f>
        <v>14275070</v>
      </c>
      <c r="M1330" s="169">
        <f t="shared" si="908"/>
        <v>0</v>
      </c>
      <c r="N1330" s="16">
        <f>'БА в тыс. руб.'!I1330*1000</f>
        <v>14275070</v>
      </c>
      <c r="O1330" s="169">
        <f t="shared" si="909"/>
        <v>0</v>
      </c>
    </row>
    <row r="1331" spans="1:15" s="3" customFormat="1" ht="25.5">
      <c r="A1331" s="11" t="s">
        <v>108</v>
      </c>
      <c r="B1331" s="36" t="s">
        <v>18</v>
      </c>
      <c r="C1331" s="36" t="s">
        <v>8</v>
      </c>
      <c r="D1331" s="36" t="s">
        <v>53</v>
      </c>
      <c r="E1331" s="26" t="s">
        <v>646</v>
      </c>
      <c r="F1331" s="36" t="s">
        <v>116</v>
      </c>
      <c r="G1331" s="27">
        <f>G1332</f>
        <v>15007510</v>
      </c>
      <c r="H1331" s="27">
        <f t="shared" ref="H1331:I1331" si="930">H1332</f>
        <v>14275070</v>
      </c>
      <c r="I1331" s="27">
        <f t="shared" si="930"/>
        <v>14275070</v>
      </c>
      <c r="J1331" s="16">
        <f>'БА в тыс. руб.'!G1331*1000</f>
        <v>15007510</v>
      </c>
      <c r="K1331" s="169">
        <f t="shared" si="907"/>
        <v>0</v>
      </c>
      <c r="L1331" s="16">
        <f>'БА в тыс. руб.'!H1331*1000</f>
        <v>14275070</v>
      </c>
      <c r="M1331" s="169">
        <f t="shared" si="908"/>
        <v>0</v>
      </c>
      <c r="N1331" s="16">
        <f>'БА в тыс. руб.'!I1331*1000</f>
        <v>14275070</v>
      </c>
      <c r="O1331" s="169">
        <f t="shared" si="909"/>
        <v>0</v>
      </c>
    </row>
    <row r="1332" spans="1:15" s="4" customFormat="1" ht="25.5">
      <c r="A1332" s="12" t="s">
        <v>973</v>
      </c>
      <c r="B1332" s="36" t="s">
        <v>18</v>
      </c>
      <c r="C1332" s="36" t="s">
        <v>8</v>
      </c>
      <c r="D1332" s="36" t="s">
        <v>53</v>
      </c>
      <c r="E1332" s="26" t="s">
        <v>646</v>
      </c>
      <c r="F1332" s="36" t="s">
        <v>1043</v>
      </c>
      <c r="G1332" s="27">
        <f t="shared" ref="G1332" si="931">J1332</f>
        <v>15007510</v>
      </c>
      <c r="H1332" s="27">
        <f>L1332</f>
        <v>14275070</v>
      </c>
      <c r="I1332" s="27">
        <f>N1332</f>
        <v>14275070</v>
      </c>
      <c r="J1332" s="16">
        <f>'БА в тыс. руб.'!G1332*1000</f>
        <v>15007510</v>
      </c>
      <c r="K1332" s="169">
        <f t="shared" si="907"/>
        <v>0</v>
      </c>
      <c r="L1332" s="16">
        <f>'БА в тыс. руб.'!H1332*1000</f>
        <v>14275070</v>
      </c>
      <c r="M1332" s="169">
        <f t="shared" si="908"/>
        <v>0</v>
      </c>
      <c r="N1332" s="16">
        <f>'БА в тыс. руб.'!I1332*1000</f>
        <v>14275070</v>
      </c>
      <c r="O1332" s="169">
        <f t="shared" si="909"/>
        <v>0</v>
      </c>
    </row>
    <row r="1333" spans="1:15" s="3" customFormat="1">
      <c r="A1333" s="12" t="s">
        <v>890</v>
      </c>
      <c r="B1333" s="36" t="s">
        <v>18</v>
      </c>
      <c r="C1333" s="36" t="s">
        <v>8</v>
      </c>
      <c r="D1333" s="36" t="s">
        <v>53</v>
      </c>
      <c r="E1333" s="36" t="s">
        <v>910</v>
      </c>
      <c r="F1333" s="36" t="s">
        <v>58</v>
      </c>
      <c r="G1333" s="37">
        <f>G1334</f>
        <v>1046349.9999999999</v>
      </c>
      <c r="H1333" s="37">
        <f>H1334</f>
        <v>941720</v>
      </c>
      <c r="I1333" s="37">
        <f>I1334</f>
        <v>941720</v>
      </c>
      <c r="J1333" s="16">
        <f>'БА в тыс. руб.'!G1333*1000</f>
        <v>1046349.9999999999</v>
      </c>
      <c r="K1333" s="169">
        <f t="shared" si="907"/>
        <v>0</v>
      </c>
      <c r="L1333" s="16">
        <f>'БА в тыс. руб.'!H1333*1000</f>
        <v>941720</v>
      </c>
      <c r="M1333" s="169">
        <f t="shared" si="908"/>
        <v>0</v>
      </c>
      <c r="N1333" s="16">
        <f>'БА в тыс. руб.'!I1333*1000</f>
        <v>941720</v>
      </c>
      <c r="O1333" s="169">
        <f t="shared" si="909"/>
        <v>0</v>
      </c>
    </row>
    <row r="1334" spans="1:15" s="3" customFormat="1" ht="25.5">
      <c r="A1334" s="11" t="s">
        <v>108</v>
      </c>
      <c r="B1334" s="36" t="s">
        <v>18</v>
      </c>
      <c r="C1334" s="36" t="s">
        <v>8</v>
      </c>
      <c r="D1334" s="36" t="s">
        <v>53</v>
      </c>
      <c r="E1334" s="36" t="s">
        <v>910</v>
      </c>
      <c r="F1334" s="36" t="s">
        <v>116</v>
      </c>
      <c r="G1334" s="27">
        <f>G1335</f>
        <v>1046349.9999999999</v>
      </c>
      <c r="H1334" s="27">
        <f t="shared" ref="H1334:I1334" si="932">H1335</f>
        <v>941720</v>
      </c>
      <c r="I1334" s="27">
        <f t="shared" si="932"/>
        <v>941720</v>
      </c>
      <c r="J1334" s="16">
        <f>'БА в тыс. руб.'!G1334*1000</f>
        <v>1046349.9999999999</v>
      </c>
      <c r="K1334" s="169">
        <f t="shared" si="907"/>
        <v>0</v>
      </c>
      <c r="L1334" s="16">
        <f>'БА в тыс. руб.'!H1334*1000</f>
        <v>941720</v>
      </c>
      <c r="M1334" s="169">
        <f t="shared" si="908"/>
        <v>0</v>
      </c>
      <c r="N1334" s="16">
        <f>'БА в тыс. руб.'!I1334*1000</f>
        <v>941720</v>
      </c>
      <c r="O1334" s="169">
        <f t="shared" si="909"/>
        <v>0</v>
      </c>
    </row>
    <row r="1335" spans="1:15" s="4" customFormat="1" ht="25.5">
      <c r="A1335" s="12" t="s">
        <v>973</v>
      </c>
      <c r="B1335" s="36" t="s">
        <v>18</v>
      </c>
      <c r="C1335" s="36" t="s">
        <v>8</v>
      </c>
      <c r="D1335" s="36" t="s">
        <v>53</v>
      </c>
      <c r="E1335" s="36" t="s">
        <v>910</v>
      </c>
      <c r="F1335" s="36" t="s">
        <v>1043</v>
      </c>
      <c r="G1335" s="27">
        <f t="shared" ref="G1335" si="933">J1335</f>
        <v>1046349.9999999999</v>
      </c>
      <c r="H1335" s="27">
        <f>L1335</f>
        <v>941720</v>
      </c>
      <c r="I1335" s="27">
        <f>N1335</f>
        <v>941720</v>
      </c>
      <c r="J1335" s="16">
        <f>'БА в тыс. руб.'!G1335*1000</f>
        <v>1046349.9999999999</v>
      </c>
      <c r="K1335" s="169">
        <f t="shared" si="907"/>
        <v>0</v>
      </c>
      <c r="L1335" s="16">
        <f>'БА в тыс. руб.'!H1335*1000</f>
        <v>941720</v>
      </c>
      <c r="M1335" s="169">
        <f t="shared" si="908"/>
        <v>0</v>
      </c>
      <c r="N1335" s="16">
        <f>'БА в тыс. руб.'!I1335*1000</f>
        <v>941720</v>
      </c>
      <c r="O1335" s="169">
        <f t="shared" si="909"/>
        <v>0</v>
      </c>
    </row>
    <row r="1336" spans="1:15" s="3" customFormat="1">
      <c r="A1336" s="17" t="s">
        <v>83</v>
      </c>
      <c r="B1336" s="18" t="s">
        <v>18</v>
      </c>
      <c r="C1336" s="19" t="s">
        <v>50</v>
      </c>
      <c r="D1336" s="19" t="s">
        <v>51</v>
      </c>
      <c r="E1336" s="19" t="s">
        <v>196</v>
      </c>
      <c r="F1336" s="19" t="s">
        <v>58</v>
      </c>
      <c r="G1336" s="20">
        <f t="shared" ref="G1336:I1339" si="934">G1337</f>
        <v>1612500</v>
      </c>
      <c r="H1336" s="20">
        <f t="shared" si="934"/>
        <v>1549000</v>
      </c>
      <c r="I1336" s="20">
        <f t="shared" si="934"/>
        <v>1549000</v>
      </c>
      <c r="J1336" s="16">
        <f>'БА в тыс. руб.'!G1336*1000</f>
        <v>1612500</v>
      </c>
      <c r="K1336" s="169">
        <f t="shared" si="907"/>
        <v>0</v>
      </c>
      <c r="L1336" s="16">
        <f>'БА в тыс. руб.'!H1336*1000</f>
        <v>1549000</v>
      </c>
      <c r="M1336" s="169">
        <f t="shared" si="908"/>
        <v>0</v>
      </c>
      <c r="N1336" s="16">
        <f>'БА в тыс. руб.'!I1336*1000</f>
        <v>1549000</v>
      </c>
      <c r="O1336" s="169">
        <f t="shared" si="909"/>
        <v>0</v>
      </c>
    </row>
    <row r="1337" spans="1:15" s="3" customFormat="1">
      <c r="A1337" s="128" t="s">
        <v>27</v>
      </c>
      <c r="B1337" s="22" t="s">
        <v>18</v>
      </c>
      <c r="C1337" s="23" t="s">
        <v>50</v>
      </c>
      <c r="D1337" s="23" t="s">
        <v>65</v>
      </c>
      <c r="E1337" s="23" t="s">
        <v>196</v>
      </c>
      <c r="F1337" s="23" t="s">
        <v>58</v>
      </c>
      <c r="G1337" s="24">
        <f t="shared" si="934"/>
        <v>1612500</v>
      </c>
      <c r="H1337" s="24">
        <f t="shared" si="934"/>
        <v>1549000</v>
      </c>
      <c r="I1337" s="24">
        <f t="shared" si="934"/>
        <v>1549000</v>
      </c>
      <c r="J1337" s="16">
        <f>'БА в тыс. руб.'!G1337*1000</f>
        <v>1612500</v>
      </c>
      <c r="K1337" s="169">
        <f t="shared" si="907"/>
        <v>0</v>
      </c>
      <c r="L1337" s="16">
        <f>'БА в тыс. руб.'!H1337*1000</f>
        <v>1549000</v>
      </c>
      <c r="M1337" s="169">
        <f t="shared" si="908"/>
        <v>0</v>
      </c>
      <c r="N1337" s="16">
        <f>'БА в тыс. руб.'!I1337*1000</f>
        <v>1549000</v>
      </c>
      <c r="O1337" s="169">
        <f t="shared" si="909"/>
        <v>0</v>
      </c>
    </row>
    <row r="1338" spans="1:15" s="3" customFormat="1">
      <c r="A1338" s="11" t="s">
        <v>739</v>
      </c>
      <c r="B1338" s="26" t="s">
        <v>18</v>
      </c>
      <c r="C1338" s="26" t="s">
        <v>50</v>
      </c>
      <c r="D1338" s="26" t="s">
        <v>65</v>
      </c>
      <c r="E1338" s="26" t="s">
        <v>277</v>
      </c>
      <c r="F1338" s="26" t="s">
        <v>58</v>
      </c>
      <c r="G1338" s="27">
        <f t="shared" si="934"/>
        <v>1612500</v>
      </c>
      <c r="H1338" s="27">
        <f t="shared" si="934"/>
        <v>1549000</v>
      </c>
      <c r="I1338" s="27">
        <f t="shared" si="934"/>
        <v>1549000</v>
      </c>
      <c r="J1338" s="16">
        <f>'БА в тыс. руб.'!G1338*1000</f>
        <v>1612500</v>
      </c>
      <c r="K1338" s="169">
        <f t="shared" si="907"/>
        <v>0</v>
      </c>
      <c r="L1338" s="16">
        <f>'БА в тыс. руб.'!H1338*1000</f>
        <v>1549000</v>
      </c>
      <c r="M1338" s="169">
        <f t="shared" si="908"/>
        <v>0</v>
      </c>
      <c r="N1338" s="16">
        <f>'БА в тыс. руб.'!I1338*1000</f>
        <v>1549000</v>
      </c>
      <c r="O1338" s="169">
        <f t="shared" si="909"/>
        <v>0</v>
      </c>
    </row>
    <row r="1339" spans="1:15" s="3" customFormat="1" ht="51">
      <c r="A1339" s="34" t="s">
        <v>559</v>
      </c>
      <c r="B1339" s="36" t="s">
        <v>18</v>
      </c>
      <c r="C1339" s="36" t="s">
        <v>50</v>
      </c>
      <c r="D1339" s="36" t="s">
        <v>65</v>
      </c>
      <c r="E1339" s="36" t="s">
        <v>278</v>
      </c>
      <c r="F1339" s="36" t="s">
        <v>58</v>
      </c>
      <c r="G1339" s="37">
        <f t="shared" si="934"/>
        <v>1612500</v>
      </c>
      <c r="H1339" s="37">
        <f t="shared" si="934"/>
        <v>1549000</v>
      </c>
      <c r="I1339" s="37">
        <f t="shared" si="934"/>
        <v>1549000</v>
      </c>
      <c r="J1339" s="16">
        <f>'БА в тыс. руб.'!G1339*1000</f>
        <v>1612500</v>
      </c>
      <c r="K1339" s="169">
        <f t="shared" si="907"/>
        <v>0</v>
      </c>
      <c r="L1339" s="16">
        <f>'БА в тыс. руб.'!H1339*1000</f>
        <v>1549000</v>
      </c>
      <c r="M1339" s="169">
        <f t="shared" si="908"/>
        <v>0</v>
      </c>
      <c r="N1339" s="16">
        <f>'БА в тыс. руб.'!I1339*1000</f>
        <v>1549000</v>
      </c>
      <c r="O1339" s="169">
        <f t="shared" si="909"/>
        <v>0</v>
      </c>
    </row>
    <row r="1340" spans="1:15" s="3" customFormat="1" ht="63.75">
      <c r="A1340" s="135" t="s">
        <v>605</v>
      </c>
      <c r="B1340" s="36" t="s">
        <v>18</v>
      </c>
      <c r="C1340" s="36" t="s">
        <v>50</v>
      </c>
      <c r="D1340" s="36" t="s">
        <v>65</v>
      </c>
      <c r="E1340" s="36" t="s">
        <v>279</v>
      </c>
      <c r="F1340" s="36" t="s">
        <v>58</v>
      </c>
      <c r="G1340" s="37">
        <f>G1341+G1344</f>
        <v>1612500</v>
      </c>
      <c r="H1340" s="37">
        <f>H1341+H1344</f>
        <v>1549000</v>
      </c>
      <c r="I1340" s="37">
        <f>I1341+I1344</f>
        <v>1549000</v>
      </c>
      <c r="J1340" s="16">
        <f>'БА в тыс. руб.'!G1340*1000</f>
        <v>1612500</v>
      </c>
      <c r="K1340" s="169">
        <f t="shared" si="907"/>
        <v>0</v>
      </c>
      <c r="L1340" s="16">
        <f>'БА в тыс. руб.'!H1340*1000</f>
        <v>1549000</v>
      </c>
      <c r="M1340" s="169">
        <f t="shared" si="908"/>
        <v>0</v>
      </c>
      <c r="N1340" s="16">
        <f>'БА в тыс. руб.'!I1340*1000</f>
        <v>1549000</v>
      </c>
      <c r="O1340" s="169">
        <f t="shared" si="909"/>
        <v>0</v>
      </c>
    </row>
    <row r="1341" spans="1:15" s="3" customFormat="1" ht="25.5">
      <c r="A1341" s="34" t="s">
        <v>161</v>
      </c>
      <c r="B1341" s="36" t="s">
        <v>18</v>
      </c>
      <c r="C1341" s="36" t="s">
        <v>50</v>
      </c>
      <c r="D1341" s="36" t="s">
        <v>65</v>
      </c>
      <c r="E1341" s="36" t="s">
        <v>320</v>
      </c>
      <c r="F1341" s="36" t="s">
        <v>58</v>
      </c>
      <c r="G1341" s="37">
        <f>G1342</f>
        <v>975000</v>
      </c>
      <c r="H1341" s="37">
        <f>H1342</f>
        <v>911500</v>
      </c>
      <c r="I1341" s="37">
        <f>I1342</f>
        <v>911500</v>
      </c>
      <c r="J1341" s="16">
        <f>'БА в тыс. руб.'!G1341*1000</f>
        <v>975000</v>
      </c>
      <c r="K1341" s="169">
        <f t="shared" si="907"/>
        <v>0</v>
      </c>
      <c r="L1341" s="16">
        <f>'БА в тыс. руб.'!H1341*1000</f>
        <v>911500</v>
      </c>
      <c r="M1341" s="169">
        <f t="shared" si="908"/>
        <v>0</v>
      </c>
      <c r="N1341" s="16">
        <f>'БА в тыс. руб.'!I1341*1000</f>
        <v>911500</v>
      </c>
      <c r="O1341" s="169">
        <f t="shared" si="909"/>
        <v>0</v>
      </c>
    </row>
    <row r="1342" spans="1:15" s="3" customFormat="1" ht="25.5">
      <c r="A1342" s="11" t="s">
        <v>108</v>
      </c>
      <c r="B1342" s="36" t="s">
        <v>18</v>
      </c>
      <c r="C1342" s="36" t="s">
        <v>50</v>
      </c>
      <c r="D1342" s="36" t="s">
        <v>65</v>
      </c>
      <c r="E1342" s="36" t="s">
        <v>320</v>
      </c>
      <c r="F1342" s="36" t="s">
        <v>116</v>
      </c>
      <c r="G1342" s="27">
        <f>G1343</f>
        <v>975000</v>
      </c>
      <c r="H1342" s="27">
        <f t="shared" ref="H1342:I1342" si="935">H1343</f>
        <v>911500</v>
      </c>
      <c r="I1342" s="27">
        <f t="shared" si="935"/>
        <v>911500</v>
      </c>
      <c r="J1342" s="16">
        <f>'БА в тыс. руб.'!G1342*1000</f>
        <v>975000</v>
      </c>
      <c r="K1342" s="169">
        <f t="shared" si="907"/>
        <v>0</v>
      </c>
      <c r="L1342" s="16">
        <f>'БА в тыс. руб.'!H1342*1000</f>
        <v>911500</v>
      </c>
      <c r="M1342" s="169">
        <f t="shared" si="908"/>
        <v>0</v>
      </c>
      <c r="N1342" s="16">
        <f>'БА в тыс. руб.'!I1342*1000</f>
        <v>911500</v>
      </c>
      <c r="O1342" s="169">
        <f t="shared" si="909"/>
        <v>0</v>
      </c>
    </row>
    <row r="1343" spans="1:15" s="4" customFormat="1" ht="25.5">
      <c r="A1343" s="12" t="s">
        <v>973</v>
      </c>
      <c r="B1343" s="36" t="s">
        <v>18</v>
      </c>
      <c r="C1343" s="36" t="s">
        <v>50</v>
      </c>
      <c r="D1343" s="36" t="s">
        <v>65</v>
      </c>
      <c r="E1343" s="36" t="s">
        <v>320</v>
      </c>
      <c r="F1343" s="36" t="s">
        <v>1043</v>
      </c>
      <c r="G1343" s="27">
        <f t="shared" ref="G1343" si="936">J1343</f>
        <v>975000</v>
      </c>
      <c r="H1343" s="27">
        <f>L1343</f>
        <v>911500</v>
      </c>
      <c r="I1343" s="27">
        <f>N1343</f>
        <v>911500</v>
      </c>
      <c r="J1343" s="16">
        <f>'БА в тыс. руб.'!G1343*1000</f>
        <v>975000</v>
      </c>
      <c r="K1343" s="169">
        <f t="shared" si="907"/>
        <v>0</v>
      </c>
      <c r="L1343" s="16">
        <f>'БА в тыс. руб.'!H1343*1000</f>
        <v>911500</v>
      </c>
      <c r="M1343" s="169">
        <f t="shared" si="908"/>
        <v>0</v>
      </c>
      <c r="N1343" s="16">
        <f>'БА в тыс. руб.'!I1343*1000</f>
        <v>911500</v>
      </c>
      <c r="O1343" s="169">
        <f t="shared" si="909"/>
        <v>0</v>
      </c>
    </row>
    <row r="1344" spans="1:15" s="3" customFormat="1" ht="25.5">
      <c r="A1344" s="12" t="s">
        <v>892</v>
      </c>
      <c r="B1344" s="36" t="s">
        <v>18</v>
      </c>
      <c r="C1344" s="36" t="s">
        <v>50</v>
      </c>
      <c r="D1344" s="36" t="s">
        <v>65</v>
      </c>
      <c r="E1344" s="36" t="s">
        <v>500</v>
      </c>
      <c r="F1344" s="36" t="s">
        <v>58</v>
      </c>
      <c r="G1344" s="149">
        <f>G1345</f>
        <v>637500</v>
      </c>
      <c r="H1344" s="149">
        <f>H1345</f>
        <v>637500</v>
      </c>
      <c r="I1344" s="149">
        <f>I1345</f>
        <v>637500</v>
      </c>
      <c r="J1344" s="16">
        <f>'БА в тыс. руб.'!G1344*1000</f>
        <v>637500</v>
      </c>
      <c r="K1344" s="169">
        <f t="shared" si="907"/>
        <v>0</v>
      </c>
      <c r="L1344" s="16">
        <f>'БА в тыс. руб.'!H1344*1000</f>
        <v>637500</v>
      </c>
      <c r="M1344" s="169">
        <f t="shared" si="908"/>
        <v>0</v>
      </c>
      <c r="N1344" s="16">
        <f>'БА в тыс. руб.'!I1344*1000</f>
        <v>637500</v>
      </c>
      <c r="O1344" s="169">
        <f t="shared" si="909"/>
        <v>0</v>
      </c>
    </row>
    <row r="1345" spans="1:15" s="3" customFormat="1" ht="25.5">
      <c r="A1345" s="11" t="s">
        <v>108</v>
      </c>
      <c r="B1345" s="36" t="s">
        <v>18</v>
      </c>
      <c r="C1345" s="36" t="s">
        <v>50</v>
      </c>
      <c r="D1345" s="36" t="s">
        <v>65</v>
      </c>
      <c r="E1345" s="36" t="s">
        <v>500</v>
      </c>
      <c r="F1345" s="36" t="s">
        <v>116</v>
      </c>
      <c r="G1345" s="27">
        <f>G1346</f>
        <v>637500</v>
      </c>
      <c r="H1345" s="27">
        <f t="shared" ref="H1345:I1345" si="937">H1346</f>
        <v>637500</v>
      </c>
      <c r="I1345" s="27">
        <f t="shared" si="937"/>
        <v>637500</v>
      </c>
      <c r="J1345" s="16">
        <f>'БА в тыс. руб.'!G1345*1000</f>
        <v>637500</v>
      </c>
      <c r="K1345" s="169">
        <f t="shared" si="907"/>
        <v>0</v>
      </c>
      <c r="L1345" s="16">
        <f>'БА в тыс. руб.'!H1345*1000</f>
        <v>637500</v>
      </c>
      <c r="M1345" s="169">
        <f t="shared" si="908"/>
        <v>0</v>
      </c>
      <c r="N1345" s="16">
        <f>'БА в тыс. руб.'!I1345*1000</f>
        <v>637500</v>
      </c>
      <c r="O1345" s="169">
        <f t="shared" si="909"/>
        <v>0</v>
      </c>
    </row>
    <row r="1346" spans="1:15" s="4" customFormat="1" ht="25.5">
      <c r="A1346" s="12" t="s">
        <v>973</v>
      </c>
      <c r="B1346" s="36" t="s">
        <v>18</v>
      </c>
      <c r="C1346" s="36" t="s">
        <v>50</v>
      </c>
      <c r="D1346" s="36" t="s">
        <v>65</v>
      </c>
      <c r="E1346" s="36" t="s">
        <v>500</v>
      </c>
      <c r="F1346" s="36" t="s">
        <v>1043</v>
      </c>
      <c r="G1346" s="27">
        <f t="shared" ref="G1346:G1347" si="938">J1346</f>
        <v>637500</v>
      </c>
      <c r="H1346" s="27">
        <f t="shared" ref="H1346:H1347" si="939">L1346</f>
        <v>637500</v>
      </c>
      <c r="I1346" s="27">
        <f t="shared" ref="I1346:I1347" si="940">N1346</f>
        <v>637500</v>
      </c>
      <c r="J1346" s="16">
        <f>'БА в тыс. руб.'!G1346*1000</f>
        <v>637500</v>
      </c>
      <c r="K1346" s="169">
        <f t="shared" si="907"/>
        <v>0</v>
      </c>
      <c r="L1346" s="16">
        <f>'БА в тыс. руб.'!H1346*1000</f>
        <v>637500</v>
      </c>
      <c r="M1346" s="169">
        <f t="shared" si="908"/>
        <v>0</v>
      </c>
      <c r="N1346" s="16">
        <f>'БА в тыс. руб.'!I1346*1000</f>
        <v>637500</v>
      </c>
      <c r="O1346" s="169">
        <f t="shared" si="909"/>
        <v>0</v>
      </c>
    </row>
    <row r="1347" spans="1:15" s="3" customFormat="1">
      <c r="A1347" s="11"/>
      <c r="B1347" s="36"/>
      <c r="C1347" s="36"/>
      <c r="D1347" s="36"/>
      <c r="E1347" s="36"/>
      <c r="F1347" s="36"/>
      <c r="G1347" s="27">
        <f t="shared" si="938"/>
        <v>0</v>
      </c>
      <c r="H1347" s="27">
        <f t="shared" si="939"/>
        <v>0</v>
      </c>
      <c r="I1347" s="27">
        <f t="shared" si="940"/>
        <v>0</v>
      </c>
      <c r="J1347" s="16">
        <f>'БА в тыс. руб.'!G1347*1000</f>
        <v>0</v>
      </c>
      <c r="K1347" s="169">
        <f t="shared" si="907"/>
        <v>0</v>
      </c>
      <c r="L1347" s="16">
        <f>'БА в тыс. руб.'!H1347*1000</f>
        <v>0</v>
      </c>
      <c r="M1347" s="169">
        <f t="shared" si="908"/>
        <v>0</v>
      </c>
      <c r="N1347" s="16">
        <f>'БА в тыс. руб.'!I1347*1000</f>
        <v>0</v>
      </c>
      <c r="O1347" s="169">
        <f t="shared" si="909"/>
        <v>0</v>
      </c>
    </row>
    <row r="1348" spans="1:15" s="3" customFormat="1">
      <c r="A1348" s="28" t="s">
        <v>19</v>
      </c>
      <c r="B1348" s="14" t="s">
        <v>20</v>
      </c>
      <c r="C1348" s="15" t="s">
        <v>51</v>
      </c>
      <c r="D1348" s="15" t="s">
        <v>51</v>
      </c>
      <c r="E1348" s="15" t="s">
        <v>196</v>
      </c>
      <c r="F1348" s="15" t="s">
        <v>58</v>
      </c>
      <c r="G1348" s="50">
        <f>G1349+G1365+G1428+G1503</f>
        <v>533176720</v>
      </c>
      <c r="H1348" s="50">
        <f>H1349+H1365+H1428+H1503</f>
        <v>505260590</v>
      </c>
      <c r="I1348" s="50">
        <f>I1349+I1365+I1428+I1503</f>
        <v>505260590</v>
      </c>
      <c r="J1348" s="16">
        <f>'БА в тыс. руб.'!G1348*1000</f>
        <v>533176720</v>
      </c>
      <c r="K1348" s="169">
        <f t="shared" si="907"/>
        <v>0</v>
      </c>
      <c r="L1348" s="16">
        <f>'БА в тыс. руб.'!H1348*1000</f>
        <v>505260589.99999994</v>
      </c>
      <c r="M1348" s="169">
        <f t="shared" si="908"/>
        <v>0</v>
      </c>
      <c r="N1348" s="16">
        <f>'БА в тыс. руб.'!I1348*1000</f>
        <v>505260589.99999994</v>
      </c>
      <c r="O1348" s="169">
        <f t="shared" si="909"/>
        <v>0</v>
      </c>
    </row>
    <row r="1349" spans="1:15" s="3" customFormat="1">
      <c r="A1349" s="17" t="s">
        <v>64</v>
      </c>
      <c r="B1349" s="18" t="s">
        <v>20</v>
      </c>
      <c r="C1349" s="19" t="s">
        <v>65</v>
      </c>
      <c r="D1349" s="19" t="s">
        <v>51</v>
      </c>
      <c r="E1349" s="19" t="s">
        <v>196</v>
      </c>
      <c r="F1349" s="19" t="s">
        <v>58</v>
      </c>
      <c r="G1349" s="20">
        <f t="shared" ref="G1349:I1357" si="941">G1350</f>
        <v>1874730</v>
      </c>
      <c r="H1349" s="20">
        <f t="shared" si="941"/>
        <v>1719730</v>
      </c>
      <c r="I1349" s="20">
        <f t="shared" si="941"/>
        <v>1719730</v>
      </c>
      <c r="J1349" s="16">
        <f>'БА в тыс. руб.'!G1349*1000</f>
        <v>1874730</v>
      </c>
      <c r="K1349" s="169">
        <f t="shared" si="907"/>
        <v>0</v>
      </c>
      <c r="L1349" s="16">
        <f>'БА в тыс. руб.'!H1349*1000</f>
        <v>1719730</v>
      </c>
      <c r="M1349" s="169">
        <f t="shared" si="908"/>
        <v>0</v>
      </c>
      <c r="N1349" s="16">
        <f>'БА в тыс. руб.'!I1349*1000</f>
        <v>1719730</v>
      </c>
      <c r="O1349" s="169">
        <f t="shared" si="909"/>
        <v>0</v>
      </c>
    </row>
    <row r="1350" spans="1:15" s="3" customFormat="1">
      <c r="A1350" s="21" t="s">
        <v>38</v>
      </c>
      <c r="B1350" s="22" t="s">
        <v>20</v>
      </c>
      <c r="C1350" s="23" t="s">
        <v>65</v>
      </c>
      <c r="D1350" s="23" t="s">
        <v>84</v>
      </c>
      <c r="E1350" s="23" t="s">
        <v>196</v>
      </c>
      <c r="F1350" s="23" t="s">
        <v>58</v>
      </c>
      <c r="G1350" s="24">
        <f>G1357+G1351</f>
        <v>1874730</v>
      </c>
      <c r="H1350" s="24">
        <f t="shared" ref="H1350:I1350" si="942">H1357+H1351</f>
        <v>1719730</v>
      </c>
      <c r="I1350" s="24">
        <f t="shared" si="942"/>
        <v>1719730</v>
      </c>
      <c r="J1350" s="16">
        <f>'БА в тыс. руб.'!G1350*1000</f>
        <v>1874730</v>
      </c>
      <c r="K1350" s="169">
        <f t="shared" si="907"/>
        <v>0</v>
      </c>
      <c r="L1350" s="16">
        <f>'БА в тыс. руб.'!H1350*1000</f>
        <v>1719730</v>
      </c>
      <c r="M1350" s="169">
        <f t="shared" si="908"/>
        <v>0</v>
      </c>
      <c r="N1350" s="16">
        <f>'БА в тыс. руб.'!I1350*1000</f>
        <v>1719730</v>
      </c>
      <c r="O1350" s="169">
        <f t="shared" si="909"/>
        <v>0</v>
      </c>
    </row>
    <row r="1351" spans="1:15" s="3" customFormat="1" ht="38.25">
      <c r="A1351" s="11" t="s">
        <v>745</v>
      </c>
      <c r="B1351" s="25" t="s">
        <v>20</v>
      </c>
      <c r="C1351" s="26" t="s">
        <v>65</v>
      </c>
      <c r="D1351" s="26" t="s">
        <v>84</v>
      </c>
      <c r="E1351" s="43" t="s">
        <v>280</v>
      </c>
      <c r="F1351" s="26" t="s">
        <v>58</v>
      </c>
      <c r="G1351" s="27">
        <f>G1352</f>
        <v>57230</v>
      </c>
      <c r="H1351" s="27">
        <f t="shared" ref="H1351:I1355" si="943">H1352</f>
        <v>57230</v>
      </c>
      <c r="I1351" s="27">
        <f t="shared" si="943"/>
        <v>57230</v>
      </c>
      <c r="J1351" s="16">
        <f>'БА в тыс. руб.'!G1351*1000</f>
        <v>57230</v>
      </c>
      <c r="K1351" s="169">
        <f t="shared" si="907"/>
        <v>0</v>
      </c>
      <c r="L1351" s="16">
        <f>'БА в тыс. руб.'!H1351*1000</f>
        <v>57230</v>
      </c>
      <c r="M1351" s="169">
        <f t="shared" si="908"/>
        <v>0</v>
      </c>
      <c r="N1351" s="16">
        <f>'БА в тыс. руб.'!I1351*1000</f>
        <v>57230</v>
      </c>
      <c r="O1351" s="169">
        <f t="shared" si="909"/>
        <v>0</v>
      </c>
    </row>
    <row r="1352" spans="1:15" s="3" customFormat="1" ht="51">
      <c r="A1352" s="11" t="s">
        <v>746</v>
      </c>
      <c r="B1352" s="25" t="s">
        <v>20</v>
      </c>
      <c r="C1352" s="26" t="s">
        <v>65</v>
      </c>
      <c r="D1352" s="26" t="s">
        <v>84</v>
      </c>
      <c r="E1352" s="43" t="s">
        <v>281</v>
      </c>
      <c r="F1352" s="26" t="s">
        <v>58</v>
      </c>
      <c r="G1352" s="27">
        <f>G1353</f>
        <v>57230</v>
      </c>
      <c r="H1352" s="27">
        <f t="shared" si="943"/>
        <v>57230</v>
      </c>
      <c r="I1352" s="27">
        <f t="shared" si="943"/>
        <v>57230</v>
      </c>
      <c r="J1352" s="16">
        <f>'БА в тыс. руб.'!G1352*1000</f>
        <v>57230</v>
      </c>
      <c r="K1352" s="169">
        <f t="shared" si="907"/>
        <v>0</v>
      </c>
      <c r="L1352" s="16">
        <f>'БА в тыс. руб.'!H1352*1000</f>
        <v>57230</v>
      </c>
      <c r="M1352" s="169">
        <f t="shared" si="908"/>
        <v>0</v>
      </c>
      <c r="N1352" s="16">
        <f>'БА в тыс. руб.'!I1352*1000</f>
        <v>57230</v>
      </c>
      <c r="O1352" s="169">
        <f t="shared" si="909"/>
        <v>0</v>
      </c>
    </row>
    <row r="1353" spans="1:15" s="3" customFormat="1" ht="38.25">
      <c r="A1353" s="11" t="s">
        <v>282</v>
      </c>
      <c r="B1353" s="25" t="s">
        <v>20</v>
      </c>
      <c r="C1353" s="26" t="s">
        <v>65</v>
      </c>
      <c r="D1353" s="26" t="s">
        <v>84</v>
      </c>
      <c r="E1353" s="43" t="s">
        <v>283</v>
      </c>
      <c r="F1353" s="26" t="s">
        <v>58</v>
      </c>
      <c r="G1353" s="27">
        <f>G1354</f>
        <v>57230</v>
      </c>
      <c r="H1353" s="27">
        <f t="shared" si="943"/>
        <v>57230</v>
      </c>
      <c r="I1353" s="27">
        <f t="shared" si="943"/>
        <v>57230</v>
      </c>
      <c r="J1353" s="16">
        <f>'БА в тыс. руб.'!G1353*1000</f>
        <v>57230</v>
      </c>
      <c r="K1353" s="169">
        <f t="shared" si="907"/>
        <v>0</v>
      </c>
      <c r="L1353" s="16">
        <f>'БА в тыс. руб.'!H1353*1000</f>
        <v>57230</v>
      </c>
      <c r="M1353" s="169">
        <f t="shared" si="908"/>
        <v>0</v>
      </c>
      <c r="N1353" s="16">
        <f>'БА в тыс. руб.'!I1353*1000</f>
        <v>57230</v>
      </c>
      <c r="O1353" s="169">
        <f t="shared" si="909"/>
        <v>0</v>
      </c>
    </row>
    <row r="1354" spans="1:15" s="3" customFormat="1" ht="25.5">
      <c r="A1354" s="11" t="s">
        <v>859</v>
      </c>
      <c r="B1354" s="25" t="s">
        <v>20</v>
      </c>
      <c r="C1354" s="26" t="s">
        <v>65</v>
      </c>
      <c r="D1354" s="26" t="s">
        <v>84</v>
      </c>
      <c r="E1354" s="43" t="s">
        <v>858</v>
      </c>
      <c r="F1354" s="26" t="s">
        <v>58</v>
      </c>
      <c r="G1354" s="27">
        <f>G1355</f>
        <v>57230</v>
      </c>
      <c r="H1354" s="27">
        <f t="shared" si="943"/>
        <v>57230</v>
      </c>
      <c r="I1354" s="27">
        <f t="shared" si="943"/>
        <v>57230</v>
      </c>
      <c r="J1354" s="16">
        <f>'БА в тыс. руб.'!G1354*1000</f>
        <v>57230</v>
      </c>
      <c r="K1354" s="169">
        <f t="shared" si="907"/>
        <v>0</v>
      </c>
      <c r="L1354" s="16">
        <f>'БА в тыс. руб.'!H1354*1000</f>
        <v>57230</v>
      </c>
      <c r="M1354" s="169">
        <f t="shared" si="908"/>
        <v>0</v>
      </c>
      <c r="N1354" s="16">
        <f>'БА в тыс. руб.'!I1354*1000</f>
        <v>57230</v>
      </c>
      <c r="O1354" s="169">
        <f t="shared" si="909"/>
        <v>0</v>
      </c>
    </row>
    <row r="1355" spans="1:15" s="3" customFormat="1" ht="25.5">
      <c r="A1355" s="11" t="s">
        <v>108</v>
      </c>
      <c r="B1355" s="25" t="s">
        <v>20</v>
      </c>
      <c r="C1355" s="26" t="s">
        <v>65</v>
      </c>
      <c r="D1355" s="26" t="s">
        <v>84</v>
      </c>
      <c r="E1355" s="43" t="s">
        <v>858</v>
      </c>
      <c r="F1355" s="26" t="s">
        <v>116</v>
      </c>
      <c r="G1355" s="27">
        <f>G1356</f>
        <v>57230</v>
      </c>
      <c r="H1355" s="27">
        <f t="shared" si="943"/>
        <v>57230</v>
      </c>
      <c r="I1355" s="27">
        <f t="shared" si="943"/>
        <v>57230</v>
      </c>
      <c r="J1355" s="16">
        <f>'БА в тыс. руб.'!G1355*1000</f>
        <v>57230</v>
      </c>
      <c r="K1355" s="169">
        <f t="shared" ref="K1355:K1418" si="944">J1355-G1355</f>
        <v>0</v>
      </c>
      <c r="L1355" s="16">
        <f>'БА в тыс. руб.'!H1355*1000</f>
        <v>57230</v>
      </c>
      <c r="M1355" s="169">
        <f t="shared" ref="M1355:M1418" si="945">L1355-H1355</f>
        <v>0</v>
      </c>
      <c r="N1355" s="16">
        <f>'БА в тыс. руб.'!I1355*1000</f>
        <v>57230</v>
      </c>
      <c r="O1355" s="169">
        <f t="shared" ref="O1355:O1418" si="946">N1355-I1355</f>
        <v>0</v>
      </c>
    </row>
    <row r="1356" spans="1:15" s="3" customFormat="1" ht="25.5">
      <c r="A1356" s="11" t="s">
        <v>973</v>
      </c>
      <c r="B1356" s="25" t="s">
        <v>20</v>
      </c>
      <c r="C1356" s="26" t="s">
        <v>65</v>
      </c>
      <c r="D1356" s="26" t="s">
        <v>84</v>
      </c>
      <c r="E1356" s="43" t="s">
        <v>858</v>
      </c>
      <c r="F1356" s="26" t="s">
        <v>1043</v>
      </c>
      <c r="G1356" s="27">
        <f t="shared" ref="G1356" si="947">J1356</f>
        <v>57230</v>
      </c>
      <c r="H1356" s="27">
        <f>L1356</f>
        <v>57230</v>
      </c>
      <c r="I1356" s="27">
        <f>N1356</f>
        <v>57230</v>
      </c>
      <c r="J1356" s="16">
        <f>'БА в тыс. руб.'!G1356*1000</f>
        <v>57230</v>
      </c>
      <c r="K1356" s="169">
        <f t="shared" si="944"/>
        <v>0</v>
      </c>
      <c r="L1356" s="16">
        <f>'БА в тыс. руб.'!H1356*1000</f>
        <v>57230</v>
      </c>
      <c r="M1356" s="169">
        <f t="shared" si="945"/>
        <v>0</v>
      </c>
      <c r="N1356" s="16">
        <f>'БА в тыс. руб.'!I1356*1000</f>
        <v>57230</v>
      </c>
      <c r="O1356" s="169">
        <f t="shared" si="946"/>
        <v>0</v>
      </c>
    </row>
    <row r="1357" spans="1:15" s="3" customFormat="1" ht="25.5">
      <c r="A1357" s="11" t="s">
        <v>143</v>
      </c>
      <c r="B1357" s="26" t="s">
        <v>20</v>
      </c>
      <c r="C1357" s="26" t="s">
        <v>65</v>
      </c>
      <c r="D1357" s="26" t="s">
        <v>84</v>
      </c>
      <c r="E1357" s="26" t="s">
        <v>508</v>
      </c>
      <c r="F1357" s="26" t="s">
        <v>58</v>
      </c>
      <c r="G1357" s="27">
        <f t="shared" si="941"/>
        <v>1817500</v>
      </c>
      <c r="H1357" s="27">
        <f t="shared" si="941"/>
        <v>1662500</v>
      </c>
      <c r="I1357" s="27">
        <f t="shared" si="941"/>
        <v>1662500</v>
      </c>
      <c r="J1357" s="16">
        <f>'БА в тыс. руб.'!G1357*1000</f>
        <v>1817500</v>
      </c>
      <c r="K1357" s="169">
        <f t="shared" si="944"/>
        <v>0</v>
      </c>
      <c r="L1357" s="16">
        <f>'БА в тыс. руб.'!H1357*1000</f>
        <v>1662500</v>
      </c>
      <c r="M1357" s="169">
        <f t="shared" si="945"/>
        <v>0</v>
      </c>
      <c r="N1357" s="16">
        <f>'БА в тыс. руб.'!I1357*1000</f>
        <v>1662500</v>
      </c>
      <c r="O1357" s="169">
        <f t="shared" si="946"/>
        <v>0</v>
      </c>
    </row>
    <row r="1358" spans="1:15" s="3" customFormat="1" ht="25.5">
      <c r="A1358" s="11" t="s">
        <v>144</v>
      </c>
      <c r="B1358" s="26" t="s">
        <v>20</v>
      </c>
      <c r="C1358" s="26" t="s">
        <v>65</v>
      </c>
      <c r="D1358" s="26" t="s">
        <v>84</v>
      </c>
      <c r="E1358" s="26" t="s">
        <v>509</v>
      </c>
      <c r="F1358" s="26" t="s">
        <v>58</v>
      </c>
      <c r="G1358" s="27">
        <f>G1362+G1359</f>
        <v>1817500</v>
      </c>
      <c r="H1358" s="27">
        <f t="shared" ref="H1358:I1358" si="948">H1362+H1359</f>
        <v>1662500</v>
      </c>
      <c r="I1358" s="27">
        <f t="shared" si="948"/>
        <v>1662500</v>
      </c>
      <c r="J1358" s="16">
        <f>'БА в тыс. руб.'!G1358*1000</f>
        <v>1817500</v>
      </c>
      <c r="K1358" s="169">
        <f t="shared" si="944"/>
        <v>0</v>
      </c>
      <c r="L1358" s="16">
        <f>'БА в тыс. руб.'!H1358*1000</f>
        <v>1662500</v>
      </c>
      <c r="M1358" s="169">
        <f t="shared" si="945"/>
        <v>0</v>
      </c>
      <c r="N1358" s="16">
        <f>'БА в тыс. руб.'!I1358*1000</f>
        <v>1662500</v>
      </c>
      <c r="O1358" s="169">
        <f t="shared" si="946"/>
        <v>0</v>
      </c>
    </row>
    <row r="1359" spans="1:15" s="3" customFormat="1" ht="25.5">
      <c r="A1359" s="11" t="s">
        <v>114</v>
      </c>
      <c r="B1359" s="26" t="s">
        <v>20</v>
      </c>
      <c r="C1359" s="26" t="s">
        <v>65</v>
      </c>
      <c r="D1359" s="26" t="s">
        <v>84</v>
      </c>
      <c r="E1359" s="26" t="s">
        <v>531</v>
      </c>
      <c r="F1359" s="26" t="s">
        <v>58</v>
      </c>
      <c r="G1359" s="27">
        <f>G1360</f>
        <v>1317500</v>
      </c>
      <c r="H1359" s="27">
        <f t="shared" ref="H1359:I1360" si="949">H1360</f>
        <v>1162500</v>
      </c>
      <c r="I1359" s="27">
        <f t="shared" si="949"/>
        <v>1162500</v>
      </c>
      <c r="J1359" s="16">
        <f>'БА в тыс. руб.'!G1359*1000</f>
        <v>1317500</v>
      </c>
      <c r="K1359" s="169">
        <f t="shared" si="944"/>
        <v>0</v>
      </c>
      <c r="L1359" s="16">
        <f>'БА в тыс. руб.'!H1359*1000</f>
        <v>1162500</v>
      </c>
      <c r="M1359" s="169">
        <f t="shared" si="945"/>
        <v>0</v>
      </c>
      <c r="N1359" s="16">
        <f>'БА в тыс. руб.'!I1359*1000</f>
        <v>1162500</v>
      </c>
      <c r="O1359" s="169">
        <f t="shared" si="946"/>
        <v>0</v>
      </c>
    </row>
    <row r="1360" spans="1:15" s="3" customFormat="1" ht="25.5">
      <c r="A1360" s="11" t="s">
        <v>108</v>
      </c>
      <c r="B1360" s="26" t="s">
        <v>20</v>
      </c>
      <c r="C1360" s="26" t="s">
        <v>65</v>
      </c>
      <c r="D1360" s="26" t="s">
        <v>84</v>
      </c>
      <c r="E1360" s="26" t="s">
        <v>531</v>
      </c>
      <c r="F1360" s="26" t="s">
        <v>116</v>
      </c>
      <c r="G1360" s="27">
        <f>G1361</f>
        <v>1317500</v>
      </c>
      <c r="H1360" s="27">
        <f t="shared" si="949"/>
        <v>1162500</v>
      </c>
      <c r="I1360" s="27">
        <f t="shared" si="949"/>
        <v>1162500</v>
      </c>
      <c r="J1360" s="16">
        <f>'БА в тыс. руб.'!G1360*1000</f>
        <v>1317500</v>
      </c>
      <c r="K1360" s="169">
        <f t="shared" si="944"/>
        <v>0</v>
      </c>
      <c r="L1360" s="16">
        <f>'БА в тыс. руб.'!H1360*1000</f>
        <v>1162500</v>
      </c>
      <c r="M1360" s="169">
        <f t="shared" si="945"/>
        <v>0</v>
      </c>
      <c r="N1360" s="16">
        <f>'БА в тыс. руб.'!I1360*1000</f>
        <v>1162500</v>
      </c>
      <c r="O1360" s="169">
        <f t="shared" si="946"/>
        <v>0</v>
      </c>
    </row>
    <row r="1361" spans="1:15" s="4" customFormat="1" ht="25.5">
      <c r="A1361" s="11" t="s">
        <v>973</v>
      </c>
      <c r="B1361" s="26" t="s">
        <v>20</v>
      </c>
      <c r="C1361" s="26" t="s">
        <v>65</v>
      </c>
      <c r="D1361" s="26" t="s">
        <v>84</v>
      </c>
      <c r="E1361" s="26" t="s">
        <v>531</v>
      </c>
      <c r="F1361" s="26" t="s">
        <v>1043</v>
      </c>
      <c r="G1361" s="27">
        <f t="shared" ref="G1361" si="950">J1361</f>
        <v>1317500</v>
      </c>
      <c r="H1361" s="27">
        <f>L1361</f>
        <v>1162500</v>
      </c>
      <c r="I1361" s="27">
        <f>N1361</f>
        <v>1162500</v>
      </c>
      <c r="J1361" s="16">
        <f>'БА в тыс. руб.'!G1361*1000</f>
        <v>1317500</v>
      </c>
      <c r="K1361" s="169">
        <f t="shared" si="944"/>
        <v>0</v>
      </c>
      <c r="L1361" s="16">
        <f>'БА в тыс. руб.'!H1361*1000</f>
        <v>1162500</v>
      </c>
      <c r="M1361" s="169">
        <f t="shared" si="945"/>
        <v>0</v>
      </c>
      <c r="N1361" s="16">
        <f>'БА в тыс. руб.'!I1361*1000</f>
        <v>1162500</v>
      </c>
      <c r="O1361" s="169">
        <f t="shared" si="946"/>
        <v>0</v>
      </c>
    </row>
    <row r="1362" spans="1:15" s="3" customFormat="1" ht="25.5">
      <c r="A1362" s="11" t="s">
        <v>130</v>
      </c>
      <c r="B1362" s="26" t="s">
        <v>20</v>
      </c>
      <c r="C1362" s="26" t="s">
        <v>65</v>
      </c>
      <c r="D1362" s="26" t="s">
        <v>84</v>
      </c>
      <c r="E1362" s="26" t="s">
        <v>510</v>
      </c>
      <c r="F1362" s="26" t="s">
        <v>58</v>
      </c>
      <c r="G1362" s="27">
        <f>G1363</f>
        <v>500000</v>
      </c>
      <c r="H1362" s="27">
        <f>H1363</f>
        <v>500000</v>
      </c>
      <c r="I1362" s="27">
        <f>I1363</f>
        <v>500000</v>
      </c>
      <c r="J1362" s="16">
        <f>'БА в тыс. руб.'!G1362*1000</f>
        <v>500000</v>
      </c>
      <c r="K1362" s="169">
        <f t="shared" si="944"/>
        <v>0</v>
      </c>
      <c r="L1362" s="16">
        <f>'БА в тыс. руб.'!H1362*1000</f>
        <v>500000</v>
      </c>
      <c r="M1362" s="169">
        <f t="shared" si="945"/>
        <v>0</v>
      </c>
      <c r="N1362" s="16">
        <f>'БА в тыс. руб.'!I1362*1000</f>
        <v>500000</v>
      </c>
      <c r="O1362" s="169">
        <f t="shared" si="946"/>
        <v>0</v>
      </c>
    </row>
    <row r="1363" spans="1:15" s="3" customFormat="1">
      <c r="A1363" s="11" t="s">
        <v>96</v>
      </c>
      <c r="B1363" s="26" t="s">
        <v>20</v>
      </c>
      <c r="C1363" s="26" t="s">
        <v>65</v>
      </c>
      <c r="D1363" s="26" t="s">
        <v>84</v>
      </c>
      <c r="E1363" s="26" t="s">
        <v>510</v>
      </c>
      <c r="F1363" s="26" t="s">
        <v>131</v>
      </c>
      <c r="G1363" s="27">
        <f>G1364</f>
        <v>500000</v>
      </c>
      <c r="H1363" s="27">
        <f t="shared" ref="H1363:I1363" si="951">H1364</f>
        <v>500000</v>
      </c>
      <c r="I1363" s="27">
        <f t="shared" si="951"/>
        <v>500000</v>
      </c>
      <c r="J1363" s="16">
        <f>'БА в тыс. руб.'!G1363*1000</f>
        <v>500000</v>
      </c>
      <c r="K1363" s="169">
        <f t="shared" si="944"/>
        <v>0</v>
      </c>
      <c r="L1363" s="16">
        <f>'БА в тыс. руб.'!H1363*1000</f>
        <v>500000</v>
      </c>
      <c r="M1363" s="169">
        <f t="shared" si="945"/>
        <v>0</v>
      </c>
      <c r="N1363" s="16">
        <f>'БА в тыс. руб.'!I1363*1000</f>
        <v>500000</v>
      </c>
      <c r="O1363" s="169">
        <f t="shared" si="946"/>
        <v>0</v>
      </c>
    </row>
    <row r="1364" spans="1:15" s="4" customFormat="1" ht="25.5">
      <c r="A1364" s="11" t="s">
        <v>1044</v>
      </c>
      <c r="B1364" s="26" t="s">
        <v>20</v>
      </c>
      <c r="C1364" s="26" t="s">
        <v>65</v>
      </c>
      <c r="D1364" s="26" t="s">
        <v>84</v>
      </c>
      <c r="E1364" s="26" t="s">
        <v>510</v>
      </c>
      <c r="F1364" s="26" t="s">
        <v>1045</v>
      </c>
      <c r="G1364" s="27">
        <f t="shared" ref="G1364" si="952">J1364</f>
        <v>500000</v>
      </c>
      <c r="H1364" s="27">
        <f>L1364</f>
        <v>500000</v>
      </c>
      <c r="I1364" s="27">
        <f>N1364</f>
        <v>500000</v>
      </c>
      <c r="J1364" s="16">
        <f>'БА в тыс. руб.'!G1364*1000</f>
        <v>500000</v>
      </c>
      <c r="K1364" s="169">
        <f t="shared" si="944"/>
        <v>0</v>
      </c>
      <c r="L1364" s="16">
        <f>'БА в тыс. руб.'!H1364*1000</f>
        <v>500000</v>
      </c>
      <c r="M1364" s="169">
        <f t="shared" si="945"/>
        <v>0</v>
      </c>
      <c r="N1364" s="16">
        <f>'БА в тыс. руб.'!I1364*1000</f>
        <v>500000</v>
      </c>
      <c r="O1364" s="169">
        <f t="shared" si="946"/>
        <v>0</v>
      </c>
    </row>
    <row r="1365" spans="1:15" s="3" customFormat="1">
      <c r="A1365" s="17" t="s">
        <v>35</v>
      </c>
      <c r="B1365" s="18" t="s">
        <v>20</v>
      </c>
      <c r="C1365" s="19" t="s">
        <v>37</v>
      </c>
      <c r="D1365" s="19" t="s">
        <v>51</v>
      </c>
      <c r="E1365" s="19" t="s">
        <v>196</v>
      </c>
      <c r="F1365" s="19" t="s">
        <v>58</v>
      </c>
      <c r="G1365" s="20">
        <f>G1366+G1374+G1390</f>
        <v>201142250</v>
      </c>
      <c r="H1365" s="20">
        <f>H1366+H1374+H1390</f>
        <v>201140140</v>
      </c>
      <c r="I1365" s="20">
        <f>I1366+I1374+I1390</f>
        <v>201140140</v>
      </c>
      <c r="J1365" s="16">
        <f>'БА в тыс. руб.'!G1365*1000</f>
        <v>201142250</v>
      </c>
      <c r="K1365" s="169">
        <f t="shared" si="944"/>
        <v>0</v>
      </c>
      <c r="L1365" s="16">
        <f>'БА в тыс. руб.'!H1365*1000</f>
        <v>201140139.99999997</v>
      </c>
      <c r="M1365" s="169">
        <f t="shared" si="945"/>
        <v>0</v>
      </c>
      <c r="N1365" s="16">
        <f>'БА в тыс. руб.'!I1365*1000</f>
        <v>201140139.99999997</v>
      </c>
      <c r="O1365" s="169">
        <f t="shared" si="946"/>
        <v>0</v>
      </c>
    </row>
    <row r="1366" spans="1:15" s="3" customFormat="1">
      <c r="A1366" s="21" t="s">
        <v>76</v>
      </c>
      <c r="B1366" s="22" t="s">
        <v>20</v>
      </c>
      <c r="C1366" s="23" t="s">
        <v>37</v>
      </c>
      <c r="D1366" s="23" t="s">
        <v>71</v>
      </c>
      <c r="E1366" s="23" t="s">
        <v>196</v>
      </c>
      <c r="F1366" s="23" t="s">
        <v>58</v>
      </c>
      <c r="G1366" s="24">
        <f t="shared" ref="G1366:I1370" si="953">G1367</f>
        <v>12526360</v>
      </c>
      <c r="H1366" s="24">
        <f t="shared" si="953"/>
        <v>12528970</v>
      </c>
      <c r="I1366" s="24">
        <f t="shared" si="953"/>
        <v>12528970</v>
      </c>
      <c r="J1366" s="16">
        <f>'БА в тыс. руб.'!G1366*1000</f>
        <v>12526360</v>
      </c>
      <c r="K1366" s="169">
        <f t="shared" si="944"/>
        <v>0</v>
      </c>
      <c r="L1366" s="16">
        <f>'БА в тыс. руб.'!H1366*1000</f>
        <v>12528970</v>
      </c>
      <c r="M1366" s="169">
        <f t="shared" si="945"/>
        <v>0</v>
      </c>
      <c r="N1366" s="16">
        <f>'БА в тыс. руб.'!I1366*1000</f>
        <v>12528970</v>
      </c>
      <c r="O1366" s="169">
        <f t="shared" si="946"/>
        <v>0</v>
      </c>
    </row>
    <row r="1367" spans="1:15" s="3" customFormat="1" ht="38.25">
      <c r="A1367" s="12" t="s">
        <v>722</v>
      </c>
      <c r="B1367" s="26" t="s">
        <v>20</v>
      </c>
      <c r="C1367" s="26" t="s">
        <v>37</v>
      </c>
      <c r="D1367" s="26" t="s">
        <v>71</v>
      </c>
      <c r="E1367" s="26" t="s">
        <v>300</v>
      </c>
      <c r="F1367" s="26" t="s">
        <v>58</v>
      </c>
      <c r="G1367" s="27">
        <f t="shared" si="953"/>
        <v>12526360</v>
      </c>
      <c r="H1367" s="27">
        <f t="shared" si="953"/>
        <v>12528970</v>
      </c>
      <c r="I1367" s="27">
        <f t="shared" si="953"/>
        <v>12528970</v>
      </c>
      <c r="J1367" s="16">
        <f>'БА в тыс. руб.'!G1367*1000</f>
        <v>12526360</v>
      </c>
      <c r="K1367" s="169">
        <f t="shared" si="944"/>
        <v>0</v>
      </c>
      <c r="L1367" s="16">
        <f>'БА в тыс. руб.'!H1367*1000</f>
        <v>12528970</v>
      </c>
      <c r="M1367" s="169">
        <f t="shared" si="945"/>
        <v>0</v>
      </c>
      <c r="N1367" s="16">
        <f>'БА в тыс. руб.'!I1367*1000</f>
        <v>12528970</v>
      </c>
      <c r="O1367" s="169">
        <f t="shared" si="946"/>
        <v>0</v>
      </c>
    </row>
    <row r="1368" spans="1:15" s="3" customFormat="1">
      <c r="A1368" s="11" t="s">
        <v>142</v>
      </c>
      <c r="B1368" s="26" t="s">
        <v>20</v>
      </c>
      <c r="C1368" s="26" t="s">
        <v>37</v>
      </c>
      <c r="D1368" s="26" t="s">
        <v>71</v>
      </c>
      <c r="E1368" s="26" t="s">
        <v>453</v>
      </c>
      <c r="F1368" s="26" t="s">
        <v>58</v>
      </c>
      <c r="G1368" s="27">
        <f t="shared" si="953"/>
        <v>12526360</v>
      </c>
      <c r="H1368" s="27">
        <f t="shared" si="953"/>
        <v>12528970</v>
      </c>
      <c r="I1368" s="27">
        <f t="shared" si="953"/>
        <v>12528970</v>
      </c>
      <c r="J1368" s="16">
        <f>'БА в тыс. руб.'!G1368*1000</f>
        <v>12526360</v>
      </c>
      <c r="K1368" s="169">
        <f t="shared" si="944"/>
        <v>0</v>
      </c>
      <c r="L1368" s="16">
        <f>'БА в тыс. руб.'!H1368*1000</f>
        <v>12528970</v>
      </c>
      <c r="M1368" s="169">
        <f t="shared" si="945"/>
        <v>0</v>
      </c>
      <c r="N1368" s="16">
        <f>'БА в тыс. руб.'!I1368*1000</f>
        <v>12528970</v>
      </c>
      <c r="O1368" s="169">
        <f t="shared" si="946"/>
        <v>0</v>
      </c>
    </row>
    <row r="1369" spans="1:15" s="3" customFormat="1" ht="38.25">
      <c r="A1369" s="11" t="s">
        <v>649</v>
      </c>
      <c r="B1369" s="26" t="s">
        <v>20</v>
      </c>
      <c r="C1369" s="26" t="s">
        <v>37</v>
      </c>
      <c r="D1369" s="26" t="s">
        <v>71</v>
      </c>
      <c r="E1369" s="26" t="s">
        <v>455</v>
      </c>
      <c r="F1369" s="26" t="s">
        <v>58</v>
      </c>
      <c r="G1369" s="27">
        <f>G1370</f>
        <v>12526360</v>
      </c>
      <c r="H1369" s="27">
        <f>H1370</f>
        <v>12528970</v>
      </c>
      <c r="I1369" s="27">
        <f>I1370</f>
        <v>12528970</v>
      </c>
      <c r="J1369" s="16">
        <f>'БА в тыс. руб.'!G1369*1000</f>
        <v>12526360</v>
      </c>
      <c r="K1369" s="169">
        <f t="shared" si="944"/>
        <v>0</v>
      </c>
      <c r="L1369" s="16">
        <f>'БА в тыс. руб.'!H1369*1000</f>
        <v>12528970</v>
      </c>
      <c r="M1369" s="169">
        <f t="shared" si="945"/>
        <v>0</v>
      </c>
      <c r="N1369" s="16">
        <f>'БА в тыс. руб.'!I1369*1000</f>
        <v>12528970</v>
      </c>
      <c r="O1369" s="169">
        <f t="shared" si="946"/>
        <v>0</v>
      </c>
    </row>
    <row r="1370" spans="1:15" s="3" customFormat="1" ht="25.5">
      <c r="A1370" s="11" t="s">
        <v>247</v>
      </c>
      <c r="B1370" s="26" t="s">
        <v>20</v>
      </c>
      <c r="C1370" s="26" t="s">
        <v>37</v>
      </c>
      <c r="D1370" s="26" t="s">
        <v>71</v>
      </c>
      <c r="E1370" s="26" t="s">
        <v>511</v>
      </c>
      <c r="F1370" s="26" t="s">
        <v>58</v>
      </c>
      <c r="G1370" s="27">
        <f t="shared" si="953"/>
        <v>12526360</v>
      </c>
      <c r="H1370" s="27">
        <f t="shared" si="953"/>
        <v>12528970</v>
      </c>
      <c r="I1370" s="27">
        <f t="shared" si="953"/>
        <v>12528970</v>
      </c>
      <c r="J1370" s="16">
        <f>'БА в тыс. руб.'!G1370*1000</f>
        <v>12526360</v>
      </c>
      <c r="K1370" s="169">
        <f t="shared" si="944"/>
        <v>0</v>
      </c>
      <c r="L1370" s="16">
        <f>'БА в тыс. руб.'!H1370*1000</f>
        <v>12528970</v>
      </c>
      <c r="M1370" s="169">
        <f t="shared" si="945"/>
        <v>0</v>
      </c>
      <c r="N1370" s="16">
        <f>'БА в тыс. руб.'!I1370*1000</f>
        <v>12528970</v>
      </c>
      <c r="O1370" s="169">
        <f t="shared" si="946"/>
        <v>0</v>
      </c>
    </row>
    <row r="1371" spans="1:15" s="3" customFormat="1">
      <c r="A1371" s="13" t="s">
        <v>92</v>
      </c>
      <c r="B1371" s="26" t="s">
        <v>20</v>
      </c>
      <c r="C1371" s="26" t="s">
        <v>37</v>
      </c>
      <c r="D1371" s="26" t="s">
        <v>71</v>
      </c>
      <c r="E1371" s="26" t="s">
        <v>511</v>
      </c>
      <c r="F1371" s="26" t="s">
        <v>138</v>
      </c>
      <c r="G1371" s="27">
        <f>SUM(G1372:G1373)</f>
        <v>12526360</v>
      </c>
      <c r="H1371" s="27">
        <f>SUM(H1372:H1373)</f>
        <v>12528970</v>
      </c>
      <c r="I1371" s="27">
        <f>N1371</f>
        <v>12528970</v>
      </c>
      <c r="J1371" s="16">
        <f>'БА в тыс. руб.'!G1371*1000</f>
        <v>12526360</v>
      </c>
      <c r="K1371" s="169">
        <f t="shared" si="944"/>
        <v>0</v>
      </c>
      <c r="L1371" s="16">
        <f>'БА в тыс. руб.'!H1371*1000</f>
        <v>12528970</v>
      </c>
      <c r="M1371" s="169">
        <f t="shared" si="945"/>
        <v>0</v>
      </c>
      <c r="N1371" s="16">
        <f>'БА в тыс. руб.'!I1371*1000</f>
        <v>12528970</v>
      </c>
      <c r="O1371" s="169">
        <f t="shared" si="946"/>
        <v>0</v>
      </c>
    </row>
    <row r="1372" spans="1:15" s="4" customFormat="1" ht="38.25">
      <c r="A1372" s="13" t="s">
        <v>1015</v>
      </c>
      <c r="B1372" s="26" t="s">
        <v>20</v>
      </c>
      <c r="C1372" s="26" t="s">
        <v>37</v>
      </c>
      <c r="D1372" s="26" t="s">
        <v>71</v>
      </c>
      <c r="E1372" s="26" t="s">
        <v>511</v>
      </c>
      <c r="F1372" s="26" t="s">
        <v>67</v>
      </c>
      <c r="G1372" s="27">
        <f t="shared" ref="G1372:G1373" si="954">J1372</f>
        <v>11976360</v>
      </c>
      <c r="H1372" s="27">
        <f t="shared" ref="H1372:H1373" si="955">L1372</f>
        <v>11978970</v>
      </c>
      <c r="I1372" s="27">
        <f t="shared" ref="I1372:I1373" si="956">N1372</f>
        <v>11978970</v>
      </c>
      <c r="J1372" s="16">
        <f>'БА в тыс. руб.'!G1372*1000</f>
        <v>11976360</v>
      </c>
      <c r="K1372" s="169">
        <f t="shared" si="944"/>
        <v>0</v>
      </c>
      <c r="L1372" s="16">
        <f>'БА в тыс. руб.'!H1372*1000</f>
        <v>11978970</v>
      </c>
      <c r="M1372" s="169">
        <f t="shared" si="945"/>
        <v>0</v>
      </c>
      <c r="N1372" s="16">
        <f>'БА в тыс. руб.'!I1372*1000</f>
        <v>11978970</v>
      </c>
      <c r="O1372" s="169">
        <f t="shared" si="946"/>
        <v>0</v>
      </c>
    </row>
    <row r="1373" spans="1:15" s="4" customFormat="1">
      <c r="A1373" s="13" t="s">
        <v>1016</v>
      </c>
      <c r="B1373" s="26" t="s">
        <v>20</v>
      </c>
      <c r="C1373" s="26" t="s">
        <v>37</v>
      </c>
      <c r="D1373" s="26" t="s">
        <v>71</v>
      </c>
      <c r="E1373" s="26" t="s">
        <v>511</v>
      </c>
      <c r="F1373" s="26" t="s">
        <v>1046</v>
      </c>
      <c r="G1373" s="27">
        <f t="shared" si="954"/>
        <v>550000</v>
      </c>
      <c r="H1373" s="27">
        <f t="shared" si="955"/>
        <v>550000</v>
      </c>
      <c r="I1373" s="27">
        <f t="shared" si="956"/>
        <v>550000</v>
      </c>
      <c r="J1373" s="16">
        <f>'БА в тыс. руб.'!G1373*1000</f>
        <v>550000</v>
      </c>
      <c r="K1373" s="169">
        <f t="shared" si="944"/>
        <v>0</v>
      </c>
      <c r="L1373" s="16">
        <f>'БА в тыс. руб.'!H1373*1000</f>
        <v>550000</v>
      </c>
      <c r="M1373" s="169">
        <f t="shared" si="945"/>
        <v>0</v>
      </c>
      <c r="N1373" s="16">
        <f>'БА в тыс. руб.'!I1373*1000</f>
        <v>550000</v>
      </c>
      <c r="O1373" s="169">
        <f t="shared" si="946"/>
        <v>0</v>
      </c>
    </row>
    <row r="1374" spans="1:15" s="3" customFormat="1">
      <c r="A1374" s="21" t="s">
        <v>6</v>
      </c>
      <c r="B1374" s="22" t="s">
        <v>20</v>
      </c>
      <c r="C1374" s="23" t="s">
        <v>37</v>
      </c>
      <c r="D1374" s="23" t="s">
        <v>50</v>
      </c>
      <c r="E1374" s="23" t="s">
        <v>196</v>
      </c>
      <c r="F1374" s="23" t="s">
        <v>58</v>
      </c>
      <c r="G1374" s="24">
        <f>G1375+G1381</f>
        <v>29431250</v>
      </c>
      <c r="H1374" s="24">
        <f>H1375+H1381</f>
        <v>26463870</v>
      </c>
      <c r="I1374" s="24">
        <f>I1375+I1381</f>
        <v>26463870</v>
      </c>
      <c r="J1374" s="16">
        <f>'БА в тыс. руб.'!G1374*1000</f>
        <v>29431250</v>
      </c>
      <c r="K1374" s="169">
        <f t="shared" si="944"/>
        <v>0</v>
      </c>
      <c r="L1374" s="16">
        <f>'БА в тыс. руб.'!H1374*1000</f>
        <v>26463870</v>
      </c>
      <c r="M1374" s="169">
        <f t="shared" si="945"/>
        <v>0</v>
      </c>
      <c r="N1374" s="16">
        <f>'БА в тыс. руб.'!I1374*1000</f>
        <v>26463870</v>
      </c>
      <c r="O1374" s="169">
        <f t="shared" si="946"/>
        <v>0</v>
      </c>
    </row>
    <row r="1375" spans="1:15" s="3" customFormat="1" ht="25.5">
      <c r="A1375" s="31" t="s">
        <v>727</v>
      </c>
      <c r="B1375" s="26" t="s">
        <v>20</v>
      </c>
      <c r="C1375" s="26" t="s">
        <v>37</v>
      </c>
      <c r="D1375" s="26" t="s">
        <v>50</v>
      </c>
      <c r="E1375" s="26" t="s">
        <v>327</v>
      </c>
      <c r="F1375" s="26" t="s">
        <v>58</v>
      </c>
      <c r="G1375" s="27">
        <f>G1376</f>
        <v>973250</v>
      </c>
      <c r="H1375" s="27">
        <f>H1376</f>
        <v>875930</v>
      </c>
      <c r="I1375" s="27">
        <f>I1376</f>
        <v>875930</v>
      </c>
      <c r="J1375" s="16">
        <f>'БА в тыс. руб.'!G1375*1000</f>
        <v>973250</v>
      </c>
      <c r="K1375" s="169">
        <f t="shared" si="944"/>
        <v>0</v>
      </c>
      <c r="L1375" s="16">
        <f>'БА в тыс. руб.'!H1375*1000</f>
        <v>875930</v>
      </c>
      <c r="M1375" s="169">
        <f t="shared" si="945"/>
        <v>0</v>
      </c>
      <c r="N1375" s="16">
        <f>'БА в тыс. руб.'!I1375*1000</f>
        <v>875930</v>
      </c>
      <c r="O1375" s="169">
        <f t="shared" si="946"/>
        <v>0</v>
      </c>
    </row>
    <row r="1376" spans="1:15" s="3" customFormat="1">
      <c r="A1376" s="31" t="s">
        <v>145</v>
      </c>
      <c r="B1376" s="26" t="s">
        <v>20</v>
      </c>
      <c r="C1376" s="26" t="s">
        <v>37</v>
      </c>
      <c r="D1376" s="26" t="s">
        <v>50</v>
      </c>
      <c r="E1376" s="26" t="s">
        <v>437</v>
      </c>
      <c r="F1376" s="26" t="s">
        <v>58</v>
      </c>
      <c r="G1376" s="27">
        <f>G1377</f>
        <v>973250</v>
      </c>
      <c r="H1376" s="27">
        <f t="shared" ref="H1376:I1377" si="957">H1377</f>
        <v>875930</v>
      </c>
      <c r="I1376" s="27">
        <f t="shared" si="957"/>
        <v>875930</v>
      </c>
      <c r="J1376" s="16">
        <f>'БА в тыс. руб.'!G1376*1000</f>
        <v>973250</v>
      </c>
      <c r="K1376" s="169">
        <f t="shared" si="944"/>
        <v>0</v>
      </c>
      <c r="L1376" s="16">
        <f>'БА в тыс. руб.'!H1376*1000</f>
        <v>875930</v>
      </c>
      <c r="M1376" s="169">
        <f t="shared" si="945"/>
        <v>0</v>
      </c>
      <c r="N1376" s="16">
        <f>'БА в тыс. руб.'!I1376*1000</f>
        <v>875930</v>
      </c>
      <c r="O1376" s="169">
        <f t="shared" si="946"/>
        <v>0</v>
      </c>
    </row>
    <row r="1377" spans="1:15" s="3" customFormat="1" ht="38.25">
      <c r="A1377" s="31" t="s">
        <v>513</v>
      </c>
      <c r="B1377" s="26" t="s">
        <v>20</v>
      </c>
      <c r="C1377" s="26" t="s">
        <v>37</v>
      </c>
      <c r="D1377" s="26" t="s">
        <v>50</v>
      </c>
      <c r="E1377" s="26" t="s">
        <v>438</v>
      </c>
      <c r="F1377" s="26" t="s">
        <v>58</v>
      </c>
      <c r="G1377" s="27">
        <f>G1378</f>
        <v>973250</v>
      </c>
      <c r="H1377" s="27">
        <f t="shared" si="957"/>
        <v>875930</v>
      </c>
      <c r="I1377" s="27">
        <f t="shared" si="957"/>
        <v>875930</v>
      </c>
      <c r="J1377" s="16">
        <f>'БА в тыс. руб.'!G1377*1000</f>
        <v>973250</v>
      </c>
      <c r="K1377" s="169">
        <f t="shared" si="944"/>
        <v>0</v>
      </c>
      <c r="L1377" s="16">
        <f>'БА в тыс. руб.'!H1377*1000</f>
        <v>875930</v>
      </c>
      <c r="M1377" s="169">
        <f t="shared" si="945"/>
        <v>0</v>
      </c>
      <c r="N1377" s="16">
        <f>'БА в тыс. руб.'!I1377*1000</f>
        <v>875930</v>
      </c>
      <c r="O1377" s="169">
        <f t="shared" si="946"/>
        <v>0</v>
      </c>
    </row>
    <row r="1378" spans="1:15" s="3" customFormat="1" ht="38.25">
      <c r="A1378" s="31" t="s">
        <v>706</v>
      </c>
      <c r="B1378" s="26" t="s">
        <v>20</v>
      </c>
      <c r="C1378" s="26" t="s">
        <v>37</v>
      </c>
      <c r="D1378" s="26" t="s">
        <v>50</v>
      </c>
      <c r="E1378" s="26" t="s">
        <v>766</v>
      </c>
      <c r="F1378" s="26" t="s">
        <v>58</v>
      </c>
      <c r="G1378" s="27">
        <f>G1379</f>
        <v>973250</v>
      </c>
      <c r="H1378" s="27">
        <f>H1379</f>
        <v>875930</v>
      </c>
      <c r="I1378" s="27">
        <f>I1379</f>
        <v>875930</v>
      </c>
      <c r="J1378" s="16">
        <f>'БА в тыс. руб.'!G1378*1000</f>
        <v>973250</v>
      </c>
      <c r="K1378" s="169">
        <f t="shared" si="944"/>
        <v>0</v>
      </c>
      <c r="L1378" s="16">
        <f>'БА в тыс. руб.'!H1378*1000</f>
        <v>875930</v>
      </c>
      <c r="M1378" s="169">
        <f t="shared" si="945"/>
        <v>0</v>
      </c>
      <c r="N1378" s="16">
        <f>'БА в тыс. руб.'!I1378*1000</f>
        <v>875930</v>
      </c>
      <c r="O1378" s="169">
        <f t="shared" si="946"/>
        <v>0</v>
      </c>
    </row>
    <row r="1379" spans="1:15" s="3" customFormat="1" ht="25.5">
      <c r="A1379" s="11" t="s">
        <v>108</v>
      </c>
      <c r="B1379" s="26" t="s">
        <v>20</v>
      </c>
      <c r="C1379" s="26" t="s">
        <v>37</v>
      </c>
      <c r="D1379" s="26" t="s">
        <v>50</v>
      </c>
      <c r="E1379" s="26" t="s">
        <v>766</v>
      </c>
      <c r="F1379" s="26" t="s">
        <v>116</v>
      </c>
      <c r="G1379" s="27">
        <f>G1380</f>
        <v>973250</v>
      </c>
      <c r="H1379" s="27">
        <f t="shared" ref="H1379:I1379" si="958">H1380</f>
        <v>875930</v>
      </c>
      <c r="I1379" s="27">
        <f t="shared" si="958"/>
        <v>875930</v>
      </c>
      <c r="J1379" s="16">
        <f>'БА в тыс. руб.'!G1379*1000</f>
        <v>973250</v>
      </c>
      <c r="K1379" s="169">
        <f t="shared" si="944"/>
        <v>0</v>
      </c>
      <c r="L1379" s="16">
        <f>'БА в тыс. руб.'!H1379*1000</f>
        <v>875930</v>
      </c>
      <c r="M1379" s="169">
        <f t="shared" si="945"/>
        <v>0</v>
      </c>
      <c r="N1379" s="16">
        <f>'БА в тыс. руб.'!I1379*1000</f>
        <v>875930</v>
      </c>
      <c r="O1379" s="169">
        <f t="shared" si="946"/>
        <v>0</v>
      </c>
    </row>
    <row r="1380" spans="1:15" s="4" customFormat="1" ht="25.5">
      <c r="A1380" s="11" t="s">
        <v>973</v>
      </c>
      <c r="B1380" s="26" t="s">
        <v>20</v>
      </c>
      <c r="C1380" s="26" t="s">
        <v>37</v>
      </c>
      <c r="D1380" s="26" t="s">
        <v>50</v>
      </c>
      <c r="E1380" s="26" t="s">
        <v>766</v>
      </c>
      <c r="F1380" s="26" t="s">
        <v>1043</v>
      </c>
      <c r="G1380" s="27">
        <f t="shared" ref="G1380" si="959">J1380</f>
        <v>973250</v>
      </c>
      <c r="H1380" s="27">
        <f>L1380</f>
        <v>875930</v>
      </c>
      <c r="I1380" s="27">
        <f>N1380</f>
        <v>875930</v>
      </c>
      <c r="J1380" s="16">
        <f>'БА в тыс. руб.'!G1380*1000</f>
        <v>973250</v>
      </c>
      <c r="K1380" s="169">
        <f t="shared" si="944"/>
        <v>0</v>
      </c>
      <c r="L1380" s="16">
        <f>'БА в тыс. руб.'!H1380*1000</f>
        <v>875930</v>
      </c>
      <c r="M1380" s="169">
        <f t="shared" si="945"/>
        <v>0</v>
      </c>
      <c r="N1380" s="16">
        <f>'БА в тыс. руб.'!I1380*1000</f>
        <v>875930</v>
      </c>
      <c r="O1380" s="169">
        <f t="shared" si="946"/>
        <v>0</v>
      </c>
    </row>
    <row r="1381" spans="1:15" s="3" customFormat="1" ht="38.25">
      <c r="A1381" s="12" t="s">
        <v>722</v>
      </c>
      <c r="B1381" s="26" t="s">
        <v>20</v>
      </c>
      <c r="C1381" s="26" t="s">
        <v>37</v>
      </c>
      <c r="D1381" s="26" t="s">
        <v>50</v>
      </c>
      <c r="E1381" s="26" t="s">
        <v>300</v>
      </c>
      <c r="F1381" s="26" t="s">
        <v>58</v>
      </c>
      <c r="G1381" s="27">
        <f t="shared" ref="G1381:I1382" si="960">G1382</f>
        <v>28458000</v>
      </c>
      <c r="H1381" s="27">
        <f t="shared" si="960"/>
        <v>25587940</v>
      </c>
      <c r="I1381" s="27">
        <f t="shared" si="960"/>
        <v>25587940</v>
      </c>
      <c r="J1381" s="16">
        <f>'БА в тыс. руб.'!G1381*1000</f>
        <v>28458000</v>
      </c>
      <c r="K1381" s="169">
        <f t="shared" si="944"/>
        <v>0</v>
      </c>
      <c r="L1381" s="16">
        <f>'БА в тыс. руб.'!H1381*1000</f>
        <v>25587940</v>
      </c>
      <c r="M1381" s="169">
        <f t="shared" si="945"/>
        <v>0</v>
      </c>
      <c r="N1381" s="16">
        <f>'БА в тыс. руб.'!I1381*1000</f>
        <v>25587940</v>
      </c>
      <c r="O1381" s="169">
        <f t="shared" si="946"/>
        <v>0</v>
      </c>
    </row>
    <row r="1382" spans="1:15" s="3" customFormat="1" ht="38.25">
      <c r="A1382" s="40" t="s">
        <v>729</v>
      </c>
      <c r="B1382" s="26" t="s">
        <v>20</v>
      </c>
      <c r="C1382" s="26" t="s">
        <v>37</v>
      </c>
      <c r="D1382" s="26" t="s">
        <v>50</v>
      </c>
      <c r="E1382" s="26" t="s">
        <v>301</v>
      </c>
      <c r="F1382" s="26" t="s">
        <v>58</v>
      </c>
      <c r="G1382" s="27">
        <f t="shared" si="960"/>
        <v>28458000</v>
      </c>
      <c r="H1382" s="27">
        <f t="shared" si="960"/>
        <v>25587940</v>
      </c>
      <c r="I1382" s="27">
        <f t="shared" si="960"/>
        <v>25587940</v>
      </c>
      <c r="J1382" s="16">
        <f>'БА в тыс. руб.'!G1382*1000</f>
        <v>28458000</v>
      </c>
      <c r="K1382" s="169">
        <f t="shared" si="944"/>
        <v>0</v>
      </c>
      <c r="L1382" s="16">
        <f>'БА в тыс. руб.'!H1382*1000</f>
        <v>25587940</v>
      </c>
      <c r="M1382" s="169">
        <f t="shared" si="945"/>
        <v>0</v>
      </c>
      <c r="N1382" s="16">
        <f>'БА в тыс. руб.'!I1382*1000</f>
        <v>25587940</v>
      </c>
      <c r="O1382" s="169">
        <f t="shared" si="946"/>
        <v>0</v>
      </c>
    </row>
    <row r="1383" spans="1:15" s="3" customFormat="1" ht="38.25">
      <c r="A1383" s="31" t="s">
        <v>654</v>
      </c>
      <c r="B1383" s="26" t="s">
        <v>20</v>
      </c>
      <c r="C1383" s="26" t="s">
        <v>37</v>
      </c>
      <c r="D1383" s="26" t="s">
        <v>50</v>
      </c>
      <c r="E1383" s="26" t="s">
        <v>514</v>
      </c>
      <c r="F1383" s="26" t="s">
        <v>58</v>
      </c>
      <c r="G1383" s="27">
        <f>G1384+G1387</f>
        <v>28458000</v>
      </c>
      <c r="H1383" s="27">
        <f>H1384+H1387</f>
        <v>25587940</v>
      </c>
      <c r="I1383" s="27">
        <f>I1384+I1387</f>
        <v>25587940</v>
      </c>
      <c r="J1383" s="16">
        <f>'БА в тыс. руб.'!G1383*1000</f>
        <v>28458000</v>
      </c>
      <c r="K1383" s="169">
        <f t="shared" si="944"/>
        <v>0</v>
      </c>
      <c r="L1383" s="16">
        <f>'БА в тыс. руб.'!H1383*1000</f>
        <v>25587940</v>
      </c>
      <c r="M1383" s="169">
        <f t="shared" si="945"/>
        <v>0</v>
      </c>
      <c r="N1383" s="16">
        <f>'БА в тыс. руб.'!I1383*1000</f>
        <v>25587940</v>
      </c>
      <c r="O1383" s="169">
        <f t="shared" si="946"/>
        <v>0</v>
      </c>
    </row>
    <row r="1384" spans="1:15" s="3" customFormat="1" ht="25.5">
      <c r="A1384" s="31" t="s">
        <v>247</v>
      </c>
      <c r="B1384" s="26" t="s">
        <v>20</v>
      </c>
      <c r="C1384" s="26" t="s">
        <v>37</v>
      </c>
      <c r="D1384" s="26" t="s">
        <v>50</v>
      </c>
      <c r="E1384" s="26" t="s">
        <v>515</v>
      </c>
      <c r="F1384" s="26" t="s">
        <v>58</v>
      </c>
      <c r="G1384" s="27">
        <f>G1385</f>
        <v>4018800</v>
      </c>
      <c r="H1384" s="27">
        <f>H1385</f>
        <v>4023940</v>
      </c>
      <c r="I1384" s="27">
        <f>I1385</f>
        <v>4023940</v>
      </c>
      <c r="J1384" s="16">
        <f>'БА в тыс. руб.'!G1384*1000</f>
        <v>4018800</v>
      </c>
      <c r="K1384" s="169">
        <f t="shared" si="944"/>
        <v>0</v>
      </c>
      <c r="L1384" s="16">
        <f>'БА в тыс. руб.'!H1384*1000</f>
        <v>4023940</v>
      </c>
      <c r="M1384" s="169">
        <f t="shared" si="945"/>
        <v>0</v>
      </c>
      <c r="N1384" s="16">
        <f>'БА в тыс. руб.'!I1384*1000</f>
        <v>4023940</v>
      </c>
      <c r="O1384" s="169">
        <f t="shared" si="946"/>
        <v>0</v>
      </c>
    </row>
    <row r="1385" spans="1:15" s="3" customFormat="1">
      <c r="A1385" s="13" t="s">
        <v>92</v>
      </c>
      <c r="B1385" s="26" t="s">
        <v>20</v>
      </c>
      <c r="C1385" s="26" t="s">
        <v>37</v>
      </c>
      <c r="D1385" s="26" t="s">
        <v>50</v>
      </c>
      <c r="E1385" s="26" t="s">
        <v>515</v>
      </c>
      <c r="F1385" s="26" t="s">
        <v>138</v>
      </c>
      <c r="G1385" s="27">
        <f>G1386</f>
        <v>4018800</v>
      </c>
      <c r="H1385" s="27">
        <f t="shared" ref="H1385:I1385" si="961">H1386</f>
        <v>4023940</v>
      </c>
      <c r="I1385" s="27">
        <f t="shared" si="961"/>
        <v>4023940</v>
      </c>
      <c r="J1385" s="16">
        <f>'БА в тыс. руб.'!G1385*1000</f>
        <v>4018800</v>
      </c>
      <c r="K1385" s="169">
        <f t="shared" si="944"/>
        <v>0</v>
      </c>
      <c r="L1385" s="16">
        <f>'БА в тыс. руб.'!H1385*1000</f>
        <v>4023940</v>
      </c>
      <c r="M1385" s="169">
        <f t="shared" si="945"/>
        <v>0</v>
      </c>
      <c r="N1385" s="16">
        <f>'БА в тыс. руб.'!I1385*1000</f>
        <v>4023940</v>
      </c>
      <c r="O1385" s="169">
        <f t="shared" si="946"/>
        <v>0</v>
      </c>
    </row>
    <row r="1386" spans="1:15" s="4" customFormat="1" ht="38.25">
      <c r="A1386" s="13" t="s">
        <v>1015</v>
      </c>
      <c r="B1386" s="26" t="s">
        <v>20</v>
      </c>
      <c r="C1386" s="26" t="s">
        <v>37</v>
      </c>
      <c r="D1386" s="26" t="s">
        <v>50</v>
      </c>
      <c r="E1386" s="26" t="s">
        <v>515</v>
      </c>
      <c r="F1386" s="26" t="s">
        <v>67</v>
      </c>
      <c r="G1386" s="27">
        <f t="shared" ref="G1386" si="962">J1386</f>
        <v>4018800</v>
      </c>
      <c r="H1386" s="27">
        <f>L1386</f>
        <v>4023940</v>
      </c>
      <c r="I1386" s="27">
        <f>N1386</f>
        <v>4023940</v>
      </c>
      <c r="J1386" s="16">
        <f>'БА в тыс. руб.'!G1386*1000</f>
        <v>4018800</v>
      </c>
      <c r="K1386" s="169">
        <f t="shared" si="944"/>
        <v>0</v>
      </c>
      <c r="L1386" s="16">
        <f>'БА в тыс. руб.'!H1386*1000</f>
        <v>4023940</v>
      </c>
      <c r="M1386" s="169">
        <f t="shared" si="945"/>
        <v>0</v>
      </c>
      <c r="N1386" s="16">
        <f>'БА в тыс. руб.'!I1386*1000</f>
        <v>4023940</v>
      </c>
      <c r="O1386" s="169">
        <f t="shared" si="946"/>
        <v>0</v>
      </c>
    </row>
    <row r="1387" spans="1:15" s="3" customFormat="1" ht="25.5">
      <c r="A1387" s="31" t="s">
        <v>768</v>
      </c>
      <c r="B1387" s="26" t="s">
        <v>20</v>
      </c>
      <c r="C1387" s="26" t="s">
        <v>37</v>
      </c>
      <c r="D1387" s="26" t="s">
        <v>50</v>
      </c>
      <c r="E1387" s="26" t="s">
        <v>516</v>
      </c>
      <c r="F1387" s="26" t="s">
        <v>58</v>
      </c>
      <c r="G1387" s="27">
        <f>G1388</f>
        <v>24439200</v>
      </c>
      <c r="H1387" s="27">
        <f>H1388</f>
        <v>21564000</v>
      </c>
      <c r="I1387" s="27">
        <f>I1388</f>
        <v>21564000</v>
      </c>
      <c r="J1387" s="16">
        <f>'БА в тыс. руб.'!G1387*1000</f>
        <v>24439200</v>
      </c>
      <c r="K1387" s="169">
        <f t="shared" si="944"/>
        <v>0</v>
      </c>
      <c r="L1387" s="16">
        <f>'БА в тыс. руб.'!H1387*1000</f>
        <v>21564000</v>
      </c>
      <c r="M1387" s="169">
        <f t="shared" si="945"/>
        <v>0</v>
      </c>
      <c r="N1387" s="16">
        <f>'БА в тыс. руб.'!I1387*1000</f>
        <v>21564000</v>
      </c>
      <c r="O1387" s="169">
        <f t="shared" si="946"/>
        <v>0</v>
      </c>
    </row>
    <row r="1388" spans="1:15" s="3" customFormat="1" ht="38.25">
      <c r="A1388" s="46" t="s">
        <v>561</v>
      </c>
      <c r="B1388" s="26" t="s">
        <v>20</v>
      </c>
      <c r="C1388" s="26" t="s">
        <v>37</v>
      </c>
      <c r="D1388" s="26" t="s">
        <v>50</v>
      </c>
      <c r="E1388" s="26" t="s">
        <v>516</v>
      </c>
      <c r="F1388" s="26" t="s">
        <v>101</v>
      </c>
      <c r="G1388" s="27">
        <f>G1389</f>
        <v>24439200</v>
      </c>
      <c r="H1388" s="27">
        <f t="shared" ref="H1388:I1388" si="963">H1389</f>
        <v>21564000</v>
      </c>
      <c r="I1388" s="27">
        <f t="shared" si="963"/>
        <v>21564000</v>
      </c>
      <c r="J1388" s="16">
        <f>'БА в тыс. руб.'!G1388*1000</f>
        <v>24439200</v>
      </c>
      <c r="K1388" s="169">
        <f t="shared" si="944"/>
        <v>0</v>
      </c>
      <c r="L1388" s="16">
        <f>'БА в тыс. руб.'!H1388*1000</f>
        <v>21564000</v>
      </c>
      <c r="M1388" s="169">
        <f t="shared" si="945"/>
        <v>0</v>
      </c>
      <c r="N1388" s="16">
        <f>'БА в тыс. руб.'!I1388*1000</f>
        <v>21564000</v>
      </c>
      <c r="O1388" s="169">
        <f t="shared" si="946"/>
        <v>0</v>
      </c>
    </row>
    <row r="1389" spans="1:15" s="4" customFormat="1" ht="76.5">
      <c r="A1389" s="46" t="s">
        <v>1048</v>
      </c>
      <c r="B1389" s="26" t="s">
        <v>20</v>
      </c>
      <c r="C1389" s="26" t="s">
        <v>37</v>
      </c>
      <c r="D1389" s="26" t="s">
        <v>50</v>
      </c>
      <c r="E1389" s="26" t="s">
        <v>516</v>
      </c>
      <c r="F1389" s="26" t="s">
        <v>1051</v>
      </c>
      <c r="G1389" s="27">
        <f t="shared" ref="G1389" si="964">J1389</f>
        <v>24439200</v>
      </c>
      <c r="H1389" s="27">
        <f>L1389</f>
        <v>21564000</v>
      </c>
      <c r="I1389" s="27">
        <f>N1389</f>
        <v>21564000</v>
      </c>
      <c r="J1389" s="16">
        <f>'БА в тыс. руб.'!G1389*1000</f>
        <v>24439200</v>
      </c>
      <c r="K1389" s="169">
        <f t="shared" si="944"/>
        <v>0</v>
      </c>
      <c r="L1389" s="16">
        <f>'БА в тыс. руб.'!H1389*1000</f>
        <v>21564000</v>
      </c>
      <c r="M1389" s="169">
        <f t="shared" si="945"/>
        <v>0</v>
      </c>
      <c r="N1389" s="16">
        <f>'БА в тыс. руб.'!I1389*1000</f>
        <v>21564000</v>
      </c>
      <c r="O1389" s="169">
        <f t="shared" si="946"/>
        <v>0</v>
      </c>
    </row>
    <row r="1390" spans="1:15" s="3" customFormat="1">
      <c r="A1390" s="21" t="s">
        <v>88</v>
      </c>
      <c r="B1390" s="22" t="s">
        <v>20</v>
      </c>
      <c r="C1390" s="23" t="s">
        <v>37</v>
      </c>
      <c r="D1390" s="23" t="s">
        <v>25</v>
      </c>
      <c r="E1390" s="23" t="s">
        <v>196</v>
      </c>
      <c r="F1390" s="23" t="s">
        <v>58</v>
      </c>
      <c r="G1390" s="24">
        <f>G1391+G1397</f>
        <v>159184640</v>
      </c>
      <c r="H1390" s="24">
        <f>H1391+H1397</f>
        <v>162147300</v>
      </c>
      <c r="I1390" s="24">
        <f>I1391+I1397</f>
        <v>162147300</v>
      </c>
      <c r="J1390" s="16">
        <f>'БА в тыс. руб.'!G1390*1000</f>
        <v>159184639.99999997</v>
      </c>
      <c r="K1390" s="169">
        <f t="shared" si="944"/>
        <v>0</v>
      </c>
      <c r="L1390" s="16">
        <f>'БА в тыс. руб.'!H1390*1000</f>
        <v>162147300</v>
      </c>
      <c r="M1390" s="169">
        <f t="shared" si="945"/>
        <v>0</v>
      </c>
      <c r="N1390" s="16">
        <f>'БА в тыс. руб.'!I1390*1000</f>
        <v>162147300</v>
      </c>
      <c r="O1390" s="169">
        <f t="shared" si="946"/>
        <v>0</v>
      </c>
    </row>
    <row r="1391" spans="1:15" s="3" customFormat="1" ht="38.25">
      <c r="A1391" s="31" t="s">
        <v>725</v>
      </c>
      <c r="B1391" s="25" t="s">
        <v>20</v>
      </c>
      <c r="C1391" s="25" t="s">
        <v>37</v>
      </c>
      <c r="D1391" s="25" t="s">
        <v>25</v>
      </c>
      <c r="E1391" s="25" t="s">
        <v>296</v>
      </c>
      <c r="F1391" s="25" t="s">
        <v>58</v>
      </c>
      <c r="G1391" s="42">
        <f t="shared" ref="G1391:I1395" si="965">G1392</f>
        <v>5251460</v>
      </c>
      <c r="H1391" s="42">
        <f t="shared" si="965"/>
        <v>5251460</v>
      </c>
      <c r="I1391" s="42">
        <f t="shared" si="965"/>
        <v>5251460</v>
      </c>
      <c r="J1391" s="16">
        <f>'БА в тыс. руб.'!G1391*1000</f>
        <v>5251460</v>
      </c>
      <c r="K1391" s="169">
        <f t="shared" si="944"/>
        <v>0</v>
      </c>
      <c r="L1391" s="16">
        <f>'БА в тыс. руб.'!H1391*1000</f>
        <v>5251460</v>
      </c>
      <c r="M1391" s="169">
        <f t="shared" si="945"/>
        <v>0</v>
      </c>
      <c r="N1391" s="16">
        <f>'БА в тыс. руб.'!I1391*1000</f>
        <v>5251460</v>
      </c>
      <c r="O1391" s="169">
        <f t="shared" si="946"/>
        <v>0</v>
      </c>
    </row>
    <row r="1392" spans="1:15" s="3" customFormat="1" ht="51">
      <c r="A1392" s="11" t="s">
        <v>726</v>
      </c>
      <c r="B1392" s="25" t="s">
        <v>20</v>
      </c>
      <c r="C1392" s="25" t="s">
        <v>37</v>
      </c>
      <c r="D1392" s="25" t="s">
        <v>25</v>
      </c>
      <c r="E1392" s="25" t="s">
        <v>297</v>
      </c>
      <c r="F1392" s="25" t="s">
        <v>58</v>
      </c>
      <c r="G1392" s="42">
        <f t="shared" si="965"/>
        <v>5251460</v>
      </c>
      <c r="H1392" s="42">
        <f t="shared" si="965"/>
        <v>5251460</v>
      </c>
      <c r="I1392" s="42">
        <f t="shared" si="965"/>
        <v>5251460</v>
      </c>
      <c r="J1392" s="16">
        <f>'БА в тыс. руб.'!G1392*1000</f>
        <v>5251460</v>
      </c>
      <c r="K1392" s="169">
        <f t="shared" si="944"/>
        <v>0</v>
      </c>
      <c r="L1392" s="16">
        <f>'БА в тыс. руб.'!H1392*1000</f>
        <v>5251460</v>
      </c>
      <c r="M1392" s="169">
        <f t="shared" si="945"/>
        <v>0</v>
      </c>
      <c r="N1392" s="16">
        <f>'БА в тыс. руб.'!I1392*1000</f>
        <v>5251460</v>
      </c>
      <c r="O1392" s="169">
        <f t="shared" si="946"/>
        <v>0</v>
      </c>
    </row>
    <row r="1393" spans="1:15" s="3" customFormat="1" ht="51">
      <c r="A1393" s="12" t="s">
        <v>620</v>
      </c>
      <c r="B1393" s="25" t="s">
        <v>20</v>
      </c>
      <c r="C1393" s="25" t="s">
        <v>37</v>
      </c>
      <c r="D1393" s="25" t="s">
        <v>25</v>
      </c>
      <c r="E1393" s="25" t="s">
        <v>512</v>
      </c>
      <c r="F1393" s="25" t="s">
        <v>58</v>
      </c>
      <c r="G1393" s="42">
        <f t="shared" si="965"/>
        <v>5251460</v>
      </c>
      <c r="H1393" s="42">
        <f t="shared" si="965"/>
        <v>5251460</v>
      </c>
      <c r="I1393" s="42">
        <f t="shared" si="965"/>
        <v>5251460</v>
      </c>
      <c r="J1393" s="16">
        <f>'БА в тыс. руб.'!G1393*1000</f>
        <v>5251460</v>
      </c>
      <c r="K1393" s="169">
        <f t="shared" si="944"/>
        <v>0</v>
      </c>
      <c r="L1393" s="16">
        <f>'БА в тыс. руб.'!H1393*1000</f>
        <v>5251460</v>
      </c>
      <c r="M1393" s="169">
        <f t="shared" si="945"/>
        <v>0</v>
      </c>
      <c r="N1393" s="16">
        <f>'БА в тыс. руб.'!I1393*1000</f>
        <v>5251460</v>
      </c>
      <c r="O1393" s="169">
        <f t="shared" si="946"/>
        <v>0</v>
      </c>
    </row>
    <row r="1394" spans="1:15" s="3" customFormat="1" ht="51">
      <c r="A1394" s="12" t="s">
        <v>893</v>
      </c>
      <c r="B1394" s="25" t="s">
        <v>20</v>
      </c>
      <c r="C1394" s="25" t="s">
        <v>37</v>
      </c>
      <c r="D1394" s="25" t="s">
        <v>25</v>
      </c>
      <c r="E1394" s="25" t="s">
        <v>517</v>
      </c>
      <c r="F1394" s="25" t="s">
        <v>58</v>
      </c>
      <c r="G1394" s="42">
        <f t="shared" si="965"/>
        <v>5251460</v>
      </c>
      <c r="H1394" s="42">
        <f t="shared" si="965"/>
        <v>5251460</v>
      </c>
      <c r="I1394" s="42">
        <f t="shared" si="965"/>
        <v>5251460</v>
      </c>
      <c r="J1394" s="16">
        <f>'БА в тыс. руб.'!G1394*1000</f>
        <v>5251460</v>
      </c>
      <c r="K1394" s="169">
        <f t="shared" si="944"/>
        <v>0</v>
      </c>
      <c r="L1394" s="16">
        <f>'БА в тыс. руб.'!H1394*1000</f>
        <v>5251460</v>
      </c>
      <c r="M1394" s="169">
        <f t="shared" si="945"/>
        <v>0</v>
      </c>
      <c r="N1394" s="16">
        <f>'БА в тыс. руб.'!I1394*1000</f>
        <v>5251460</v>
      </c>
      <c r="O1394" s="169">
        <f t="shared" si="946"/>
        <v>0</v>
      </c>
    </row>
    <row r="1395" spans="1:15" s="3" customFormat="1" ht="25.5">
      <c r="A1395" s="11" t="s">
        <v>108</v>
      </c>
      <c r="B1395" s="25" t="s">
        <v>20</v>
      </c>
      <c r="C1395" s="25" t="s">
        <v>37</v>
      </c>
      <c r="D1395" s="25" t="s">
        <v>25</v>
      </c>
      <c r="E1395" s="25" t="s">
        <v>517</v>
      </c>
      <c r="F1395" s="25" t="s">
        <v>116</v>
      </c>
      <c r="G1395" s="42">
        <f>G1396</f>
        <v>5251460</v>
      </c>
      <c r="H1395" s="42">
        <f t="shared" si="965"/>
        <v>5251460</v>
      </c>
      <c r="I1395" s="42">
        <f t="shared" si="965"/>
        <v>5251460</v>
      </c>
      <c r="J1395" s="16">
        <f>'БА в тыс. руб.'!G1395*1000</f>
        <v>5251460</v>
      </c>
      <c r="K1395" s="169">
        <f t="shared" si="944"/>
        <v>0</v>
      </c>
      <c r="L1395" s="16">
        <f>'БА в тыс. руб.'!H1395*1000</f>
        <v>5251460</v>
      </c>
      <c r="M1395" s="169">
        <f t="shared" si="945"/>
        <v>0</v>
      </c>
      <c r="N1395" s="16">
        <f>'БА в тыс. руб.'!I1395*1000</f>
        <v>5251460</v>
      </c>
      <c r="O1395" s="169">
        <f t="shared" si="946"/>
        <v>0</v>
      </c>
    </row>
    <row r="1396" spans="1:15" s="4" customFormat="1" ht="25.5">
      <c r="A1396" s="12" t="s">
        <v>973</v>
      </c>
      <c r="B1396" s="25" t="s">
        <v>20</v>
      </c>
      <c r="C1396" s="25" t="s">
        <v>37</v>
      </c>
      <c r="D1396" s="25" t="s">
        <v>25</v>
      </c>
      <c r="E1396" s="25" t="s">
        <v>517</v>
      </c>
      <c r="F1396" s="25" t="s">
        <v>1043</v>
      </c>
      <c r="G1396" s="27">
        <f t="shared" ref="G1396" si="966">J1396</f>
        <v>5251460</v>
      </c>
      <c r="H1396" s="27">
        <f>L1396</f>
        <v>5251460</v>
      </c>
      <c r="I1396" s="27">
        <f>N1396</f>
        <v>5251460</v>
      </c>
      <c r="J1396" s="16">
        <f>'БА в тыс. руб.'!G1396*1000</f>
        <v>5251460</v>
      </c>
      <c r="K1396" s="169">
        <f t="shared" si="944"/>
        <v>0</v>
      </c>
      <c r="L1396" s="16">
        <f>'БА в тыс. руб.'!H1396*1000</f>
        <v>5251460</v>
      </c>
      <c r="M1396" s="169">
        <f t="shared" si="945"/>
        <v>0</v>
      </c>
      <c r="N1396" s="16">
        <f>'БА в тыс. руб.'!I1396*1000</f>
        <v>5251460</v>
      </c>
      <c r="O1396" s="169">
        <f t="shared" si="946"/>
        <v>0</v>
      </c>
    </row>
    <row r="1397" spans="1:15" s="3" customFormat="1" ht="38.25">
      <c r="A1397" s="12" t="s">
        <v>722</v>
      </c>
      <c r="B1397" s="26" t="s">
        <v>20</v>
      </c>
      <c r="C1397" s="26" t="s">
        <v>37</v>
      </c>
      <c r="D1397" s="26" t="s">
        <v>25</v>
      </c>
      <c r="E1397" s="26" t="s">
        <v>300</v>
      </c>
      <c r="F1397" s="25" t="s">
        <v>58</v>
      </c>
      <c r="G1397" s="42">
        <f>G1398</f>
        <v>153933180</v>
      </c>
      <c r="H1397" s="42">
        <f>H1398</f>
        <v>156895840</v>
      </c>
      <c r="I1397" s="42">
        <f>I1398</f>
        <v>156895840</v>
      </c>
      <c r="J1397" s="16">
        <f>'БА в тыс. руб.'!G1397*1000</f>
        <v>153933180</v>
      </c>
      <c r="K1397" s="169">
        <f t="shared" si="944"/>
        <v>0</v>
      </c>
      <c r="L1397" s="16">
        <f>'БА в тыс. руб.'!H1397*1000</f>
        <v>156895840</v>
      </c>
      <c r="M1397" s="169">
        <f t="shared" si="945"/>
        <v>0</v>
      </c>
      <c r="N1397" s="16">
        <f>'БА в тыс. руб.'!I1397*1000</f>
        <v>156895840</v>
      </c>
      <c r="O1397" s="169">
        <f t="shared" si="946"/>
        <v>0</v>
      </c>
    </row>
    <row r="1398" spans="1:15" s="3" customFormat="1" ht="38.25">
      <c r="A1398" s="40" t="s">
        <v>729</v>
      </c>
      <c r="B1398" s="26" t="s">
        <v>20</v>
      </c>
      <c r="C1398" s="26" t="s">
        <v>37</v>
      </c>
      <c r="D1398" s="26" t="s">
        <v>25</v>
      </c>
      <c r="E1398" s="26" t="s">
        <v>301</v>
      </c>
      <c r="F1398" s="25" t="s">
        <v>58</v>
      </c>
      <c r="G1398" s="42">
        <f>G1399+G1421</f>
        <v>153933180</v>
      </c>
      <c r="H1398" s="42">
        <f>H1399+H1421</f>
        <v>156895840</v>
      </c>
      <c r="I1398" s="42">
        <f>I1399+I1421</f>
        <v>156895840</v>
      </c>
      <c r="J1398" s="16">
        <f>'БА в тыс. руб.'!G1398*1000</f>
        <v>153933180</v>
      </c>
      <c r="K1398" s="169">
        <f t="shared" si="944"/>
        <v>0</v>
      </c>
      <c r="L1398" s="16">
        <f>'БА в тыс. руб.'!H1398*1000</f>
        <v>156895840</v>
      </c>
      <c r="M1398" s="169">
        <f t="shared" si="945"/>
        <v>0</v>
      </c>
      <c r="N1398" s="16">
        <f>'БА в тыс. руб.'!I1398*1000</f>
        <v>156895840</v>
      </c>
      <c r="O1398" s="169">
        <f t="shared" si="946"/>
        <v>0</v>
      </c>
    </row>
    <row r="1399" spans="1:15" s="3" customFormat="1" ht="38.25">
      <c r="A1399" s="11" t="s">
        <v>644</v>
      </c>
      <c r="B1399" s="26" t="s">
        <v>20</v>
      </c>
      <c r="C1399" s="26" t="s">
        <v>37</v>
      </c>
      <c r="D1399" s="26" t="s">
        <v>25</v>
      </c>
      <c r="E1399" s="26" t="s">
        <v>302</v>
      </c>
      <c r="F1399" s="25" t="s">
        <v>58</v>
      </c>
      <c r="G1399" s="42">
        <f>G1400+G1403+G1406+G1412+G1415+G1418+G1409</f>
        <v>109687520</v>
      </c>
      <c r="H1399" s="42">
        <f>H1400+H1403+H1406+H1412+H1415+H1418+H1409</f>
        <v>117871230</v>
      </c>
      <c r="I1399" s="42">
        <f>I1400+I1403+I1406+I1412+I1415+I1418+I1409</f>
        <v>117871230</v>
      </c>
      <c r="J1399" s="16">
        <f>'БА в тыс. руб.'!G1399*1000</f>
        <v>109687519.99999999</v>
      </c>
      <c r="K1399" s="169">
        <f t="shared" si="944"/>
        <v>0</v>
      </c>
      <c r="L1399" s="16">
        <f>'БА в тыс. руб.'!H1399*1000</f>
        <v>117871230</v>
      </c>
      <c r="M1399" s="169">
        <f t="shared" si="945"/>
        <v>0</v>
      </c>
      <c r="N1399" s="16">
        <f>'БА в тыс. руб.'!I1399*1000</f>
        <v>117871230</v>
      </c>
      <c r="O1399" s="169">
        <f t="shared" si="946"/>
        <v>0</v>
      </c>
    </row>
    <row r="1400" spans="1:15" s="3" customFormat="1" ht="25.5">
      <c r="A1400" s="11" t="s">
        <v>896</v>
      </c>
      <c r="B1400" s="26" t="s">
        <v>20</v>
      </c>
      <c r="C1400" s="26" t="s">
        <v>37</v>
      </c>
      <c r="D1400" s="26" t="s">
        <v>25</v>
      </c>
      <c r="E1400" s="26" t="s">
        <v>492</v>
      </c>
      <c r="F1400" s="25" t="s">
        <v>58</v>
      </c>
      <c r="G1400" s="42">
        <f>G1401</f>
        <v>36181840</v>
      </c>
      <c r="H1400" s="42">
        <f t="shared" ref="H1400:I1401" si="967">H1401</f>
        <v>62280580</v>
      </c>
      <c r="I1400" s="42">
        <f t="shared" si="967"/>
        <v>62280580</v>
      </c>
      <c r="J1400" s="16">
        <f>'БА в тыс. руб.'!G1400*1000</f>
        <v>36181840</v>
      </c>
      <c r="K1400" s="169">
        <f t="shared" si="944"/>
        <v>0</v>
      </c>
      <c r="L1400" s="16">
        <f>'БА в тыс. руб.'!H1400*1000</f>
        <v>62280580</v>
      </c>
      <c r="M1400" s="169">
        <f t="shared" si="945"/>
        <v>0</v>
      </c>
      <c r="N1400" s="16">
        <f>'БА в тыс. руб.'!I1400*1000</f>
        <v>62280580</v>
      </c>
      <c r="O1400" s="169">
        <f t="shared" si="946"/>
        <v>0</v>
      </c>
    </row>
    <row r="1401" spans="1:15" s="3" customFormat="1" ht="25.5">
      <c r="A1401" s="11" t="s">
        <v>108</v>
      </c>
      <c r="B1401" s="26" t="s">
        <v>20</v>
      </c>
      <c r="C1401" s="26" t="s">
        <v>37</v>
      </c>
      <c r="D1401" s="26" t="s">
        <v>25</v>
      </c>
      <c r="E1401" s="26" t="s">
        <v>492</v>
      </c>
      <c r="F1401" s="25" t="s">
        <v>116</v>
      </c>
      <c r="G1401" s="42">
        <f>G1402</f>
        <v>36181840</v>
      </c>
      <c r="H1401" s="42">
        <f t="shared" si="967"/>
        <v>62280580</v>
      </c>
      <c r="I1401" s="42">
        <f t="shared" si="967"/>
        <v>62280580</v>
      </c>
      <c r="J1401" s="16">
        <f>'БА в тыс. руб.'!G1401*1000</f>
        <v>36181840</v>
      </c>
      <c r="K1401" s="169">
        <f t="shared" si="944"/>
        <v>0</v>
      </c>
      <c r="L1401" s="16">
        <f>'БА в тыс. руб.'!H1401*1000</f>
        <v>62280580</v>
      </c>
      <c r="M1401" s="169">
        <f t="shared" si="945"/>
        <v>0</v>
      </c>
      <c r="N1401" s="16">
        <f>'БА в тыс. руб.'!I1401*1000</f>
        <v>62280580</v>
      </c>
      <c r="O1401" s="169">
        <f t="shared" si="946"/>
        <v>0</v>
      </c>
    </row>
    <row r="1402" spans="1:15" s="4" customFormat="1" ht="25.5">
      <c r="A1402" s="12" t="s">
        <v>973</v>
      </c>
      <c r="B1402" s="26" t="s">
        <v>20</v>
      </c>
      <c r="C1402" s="26" t="s">
        <v>37</v>
      </c>
      <c r="D1402" s="26" t="s">
        <v>25</v>
      </c>
      <c r="E1402" s="26" t="s">
        <v>492</v>
      </c>
      <c r="F1402" s="25" t="s">
        <v>1043</v>
      </c>
      <c r="G1402" s="27">
        <f t="shared" ref="G1402" si="968">J1402</f>
        <v>36181840</v>
      </c>
      <c r="H1402" s="27">
        <f>L1402</f>
        <v>62280580</v>
      </c>
      <c r="I1402" s="27">
        <f>N1402</f>
        <v>62280580</v>
      </c>
      <c r="J1402" s="16">
        <f>'БА в тыс. руб.'!G1402*1000</f>
        <v>36181840</v>
      </c>
      <c r="K1402" s="169">
        <f t="shared" si="944"/>
        <v>0</v>
      </c>
      <c r="L1402" s="16">
        <f>'БА в тыс. руб.'!H1402*1000</f>
        <v>62280580</v>
      </c>
      <c r="M1402" s="169">
        <f t="shared" si="945"/>
        <v>0</v>
      </c>
      <c r="N1402" s="16">
        <f>'БА в тыс. руб.'!I1402*1000</f>
        <v>62280580</v>
      </c>
      <c r="O1402" s="169">
        <f t="shared" si="946"/>
        <v>0</v>
      </c>
    </row>
    <row r="1403" spans="1:15" s="3" customFormat="1" ht="63.75">
      <c r="A1403" s="11" t="s">
        <v>589</v>
      </c>
      <c r="B1403" s="26" t="s">
        <v>20</v>
      </c>
      <c r="C1403" s="26" t="s">
        <v>37</v>
      </c>
      <c r="D1403" s="26" t="s">
        <v>25</v>
      </c>
      <c r="E1403" s="26" t="s">
        <v>518</v>
      </c>
      <c r="F1403" s="25" t="s">
        <v>58</v>
      </c>
      <c r="G1403" s="42">
        <f>G1404</f>
        <v>40000000</v>
      </c>
      <c r="H1403" s="42">
        <f>H1404</f>
        <v>17586290</v>
      </c>
      <c r="I1403" s="42">
        <f>I1404</f>
        <v>17586290</v>
      </c>
      <c r="J1403" s="16">
        <f>'БА в тыс. руб.'!G1403*1000</f>
        <v>40000000</v>
      </c>
      <c r="K1403" s="169">
        <f t="shared" si="944"/>
        <v>0</v>
      </c>
      <c r="L1403" s="16">
        <f>'БА в тыс. руб.'!H1403*1000</f>
        <v>17586290</v>
      </c>
      <c r="M1403" s="169">
        <f t="shared" si="945"/>
        <v>0</v>
      </c>
      <c r="N1403" s="16">
        <f>'БА в тыс. руб.'!I1403*1000</f>
        <v>17586290</v>
      </c>
      <c r="O1403" s="169">
        <f t="shared" si="946"/>
        <v>0</v>
      </c>
    </row>
    <row r="1404" spans="1:15" s="3" customFormat="1" ht="25.5">
      <c r="A1404" s="11" t="s">
        <v>108</v>
      </c>
      <c r="B1404" s="26" t="s">
        <v>20</v>
      </c>
      <c r="C1404" s="26" t="s">
        <v>37</v>
      </c>
      <c r="D1404" s="26" t="s">
        <v>25</v>
      </c>
      <c r="E1404" s="26" t="s">
        <v>518</v>
      </c>
      <c r="F1404" s="25" t="s">
        <v>116</v>
      </c>
      <c r="G1404" s="42">
        <f>G1405</f>
        <v>40000000</v>
      </c>
      <c r="H1404" s="42">
        <f t="shared" ref="H1404:I1404" si="969">H1405</f>
        <v>17586290</v>
      </c>
      <c r="I1404" s="42">
        <f t="shared" si="969"/>
        <v>17586290</v>
      </c>
      <c r="J1404" s="16">
        <f>'БА в тыс. руб.'!G1404*1000</f>
        <v>40000000</v>
      </c>
      <c r="K1404" s="169">
        <f t="shared" si="944"/>
        <v>0</v>
      </c>
      <c r="L1404" s="16">
        <f>'БА в тыс. руб.'!H1404*1000</f>
        <v>17586290</v>
      </c>
      <c r="M1404" s="169">
        <f t="shared" si="945"/>
        <v>0</v>
      </c>
      <c r="N1404" s="16">
        <f>'БА в тыс. руб.'!I1404*1000</f>
        <v>17586290</v>
      </c>
      <c r="O1404" s="169">
        <f t="shared" si="946"/>
        <v>0</v>
      </c>
    </row>
    <row r="1405" spans="1:15" s="4" customFormat="1" ht="25.5">
      <c r="A1405" s="12" t="s">
        <v>973</v>
      </c>
      <c r="B1405" s="26" t="s">
        <v>20</v>
      </c>
      <c r="C1405" s="26" t="s">
        <v>37</v>
      </c>
      <c r="D1405" s="26" t="s">
        <v>25</v>
      </c>
      <c r="E1405" s="26" t="s">
        <v>518</v>
      </c>
      <c r="F1405" s="25" t="s">
        <v>1043</v>
      </c>
      <c r="G1405" s="27">
        <f t="shared" ref="G1405" si="970">J1405</f>
        <v>40000000</v>
      </c>
      <c r="H1405" s="27">
        <f>L1405</f>
        <v>17586290</v>
      </c>
      <c r="I1405" s="27">
        <f>N1405</f>
        <v>17586290</v>
      </c>
      <c r="J1405" s="16">
        <f>'БА в тыс. руб.'!G1405*1000</f>
        <v>40000000</v>
      </c>
      <c r="K1405" s="169">
        <f t="shared" si="944"/>
        <v>0</v>
      </c>
      <c r="L1405" s="16">
        <f>'БА в тыс. руб.'!H1405*1000</f>
        <v>17586290</v>
      </c>
      <c r="M1405" s="169">
        <f t="shared" si="945"/>
        <v>0</v>
      </c>
      <c r="N1405" s="16">
        <f>'БА в тыс. руб.'!I1405*1000</f>
        <v>17586290</v>
      </c>
      <c r="O1405" s="169">
        <f t="shared" si="946"/>
        <v>0</v>
      </c>
    </row>
    <row r="1406" spans="1:15" s="3" customFormat="1">
      <c r="A1406" s="11" t="s">
        <v>519</v>
      </c>
      <c r="B1406" s="26" t="s">
        <v>20</v>
      </c>
      <c r="C1406" s="26" t="s">
        <v>37</v>
      </c>
      <c r="D1406" s="26" t="s">
        <v>25</v>
      </c>
      <c r="E1406" s="26" t="s">
        <v>520</v>
      </c>
      <c r="F1406" s="25" t="s">
        <v>58</v>
      </c>
      <c r="G1406" s="42">
        <f>G1407</f>
        <v>0</v>
      </c>
      <c r="H1406" s="42">
        <f>H1407</f>
        <v>1350000</v>
      </c>
      <c r="I1406" s="42">
        <f>I1407</f>
        <v>1350000</v>
      </c>
      <c r="J1406" s="16">
        <f>'БА в тыс. руб.'!G1406*1000</f>
        <v>0</v>
      </c>
      <c r="K1406" s="169">
        <f t="shared" si="944"/>
        <v>0</v>
      </c>
      <c r="L1406" s="16">
        <f>'БА в тыс. руб.'!H1406*1000</f>
        <v>1350000</v>
      </c>
      <c r="M1406" s="169">
        <f t="shared" si="945"/>
        <v>0</v>
      </c>
      <c r="N1406" s="16">
        <f>'БА в тыс. руб.'!I1406*1000</f>
        <v>1350000</v>
      </c>
      <c r="O1406" s="169">
        <f t="shared" si="946"/>
        <v>0</v>
      </c>
    </row>
    <row r="1407" spans="1:15" s="3" customFormat="1" ht="25.5">
      <c r="A1407" s="11" t="s">
        <v>108</v>
      </c>
      <c r="B1407" s="26" t="s">
        <v>20</v>
      </c>
      <c r="C1407" s="26" t="s">
        <v>37</v>
      </c>
      <c r="D1407" s="26" t="s">
        <v>25</v>
      </c>
      <c r="E1407" s="26" t="s">
        <v>520</v>
      </c>
      <c r="F1407" s="25" t="s">
        <v>116</v>
      </c>
      <c r="G1407" s="42">
        <f>G1408</f>
        <v>0</v>
      </c>
      <c r="H1407" s="42">
        <f t="shared" ref="H1407:I1407" si="971">H1408</f>
        <v>1350000</v>
      </c>
      <c r="I1407" s="42">
        <f t="shared" si="971"/>
        <v>1350000</v>
      </c>
      <c r="J1407" s="16">
        <f>'БА в тыс. руб.'!G1407*1000</f>
        <v>0</v>
      </c>
      <c r="K1407" s="169">
        <f t="shared" si="944"/>
        <v>0</v>
      </c>
      <c r="L1407" s="16">
        <f>'БА в тыс. руб.'!H1407*1000</f>
        <v>1350000</v>
      </c>
      <c r="M1407" s="169">
        <f t="shared" si="945"/>
        <v>0</v>
      </c>
      <c r="N1407" s="16">
        <f>'БА в тыс. руб.'!I1407*1000</f>
        <v>1350000</v>
      </c>
      <c r="O1407" s="169">
        <f t="shared" si="946"/>
        <v>0</v>
      </c>
    </row>
    <row r="1408" spans="1:15" s="4" customFormat="1" ht="25.5">
      <c r="A1408" s="12" t="s">
        <v>973</v>
      </c>
      <c r="B1408" s="26" t="s">
        <v>20</v>
      </c>
      <c r="C1408" s="26" t="s">
        <v>37</v>
      </c>
      <c r="D1408" s="26" t="s">
        <v>25</v>
      </c>
      <c r="E1408" s="26" t="s">
        <v>520</v>
      </c>
      <c r="F1408" s="25" t="s">
        <v>1043</v>
      </c>
      <c r="G1408" s="27">
        <f t="shared" ref="G1408" si="972">J1408</f>
        <v>0</v>
      </c>
      <c r="H1408" s="27">
        <f>L1408</f>
        <v>1350000</v>
      </c>
      <c r="I1408" s="27">
        <f>N1408</f>
        <v>1350000</v>
      </c>
      <c r="J1408" s="16">
        <f>'БА в тыс. руб.'!G1408*1000</f>
        <v>0</v>
      </c>
      <c r="K1408" s="169">
        <f t="shared" si="944"/>
        <v>0</v>
      </c>
      <c r="L1408" s="16">
        <f>'БА в тыс. руб.'!H1408*1000</f>
        <v>1350000</v>
      </c>
      <c r="M1408" s="169">
        <f t="shared" si="945"/>
        <v>0</v>
      </c>
      <c r="N1408" s="16">
        <f>'БА в тыс. руб.'!I1408*1000</f>
        <v>1350000</v>
      </c>
      <c r="O1408" s="169">
        <f t="shared" si="946"/>
        <v>0</v>
      </c>
    </row>
    <row r="1409" spans="1:15" s="3" customFormat="1" ht="25.5">
      <c r="A1409" s="11" t="s">
        <v>894</v>
      </c>
      <c r="B1409" s="26" t="s">
        <v>20</v>
      </c>
      <c r="C1409" s="26" t="s">
        <v>37</v>
      </c>
      <c r="D1409" s="26" t="s">
        <v>25</v>
      </c>
      <c r="E1409" s="26" t="s">
        <v>895</v>
      </c>
      <c r="F1409" s="25" t="s">
        <v>58</v>
      </c>
      <c r="G1409" s="42">
        <v>0</v>
      </c>
      <c r="H1409" s="42">
        <f t="shared" ref="H1409:I1410" si="973">H1410</f>
        <v>13566600</v>
      </c>
      <c r="I1409" s="42">
        <f t="shared" si="973"/>
        <v>13566600</v>
      </c>
      <c r="J1409" s="16">
        <f>'БА в тыс. руб.'!G1409*1000</f>
        <v>0</v>
      </c>
      <c r="K1409" s="169">
        <f t="shared" si="944"/>
        <v>0</v>
      </c>
      <c r="L1409" s="16">
        <f>'БА в тыс. руб.'!H1409*1000</f>
        <v>13566600</v>
      </c>
      <c r="M1409" s="169">
        <f t="shared" si="945"/>
        <v>0</v>
      </c>
      <c r="N1409" s="16">
        <f>'БА в тыс. руб.'!I1409*1000</f>
        <v>13566600</v>
      </c>
      <c r="O1409" s="169">
        <f t="shared" si="946"/>
        <v>0</v>
      </c>
    </row>
    <row r="1410" spans="1:15" s="3" customFormat="1">
      <c r="A1410" s="11" t="s">
        <v>190</v>
      </c>
      <c r="B1410" s="26" t="s">
        <v>20</v>
      </c>
      <c r="C1410" s="26" t="s">
        <v>37</v>
      </c>
      <c r="D1410" s="26" t="s">
        <v>25</v>
      </c>
      <c r="E1410" s="26" t="s">
        <v>895</v>
      </c>
      <c r="F1410" s="25" t="s">
        <v>103</v>
      </c>
      <c r="G1410" s="42">
        <f>G1411</f>
        <v>0</v>
      </c>
      <c r="H1410" s="42">
        <f t="shared" si="973"/>
        <v>13566600</v>
      </c>
      <c r="I1410" s="42">
        <f t="shared" si="973"/>
        <v>13566600</v>
      </c>
      <c r="J1410" s="16">
        <f>'БА в тыс. руб.'!G1410*1000</f>
        <v>0</v>
      </c>
      <c r="K1410" s="169">
        <f t="shared" si="944"/>
        <v>0</v>
      </c>
      <c r="L1410" s="16">
        <f>'БА в тыс. руб.'!H1410*1000</f>
        <v>13566600</v>
      </c>
      <c r="M1410" s="169">
        <f t="shared" si="945"/>
        <v>0</v>
      </c>
      <c r="N1410" s="16">
        <f>'БА в тыс. руб.'!I1410*1000</f>
        <v>13566600</v>
      </c>
      <c r="O1410" s="169">
        <f t="shared" si="946"/>
        <v>0</v>
      </c>
    </row>
    <row r="1411" spans="1:15" s="4" customFormat="1" ht="25.5">
      <c r="A1411" s="12" t="s">
        <v>987</v>
      </c>
      <c r="B1411" s="26" t="s">
        <v>20</v>
      </c>
      <c r="C1411" s="26" t="s">
        <v>37</v>
      </c>
      <c r="D1411" s="26" t="s">
        <v>25</v>
      </c>
      <c r="E1411" s="26" t="s">
        <v>895</v>
      </c>
      <c r="F1411" s="25" t="s">
        <v>1052</v>
      </c>
      <c r="G1411" s="27">
        <f t="shared" ref="G1411" si="974">J1411</f>
        <v>0</v>
      </c>
      <c r="H1411" s="27">
        <f>L1411</f>
        <v>13566600</v>
      </c>
      <c r="I1411" s="27">
        <f>N1411</f>
        <v>13566600</v>
      </c>
      <c r="J1411" s="16">
        <f>'БА в тыс. руб.'!G1411*1000</f>
        <v>0</v>
      </c>
      <c r="K1411" s="169">
        <f t="shared" si="944"/>
        <v>0</v>
      </c>
      <c r="L1411" s="16">
        <f>'БА в тыс. руб.'!H1411*1000</f>
        <v>13566600</v>
      </c>
      <c r="M1411" s="169">
        <f t="shared" si="945"/>
        <v>0</v>
      </c>
      <c r="N1411" s="16">
        <f>'БА в тыс. руб.'!I1411*1000</f>
        <v>13566600</v>
      </c>
      <c r="O1411" s="169">
        <f t="shared" si="946"/>
        <v>0</v>
      </c>
    </row>
    <row r="1412" spans="1:15" s="3" customFormat="1" ht="63.75">
      <c r="A1412" s="11" t="s">
        <v>912</v>
      </c>
      <c r="B1412" s="25" t="s">
        <v>20</v>
      </c>
      <c r="C1412" s="26" t="s">
        <v>37</v>
      </c>
      <c r="D1412" s="26" t="s">
        <v>25</v>
      </c>
      <c r="E1412" s="43" t="s">
        <v>521</v>
      </c>
      <c r="F1412" s="25" t="s">
        <v>58</v>
      </c>
      <c r="G1412" s="42">
        <f>G1413</f>
        <v>20119440</v>
      </c>
      <c r="H1412" s="42">
        <f>H1413</f>
        <v>23087760</v>
      </c>
      <c r="I1412" s="42">
        <f>I1413</f>
        <v>23087760</v>
      </c>
      <c r="J1412" s="16">
        <f>'БА в тыс. руб.'!G1412*1000</f>
        <v>20119440</v>
      </c>
      <c r="K1412" s="169">
        <f t="shared" si="944"/>
        <v>0</v>
      </c>
      <c r="L1412" s="16">
        <f>'БА в тыс. руб.'!H1412*1000</f>
        <v>23087760</v>
      </c>
      <c r="M1412" s="169">
        <f t="shared" si="945"/>
        <v>0</v>
      </c>
      <c r="N1412" s="16">
        <f>'БА в тыс. руб.'!I1412*1000</f>
        <v>23087760</v>
      </c>
      <c r="O1412" s="169">
        <f t="shared" si="946"/>
        <v>0</v>
      </c>
    </row>
    <row r="1413" spans="1:15" s="3" customFormat="1" ht="38.25">
      <c r="A1413" s="46" t="s">
        <v>561</v>
      </c>
      <c r="B1413" s="25" t="s">
        <v>20</v>
      </c>
      <c r="C1413" s="26" t="s">
        <v>37</v>
      </c>
      <c r="D1413" s="26" t="s">
        <v>25</v>
      </c>
      <c r="E1413" s="43" t="s">
        <v>521</v>
      </c>
      <c r="F1413" s="25" t="s">
        <v>101</v>
      </c>
      <c r="G1413" s="42">
        <f>G1414</f>
        <v>20119440</v>
      </c>
      <c r="H1413" s="42">
        <f t="shared" ref="H1413:I1413" si="975">H1414</f>
        <v>23087760</v>
      </c>
      <c r="I1413" s="42">
        <f t="shared" si="975"/>
        <v>23087760</v>
      </c>
      <c r="J1413" s="16">
        <f>'БА в тыс. руб.'!G1413*1000</f>
        <v>20119440</v>
      </c>
      <c r="K1413" s="169">
        <f t="shared" si="944"/>
        <v>0</v>
      </c>
      <c r="L1413" s="16">
        <f>'БА в тыс. руб.'!H1413*1000</f>
        <v>23087760</v>
      </c>
      <c r="M1413" s="169">
        <f t="shared" si="945"/>
        <v>0</v>
      </c>
      <c r="N1413" s="16">
        <f>'БА в тыс. руб.'!I1413*1000</f>
        <v>23087760</v>
      </c>
      <c r="O1413" s="169">
        <f t="shared" si="946"/>
        <v>0</v>
      </c>
    </row>
    <row r="1414" spans="1:15" s="4" customFormat="1" ht="51">
      <c r="A1414" s="12" t="s">
        <v>1047</v>
      </c>
      <c r="B1414" s="25" t="s">
        <v>20</v>
      </c>
      <c r="C1414" s="26" t="s">
        <v>37</v>
      </c>
      <c r="D1414" s="26" t="s">
        <v>25</v>
      </c>
      <c r="E1414" s="43" t="s">
        <v>521</v>
      </c>
      <c r="F1414" s="25" t="s">
        <v>1050</v>
      </c>
      <c r="G1414" s="27">
        <f t="shared" ref="G1414" si="976">J1414</f>
        <v>20119440</v>
      </c>
      <c r="H1414" s="27">
        <f>L1414</f>
        <v>23087760</v>
      </c>
      <c r="I1414" s="27">
        <f>N1414</f>
        <v>23087760</v>
      </c>
      <c r="J1414" s="16">
        <f>'БА в тыс. руб.'!G1414*1000</f>
        <v>20119440</v>
      </c>
      <c r="K1414" s="169">
        <f t="shared" si="944"/>
        <v>0</v>
      </c>
      <c r="L1414" s="16">
        <f>'БА в тыс. руб.'!H1414*1000</f>
        <v>23087760</v>
      </c>
      <c r="M1414" s="169">
        <f t="shared" si="945"/>
        <v>0</v>
      </c>
      <c r="N1414" s="16">
        <f>'БА в тыс. руб.'!I1414*1000</f>
        <v>23087760</v>
      </c>
      <c r="O1414" s="169">
        <f t="shared" si="946"/>
        <v>0</v>
      </c>
    </row>
    <row r="1415" spans="1:15" s="3" customFormat="1" ht="38.25">
      <c r="A1415" s="11" t="s">
        <v>913</v>
      </c>
      <c r="B1415" s="25" t="s">
        <v>20</v>
      </c>
      <c r="C1415" s="26" t="s">
        <v>37</v>
      </c>
      <c r="D1415" s="26" t="s">
        <v>25</v>
      </c>
      <c r="E1415" s="43" t="s">
        <v>691</v>
      </c>
      <c r="F1415" s="25" t="s">
        <v>58</v>
      </c>
      <c r="G1415" s="42">
        <f>G1416</f>
        <v>11640210</v>
      </c>
      <c r="H1415" s="42">
        <f>H1416</f>
        <v>0</v>
      </c>
      <c r="I1415" s="42">
        <f>I1416</f>
        <v>0</v>
      </c>
      <c r="J1415" s="16">
        <f>'БА в тыс. руб.'!G1415*1000</f>
        <v>11640210</v>
      </c>
      <c r="K1415" s="169">
        <f t="shared" si="944"/>
        <v>0</v>
      </c>
      <c r="L1415" s="16">
        <f>'БА в тыс. руб.'!H1415*1000</f>
        <v>0</v>
      </c>
      <c r="M1415" s="169">
        <f t="shared" si="945"/>
        <v>0</v>
      </c>
      <c r="N1415" s="16">
        <f>'БА в тыс. руб.'!I1415*1000</f>
        <v>0</v>
      </c>
      <c r="O1415" s="169">
        <f t="shared" si="946"/>
        <v>0</v>
      </c>
    </row>
    <row r="1416" spans="1:15" s="3" customFormat="1" ht="25.5">
      <c r="A1416" s="11" t="s">
        <v>108</v>
      </c>
      <c r="B1416" s="25" t="s">
        <v>20</v>
      </c>
      <c r="C1416" s="26" t="s">
        <v>37</v>
      </c>
      <c r="D1416" s="26" t="s">
        <v>25</v>
      </c>
      <c r="E1416" s="43" t="s">
        <v>691</v>
      </c>
      <c r="F1416" s="25" t="s">
        <v>116</v>
      </c>
      <c r="G1416" s="42">
        <f>G1417</f>
        <v>11640210</v>
      </c>
      <c r="H1416" s="42">
        <f t="shared" ref="H1416:I1416" si="977">H1417</f>
        <v>0</v>
      </c>
      <c r="I1416" s="42">
        <f t="shared" si="977"/>
        <v>0</v>
      </c>
      <c r="J1416" s="16">
        <f>'БА в тыс. руб.'!G1416*1000</f>
        <v>11640210</v>
      </c>
      <c r="K1416" s="169">
        <f t="shared" si="944"/>
        <v>0</v>
      </c>
      <c r="L1416" s="16">
        <f>'БА в тыс. руб.'!H1416*1000</f>
        <v>0</v>
      </c>
      <c r="M1416" s="169">
        <f t="shared" si="945"/>
        <v>0</v>
      </c>
      <c r="N1416" s="16">
        <f>'БА в тыс. руб.'!I1416*1000</f>
        <v>0</v>
      </c>
      <c r="O1416" s="169">
        <f t="shared" si="946"/>
        <v>0</v>
      </c>
    </row>
    <row r="1417" spans="1:15" s="4" customFormat="1" ht="25.5">
      <c r="A1417" s="12" t="s">
        <v>973</v>
      </c>
      <c r="B1417" s="25" t="s">
        <v>20</v>
      </c>
      <c r="C1417" s="26" t="s">
        <v>37</v>
      </c>
      <c r="D1417" s="26" t="s">
        <v>25</v>
      </c>
      <c r="E1417" s="43" t="s">
        <v>691</v>
      </c>
      <c r="F1417" s="25" t="s">
        <v>1043</v>
      </c>
      <c r="G1417" s="27">
        <f t="shared" ref="G1417" si="978">J1417</f>
        <v>11640210</v>
      </c>
      <c r="H1417" s="27">
        <f>L1417</f>
        <v>0</v>
      </c>
      <c r="I1417" s="27">
        <f>N1417</f>
        <v>0</v>
      </c>
      <c r="J1417" s="16">
        <f>'БА в тыс. руб.'!G1417*1000</f>
        <v>11640210</v>
      </c>
      <c r="K1417" s="169">
        <f t="shared" si="944"/>
        <v>0</v>
      </c>
      <c r="L1417" s="16">
        <f>'БА в тыс. руб.'!H1417*1000</f>
        <v>0</v>
      </c>
      <c r="M1417" s="169">
        <f t="shared" si="945"/>
        <v>0</v>
      </c>
      <c r="N1417" s="16">
        <f>'БА в тыс. руб.'!I1417*1000</f>
        <v>0</v>
      </c>
      <c r="O1417" s="169">
        <f t="shared" si="946"/>
        <v>0</v>
      </c>
    </row>
    <row r="1418" spans="1:15" s="3" customFormat="1" ht="51">
      <c r="A1418" s="11" t="s">
        <v>914</v>
      </c>
      <c r="B1418" s="25" t="s">
        <v>20</v>
      </c>
      <c r="C1418" s="26" t="s">
        <v>37</v>
      </c>
      <c r="D1418" s="26" t="s">
        <v>25</v>
      </c>
      <c r="E1418" s="43" t="s">
        <v>692</v>
      </c>
      <c r="F1418" s="25" t="s">
        <v>58</v>
      </c>
      <c r="G1418" s="42">
        <f>G1419</f>
        <v>1746030</v>
      </c>
      <c r="H1418" s="42">
        <f>H1419</f>
        <v>0</v>
      </c>
      <c r="I1418" s="42">
        <f>I1419</f>
        <v>0</v>
      </c>
      <c r="J1418" s="16">
        <f>'БА в тыс. руб.'!G1418*1000</f>
        <v>1746030</v>
      </c>
      <c r="K1418" s="169">
        <f t="shared" si="944"/>
        <v>0</v>
      </c>
      <c r="L1418" s="16">
        <f>'БА в тыс. руб.'!H1418*1000</f>
        <v>0</v>
      </c>
      <c r="M1418" s="169">
        <f t="shared" si="945"/>
        <v>0</v>
      </c>
      <c r="N1418" s="16">
        <f>'БА в тыс. руб.'!I1418*1000</f>
        <v>0</v>
      </c>
      <c r="O1418" s="169">
        <f t="shared" si="946"/>
        <v>0</v>
      </c>
    </row>
    <row r="1419" spans="1:15" s="3" customFormat="1" ht="25.5">
      <c r="A1419" s="11" t="s">
        <v>108</v>
      </c>
      <c r="B1419" s="25" t="s">
        <v>20</v>
      </c>
      <c r="C1419" s="26" t="s">
        <v>37</v>
      </c>
      <c r="D1419" s="26" t="s">
        <v>25</v>
      </c>
      <c r="E1419" s="43" t="s">
        <v>692</v>
      </c>
      <c r="F1419" s="25" t="s">
        <v>116</v>
      </c>
      <c r="G1419" s="42">
        <f>G1420</f>
        <v>1746030</v>
      </c>
      <c r="H1419" s="42">
        <f t="shared" ref="H1419:I1419" si="979">H1420</f>
        <v>0</v>
      </c>
      <c r="I1419" s="42">
        <f t="shared" si="979"/>
        <v>0</v>
      </c>
      <c r="J1419" s="16">
        <f>'БА в тыс. руб.'!G1419*1000</f>
        <v>1746030</v>
      </c>
      <c r="K1419" s="169">
        <f t="shared" ref="K1419:K1482" si="980">J1419-G1419</f>
        <v>0</v>
      </c>
      <c r="L1419" s="16">
        <f>'БА в тыс. руб.'!H1419*1000</f>
        <v>0</v>
      </c>
      <c r="M1419" s="169">
        <f t="shared" ref="M1419:M1482" si="981">L1419-H1419</f>
        <v>0</v>
      </c>
      <c r="N1419" s="16">
        <f>'БА в тыс. руб.'!I1419*1000</f>
        <v>0</v>
      </c>
      <c r="O1419" s="169">
        <f t="shared" ref="O1419:O1482" si="982">N1419-I1419</f>
        <v>0</v>
      </c>
    </row>
    <row r="1420" spans="1:15" s="4" customFormat="1" ht="25.5">
      <c r="A1420" s="12" t="s">
        <v>973</v>
      </c>
      <c r="B1420" s="25" t="s">
        <v>20</v>
      </c>
      <c r="C1420" s="26" t="s">
        <v>37</v>
      </c>
      <c r="D1420" s="26" t="s">
        <v>25</v>
      </c>
      <c r="E1420" s="43" t="s">
        <v>692</v>
      </c>
      <c r="F1420" s="25" t="s">
        <v>1043</v>
      </c>
      <c r="G1420" s="27">
        <f t="shared" ref="G1420" si="983">J1420</f>
        <v>1746030</v>
      </c>
      <c r="H1420" s="27">
        <f>L1420</f>
        <v>0</v>
      </c>
      <c r="I1420" s="27">
        <f>N1420</f>
        <v>0</v>
      </c>
      <c r="J1420" s="16">
        <f>'БА в тыс. руб.'!G1420*1000</f>
        <v>1746030</v>
      </c>
      <c r="K1420" s="169">
        <f t="shared" si="980"/>
        <v>0</v>
      </c>
      <c r="L1420" s="16">
        <f>'БА в тыс. руб.'!H1420*1000</f>
        <v>0</v>
      </c>
      <c r="M1420" s="169">
        <f t="shared" si="981"/>
        <v>0</v>
      </c>
      <c r="N1420" s="16">
        <f>'БА в тыс. руб.'!I1420*1000</f>
        <v>0</v>
      </c>
      <c r="O1420" s="169">
        <f t="shared" si="982"/>
        <v>0</v>
      </c>
    </row>
    <row r="1421" spans="1:15" s="3" customFormat="1" ht="25.5">
      <c r="A1421" s="11" t="s">
        <v>653</v>
      </c>
      <c r="B1421" s="26" t="s">
        <v>20</v>
      </c>
      <c r="C1421" s="26" t="s">
        <v>37</v>
      </c>
      <c r="D1421" s="26" t="s">
        <v>25</v>
      </c>
      <c r="E1421" s="26" t="s">
        <v>650</v>
      </c>
      <c r="F1421" s="25" t="s">
        <v>58</v>
      </c>
      <c r="G1421" s="42">
        <f>G1422+G1425</f>
        <v>44245659.999999993</v>
      </c>
      <c r="H1421" s="42">
        <f>H1422+H1425</f>
        <v>39024610</v>
      </c>
      <c r="I1421" s="42">
        <f>I1422+I1425</f>
        <v>39024610</v>
      </c>
      <c r="J1421" s="16">
        <f>'БА в тыс. руб.'!G1421*1000</f>
        <v>44245659.999999993</v>
      </c>
      <c r="K1421" s="169">
        <f t="shared" si="980"/>
        <v>0</v>
      </c>
      <c r="L1421" s="16">
        <f>'БА в тыс. руб.'!H1421*1000</f>
        <v>39024610</v>
      </c>
      <c r="M1421" s="169">
        <f t="shared" si="981"/>
        <v>0</v>
      </c>
      <c r="N1421" s="16">
        <f>'БА в тыс. руб.'!I1421*1000</f>
        <v>39024610</v>
      </c>
      <c r="O1421" s="169">
        <f t="shared" si="982"/>
        <v>0</v>
      </c>
    </row>
    <row r="1422" spans="1:15" s="3" customFormat="1" ht="38.25">
      <c r="A1422" s="11" t="s">
        <v>187</v>
      </c>
      <c r="B1422" s="26" t="s">
        <v>20</v>
      </c>
      <c r="C1422" s="26" t="s">
        <v>37</v>
      </c>
      <c r="D1422" s="26" t="s">
        <v>25</v>
      </c>
      <c r="E1422" s="26" t="s">
        <v>651</v>
      </c>
      <c r="F1422" s="25" t="s">
        <v>58</v>
      </c>
      <c r="G1422" s="42">
        <f>G1423</f>
        <v>44245659.999999993</v>
      </c>
      <c r="H1422" s="42">
        <f>H1423</f>
        <v>37921910</v>
      </c>
      <c r="I1422" s="42">
        <f>I1423</f>
        <v>37921910</v>
      </c>
      <c r="J1422" s="16">
        <f>'БА в тыс. руб.'!G1422*1000</f>
        <v>44245659.999999993</v>
      </c>
      <c r="K1422" s="169">
        <f t="shared" si="980"/>
        <v>0</v>
      </c>
      <c r="L1422" s="16">
        <f>'БА в тыс. руб.'!H1422*1000</f>
        <v>37921910</v>
      </c>
      <c r="M1422" s="169">
        <f t="shared" si="981"/>
        <v>0</v>
      </c>
      <c r="N1422" s="16">
        <f>'БА в тыс. руб.'!I1422*1000</f>
        <v>37921910</v>
      </c>
      <c r="O1422" s="169">
        <f t="shared" si="982"/>
        <v>0</v>
      </c>
    </row>
    <row r="1423" spans="1:15" s="3" customFormat="1" ht="25.5">
      <c r="A1423" s="11" t="s">
        <v>108</v>
      </c>
      <c r="B1423" s="26" t="s">
        <v>20</v>
      </c>
      <c r="C1423" s="26" t="s">
        <v>37</v>
      </c>
      <c r="D1423" s="26" t="s">
        <v>25</v>
      </c>
      <c r="E1423" s="26" t="s">
        <v>651</v>
      </c>
      <c r="F1423" s="25" t="s">
        <v>116</v>
      </c>
      <c r="G1423" s="42">
        <f>G1424</f>
        <v>44245659.999999993</v>
      </c>
      <c r="H1423" s="42">
        <f t="shared" ref="H1423:I1423" si="984">H1424</f>
        <v>37921910</v>
      </c>
      <c r="I1423" s="42">
        <f t="shared" si="984"/>
        <v>37921910</v>
      </c>
      <c r="J1423" s="16">
        <f>'БА в тыс. руб.'!G1423*1000</f>
        <v>44245659.999999993</v>
      </c>
      <c r="K1423" s="169">
        <f t="shared" si="980"/>
        <v>0</v>
      </c>
      <c r="L1423" s="16">
        <f>'БА в тыс. руб.'!H1423*1000</f>
        <v>37921910</v>
      </c>
      <c r="M1423" s="169">
        <f t="shared" si="981"/>
        <v>0</v>
      </c>
      <c r="N1423" s="16">
        <f>'БА в тыс. руб.'!I1423*1000</f>
        <v>37921910</v>
      </c>
      <c r="O1423" s="169">
        <f t="shared" si="982"/>
        <v>0</v>
      </c>
    </row>
    <row r="1424" spans="1:15" s="4" customFormat="1" ht="25.5">
      <c r="A1424" s="12" t="s">
        <v>973</v>
      </c>
      <c r="B1424" s="26" t="s">
        <v>20</v>
      </c>
      <c r="C1424" s="26" t="s">
        <v>37</v>
      </c>
      <c r="D1424" s="26" t="s">
        <v>25</v>
      </c>
      <c r="E1424" s="26" t="s">
        <v>651</v>
      </c>
      <c r="F1424" s="25" t="s">
        <v>1043</v>
      </c>
      <c r="G1424" s="27">
        <f t="shared" ref="G1424" si="985">J1424</f>
        <v>44245659.999999993</v>
      </c>
      <c r="H1424" s="27">
        <f>L1424</f>
        <v>37921910</v>
      </c>
      <c r="I1424" s="27">
        <f>N1424</f>
        <v>37921910</v>
      </c>
      <c r="J1424" s="16">
        <f>'БА в тыс. руб.'!G1424*1000</f>
        <v>44245659.999999993</v>
      </c>
      <c r="K1424" s="169">
        <f t="shared" si="980"/>
        <v>0</v>
      </c>
      <c r="L1424" s="16">
        <f>'БА в тыс. руб.'!H1424*1000</f>
        <v>37921910</v>
      </c>
      <c r="M1424" s="169">
        <f t="shared" si="981"/>
        <v>0</v>
      </c>
      <c r="N1424" s="16">
        <f>'БА в тыс. руб.'!I1424*1000</f>
        <v>37921910</v>
      </c>
      <c r="O1424" s="169">
        <f t="shared" si="982"/>
        <v>0</v>
      </c>
    </row>
    <row r="1425" spans="1:15" s="3" customFormat="1" ht="76.5">
      <c r="A1425" s="32" t="s">
        <v>590</v>
      </c>
      <c r="B1425" s="26" t="s">
        <v>20</v>
      </c>
      <c r="C1425" s="26" t="s">
        <v>37</v>
      </c>
      <c r="D1425" s="26" t="s">
        <v>25</v>
      </c>
      <c r="E1425" s="26" t="s">
        <v>652</v>
      </c>
      <c r="F1425" s="25" t="s">
        <v>58</v>
      </c>
      <c r="G1425" s="42">
        <f>G1426</f>
        <v>0</v>
      </c>
      <c r="H1425" s="42">
        <f>H1426</f>
        <v>1102700</v>
      </c>
      <c r="I1425" s="42">
        <f>I1426</f>
        <v>1102700</v>
      </c>
      <c r="J1425" s="16">
        <f>'БА в тыс. руб.'!G1425*1000</f>
        <v>0</v>
      </c>
      <c r="K1425" s="169">
        <f t="shared" si="980"/>
        <v>0</v>
      </c>
      <c r="L1425" s="16">
        <f>'БА в тыс. руб.'!H1425*1000</f>
        <v>1102700</v>
      </c>
      <c r="M1425" s="169">
        <f t="shared" si="981"/>
        <v>0</v>
      </c>
      <c r="N1425" s="16">
        <f>'БА в тыс. руб.'!I1425*1000</f>
        <v>1102700</v>
      </c>
      <c r="O1425" s="169">
        <f t="shared" si="982"/>
        <v>0</v>
      </c>
    </row>
    <row r="1426" spans="1:15" s="3" customFormat="1" ht="25.5">
      <c r="A1426" s="11" t="s">
        <v>108</v>
      </c>
      <c r="B1426" s="26" t="s">
        <v>20</v>
      </c>
      <c r="C1426" s="26" t="s">
        <v>37</v>
      </c>
      <c r="D1426" s="26" t="s">
        <v>25</v>
      </c>
      <c r="E1426" s="26" t="s">
        <v>652</v>
      </c>
      <c r="F1426" s="25" t="s">
        <v>116</v>
      </c>
      <c r="G1426" s="42">
        <f>G1427</f>
        <v>0</v>
      </c>
      <c r="H1426" s="42">
        <f t="shared" ref="H1426:I1426" si="986">H1427</f>
        <v>1102700</v>
      </c>
      <c r="I1426" s="42">
        <f t="shared" si="986"/>
        <v>1102700</v>
      </c>
      <c r="J1426" s="16">
        <f>'БА в тыс. руб.'!G1426*1000</f>
        <v>0</v>
      </c>
      <c r="K1426" s="169">
        <f t="shared" si="980"/>
        <v>0</v>
      </c>
      <c r="L1426" s="16">
        <f>'БА в тыс. руб.'!H1426*1000</f>
        <v>1102700</v>
      </c>
      <c r="M1426" s="169">
        <f t="shared" si="981"/>
        <v>0</v>
      </c>
      <c r="N1426" s="16">
        <f>'БА в тыс. руб.'!I1426*1000</f>
        <v>1102700</v>
      </c>
      <c r="O1426" s="169">
        <f t="shared" si="982"/>
        <v>0</v>
      </c>
    </row>
    <row r="1427" spans="1:15" s="4" customFormat="1" ht="25.5">
      <c r="A1427" s="12" t="s">
        <v>973</v>
      </c>
      <c r="B1427" s="26" t="s">
        <v>20</v>
      </c>
      <c r="C1427" s="26" t="s">
        <v>37</v>
      </c>
      <c r="D1427" s="26" t="s">
        <v>25</v>
      </c>
      <c r="E1427" s="26" t="s">
        <v>652</v>
      </c>
      <c r="F1427" s="25" t="s">
        <v>1043</v>
      </c>
      <c r="G1427" s="27">
        <f t="shared" ref="G1427" si="987">J1427</f>
        <v>0</v>
      </c>
      <c r="H1427" s="27">
        <f>L1427</f>
        <v>1102700</v>
      </c>
      <c r="I1427" s="27">
        <f>N1427</f>
        <v>1102700</v>
      </c>
      <c r="J1427" s="16">
        <f>'БА в тыс. руб.'!G1427*1000</f>
        <v>0</v>
      </c>
      <c r="K1427" s="169">
        <f t="shared" si="980"/>
        <v>0</v>
      </c>
      <c r="L1427" s="16">
        <f>'БА в тыс. руб.'!H1427*1000</f>
        <v>1102700</v>
      </c>
      <c r="M1427" s="169">
        <f t="shared" si="981"/>
        <v>0</v>
      </c>
      <c r="N1427" s="16">
        <f>'БА в тыс. руб.'!I1427*1000</f>
        <v>1102700</v>
      </c>
      <c r="O1427" s="169">
        <f t="shared" si="982"/>
        <v>0</v>
      </c>
    </row>
    <row r="1428" spans="1:15" s="3" customFormat="1">
      <c r="A1428" s="17" t="s">
        <v>7</v>
      </c>
      <c r="B1428" s="18" t="s">
        <v>20</v>
      </c>
      <c r="C1428" s="19" t="s">
        <v>8</v>
      </c>
      <c r="D1428" s="19" t="s">
        <v>51</v>
      </c>
      <c r="E1428" s="19" t="s">
        <v>196</v>
      </c>
      <c r="F1428" s="19" t="s">
        <v>58</v>
      </c>
      <c r="G1428" s="20">
        <f>G1429+G1436+G1443+G1481</f>
        <v>292259120</v>
      </c>
      <c r="H1428" s="20">
        <f>H1429+H1436+H1443+H1481</f>
        <v>268902200</v>
      </c>
      <c r="I1428" s="20">
        <f>I1429+I1436+I1443+I1481</f>
        <v>268902200</v>
      </c>
      <c r="J1428" s="16">
        <f>'БА в тыс. руб.'!G1428*1000</f>
        <v>292259120</v>
      </c>
      <c r="K1428" s="169">
        <f t="shared" si="980"/>
        <v>0</v>
      </c>
      <c r="L1428" s="16">
        <f>'БА в тыс. руб.'!H1428*1000</f>
        <v>268902199.99999994</v>
      </c>
      <c r="M1428" s="169">
        <f t="shared" si="981"/>
        <v>0</v>
      </c>
      <c r="N1428" s="16">
        <f>'БА в тыс. руб.'!I1428*1000</f>
        <v>268902199.99999994</v>
      </c>
      <c r="O1428" s="169">
        <f t="shared" si="982"/>
        <v>0</v>
      </c>
    </row>
    <row r="1429" spans="1:15" s="3" customFormat="1">
      <c r="A1429" s="21" t="s">
        <v>9</v>
      </c>
      <c r="B1429" s="22" t="s">
        <v>20</v>
      </c>
      <c r="C1429" s="23" t="s">
        <v>8</v>
      </c>
      <c r="D1429" s="23" t="s">
        <v>65</v>
      </c>
      <c r="E1429" s="23" t="s">
        <v>196</v>
      </c>
      <c r="F1429" s="23" t="s">
        <v>58</v>
      </c>
      <c r="G1429" s="24">
        <f t="shared" ref="G1429:I1434" si="988">G1430</f>
        <v>90000</v>
      </c>
      <c r="H1429" s="24">
        <f t="shared" si="988"/>
        <v>90000</v>
      </c>
      <c r="I1429" s="24">
        <f t="shared" si="988"/>
        <v>90000</v>
      </c>
      <c r="J1429" s="16">
        <f>'БА в тыс. руб.'!G1429*1000</f>
        <v>90000</v>
      </c>
      <c r="K1429" s="169">
        <f t="shared" si="980"/>
        <v>0</v>
      </c>
      <c r="L1429" s="16">
        <f>'БА в тыс. руб.'!H1429*1000</f>
        <v>90000</v>
      </c>
      <c r="M1429" s="169">
        <f t="shared" si="981"/>
        <v>0</v>
      </c>
      <c r="N1429" s="16">
        <f>'БА в тыс. руб.'!I1429*1000</f>
        <v>90000</v>
      </c>
      <c r="O1429" s="169">
        <f t="shared" si="982"/>
        <v>0</v>
      </c>
    </row>
    <row r="1430" spans="1:15" s="3" customFormat="1" ht="38.25">
      <c r="A1430" s="12" t="s">
        <v>722</v>
      </c>
      <c r="B1430" s="25" t="s">
        <v>20</v>
      </c>
      <c r="C1430" s="26" t="s">
        <v>8</v>
      </c>
      <c r="D1430" s="26" t="s">
        <v>65</v>
      </c>
      <c r="E1430" s="43" t="s">
        <v>300</v>
      </c>
      <c r="F1430" s="26" t="s">
        <v>58</v>
      </c>
      <c r="G1430" s="42">
        <f t="shared" si="988"/>
        <v>90000</v>
      </c>
      <c r="H1430" s="42">
        <f>H1431</f>
        <v>90000</v>
      </c>
      <c r="I1430" s="42">
        <f>I1431</f>
        <v>90000</v>
      </c>
      <c r="J1430" s="16">
        <f>'БА в тыс. руб.'!G1430*1000</f>
        <v>90000</v>
      </c>
      <c r="K1430" s="169">
        <f t="shared" si="980"/>
        <v>0</v>
      </c>
      <c r="L1430" s="16">
        <f>'БА в тыс. руб.'!H1430*1000</f>
        <v>90000</v>
      </c>
      <c r="M1430" s="169">
        <f t="shared" si="981"/>
        <v>0</v>
      </c>
      <c r="N1430" s="16">
        <f>'БА в тыс. руб.'!I1430*1000</f>
        <v>90000</v>
      </c>
      <c r="O1430" s="169">
        <f t="shared" si="982"/>
        <v>0</v>
      </c>
    </row>
    <row r="1431" spans="1:15" s="3" customFormat="1" ht="25.5">
      <c r="A1431" s="11" t="s">
        <v>155</v>
      </c>
      <c r="B1431" s="25" t="s">
        <v>20</v>
      </c>
      <c r="C1431" s="26" t="s">
        <v>8</v>
      </c>
      <c r="D1431" s="26" t="s">
        <v>65</v>
      </c>
      <c r="E1431" s="43" t="s">
        <v>495</v>
      </c>
      <c r="F1431" s="26" t="s">
        <v>58</v>
      </c>
      <c r="G1431" s="42">
        <f t="shared" si="988"/>
        <v>90000</v>
      </c>
      <c r="H1431" s="42">
        <f>H1432</f>
        <v>90000</v>
      </c>
      <c r="I1431" s="42">
        <f>I1432</f>
        <v>90000</v>
      </c>
      <c r="J1431" s="16">
        <f>'БА в тыс. руб.'!G1431*1000</f>
        <v>90000</v>
      </c>
      <c r="K1431" s="169">
        <f t="shared" si="980"/>
        <v>0</v>
      </c>
      <c r="L1431" s="16">
        <f>'БА в тыс. руб.'!H1431*1000</f>
        <v>90000</v>
      </c>
      <c r="M1431" s="169">
        <f t="shared" si="981"/>
        <v>0</v>
      </c>
      <c r="N1431" s="16">
        <f>'БА в тыс. руб.'!I1431*1000</f>
        <v>90000</v>
      </c>
      <c r="O1431" s="169">
        <f t="shared" si="982"/>
        <v>0</v>
      </c>
    </row>
    <row r="1432" spans="1:15" s="3" customFormat="1" ht="38.25">
      <c r="A1432" s="11" t="s">
        <v>522</v>
      </c>
      <c r="B1432" s="25" t="s">
        <v>20</v>
      </c>
      <c r="C1432" s="26" t="s">
        <v>8</v>
      </c>
      <c r="D1432" s="26" t="s">
        <v>65</v>
      </c>
      <c r="E1432" s="43" t="s">
        <v>497</v>
      </c>
      <c r="F1432" s="26" t="s">
        <v>58</v>
      </c>
      <c r="G1432" s="42">
        <f t="shared" si="988"/>
        <v>90000</v>
      </c>
      <c r="H1432" s="42">
        <f t="shared" si="988"/>
        <v>90000</v>
      </c>
      <c r="I1432" s="42">
        <f t="shared" si="988"/>
        <v>90000</v>
      </c>
      <c r="J1432" s="16">
        <f>'БА в тыс. руб.'!G1432*1000</f>
        <v>90000</v>
      </c>
      <c r="K1432" s="169">
        <f t="shared" si="980"/>
        <v>0</v>
      </c>
      <c r="L1432" s="16">
        <f>'БА в тыс. руб.'!H1432*1000</f>
        <v>90000</v>
      </c>
      <c r="M1432" s="169">
        <f t="shared" si="981"/>
        <v>0</v>
      </c>
      <c r="N1432" s="16">
        <f>'БА в тыс. руб.'!I1432*1000</f>
        <v>90000</v>
      </c>
      <c r="O1432" s="169">
        <f t="shared" si="982"/>
        <v>0</v>
      </c>
    </row>
    <row r="1433" spans="1:15" s="3" customFormat="1">
      <c r="A1433" s="11" t="s">
        <v>188</v>
      </c>
      <c r="B1433" s="25" t="s">
        <v>20</v>
      </c>
      <c r="C1433" s="26" t="s">
        <v>8</v>
      </c>
      <c r="D1433" s="26" t="s">
        <v>65</v>
      </c>
      <c r="E1433" s="43" t="s">
        <v>523</v>
      </c>
      <c r="F1433" s="26" t="s">
        <v>58</v>
      </c>
      <c r="G1433" s="42">
        <f t="shared" si="988"/>
        <v>90000</v>
      </c>
      <c r="H1433" s="42">
        <f t="shared" si="988"/>
        <v>90000</v>
      </c>
      <c r="I1433" s="42">
        <f t="shared" si="988"/>
        <v>90000</v>
      </c>
      <c r="J1433" s="16">
        <f>'БА в тыс. руб.'!G1433*1000</f>
        <v>90000</v>
      </c>
      <c r="K1433" s="169">
        <f t="shared" si="980"/>
        <v>0</v>
      </c>
      <c r="L1433" s="16">
        <f>'БА в тыс. руб.'!H1433*1000</f>
        <v>90000</v>
      </c>
      <c r="M1433" s="169">
        <f t="shared" si="981"/>
        <v>0</v>
      </c>
      <c r="N1433" s="16">
        <f>'БА в тыс. руб.'!I1433*1000</f>
        <v>90000</v>
      </c>
      <c r="O1433" s="169">
        <f t="shared" si="982"/>
        <v>0</v>
      </c>
    </row>
    <row r="1434" spans="1:15" s="3" customFormat="1" ht="25.5">
      <c r="A1434" s="11" t="s">
        <v>108</v>
      </c>
      <c r="B1434" s="26" t="s">
        <v>20</v>
      </c>
      <c r="C1434" s="26" t="s">
        <v>8</v>
      </c>
      <c r="D1434" s="26" t="s">
        <v>65</v>
      </c>
      <c r="E1434" s="43" t="s">
        <v>523</v>
      </c>
      <c r="F1434" s="26" t="s">
        <v>116</v>
      </c>
      <c r="G1434" s="42">
        <f t="shared" si="988"/>
        <v>90000</v>
      </c>
      <c r="H1434" s="42">
        <f t="shared" si="988"/>
        <v>90000</v>
      </c>
      <c r="I1434" s="42">
        <f t="shared" si="988"/>
        <v>90000</v>
      </c>
      <c r="J1434" s="16">
        <f>'БА в тыс. руб.'!G1434*1000</f>
        <v>90000</v>
      </c>
      <c r="K1434" s="169">
        <f t="shared" si="980"/>
        <v>0</v>
      </c>
      <c r="L1434" s="16">
        <f>'БА в тыс. руб.'!H1434*1000</f>
        <v>90000</v>
      </c>
      <c r="M1434" s="169">
        <f t="shared" si="981"/>
        <v>0</v>
      </c>
      <c r="N1434" s="16">
        <f>'БА в тыс. руб.'!I1434*1000</f>
        <v>90000</v>
      </c>
      <c r="O1434" s="169">
        <f t="shared" si="982"/>
        <v>0</v>
      </c>
    </row>
    <row r="1435" spans="1:15" s="4" customFormat="1" ht="25.5">
      <c r="A1435" s="12" t="s">
        <v>973</v>
      </c>
      <c r="B1435" s="26" t="s">
        <v>20</v>
      </c>
      <c r="C1435" s="26" t="s">
        <v>8</v>
      </c>
      <c r="D1435" s="26" t="s">
        <v>65</v>
      </c>
      <c r="E1435" s="43" t="s">
        <v>523</v>
      </c>
      <c r="F1435" s="26" t="s">
        <v>1043</v>
      </c>
      <c r="G1435" s="27">
        <f t="shared" ref="G1435" si="989">J1435</f>
        <v>90000</v>
      </c>
      <c r="H1435" s="27">
        <f>L1435</f>
        <v>90000</v>
      </c>
      <c r="I1435" s="27">
        <f>N1435</f>
        <v>90000</v>
      </c>
      <c r="J1435" s="16">
        <f>'БА в тыс. руб.'!G1435*1000</f>
        <v>90000</v>
      </c>
      <c r="K1435" s="169">
        <f t="shared" si="980"/>
        <v>0</v>
      </c>
      <c r="L1435" s="16">
        <f>'БА в тыс. руб.'!H1435*1000</f>
        <v>90000</v>
      </c>
      <c r="M1435" s="169">
        <f t="shared" si="981"/>
        <v>0</v>
      </c>
      <c r="N1435" s="16">
        <f>'БА в тыс. руб.'!I1435*1000</f>
        <v>90000</v>
      </c>
      <c r="O1435" s="169">
        <f t="shared" si="982"/>
        <v>0</v>
      </c>
    </row>
    <row r="1436" spans="1:15" s="3" customFormat="1">
      <c r="A1436" s="21" t="s">
        <v>10</v>
      </c>
      <c r="B1436" s="22">
        <v>620</v>
      </c>
      <c r="C1436" s="23" t="s">
        <v>8</v>
      </c>
      <c r="D1436" s="23" t="s">
        <v>66</v>
      </c>
      <c r="E1436" s="23" t="s">
        <v>196</v>
      </c>
      <c r="F1436" s="23" t="s">
        <v>58</v>
      </c>
      <c r="G1436" s="24">
        <f t="shared" ref="G1436:I1441" si="990">G1437</f>
        <v>20000</v>
      </c>
      <c r="H1436" s="24">
        <f t="shared" si="990"/>
        <v>20000</v>
      </c>
      <c r="I1436" s="24">
        <f t="shared" si="990"/>
        <v>20000</v>
      </c>
      <c r="J1436" s="16">
        <f>'БА в тыс. руб.'!G1436*1000</f>
        <v>20000</v>
      </c>
      <c r="K1436" s="169">
        <f t="shared" si="980"/>
        <v>0</v>
      </c>
      <c r="L1436" s="16">
        <f>'БА в тыс. руб.'!H1436*1000</f>
        <v>20000</v>
      </c>
      <c r="M1436" s="169">
        <f t="shared" si="981"/>
        <v>0</v>
      </c>
      <c r="N1436" s="16">
        <f>'БА в тыс. руб.'!I1436*1000</f>
        <v>20000</v>
      </c>
      <c r="O1436" s="169">
        <f t="shared" si="982"/>
        <v>0</v>
      </c>
    </row>
    <row r="1437" spans="1:15" s="3" customFormat="1" ht="38.25">
      <c r="A1437" s="12" t="s">
        <v>722</v>
      </c>
      <c r="B1437" s="47">
        <v>620</v>
      </c>
      <c r="C1437" s="26" t="s">
        <v>8</v>
      </c>
      <c r="D1437" s="26" t="s">
        <v>66</v>
      </c>
      <c r="E1437" s="43" t="s">
        <v>300</v>
      </c>
      <c r="F1437" s="26" t="s">
        <v>58</v>
      </c>
      <c r="G1437" s="42">
        <f t="shared" si="990"/>
        <v>20000</v>
      </c>
      <c r="H1437" s="42">
        <f t="shared" si="990"/>
        <v>20000</v>
      </c>
      <c r="I1437" s="42">
        <f t="shared" si="990"/>
        <v>20000</v>
      </c>
      <c r="J1437" s="16">
        <f>'БА в тыс. руб.'!G1437*1000</f>
        <v>20000</v>
      </c>
      <c r="K1437" s="169">
        <f t="shared" si="980"/>
        <v>0</v>
      </c>
      <c r="L1437" s="16">
        <f>'БА в тыс. руб.'!H1437*1000</f>
        <v>20000</v>
      </c>
      <c r="M1437" s="169">
        <f t="shared" si="981"/>
        <v>0</v>
      </c>
      <c r="N1437" s="16">
        <f>'БА в тыс. руб.'!I1437*1000</f>
        <v>20000</v>
      </c>
      <c r="O1437" s="169">
        <f t="shared" si="982"/>
        <v>0</v>
      </c>
    </row>
    <row r="1438" spans="1:15" s="3" customFormat="1" ht="25.5">
      <c r="A1438" s="11" t="s">
        <v>155</v>
      </c>
      <c r="B1438" s="47">
        <v>620</v>
      </c>
      <c r="C1438" s="26" t="s">
        <v>8</v>
      </c>
      <c r="D1438" s="26" t="s">
        <v>66</v>
      </c>
      <c r="E1438" s="43" t="s">
        <v>495</v>
      </c>
      <c r="F1438" s="26" t="s">
        <v>58</v>
      </c>
      <c r="G1438" s="42">
        <f t="shared" si="990"/>
        <v>20000</v>
      </c>
      <c r="H1438" s="42">
        <f t="shared" si="990"/>
        <v>20000</v>
      </c>
      <c r="I1438" s="42">
        <f t="shared" si="990"/>
        <v>20000</v>
      </c>
      <c r="J1438" s="16">
        <f>'БА в тыс. руб.'!G1438*1000</f>
        <v>20000</v>
      </c>
      <c r="K1438" s="169">
        <f t="shared" si="980"/>
        <v>0</v>
      </c>
      <c r="L1438" s="16">
        <f>'БА в тыс. руб.'!H1438*1000</f>
        <v>20000</v>
      </c>
      <c r="M1438" s="169">
        <f t="shared" si="981"/>
        <v>0</v>
      </c>
      <c r="N1438" s="16">
        <f>'БА в тыс. руб.'!I1438*1000</f>
        <v>20000</v>
      </c>
      <c r="O1438" s="169">
        <f t="shared" si="982"/>
        <v>0</v>
      </c>
    </row>
    <row r="1439" spans="1:15" s="3" customFormat="1" ht="38.25">
      <c r="A1439" s="11" t="s">
        <v>669</v>
      </c>
      <c r="B1439" s="47">
        <v>620</v>
      </c>
      <c r="C1439" s="26" t="s">
        <v>8</v>
      </c>
      <c r="D1439" s="26" t="s">
        <v>66</v>
      </c>
      <c r="E1439" s="43" t="s">
        <v>525</v>
      </c>
      <c r="F1439" s="26" t="s">
        <v>58</v>
      </c>
      <c r="G1439" s="42">
        <f t="shared" si="990"/>
        <v>20000</v>
      </c>
      <c r="H1439" s="42">
        <f t="shared" si="990"/>
        <v>20000</v>
      </c>
      <c r="I1439" s="42">
        <f t="shared" si="990"/>
        <v>20000</v>
      </c>
      <c r="J1439" s="16">
        <f>'БА в тыс. руб.'!G1439*1000</f>
        <v>20000</v>
      </c>
      <c r="K1439" s="169">
        <f t="shared" si="980"/>
        <v>0</v>
      </c>
      <c r="L1439" s="16">
        <f>'БА в тыс. руб.'!H1439*1000</f>
        <v>20000</v>
      </c>
      <c r="M1439" s="169">
        <f t="shared" si="981"/>
        <v>0</v>
      </c>
      <c r="N1439" s="16">
        <f>'БА в тыс. руб.'!I1439*1000</f>
        <v>20000</v>
      </c>
      <c r="O1439" s="169">
        <f t="shared" si="982"/>
        <v>0</v>
      </c>
    </row>
    <row r="1440" spans="1:15" s="3" customFormat="1">
      <c r="A1440" s="11" t="s">
        <v>671</v>
      </c>
      <c r="B1440" s="47">
        <v>620</v>
      </c>
      <c r="C1440" s="26" t="s">
        <v>8</v>
      </c>
      <c r="D1440" s="26" t="s">
        <v>66</v>
      </c>
      <c r="E1440" s="43" t="s">
        <v>526</v>
      </c>
      <c r="F1440" s="26" t="s">
        <v>58</v>
      </c>
      <c r="G1440" s="42">
        <f>G1441</f>
        <v>20000</v>
      </c>
      <c r="H1440" s="42">
        <f t="shared" si="990"/>
        <v>20000</v>
      </c>
      <c r="I1440" s="42">
        <f t="shared" si="990"/>
        <v>20000</v>
      </c>
      <c r="J1440" s="16">
        <f>'БА в тыс. руб.'!G1440*1000</f>
        <v>20000</v>
      </c>
      <c r="K1440" s="169">
        <f t="shared" si="980"/>
        <v>0</v>
      </c>
      <c r="L1440" s="16">
        <f>'БА в тыс. руб.'!H1440*1000</f>
        <v>20000</v>
      </c>
      <c r="M1440" s="169">
        <f t="shared" si="981"/>
        <v>0</v>
      </c>
      <c r="N1440" s="16">
        <f>'БА в тыс. руб.'!I1440*1000</f>
        <v>20000</v>
      </c>
      <c r="O1440" s="169">
        <f t="shared" si="982"/>
        <v>0</v>
      </c>
    </row>
    <row r="1441" spans="1:15" s="3" customFormat="1" ht="25.5">
      <c r="A1441" s="11" t="s">
        <v>108</v>
      </c>
      <c r="B1441" s="26" t="s">
        <v>20</v>
      </c>
      <c r="C1441" s="26" t="s">
        <v>8</v>
      </c>
      <c r="D1441" s="26" t="s">
        <v>66</v>
      </c>
      <c r="E1441" s="43" t="s">
        <v>526</v>
      </c>
      <c r="F1441" s="26" t="s">
        <v>116</v>
      </c>
      <c r="G1441" s="42">
        <f>G1442</f>
        <v>20000</v>
      </c>
      <c r="H1441" s="42">
        <f t="shared" si="990"/>
        <v>20000</v>
      </c>
      <c r="I1441" s="42">
        <f t="shared" si="990"/>
        <v>20000</v>
      </c>
      <c r="J1441" s="16">
        <f>'БА в тыс. руб.'!G1441*1000</f>
        <v>20000</v>
      </c>
      <c r="K1441" s="169">
        <f t="shared" si="980"/>
        <v>0</v>
      </c>
      <c r="L1441" s="16">
        <f>'БА в тыс. руб.'!H1441*1000</f>
        <v>20000</v>
      </c>
      <c r="M1441" s="169">
        <f t="shared" si="981"/>
        <v>0</v>
      </c>
      <c r="N1441" s="16">
        <f>'БА в тыс. руб.'!I1441*1000</f>
        <v>20000</v>
      </c>
      <c r="O1441" s="169">
        <f t="shared" si="982"/>
        <v>0</v>
      </c>
    </row>
    <row r="1442" spans="1:15" s="4" customFormat="1" ht="25.5">
      <c r="A1442" s="12" t="s">
        <v>973</v>
      </c>
      <c r="B1442" s="26" t="s">
        <v>20</v>
      </c>
      <c r="C1442" s="26" t="s">
        <v>8</v>
      </c>
      <c r="D1442" s="26" t="s">
        <v>66</v>
      </c>
      <c r="E1442" s="43" t="s">
        <v>526</v>
      </c>
      <c r="F1442" s="26" t="s">
        <v>1043</v>
      </c>
      <c r="G1442" s="27">
        <f t="shared" ref="G1442" si="991">J1442</f>
        <v>20000</v>
      </c>
      <c r="H1442" s="27">
        <f>L1442</f>
        <v>20000</v>
      </c>
      <c r="I1442" s="27">
        <f>N1442</f>
        <v>20000</v>
      </c>
      <c r="J1442" s="16">
        <f>'БА в тыс. руб.'!G1442*1000</f>
        <v>20000</v>
      </c>
      <c r="K1442" s="169">
        <f t="shared" si="980"/>
        <v>0</v>
      </c>
      <c r="L1442" s="16">
        <f>'БА в тыс. руб.'!H1442*1000</f>
        <v>20000</v>
      </c>
      <c r="M1442" s="169">
        <f t="shared" si="981"/>
        <v>0</v>
      </c>
      <c r="N1442" s="16">
        <f>'БА в тыс. руб.'!I1442*1000</f>
        <v>20000</v>
      </c>
      <c r="O1442" s="169">
        <f t="shared" si="982"/>
        <v>0</v>
      </c>
    </row>
    <row r="1443" spans="1:15" s="3" customFormat="1">
      <c r="A1443" s="21" t="s">
        <v>1</v>
      </c>
      <c r="B1443" s="22" t="s">
        <v>20</v>
      </c>
      <c r="C1443" s="23" t="s">
        <v>8</v>
      </c>
      <c r="D1443" s="23" t="s">
        <v>53</v>
      </c>
      <c r="E1443" s="23" t="s">
        <v>196</v>
      </c>
      <c r="F1443" s="23" t="s">
        <v>58</v>
      </c>
      <c r="G1443" s="24">
        <f>G1444+G1475</f>
        <v>234942320</v>
      </c>
      <c r="H1443" s="24">
        <f>H1444+H1475</f>
        <v>212657170</v>
      </c>
      <c r="I1443" s="24">
        <f>I1444+I1475</f>
        <v>212657170</v>
      </c>
      <c r="J1443" s="16">
        <f>'БА в тыс. руб.'!G1443*1000</f>
        <v>234942320</v>
      </c>
      <c r="K1443" s="169">
        <f t="shared" si="980"/>
        <v>0</v>
      </c>
      <c r="L1443" s="16">
        <f>'БА в тыс. руб.'!H1443*1000</f>
        <v>212657169.99999997</v>
      </c>
      <c r="M1443" s="169">
        <f t="shared" si="981"/>
        <v>0</v>
      </c>
      <c r="N1443" s="16">
        <f>'БА в тыс. руб.'!I1443*1000</f>
        <v>212657169.99999997</v>
      </c>
      <c r="O1443" s="169">
        <f t="shared" si="982"/>
        <v>0</v>
      </c>
    </row>
    <row r="1444" spans="1:15" s="3" customFormat="1" ht="38.25">
      <c r="A1444" s="12" t="s">
        <v>722</v>
      </c>
      <c r="B1444" s="26" t="s">
        <v>20</v>
      </c>
      <c r="C1444" s="26" t="s">
        <v>8</v>
      </c>
      <c r="D1444" s="26" t="s">
        <v>53</v>
      </c>
      <c r="E1444" s="26" t="s">
        <v>300</v>
      </c>
      <c r="F1444" s="26" t="s">
        <v>58</v>
      </c>
      <c r="G1444" s="42">
        <f>G1445</f>
        <v>231180640</v>
      </c>
      <c r="H1444" s="42">
        <f>H1445</f>
        <v>209271650</v>
      </c>
      <c r="I1444" s="42">
        <f>I1445</f>
        <v>209271650</v>
      </c>
      <c r="J1444" s="16">
        <f>'БА в тыс. руб.'!G1444*1000</f>
        <v>231180640</v>
      </c>
      <c r="K1444" s="169">
        <f t="shared" si="980"/>
        <v>0</v>
      </c>
      <c r="L1444" s="16">
        <f>'БА в тыс. руб.'!H1444*1000</f>
        <v>209271650</v>
      </c>
      <c r="M1444" s="169">
        <f t="shared" si="981"/>
        <v>0</v>
      </c>
      <c r="N1444" s="16">
        <f>'БА в тыс. руб.'!I1444*1000</f>
        <v>209271650</v>
      </c>
      <c r="O1444" s="169">
        <f t="shared" si="982"/>
        <v>0</v>
      </c>
    </row>
    <row r="1445" spans="1:15" s="3" customFormat="1">
      <c r="A1445" s="11" t="s">
        <v>142</v>
      </c>
      <c r="B1445" s="26" t="s">
        <v>20</v>
      </c>
      <c r="C1445" s="26" t="s">
        <v>8</v>
      </c>
      <c r="D1445" s="26" t="s">
        <v>53</v>
      </c>
      <c r="E1445" s="26" t="s">
        <v>453</v>
      </c>
      <c r="F1445" s="26" t="s">
        <v>58</v>
      </c>
      <c r="G1445" s="42">
        <f>G1446+G1452+G1456</f>
        <v>231180640</v>
      </c>
      <c r="H1445" s="42">
        <f>H1446+H1452+H1456</f>
        <v>209271650</v>
      </c>
      <c r="I1445" s="42">
        <f>I1446+I1452+I1456</f>
        <v>209271650</v>
      </c>
      <c r="J1445" s="16">
        <f>'БА в тыс. руб.'!G1445*1000</f>
        <v>231180640</v>
      </c>
      <c r="K1445" s="169">
        <f t="shared" si="980"/>
        <v>0</v>
      </c>
      <c r="L1445" s="16">
        <f>'БА в тыс. руб.'!H1445*1000</f>
        <v>209271650</v>
      </c>
      <c r="M1445" s="169">
        <f t="shared" si="981"/>
        <v>0</v>
      </c>
      <c r="N1445" s="16">
        <f>'БА в тыс. руб.'!I1445*1000</f>
        <v>209271650</v>
      </c>
      <c r="O1445" s="169">
        <f t="shared" si="982"/>
        <v>0</v>
      </c>
    </row>
    <row r="1446" spans="1:15" s="3" customFormat="1" ht="25.5">
      <c r="A1446" s="11" t="s">
        <v>718</v>
      </c>
      <c r="B1446" s="26" t="s">
        <v>20</v>
      </c>
      <c r="C1446" s="26" t="s">
        <v>8</v>
      </c>
      <c r="D1446" s="26" t="s">
        <v>53</v>
      </c>
      <c r="E1446" s="26" t="s">
        <v>655</v>
      </c>
      <c r="F1446" s="26" t="s">
        <v>58</v>
      </c>
      <c r="G1446" s="42">
        <f>G1447</f>
        <v>24087120</v>
      </c>
      <c r="H1446" s="42">
        <f>H1447</f>
        <v>14107150</v>
      </c>
      <c r="I1446" s="42">
        <f>I1447</f>
        <v>14107150</v>
      </c>
      <c r="J1446" s="16">
        <f>'БА в тыс. руб.'!G1446*1000</f>
        <v>24087120.000000004</v>
      </c>
      <c r="K1446" s="169">
        <f t="shared" si="980"/>
        <v>0</v>
      </c>
      <c r="L1446" s="16">
        <f>'БА в тыс. руб.'!H1446*1000</f>
        <v>14107150</v>
      </c>
      <c r="M1446" s="169">
        <f t="shared" si="981"/>
        <v>0</v>
      </c>
      <c r="N1446" s="16">
        <f>'БА в тыс. руб.'!I1446*1000</f>
        <v>14107150</v>
      </c>
      <c r="O1446" s="169">
        <f t="shared" si="982"/>
        <v>0</v>
      </c>
    </row>
    <row r="1447" spans="1:15" s="3" customFormat="1" ht="38.25">
      <c r="A1447" s="11" t="s">
        <v>905</v>
      </c>
      <c r="B1447" s="26" t="s">
        <v>20</v>
      </c>
      <c r="C1447" s="26" t="s">
        <v>8</v>
      </c>
      <c r="D1447" s="26" t="s">
        <v>53</v>
      </c>
      <c r="E1447" s="26" t="s">
        <v>656</v>
      </c>
      <c r="F1447" s="26" t="s">
        <v>58</v>
      </c>
      <c r="G1447" s="42">
        <f>G1448+G1450</f>
        <v>24087120</v>
      </c>
      <c r="H1447" s="42">
        <f>H1448+H1450</f>
        <v>14107150</v>
      </c>
      <c r="I1447" s="42">
        <f>I1448+I1450</f>
        <v>14107150</v>
      </c>
      <c r="J1447" s="16">
        <f>'БА в тыс. руб.'!G1447*1000</f>
        <v>24087120.000000004</v>
      </c>
      <c r="K1447" s="169">
        <f t="shared" si="980"/>
        <v>0</v>
      </c>
      <c r="L1447" s="16">
        <f>'БА в тыс. руб.'!H1447*1000</f>
        <v>14107150</v>
      </c>
      <c r="M1447" s="169">
        <f t="shared" si="981"/>
        <v>0</v>
      </c>
      <c r="N1447" s="16">
        <f>'БА в тыс. руб.'!I1447*1000</f>
        <v>14107150</v>
      </c>
      <c r="O1447" s="169">
        <f t="shared" si="982"/>
        <v>0</v>
      </c>
    </row>
    <row r="1448" spans="1:15" s="3" customFormat="1" ht="25.5">
      <c r="A1448" s="11" t="s">
        <v>108</v>
      </c>
      <c r="B1448" s="26" t="s">
        <v>20</v>
      </c>
      <c r="C1448" s="26" t="s">
        <v>8</v>
      </c>
      <c r="D1448" s="26" t="s">
        <v>53</v>
      </c>
      <c r="E1448" s="26" t="s">
        <v>656</v>
      </c>
      <c r="F1448" s="26" t="s">
        <v>116</v>
      </c>
      <c r="G1448" s="42">
        <f>G1449</f>
        <v>14087120</v>
      </c>
      <c r="H1448" s="42">
        <f t="shared" ref="H1448:I1448" si="992">H1449</f>
        <v>14107150</v>
      </c>
      <c r="I1448" s="42">
        <f t="shared" si="992"/>
        <v>14107150</v>
      </c>
      <c r="J1448" s="16">
        <f>'БА в тыс. руб.'!G1448*1000</f>
        <v>14087120</v>
      </c>
      <c r="K1448" s="169">
        <f t="shared" si="980"/>
        <v>0</v>
      </c>
      <c r="L1448" s="16">
        <f>'БА в тыс. руб.'!H1448*1000</f>
        <v>14107150</v>
      </c>
      <c r="M1448" s="169">
        <f t="shared" si="981"/>
        <v>0</v>
      </c>
      <c r="N1448" s="16">
        <f>'БА в тыс. руб.'!I1448*1000</f>
        <v>14107150</v>
      </c>
      <c r="O1448" s="169">
        <f t="shared" si="982"/>
        <v>0</v>
      </c>
    </row>
    <row r="1449" spans="1:15" s="4" customFormat="1" ht="25.5">
      <c r="A1449" s="12" t="s">
        <v>973</v>
      </c>
      <c r="B1449" s="26" t="s">
        <v>20</v>
      </c>
      <c r="C1449" s="26" t="s">
        <v>8</v>
      </c>
      <c r="D1449" s="26" t="s">
        <v>53</v>
      </c>
      <c r="E1449" s="26" t="s">
        <v>656</v>
      </c>
      <c r="F1449" s="26" t="s">
        <v>1043</v>
      </c>
      <c r="G1449" s="27">
        <f t="shared" ref="G1449" si="993">J1449</f>
        <v>14087120</v>
      </c>
      <c r="H1449" s="27">
        <f>L1449</f>
        <v>14107150</v>
      </c>
      <c r="I1449" s="27">
        <f>N1449</f>
        <v>14107150</v>
      </c>
      <c r="J1449" s="16">
        <f>'БА в тыс. руб.'!G1449*1000</f>
        <v>14087120</v>
      </c>
      <c r="K1449" s="169">
        <f t="shared" si="980"/>
        <v>0</v>
      </c>
      <c r="L1449" s="16">
        <f>'БА в тыс. руб.'!H1449*1000</f>
        <v>14107150</v>
      </c>
      <c r="M1449" s="169">
        <f t="shared" si="981"/>
        <v>0</v>
      </c>
      <c r="N1449" s="16">
        <f>'БА в тыс. руб.'!I1449*1000</f>
        <v>14107150</v>
      </c>
      <c r="O1449" s="169">
        <f t="shared" si="982"/>
        <v>0</v>
      </c>
    </row>
    <row r="1450" spans="1:15" s="3" customFormat="1">
      <c r="A1450" s="11" t="s">
        <v>190</v>
      </c>
      <c r="B1450" s="26" t="s">
        <v>20</v>
      </c>
      <c r="C1450" s="26" t="s">
        <v>8</v>
      </c>
      <c r="D1450" s="26" t="s">
        <v>53</v>
      </c>
      <c r="E1450" s="26" t="s">
        <v>656</v>
      </c>
      <c r="F1450" s="26" t="s">
        <v>103</v>
      </c>
      <c r="G1450" s="42">
        <f>G1451</f>
        <v>10000000</v>
      </c>
      <c r="H1450" s="42">
        <f t="shared" ref="H1450:I1450" si="994">H1451</f>
        <v>0</v>
      </c>
      <c r="I1450" s="42">
        <f t="shared" si="994"/>
        <v>0</v>
      </c>
      <c r="J1450" s="16">
        <f>'БА в тыс. руб.'!G1450*1000</f>
        <v>10000000</v>
      </c>
      <c r="K1450" s="169">
        <f t="shared" si="980"/>
        <v>0</v>
      </c>
      <c r="L1450" s="16">
        <f>'БА в тыс. руб.'!H1450*1000</f>
        <v>0</v>
      </c>
      <c r="M1450" s="169">
        <f t="shared" si="981"/>
        <v>0</v>
      </c>
      <c r="N1450" s="16">
        <f>'БА в тыс. руб.'!I1450*1000</f>
        <v>0</v>
      </c>
      <c r="O1450" s="169">
        <f t="shared" si="982"/>
        <v>0</v>
      </c>
    </row>
    <row r="1451" spans="1:15" s="4" customFormat="1" ht="25.5">
      <c r="A1451" s="12" t="s">
        <v>987</v>
      </c>
      <c r="B1451" s="26" t="s">
        <v>20</v>
      </c>
      <c r="C1451" s="26" t="s">
        <v>8</v>
      </c>
      <c r="D1451" s="26" t="s">
        <v>53</v>
      </c>
      <c r="E1451" s="26" t="s">
        <v>656</v>
      </c>
      <c r="F1451" s="26" t="s">
        <v>1052</v>
      </c>
      <c r="G1451" s="27">
        <f t="shared" ref="G1451" si="995">J1451</f>
        <v>10000000</v>
      </c>
      <c r="H1451" s="27">
        <f>L1451</f>
        <v>0</v>
      </c>
      <c r="I1451" s="27">
        <f>N1451</f>
        <v>0</v>
      </c>
      <c r="J1451" s="16">
        <f>'БА в тыс. руб.'!G1451*1000</f>
        <v>10000000</v>
      </c>
      <c r="K1451" s="169">
        <f t="shared" si="980"/>
        <v>0</v>
      </c>
      <c r="L1451" s="16">
        <f>'БА в тыс. руб.'!H1451*1000</f>
        <v>0</v>
      </c>
      <c r="M1451" s="169">
        <f t="shared" si="981"/>
        <v>0</v>
      </c>
      <c r="N1451" s="16">
        <f>'БА в тыс. руб.'!I1451*1000</f>
        <v>0</v>
      </c>
      <c r="O1451" s="169">
        <f t="shared" si="982"/>
        <v>0</v>
      </c>
    </row>
    <row r="1452" spans="1:15" s="3" customFormat="1" ht="38.25">
      <c r="A1452" s="11" t="s">
        <v>657</v>
      </c>
      <c r="B1452" s="26" t="s">
        <v>20</v>
      </c>
      <c r="C1452" s="26" t="s">
        <v>8</v>
      </c>
      <c r="D1452" s="26" t="s">
        <v>53</v>
      </c>
      <c r="E1452" s="26" t="s">
        <v>658</v>
      </c>
      <c r="F1452" s="26" t="s">
        <v>58</v>
      </c>
      <c r="G1452" s="42">
        <f t="shared" ref="G1452:I1454" si="996">G1453</f>
        <v>2284560</v>
      </c>
      <c r="H1452" s="42">
        <f t="shared" si="996"/>
        <v>2284560</v>
      </c>
      <c r="I1452" s="42">
        <f t="shared" si="996"/>
        <v>2284560</v>
      </c>
      <c r="J1452" s="16">
        <f>'БА в тыс. руб.'!G1452*1000</f>
        <v>2284560</v>
      </c>
      <c r="K1452" s="169">
        <f t="shared" si="980"/>
        <v>0</v>
      </c>
      <c r="L1452" s="16">
        <f>'БА в тыс. руб.'!H1452*1000</f>
        <v>2284560</v>
      </c>
      <c r="M1452" s="169">
        <f t="shared" si="981"/>
        <v>0</v>
      </c>
      <c r="N1452" s="16">
        <f>'БА в тыс. руб.'!I1452*1000</f>
        <v>2284560</v>
      </c>
      <c r="O1452" s="169">
        <f t="shared" si="982"/>
        <v>0</v>
      </c>
    </row>
    <row r="1453" spans="1:15" s="3" customFormat="1" ht="25.5">
      <c r="A1453" s="11" t="s">
        <v>592</v>
      </c>
      <c r="B1453" s="26" t="s">
        <v>20</v>
      </c>
      <c r="C1453" s="26" t="s">
        <v>8</v>
      </c>
      <c r="D1453" s="26" t="s">
        <v>53</v>
      </c>
      <c r="E1453" s="26" t="s">
        <v>659</v>
      </c>
      <c r="F1453" s="26" t="s">
        <v>58</v>
      </c>
      <c r="G1453" s="42">
        <f t="shared" si="996"/>
        <v>2284560</v>
      </c>
      <c r="H1453" s="42">
        <f t="shared" si="996"/>
        <v>2284560</v>
      </c>
      <c r="I1453" s="42">
        <f t="shared" si="996"/>
        <v>2284560</v>
      </c>
      <c r="J1453" s="16">
        <f>'БА в тыс. руб.'!G1453*1000</f>
        <v>2284560</v>
      </c>
      <c r="K1453" s="169">
        <f t="shared" si="980"/>
        <v>0</v>
      </c>
      <c r="L1453" s="16">
        <f>'БА в тыс. руб.'!H1453*1000</f>
        <v>2284560</v>
      </c>
      <c r="M1453" s="169">
        <f t="shared" si="981"/>
        <v>0</v>
      </c>
      <c r="N1453" s="16">
        <f>'БА в тыс. руб.'!I1453*1000</f>
        <v>2284560</v>
      </c>
      <c r="O1453" s="169">
        <f t="shared" si="982"/>
        <v>0</v>
      </c>
    </row>
    <row r="1454" spans="1:15" s="3" customFormat="1" ht="25.5">
      <c r="A1454" s="11" t="s">
        <v>108</v>
      </c>
      <c r="B1454" s="26" t="s">
        <v>20</v>
      </c>
      <c r="C1454" s="26" t="s">
        <v>8</v>
      </c>
      <c r="D1454" s="26" t="s">
        <v>53</v>
      </c>
      <c r="E1454" s="26" t="s">
        <v>659</v>
      </c>
      <c r="F1454" s="26" t="s">
        <v>116</v>
      </c>
      <c r="G1454" s="42">
        <f>G1455</f>
        <v>2284560</v>
      </c>
      <c r="H1454" s="42">
        <f t="shared" si="996"/>
        <v>2284560</v>
      </c>
      <c r="I1454" s="42">
        <f t="shared" si="996"/>
        <v>2284560</v>
      </c>
      <c r="J1454" s="16">
        <f>'БА в тыс. руб.'!G1454*1000</f>
        <v>2284560</v>
      </c>
      <c r="K1454" s="169">
        <f t="shared" si="980"/>
        <v>0</v>
      </c>
      <c r="L1454" s="16">
        <f>'БА в тыс. руб.'!H1454*1000</f>
        <v>2284560</v>
      </c>
      <c r="M1454" s="169">
        <f t="shared" si="981"/>
        <v>0</v>
      </c>
      <c r="N1454" s="16">
        <f>'БА в тыс. руб.'!I1454*1000</f>
        <v>2284560</v>
      </c>
      <c r="O1454" s="169">
        <f t="shared" si="982"/>
        <v>0</v>
      </c>
    </row>
    <row r="1455" spans="1:15" s="4" customFormat="1" ht="25.5">
      <c r="A1455" s="12" t="s">
        <v>973</v>
      </c>
      <c r="B1455" s="26" t="s">
        <v>20</v>
      </c>
      <c r="C1455" s="26" t="s">
        <v>8</v>
      </c>
      <c r="D1455" s="26" t="s">
        <v>53</v>
      </c>
      <c r="E1455" s="26" t="s">
        <v>659</v>
      </c>
      <c r="F1455" s="26" t="s">
        <v>1043</v>
      </c>
      <c r="G1455" s="27">
        <f t="shared" ref="G1455" si="997">J1455</f>
        <v>2284560</v>
      </c>
      <c r="H1455" s="27">
        <f>L1455</f>
        <v>2284560</v>
      </c>
      <c r="I1455" s="27">
        <f>N1455</f>
        <v>2284560</v>
      </c>
      <c r="J1455" s="16">
        <f>'БА в тыс. руб.'!G1455*1000</f>
        <v>2284560</v>
      </c>
      <c r="K1455" s="169">
        <f t="shared" si="980"/>
        <v>0</v>
      </c>
      <c r="L1455" s="16">
        <f>'БА в тыс. руб.'!H1455*1000</f>
        <v>2284560</v>
      </c>
      <c r="M1455" s="169">
        <f t="shared" si="981"/>
        <v>0</v>
      </c>
      <c r="N1455" s="16">
        <f>'БА в тыс. руб.'!I1455*1000</f>
        <v>2284560</v>
      </c>
      <c r="O1455" s="169">
        <f t="shared" si="982"/>
        <v>0</v>
      </c>
    </row>
    <row r="1456" spans="1:15" s="3" customFormat="1" ht="25.5">
      <c r="A1456" s="11" t="s">
        <v>527</v>
      </c>
      <c r="B1456" s="26" t="s">
        <v>20</v>
      </c>
      <c r="C1456" s="26" t="s">
        <v>8</v>
      </c>
      <c r="D1456" s="26" t="s">
        <v>53</v>
      </c>
      <c r="E1456" s="26" t="s">
        <v>645</v>
      </c>
      <c r="F1456" s="26" t="s">
        <v>58</v>
      </c>
      <c r="G1456" s="42">
        <f>G1457+G1460+G1463+G1469+G1472</f>
        <v>204808960</v>
      </c>
      <c r="H1456" s="42">
        <f>H1457+H1460+H1463+H1469+H1472</f>
        <v>192879940</v>
      </c>
      <c r="I1456" s="42">
        <f>I1457+I1460+I1463+I1469+I1472</f>
        <v>192879940</v>
      </c>
      <c r="J1456" s="16">
        <f>'БА в тыс. руб.'!G1456*1000</f>
        <v>204808960.00000003</v>
      </c>
      <c r="K1456" s="169">
        <f t="shared" si="980"/>
        <v>0</v>
      </c>
      <c r="L1456" s="16">
        <f>'БА в тыс. руб.'!H1456*1000</f>
        <v>192879940</v>
      </c>
      <c r="M1456" s="169">
        <f t="shared" si="981"/>
        <v>0</v>
      </c>
      <c r="N1456" s="16">
        <f>'БА в тыс. руб.'!I1456*1000</f>
        <v>192879940</v>
      </c>
      <c r="O1456" s="169">
        <f t="shared" si="982"/>
        <v>0</v>
      </c>
    </row>
    <row r="1457" spans="1:15" s="3" customFormat="1" ht="25.5">
      <c r="A1457" s="11" t="s">
        <v>247</v>
      </c>
      <c r="B1457" s="26" t="s">
        <v>20</v>
      </c>
      <c r="C1457" s="26" t="s">
        <v>8</v>
      </c>
      <c r="D1457" s="26" t="s">
        <v>53</v>
      </c>
      <c r="E1457" s="26" t="s">
        <v>660</v>
      </c>
      <c r="F1457" s="26" t="s">
        <v>58</v>
      </c>
      <c r="G1457" s="42">
        <f>G1458</f>
        <v>10982050</v>
      </c>
      <c r="H1457" s="42">
        <f>H1458</f>
        <v>10984230</v>
      </c>
      <c r="I1457" s="42">
        <f>I1458</f>
        <v>10984230</v>
      </c>
      <c r="J1457" s="16">
        <f>'БА в тыс. руб.'!G1457*1000</f>
        <v>10982050</v>
      </c>
      <c r="K1457" s="169">
        <f t="shared" si="980"/>
        <v>0</v>
      </c>
      <c r="L1457" s="16">
        <f>'БА в тыс. руб.'!H1457*1000</f>
        <v>10984230</v>
      </c>
      <c r="M1457" s="169">
        <f t="shared" si="981"/>
        <v>0</v>
      </c>
      <c r="N1457" s="16">
        <f>'БА в тыс. руб.'!I1457*1000</f>
        <v>10984230</v>
      </c>
      <c r="O1457" s="169">
        <f t="shared" si="982"/>
        <v>0</v>
      </c>
    </row>
    <row r="1458" spans="1:15" s="3" customFormat="1">
      <c r="A1458" s="13" t="s">
        <v>92</v>
      </c>
      <c r="B1458" s="26" t="s">
        <v>20</v>
      </c>
      <c r="C1458" s="26" t="s">
        <v>8</v>
      </c>
      <c r="D1458" s="26" t="s">
        <v>53</v>
      </c>
      <c r="E1458" s="26" t="s">
        <v>660</v>
      </c>
      <c r="F1458" s="26" t="s">
        <v>138</v>
      </c>
      <c r="G1458" s="42">
        <f>G1459</f>
        <v>10982050</v>
      </c>
      <c r="H1458" s="42">
        <f t="shared" ref="H1458:I1458" si="998">H1459</f>
        <v>10984230</v>
      </c>
      <c r="I1458" s="42">
        <f t="shared" si="998"/>
        <v>10984230</v>
      </c>
      <c r="J1458" s="16">
        <f>'БА в тыс. руб.'!G1458*1000</f>
        <v>10982050</v>
      </c>
      <c r="K1458" s="169">
        <f t="shared" si="980"/>
        <v>0</v>
      </c>
      <c r="L1458" s="16">
        <f>'БА в тыс. руб.'!H1458*1000</f>
        <v>10984230</v>
      </c>
      <c r="M1458" s="169">
        <f t="shared" si="981"/>
        <v>0</v>
      </c>
      <c r="N1458" s="16">
        <f>'БА в тыс. руб.'!I1458*1000</f>
        <v>10984230</v>
      </c>
      <c r="O1458" s="169">
        <f t="shared" si="982"/>
        <v>0</v>
      </c>
    </row>
    <row r="1459" spans="1:15" s="4" customFormat="1" ht="38.25">
      <c r="A1459" s="12" t="s">
        <v>1015</v>
      </c>
      <c r="B1459" s="26" t="s">
        <v>20</v>
      </c>
      <c r="C1459" s="26" t="s">
        <v>8</v>
      </c>
      <c r="D1459" s="26" t="s">
        <v>53</v>
      </c>
      <c r="E1459" s="26" t="s">
        <v>660</v>
      </c>
      <c r="F1459" s="26" t="s">
        <v>67</v>
      </c>
      <c r="G1459" s="27">
        <f t="shared" ref="G1459" si="999">J1459</f>
        <v>10982050</v>
      </c>
      <c r="H1459" s="27">
        <f>L1459</f>
        <v>10984230</v>
      </c>
      <c r="I1459" s="27">
        <f>N1459</f>
        <v>10984230</v>
      </c>
      <c r="J1459" s="16">
        <f>'БА в тыс. руб.'!G1459*1000</f>
        <v>10982050</v>
      </c>
      <c r="K1459" s="169">
        <f t="shared" si="980"/>
        <v>0</v>
      </c>
      <c r="L1459" s="16">
        <f>'БА в тыс. руб.'!H1459*1000</f>
        <v>10984230</v>
      </c>
      <c r="M1459" s="169">
        <f t="shared" si="981"/>
        <v>0</v>
      </c>
      <c r="N1459" s="16">
        <f>'БА в тыс. руб.'!I1459*1000</f>
        <v>10984230</v>
      </c>
      <c r="O1459" s="169">
        <f t="shared" si="982"/>
        <v>0</v>
      </c>
    </row>
    <row r="1460" spans="1:15" s="3" customFormat="1" ht="25.5">
      <c r="A1460" s="11" t="s">
        <v>897</v>
      </c>
      <c r="B1460" s="26" t="s">
        <v>20</v>
      </c>
      <c r="C1460" s="26" t="s">
        <v>8</v>
      </c>
      <c r="D1460" s="26" t="s">
        <v>53</v>
      </c>
      <c r="E1460" s="26" t="s">
        <v>661</v>
      </c>
      <c r="F1460" s="26" t="s">
        <v>58</v>
      </c>
      <c r="G1460" s="42">
        <f>G1461</f>
        <v>109804480</v>
      </c>
      <c r="H1460" s="42">
        <f t="shared" ref="H1460:I1461" si="1000">H1461</f>
        <v>105492620</v>
      </c>
      <c r="I1460" s="42">
        <f t="shared" si="1000"/>
        <v>105492620</v>
      </c>
      <c r="J1460" s="16">
        <f>'БА в тыс. руб.'!G1460*1000</f>
        <v>109804480</v>
      </c>
      <c r="K1460" s="169">
        <f t="shared" si="980"/>
        <v>0</v>
      </c>
      <c r="L1460" s="16">
        <f>'БА в тыс. руб.'!H1460*1000</f>
        <v>105492620</v>
      </c>
      <c r="M1460" s="169">
        <f t="shared" si="981"/>
        <v>0</v>
      </c>
      <c r="N1460" s="16">
        <f>'БА в тыс. руб.'!I1460*1000</f>
        <v>105492620</v>
      </c>
      <c r="O1460" s="169">
        <f t="shared" si="982"/>
        <v>0</v>
      </c>
    </row>
    <row r="1461" spans="1:15" s="3" customFormat="1" ht="25.5">
      <c r="A1461" s="11" t="s">
        <v>108</v>
      </c>
      <c r="B1461" s="26" t="s">
        <v>20</v>
      </c>
      <c r="C1461" s="26" t="s">
        <v>8</v>
      </c>
      <c r="D1461" s="26" t="s">
        <v>53</v>
      </c>
      <c r="E1461" s="26" t="s">
        <v>661</v>
      </c>
      <c r="F1461" s="26" t="s">
        <v>116</v>
      </c>
      <c r="G1461" s="42">
        <f>G1462</f>
        <v>109804480</v>
      </c>
      <c r="H1461" s="42">
        <f t="shared" si="1000"/>
        <v>105492620</v>
      </c>
      <c r="I1461" s="42">
        <f t="shared" si="1000"/>
        <v>105492620</v>
      </c>
      <c r="J1461" s="16">
        <f>'БА в тыс. руб.'!G1461*1000</f>
        <v>109804480</v>
      </c>
      <c r="K1461" s="169">
        <f t="shared" si="980"/>
        <v>0</v>
      </c>
      <c r="L1461" s="16">
        <f>'БА в тыс. руб.'!H1461*1000</f>
        <v>105492620</v>
      </c>
      <c r="M1461" s="169">
        <f t="shared" si="981"/>
        <v>0</v>
      </c>
      <c r="N1461" s="16">
        <f>'БА в тыс. руб.'!I1461*1000</f>
        <v>105492620</v>
      </c>
      <c r="O1461" s="169">
        <f t="shared" si="982"/>
        <v>0</v>
      </c>
    </row>
    <row r="1462" spans="1:15" s="3" customFormat="1" ht="25.5">
      <c r="A1462" s="12" t="s">
        <v>973</v>
      </c>
      <c r="B1462" s="26" t="s">
        <v>20</v>
      </c>
      <c r="C1462" s="26" t="s">
        <v>8</v>
      </c>
      <c r="D1462" s="26" t="s">
        <v>53</v>
      </c>
      <c r="E1462" s="26" t="s">
        <v>661</v>
      </c>
      <c r="F1462" s="26" t="s">
        <v>1043</v>
      </c>
      <c r="G1462" s="27">
        <f t="shared" ref="G1462" si="1001">J1462</f>
        <v>109804480</v>
      </c>
      <c r="H1462" s="27">
        <f>L1462</f>
        <v>105492620</v>
      </c>
      <c r="I1462" s="27">
        <f>N1462</f>
        <v>105492620</v>
      </c>
      <c r="J1462" s="16">
        <f>'БА в тыс. руб.'!G1462*1000</f>
        <v>109804480</v>
      </c>
      <c r="K1462" s="169"/>
      <c r="L1462" s="16">
        <f>'БА в тыс. руб.'!H1462*1000</f>
        <v>105492620</v>
      </c>
      <c r="M1462" s="169"/>
      <c r="N1462" s="16">
        <f>'БА в тыс. руб.'!I1462*1000</f>
        <v>105492620</v>
      </c>
      <c r="O1462" s="169"/>
    </row>
    <row r="1463" spans="1:15" s="3" customFormat="1" ht="25.5">
      <c r="A1463" s="11" t="s">
        <v>158</v>
      </c>
      <c r="B1463" s="26" t="s">
        <v>20</v>
      </c>
      <c r="C1463" s="26" t="s">
        <v>8</v>
      </c>
      <c r="D1463" s="26" t="s">
        <v>53</v>
      </c>
      <c r="E1463" s="26" t="s">
        <v>646</v>
      </c>
      <c r="F1463" s="26" t="s">
        <v>58</v>
      </c>
      <c r="G1463" s="42">
        <f>G1464+G1468+G1466</f>
        <v>21562670</v>
      </c>
      <c r="H1463" s="42">
        <f>H1464+H1468</f>
        <v>19405340</v>
      </c>
      <c r="I1463" s="42">
        <f>I1464+I1468</f>
        <v>19405340</v>
      </c>
      <c r="J1463" s="16">
        <f>'БА в тыс. руб.'!G1463*1000</f>
        <v>21562670</v>
      </c>
      <c r="K1463" s="169">
        <f t="shared" si="980"/>
        <v>0</v>
      </c>
      <c r="L1463" s="16">
        <f>'БА в тыс. руб.'!H1463*1000</f>
        <v>19405340</v>
      </c>
      <c r="M1463" s="169">
        <f t="shared" si="981"/>
        <v>0</v>
      </c>
      <c r="N1463" s="16">
        <f>'БА в тыс. руб.'!I1463*1000</f>
        <v>19405340</v>
      </c>
      <c r="O1463" s="169">
        <f t="shared" si="982"/>
        <v>0</v>
      </c>
    </row>
    <row r="1464" spans="1:15" s="3" customFormat="1" ht="25.5">
      <c r="A1464" s="11" t="s">
        <v>108</v>
      </c>
      <c r="B1464" s="26" t="s">
        <v>20</v>
      </c>
      <c r="C1464" s="26" t="s">
        <v>8</v>
      </c>
      <c r="D1464" s="26" t="s">
        <v>53</v>
      </c>
      <c r="E1464" s="26" t="s">
        <v>646</v>
      </c>
      <c r="F1464" s="26" t="s">
        <v>116</v>
      </c>
      <c r="G1464" s="42">
        <f>G1465</f>
        <v>19955030</v>
      </c>
      <c r="H1464" s="42">
        <f t="shared" ref="H1464:I1464" si="1002">H1465</f>
        <v>19255340</v>
      </c>
      <c r="I1464" s="42">
        <f t="shared" si="1002"/>
        <v>19255340</v>
      </c>
      <c r="J1464" s="16">
        <f>'БА в тыс. руб.'!G1464*1000</f>
        <v>19955030</v>
      </c>
      <c r="K1464" s="169">
        <f t="shared" si="980"/>
        <v>0</v>
      </c>
      <c r="L1464" s="16">
        <f>'БА в тыс. руб.'!H1464*1000</f>
        <v>19255340</v>
      </c>
      <c r="M1464" s="169">
        <f t="shared" si="981"/>
        <v>0</v>
      </c>
      <c r="N1464" s="16">
        <f>'БА в тыс. руб.'!I1464*1000</f>
        <v>19255340</v>
      </c>
      <c r="O1464" s="169">
        <f t="shared" si="982"/>
        <v>0</v>
      </c>
    </row>
    <row r="1465" spans="1:15" s="4" customFormat="1" ht="25.5">
      <c r="A1465" s="12" t="s">
        <v>973</v>
      </c>
      <c r="B1465" s="26" t="s">
        <v>20</v>
      </c>
      <c r="C1465" s="26" t="s">
        <v>8</v>
      </c>
      <c r="D1465" s="26" t="s">
        <v>53</v>
      </c>
      <c r="E1465" s="26" t="s">
        <v>646</v>
      </c>
      <c r="F1465" s="26" t="s">
        <v>1043</v>
      </c>
      <c r="G1465" s="27">
        <f t="shared" ref="G1465" si="1003">J1465</f>
        <v>19955030</v>
      </c>
      <c r="H1465" s="27">
        <f>L1465</f>
        <v>19255340</v>
      </c>
      <c r="I1465" s="27">
        <f>N1465</f>
        <v>19255340</v>
      </c>
      <c r="J1465" s="16">
        <f>'БА в тыс. руб.'!G1465*1000</f>
        <v>19955030</v>
      </c>
      <c r="K1465" s="169">
        <f t="shared" si="980"/>
        <v>0</v>
      </c>
      <c r="L1465" s="16">
        <f>'БА в тыс. руб.'!H1465*1000</f>
        <v>19255340</v>
      </c>
      <c r="M1465" s="169">
        <f t="shared" si="981"/>
        <v>0</v>
      </c>
      <c r="N1465" s="16">
        <f>'БА в тыс. руб.'!I1465*1000</f>
        <v>19255340</v>
      </c>
      <c r="O1465" s="169">
        <f t="shared" si="982"/>
        <v>0</v>
      </c>
    </row>
    <row r="1466" spans="1:15" s="3" customFormat="1">
      <c r="A1466" s="76" t="s">
        <v>21</v>
      </c>
      <c r="B1466" s="26" t="s">
        <v>20</v>
      </c>
      <c r="C1466" s="26" t="s">
        <v>8</v>
      </c>
      <c r="D1466" s="26" t="s">
        <v>53</v>
      </c>
      <c r="E1466" s="26" t="s">
        <v>646</v>
      </c>
      <c r="F1466" s="26" t="s">
        <v>103</v>
      </c>
      <c r="G1466" s="42">
        <f>G1467</f>
        <v>1607640</v>
      </c>
      <c r="H1466" s="42">
        <f t="shared" ref="H1466:I1466" si="1004">H1467</f>
        <v>0</v>
      </c>
      <c r="I1466" s="42">
        <f t="shared" si="1004"/>
        <v>0</v>
      </c>
      <c r="J1466" s="16">
        <f>'БА в тыс. руб.'!G1466*1000</f>
        <v>1607640</v>
      </c>
      <c r="K1466" s="169">
        <f t="shared" si="980"/>
        <v>0</v>
      </c>
      <c r="L1466" s="16">
        <f>'БА в тыс. руб.'!H1466*1000</f>
        <v>0</v>
      </c>
      <c r="M1466" s="169">
        <f t="shared" si="981"/>
        <v>0</v>
      </c>
      <c r="N1466" s="16">
        <f>'БА в тыс. руб.'!I1466*1000</f>
        <v>0</v>
      </c>
      <c r="O1466" s="169">
        <f t="shared" si="982"/>
        <v>0</v>
      </c>
    </row>
    <row r="1467" spans="1:15" s="4" customFormat="1" ht="25.5">
      <c r="A1467" s="12" t="s">
        <v>987</v>
      </c>
      <c r="B1467" s="26" t="s">
        <v>20</v>
      </c>
      <c r="C1467" s="26" t="s">
        <v>8</v>
      </c>
      <c r="D1467" s="26" t="s">
        <v>53</v>
      </c>
      <c r="E1467" s="26" t="s">
        <v>646</v>
      </c>
      <c r="F1467" s="26" t="s">
        <v>1052</v>
      </c>
      <c r="G1467" s="27">
        <f t="shared" ref="G1467:G1468" si="1005">J1467</f>
        <v>1607640</v>
      </c>
      <c r="H1467" s="27">
        <f t="shared" ref="H1467:H1468" si="1006">L1467</f>
        <v>0</v>
      </c>
      <c r="I1467" s="27">
        <f t="shared" ref="I1467:I1468" si="1007">N1467</f>
        <v>0</v>
      </c>
      <c r="J1467" s="16">
        <f>'БА в тыс. руб.'!G1467*1000</f>
        <v>1607640</v>
      </c>
      <c r="K1467" s="169">
        <f t="shared" si="980"/>
        <v>0</v>
      </c>
      <c r="L1467" s="16">
        <f>'БА в тыс. руб.'!H1467*1000</f>
        <v>0</v>
      </c>
      <c r="M1467" s="169">
        <f t="shared" si="981"/>
        <v>0</v>
      </c>
      <c r="N1467" s="16">
        <f>'БА в тыс. руб.'!I1467*1000</f>
        <v>0</v>
      </c>
      <c r="O1467" s="169">
        <f t="shared" si="982"/>
        <v>0</v>
      </c>
    </row>
    <row r="1468" spans="1:15" s="3" customFormat="1">
      <c r="A1468" s="11" t="s">
        <v>99</v>
      </c>
      <c r="B1468" s="26" t="s">
        <v>20</v>
      </c>
      <c r="C1468" s="26" t="s">
        <v>8</v>
      </c>
      <c r="D1468" s="26" t="s">
        <v>53</v>
      </c>
      <c r="E1468" s="26" t="s">
        <v>646</v>
      </c>
      <c r="F1468" s="26" t="s">
        <v>105</v>
      </c>
      <c r="G1468" s="27">
        <f t="shared" si="1005"/>
        <v>0</v>
      </c>
      <c r="H1468" s="27">
        <f t="shared" si="1006"/>
        <v>150000</v>
      </c>
      <c r="I1468" s="27">
        <f t="shared" si="1007"/>
        <v>150000</v>
      </c>
      <c r="J1468" s="16">
        <f>'БА в тыс. руб.'!G1468*1000</f>
        <v>0</v>
      </c>
      <c r="K1468" s="169">
        <f t="shared" si="980"/>
        <v>0</v>
      </c>
      <c r="L1468" s="16">
        <f>'БА в тыс. руб.'!H1468*1000</f>
        <v>150000</v>
      </c>
      <c r="M1468" s="169">
        <f t="shared" si="981"/>
        <v>0</v>
      </c>
      <c r="N1468" s="16">
        <f>'БА в тыс. руб.'!I1468*1000</f>
        <v>150000</v>
      </c>
      <c r="O1468" s="169">
        <f t="shared" si="982"/>
        <v>0</v>
      </c>
    </row>
    <row r="1469" spans="1:15" s="3" customFormat="1" ht="25.5">
      <c r="A1469" s="31" t="s">
        <v>159</v>
      </c>
      <c r="B1469" s="26" t="s">
        <v>20</v>
      </c>
      <c r="C1469" s="26" t="s">
        <v>8</v>
      </c>
      <c r="D1469" s="26" t="s">
        <v>53</v>
      </c>
      <c r="E1469" s="26" t="s">
        <v>647</v>
      </c>
      <c r="F1469" s="26" t="s">
        <v>58</v>
      </c>
      <c r="G1469" s="42">
        <f>G1470</f>
        <v>25550000</v>
      </c>
      <c r="H1469" s="42">
        <f t="shared" ref="H1469:I1470" si="1008">H1470</f>
        <v>42159690</v>
      </c>
      <c r="I1469" s="42">
        <f t="shared" si="1008"/>
        <v>42159690</v>
      </c>
      <c r="J1469" s="16">
        <f>'БА в тыс. руб.'!G1469*1000</f>
        <v>25550000</v>
      </c>
      <c r="K1469" s="169">
        <f t="shared" si="980"/>
        <v>0</v>
      </c>
      <c r="L1469" s="16">
        <f>'БА в тыс. руб.'!H1469*1000</f>
        <v>42159690</v>
      </c>
      <c r="M1469" s="169">
        <f t="shared" si="981"/>
        <v>0</v>
      </c>
      <c r="N1469" s="16">
        <f>'БА в тыс. руб.'!I1469*1000</f>
        <v>42159690</v>
      </c>
      <c r="O1469" s="169">
        <f t="shared" si="982"/>
        <v>0</v>
      </c>
    </row>
    <row r="1470" spans="1:15" s="3" customFormat="1" ht="25.5">
      <c r="A1470" s="11" t="s">
        <v>108</v>
      </c>
      <c r="B1470" s="26" t="s">
        <v>20</v>
      </c>
      <c r="C1470" s="26" t="s">
        <v>8</v>
      </c>
      <c r="D1470" s="26" t="s">
        <v>53</v>
      </c>
      <c r="E1470" s="26" t="s">
        <v>647</v>
      </c>
      <c r="F1470" s="26" t="s">
        <v>116</v>
      </c>
      <c r="G1470" s="42">
        <f>G1471</f>
        <v>25550000</v>
      </c>
      <c r="H1470" s="42">
        <f t="shared" si="1008"/>
        <v>42159690</v>
      </c>
      <c r="I1470" s="42">
        <f t="shared" si="1008"/>
        <v>42159690</v>
      </c>
      <c r="J1470" s="16">
        <f>'БА в тыс. руб.'!G1470*1000</f>
        <v>25550000</v>
      </c>
      <c r="K1470" s="169">
        <f t="shared" si="980"/>
        <v>0</v>
      </c>
      <c r="L1470" s="16">
        <f>'БА в тыс. руб.'!H1470*1000</f>
        <v>42159690</v>
      </c>
      <c r="M1470" s="169">
        <f t="shared" si="981"/>
        <v>0</v>
      </c>
      <c r="N1470" s="16">
        <f>'БА в тыс. руб.'!I1470*1000</f>
        <v>42159690</v>
      </c>
      <c r="O1470" s="169">
        <f t="shared" si="982"/>
        <v>0</v>
      </c>
    </row>
    <row r="1471" spans="1:15" s="4" customFormat="1" ht="25.5">
      <c r="A1471" s="12" t="s">
        <v>973</v>
      </c>
      <c r="B1471" s="26" t="s">
        <v>20</v>
      </c>
      <c r="C1471" s="26" t="s">
        <v>8</v>
      </c>
      <c r="D1471" s="26" t="s">
        <v>53</v>
      </c>
      <c r="E1471" s="26" t="s">
        <v>647</v>
      </c>
      <c r="F1471" s="26" t="s">
        <v>1043</v>
      </c>
      <c r="G1471" s="27">
        <f t="shared" ref="G1471" si="1009">J1471</f>
        <v>25550000</v>
      </c>
      <c r="H1471" s="27">
        <f>L1471</f>
        <v>42159690</v>
      </c>
      <c r="I1471" s="27">
        <f>N1471</f>
        <v>42159690</v>
      </c>
      <c r="J1471" s="16">
        <f>'БА в тыс. руб.'!G1471*1000</f>
        <v>25550000</v>
      </c>
      <c r="K1471" s="169">
        <f t="shared" si="980"/>
        <v>0</v>
      </c>
      <c r="L1471" s="16">
        <f>'БА в тыс. руб.'!H1471*1000</f>
        <v>42159690</v>
      </c>
      <c r="M1471" s="169">
        <f t="shared" si="981"/>
        <v>0</v>
      </c>
      <c r="N1471" s="16">
        <f>'БА в тыс. руб.'!I1471*1000</f>
        <v>42159690</v>
      </c>
      <c r="O1471" s="169">
        <f t="shared" si="982"/>
        <v>0</v>
      </c>
    </row>
    <row r="1472" spans="1:15" s="3" customFormat="1" ht="63.75">
      <c r="A1472" s="11" t="s">
        <v>591</v>
      </c>
      <c r="B1472" s="26" t="s">
        <v>20</v>
      </c>
      <c r="C1472" s="26" t="s">
        <v>8</v>
      </c>
      <c r="D1472" s="26" t="s">
        <v>53</v>
      </c>
      <c r="E1472" s="26" t="s">
        <v>662</v>
      </c>
      <c r="F1472" s="26" t="s">
        <v>58</v>
      </c>
      <c r="G1472" s="42">
        <f>G1473</f>
        <v>36909760</v>
      </c>
      <c r="H1472" s="42">
        <f>H1473</f>
        <v>14838060</v>
      </c>
      <c r="I1472" s="42">
        <f>I1473</f>
        <v>14838060</v>
      </c>
      <c r="J1472" s="16">
        <f>'БА в тыс. руб.'!G1472*1000</f>
        <v>36909760</v>
      </c>
      <c r="K1472" s="169">
        <f t="shared" si="980"/>
        <v>0</v>
      </c>
      <c r="L1472" s="16">
        <f>'БА в тыс. руб.'!H1472*1000</f>
        <v>14838060</v>
      </c>
      <c r="M1472" s="169">
        <f t="shared" si="981"/>
        <v>0</v>
      </c>
      <c r="N1472" s="16">
        <f>'БА в тыс. руб.'!I1472*1000</f>
        <v>14838060</v>
      </c>
      <c r="O1472" s="169">
        <f t="shared" si="982"/>
        <v>0</v>
      </c>
    </row>
    <row r="1473" spans="1:15" s="3" customFormat="1" ht="25.5">
      <c r="A1473" s="11" t="s">
        <v>108</v>
      </c>
      <c r="B1473" s="26" t="s">
        <v>20</v>
      </c>
      <c r="C1473" s="26" t="s">
        <v>8</v>
      </c>
      <c r="D1473" s="26" t="s">
        <v>53</v>
      </c>
      <c r="E1473" s="26" t="s">
        <v>662</v>
      </c>
      <c r="F1473" s="26" t="s">
        <v>116</v>
      </c>
      <c r="G1473" s="42">
        <f>G1474</f>
        <v>36909760</v>
      </c>
      <c r="H1473" s="42">
        <f t="shared" ref="H1473:I1473" si="1010">H1474</f>
        <v>14838060</v>
      </c>
      <c r="I1473" s="42">
        <f t="shared" si="1010"/>
        <v>14838060</v>
      </c>
      <c r="J1473" s="16">
        <f>'БА в тыс. руб.'!G1473*1000</f>
        <v>36909760</v>
      </c>
      <c r="K1473" s="169">
        <f t="shared" si="980"/>
        <v>0</v>
      </c>
      <c r="L1473" s="16">
        <f>'БА в тыс. руб.'!H1473*1000</f>
        <v>14838060</v>
      </c>
      <c r="M1473" s="169">
        <f t="shared" si="981"/>
        <v>0</v>
      </c>
      <c r="N1473" s="16">
        <f>'БА в тыс. руб.'!I1473*1000</f>
        <v>14838060</v>
      </c>
      <c r="O1473" s="169">
        <f t="shared" si="982"/>
        <v>0</v>
      </c>
    </row>
    <row r="1474" spans="1:15" s="4" customFormat="1" ht="25.5">
      <c r="A1474" s="12" t="s">
        <v>973</v>
      </c>
      <c r="B1474" s="26" t="s">
        <v>20</v>
      </c>
      <c r="C1474" s="26" t="s">
        <v>8</v>
      </c>
      <c r="D1474" s="26" t="s">
        <v>53</v>
      </c>
      <c r="E1474" s="26" t="s">
        <v>662</v>
      </c>
      <c r="F1474" s="26" t="s">
        <v>1043</v>
      </c>
      <c r="G1474" s="27">
        <f t="shared" ref="G1474" si="1011">J1474</f>
        <v>36909760</v>
      </c>
      <c r="H1474" s="27">
        <f>L1474</f>
        <v>14838060</v>
      </c>
      <c r="I1474" s="27">
        <f>N1474</f>
        <v>14838060</v>
      </c>
      <c r="J1474" s="16">
        <f>'БА в тыс. руб.'!G1474*1000</f>
        <v>36909760</v>
      </c>
      <c r="K1474" s="169">
        <f t="shared" si="980"/>
        <v>0</v>
      </c>
      <c r="L1474" s="16">
        <f>'БА в тыс. руб.'!H1474*1000</f>
        <v>14838060</v>
      </c>
      <c r="M1474" s="169">
        <f t="shared" si="981"/>
        <v>0</v>
      </c>
      <c r="N1474" s="16">
        <f>'БА в тыс. руб.'!I1474*1000</f>
        <v>14838060</v>
      </c>
      <c r="O1474" s="169">
        <f t="shared" si="982"/>
        <v>0</v>
      </c>
    </row>
    <row r="1475" spans="1:15" s="3" customFormat="1" ht="25.5">
      <c r="A1475" s="11" t="s">
        <v>757</v>
      </c>
      <c r="B1475" s="36" t="s">
        <v>20</v>
      </c>
      <c r="C1475" s="36" t="s">
        <v>8</v>
      </c>
      <c r="D1475" s="36" t="s">
        <v>53</v>
      </c>
      <c r="E1475" s="36" t="s">
        <v>342</v>
      </c>
      <c r="F1475" s="36" t="s">
        <v>58</v>
      </c>
      <c r="G1475" s="44">
        <f t="shared" ref="G1475:I1479" si="1012">G1476</f>
        <v>3761680</v>
      </c>
      <c r="H1475" s="44">
        <f t="shared" si="1012"/>
        <v>3385520</v>
      </c>
      <c r="I1475" s="44">
        <f t="shared" si="1012"/>
        <v>3385520</v>
      </c>
      <c r="J1475" s="16">
        <f>'БА в тыс. руб.'!G1475*1000</f>
        <v>3761680</v>
      </c>
      <c r="K1475" s="169">
        <f t="shared" si="980"/>
        <v>0</v>
      </c>
      <c r="L1475" s="16">
        <f>'БА в тыс. руб.'!H1475*1000</f>
        <v>3385520</v>
      </c>
      <c r="M1475" s="169">
        <f t="shared" si="981"/>
        <v>0</v>
      </c>
      <c r="N1475" s="16">
        <f>'БА в тыс. руб.'!I1475*1000</f>
        <v>3385520</v>
      </c>
      <c r="O1475" s="169">
        <f t="shared" si="982"/>
        <v>0</v>
      </c>
    </row>
    <row r="1476" spans="1:15" s="3" customFormat="1" ht="38.25">
      <c r="A1476" s="34" t="s">
        <v>758</v>
      </c>
      <c r="B1476" s="36" t="s">
        <v>20</v>
      </c>
      <c r="C1476" s="36" t="s">
        <v>8</v>
      </c>
      <c r="D1476" s="36" t="s">
        <v>53</v>
      </c>
      <c r="E1476" s="36" t="s">
        <v>343</v>
      </c>
      <c r="F1476" s="36" t="s">
        <v>58</v>
      </c>
      <c r="G1476" s="44">
        <f t="shared" si="1012"/>
        <v>3761680</v>
      </c>
      <c r="H1476" s="44">
        <f t="shared" si="1012"/>
        <v>3385520</v>
      </c>
      <c r="I1476" s="44">
        <f t="shared" si="1012"/>
        <v>3385520</v>
      </c>
      <c r="J1476" s="16">
        <f>'БА в тыс. руб.'!G1476*1000</f>
        <v>3761680</v>
      </c>
      <c r="K1476" s="169">
        <f t="shared" si="980"/>
        <v>0</v>
      </c>
      <c r="L1476" s="16">
        <f>'БА в тыс. руб.'!H1476*1000</f>
        <v>3385520</v>
      </c>
      <c r="M1476" s="169">
        <f t="shared" si="981"/>
        <v>0</v>
      </c>
      <c r="N1476" s="16">
        <f>'БА в тыс. руб.'!I1476*1000</f>
        <v>3385520</v>
      </c>
      <c r="O1476" s="169">
        <f t="shared" si="982"/>
        <v>0</v>
      </c>
    </row>
    <row r="1477" spans="1:15" s="3" customFormat="1" ht="25.5">
      <c r="A1477" s="34" t="s">
        <v>528</v>
      </c>
      <c r="B1477" s="36" t="s">
        <v>20</v>
      </c>
      <c r="C1477" s="36" t="s">
        <v>8</v>
      </c>
      <c r="D1477" s="36" t="s">
        <v>53</v>
      </c>
      <c r="E1477" s="36" t="s">
        <v>529</v>
      </c>
      <c r="F1477" s="36" t="s">
        <v>58</v>
      </c>
      <c r="G1477" s="44">
        <f t="shared" si="1012"/>
        <v>3761680</v>
      </c>
      <c r="H1477" s="44">
        <f t="shared" si="1012"/>
        <v>3385520</v>
      </c>
      <c r="I1477" s="44">
        <f t="shared" si="1012"/>
        <v>3385520</v>
      </c>
      <c r="J1477" s="16">
        <f>'БА в тыс. руб.'!G1477*1000</f>
        <v>3761680</v>
      </c>
      <c r="K1477" s="169">
        <f t="shared" si="980"/>
        <v>0</v>
      </c>
      <c r="L1477" s="16">
        <f>'БА в тыс. руб.'!H1477*1000</f>
        <v>3385520</v>
      </c>
      <c r="M1477" s="169">
        <f t="shared" si="981"/>
        <v>0</v>
      </c>
      <c r="N1477" s="16">
        <f>'БА в тыс. руб.'!I1477*1000</f>
        <v>3385520</v>
      </c>
      <c r="O1477" s="169">
        <f t="shared" si="982"/>
        <v>0</v>
      </c>
    </row>
    <row r="1478" spans="1:15" s="3" customFormat="1" ht="25.5">
      <c r="A1478" s="12" t="s">
        <v>174</v>
      </c>
      <c r="B1478" s="26" t="s">
        <v>20</v>
      </c>
      <c r="C1478" s="26" t="s">
        <v>8</v>
      </c>
      <c r="D1478" s="26" t="s">
        <v>53</v>
      </c>
      <c r="E1478" s="26" t="s">
        <v>530</v>
      </c>
      <c r="F1478" s="26" t="s">
        <v>58</v>
      </c>
      <c r="G1478" s="45">
        <f t="shared" si="1012"/>
        <v>3761680</v>
      </c>
      <c r="H1478" s="45">
        <f t="shared" si="1012"/>
        <v>3385520</v>
      </c>
      <c r="I1478" s="45">
        <f t="shared" si="1012"/>
        <v>3385520</v>
      </c>
      <c r="J1478" s="16">
        <f>'БА в тыс. руб.'!G1478*1000</f>
        <v>3761680</v>
      </c>
      <c r="K1478" s="169">
        <f t="shared" si="980"/>
        <v>0</v>
      </c>
      <c r="L1478" s="16">
        <f>'БА в тыс. руб.'!H1478*1000</f>
        <v>3385520</v>
      </c>
      <c r="M1478" s="169">
        <f t="shared" si="981"/>
        <v>0</v>
      </c>
      <c r="N1478" s="16">
        <f>'БА в тыс. руб.'!I1478*1000</f>
        <v>3385520</v>
      </c>
      <c r="O1478" s="169">
        <f t="shared" si="982"/>
        <v>0</v>
      </c>
    </row>
    <row r="1479" spans="1:15" s="3" customFormat="1" ht="25.5">
      <c r="A1479" s="11" t="s">
        <v>108</v>
      </c>
      <c r="B1479" s="26" t="s">
        <v>20</v>
      </c>
      <c r="C1479" s="26" t="s">
        <v>8</v>
      </c>
      <c r="D1479" s="26" t="s">
        <v>53</v>
      </c>
      <c r="E1479" s="26" t="s">
        <v>530</v>
      </c>
      <c r="F1479" s="26" t="s">
        <v>116</v>
      </c>
      <c r="G1479" s="45">
        <f>G1480</f>
        <v>3761680</v>
      </c>
      <c r="H1479" s="45">
        <f t="shared" si="1012"/>
        <v>3385520</v>
      </c>
      <c r="I1479" s="45">
        <f t="shared" si="1012"/>
        <v>3385520</v>
      </c>
      <c r="J1479" s="16">
        <f>'БА в тыс. руб.'!G1479*1000</f>
        <v>3761680</v>
      </c>
      <c r="K1479" s="169">
        <f t="shared" si="980"/>
        <v>0</v>
      </c>
      <c r="L1479" s="16">
        <f>'БА в тыс. руб.'!H1479*1000</f>
        <v>3385520</v>
      </c>
      <c r="M1479" s="169">
        <f t="shared" si="981"/>
        <v>0</v>
      </c>
      <c r="N1479" s="16">
        <f>'БА в тыс. руб.'!I1479*1000</f>
        <v>3385520</v>
      </c>
      <c r="O1479" s="169">
        <f t="shared" si="982"/>
        <v>0</v>
      </c>
    </row>
    <row r="1480" spans="1:15" s="4" customFormat="1" ht="25.5">
      <c r="A1480" s="12" t="s">
        <v>973</v>
      </c>
      <c r="B1480" s="26" t="s">
        <v>20</v>
      </c>
      <c r="C1480" s="26" t="s">
        <v>8</v>
      </c>
      <c r="D1480" s="26" t="s">
        <v>53</v>
      </c>
      <c r="E1480" s="26" t="s">
        <v>530</v>
      </c>
      <c r="F1480" s="26" t="s">
        <v>1043</v>
      </c>
      <c r="G1480" s="27">
        <f t="shared" ref="G1480" si="1013">J1480</f>
        <v>3761680</v>
      </c>
      <c r="H1480" s="27">
        <f>L1480</f>
        <v>3385520</v>
      </c>
      <c r="I1480" s="27">
        <f>N1480</f>
        <v>3385520</v>
      </c>
      <c r="J1480" s="16">
        <f>'БА в тыс. руб.'!G1480*1000</f>
        <v>3761680</v>
      </c>
      <c r="K1480" s="169">
        <f t="shared" si="980"/>
        <v>0</v>
      </c>
      <c r="L1480" s="16">
        <f>'БА в тыс. руб.'!H1480*1000</f>
        <v>3385520</v>
      </c>
      <c r="M1480" s="169">
        <f t="shared" si="981"/>
        <v>0</v>
      </c>
      <c r="N1480" s="16">
        <f>'БА в тыс. руб.'!I1480*1000</f>
        <v>3385520</v>
      </c>
      <c r="O1480" s="169">
        <f t="shared" si="982"/>
        <v>0</v>
      </c>
    </row>
    <row r="1481" spans="1:15" s="3" customFormat="1" ht="16.899999999999999" customHeight="1">
      <c r="A1481" s="21" t="s">
        <v>3</v>
      </c>
      <c r="B1481" s="22" t="s">
        <v>20</v>
      </c>
      <c r="C1481" s="23" t="s">
        <v>8</v>
      </c>
      <c r="D1481" s="23" t="s">
        <v>8</v>
      </c>
      <c r="E1481" s="23" t="s">
        <v>196</v>
      </c>
      <c r="F1481" s="23" t="s">
        <v>58</v>
      </c>
      <c r="G1481" s="24">
        <f>G1482+G1488</f>
        <v>57206800</v>
      </c>
      <c r="H1481" s="24">
        <f>H1482+H1488</f>
        <v>56135030</v>
      </c>
      <c r="I1481" s="24">
        <f>I1482+I1488</f>
        <v>56135030</v>
      </c>
      <c r="J1481" s="16">
        <f>'БА в тыс. руб.'!G1481*1000</f>
        <v>57206799.999999993</v>
      </c>
      <c r="K1481" s="169">
        <f t="shared" si="980"/>
        <v>0</v>
      </c>
      <c r="L1481" s="16">
        <f>'БА в тыс. руб.'!H1481*1000</f>
        <v>56135030</v>
      </c>
      <c r="M1481" s="169">
        <f t="shared" si="981"/>
        <v>0</v>
      </c>
      <c r="N1481" s="16">
        <f>'БА в тыс. руб.'!I1481*1000</f>
        <v>56135030</v>
      </c>
      <c r="O1481" s="169">
        <f t="shared" si="982"/>
        <v>0</v>
      </c>
    </row>
    <row r="1482" spans="1:15" s="3" customFormat="1" ht="25.5">
      <c r="A1482" s="11" t="s">
        <v>736</v>
      </c>
      <c r="B1482" s="25" t="s">
        <v>20</v>
      </c>
      <c r="C1482" s="26" t="s">
        <v>8</v>
      </c>
      <c r="D1482" s="26" t="s">
        <v>8</v>
      </c>
      <c r="E1482" s="43" t="s">
        <v>737</v>
      </c>
      <c r="F1482" s="26" t="s">
        <v>58</v>
      </c>
      <c r="G1482" s="27">
        <f>G1483</f>
        <v>1100000</v>
      </c>
      <c r="H1482" s="27">
        <f>H1484</f>
        <v>0</v>
      </c>
      <c r="I1482" s="27">
        <f>I1484</f>
        <v>0</v>
      </c>
      <c r="J1482" s="16">
        <f>'БА в тыс. руб.'!G1482*1000</f>
        <v>1100000</v>
      </c>
      <c r="K1482" s="169">
        <f t="shared" si="980"/>
        <v>0</v>
      </c>
      <c r="L1482" s="16">
        <f>'БА в тыс. руб.'!H1482*1000</f>
        <v>0</v>
      </c>
      <c r="M1482" s="169">
        <f t="shared" si="981"/>
        <v>0</v>
      </c>
      <c r="N1482" s="16">
        <f>'БА в тыс. руб.'!I1482*1000</f>
        <v>0</v>
      </c>
      <c r="O1482" s="169">
        <f t="shared" si="982"/>
        <v>0</v>
      </c>
    </row>
    <row r="1483" spans="1:15" s="3" customFormat="1" ht="38.25">
      <c r="A1483" s="11" t="s">
        <v>764</v>
      </c>
      <c r="B1483" s="25" t="s">
        <v>20</v>
      </c>
      <c r="C1483" s="26" t="s">
        <v>8</v>
      </c>
      <c r="D1483" s="26" t="s">
        <v>8</v>
      </c>
      <c r="E1483" s="43" t="s">
        <v>762</v>
      </c>
      <c r="F1483" s="26" t="s">
        <v>58</v>
      </c>
      <c r="G1483" s="27">
        <f>G1484</f>
        <v>1100000</v>
      </c>
      <c r="H1483" s="27">
        <f t="shared" ref="H1483:I1483" si="1014">H1484</f>
        <v>0</v>
      </c>
      <c r="I1483" s="27">
        <f t="shared" si="1014"/>
        <v>0</v>
      </c>
      <c r="J1483" s="16">
        <f>'БА в тыс. руб.'!G1483*1000</f>
        <v>1100000</v>
      </c>
      <c r="K1483" s="169">
        <f t="shared" ref="K1483:K1546" si="1015">J1483-G1483</f>
        <v>0</v>
      </c>
      <c r="L1483" s="16">
        <f>'БА в тыс. руб.'!H1483*1000</f>
        <v>0</v>
      </c>
      <c r="M1483" s="169">
        <f t="shared" ref="M1483:M1546" si="1016">L1483-H1483</f>
        <v>0</v>
      </c>
      <c r="N1483" s="16">
        <f>'БА в тыс. руб.'!I1483*1000</f>
        <v>0</v>
      </c>
      <c r="O1483" s="169">
        <f t="shared" ref="O1483:O1546" si="1017">N1483-I1483</f>
        <v>0</v>
      </c>
    </row>
    <row r="1484" spans="1:15" s="3" customFormat="1" ht="51">
      <c r="A1484" s="11" t="s">
        <v>861</v>
      </c>
      <c r="B1484" s="25" t="s">
        <v>20</v>
      </c>
      <c r="C1484" s="26" t="s">
        <v>8</v>
      </c>
      <c r="D1484" s="26" t="s">
        <v>8</v>
      </c>
      <c r="E1484" s="43" t="s">
        <v>738</v>
      </c>
      <c r="F1484" s="26" t="s">
        <v>58</v>
      </c>
      <c r="G1484" s="27">
        <f t="shared" ref="G1484:I1484" si="1018">G1485</f>
        <v>1100000</v>
      </c>
      <c r="H1484" s="27">
        <f t="shared" si="1018"/>
        <v>0</v>
      </c>
      <c r="I1484" s="27">
        <f t="shared" si="1018"/>
        <v>0</v>
      </c>
      <c r="J1484" s="16">
        <f>'БА в тыс. руб.'!G1484*1000</f>
        <v>1100000</v>
      </c>
      <c r="K1484" s="169">
        <f t="shared" si="1015"/>
        <v>0</v>
      </c>
      <c r="L1484" s="16">
        <f>'БА в тыс. руб.'!H1484*1000</f>
        <v>0</v>
      </c>
      <c r="M1484" s="169">
        <f t="shared" si="1016"/>
        <v>0</v>
      </c>
      <c r="N1484" s="16">
        <f>'БА в тыс. руб.'!I1484*1000</f>
        <v>0</v>
      </c>
      <c r="O1484" s="169">
        <f t="shared" si="1017"/>
        <v>0</v>
      </c>
    </row>
    <row r="1485" spans="1:15" s="3" customFormat="1" ht="25.5">
      <c r="A1485" s="11" t="s">
        <v>160</v>
      </c>
      <c r="B1485" s="25" t="s">
        <v>20</v>
      </c>
      <c r="C1485" s="26" t="s">
        <v>8</v>
      </c>
      <c r="D1485" s="26" t="s">
        <v>8</v>
      </c>
      <c r="E1485" s="43" t="s">
        <v>763</v>
      </c>
      <c r="F1485" s="26" t="s">
        <v>58</v>
      </c>
      <c r="G1485" s="27">
        <f>G1486</f>
        <v>1100000</v>
      </c>
      <c r="H1485" s="27">
        <f>H1486</f>
        <v>0</v>
      </c>
      <c r="I1485" s="27">
        <f>I1486</f>
        <v>0</v>
      </c>
      <c r="J1485" s="16">
        <f>'БА в тыс. руб.'!G1485*1000</f>
        <v>1100000</v>
      </c>
      <c r="K1485" s="169">
        <f t="shared" si="1015"/>
        <v>0</v>
      </c>
      <c r="L1485" s="16">
        <f>'БА в тыс. руб.'!H1485*1000</f>
        <v>0</v>
      </c>
      <c r="M1485" s="169">
        <f t="shared" si="1016"/>
        <v>0</v>
      </c>
      <c r="N1485" s="16">
        <f>'БА в тыс. руб.'!I1485*1000</f>
        <v>0</v>
      </c>
      <c r="O1485" s="169">
        <f t="shared" si="1017"/>
        <v>0</v>
      </c>
    </row>
    <row r="1486" spans="1:15" s="3" customFormat="1" ht="25.5">
      <c r="A1486" s="11" t="s">
        <v>108</v>
      </c>
      <c r="B1486" s="25" t="s">
        <v>20</v>
      </c>
      <c r="C1486" s="26" t="s">
        <v>8</v>
      </c>
      <c r="D1486" s="26" t="s">
        <v>8</v>
      </c>
      <c r="E1486" s="43" t="s">
        <v>763</v>
      </c>
      <c r="F1486" s="26" t="s">
        <v>116</v>
      </c>
      <c r="G1486" s="42">
        <f>G1487</f>
        <v>1100000</v>
      </c>
      <c r="H1486" s="42">
        <f t="shared" ref="H1486:I1486" si="1019">H1487</f>
        <v>0</v>
      </c>
      <c r="I1486" s="42">
        <f t="shared" si="1019"/>
        <v>0</v>
      </c>
      <c r="J1486" s="16">
        <f>'БА в тыс. руб.'!G1486*1000</f>
        <v>1100000</v>
      </c>
      <c r="K1486" s="169">
        <f t="shared" si="1015"/>
        <v>0</v>
      </c>
      <c r="L1486" s="16">
        <f>'БА в тыс. руб.'!H1486*1000</f>
        <v>0</v>
      </c>
      <c r="M1486" s="169">
        <f t="shared" si="1016"/>
        <v>0</v>
      </c>
      <c r="N1486" s="16">
        <f>'БА в тыс. руб.'!I1486*1000</f>
        <v>0</v>
      </c>
      <c r="O1486" s="169">
        <f t="shared" si="1017"/>
        <v>0</v>
      </c>
    </row>
    <row r="1487" spans="1:15" s="4" customFormat="1" ht="25.5">
      <c r="A1487" s="12" t="s">
        <v>973</v>
      </c>
      <c r="B1487" s="25" t="s">
        <v>20</v>
      </c>
      <c r="C1487" s="26" t="s">
        <v>8</v>
      </c>
      <c r="D1487" s="26" t="s">
        <v>8</v>
      </c>
      <c r="E1487" s="43" t="s">
        <v>763</v>
      </c>
      <c r="F1487" s="26" t="s">
        <v>1043</v>
      </c>
      <c r="G1487" s="27">
        <f t="shared" ref="G1487" si="1020">J1487</f>
        <v>1100000</v>
      </c>
      <c r="H1487" s="27">
        <f>L1487</f>
        <v>0</v>
      </c>
      <c r="I1487" s="27">
        <f>N1487</f>
        <v>0</v>
      </c>
      <c r="J1487" s="16">
        <f>'БА в тыс. руб.'!G1487*1000</f>
        <v>1100000</v>
      </c>
      <c r="K1487" s="169">
        <f t="shared" si="1015"/>
        <v>0</v>
      </c>
      <c r="L1487" s="16">
        <f>'БА в тыс. руб.'!H1487*1000</f>
        <v>0</v>
      </c>
      <c r="M1487" s="169">
        <f t="shared" si="1016"/>
        <v>0</v>
      </c>
      <c r="N1487" s="16">
        <f>'БА в тыс. руб.'!I1487*1000</f>
        <v>0</v>
      </c>
      <c r="O1487" s="169">
        <f t="shared" si="1017"/>
        <v>0</v>
      </c>
    </row>
    <row r="1488" spans="1:15" s="3" customFormat="1" ht="25.5">
      <c r="A1488" s="11" t="s">
        <v>143</v>
      </c>
      <c r="B1488" s="26" t="s">
        <v>20</v>
      </c>
      <c r="C1488" s="26" t="s">
        <v>8</v>
      </c>
      <c r="D1488" s="26" t="s">
        <v>8</v>
      </c>
      <c r="E1488" s="26" t="s">
        <v>508</v>
      </c>
      <c r="F1488" s="26" t="s">
        <v>58</v>
      </c>
      <c r="G1488" s="45">
        <f>G1489</f>
        <v>56106800</v>
      </c>
      <c r="H1488" s="45">
        <f t="shared" ref="H1488:I1488" si="1021">H1489</f>
        <v>56135030</v>
      </c>
      <c r="I1488" s="45">
        <f t="shared" si="1021"/>
        <v>56135030</v>
      </c>
      <c r="J1488" s="16">
        <f>'БА в тыс. руб.'!G1488*1000</f>
        <v>56106799.999999993</v>
      </c>
      <c r="K1488" s="169">
        <f t="shared" si="1015"/>
        <v>0</v>
      </c>
      <c r="L1488" s="16">
        <f>'БА в тыс. руб.'!H1488*1000</f>
        <v>56135030</v>
      </c>
      <c r="M1488" s="169">
        <f t="shared" si="1016"/>
        <v>0</v>
      </c>
      <c r="N1488" s="16">
        <f>'БА в тыс. руб.'!I1488*1000</f>
        <v>56135030</v>
      </c>
      <c r="O1488" s="169">
        <f t="shared" si="1017"/>
        <v>0</v>
      </c>
    </row>
    <row r="1489" spans="1:15" s="3" customFormat="1" ht="25.5">
      <c r="A1489" s="11" t="s">
        <v>144</v>
      </c>
      <c r="B1489" s="26" t="s">
        <v>20</v>
      </c>
      <c r="C1489" s="26" t="s">
        <v>8</v>
      </c>
      <c r="D1489" s="26" t="s">
        <v>8</v>
      </c>
      <c r="E1489" s="26" t="s">
        <v>509</v>
      </c>
      <c r="F1489" s="26" t="s">
        <v>58</v>
      </c>
      <c r="G1489" s="45">
        <f>G1490+G1499</f>
        <v>56106800</v>
      </c>
      <c r="H1489" s="45">
        <f>H1490+H1499</f>
        <v>56135030</v>
      </c>
      <c r="I1489" s="45">
        <f>I1490+I1499</f>
        <v>56135030</v>
      </c>
      <c r="J1489" s="16">
        <f>'БА в тыс. руб.'!G1489*1000</f>
        <v>56106799.999999993</v>
      </c>
      <c r="K1489" s="169">
        <f t="shared" si="1015"/>
        <v>0</v>
      </c>
      <c r="L1489" s="16">
        <f>'БА в тыс. руб.'!H1489*1000</f>
        <v>56135030</v>
      </c>
      <c r="M1489" s="169">
        <f t="shared" si="1016"/>
        <v>0</v>
      </c>
      <c r="N1489" s="16">
        <f>'БА в тыс. руб.'!I1489*1000</f>
        <v>56135030</v>
      </c>
      <c r="O1489" s="169">
        <f t="shared" si="1017"/>
        <v>0</v>
      </c>
    </row>
    <row r="1490" spans="1:15" s="3" customFormat="1" ht="25.5">
      <c r="A1490" s="11" t="s">
        <v>114</v>
      </c>
      <c r="B1490" s="26" t="s">
        <v>20</v>
      </c>
      <c r="C1490" s="26" t="s">
        <v>8</v>
      </c>
      <c r="D1490" s="26" t="s">
        <v>8</v>
      </c>
      <c r="E1490" s="26" t="s">
        <v>531</v>
      </c>
      <c r="F1490" s="26" t="s">
        <v>58</v>
      </c>
      <c r="G1490" s="45">
        <f>G1491+G1494+G1496</f>
        <v>7110040</v>
      </c>
      <c r="H1490" s="45">
        <f t="shared" ref="H1490:I1490" si="1022">H1491+H1494+H1496</f>
        <v>7138270</v>
      </c>
      <c r="I1490" s="45">
        <f t="shared" si="1022"/>
        <v>7138270</v>
      </c>
      <c r="J1490" s="16">
        <f>'БА в тыс. руб.'!G1490*1000</f>
        <v>7110040.0000000009</v>
      </c>
      <c r="K1490" s="169">
        <f t="shared" si="1015"/>
        <v>0</v>
      </c>
      <c r="L1490" s="16">
        <f>'БА в тыс. руб.'!H1490*1000</f>
        <v>7138270</v>
      </c>
      <c r="M1490" s="169">
        <f t="shared" si="1016"/>
        <v>0</v>
      </c>
      <c r="N1490" s="16">
        <f>'БА в тыс. руб.'!I1490*1000</f>
        <v>7138270</v>
      </c>
      <c r="O1490" s="169">
        <f t="shared" si="1017"/>
        <v>0</v>
      </c>
    </row>
    <row r="1491" spans="1:15" s="3" customFormat="1" ht="25.5">
      <c r="A1491" s="12" t="s">
        <v>107</v>
      </c>
      <c r="B1491" s="26" t="s">
        <v>20</v>
      </c>
      <c r="C1491" s="26" t="s">
        <v>8</v>
      </c>
      <c r="D1491" s="26" t="s">
        <v>8</v>
      </c>
      <c r="E1491" s="26" t="s">
        <v>531</v>
      </c>
      <c r="F1491" s="26" t="s">
        <v>115</v>
      </c>
      <c r="G1491" s="27">
        <f>SUM(G1492:G1493)</f>
        <v>1409900</v>
      </c>
      <c r="H1491" s="27">
        <f t="shared" ref="H1491:I1491" si="1023">SUM(H1492:H1493)</f>
        <v>1409900</v>
      </c>
      <c r="I1491" s="27">
        <f t="shared" si="1023"/>
        <v>1409900</v>
      </c>
      <c r="J1491" s="16">
        <f>'БА в тыс. руб.'!G1491*1000</f>
        <v>1409900</v>
      </c>
      <c r="K1491" s="169">
        <f t="shared" si="1015"/>
        <v>0</v>
      </c>
      <c r="L1491" s="16">
        <f>'БА в тыс. руб.'!H1491*1000</f>
        <v>1409900</v>
      </c>
      <c r="M1491" s="169">
        <f t="shared" si="1016"/>
        <v>0</v>
      </c>
      <c r="N1491" s="16">
        <f>'БА в тыс. руб.'!I1491*1000</f>
        <v>1409900</v>
      </c>
      <c r="O1491" s="169">
        <f t="shared" si="1017"/>
        <v>0</v>
      </c>
    </row>
    <row r="1492" spans="1:15" s="4" customFormat="1" ht="25.5">
      <c r="A1492" s="12" t="s">
        <v>937</v>
      </c>
      <c r="B1492" s="26" t="s">
        <v>20</v>
      </c>
      <c r="C1492" s="26" t="s">
        <v>8</v>
      </c>
      <c r="D1492" s="26" t="s">
        <v>8</v>
      </c>
      <c r="E1492" s="26" t="s">
        <v>531</v>
      </c>
      <c r="F1492" s="26" t="s">
        <v>1059</v>
      </c>
      <c r="G1492" s="27">
        <f t="shared" ref="G1492:G1493" si="1024">J1492</f>
        <v>1082900</v>
      </c>
      <c r="H1492" s="27">
        <f t="shared" ref="H1492:H1493" si="1025">L1492</f>
        <v>1082900</v>
      </c>
      <c r="I1492" s="27">
        <f t="shared" ref="I1492:I1493" si="1026">N1492</f>
        <v>1082900</v>
      </c>
      <c r="J1492" s="16">
        <f>'БА в тыс. руб.'!G1492*1000</f>
        <v>1082900</v>
      </c>
      <c r="K1492" s="169">
        <f t="shared" si="1015"/>
        <v>0</v>
      </c>
      <c r="L1492" s="16">
        <f>'БА в тыс. руб.'!H1492*1000</f>
        <v>1082900</v>
      </c>
      <c r="M1492" s="169">
        <f t="shared" si="1016"/>
        <v>0</v>
      </c>
      <c r="N1492" s="16">
        <f>'БА в тыс. руб.'!I1492*1000</f>
        <v>1082900</v>
      </c>
      <c r="O1492" s="169">
        <f t="shared" si="1017"/>
        <v>0</v>
      </c>
    </row>
    <row r="1493" spans="1:15" s="4" customFormat="1" ht="38.25">
      <c r="A1493" s="12" t="s">
        <v>939</v>
      </c>
      <c r="B1493" s="26" t="s">
        <v>20</v>
      </c>
      <c r="C1493" s="26" t="s">
        <v>8</v>
      </c>
      <c r="D1493" s="26" t="s">
        <v>8</v>
      </c>
      <c r="E1493" s="26" t="s">
        <v>531</v>
      </c>
      <c r="F1493" s="26" t="s">
        <v>1060</v>
      </c>
      <c r="G1493" s="27">
        <f t="shared" si="1024"/>
        <v>327000</v>
      </c>
      <c r="H1493" s="27">
        <f t="shared" si="1025"/>
        <v>327000</v>
      </c>
      <c r="I1493" s="27">
        <f t="shared" si="1026"/>
        <v>327000</v>
      </c>
      <c r="J1493" s="16">
        <f>'БА в тыс. руб.'!G1493*1000</f>
        <v>327000</v>
      </c>
      <c r="K1493" s="169">
        <f t="shared" si="1015"/>
        <v>0</v>
      </c>
      <c r="L1493" s="16">
        <f>'БА в тыс. руб.'!H1493*1000</f>
        <v>327000</v>
      </c>
      <c r="M1493" s="169">
        <f t="shared" si="1016"/>
        <v>0</v>
      </c>
      <c r="N1493" s="16">
        <f>'БА в тыс. руб.'!I1493*1000</f>
        <v>327000</v>
      </c>
      <c r="O1493" s="169">
        <f t="shared" si="1017"/>
        <v>0</v>
      </c>
    </row>
    <row r="1494" spans="1:15" s="3" customFormat="1" ht="25.5">
      <c r="A1494" s="11" t="s">
        <v>108</v>
      </c>
      <c r="B1494" s="26" t="s">
        <v>20</v>
      </c>
      <c r="C1494" s="26" t="s">
        <v>8</v>
      </c>
      <c r="D1494" s="26" t="s">
        <v>8</v>
      </c>
      <c r="E1494" s="26" t="s">
        <v>531</v>
      </c>
      <c r="F1494" s="26" t="s">
        <v>116</v>
      </c>
      <c r="G1494" s="27">
        <f>G1495</f>
        <v>5591140</v>
      </c>
      <c r="H1494" s="27">
        <f t="shared" ref="H1494:I1494" si="1027">H1495</f>
        <v>5619370</v>
      </c>
      <c r="I1494" s="27">
        <f t="shared" si="1027"/>
        <v>5619370</v>
      </c>
      <c r="J1494" s="16">
        <f>'БА в тыс. руб.'!G1494*1000</f>
        <v>5591140</v>
      </c>
      <c r="K1494" s="169">
        <f t="shared" si="1015"/>
        <v>0</v>
      </c>
      <c r="L1494" s="16">
        <f>'БА в тыс. руб.'!H1494*1000</f>
        <v>5619370</v>
      </c>
      <c r="M1494" s="169">
        <f t="shared" si="1016"/>
        <v>0</v>
      </c>
      <c r="N1494" s="16">
        <f>'БА в тыс. руб.'!I1494*1000</f>
        <v>5619370</v>
      </c>
      <c r="O1494" s="169">
        <f t="shared" si="1017"/>
        <v>0</v>
      </c>
    </row>
    <row r="1495" spans="1:15" s="4" customFormat="1" ht="25.5">
      <c r="A1495" s="12" t="s">
        <v>973</v>
      </c>
      <c r="B1495" s="26" t="s">
        <v>20</v>
      </c>
      <c r="C1495" s="26" t="s">
        <v>8</v>
      </c>
      <c r="D1495" s="26" t="s">
        <v>8</v>
      </c>
      <c r="E1495" s="26" t="s">
        <v>531</v>
      </c>
      <c r="F1495" s="26" t="s">
        <v>1043</v>
      </c>
      <c r="G1495" s="27">
        <f t="shared" ref="G1495" si="1028">J1495</f>
        <v>5591140</v>
      </c>
      <c r="H1495" s="27">
        <f>L1495</f>
        <v>5619370</v>
      </c>
      <c r="I1495" s="27">
        <f>N1495</f>
        <v>5619370</v>
      </c>
      <c r="J1495" s="16">
        <f>'БА в тыс. руб.'!G1495*1000</f>
        <v>5591140</v>
      </c>
      <c r="K1495" s="169">
        <f t="shared" si="1015"/>
        <v>0</v>
      </c>
      <c r="L1495" s="16">
        <f>'БА в тыс. руб.'!H1495*1000</f>
        <v>5619370</v>
      </c>
      <c r="M1495" s="169">
        <f t="shared" si="1016"/>
        <v>0</v>
      </c>
      <c r="N1495" s="16">
        <f>'БА в тыс. руб.'!I1495*1000</f>
        <v>5619370</v>
      </c>
      <c r="O1495" s="169">
        <f t="shared" si="1017"/>
        <v>0</v>
      </c>
    </row>
    <row r="1496" spans="1:15" s="3" customFormat="1">
      <c r="A1496" s="11" t="s">
        <v>97</v>
      </c>
      <c r="B1496" s="26" t="s">
        <v>20</v>
      </c>
      <c r="C1496" s="26" t="s">
        <v>8</v>
      </c>
      <c r="D1496" s="26" t="s">
        <v>8</v>
      </c>
      <c r="E1496" s="26" t="s">
        <v>531</v>
      </c>
      <c r="F1496" s="26" t="s">
        <v>118</v>
      </c>
      <c r="G1496" s="27">
        <f>SUM(G1497:G1498)</f>
        <v>109000</v>
      </c>
      <c r="H1496" s="27">
        <f t="shared" ref="H1496:I1496" si="1029">SUM(H1497:H1498)</f>
        <v>109000</v>
      </c>
      <c r="I1496" s="27">
        <f t="shared" si="1029"/>
        <v>109000</v>
      </c>
      <c r="J1496" s="16">
        <f>'БА в тыс. руб.'!G1496*1000</f>
        <v>109000</v>
      </c>
      <c r="K1496" s="169">
        <f t="shared" si="1015"/>
        <v>0</v>
      </c>
      <c r="L1496" s="16">
        <f>'БА в тыс. руб.'!H1496*1000</f>
        <v>109000</v>
      </c>
      <c r="M1496" s="169">
        <f t="shared" si="1016"/>
        <v>0</v>
      </c>
      <c r="N1496" s="16">
        <f>'БА в тыс. руб.'!I1496*1000</f>
        <v>109000</v>
      </c>
      <c r="O1496" s="169">
        <f t="shared" si="1017"/>
        <v>0</v>
      </c>
    </row>
    <row r="1497" spans="1:15" s="4" customFormat="1">
      <c r="A1497" s="12" t="s">
        <v>1036</v>
      </c>
      <c r="B1497" s="26" t="s">
        <v>20</v>
      </c>
      <c r="C1497" s="26" t="s">
        <v>8</v>
      </c>
      <c r="D1497" s="26" t="s">
        <v>8</v>
      </c>
      <c r="E1497" s="26" t="s">
        <v>531</v>
      </c>
      <c r="F1497" s="26" t="s">
        <v>1061</v>
      </c>
      <c r="G1497" s="27">
        <f t="shared" ref="G1497:G1498" si="1030">J1497</f>
        <v>69000</v>
      </c>
      <c r="H1497" s="27">
        <f t="shared" ref="H1497:H1498" si="1031">L1497</f>
        <v>69000</v>
      </c>
      <c r="I1497" s="27">
        <f t="shared" ref="I1497:I1498" si="1032">N1497</f>
        <v>69000</v>
      </c>
      <c r="J1497" s="16">
        <f>'БА в тыс. руб.'!G1497*1000</f>
        <v>69000</v>
      </c>
      <c r="K1497" s="169">
        <f t="shared" si="1015"/>
        <v>0</v>
      </c>
      <c r="L1497" s="16">
        <f>'БА в тыс. руб.'!H1497*1000</f>
        <v>69000</v>
      </c>
      <c r="M1497" s="169">
        <f t="shared" si="1016"/>
        <v>0</v>
      </c>
      <c r="N1497" s="16">
        <f>'БА в тыс. руб.'!I1497*1000</f>
        <v>69000</v>
      </c>
      <c r="O1497" s="169">
        <f t="shared" si="1017"/>
        <v>0</v>
      </c>
    </row>
    <row r="1498" spans="1:15" s="4" customFormat="1">
      <c r="A1498" s="12" t="s">
        <v>1037</v>
      </c>
      <c r="B1498" s="26" t="s">
        <v>20</v>
      </c>
      <c r="C1498" s="26" t="s">
        <v>8</v>
      </c>
      <c r="D1498" s="26" t="s">
        <v>8</v>
      </c>
      <c r="E1498" s="26" t="s">
        <v>531</v>
      </c>
      <c r="F1498" s="26" t="s">
        <v>1062</v>
      </c>
      <c r="G1498" s="27">
        <f t="shared" si="1030"/>
        <v>40000</v>
      </c>
      <c r="H1498" s="27">
        <f t="shared" si="1031"/>
        <v>40000</v>
      </c>
      <c r="I1498" s="27">
        <f t="shared" si="1032"/>
        <v>40000</v>
      </c>
      <c r="J1498" s="16">
        <f>'БА в тыс. руб.'!G1498*1000</f>
        <v>40000</v>
      </c>
      <c r="K1498" s="169">
        <f t="shared" si="1015"/>
        <v>0</v>
      </c>
      <c r="L1498" s="16">
        <f>'БА в тыс. руб.'!H1498*1000</f>
        <v>40000</v>
      </c>
      <c r="M1498" s="169">
        <f t="shared" si="1016"/>
        <v>0</v>
      </c>
      <c r="N1498" s="16">
        <f>'БА в тыс. руб.'!I1498*1000</f>
        <v>40000</v>
      </c>
      <c r="O1498" s="169">
        <f t="shared" si="1017"/>
        <v>0</v>
      </c>
    </row>
    <row r="1499" spans="1:15" s="3" customFormat="1" ht="25.5">
      <c r="A1499" s="11" t="s">
        <v>126</v>
      </c>
      <c r="B1499" s="26" t="s">
        <v>20</v>
      </c>
      <c r="C1499" s="26" t="s">
        <v>8</v>
      </c>
      <c r="D1499" s="26" t="s">
        <v>8</v>
      </c>
      <c r="E1499" s="26" t="s">
        <v>532</v>
      </c>
      <c r="F1499" s="26" t="s">
        <v>58</v>
      </c>
      <c r="G1499" s="27">
        <f>G1500</f>
        <v>48996760</v>
      </c>
      <c r="H1499" s="27">
        <f>H1500</f>
        <v>48996760</v>
      </c>
      <c r="I1499" s="27">
        <f>I1500</f>
        <v>48996760</v>
      </c>
      <c r="J1499" s="16">
        <f>'БА в тыс. руб.'!G1499*1000</f>
        <v>48996759.999999993</v>
      </c>
      <c r="K1499" s="169">
        <f t="shared" si="1015"/>
        <v>0</v>
      </c>
      <c r="L1499" s="16">
        <f>'БА в тыс. руб.'!H1499*1000</f>
        <v>48996759.999999993</v>
      </c>
      <c r="M1499" s="169">
        <f t="shared" si="1016"/>
        <v>0</v>
      </c>
      <c r="N1499" s="16">
        <f>'БА в тыс. руб.'!I1499*1000</f>
        <v>48996759.999999993</v>
      </c>
      <c r="O1499" s="169">
        <f t="shared" si="1017"/>
        <v>0</v>
      </c>
    </row>
    <row r="1500" spans="1:15" s="3" customFormat="1" ht="25.5">
      <c r="A1500" s="12" t="s">
        <v>107</v>
      </c>
      <c r="B1500" s="26" t="s">
        <v>20</v>
      </c>
      <c r="C1500" s="26" t="s">
        <v>8</v>
      </c>
      <c r="D1500" s="26" t="s">
        <v>8</v>
      </c>
      <c r="E1500" s="26" t="s">
        <v>532</v>
      </c>
      <c r="F1500" s="26" t="s">
        <v>115</v>
      </c>
      <c r="G1500" s="27">
        <f>SUM(G1501:G1502)</f>
        <v>48996760</v>
      </c>
      <c r="H1500" s="27">
        <f t="shared" ref="H1500:I1500" si="1033">SUM(H1501:H1502)</f>
        <v>48996760</v>
      </c>
      <c r="I1500" s="27">
        <f t="shared" si="1033"/>
        <v>48996760</v>
      </c>
      <c r="J1500" s="16">
        <f>'БА в тыс. руб.'!G1500*1000</f>
        <v>48996759.999999993</v>
      </c>
      <c r="K1500" s="169">
        <f t="shared" si="1015"/>
        <v>0</v>
      </c>
      <c r="L1500" s="16">
        <f>'БА в тыс. руб.'!H1500*1000</f>
        <v>48996759.999999993</v>
      </c>
      <c r="M1500" s="169">
        <f t="shared" si="1016"/>
        <v>0</v>
      </c>
      <c r="N1500" s="16">
        <f>'БА в тыс. руб.'!I1500*1000</f>
        <v>48996759.999999993</v>
      </c>
      <c r="O1500" s="169">
        <f t="shared" si="1017"/>
        <v>0</v>
      </c>
    </row>
    <row r="1501" spans="1:15" s="4" customFormat="1">
      <c r="A1501" s="12" t="s">
        <v>936</v>
      </c>
      <c r="B1501" s="26" t="s">
        <v>20</v>
      </c>
      <c r="C1501" s="26" t="s">
        <v>8</v>
      </c>
      <c r="D1501" s="26" t="s">
        <v>8</v>
      </c>
      <c r="E1501" s="26" t="s">
        <v>532</v>
      </c>
      <c r="F1501" s="26" t="s">
        <v>1063</v>
      </c>
      <c r="G1501" s="27">
        <f t="shared" ref="G1501:G1502" si="1034">J1501</f>
        <v>37631920</v>
      </c>
      <c r="H1501" s="27">
        <f t="shared" ref="H1501:H1502" si="1035">L1501</f>
        <v>37631920</v>
      </c>
      <c r="I1501" s="27">
        <f t="shared" ref="I1501:I1502" si="1036">N1501</f>
        <v>37631920</v>
      </c>
      <c r="J1501" s="16">
        <f>'БА в тыс. руб.'!G1501*1000</f>
        <v>37631920</v>
      </c>
      <c r="K1501" s="169">
        <f t="shared" si="1015"/>
        <v>0</v>
      </c>
      <c r="L1501" s="16">
        <f>'БА в тыс. руб.'!H1501*1000</f>
        <v>37631920</v>
      </c>
      <c r="M1501" s="169">
        <f t="shared" si="1016"/>
        <v>0</v>
      </c>
      <c r="N1501" s="16">
        <f>'БА в тыс. руб.'!I1501*1000</f>
        <v>37631920</v>
      </c>
      <c r="O1501" s="169">
        <f t="shared" si="1017"/>
        <v>0</v>
      </c>
    </row>
    <row r="1502" spans="1:15" s="4" customFormat="1" ht="38.25">
      <c r="A1502" s="12" t="s">
        <v>939</v>
      </c>
      <c r="B1502" s="26" t="s">
        <v>20</v>
      </c>
      <c r="C1502" s="26" t="s">
        <v>8</v>
      </c>
      <c r="D1502" s="26" t="s">
        <v>8</v>
      </c>
      <c r="E1502" s="26" t="s">
        <v>532</v>
      </c>
      <c r="F1502" s="26" t="s">
        <v>1060</v>
      </c>
      <c r="G1502" s="27">
        <f t="shared" si="1034"/>
        <v>11364840</v>
      </c>
      <c r="H1502" s="27">
        <f t="shared" si="1035"/>
        <v>11364840</v>
      </c>
      <c r="I1502" s="27">
        <f t="shared" si="1036"/>
        <v>11364840</v>
      </c>
      <c r="J1502" s="16">
        <f>'БА в тыс. руб.'!G1502*1000</f>
        <v>11364840</v>
      </c>
      <c r="K1502" s="169">
        <f t="shared" si="1015"/>
        <v>0</v>
      </c>
      <c r="L1502" s="16">
        <f>'БА в тыс. руб.'!H1502*1000</f>
        <v>11364840</v>
      </c>
      <c r="M1502" s="169">
        <f t="shared" si="1016"/>
        <v>0</v>
      </c>
      <c r="N1502" s="16">
        <f>'БА в тыс. руб.'!I1502*1000</f>
        <v>11364840</v>
      </c>
      <c r="O1502" s="169">
        <f t="shared" si="1017"/>
        <v>0</v>
      </c>
    </row>
    <row r="1503" spans="1:15" s="3" customFormat="1">
      <c r="A1503" s="17" t="s">
        <v>49</v>
      </c>
      <c r="B1503" s="18" t="s">
        <v>20</v>
      </c>
      <c r="C1503" s="19" t="s">
        <v>14</v>
      </c>
      <c r="D1503" s="19" t="s">
        <v>51</v>
      </c>
      <c r="E1503" s="19" t="s">
        <v>196</v>
      </c>
      <c r="F1503" s="19" t="s">
        <v>58</v>
      </c>
      <c r="G1503" s="20">
        <f>G1504</f>
        <v>37900620</v>
      </c>
      <c r="H1503" s="20">
        <f>H1504</f>
        <v>33498520</v>
      </c>
      <c r="I1503" s="20">
        <f>I1504</f>
        <v>33498520</v>
      </c>
      <c r="J1503" s="16">
        <f>'БА в тыс. руб.'!G1503*1000</f>
        <v>37900619.999999993</v>
      </c>
      <c r="K1503" s="169">
        <f t="shared" si="1015"/>
        <v>0</v>
      </c>
      <c r="L1503" s="16">
        <f>'БА в тыс. руб.'!H1503*1000</f>
        <v>33498519.999999996</v>
      </c>
      <c r="M1503" s="169">
        <f t="shared" si="1016"/>
        <v>0</v>
      </c>
      <c r="N1503" s="16">
        <f>'БА в тыс. руб.'!I1503*1000</f>
        <v>33498519.999999996</v>
      </c>
      <c r="O1503" s="169">
        <f t="shared" si="1017"/>
        <v>0</v>
      </c>
    </row>
    <row r="1504" spans="1:15" s="3" customFormat="1">
      <c r="A1504" s="21" t="s">
        <v>63</v>
      </c>
      <c r="B1504" s="22" t="s">
        <v>20</v>
      </c>
      <c r="C1504" s="23">
        <v>10</v>
      </c>
      <c r="D1504" s="23" t="s">
        <v>53</v>
      </c>
      <c r="E1504" s="23" t="s">
        <v>196</v>
      </c>
      <c r="F1504" s="23" t="s">
        <v>58</v>
      </c>
      <c r="G1504" s="24">
        <f>G1505+G1515</f>
        <v>37900620</v>
      </c>
      <c r="H1504" s="24">
        <f>H1505+H1515</f>
        <v>33498520</v>
      </c>
      <c r="I1504" s="24">
        <f>I1505+I1515</f>
        <v>33498520</v>
      </c>
      <c r="J1504" s="16">
        <f>'БА в тыс. руб.'!G1504*1000</f>
        <v>37900619.999999993</v>
      </c>
      <c r="K1504" s="169">
        <f t="shared" si="1015"/>
        <v>0</v>
      </c>
      <c r="L1504" s="16">
        <f>'БА в тыс. руб.'!H1504*1000</f>
        <v>33498519.999999996</v>
      </c>
      <c r="M1504" s="169">
        <f t="shared" si="1016"/>
        <v>0</v>
      </c>
      <c r="N1504" s="16">
        <f>'БА в тыс. руб.'!I1504*1000</f>
        <v>33498519.999999996</v>
      </c>
      <c r="O1504" s="169">
        <f t="shared" si="1017"/>
        <v>0</v>
      </c>
    </row>
    <row r="1505" spans="1:15" s="3" customFormat="1" ht="25.5">
      <c r="A1505" s="31" t="s">
        <v>727</v>
      </c>
      <c r="B1505" s="36" t="s">
        <v>20</v>
      </c>
      <c r="C1505" s="36">
        <v>10</v>
      </c>
      <c r="D1505" s="36" t="s">
        <v>53</v>
      </c>
      <c r="E1505" s="36" t="s">
        <v>327</v>
      </c>
      <c r="F1505" s="36" t="s">
        <v>58</v>
      </c>
      <c r="G1505" s="37">
        <f>G1506</f>
        <v>34739920</v>
      </c>
      <c r="H1505" s="37">
        <f>H1506</f>
        <v>30893890</v>
      </c>
      <c r="I1505" s="37">
        <f>I1506</f>
        <v>30893890</v>
      </c>
      <c r="J1505" s="16">
        <f>'БА в тыс. руб.'!G1505*1000</f>
        <v>34739920</v>
      </c>
      <c r="K1505" s="169">
        <f t="shared" si="1015"/>
        <v>0</v>
      </c>
      <c r="L1505" s="16">
        <f>'БА в тыс. руб.'!H1505*1000</f>
        <v>30893890</v>
      </c>
      <c r="M1505" s="169">
        <f t="shared" si="1016"/>
        <v>0</v>
      </c>
      <c r="N1505" s="16">
        <f>'БА в тыс. руб.'!I1505*1000</f>
        <v>30893890</v>
      </c>
      <c r="O1505" s="169">
        <f t="shared" si="1017"/>
        <v>0</v>
      </c>
    </row>
    <row r="1506" spans="1:15" s="3" customFormat="1" ht="38.25">
      <c r="A1506" s="31" t="s">
        <v>842</v>
      </c>
      <c r="B1506" s="36" t="s">
        <v>20</v>
      </c>
      <c r="C1506" s="36">
        <v>10</v>
      </c>
      <c r="D1506" s="36" t="s">
        <v>53</v>
      </c>
      <c r="E1506" s="36" t="s">
        <v>328</v>
      </c>
      <c r="F1506" s="36" t="s">
        <v>58</v>
      </c>
      <c r="G1506" s="37">
        <f>G1507+G1511</f>
        <v>34739920</v>
      </c>
      <c r="H1506" s="37">
        <f>H1507+H1511</f>
        <v>30893890</v>
      </c>
      <c r="I1506" s="37">
        <f>I1507+I1511</f>
        <v>30893890</v>
      </c>
      <c r="J1506" s="16">
        <f>'БА в тыс. руб.'!G1506*1000</f>
        <v>34739920</v>
      </c>
      <c r="K1506" s="169">
        <f t="shared" si="1015"/>
        <v>0</v>
      </c>
      <c r="L1506" s="16">
        <f>'БА в тыс. руб.'!H1506*1000</f>
        <v>30893890</v>
      </c>
      <c r="M1506" s="169">
        <f t="shared" si="1016"/>
        <v>0</v>
      </c>
      <c r="N1506" s="16">
        <f>'БА в тыс. руб.'!I1506*1000</f>
        <v>30893890</v>
      </c>
      <c r="O1506" s="169">
        <f t="shared" si="1017"/>
        <v>0</v>
      </c>
    </row>
    <row r="1507" spans="1:15" s="3" customFormat="1" ht="38.25">
      <c r="A1507" s="34" t="s">
        <v>638</v>
      </c>
      <c r="B1507" s="36" t="s">
        <v>20</v>
      </c>
      <c r="C1507" s="36">
        <v>10</v>
      </c>
      <c r="D1507" s="36" t="s">
        <v>53</v>
      </c>
      <c r="E1507" s="36" t="s">
        <v>634</v>
      </c>
      <c r="F1507" s="36" t="s">
        <v>58</v>
      </c>
      <c r="G1507" s="37">
        <f t="shared" ref="G1507:I1509" si="1037">G1508</f>
        <v>2757000</v>
      </c>
      <c r="H1507" s="37">
        <f t="shared" si="1037"/>
        <v>2109260</v>
      </c>
      <c r="I1507" s="37">
        <f t="shared" si="1037"/>
        <v>2109260</v>
      </c>
      <c r="J1507" s="16">
        <f>'БА в тыс. руб.'!G1507*1000</f>
        <v>2757000</v>
      </c>
      <c r="K1507" s="169">
        <f t="shared" si="1015"/>
        <v>0</v>
      </c>
      <c r="L1507" s="16">
        <f>'БА в тыс. руб.'!H1507*1000</f>
        <v>2109260</v>
      </c>
      <c r="M1507" s="169">
        <f t="shared" si="1016"/>
        <v>0</v>
      </c>
      <c r="N1507" s="16">
        <f>'БА в тыс. руб.'!I1507*1000</f>
        <v>2109260</v>
      </c>
      <c r="O1507" s="169">
        <f t="shared" si="1017"/>
        <v>0</v>
      </c>
    </row>
    <row r="1508" spans="1:15" s="3" customFormat="1" ht="38.25">
      <c r="A1508" s="11" t="s">
        <v>533</v>
      </c>
      <c r="B1508" s="26" t="s">
        <v>20</v>
      </c>
      <c r="C1508" s="26">
        <v>10</v>
      </c>
      <c r="D1508" s="26" t="s">
        <v>53</v>
      </c>
      <c r="E1508" s="26" t="s">
        <v>639</v>
      </c>
      <c r="F1508" s="26" t="s">
        <v>58</v>
      </c>
      <c r="G1508" s="27">
        <f t="shared" si="1037"/>
        <v>2757000</v>
      </c>
      <c r="H1508" s="27">
        <f t="shared" si="1037"/>
        <v>2109260</v>
      </c>
      <c r="I1508" s="27">
        <f t="shared" si="1037"/>
        <v>2109260</v>
      </c>
      <c r="J1508" s="16">
        <f>'БА в тыс. руб.'!G1508*1000</f>
        <v>2757000</v>
      </c>
      <c r="K1508" s="169">
        <f t="shared" si="1015"/>
        <v>0</v>
      </c>
      <c r="L1508" s="16">
        <f>'БА в тыс. руб.'!H1508*1000</f>
        <v>2109260</v>
      </c>
      <c r="M1508" s="169">
        <f t="shared" si="1016"/>
        <v>0</v>
      </c>
      <c r="N1508" s="16">
        <f>'БА в тыс. руб.'!I1508*1000</f>
        <v>2109260</v>
      </c>
      <c r="O1508" s="169">
        <f t="shared" si="1017"/>
        <v>0</v>
      </c>
    </row>
    <row r="1509" spans="1:15" s="3" customFormat="1" ht="38.25">
      <c r="A1509" s="41" t="s">
        <v>561</v>
      </c>
      <c r="B1509" s="26" t="s">
        <v>20</v>
      </c>
      <c r="C1509" s="26">
        <v>10</v>
      </c>
      <c r="D1509" s="26" t="s">
        <v>53</v>
      </c>
      <c r="E1509" s="26" t="s">
        <v>639</v>
      </c>
      <c r="F1509" s="26" t="s">
        <v>101</v>
      </c>
      <c r="G1509" s="27">
        <f>G1510</f>
        <v>2757000</v>
      </c>
      <c r="H1509" s="27">
        <f t="shared" si="1037"/>
        <v>2109260</v>
      </c>
      <c r="I1509" s="27">
        <f t="shared" si="1037"/>
        <v>2109260</v>
      </c>
      <c r="J1509" s="16">
        <f>'БА в тыс. руб.'!G1509*1000</f>
        <v>2757000</v>
      </c>
      <c r="K1509" s="169">
        <f t="shared" si="1015"/>
        <v>0</v>
      </c>
      <c r="L1509" s="16">
        <f>'БА в тыс. руб.'!H1509*1000</f>
        <v>2109260</v>
      </c>
      <c r="M1509" s="169">
        <f t="shared" si="1016"/>
        <v>0</v>
      </c>
      <c r="N1509" s="16">
        <f>'БА в тыс. руб.'!I1509*1000</f>
        <v>2109260</v>
      </c>
      <c r="O1509" s="169">
        <f t="shared" si="1017"/>
        <v>0</v>
      </c>
    </row>
    <row r="1510" spans="1:15" s="4" customFormat="1" ht="51">
      <c r="A1510" s="12" t="s">
        <v>1047</v>
      </c>
      <c r="B1510" s="26" t="s">
        <v>20</v>
      </c>
      <c r="C1510" s="26">
        <v>10</v>
      </c>
      <c r="D1510" s="26" t="s">
        <v>53</v>
      </c>
      <c r="E1510" s="26" t="s">
        <v>639</v>
      </c>
      <c r="F1510" s="26" t="s">
        <v>1050</v>
      </c>
      <c r="G1510" s="27">
        <f t="shared" ref="G1510" si="1038">J1510</f>
        <v>2757000</v>
      </c>
      <c r="H1510" s="27">
        <f>L1510</f>
        <v>2109260</v>
      </c>
      <c r="I1510" s="27">
        <f>N1510</f>
        <v>2109260</v>
      </c>
      <c r="J1510" s="16">
        <f>'БА в тыс. руб.'!G1510*1000</f>
        <v>2757000</v>
      </c>
      <c r="K1510" s="169">
        <f t="shared" si="1015"/>
        <v>0</v>
      </c>
      <c r="L1510" s="16">
        <f>'БА в тыс. руб.'!H1510*1000</f>
        <v>2109260</v>
      </c>
      <c r="M1510" s="169">
        <f t="shared" si="1016"/>
        <v>0</v>
      </c>
      <c r="N1510" s="16">
        <f>'БА в тыс. руб.'!I1510*1000</f>
        <v>2109260</v>
      </c>
      <c r="O1510" s="169">
        <f t="shared" si="1017"/>
        <v>0</v>
      </c>
    </row>
    <row r="1511" spans="1:15" s="3" customFormat="1" ht="51">
      <c r="A1511" s="34" t="s">
        <v>641</v>
      </c>
      <c r="B1511" s="36" t="s">
        <v>20</v>
      </c>
      <c r="C1511" s="36">
        <v>10</v>
      </c>
      <c r="D1511" s="36" t="s">
        <v>53</v>
      </c>
      <c r="E1511" s="36" t="s">
        <v>637</v>
      </c>
      <c r="F1511" s="36" t="s">
        <v>58</v>
      </c>
      <c r="G1511" s="37">
        <f t="shared" ref="G1511:I1513" si="1039">G1512</f>
        <v>31982920</v>
      </c>
      <c r="H1511" s="37">
        <f t="shared" si="1039"/>
        <v>28784630</v>
      </c>
      <c r="I1511" s="37">
        <f t="shared" si="1039"/>
        <v>28784630</v>
      </c>
      <c r="J1511" s="16">
        <f>'БА в тыс. руб.'!G1511*1000</f>
        <v>31982920</v>
      </c>
      <c r="K1511" s="169">
        <f t="shared" si="1015"/>
        <v>0</v>
      </c>
      <c r="L1511" s="16">
        <f>'БА в тыс. руб.'!H1511*1000</f>
        <v>28784630</v>
      </c>
      <c r="M1511" s="169">
        <f t="shared" si="1016"/>
        <v>0</v>
      </c>
      <c r="N1511" s="16">
        <f>'БА в тыс. руб.'!I1511*1000</f>
        <v>28784630</v>
      </c>
      <c r="O1511" s="169">
        <f t="shared" si="1017"/>
        <v>0</v>
      </c>
    </row>
    <row r="1512" spans="1:15" s="3" customFormat="1" ht="38.25">
      <c r="A1512" s="11" t="s">
        <v>534</v>
      </c>
      <c r="B1512" s="26" t="s">
        <v>20</v>
      </c>
      <c r="C1512" s="26">
        <v>10</v>
      </c>
      <c r="D1512" s="26" t="s">
        <v>53</v>
      </c>
      <c r="E1512" s="26" t="s">
        <v>640</v>
      </c>
      <c r="F1512" s="26" t="s">
        <v>58</v>
      </c>
      <c r="G1512" s="27">
        <f t="shared" si="1039"/>
        <v>31982920</v>
      </c>
      <c r="H1512" s="27">
        <f t="shared" si="1039"/>
        <v>28784630</v>
      </c>
      <c r="I1512" s="27">
        <f t="shared" si="1039"/>
        <v>28784630</v>
      </c>
      <c r="J1512" s="16">
        <f>'БА в тыс. руб.'!G1512*1000</f>
        <v>31982920</v>
      </c>
      <c r="K1512" s="169">
        <f t="shared" si="1015"/>
        <v>0</v>
      </c>
      <c r="L1512" s="16">
        <f>'БА в тыс. руб.'!H1512*1000</f>
        <v>28784630</v>
      </c>
      <c r="M1512" s="169">
        <f t="shared" si="1016"/>
        <v>0</v>
      </c>
      <c r="N1512" s="16">
        <f>'БА в тыс. руб.'!I1512*1000</f>
        <v>28784630</v>
      </c>
      <c r="O1512" s="169">
        <f t="shared" si="1017"/>
        <v>0</v>
      </c>
    </row>
    <row r="1513" spans="1:15" s="3" customFormat="1" ht="38.25">
      <c r="A1513" s="41" t="s">
        <v>561</v>
      </c>
      <c r="B1513" s="26" t="s">
        <v>20</v>
      </c>
      <c r="C1513" s="26">
        <v>10</v>
      </c>
      <c r="D1513" s="26" t="s">
        <v>53</v>
      </c>
      <c r="E1513" s="26" t="s">
        <v>640</v>
      </c>
      <c r="F1513" s="26" t="s">
        <v>101</v>
      </c>
      <c r="G1513" s="27">
        <f>G1514</f>
        <v>31982920</v>
      </c>
      <c r="H1513" s="27">
        <f t="shared" si="1039"/>
        <v>28784630</v>
      </c>
      <c r="I1513" s="27">
        <f t="shared" si="1039"/>
        <v>28784630</v>
      </c>
      <c r="J1513" s="16">
        <f>'БА в тыс. руб.'!G1513*1000</f>
        <v>31982920</v>
      </c>
      <c r="K1513" s="169">
        <f t="shared" si="1015"/>
        <v>0</v>
      </c>
      <c r="L1513" s="16">
        <f>'БА в тыс. руб.'!H1513*1000</f>
        <v>28784630</v>
      </c>
      <c r="M1513" s="169">
        <f t="shared" si="1016"/>
        <v>0</v>
      </c>
      <c r="N1513" s="16">
        <f>'БА в тыс. руб.'!I1513*1000</f>
        <v>28784630</v>
      </c>
      <c r="O1513" s="169">
        <f t="shared" si="1017"/>
        <v>0</v>
      </c>
    </row>
    <row r="1514" spans="1:15" s="4" customFormat="1" ht="76.5">
      <c r="A1514" s="12" t="s">
        <v>1048</v>
      </c>
      <c r="B1514" s="26" t="s">
        <v>20</v>
      </c>
      <c r="C1514" s="26">
        <v>10</v>
      </c>
      <c r="D1514" s="26" t="s">
        <v>53</v>
      </c>
      <c r="E1514" s="26" t="s">
        <v>640</v>
      </c>
      <c r="F1514" s="26" t="s">
        <v>1051</v>
      </c>
      <c r="G1514" s="27">
        <f t="shared" ref="G1514" si="1040">J1514</f>
        <v>31982920</v>
      </c>
      <c r="H1514" s="27">
        <f>L1514</f>
        <v>28784630</v>
      </c>
      <c r="I1514" s="27">
        <f>N1514</f>
        <v>28784630</v>
      </c>
      <c r="J1514" s="16">
        <f>'БА в тыс. руб.'!G1514*1000</f>
        <v>31982920</v>
      </c>
      <c r="K1514" s="169">
        <f t="shared" si="1015"/>
        <v>0</v>
      </c>
      <c r="L1514" s="16">
        <f>'БА в тыс. руб.'!H1514*1000</f>
        <v>28784630</v>
      </c>
      <c r="M1514" s="169">
        <f t="shared" si="1016"/>
        <v>0</v>
      </c>
      <c r="N1514" s="16">
        <f>'БА в тыс. руб.'!I1514*1000</f>
        <v>28784630</v>
      </c>
      <c r="O1514" s="169">
        <f t="shared" si="1017"/>
        <v>0</v>
      </c>
    </row>
    <row r="1515" spans="1:15" s="3" customFormat="1" ht="25.5">
      <c r="A1515" s="11" t="s">
        <v>733</v>
      </c>
      <c r="B1515" s="36" t="s">
        <v>20</v>
      </c>
      <c r="C1515" s="36" t="s">
        <v>14</v>
      </c>
      <c r="D1515" s="36" t="s">
        <v>53</v>
      </c>
      <c r="E1515" s="36" t="s">
        <v>524</v>
      </c>
      <c r="F1515" s="36" t="s">
        <v>58</v>
      </c>
      <c r="G1515" s="37">
        <f t="shared" ref="G1515:I1515" si="1041">G1516</f>
        <v>3160700</v>
      </c>
      <c r="H1515" s="37">
        <f t="shared" si="1041"/>
        <v>2604630</v>
      </c>
      <c r="I1515" s="37">
        <f t="shared" si="1041"/>
        <v>2604630</v>
      </c>
      <c r="J1515" s="16">
        <f>'БА в тыс. руб.'!G1515*1000</f>
        <v>3160700</v>
      </c>
      <c r="K1515" s="169">
        <f t="shared" si="1015"/>
        <v>0</v>
      </c>
      <c r="L1515" s="16">
        <f>'БА в тыс. руб.'!H1515*1000</f>
        <v>2604630</v>
      </c>
      <c r="M1515" s="169">
        <f t="shared" si="1016"/>
        <v>0</v>
      </c>
      <c r="N1515" s="16">
        <f>'БА в тыс. руб.'!I1515*1000</f>
        <v>2604630</v>
      </c>
      <c r="O1515" s="169">
        <f t="shared" si="1017"/>
        <v>0</v>
      </c>
    </row>
    <row r="1516" spans="1:15" s="3" customFormat="1" ht="25.5">
      <c r="A1516" s="34" t="s">
        <v>735</v>
      </c>
      <c r="B1516" s="36" t="s">
        <v>20</v>
      </c>
      <c r="C1516" s="36" t="s">
        <v>14</v>
      </c>
      <c r="D1516" s="36" t="s">
        <v>53</v>
      </c>
      <c r="E1516" s="36" t="s">
        <v>734</v>
      </c>
      <c r="F1516" s="36" t="s">
        <v>58</v>
      </c>
      <c r="G1516" s="37">
        <f>G1517</f>
        <v>3160700</v>
      </c>
      <c r="H1516" s="37">
        <f>H1517</f>
        <v>2604630</v>
      </c>
      <c r="I1516" s="37">
        <f>I1517</f>
        <v>2604630</v>
      </c>
      <c r="J1516" s="16">
        <f>'БА в тыс. руб.'!G1516*1000</f>
        <v>3160700</v>
      </c>
      <c r="K1516" s="169">
        <f t="shared" si="1015"/>
        <v>0</v>
      </c>
      <c r="L1516" s="16">
        <f>'БА в тыс. руб.'!H1516*1000</f>
        <v>2604630</v>
      </c>
      <c r="M1516" s="169">
        <f t="shared" si="1016"/>
        <v>0</v>
      </c>
      <c r="N1516" s="16">
        <f>'БА в тыс. руб.'!I1516*1000</f>
        <v>2604630</v>
      </c>
      <c r="O1516" s="169">
        <f t="shared" si="1017"/>
        <v>0</v>
      </c>
    </row>
    <row r="1517" spans="1:15" s="3" customFormat="1" ht="25.5">
      <c r="A1517" s="34" t="s">
        <v>535</v>
      </c>
      <c r="B1517" s="36" t="s">
        <v>20</v>
      </c>
      <c r="C1517" s="36" t="s">
        <v>14</v>
      </c>
      <c r="D1517" s="36" t="s">
        <v>53</v>
      </c>
      <c r="E1517" s="36" t="s">
        <v>761</v>
      </c>
      <c r="F1517" s="36" t="s">
        <v>58</v>
      </c>
      <c r="G1517" s="37">
        <f>G1518</f>
        <v>3160700</v>
      </c>
      <c r="H1517" s="37">
        <f t="shared" ref="H1517:I1517" si="1042">H1518</f>
        <v>2604630</v>
      </c>
      <c r="I1517" s="37">
        <f t="shared" si="1042"/>
        <v>2604630</v>
      </c>
      <c r="J1517" s="16">
        <f>'БА в тыс. руб.'!G1517*1000</f>
        <v>3160700</v>
      </c>
      <c r="K1517" s="169">
        <f t="shared" si="1015"/>
        <v>0</v>
      </c>
      <c r="L1517" s="16">
        <f>'БА в тыс. руб.'!H1517*1000</f>
        <v>2604630</v>
      </c>
      <c r="M1517" s="169">
        <f t="shared" si="1016"/>
        <v>0</v>
      </c>
      <c r="N1517" s="16">
        <f>'БА в тыс. руб.'!I1517*1000</f>
        <v>2604630</v>
      </c>
      <c r="O1517" s="169">
        <f t="shared" si="1017"/>
        <v>0</v>
      </c>
    </row>
    <row r="1518" spans="1:15" s="3" customFormat="1" ht="38.25">
      <c r="A1518" s="11" t="s">
        <v>898</v>
      </c>
      <c r="B1518" s="36" t="s">
        <v>20</v>
      </c>
      <c r="C1518" s="36" t="s">
        <v>14</v>
      </c>
      <c r="D1518" s="36" t="s">
        <v>53</v>
      </c>
      <c r="E1518" s="36" t="s">
        <v>769</v>
      </c>
      <c r="F1518" s="36" t="s">
        <v>58</v>
      </c>
      <c r="G1518" s="37">
        <f>G1519</f>
        <v>3160700</v>
      </c>
      <c r="H1518" s="37">
        <f>H1519</f>
        <v>2604630</v>
      </c>
      <c r="I1518" s="37">
        <f>I1519</f>
        <v>2604630</v>
      </c>
      <c r="J1518" s="16">
        <f>'БА в тыс. руб.'!G1518*1000</f>
        <v>3160700</v>
      </c>
      <c r="K1518" s="169">
        <f t="shared" si="1015"/>
        <v>0</v>
      </c>
      <c r="L1518" s="16">
        <f>'БА в тыс. руб.'!H1518*1000</f>
        <v>2604630</v>
      </c>
      <c r="M1518" s="169">
        <f t="shared" si="1016"/>
        <v>0</v>
      </c>
      <c r="N1518" s="16">
        <f>'БА в тыс. руб.'!I1518*1000</f>
        <v>2604630</v>
      </c>
      <c r="O1518" s="169">
        <f t="shared" si="1017"/>
        <v>0</v>
      </c>
    </row>
    <row r="1519" spans="1:15" s="3" customFormat="1" ht="25.5">
      <c r="A1519" s="13" t="s">
        <v>110</v>
      </c>
      <c r="B1519" s="36" t="s">
        <v>20</v>
      </c>
      <c r="C1519" s="36" t="s">
        <v>14</v>
      </c>
      <c r="D1519" s="36" t="s">
        <v>53</v>
      </c>
      <c r="E1519" s="36" t="s">
        <v>769</v>
      </c>
      <c r="F1519" s="36" t="s">
        <v>117</v>
      </c>
      <c r="G1519" s="37">
        <f>G1520</f>
        <v>3160700</v>
      </c>
      <c r="H1519" s="37">
        <f t="shared" ref="H1519:I1519" si="1043">H1520</f>
        <v>2604630</v>
      </c>
      <c r="I1519" s="37">
        <f t="shared" si="1043"/>
        <v>2604630</v>
      </c>
      <c r="J1519" s="16">
        <f>'БА в тыс. руб.'!G1519*1000</f>
        <v>3160700</v>
      </c>
      <c r="K1519" s="169">
        <f t="shared" si="1015"/>
        <v>0</v>
      </c>
      <c r="L1519" s="16">
        <f>'БА в тыс. руб.'!H1519*1000</f>
        <v>2604630</v>
      </c>
      <c r="M1519" s="169">
        <f t="shared" si="1016"/>
        <v>0</v>
      </c>
      <c r="N1519" s="16">
        <f>'БА в тыс. руб.'!I1519*1000</f>
        <v>2604630</v>
      </c>
      <c r="O1519" s="169">
        <f t="shared" si="1017"/>
        <v>0</v>
      </c>
    </row>
    <row r="1520" spans="1:15" s="4" customFormat="1">
      <c r="A1520" s="12" t="s">
        <v>980</v>
      </c>
      <c r="B1520" s="36" t="s">
        <v>20</v>
      </c>
      <c r="C1520" s="36" t="s">
        <v>14</v>
      </c>
      <c r="D1520" s="36" t="s">
        <v>53</v>
      </c>
      <c r="E1520" s="36" t="s">
        <v>769</v>
      </c>
      <c r="F1520" s="36" t="s">
        <v>1053</v>
      </c>
      <c r="G1520" s="27">
        <f t="shared" ref="G1520:G1521" si="1044">J1520</f>
        <v>3160700</v>
      </c>
      <c r="H1520" s="27">
        <f t="shared" ref="H1520:H1521" si="1045">L1520</f>
        <v>2604630</v>
      </c>
      <c r="I1520" s="27">
        <f t="shared" ref="I1520:I1521" si="1046">N1520</f>
        <v>2604630</v>
      </c>
      <c r="J1520" s="16">
        <f>'БА в тыс. руб.'!G1520*1000</f>
        <v>3160700</v>
      </c>
      <c r="K1520" s="169">
        <f t="shared" si="1015"/>
        <v>0</v>
      </c>
      <c r="L1520" s="16">
        <f>'БА в тыс. руб.'!H1520*1000</f>
        <v>2604630</v>
      </c>
      <c r="M1520" s="169">
        <f t="shared" si="1016"/>
        <v>0</v>
      </c>
      <c r="N1520" s="16">
        <f>'БА в тыс. руб.'!I1520*1000</f>
        <v>2604630</v>
      </c>
      <c r="O1520" s="169">
        <f t="shared" si="1017"/>
        <v>0</v>
      </c>
    </row>
    <row r="1521" spans="1:15" s="3" customFormat="1">
      <c r="A1521" s="13"/>
      <c r="B1521" s="36"/>
      <c r="C1521" s="36"/>
      <c r="D1521" s="36"/>
      <c r="E1521" s="36"/>
      <c r="F1521" s="36"/>
      <c r="G1521" s="27">
        <f t="shared" si="1044"/>
        <v>0</v>
      </c>
      <c r="H1521" s="27">
        <f t="shared" si="1045"/>
        <v>0</v>
      </c>
      <c r="I1521" s="27">
        <f t="shared" si="1046"/>
        <v>0</v>
      </c>
      <c r="J1521" s="16">
        <f>'БА в тыс. руб.'!G1521*1000</f>
        <v>0</v>
      </c>
      <c r="K1521" s="169">
        <f t="shared" si="1015"/>
        <v>0</v>
      </c>
      <c r="L1521" s="16">
        <f>'БА в тыс. руб.'!H1521*1000</f>
        <v>0</v>
      </c>
      <c r="M1521" s="169">
        <f t="shared" si="1016"/>
        <v>0</v>
      </c>
      <c r="N1521" s="16">
        <f>'БА в тыс. руб.'!I1521*1000</f>
        <v>0</v>
      </c>
      <c r="O1521" s="169">
        <f t="shared" si="1017"/>
        <v>0</v>
      </c>
    </row>
    <row r="1522" spans="1:15" s="3" customFormat="1">
      <c r="A1522" s="28" t="s">
        <v>15</v>
      </c>
      <c r="B1522" s="14" t="s">
        <v>16</v>
      </c>
      <c r="C1522" s="15" t="s">
        <v>51</v>
      </c>
      <c r="D1522" s="15" t="s">
        <v>51</v>
      </c>
      <c r="E1522" s="15" t="s">
        <v>196</v>
      </c>
      <c r="F1522" s="15" t="s">
        <v>58</v>
      </c>
      <c r="G1522" s="29">
        <f>G1523+G1553+G1578+G1599+G1570</f>
        <v>1139651510</v>
      </c>
      <c r="H1522" s="29">
        <f>H1523+H1553+H1578+H1599+H1570</f>
        <v>71889250</v>
      </c>
      <c r="I1522" s="29">
        <f>I1523+I1553+I1578+I1599+I1570</f>
        <v>77315300</v>
      </c>
      <c r="J1522" s="16">
        <f>'БА в тыс. руб.'!G1522*1000</f>
        <v>1139651510</v>
      </c>
      <c r="K1522" s="169">
        <f t="shared" si="1015"/>
        <v>0</v>
      </c>
      <c r="L1522" s="16">
        <f>'БА в тыс. руб.'!H1522*1000</f>
        <v>71889250</v>
      </c>
      <c r="M1522" s="169">
        <f t="shared" si="1016"/>
        <v>0</v>
      </c>
      <c r="N1522" s="16">
        <f>'БА в тыс. руб.'!I1522*1000</f>
        <v>77315300</v>
      </c>
      <c r="O1522" s="169">
        <f t="shared" si="1017"/>
        <v>0</v>
      </c>
    </row>
    <row r="1523" spans="1:15" s="3" customFormat="1">
      <c r="A1523" s="17" t="s">
        <v>64</v>
      </c>
      <c r="B1523" s="18" t="s">
        <v>16</v>
      </c>
      <c r="C1523" s="19" t="s">
        <v>65</v>
      </c>
      <c r="D1523" s="19" t="s">
        <v>51</v>
      </c>
      <c r="E1523" s="19" t="s">
        <v>196</v>
      </c>
      <c r="F1523" s="19" t="s">
        <v>58</v>
      </c>
      <c r="G1523" s="20">
        <f>G1524</f>
        <v>52002390</v>
      </c>
      <c r="H1523" s="20">
        <f>H1524</f>
        <v>51780950</v>
      </c>
      <c r="I1523" s="20">
        <f>I1524</f>
        <v>51780950</v>
      </c>
      <c r="J1523" s="16">
        <f>'БА в тыс. руб.'!G1523*1000</f>
        <v>52002389.999999993</v>
      </c>
      <c r="K1523" s="169">
        <f t="shared" si="1015"/>
        <v>0</v>
      </c>
      <c r="L1523" s="16">
        <f>'БА в тыс. руб.'!H1523*1000</f>
        <v>51780950</v>
      </c>
      <c r="M1523" s="169">
        <f t="shared" si="1016"/>
        <v>0</v>
      </c>
      <c r="N1523" s="16">
        <f>'БА в тыс. руб.'!I1523*1000</f>
        <v>51780950</v>
      </c>
      <c r="O1523" s="169">
        <f t="shared" si="1017"/>
        <v>0</v>
      </c>
    </row>
    <row r="1524" spans="1:15" s="3" customFormat="1">
      <c r="A1524" s="21" t="s">
        <v>38</v>
      </c>
      <c r="B1524" s="22" t="s">
        <v>16</v>
      </c>
      <c r="C1524" s="23" t="s">
        <v>65</v>
      </c>
      <c r="D1524" s="23" t="s">
        <v>84</v>
      </c>
      <c r="E1524" s="23" t="s">
        <v>196</v>
      </c>
      <c r="F1524" s="23" t="s">
        <v>58</v>
      </c>
      <c r="G1524" s="24">
        <f>G1525+G1531</f>
        <v>52002390</v>
      </c>
      <c r="H1524" s="24">
        <f>H1525+H1531</f>
        <v>51780950</v>
      </c>
      <c r="I1524" s="24">
        <f>I1525+I1531</f>
        <v>51780950</v>
      </c>
      <c r="J1524" s="16">
        <f>'БА в тыс. руб.'!G1524*1000</f>
        <v>52002389.999999993</v>
      </c>
      <c r="K1524" s="169">
        <f t="shared" si="1015"/>
        <v>0</v>
      </c>
      <c r="L1524" s="16">
        <f>'БА в тыс. руб.'!H1524*1000</f>
        <v>51780950</v>
      </c>
      <c r="M1524" s="169">
        <f t="shared" si="1016"/>
        <v>0</v>
      </c>
      <c r="N1524" s="16">
        <f>'БА в тыс. руб.'!I1524*1000</f>
        <v>51780950</v>
      </c>
      <c r="O1524" s="169">
        <f t="shared" si="1017"/>
        <v>0</v>
      </c>
    </row>
    <row r="1525" spans="1:15" s="3" customFormat="1" ht="38.25">
      <c r="A1525" s="34" t="s">
        <v>751</v>
      </c>
      <c r="B1525" s="25" t="s">
        <v>16</v>
      </c>
      <c r="C1525" s="26" t="s">
        <v>65</v>
      </c>
      <c r="D1525" s="26" t="s">
        <v>84</v>
      </c>
      <c r="E1525" s="26" t="s">
        <v>229</v>
      </c>
      <c r="F1525" s="26" t="s">
        <v>58</v>
      </c>
      <c r="G1525" s="27">
        <f t="shared" ref="G1525:I1529" si="1047">G1526</f>
        <v>1000000</v>
      </c>
      <c r="H1525" s="27">
        <f t="shared" si="1047"/>
        <v>765000</v>
      </c>
      <c r="I1525" s="27">
        <f t="shared" si="1047"/>
        <v>765000</v>
      </c>
      <c r="J1525" s="16">
        <f>'БА в тыс. руб.'!G1525*1000</f>
        <v>1000000</v>
      </c>
      <c r="K1525" s="169">
        <f t="shared" si="1015"/>
        <v>0</v>
      </c>
      <c r="L1525" s="16">
        <f>'БА в тыс. руб.'!H1525*1000</f>
        <v>765000</v>
      </c>
      <c r="M1525" s="169">
        <f t="shared" si="1016"/>
        <v>0</v>
      </c>
      <c r="N1525" s="16">
        <f>'БА в тыс. руб.'!I1525*1000</f>
        <v>765000</v>
      </c>
      <c r="O1525" s="169">
        <f t="shared" si="1017"/>
        <v>0</v>
      </c>
    </row>
    <row r="1526" spans="1:15" s="3" customFormat="1" ht="25.5">
      <c r="A1526" s="11" t="s">
        <v>119</v>
      </c>
      <c r="B1526" s="25" t="s">
        <v>16</v>
      </c>
      <c r="C1526" s="26" t="s">
        <v>65</v>
      </c>
      <c r="D1526" s="26" t="s">
        <v>84</v>
      </c>
      <c r="E1526" s="26" t="s">
        <v>230</v>
      </c>
      <c r="F1526" s="26" t="s">
        <v>58</v>
      </c>
      <c r="G1526" s="27">
        <f t="shared" si="1047"/>
        <v>1000000</v>
      </c>
      <c r="H1526" s="27">
        <f t="shared" si="1047"/>
        <v>765000</v>
      </c>
      <c r="I1526" s="27">
        <f t="shared" si="1047"/>
        <v>765000</v>
      </c>
      <c r="J1526" s="16">
        <f>'БА в тыс. руб.'!G1526*1000</f>
        <v>1000000</v>
      </c>
      <c r="K1526" s="169">
        <f t="shared" si="1015"/>
        <v>0</v>
      </c>
      <c r="L1526" s="16">
        <f>'БА в тыс. руб.'!H1526*1000</f>
        <v>765000</v>
      </c>
      <c r="M1526" s="169">
        <f t="shared" si="1016"/>
        <v>0</v>
      </c>
      <c r="N1526" s="16">
        <f>'БА в тыс. руб.'!I1526*1000</f>
        <v>765000</v>
      </c>
      <c r="O1526" s="169">
        <f t="shared" si="1017"/>
        <v>0</v>
      </c>
    </row>
    <row r="1527" spans="1:15" s="3" customFormat="1" ht="38.25">
      <c r="A1527" s="11" t="s">
        <v>579</v>
      </c>
      <c r="B1527" s="25" t="s">
        <v>16</v>
      </c>
      <c r="C1527" s="26" t="s">
        <v>65</v>
      </c>
      <c r="D1527" s="26" t="s">
        <v>84</v>
      </c>
      <c r="E1527" s="26" t="s">
        <v>235</v>
      </c>
      <c r="F1527" s="26" t="s">
        <v>58</v>
      </c>
      <c r="G1527" s="27">
        <f t="shared" si="1047"/>
        <v>1000000</v>
      </c>
      <c r="H1527" s="27">
        <f t="shared" si="1047"/>
        <v>765000</v>
      </c>
      <c r="I1527" s="27">
        <f t="shared" si="1047"/>
        <v>765000</v>
      </c>
      <c r="J1527" s="16">
        <f>'БА в тыс. руб.'!G1527*1000</f>
        <v>1000000</v>
      </c>
      <c r="K1527" s="169">
        <f t="shared" si="1015"/>
        <v>0</v>
      </c>
      <c r="L1527" s="16">
        <f>'БА в тыс. руб.'!H1527*1000</f>
        <v>765000</v>
      </c>
      <c r="M1527" s="169">
        <f t="shared" si="1016"/>
        <v>0</v>
      </c>
      <c r="N1527" s="16">
        <f>'БА в тыс. руб.'!I1527*1000</f>
        <v>765000</v>
      </c>
      <c r="O1527" s="169">
        <f t="shared" si="1017"/>
        <v>0</v>
      </c>
    </row>
    <row r="1528" spans="1:15" s="3" customFormat="1" ht="25.5">
      <c r="A1528" s="11" t="s">
        <v>170</v>
      </c>
      <c r="B1528" s="25" t="s">
        <v>16</v>
      </c>
      <c r="C1528" s="26" t="s">
        <v>65</v>
      </c>
      <c r="D1528" s="26" t="s">
        <v>84</v>
      </c>
      <c r="E1528" s="26" t="s">
        <v>236</v>
      </c>
      <c r="F1528" s="26" t="s">
        <v>58</v>
      </c>
      <c r="G1528" s="27">
        <f t="shared" si="1047"/>
        <v>1000000</v>
      </c>
      <c r="H1528" s="27">
        <f t="shared" si="1047"/>
        <v>765000</v>
      </c>
      <c r="I1528" s="27">
        <f t="shared" si="1047"/>
        <v>765000</v>
      </c>
      <c r="J1528" s="16">
        <f>'БА в тыс. руб.'!G1528*1000</f>
        <v>1000000</v>
      </c>
      <c r="K1528" s="169">
        <f t="shared" si="1015"/>
        <v>0</v>
      </c>
      <c r="L1528" s="16">
        <f>'БА в тыс. руб.'!H1528*1000</f>
        <v>765000</v>
      </c>
      <c r="M1528" s="169">
        <f t="shared" si="1016"/>
        <v>0</v>
      </c>
      <c r="N1528" s="16">
        <f>'БА в тыс. руб.'!I1528*1000</f>
        <v>765000</v>
      </c>
      <c r="O1528" s="169">
        <f t="shared" si="1017"/>
        <v>0</v>
      </c>
    </row>
    <row r="1529" spans="1:15" s="3" customFormat="1" ht="25.5">
      <c r="A1529" s="11" t="s">
        <v>108</v>
      </c>
      <c r="B1529" s="25" t="s">
        <v>16</v>
      </c>
      <c r="C1529" s="26" t="s">
        <v>65</v>
      </c>
      <c r="D1529" s="26" t="s">
        <v>84</v>
      </c>
      <c r="E1529" s="26" t="s">
        <v>236</v>
      </c>
      <c r="F1529" s="26" t="s">
        <v>116</v>
      </c>
      <c r="G1529" s="27">
        <f>G1530</f>
        <v>1000000</v>
      </c>
      <c r="H1529" s="27">
        <f t="shared" si="1047"/>
        <v>765000</v>
      </c>
      <c r="I1529" s="27">
        <f t="shared" si="1047"/>
        <v>765000</v>
      </c>
      <c r="J1529" s="16">
        <f>'БА в тыс. руб.'!G1529*1000</f>
        <v>1000000</v>
      </c>
      <c r="K1529" s="169">
        <f t="shared" si="1015"/>
        <v>0</v>
      </c>
      <c r="L1529" s="16">
        <f>'БА в тыс. руб.'!H1529*1000</f>
        <v>765000</v>
      </c>
      <c r="M1529" s="169">
        <f t="shared" si="1016"/>
        <v>0</v>
      </c>
      <c r="N1529" s="16">
        <f>'БА в тыс. руб.'!I1529*1000</f>
        <v>765000</v>
      </c>
      <c r="O1529" s="169">
        <f t="shared" si="1017"/>
        <v>0</v>
      </c>
    </row>
    <row r="1530" spans="1:15" s="4" customFormat="1" ht="25.5">
      <c r="A1530" s="12" t="s">
        <v>973</v>
      </c>
      <c r="B1530" s="25" t="s">
        <v>16</v>
      </c>
      <c r="C1530" s="26" t="s">
        <v>65</v>
      </c>
      <c r="D1530" s="26" t="s">
        <v>84</v>
      </c>
      <c r="E1530" s="26" t="s">
        <v>236</v>
      </c>
      <c r="F1530" s="26" t="s">
        <v>1043</v>
      </c>
      <c r="G1530" s="27">
        <f t="shared" ref="G1530" si="1048">J1530</f>
        <v>1000000</v>
      </c>
      <c r="H1530" s="27">
        <f>L1530</f>
        <v>765000</v>
      </c>
      <c r="I1530" s="27">
        <f>N1530</f>
        <v>765000</v>
      </c>
      <c r="J1530" s="16">
        <f>'БА в тыс. руб.'!G1530*1000</f>
        <v>1000000</v>
      </c>
      <c r="K1530" s="169">
        <f t="shared" si="1015"/>
        <v>0</v>
      </c>
      <c r="L1530" s="16">
        <f>'БА в тыс. руб.'!H1530*1000</f>
        <v>765000</v>
      </c>
      <c r="M1530" s="169">
        <f t="shared" si="1016"/>
        <v>0</v>
      </c>
      <c r="N1530" s="16">
        <f>'БА в тыс. руб.'!I1530*1000</f>
        <v>765000</v>
      </c>
      <c r="O1530" s="169">
        <f t="shared" si="1017"/>
        <v>0</v>
      </c>
    </row>
    <row r="1531" spans="1:15" s="3" customFormat="1" ht="25.5">
      <c r="A1531" s="150" t="s">
        <v>195</v>
      </c>
      <c r="B1531" s="25" t="s">
        <v>16</v>
      </c>
      <c r="C1531" s="26" t="s">
        <v>65</v>
      </c>
      <c r="D1531" s="26" t="s">
        <v>84</v>
      </c>
      <c r="E1531" s="26" t="s">
        <v>572</v>
      </c>
      <c r="F1531" s="26" t="s">
        <v>58</v>
      </c>
      <c r="G1531" s="27">
        <f>G1532+G1546</f>
        <v>51002390</v>
      </c>
      <c r="H1531" s="27">
        <f>H1532+H1546</f>
        <v>51015950</v>
      </c>
      <c r="I1531" s="27">
        <f>I1532+I1546</f>
        <v>51015950</v>
      </c>
      <c r="J1531" s="16">
        <f>'БА в тыс. руб.'!G1531*1000</f>
        <v>51002389.999999993</v>
      </c>
      <c r="K1531" s="169">
        <f t="shared" si="1015"/>
        <v>0</v>
      </c>
      <c r="L1531" s="16">
        <f>'БА в тыс. руб.'!H1531*1000</f>
        <v>51015950</v>
      </c>
      <c r="M1531" s="169">
        <f t="shared" si="1016"/>
        <v>0</v>
      </c>
      <c r="N1531" s="16">
        <f>'БА в тыс. руб.'!I1531*1000</f>
        <v>51015950</v>
      </c>
      <c r="O1531" s="169">
        <f t="shared" si="1017"/>
        <v>0</v>
      </c>
    </row>
    <row r="1532" spans="1:15" s="3" customFormat="1" ht="25.5">
      <c r="A1532" s="151" t="s">
        <v>580</v>
      </c>
      <c r="B1532" s="25" t="s">
        <v>16</v>
      </c>
      <c r="C1532" s="26" t="s">
        <v>65</v>
      </c>
      <c r="D1532" s="26" t="s">
        <v>84</v>
      </c>
      <c r="E1532" s="26" t="s">
        <v>573</v>
      </c>
      <c r="F1532" s="26" t="s">
        <v>58</v>
      </c>
      <c r="G1532" s="27">
        <f>G1533+G1542</f>
        <v>46902390</v>
      </c>
      <c r="H1532" s="27">
        <f>H1533+H1542</f>
        <v>46915950</v>
      </c>
      <c r="I1532" s="27">
        <f>I1533+I1542</f>
        <v>46915950</v>
      </c>
      <c r="J1532" s="16">
        <f>'БА в тыс. руб.'!G1532*1000</f>
        <v>46902389.999999993</v>
      </c>
      <c r="K1532" s="169">
        <f t="shared" si="1015"/>
        <v>0</v>
      </c>
      <c r="L1532" s="16">
        <f>'БА в тыс. руб.'!H1532*1000</f>
        <v>46915950</v>
      </c>
      <c r="M1532" s="169">
        <f t="shared" si="1016"/>
        <v>0</v>
      </c>
      <c r="N1532" s="16">
        <f>'БА в тыс. руб.'!I1532*1000</f>
        <v>46915950</v>
      </c>
      <c r="O1532" s="169">
        <f t="shared" si="1017"/>
        <v>0</v>
      </c>
    </row>
    <row r="1533" spans="1:15" s="3" customFormat="1" ht="25.5">
      <c r="A1533" s="150" t="s">
        <v>114</v>
      </c>
      <c r="B1533" s="25" t="s">
        <v>16</v>
      </c>
      <c r="C1533" s="26" t="s">
        <v>65</v>
      </c>
      <c r="D1533" s="26" t="s">
        <v>84</v>
      </c>
      <c r="E1533" s="26" t="s">
        <v>574</v>
      </c>
      <c r="F1533" s="26" t="s">
        <v>58</v>
      </c>
      <c r="G1533" s="27">
        <f>G1534+G1537+G1539</f>
        <v>4071019.9999999995</v>
      </c>
      <c r="H1533" s="27">
        <f t="shared" ref="H1533:I1533" si="1049">H1534+H1537+H1539</f>
        <v>4084580</v>
      </c>
      <c r="I1533" s="27">
        <f t="shared" si="1049"/>
        <v>4084580</v>
      </c>
      <c r="J1533" s="16">
        <f>'БА в тыс. руб.'!G1533*1000</f>
        <v>4071019.9999999995</v>
      </c>
      <c r="K1533" s="169">
        <f t="shared" si="1015"/>
        <v>0</v>
      </c>
      <c r="L1533" s="16">
        <f>'БА в тыс. руб.'!H1533*1000</f>
        <v>4084580</v>
      </c>
      <c r="M1533" s="169">
        <f t="shared" si="1016"/>
        <v>0</v>
      </c>
      <c r="N1533" s="16">
        <f>'БА в тыс. руб.'!I1533*1000</f>
        <v>4084580</v>
      </c>
      <c r="O1533" s="169">
        <f t="shared" si="1017"/>
        <v>0</v>
      </c>
    </row>
    <row r="1534" spans="1:15" s="3" customFormat="1" ht="25.5">
      <c r="A1534" s="13" t="s">
        <v>107</v>
      </c>
      <c r="B1534" s="25" t="s">
        <v>16</v>
      </c>
      <c r="C1534" s="26" t="s">
        <v>65</v>
      </c>
      <c r="D1534" s="26" t="s">
        <v>84</v>
      </c>
      <c r="E1534" s="26" t="s">
        <v>574</v>
      </c>
      <c r="F1534" s="26" t="s">
        <v>115</v>
      </c>
      <c r="G1534" s="27">
        <f>SUM(G1535:G1536)</f>
        <v>994430</v>
      </c>
      <c r="H1534" s="27">
        <f t="shared" ref="H1534:I1534" si="1050">SUM(H1535:H1536)</f>
        <v>994430</v>
      </c>
      <c r="I1534" s="27">
        <f t="shared" si="1050"/>
        <v>994430</v>
      </c>
      <c r="J1534" s="16">
        <f>'БА в тыс. руб.'!G1534*1000</f>
        <v>994430</v>
      </c>
      <c r="K1534" s="169">
        <f t="shared" si="1015"/>
        <v>0</v>
      </c>
      <c r="L1534" s="16">
        <f>'БА в тыс. руб.'!H1534*1000</f>
        <v>994430</v>
      </c>
      <c r="M1534" s="169">
        <f t="shared" si="1016"/>
        <v>0</v>
      </c>
      <c r="N1534" s="16">
        <f>'БА в тыс. руб.'!I1534*1000</f>
        <v>994430</v>
      </c>
      <c r="O1534" s="169">
        <f t="shared" si="1017"/>
        <v>0</v>
      </c>
    </row>
    <row r="1535" spans="1:15" s="3" customFormat="1" ht="25.5">
      <c r="A1535" s="11" t="s">
        <v>937</v>
      </c>
      <c r="B1535" s="25" t="s">
        <v>16</v>
      </c>
      <c r="C1535" s="26" t="s">
        <v>65</v>
      </c>
      <c r="D1535" s="26" t="s">
        <v>84</v>
      </c>
      <c r="E1535" s="26" t="s">
        <v>574</v>
      </c>
      <c r="F1535" s="26" t="s">
        <v>1059</v>
      </c>
      <c r="G1535" s="27">
        <f t="shared" ref="G1535:G1536" si="1051">J1535</f>
        <v>763770</v>
      </c>
      <c r="H1535" s="27">
        <f t="shared" ref="H1535:H1536" si="1052">L1535</f>
        <v>763770</v>
      </c>
      <c r="I1535" s="27">
        <f t="shared" ref="I1535:I1536" si="1053">N1535</f>
        <v>763770</v>
      </c>
      <c r="J1535" s="16">
        <f>'БА в тыс. руб.'!G1535*1000</f>
        <v>763770</v>
      </c>
      <c r="K1535" s="169">
        <f t="shared" si="1015"/>
        <v>0</v>
      </c>
      <c r="L1535" s="16">
        <f>'БА в тыс. руб.'!H1535*1000</f>
        <v>763770</v>
      </c>
      <c r="M1535" s="169">
        <f t="shared" si="1016"/>
        <v>0</v>
      </c>
      <c r="N1535" s="16">
        <f>'БА в тыс. руб.'!I1535*1000</f>
        <v>763770</v>
      </c>
      <c r="O1535" s="169">
        <f t="shared" si="1017"/>
        <v>0</v>
      </c>
    </row>
    <row r="1536" spans="1:15" s="3" customFormat="1" ht="38.25">
      <c r="A1536" s="11" t="s">
        <v>939</v>
      </c>
      <c r="B1536" s="25" t="s">
        <v>16</v>
      </c>
      <c r="C1536" s="26" t="s">
        <v>65</v>
      </c>
      <c r="D1536" s="26" t="s">
        <v>84</v>
      </c>
      <c r="E1536" s="26" t="s">
        <v>574</v>
      </c>
      <c r="F1536" s="26" t="s">
        <v>1060</v>
      </c>
      <c r="G1536" s="27">
        <f t="shared" si="1051"/>
        <v>230660</v>
      </c>
      <c r="H1536" s="27">
        <f t="shared" si="1052"/>
        <v>230660</v>
      </c>
      <c r="I1536" s="27">
        <f t="shared" si="1053"/>
        <v>230660</v>
      </c>
      <c r="J1536" s="16">
        <f>'БА в тыс. руб.'!G1536*1000</f>
        <v>230660</v>
      </c>
      <c r="K1536" s="169">
        <f t="shared" si="1015"/>
        <v>0</v>
      </c>
      <c r="L1536" s="16">
        <f>'БА в тыс. руб.'!H1536*1000</f>
        <v>230660</v>
      </c>
      <c r="M1536" s="169">
        <f t="shared" si="1016"/>
        <v>0</v>
      </c>
      <c r="N1536" s="16">
        <f>'БА в тыс. руб.'!I1536*1000</f>
        <v>230660</v>
      </c>
      <c r="O1536" s="169">
        <f t="shared" si="1017"/>
        <v>0</v>
      </c>
    </row>
    <row r="1537" spans="1:15" s="3" customFormat="1" ht="25.5">
      <c r="A1537" s="13" t="s">
        <v>108</v>
      </c>
      <c r="B1537" s="25" t="s">
        <v>16</v>
      </c>
      <c r="C1537" s="26" t="s">
        <v>65</v>
      </c>
      <c r="D1537" s="26" t="s">
        <v>84</v>
      </c>
      <c r="E1537" s="26" t="s">
        <v>574</v>
      </c>
      <c r="F1537" s="26" t="s">
        <v>116</v>
      </c>
      <c r="G1537" s="27">
        <f>G1538</f>
        <v>2829939.9999999995</v>
      </c>
      <c r="H1537" s="27">
        <f t="shared" ref="H1537:I1537" si="1054">H1538</f>
        <v>2843500</v>
      </c>
      <c r="I1537" s="27">
        <f t="shared" si="1054"/>
        <v>2843500</v>
      </c>
      <c r="J1537" s="16">
        <f>'БА в тыс. руб.'!G1537*1000</f>
        <v>2829939.9999999995</v>
      </c>
      <c r="K1537" s="169">
        <f t="shared" si="1015"/>
        <v>0</v>
      </c>
      <c r="L1537" s="16">
        <f>'БА в тыс. руб.'!H1537*1000</f>
        <v>2843500</v>
      </c>
      <c r="M1537" s="169">
        <f t="shared" si="1016"/>
        <v>0</v>
      </c>
      <c r="N1537" s="16">
        <f>'БА в тыс. руб.'!I1537*1000</f>
        <v>2843500</v>
      </c>
      <c r="O1537" s="169">
        <f t="shared" si="1017"/>
        <v>0</v>
      </c>
    </row>
    <row r="1538" spans="1:15" s="94" customFormat="1" ht="25.5">
      <c r="A1538" s="12" t="s">
        <v>973</v>
      </c>
      <c r="B1538" s="25" t="s">
        <v>16</v>
      </c>
      <c r="C1538" s="26" t="s">
        <v>65</v>
      </c>
      <c r="D1538" s="26" t="s">
        <v>84</v>
      </c>
      <c r="E1538" s="26" t="s">
        <v>574</v>
      </c>
      <c r="F1538" s="26" t="s">
        <v>1043</v>
      </c>
      <c r="G1538" s="27">
        <f t="shared" ref="G1538" si="1055">J1538</f>
        <v>2829939.9999999995</v>
      </c>
      <c r="H1538" s="27">
        <f>L1538</f>
        <v>2843500</v>
      </c>
      <c r="I1538" s="27">
        <f>N1538</f>
        <v>2843500</v>
      </c>
      <c r="J1538" s="16">
        <f>'БА в тыс. руб.'!G1538*1000</f>
        <v>2829939.9999999995</v>
      </c>
      <c r="K1538" s="169">
        <f t="shared" si="1015"/>
        <v>0</v>
      </c>
      <c r="L1538" s="16">
        <f>'БА в тыс. руб.'!H1538*1000</f>
        <v>2843500</v>
      </c>
      <c r="M1538" s="169">
        <f t="shared" si="1016"/>
        <v>0</v>
      </c>
      <c r="N1538" s="16">
        <f>'БА в тыс. руб.'!I1538*1000</f>
        <v>2843500</v>
      </c>
      <c r="O1538" s="169">
        <f t="shared" si="1017"/>
        <v>0</v>
      </c>
    </row>
    <row r="1539" spans="1:15" s="3" customFormat="1">
      <c r="A1539" s="13" t="s">
        <v>97</v>
      </c>
      <c r="B1539" s="25" t="s">
        <v>16</v>
      </c>
      <c r="C1539" s="26" t="s">
        <v>65</v>
      </c>
      <c r="D1539" s="26" t="s">
        <v>84</v>
      </c>
      <c r="E1539" s="26" t="s">
        <v>574</v>
      </c>
      <c r="F1539" s="26" t="s">
        <v>118</v>
      </c>
      <c r="G1539" s="27">
        <f>SUM(G1540:G1541)</f>
        <v>246650</v>
      </c>
      <c r="H1539" s="27">
        <f t="shared" ref="H1539:I1539" si="1056">SUM(H1540:H1541)</f>
        <v>246650</v>
      </c>
      <c r="I1539" s="27">
        <f t="shared" si="1056"/>
        <v>246650</v>
      </c>
      <c r="J1539" s="16">
        <f>'БА в тыс. руб.'!G1539*1000</f>
        <v>246650</v>
      </c>
      <c r="K1539" s="169">
        <f t="shared" si="1015"/>
        <v>0</v>
      </c>
      <c r="L1539" s="16">
        <f>'БА в тыс. руб.'!H1539*1000</f>
        <v>246650</v>
      </c>
      <c r="M1539" s="169">
        <f t="shared" si="1016"/>
        <v>0</v>
      </c>
      <c r="N1539" s="16">
        <f>'БА в тыс. руб.'!I1539*1000</f>
        <v>246650</v>
      </c>
      <c r="O1539" s="169">
        <f t="shared" si="1017"/>
        <v>0</v>
      </c>
    </row>
    <row r="1540" spans="1:15" s="3" customFormat="1">
      <c r="A1540" s="11" t="s">
        <v>1036</v>
      </c>
      <c r="B1540" s="25" t="s">
        <v>16</v>
      </c>
      <c r="C1540" s="26" t="s">
        <v>65</v>
      </c>
      <c r="D1540" s="26" t="s">
        <v>84</v>
      </c>
      <c r="E1540" s="26" t="s">
        <v>574</v>
      </c>
      <c r="F1540" s="26" t="s">
        <v>1061</v>
      </c>
      <c r="G1540" s="27">
        <f t="shared" ref="G1540:G1541" si="1057">J1540</f>
        <v>226350</v>
      </c>
      <c r="H1540" s="27">
        <f t="shared" ref="H1540:H1541" si="1058">L1540</f>
        <v>226350</v>
      </c>
      <c r="I1540" s="27">
        <f t="shared" ref="I1540:I1541" si="1059">N1540</f>
        <v>226350</v>
      </c>
      <c r="J1540" s="16">
        <f>'БА в тыс. руб.'!G1540*1000</f>
        <v>226350</v>
      </c>
      <c r="K1540" s="169">
        <f t="shared" si="1015"/>
        <v>0</v>
      </c>
      <c r="L1540" s="16">
        <f>'БА в тыс. руб.'!H1540*1000</f>
        <v>226350</v>
      </c>
      <c r="M1540" s="169">
        <f t="shared" si="1016"/>
        <v>0</v>
      </c>
      <c r="N1540" s="16">
        <f>'БА в тыс. руб.'!I1540*1000</f>
        <v>226350</v>
      </c>
      <c r="O1540" s="169">
        <f t="shared" si="1017"/>
        <v>0</v>
      </c>
    </row>
    <row r="1541" spans="1:15" s="3" customFormat="1">
      <c r="A1541" s="11" t="s">
        <v>1037</v>
      </c>
      <c r="B1541" s="25" t="s">
        <v>16</v>
      </c>
      <c r="C1541" s="26" t="s">
        <v>65</v>
      </c>
      <c r="D1541" s="26" t="s">
        <v>84</v>
      </c>
      <c r="E1541" s="26" t="s">
        <v>574</v>
      </c>
      <c r="F1541" s="26" t="s">
        <v>1062</v>
      </c>
      <c r="G1541" s="27">
        <f t="shared" si="1057"/>
        <v>20300</v>
      </c>
      <c r="H1541" s="27">
        <f t="shared" si="1058"/>
        <v>20300</v>
      </c>
      <c r="I1541" s="27">
        <f t="shared" si="1059"/>
        <v>20300</v>
      </c>
      <c r="J1541" s="16">
        <f>'БА в тыс. руб.'!G1541*1000</f>
        <v>20300</v>
      </c>
      <c r="K1541" s="169">
        <f t="shared" si="1015"/>
        <v>0</v>
      </c>
      <c r="L1541" s="16">
        <f>'БА в тыс. руб.'!H1541*1000</f>
        <v>20300</v>
      </c>
      <c r="M1541" s="169">
        <f t="shared" si="1016"/>
        <v>0</v>
      </c>
      <c r="N1541" s="16">
        <f>'БА в тыс. руб.'!I1541*1000</f>
        <v>20300</v>
      </c>
      <c r="O1541" s="169">
        <f t="shared" si="1017"/>
        <v>0</v>
      </c>
    </row>
    <row r="1542" spans="1:15" s="3" customFormat="1" ht="25.5">
      <c r="A1542" s="13" t="s">
        <v>126</v>
      </c>
      <c r="B1542" s="25" t="s">
        <v>16</v>
      </c>
      <c r="C1542" s="26" t="s">
        <v>65</v>
      </c>
      <c r="D1542" s="26" t="s">
        <v>84</v>
      </c>
      <c r="E1542" s="26" t="s">
        <v>575</v>
      </c>
      <c r="F1542" s="26" t="s">
        <v>58</v>
      </c>
      <c r="G1542" s="27">
        <f>G1543</f>
        <v>42831370</v>
      </c>
      <c r="H1542" s="27">
        <f>H1543</f>
        <v>42831370</v>
      </c>
      <c r="I1542" s="27">
        <f>I1543</f>
        <v>42831370</v>
      </c>
      <c r="J1542" s="16">
        <f>'БА в тыс. руб.'!G1542*1000</f>
        <v>42831369.999999993</v>
      </c>
      <c r="K1542" s="169">
        <f t="shared" si="1015"/>
        <v>0</v>
      </c>
      <c r="L1542" s="16">
        <f>'БА в тыс. руб.'!H1542*1000</f>
        <v>42831369.999999993</v>
      </c>
      <c r="M1542" s="169">
        <f t="shared" si="1016"/>
        <v>0</v>
      </c>
      <c r="N1542" s="16">
        <f>'БА в тыс. руб.'!I1542*1000</f>
        <v>42831369.999999993</v>
      </c>
      <c r="O1542" s="169">
        <f t="shared" si="1017"/>
        <v>0</v>
      </c>
    </row>
    <row r="1543" spans="1:15" s="3" customFormat="1" ht="25.5">
      <c r="A1543" s="13" t="s">
        <v>107</v>
      </c>
      <c r="B1543" s="25" t="s">
        <v>16</v>
      </c>
      <c r="C1543" s="26" t="s">
        <v>65</v>
      </c>
      <c r="D1543" s="26" t="s">
        <v>84</v>
      </c>
      <c r="E1543" s="26" t="s">
        <v>575</v>
      </c>
      <c r="F1543" s="26" t="s">
        <v>115</v>
      </c>
      <c r="G1543" s="27">
        <f>SUM(G1544:G1545)</f>
        <v>42831370</v>
      </c>
      <c r="H1543" s="27">
        <f t="shared" ref="H1543:I1543" si="1060">SUM(H1544:H1545)</f>
        <v>42831370</v>
      </c>
      <c r="I1543" s="27">
        <f t="shared" si="1060"/>
        <v>42831370</v>
      </c>
      <c r="J1543" s="16">
        <f>'БА в тыс. руб.'!G1543*1000</f>
        <v>42831369.999999993</v>
      </c>
      <c r="K1543" s="169">
        <f t="shared" si="1015"/>
        <v>0</v>
      </c>
      <c r="L1543" s="16">
        <f>'БА в тыс. руб.'!H1543*1000</f>
        <v>42831369.999999993</v>
      </c>
      <c r="M1543" s="169">
        <f t="shared" si="1016"/>
        <v>0</v>
      </c>
      <c r="N1543" s="16">
        <f>'БА в тыс. руб.'!I1543*1000</f>
        <v>42831369.999999993</v>
      </c>
      <c r="O1543" s="169">
        <f t="shared" si="1017"/>
        <v>0</v>
      </c>
    </row>
    <row r="1544" spans="1:15" s="3" customFormat="1">
      <c r="A1544" s="11" t="s">
        <v>936</v>
      </c>
      <c r="B1544" s="25" t="s">
        <v>16</v>
      </c>
      <c r="C1544" s="26" t="s">
        <v>65</v>
      </c>
      <c r="D1544" s="26" t="s">
        <v>84</v>
      </c>
      <c r="E1544" s="26" t="s">
        <v>575</v>
      </c>
      <c r="F1544" s="26" t="s">
        <v>1063</v>
      </c>
      <c r="G1544" s="27">
        <f t="shared" ref="G1544:G1545" si="1061">J1544</f>
        <v>32896600</v>
      </c>
      <c r="H1544" s="27">
        <f t="shared" ref="H1544:H1545" si="1062">L1544</f>
        <v>32896600</v>
      </c>
      <c r="I1544" s="27">
        <f t="shared" ref="I1544:I1545" si="1063">N1544</f>
        <v>32896600</v>
      </c>
      <c r="J1544" s="16">
        <f>'БА в тыс. руб.'!G1544*1000</f>
        <v>32896600</v>
      </c>
      <c r="K1544" s="169">
        <f t="shared" si="1015"/>
        <v>0</v>
      </c>
      <c r="L1544" s="16">
        <f>'БА в тыс. руб.'!H1544*1000</f>
        <v>32896600</v>
      </c>
      <c r="M1544" s="169">
        <f t="shared" si="1016"/>
        <v>0</v>
      </c>
      <c r="N1544" s="16">
        <f>'БА в тыс. руб.'!I1544*1000</f>
        <v>32896600</v>
      </c>
      <c r="O1544" s="169">
        <f t="shared" si="1017"/>
        <v>0</v>
      </c>
    </row>
    <row r="1545" spans="1:15" s="3" customFormat="1" ht="38.25">
      <c r="A1545" s="11" t="s">
        <v>939</v>
      </c>
      <c r="B1545" s="25" t="s">
        <v>16</v>
      </c>
      <c r="C1545" s="26" t="s">
        <v>65</v>
      </c>
      <c r="D1545" s="26" t="s">
        <v>84</v>
      </c>
      <c r="E1545" s="26" t="s">
        <v>575</v>
      </c>
      <c r="F1545" s="26" t="s">
        <v>1060</v>
      </c>
      <c r="G1545" s="27">
        <f t="shared" si="1061"/>
        <v>9934770</v>
      </c>
      <c r="H1545" s="27">
        <f t="shared" si="1062"/>
        <v>9934770</v>
      </c>
      <c r="I1545" s="27">
        <f t="shared" si="1063"/>
        <v>9934770</v>
      </c>
      <c r="J1545" s="16">
        <f>'БА в тыс. руб.'!G1545*1000</f>
        <v>9934770</v>
      </c>
      <c r="K1545" s="169">
        <f t="shared" si="1015"/>
        <v>0</v>
      </c>
      <c r="L1545" s="16">
        <f>'БА в тыс. руб.'!H1545*1000</f>
        <v>9934770</v>
      </c>
      <c r="M1545" s="169">
        <f t="shared" si="1016"/>
        <v>0</v>
      </c>
      <c r="N1545" s="16">
        <f>'БА в тыс. руб.'!I1545*1000</f>
        <v>9934770</v>
      </c>
      <c r="O1545" s="169">
        <f t="shared" si="1017"/>
        <v>0</v>
      </c>
    </row>
    <row r="1546" spans="1:15" s="3" customFormat="1">
      <c r="A1546" s="151" t="s">
        <v>175</v>
      </c>
      <c r="B1546" s="25" t="s">
        <v>16</v>
      </c>
      <c r="C1546" s="26" t="s">
        <v>65</v>
      </c>
      <c r="D1546" s="26" t="s">
        <v>84</v>
      </c>
      <c r="E1546" s="26" t="s">
        <v>576</v>
      </c>
      <c r="F1546" s="26" t="s">
        <v>58</v>
      </c>
      <c r="G1546" s="27">
        <f>G1550+G1547</f>
        <v>4100000</v>
      </c>
      <c r="H1546" s="27">
        <f t="shared" ref="H1546:I1546" si="1064">H1550+H1547</f>
        <v>4100000</v>
      </c>
      <c r="I1546" s="27">
        <f t="shared" si="1064"/>
        <v>4100000</v>
      </c>
      <c r="J1546" s="16">
        <f>'БА в тыс. руб.'!G1546*1000</f>
        <v>4100000</v>
      </c>
      <c r="K1546" s="169">
        <f t="shared" si="1015"/>
        <v>0</v>
      </c>
      <c r="L1546" s="16">
        <f>'БА в тыс. руб.'!H1546*1000</f>
        <v>4100000</v>
      </c>
      <c r="M1546" s="169">
        <f t="shared" si="1016"/>
        <v>0</v>
      </c>
      <c r="N1546" s="16">
        <f>'БА в тыс. руб.'!I1546*1000</f>
        <v>4100000</v>
      </c>
      <c r="O1546" s="169">
        <f t="shared" si="1017"/>
        <v>0</v>
      </c>
    </row>
    <row r="1547" spans="1:15" s="3" customFormat="1" ht="38.25">
      <c r="A1547" s="150" t="s">
        <v>176</v>
      </c>
      <c r="B1547" s="25" t="s">
        <v>16</v>
      </c>
      <c r="C1547" s="26" t="s">
        <v>65</v>
      </c>
      <c r="D1547" s="26" t="s">
        <v>84</v>
      </c>
      <c r="E1547" s="26" t="s">
        <v>835</v>
      </c>
      <c r="F1547" s="26" t="s">
        <v>58</v>
      </c>
      <c r="G1547" s="27">
        <f>G1548</f>
        <v>600000</v>
      </c>
      <c r="H1547" s="27">
        <f t="shared" ref="H1547:I1548" si="1065">H1548</f>
        <v>600000</v>
      </c>
      <c r="I1547" s="27">
        <f t="shared" si="1065"/>
        <v>600000</v>
      </c>
      <c r="J1547" s="16">
        <f>'БА в тыс. руб.'!G1547*1000</f>
        <v>600000</v>
      </c>
      <c r="K1547" s="169">
        <f t="shared" ref="K1547:K1610" si="1066">J1547-G1547</f>
        <v>0</v>
      </c>
      <c r="L1547" s="16">
        <f>'БА в тыс. руб.'!H1547*1000</f>
        <v>600000</v>
      </c>
      <c r="M1547" s="169">
        <f t="shared" ref="M1547:M1610" si="1067">L1547-H1547</f>
        <v>0</v>
      </c>
      <c r="N1547" s="16">
        <f>'БА в тыс. руб.'!I1547*1000</f>
        <v>600000</v>
      </c>
      <c r="O1547" s="169">
        <f t="shared" ref="O1547:O1610" si="1068">N1547-I1547</f>
        <v>0</v>
      </c>
    </row>
    <row r="1548" spans="1:15" s="3" customFormat="1" ht="25.5">
      <c r="A1548" s="11" t="s">
        <v>108</v>
      </c>
      <c r="B1548" s="25" t="s">
        <v>16</v>
      </c>
      <c r="C1548" s="26" t="s">
        <v>65</v>
      </c>
      <c r="D1548" s="26" t="s">
        <v>84</v>
      </c>
      <c r="E1548" s="26" t="s">
        <v>835</v>
      </c>
      <c r="F1548" s="26" t="s">
        <v>116</v>
      </c>
      <c r="G1548" s="27">
        <f>G1549</f>
        <v>600000</v>
      </c>
      <c r="H1548" s="27">
        <f t="shared" si="1065"/>
        <v>600000</v>
      </c>
      <c r="I1548" s="27">
        <f t="shared" si="1065"/>
        <v>600000</v>
      </c>
      <c r="J1548" s="16">
        <f>'БА в тыс. руб.'!G1548*1000</f>
        <v>600000</v>
      </c>
      <c r="K1548" s="169">
        <f t="shared" si="1066"/>
        <v>0</v>
      </c>
      <c r="L1548" s="16">
        <f>'БА в тыс. руб.'!H1548*1000</f>
        <v>600000</v>
      </c>
      <c r="M1548" s="169">
        <f t="shared" si="1067"/>
        <v>0</v>
      </c>
      <c r="N1548" s="16">
        <f>'БА в тыс. руб.'!I1548*1000</f>
        <v>600000</v>
      </c>
      <c r="O1548" s="169">
        <f t="shared" si="1068"/>
        <v>0</v>
      </c>
    </row>
    <row r="1549" spans="1:15" s="4" customFormat="1" ht="25.5">
      <c r="A1549" s="12" t="s">
        <v>973</v>
      </c>
      <c r="B1549" s="25" t="s">
        <v>16</v>
      </c>
      <c r="C1549" s="26" t="s">
        <v>65</v>
      </c>
      <c r="D1549" s="26" t="s">
        <v>84</v>
      </c>
      <c r="E1549" s="26" t="s">
        <v>835</v>
      </c>
      <c r="F1549" s="26" t="s">
        <v>1043</v>
      </c>
      <c r="G1549" s="27">
        <f t="shared" ref="G1549" si="1069">J1549</f>
        <v>600000</v>
      </c>
      <c r="H1549" s="27">
        <f>L1549</f>
        <v>600000</v>
      </c>
      <c r="I1549" s="27">
        <f>N1549</f>
        <v>600000</v>
      </c>
      <c r="J1549" s="16">
        <f>'БА в тыс. руб.'!G1549*1000</f>
        <v>600000</v>
      </c>
      <c r="K1549" s="169">
        <f t="shared" si="1066"/>
        <v>0</v>
      </c>
      <c r="L1549" s="16">
        <f>'БА в тыс. руб.'!H1549*1000</f>
        <v>600000</v>
      </c>
      <c r="M1549" s="169">
        <f t="shared" si="1067"/>
        <v>0</v>
      </c>
      <c r="N1549" s="16">
        <f>'БА в тыс. руб.'!I1549*1000</f>
        <v>600000</v>
      </c>
      <c r="O1549" s="169">
        <f t="shared" si="1068"/>
        <v>0</v>
      </c>
    </row>
    <row r="1550" spans="1:15" s="3" customFormat="1" ht="25.5">
      <c r="A1550" s="13" t="s">
        <v>899</v>
      </c>
      <c r="B1550" s="25" t="s">
        <v>16</v>
      </c>
      <c r="C1550" s="26" t="s">
        <v>65</v>
      </c>
      <c r="D1550" s="26" t="s">
        <v>84</v>
      </c>
      <c r="E1550" s="26" t="s">
        <v>577</v>
      </c>
      <c r="F1550" s="26" t="s">
        <v>58</v>
      </c>
      <c r="G1550" s="27">
        <f t="shared" ref="G1550:I1551" si="1070">G1551</f>
        <v>3500000</v>
      </c>
      <c r="H1550" s="27">
        <f t="shared" si="1070"/>
        <v>3500000</v>
      </c>
      <c r="I1550" s="27">
        <f t="shared" si="1070"/>
        <v>3500000</v>
      </c>
      <c r="J1550" s="16">
        <f>'БА в тыс. руб.'!G1550*1000</f>
        <v>3500000</v>
      </c>
      <c r="K1550" s="169">
        <f t="shared" si="1066"/>
        <v>0</v>
      </c>
      <c r="L1550" s="16">
        <f>'БА в тыс. руб.'!H1550*1000</f>
        <v>3500000</v>
      </c>
      <c r="M1550" s="169">
        <f t="shared" si="1067"/>
        <v>0</v>
      </c>
      <c r="N1550" s="16">
        <f>'БА в тыс. руб.'!I1550*1000</f>
        <v>3500000</v>
      </c>
      <c r="O1550" s="169">
        <f t="shared" si="1068"/>
        <v>0</v>
      </c>
    </row>
    <row r="1551" spans="1:15" s="3" customFormat="1" ht="25.5">
      <c r="A1551" s="11" t="s">
        <v>108</v>
      </c>
      <c r="B1551" s="25" t="s">
        <v>16</v>
      </c>
      <c r="C1551" s="26" t="s">
        <v>65</v>
      </c>
      <c r="D1551" s="26" t="s">
        <v>84</v>
      </c>
      <c r="E1551" s="26" t="s">
        <v>577</v>
      </c>
      <c r="F1551" s="26" t="s">
        <v>116</v>
      </c>
      <c r="G1551" s="27">
        <f>G1552</f>
        <v>3500000</v>
      </c>
      <c r="H1551" s="27">
        <f t="shared" si="1070"/>
        <v>3500000</v>
      </c>
      <c r="I1551" s="27">
        <f t="shared" si="1070"/>
        <v>3500000</v>
      </c>
      <c r="J1551" s="16">
        <f>'БА в тыс. руб.'!G1551*1000</f>
        <v>3500000</v>
      </c>
      <c r="K1551" s="169">
        <f t="shared" si="1066"/>
        <v>0</v>
      </c>
      <c r="L1551" s="16">
        <f>'БА в тыс. руб.'!H1551*1000</f>
        <v>3500000</v>
      </c>
      <c r="M1551" s="169">
        <f t="shared" si="1067"/>
        <v>0</v>
      </c>
      <c r="N1551" s="16">
        <f>'БА в тыс. руб.'!I1551*1000</f>
        <v>3500000</v>
      </c>
      <c r="O1551" s="169">
        <f t="shared" si="1068"/>
        <v>0</v>
      </c>
    </row>
    <row r="1552" spans="1:15" s="4" customFormat="1" ht="25.5">
      <c r="A1552" s="12" t="s">
        <v>973</v>
      </c>
      <c r="B1552" s="25" t="s">
        <v>16</v>
      </c>
      <c r="C1552" s="26" t="s">
        <v>65</v>
      </c>
      <c r="D1552" s="26" t="s">
        <v>84</v>
      </c>
      <c r="E1552" s="26" t="s">
        <v>577</v>
      </c>
      <c r="F1552" s="26" t="s">
        <v>1043</v>
      </c>
      <c r="G1552" s="27">
        <f t="shared" ref="G1552" si="1071">J1552</f>
        <v>3500000</v>
      </c>
      <c r="H1552" s="27">
        <f>L1552</f>
        <v>3500000</v>
      </c>
      <c r="I1552" s="27">
        <f>N1552</f>
        <v>3500000</v>
      </c>
      <c r="J1552" s="16">
        <f>'БА в тыс. руб.'!G1552*1000</f>
        <v>3500000</v>
      </c>
      <c r="K1552" s="169">
        <f t="shared" si="1066"/>
        <v>0</v>
      </c>
      <c r="L1552" s="16">
        <f>'БА в тыс. руб.'!H1552*1000</f>
        <v>3500000</v>
      </c>
      <c r="M1552" s="169">
        <f t="shared" si="1067"/>
        <v>0</v>
      </c>
      <c r="N1552" s="16">
        <f>'БА в тыс. руб.'!I1552*1000</f>
        <v>3500000</v>
      </c>
      <c r="O1552" s="169">
        <f t="shared" si="1068"/>
        <v>0</v>
      </c>
    </row>
    <row r="1553" spans="1:15" s="3" customFormat="1">
      <c r="A1553" s="17" t="s">
        <v>35</v>
      </c>
      <c r="B1553" s="18" t="s">
        <v>16</v>
      </c>
      <c r="C1553" s="19" t="s">
        <v>37</v>
      </c>
      <c r="D1553" s="19" t="s">
        <v>51</v>
      </c>
      <c r="E1553" s="19" t="s">
        <v>196</v>
      </c>
      <c r="F1553" s="19" t="s">
        <v>58</v>
      </c>
      <c r="G1553" s="20">
        <f>G1554</f>
        <v>6503000</v>
      </c>
      <c r="H1553" s="20">
        <f>H1554</f>
        <v>9588300</v>
      </c>
      <c r="I1553" s="20">
        <f>I1554</f>
        <v>9588300</v>
      </c>
      <c r="J1553" s="16">
        <f>'БА в тыс. руб.'!G1553*1000</f>
        <v>6503000</v>
      </c>
      <c r="K1553" s="169">
        <f t="shared" si="1066"/>
        <v>0</v>
      </c>
      <c r="L1553" s="16">
        <f>'БА в тыс. руб.'!H1553*1000</f>
        <v>9588300</v>
      </c>
      <c r="M1553" s="169">
        <f t="shared" si="1067"/>
        <v>0</v>
      </c>
      <c r="N1553" s="16">
        <f>'БА в тыс. руб.'!I1553*1000</f>
        <v>9588300</v>
      </c>
      <c r="O1553" s="169">
        <f t="shared" si="1068"/>
        <v>0</v>
      </c>
    </row>
    <row r="1554" spans="1:15" s="3" customFormat="1">
      <c r="A1554" s="21" t="s">
        <v>73</v>
      </c>
      <c r="B1554" s="22" t="s">
        <v>16</v>
      </c>
      <c r="C1554" s="23" t="s">
        <v>37</v>
      </c>
      <c r="D1554" s="23" t="s">
        <v>40</v>
      </c>
      <c r="E1554" s="23" t="s">
        <v>196</v>
      </c>
      <c r="F1554" s="23" t="s">
        <v>58</v>
      </c>
      <c r="G1554" s="24">
        <f>G1555+G1565</f>
        <v>6503000</v>
      </c>
      <c r="H1554" s="24">
        <f>H1555+H1565</f>
        <v>9588300</v>
      </c>
      <c r="I1554" s="24">
        <f>I1555+I1565</f>
        <v>9588300</v>
      </c>
      <c r="J1554" s="16">
        <f>'БА в тыс. руб.'!G1554*1000</f>
        <v>6503000</v>
      </c>
      <c r="K1554" s="169">
        <f t="shared" si="1066"/>
        <v>0</v>
      </c>
      <c r="L1554" s="16">
        <f>'БА в тыс. руб.'!H1554*1000</f>
        <v>9588300</v>
      </c>
      <c r="M1554" s="169">
        <f t="shared" si="1067"/>
        <v>0</v>
      </c>
      <c r="N1554" s="16">
        <f>'БА в тыс. руб.'!I1554*1000</f>
        <v>9588300</v>
      </c>
      <c r="O1554" s="169">
        <f t="shared" si="1068"/>
        <v>0</v>
      </c>
    </row>
    <row r="1555" spans="1:15" s="3" customFormat="1" ht="25.5">
      <c r="A1555" s="11" t="s">
        <v>730</v>
      </c>
      <c r="B1555" s="25" t="s">
        <v>16</v>
      </c>
      <c r="C1555" s="25" t="s">
        <v>37</v>
      </c>
      <c r="D1555" s="25" t="s">
        <v>40</v>
      </c>
      <c r="E1555" s="25" t="s">
        <v>565</v>
      </c>
      <c r="F1555" s="25" t="s">
        <v>58</v>
      </c>
      <c r="G1555" s="42">
        <f>G1556</f>
        <v>6403000</v>
      </c>
      <c r="H1555" s="42">
        <f>H1556</f>
        <v>9488300</v>
      </c>
      <c r="I1555" s="42">
        <f>I1556</f>
        <v>9488300</v>
      </c>
      <c r="J1555" s="16">
        <f>'БА в тыс. руб.'!G1555*1000</f>
        <v>6403000</v>
      </c>
      <c r="K1555" s="169">
        <f t="shared" si="1066"/>
        <v>0</v>
      </c>
      <c r="L1555" s="16">
        <f>'БА в тыс. руб.'!H1555*1000</f>
        <v>9488300</v>
      </c>
      <c r="M1555" s="169">
        <f t="shared" si="1067"/>
        <v>0</v>
      </c>
      <c r="N1555" s="16">
        <f>'БА в тыс. руб.'!I1555*1000</f>
        <v>9488300</v>
      </c>
      <c r="O1555" s="169">
        <f t="shared" si="1068"/>
        <v>0</v>
      </c>
    </row>
    <row r="1556" spans="1:15" s="3" customFormat="1" ht="25.5">
      <c r="A1556" s="11" t="s">
        <v>732</v>
      </c>
      <c r="B1556" s="25" t="s">
        <v>16</v>
      </c>
      <c r="C1556" s="25" t="s">
        <v>37</v>
      </c>
      <c r="D1556" s="25" t="s">
        <v>40</v>
      </c>
      <c r="E1556" s="25" t="s">
        <v>731</v>
      </c>
      <c r="F1556" s="25" t="s">
        <v>58</v>
      </c>
      <c r="G1556" s="42">
        <f>G1557+G1561</f>
        <v>6403000</v>
      </c>
      <c r="H1556" s="42">
        <f>H1557+H1561</f>
        <v>9488300</v>
      </c>
      <c r="I1556" s="42">
        <f>I1557+I1561</f>
        <v>9488300</v>
      </c>
      <c r="J1556" s="16">
        <f>'БА в тыс. руб.'!G1556*1000</f>
        <v>6403000</v>
      </c>
      <c r="K1556" s="169">
        <f t="shared" si="1066"/>
        <v>0</v>
      </c>
      <c r="L1556" s="16">
        <f>'БА в тыс. руб.'!H1556*1000</f>
        <v>9488300</v>
      </c>
      <c r="M1556" s="169">
        <f t="shared" si="1067"/>
        <v>0</v>
      </c>
      <c r="N1556" s="16">
        <f>'БА в тыс. руб.'!I1556*1000</f>
        <v>9488300</v>
      </c>
      <c r="O1556" s="169">
        <f t="shared" si="1068"/>
        <v>0</v>
      </c>
    </row>
    <row r="1557" spans="1:15" s="3" customFormat="1" ht="51">
      <c r="A1557" s="11" t="s">
        <v>566</v>
      </c>
      <c r="B1557" s="25" t="s">
        <v>16</v>
      </c>
      <c r="C1557" s="25" t="s">
        <v>37</v>
      </c>
      <c r="D1557" s="25" t="s">
        <v>40</v>
      </c>
      <c r="E1557" s="25" t="s">
        <v>836</v>
      </c>
      <c r="F1557" s="25" t="s">
        <v>58</v>
      </c>
      <c r="G1557" s="42">
        <f t="shared" ref="G1557:I1559" si="1072">G1558</f>
        <v>403000</v>
      </c>
      <c r="H1557" s="42">
        <f t="shared" si="1072"/>
        <v>403000</v>
      </c>
      <c r="I1557" s="42">
        <f t="shared" si="1072"/>
        <v>9488300</v>
      </c>
      <c r="J1557" s="16">
        <f>'БА в тыс. руб.'!G1557*1000</f>
        <v>403000</v>
      </c>
      <c r="K1557" s="169">
        <f t="shared" si="1066"/>
        <v>0</v>
      </c>
      <c r="L1557" s="16">
        <f>'БА в тыс. руб.'!H1557*1000</f>
        <v>403000</v>
      </c>
      <c r="M1557" s="169">
        <f t="shared" si="1067"/>
        <v>0</v>
      </c>
      <c r="N1557" s="16">
        <f>'БА в тыс. руб.'!I1557*1000</f>
        <v>9488300</v>
      </c>
      <c r="O1557" s="169">
        <f t="shared" si="1068"/>
        <v>0</v>
      </c>
    </row>
    <row r="1558" spans="1:15" s="3" customFormat="1" ht="25.5">
      <c r="A1558" s="12" t="s">
        <v>915</v>
      </c>
      <c r="B1558" s="25" t="s">
        <v>16</v>
      </c>
      <c r="C1558" s="25" t="s">
        <v>37</v>
      </c>
      <c r="D1558" s="25" t="s">
        <v>40</v>
      </c>
      <c r="E1558" s="25" t="s">
        <v>837</v>
      </c>
      <c r="F1558" s="25" t="s">
        <v>58</v>
      </c>
      <c r="G1558" s="42">
        <f t="shared" si="1072"/>
        <v>403000</v>
      </c>
      <c r="H1558" s="42">
        <f t="shared" si="1072"/>
        <v>403000</v>
      </c>
      <c r="I1558" s="42">
        <f t="shared" si="1072"/>
        <v>9488300</v>
      </c>
      <c r="J1558" s="16">
        <f>'БА в тыс. руб.'!G1558*1000</f>
        <v>403000</v>
      </c>
      <c r="K1558" s="169">
        <f t="shared" si="1066"/>
        <v>0</v>
      </c>
      <c r="L1558" s="16">
        <f>'БА в тыс. руб.'!H1558*1000</f>
        <v>403000</v>
      </c>
      <c r="M1558" s="169">
        <f t="shared" si="1067"/>
        <v>0</v>
      </c>
      <c r="N1558" s="16">
        <f>'БА в тыс. руб.'!I1558*1000</f>
        <v>9488300</v>
      </c>
      <c r="O1558" s="169">
        <f t="shared" si="1068"/>
        <v>0</v>
      </c>
    </row>
    <row r="1559" spans="1:15" s="3" customFormat="1" ht="25.5">
      <c r="A1559" s="11" t="s">
        <v>108</v>
      </c>
      <c r="B1559" s="25" t="s">
        <v>16</v>
      </c>
      <c r="C1559" s="25" t="s">
        <v>37</v>
      </c>
      <c r="D1559" s="25" t="s">
        <v>40</v>
      </c>
      <c r="E1559" s="25" t="s">
        <v>837</v>
      </c>
      <c r="F1559" s="25" t="s">
        <v>116</v>
      </c>
      <c r="G1559" s="42">
        <f>G1560</f>
        <v>403000</v>
      </c>
      <c r="H1559" s="42">
        <f t="shared" si="1072"/>
        <v>403000</v>
      </c>
      <c r="I1559" s="42">
        <f t="shared" si="1072"/>
        <v>9488300</v>
      </c>
      <c r="J1559" s="16">
        <f>'БА в тыс. руб.'!G1559*1000</f>
        <v>403000</v>
      </c>
      <c r="K1559" s="169">
        <f t="shared" si="1066"/>
        <v>0</v>
      </c>
      <c r="L1559" s="16">
        <f>'БА в тыс. руб.'!H1559*1000</f>
        <v>403000</v>
      </c>
      <c r="M1559" s="169">
        <f t="shared" si="1067"/>
        <v>0</v>
      </c>
      <c r="N1559" s="16">
        <f>'БА в тыс. руб.'!I1559*1000</f>
        <v>9488300</v>
      </c>
      <c r="O1559" s="169">
        <f t="shared" si="1068"/>
        <v>0</v>
      </c>
    </row>
    <row r="1560" spans="1:15" s="4" customFormat="1" ht="25.5">
      <c r="A1560" s="12" t="s">
        <v>973</v>
      </c>
      <c r="B1560" s="25" t="s">
        <v>16</v>
      </c>
      <c r="C1560" s="25" t="s">
        <v>37</v>
      </c>
      <c r="D1560" s="25" t="s">
        <v>40</v>
      </c>
      <c r="E1560" s="25" t="s">
        <v>837</v>
      </c>
      <c r="F1560" s="25" t="s">
        <v>1043</v>
      </c>
      <c r="G1560" s="27">
        <f t="shared" ref="G1560" si="1073">J1560</f>
        <v>403000</v>
      </c>
      <c r="H1560" s="27">
        <f>L1560</f>
        <v>403000</v>
      </c>
      <c r="I1560" s="27">
        <f>N1560</f>
        <v>9488300</v>
      </c>
      <c r="J1560" s="16">
        <f>'БА в тыс. руб.'!G1560*1000</f>
        <v>403000</v>
      </c>
      <c r="K1560" s="169">
        <f t="shared" si="1066"/>
        <v>0</v>
      </c>
      <c r="L1560" s="16">
        <f>'БА в тыс. руб.'!H1560*1000</f>
        <v>403000</v>
      </c>
      <c r="M1560" s="169">
        <f t="shared" si="1067"/>
        <v>0</v>
      </c>
      <c r="N1560" s="16">
        <f>'БА в тыс. руб.'!I1560*1000</f>
        <v>9488300</v>
      </c>
      <c r="O1560" s="169">
        <f t="shared" si="1068"/>
        <v>0</v>
      </c>
    </row>
    <row r="1561" spans="1:15" s="3" customFormat="1" ht="51">
      <c r="A1561" s="11" t="s">
        <v>867</v>
      </c>
      <c r="B1561" s="25" t="s">
        <v>16</v>
      </c>
      <c r="C1561" s="25" t="s">
        <v>37</v>
      </c>
      <c r="D1561" s="25" t="s">
        <v>40</v>
      </c>
      <c r="E1561" s="25" t="s">
        <v>838</v>
      </c>
      <c r="F1561" s="25" t="s">
        <v>58</v>
      </c>
      <c r="G1561" s="42">
        <f t="shared" ref="G1561:I1563" si="1074">G1562</f>
        <v>6000000</v>
      </c>
      <c r="H1561" s="42">
        <f t="shared" si="1074"/>
        <v>9085300</v>
      </c>
      <c r="I1561" s="42">
        <f t="shared" si="1074"/>
        <v>0</v>
      </c>
      <c r="J1561" s="16">
        <f>'БА в тыс. руб.'!G1561*1000</f>
        <v>6000000</v>
      </c>
      <c r="K1561" s="169">
        <f t="shared" si="1066"/>
        <v>0</v>
      </c>
      <c r="L1561" s="16">
        <f>'БА в тыс. руб.'!H1561*1000</f>
        <v>9085300</v>
      </c>
      <c r="M1561" s="169">
        <f t="shared" si="1067"/>
        <v>0</v>
      </c>
      <c r="N1561" s="16">
        <f>'БА в тыс. руб.'!I1561*1000</f>
        <v>0</v>
      </c>
      <c r="O1561" s="169">
        <f t="shared" si="1068"/>
        <v>0</v>
      </c>
    </row>
    <row r="1562" spans="1:15" s="3" customFormat="1">
      <c r="A1562" s="11" t="s">
        <v>900</v>
      </c>
      <c r="B1562" s="25" t="s">
        <v>16</v>
      </c>
      <c r="C1562" s="25" t="s">
        <v>37</v>
      </c>
      <c r="D1562" s="25" t="s">
        <v>40</v>
      </c>
      <c r="E1562" s="25" t="s">
        <v>916</v>
      </c>
      <c r="F1562" s="25" t="s">
        <v>58</v>
      </c>
      <c r="G1562" s="42">
        <f t="shared" si="1074"/>
        <v>6000000</v>
      </c>
      <c r="H1562" s="42">
        <f t="shared" si="1074"/>
        <v>9085300</v>
      </c>
      <c r="I1562" s="42">
        <f t="shared" si="1074"/>
        <v>0</v>
      </c>
      <c r="J1562" s="16">
        <f>'БА в тыс. руб.'!G1562*1000</f>
        <v>6000000</v>
      </c>
      <c r="K1562" s="169">
        <f t="shared" si="1066"/>
        <v>0</v>
      </c>
      <c r="L1562" s="16">
        <f>'БА в тыс. руб.'!H1562*1000</f>
        <v>9085300</v>
      </c>
      <c r="M1562" s="169">
        <f t="shared" si="1067"/>
        <v>0</v>
      </c>
      <c r="N1562" s="16">
        <f>'БА в тыс. руб.'!I1562*1000</f>
        <v>0</v>
      </c>
      <c r="O1562" s="169">
        <f t="shared" si="1068"/>
        <v>0</v>
      </c>
    </row>
    <row r="1563" spans="1:15" s="3" customFormat="1" ht="25.5">
      <c r="A1563" s="11" t="s">
        <v>108</v>
      </c>
      <c r="B1563" s="25" t="s">
        <v>16</v>
      </c>
      <c r="C1563" s="25" t="s">
        <v>37</v>
      </c>
      <c r="D1563" s="25" t="s">
        <v>40</v>
      </c>
      <c r="E1563" s="25" t="s">
        <v>916</v>
      </c>
      <c r="F1563" s="25" t="s">
        <v>116</v>
      </c>
      <c r="G1563" s="42">
        <f>G1564</f>
        <v>6000000</v>
      </c>
      <c r="H1563" s="42">
        <f t="shared" si="1074"/>
        <v>9085300</v>
      </c>
      <c r="I1563" s="42">
        <f t="shared" si="1074"/>
        <v>0</v>
      </c>
      <c r="J1563" s="16">
        <f>'БА в тыс. руб.'!G1563*1000</f>
        <v>6000000</v>
      </c>
      <c r="K1563" s="169">
        <f t="shared" si="1066"/>
        <v>0</v>
      </c>
      <c r="L1563" s="16">
        <f>'БА в тыс. руб.'!H1563*1000</f>
        <v>9085300</v>
      </c>
      <c r="M1563" s="169">
        <f t="shared" si="1067"/>
        <v>0</v>
      </c>
      <c r="N1563" s="16">
        <f>'БА в тыс. руб.'!I1563*1000</f>
        <v>0</v>
      </c>
      <c r="O1563" s="169">
        <f t="shared" si="1068"/>
        <v>0</v>
      </c>
    </row>
    <row r="1564" spans="1:15" s="4" customFormat="1" ht="25.5">
      <c r="A1564" s="12" t="s">
        <v>973</v>
      </c>
      <c r="B1564" s="25" t="s">
        <v>16</v>
      </c>
      <c r="C1564" s="25" t="s">
        <v>37</v>
      </c>
      <c r="D1564" s="25" t="s">
        <v>40</v>
      </c>
      <c r="E1564" s="25" t="s">
        <v>916</v>
      </c>
      <c r="F1564" s="25" t="s">
        <v>1043</v>
      </c>
      <c r="G1564" s="27">
        <f t="shared" ref="G1564" si="1075">J1564</f>
        <v>6000000</v>
      </c>
      <c r="H1564" s="27">
        <f>L1564</f>
        <v>9085300</v>
      </c>
      <c r="I1564" s="27">
        <f>N1564</f>
        <v>0</v>
      </c>
      <c r="J1564" s="16">
        <f>'БА в тыс. руб.'!G1564*1000</f>
        <v>6000000</v>
      </c>
      <c r="K1564" s="169">
        <f t="shared" si="1066"/>
        <v>0</v>
      </c>
      <c r="L1564" s="16">
        <f>'БА в тыс. руб.'!H1564*1000</f>
        <v>9085300</v>
      </c>
      <c r="M1564" s="169">
        <f t="shared" si="1067"/>
        <v>0</v>
      </c>
      <c r="N1564" s="16">
        <f>'БА в тыс. руб.'!I1564*1000</f>
        <v>0</v>
      </c>
      <c r="O1564" s="169">
        <f t="shared" si="1068"/>
        <v>0</v>
      </c>
    </row>
    <row r="1565" spans="1:15" s="3" customFormat="1" ht="25.5">
      <c r="A1565" s="150" t="s">
        <v>195</v>
      </c>
      <c r="B1565" s="25" t="s">
        <v>16</v>
      </c>
      <c r="C1565" s="25" t="s">
        <v>37</v>
      </c>
      <c r="D1565" s="25" t="s">
        <v>40</v>
      </c>
      <c r="E1565" s="26" t="s">
        <v>572</v>
      </c>
      <c r="F1565" s="26" t="s">
        <v>58</v>
      </c>
      <c r="G1565" s="27">
        <f t="shared" ref="G1565:I1568" si="1076">G1566</f>
        <v>100000</v>
      </c>
      <c r="H1565" s="27">
        <f t="shared" si="1076"/>
        <v>100000</v>
      </c>
      <c r="I1565" s="27">
        <f t="shared" si="1076"/>
        <v>100000</v>
      </c>
      <c r="J1565" s="16">
        <f>'БА в тыс. руб.'!G1565*1000</f>
        <v>100000</v>
      </c>
      <c r="K1565" s="169">
        <f t="shared" si="1066"/>
        <v>0</v>
      </c>
      <c r="L1565" s="16">
        <f>'БА в тыс. руб.'!H1565*1000</f>
        <v>100000</v>
      </c>
      <c r="M1565" s="169">
        <f t="shared" si="1067"/>
        <v>0</v>
      </c>
      <c r="N1565" s="16">
        <f>'БА в тыс. руб.'!I1565*1000</f>
        <v>100000</v>
      </c>
      <c r="O1565" s="169">
        <f t="shared" si="1068"/>
        <v>0</v>
      </c>
    </row>
    <row r="1566" spans="1:15" s="3" customFormat="1">
      <c r="A1566" s="151" t="s">
        <v>175</v>
      </c>
      <c r="B1566" s="25" t="s">
        <v>16</v>
      </c>
      <c r="C1566" s="25" t="s">
        <v>37</v>
      </c>
      <c r="D1566" s="25" t="s">
        <v>40</v>
      </c>
      <c r="E1566" s="26" t="s">
        <v>576</v>
      </c>
      <c r="F1566" s="26" t="s">
        <v>58</v>
      </c>
      <c r="G1566" s="27">
        <f t="shared" si="1076"/>
        <v>100000</v>
      </c>
      <c r="H1566" s="27">
        <f t="shared" si="1076"/>
        <v>100000</v>
      </c>
      <c r="I1566" s="27">
        <f t="shared" si="1076"/>
        <v>100000</v>
      </c>
      <c r="J1566" s="16">
        <f>'БА в тыс. руб.'!G1566*1000</f>
        <v>100000</v>
      </c>
      <c r="K1566" s="169">
        <f t="shared" si="1066"/>
        <v>0</v>
      </c>
      <c r="L1566" s="16">
        <f>'БА в тыс. руб.'!H1566*1000</f>
        <v>100000</v>
      </c>
      <c r="M1566" s="169">
        <f t="shared" si="1067"/>
        <v>0</v>
      </c>
      <c r="N1566" s="16">
        <f>'БА в тыс. руб.'!I1566*1000</f>
        <v>100000</v>
      </c>
      <c r="O1566" s="169">
        <f t="shared" si="1068"/>
        <v>0</v>
      </c>
    </row>
    <row r="1567" spans="1:15" s="3" customFormat="1" ht="25.5">
      <c r="A1567" s="150" t="s">
        <v>705</v>
      </c>
      <c r="B1567" s="25" t="s">
        <v>16</v>
      </c>
      <c r="C1567" s="25" t="s">
        <v>37</v>
      </c>
      <c r="D1567" s="25" t="s">
        <v>40</v>
      </c>
      <c r="E1567" s="26" t="s">
        <v>578</v>
      </c>
      <c r="F1567" s="26" t="s">
        <v>58</v>
      </c>
      <c r="G1567" s="27">
        <f t="shared" si="1076"/>
        <v>100000</v>
      </c>
      <c r="H1567" s="27">
        <f t="shared" si="1076"/>
        <v>100000</v>
      </c>
      <c r="I1567" s="27">
        <f t="shared" si="1076"/>
        <v>100000</v>
      </c>
      <c r="J1567" s="16">
        <f>'БА в тыс. руб.'!G1567*1000</f>
        <v>100000</v>
      </c>
      <c r="K1567" s="169">
        <f t="shared" si="1066"/>
        <v>0</v>
      </c>
      <c r="L1567" s="16">
        <f>'БА в тыс. руб.'!H1567*1000</f>
        <v>100000</v>
      </c>
      <c r="M1567" s="169">
        <f t="shared" si="1067"/>
        <v>0</v>
      </c>
      <c r="N1567" s="16">
        <f>'БА в тыс. руб.'!I1567*1000</f>
        <v>100000</v>
      </c>
      <c r="O1567" s="169">
        <f t="shared" si="1068"/>
        <v>0</v>
      </c>
    </row>
    <row r="1568" spans="1:15" s="3" customFormat="1" ht="25.5">
      <c r="A1568" s="11" t="s">
        <v>108</v>
      </c>
      <c r="B1568" s="25" t="s">
        <v>16</v>
      </c>
      <c r="C1568" s="25" t="s">
        <v>37</v>
      </c>
      <c r="D1568" s="25" t="s">
        <v>40</v>
      </c>
      <c r="E1568" s="26" t="s">
        <v>578</v>
      </c>
      <c r="F1568" s="26" t="s">
        <v>116</v>
      </c>
      <c r="G1568" s="27">
        <f>G1569</f>
        <v>100000</v>
      </c>
      <c r="H1568" s="27">
        <f t="shared" si="1076"/>
        <v>100000</v>
      </c>
      <c r="I1568" s="27">
        <f t="shared" si="1076"/>
        <v>100000</v>
      </c>
      <c r="J1568" s="16">
        <f>'БА в тыс. руб.'!G1568*1000</f>
        <v>100000</v>
      </c>
      <c r="K1568" s="169">
        <f t="shared" si="1066"/>
        <v>0</v>
      </c>
      <c r="L1568" s="16">
        <f>'БА в тыс. руб.'!H1568*1000</f>
        <v>100000</v>
      </c>
      <c r="M1568" s="169">
        <f t="shared" si="1067"/>
        <v>0</v>
      </c>
      <c r="N1568" s="16">
        <f>'БА в тыс. руб.'!I1568*1000</f>
        <v>100000</v>
      </c>
      <c r="O1568" s="169">
        <f t="shared" si="1068"/>
        <v>0</v>
      </c>
    </row>
    <row r="1569" spans="1:15" s="4" customFormat="1" ht="25.5">
      <c r="A1569" s="12" t="s">
        <v>973</v>
      </c>
      <c r="B1569" s="25" t="s">
        <v>16</v>
      </c>
      <c r="C1569" s="25" t="s">
        <v>37</v>
      </c>
      <c r="D1569" s="25" t="s">
        <v>40</v>
      </c>
      <c r="E1569" s="26" t="s">
        <v>578</v>
      </c>
      <c r="F1569" s="26" t="s">
        <v>1043</v>
      </c>
      <c r="G1569" s="27">
        <f t="shared" ref="G1569" si="1077">J1569</f>
        <v>100000</v>
      </c>
      <c r="H1569" s="27">
        <f>L1569</f>
        <v>100000</v>
      </c>
      <c r="I1569" s="27">
        <f>N1569</f>
        <v>100000</v>
      </c>
      <c r="J1569" s="16">
        <f>'БА в тыс. руб.'!G1569*1000</f>
        <v>100000</v>
      </c>
      <c r="K1569" s="169">
        <f t="shared" si="1066"/>
        <v>0</v>
      </c>
      <c r="L1569" s="16">
        <f>'БА в тыс. руб.'!H1569*1000</f>
        <v>100000</v>
      </c>
      <c r="M1569" s="169">
        <f t="shared" si="1067"/>
        <v>0</v>
      </c>
      <c r="N1569" s="16">
        <f>'БА в тыс. руб.'!I1569*1000</f>
        <v>100000</v>
      </c>
      <c r="O1569" s="169">
        <f t="shared" si="1068"/>
        <v>0</v>
      </c>
    </row>
    <row r="1570" spans="1:15" s="3" customFormat="1">
      <c r="A1570" s="17" t="s">
        <v>7</v>
      </c>
      <c r="B1570" s="18" t="s">
        <v>16</v>
      </c>
      <c r="C1570" s="19" t="s">
        <v>8</v>
      </c>
      <c r="D1570" s="19" t="s">
        <v>51</v>
      </c>
      <c r="E1570" s="19" t="s">
        <v>196</v>
      </c>
      <c r="F1570" s="19" t="s">
        <v>58</v>
      </c>
      <c r="G1570" s="20">
        <f t="shared" ref="G1570:I1576" si="1078">G1571</f>
        <v>200000000</v>
      </c>
      <c r="H1570" s="20">
        <f t="shared" si="1078"/>
        <v>0</v>
      </c>
      <c r="I1570" s="20">
        <f t="shared" si="1078"/>
        <v>0</v>
      </c>
      <c r="J1570" s="16">
        <f>'БА в тыс. руб.'!G1570*1000</f>
        <v>200000000</v>
      </c>
      <c r="K1570" s="169">
        <f t="shared" si="1066"/>
        <v>0</v>
      </c>
      <c r="L1570" s="16">
        <f>'БА в тыс. руб.'!H1570*1000</f>
        <v>0</v>
      </c>
      <c r="M1570" s="169">
        <f t="shared" si="1067"/>
        <v>0</v>
      </c>
      <c r="N1570" s="16">
        <f>'БА в тыс. руб.'!I1570*1000</f>
        <v>0</v>
      </c>
      <c r="O1570" s="169">
        <f t="shared" si="1068"/>
        <v>0</v>
      </c>
    </row>
    <row r="1571" spans="1:15" s="3" customFormat="1">
      <c r="A1571" s="21" t="s">
        <v>1</v>
      </c>
      <c r="B1571" s="22" t="s">
        <v>16</v>
      </c>
      <c r="C1571" s="23" t="s">
        <v>8</v>
      </c>
      <c r="D1571" s="23" t="s">
        <v>53</v>
      </c>
      <c r="E1571" s="23" t="s">
        <v>196</v>
      </c>
      <c r="F1571" s="23" t="s">
        <v>58</v>
      </c>
      <c r="G1571" s="24">
        <f t="shared" si="1078"/>
        <v>200000000</v>
      </c>
      <c r="H1571" s="24">
        <f t="shared" si="1078"/>
        <v>0</v>
      </c>
      <c r="I1571" s="24">
        <f t="shared" si="1078"/>
        <v>0</v>
      </c>
      <c r="J1571" s="16">
        <f>'БА в тыс. руб.'!G1571*1000</f>
        <v>200000000</v>
      </c>
      <c r="K1571" s="169">
        <f t="shared" si="1066"/>
        <v>0</v>
      </c>
      <c r="L1571" s="16">
        <f>'БА в тыс. руб.'!H1571*1000</f>
        <v>0</v>
      </c>
      <c r="M1571" s="169">
        <f t="shared" si="1067"/>
        <v>0</v>
      </c>
      <c r="N1571" s="16">
        <f>'БА в тыс. руб.'!I1571*1000</f>
        <v>0</v>
      </c>
      <c r="O1571" s="169">
        <f t="shared" si="1068"/>
        <v>0</v>
      </c>
    </row>
    <row r="1572" spans="1:15" s="3" customFormat="1" ht="38.25">
      <c r="A1572" s="12" t="s">
        <v>722</v>
      </c>
      <c r="B1572" s="26" t="s">
        <v>16</v>
      </c>
      <c r="C1572" s="26" t="s">
        <v>8</v>
      </c>
      <c r="D1572" s="26" t="s">
        <v>53</v>
      </c>
      <c r="E1572" s="26" t="s">
        <v>300</v>
      </c>
      <c r="F1572" s="26" t="s">
        <v>58</v>
      </c>
      <c r="G1572" s="42">
        <f t="shared" si="1078"/>
        <v>200000000</v>
      </c>
      <c r="H1572" s="42">
        <f t="shared" si="1078"/>
        <v>0</v>
      </c>
      <c r="I1572" s="42">
        <f t="shared" si="1078"/>
        <v>0</v>
      </c>
      <c r="J1572" s="16">
        <f>'БА в тыс. руб.'!G1572*1000</f>
        <v>200000000</v>
      </c>
      <c r="K1572" s="169">
        <f t="shared" si="1066"/>
        <v>0</v>
      </c>
      <c r="L1572" s="16">
        <f>'БА в тыс. руб.'!H1572*1000</f>
        <v>0</v>
      </c>
      <c r="M1572" s="169">
        <f t="shared" si="1067"/>
        <v>0</v>
      </c>
      <c r="N1572" s="16">
        <f>'БА в тыс. руб.'!I1572*1000</f>
        <v>0</v>
      </c>
      <c r="O1572" s="169">
        <f t="shared" si="1068"/>
        <v>0</v>
      </c>
    </row>
    <row r="1573" spans="1:15" s="3" customFormat="1">
      <c r="A1573" s="11" t="s">
        <v>142</v>
      </c>
      <c r="B1573" s="26" t="s">
        <v>16</v>
      </c>
      <c r="C1573" s="26" t="s">
        <v>8</v>
      </c>
      <c r="D1573" s="26" t="s">
        <v>53</v>
      </c>
      <c r="E1573" s="26" t="s">
        <v>453</v>
      </c>
      <c r="F1573" s="26" t="s">
        <v>58</v>
      </c>
      <c r="G1573" s="42">
        <f t="shared" si="1078"/>
        <v>200000000</v>
      </c>
      <c r="H1573" s="42">
        <f t="shared" si="1078"/>
        <v>0</v>
      </c>
      <c r="I1573" s="42">
        <f t="shared" si="1078"/>
        <v>0</v>
      </c>
      <c r="J1573" s="16">
        <f>'БА в тыс. руб.'!G1573*1000</f>
        <v>200000000</v>
      </c>
      <c r="K1573" s="169">
        <f t="shared" si="1066"/>
        <v>0</v>
      </c>
      <c r="L1573" s="16">
        <f>'БА в тыс. руб.'!H1573*1000</f>
        <v>0</v>
      </c>
      <c r="M1573" s="169">
        <f t="shared" si="1067"/>
        <v>0</v>
      </c>
      <c r="N1573" s="16">
        <f>'БА в тыс. руб.'!I1573*1000</f>
        <v>0</v>
      </c>
      <c r="O1573" s="169">
        <f t="shared" si="1068"/>
        <v>0</v>
      </c>
    </row>
    <row r="1574" spans="1:15" s="3" customFormat="1" ht="25.5">
      <c r="A1574" s="40" t="s">
        <v>454</v>
      </c>
      <c r="B1574" s="35" t="s">
        <v>16</v>
      </c>
      <c r="C1574" s="36" t="s">
        <v>8</v>
      </c>
      <c r="D1574" s="36" t="s">
        <v>53</v>
      </c>
      <c r="E1574" s="26" t="s">
        <v>645</v>
      </c>
      <c r="F1574" s="36" t="s">
        <v>58</v>
      </c>
      <c r="G1574" s="37">
        <f t="shared" si="1078"/>
        <v>200000000</v>
      </c>
      <c r="H1574" s="37">
        <f t="shared" si="1078"/>
        <v>0</v>
      </c>
      <c r="I1574" s="37">
        <f t="shared" si="1078"/>
        <v>0</v>
      </c>
      <c r="J1574" s="16">
        <f>'БА в тыс. руб.'!G1574*1000</f>
        <v>200000000</v>
      </c>
      <c r="K1574" s="169">
        <f t="shared" si="1066"/>
        <v>0</v>
      </c>
      <c r="L1574" s="16">
        <f>'БА в тыс. руб.'!H1574*1000</f>
        <v>0</v>
      </c>
      <c r="M1574" s="169">
        <f t="shared" si="1067"/>
        <v>0</v>
      </c>
      <c r="N1574" s="16">
        <f>'БА в тыс. руб.'!I1574*1000</f>
        <v>0</v>
      </c>
      <c r="O1574" s="169">
        <f t="shared" si="1068"/>
        <v>0</v>
      </c>
    </row>
    <row r="1575" spans="1:15" s="3" customFormat="1" ht="63.75">
      <c r="A1575" s="12" t="s">
        <v>588</v>
      </c>
      <c r="B1575" s="35" t="s">
        <v>16</v>
      </c>
      <c r="C1575" s="36" t="s">
        <v>8</v>
      </c>
      <c r="D1575" s="36" t="s">
        <v>53</v>
      </c>
      <c r="E1575" s="36" t="s">
        <v>648</v>
      </c>
      <c r="F1575" s="36" t="s">
        <v>58</v>
      </c>
      <c r="G1575" s="37">
        <f t="shared" si="1078"/>
        <v>200000000</v>
      </c>
      <c r="H1575" s="37">
        <f t="shared" si="1078"/>
        <v>0</v>
      </c>
      <c r="I1575" s="37">
        <f t="shared" si="1078"/>
        <v>0</v>
      </c>
      <c r="J1575" s="16">
        <f>'БА в тыс. руб.'!G1575*1000</f>
        <v>200000000</v>
      </c>
      <c r="K1575" s="169">
        <f t="shared" si="1066"/>
        <v>0</v>
      </c>
      <c r="L1575" s="16">
        <f>'БА в тыс. руб.'!H1575*1000</f>
        <v>0</v>
      </c>
      <c r="M1575" s="169">
        <f t="shared" si="1067"/>
        <v>0</v>
      </c>
      <c r="N1575" s="16">
        <f>'БА в тыс. руб.'!I1575*1000</f>
        <v>0</v>
      </c>
      <c r="O1575" s="169">
        <f t="shared" si="1068"/>
        <v>0</v>
      </c>
    </row>
    <row r="1576" spans="1:15" s="3" customFormat="1" ht="25.5">
      <c r="A1576" s="11" t="s">
        <v>108</v>
      </c>
      <c r="B1576" s="35" t="s">
        <v>16</v>
      </c>
      <c r="C1576" s="36" t="s">
        <v>8</v>
      </c>
      <c r="D1576" s="36" t="s">
        <v>53</v>
      </c>
      <c r="E1576" s="36" t="s">
        <v>648</v>
      </c>
      <c r="F1576" s="36" t="s">
        <v>116</v>
      </c>
      <c r="G1576" s="37">
        <f>G1577</f>
        <v>200000000</v>
      </c>
      <c r="H1576" s="37">
        <f t="shared" si="1078"/>
        <v>0</v>
      </c>
      <c r="I1576" s="37">
        <f t="shared" si="1078"/>
        <v>0</v>
      </c>
      <c r="J1576" s="16">
        <f>'БА в тыс. руб.'!G1576*1000</f>
        <v>200000000</v>
      </c>
      <c r="K1576" s="169">
        <f t="shared" si="1066"/>
        <v>0</v>
      </c>
      <c r="L1576" s="16">
        <f>'БА в тыс. руб.'!H1576*1000</f>
        <v>0</v>
      </c>
      <c r="M1576" s="169">
        <f t="shared" si="1067"/>
        <v>0</v>
      </c>
      <c r="N1576" s="16">
        <f>'БА в тыс. руб.'!I1576*1000</f>
        <v>0</v>
      </c>
      <c r="O1576" s="169">
        <f t="shared" si="1068"/>
        <v>0</v>
      </c>
    </row>
    <row r="1577" spans="1:15" s="4" customFormat="1" ht="25.5">
      <c r="A1577" s="12" t="s">
        <v>973</v>
      </c>
      <c r="B1577" s="35" t="s">
        <v>16</v>
      </c>
      <c r="C1577" s="36" t="s">
        <v>8</v>
      </c>
      <c r="D1577" s="36" t="s">
        <v>53</v>
      </c>
      <c r="E1577" s="36" t="s">
        <v>648</v>
      </c>
      <c r="F1577" s="36" t="s">
        <v>1043</v>
      </c>
      <c r="G1577" s="27">
        <f t="shared" ref="G1577" si="1079">J1577</f>
        <v>200000000</v>
      </c>
      <c r="H1577" s="27">
        <f>L1577</f>
        <v>0</v>
      </c>
      <c r="I1577" s="27">
        <f>N1577</f>
        <v>0</v>
      </c>
      <c r="J1577" s="16">
        <f>'БА в тыс. руб.'!G1577*1000</f>
        <v>200000000</v>
      </c>
      <c r="K1577" s="169">
        <f t="shared" si="1066"/>
        <v>0</v>
      </c>
      <c r="L1577" s="16">
        <f>'БА в тыс. руб.'!H1577*1000</f>
        <v>0</v>
      </c>
      <c r="M1577" s="169">
        <f t="shared" si="1067"/>
        <v>0</v>
      </c>
      <c r="N1577" s="16">
        <f>'БА в тыс. руб.'!I1577*1000</f>
        <v>0</v>
      </c>
      <c r="O1577" s="169">
        <f t="shared" si="1068"/>
        <v>0</v>
      </c>
    </row>
    <row r="1578" spans="1:15" s="3" customFormat="1">
      <c r="A1578" s="17" t="s">
        <v>70</v>
      </c>
      <c r="B1578" s="18" t="s">
        <v>16</v>
      </c>
      <c r="C1578" s="19" t="s">
        <v>71</v>
      </c>
      <c r="D1578" s="19" t="s">
        <v>51</v>
      </c>
      <c r="E1578" s="19" t="s">
        <v>196</v>
      </c>
      <c r="F1578" s="19" t="s">
        <v>58</v>
      </c>
      <c r="G1578" s="20">
        <f>G1579+G1586</f>
        <v>830346120</v>
      </c>
      <c r="H1578" s="20">
        <f>H1579+H1586</f>
        <v>9800000</v>
      </c>
      <c r="I1578" s="20">
        <f>I1579+I1586</f>
        <v>15226050</v>
      </c>
      <c r="J1578" s="16">
        <f>'БА в тыс. руб.'!G1578*1000</f>
        <v>830346120</v>
      </c>
      <c r="K1578" s="169">
        <f t="shared" si="1066"/>
        <v>0</v>
      </c>
      <c r="L1578" s="16">
        <f>'БА в тыс. руб.'!H1578*1000</f>
        <v>9800000</v>
      </c>
      <c r="M1578" s="169">
        <f t="shared" si="1067"/>
        <v>0</v>
      </c>
      <c r="N1578" s="16">
        <f>'БА в тыс. руб.'!I1578*1000</f>
        <v>15226050</v>
      </c>
      <c r="O1578" s="169">
        <f t="shared" si="1068"/>
        <v>0</v>
      </c>
    </row>
    <row r="1579" spans="1:15" s="3" customFormat="1">
      <c r="A1579" s="21" t="s">
        <v>72</v>
      </c>
      <c r="B1579" s="22" t="s">
        <v>16</v>
      </c>
      <c r="C1579" s="23" t="s">
        <v>71</v>
      </c>
      <c r="D1579" s="23" t="s">
        <v>65</v>
      </c>
      <c r="E1579" s="23" t="s">
        <v>196</v>
      </c>
      <c r="F1579" s="23" t="s">
        <v>58</v>
      </c>
      <c r="G1579" s="24">
        <f t="shared" ref="G1579:I1582" si="1080">G1580</f>
        <v>600000</v>
      </c>
      <c r="H1579" s="24">
        <f t="shared" si="1080"/>
        <v>9800000</v>
      </c>
      <c r="I1579" s="24">
        <f t="shared" si="1080"/>
        <v>7613030</v>
      </c>
      <c r="J1579" s="16">
        <f>'БА в тыс. руб.'!G1579*1000</f>
        <v>600000</v>
      </c>
      <c r="K1579" s="169">
        <f t="shared" si="1066"/>
        <v>0</v>
      </c>
      <c r="L1579" s="16">
        <f>'БА в тыс. руб.'!H1579*1000</f>
        <v>9800000</v>
      </c>
      <c r="M1579" s="169">
        <f t="shared" si="1067"/>
        <v>0</v>
      </c>
      <c r="N1579" s="16">
        <f>'БА в тыс. руб.'!I1579*1000</f>
        <v>7613030</v>
      </c>
      <c r="O1579" s="169">
        <f t="shared" si="1068"/>
        <v>0</v>
      </c>
    </row>
    <row r="1580" spans="1:15" s="3" customFormat="1" ht="25.5">
      <c r="A1580" s="13" t="s">
        <v>723</v>
      </c>
      <c r="B1580" s="25" t="s">
        <v>16</v>
      </c>
      <c r="C1580" s="26" t="s">
        <v>71</v>
      </c>
      <c r="D1580" s="26" t="s">
        <v>65</v>
      </c>
      <c r="E1580" s="26" t="s">
        <v>331</v>
      </c>
      <c r="F1580" s="26" t="s">
        <v>58</v>
      </c>
      <c r="G1580" s="27">
        <f t="shared" si="1080"/>
        <v>600000</v>
      </c>
      <c r="H1580" s="27">
        <f t="shared" si="1080"/>
        <v>9800000</v>
      </c>
      <c r="I1580" s="27">
        <f t="shared" si="1080"/>
        <v>7613030</v>
      </c>
      <c r="J1580" s="16">
        <f>'БА в тыс. руб.'!G1580*1000</f>
        <v>600000</v>
      </c>
      <c r="K1580" s="169">
        <f t="shared" si="1066"/>
        <v>0</v>
      </c>
      <c r="L1580" s="16">
        <f>'БА в тыс. руб.'!H1580*1000</f>
        <v>9800000</v>
      </c>
      <c r="M1580" s="169">
        <f t="shared" si="1067"/>
        <v>0</v>
      </c>
      <c r="N1580" s="16">
        <f>'БА в тыс. руб.'!I1580*1000</f>
        <v>7613030</v>
      </c>
      <c r="O1580" s="169">
        <f t="shared" si="1068"/>
        <v>0</v>
      </c>
    </row>
    <row r="1581" spans="1:15" s="3" customFormat="1" ht="25.5">
      <c r="A1581" s="11" t="s">
        <v>724</v>
      </c>
      <c r="B1581" s="25" t="s">
        <v>16</v>
      </c>
      <c r="C1581" s="26" t="s">
        <v>71</v>
      </c>
      <c r="D1581" s="26" t="s">
        <v>65</v>
      </c>
      <c r="E1581" s="26" t="s">
        <v>562</v>
      </c>
      <c r="F1581" s="26" t="s">
        <v>58</v>
      </c>
      <c r="G1581" s="27">
        <f t="shared" si="1080"/>
        <v>600000</v>
      </c>
      <c r="H1581" s="27">
        <f t="shared" si="1080"/>
        <v>9800000</v>
      </c>
      <c r="I1581" s="27">
        <f t="shared" si="1080"/>
        <v>7613030</v>
      </c>
      <c r="J1581" s="16">
        <f>'БА в тыс. руб.'!G1581*1000</f>
        <v>600000</v>
      </c>
      <c r="K1581" s="169">
        <f t="shared" si="1066"/>
        <v>0</v>
      </c>
      <c r="L1581" s="16">
        <f>'БА в тыс. руб.'!H1581*1000</f>
        <v>9800000</v>
      </c>
      <c r="M1581" s="169">
        <f t="shared" si="1067"/>
        <v>0</v>
      </c>
      <c r="N1581" s="16">
        <f>'БА в тыс. руб.'!I1581*1000</f>
        <v>7613030</v>
      </c>
      <c r="O1581" s="169">
        <f t="shared" si="1068"/>
        <v>0</v>
      </c>
    </row>
    <row r="1582" spans="1:15" s="3" customFormat="1" ht="38.25">
      <c r="A1582" s="11" t="s">
        <v>612</v>
      </c>
      <c r="B1582" s="25" t="s">
        <v>16</v>
      </c>
      <c r="C1582" s="26" t="s">
        <v>71</v>
      </c>
      <c r="D1582" s="26" t="s">
        <v>65</v>
      </c>
      <c r="E1582" s="26" t="s">
        <v>563</v>
      </c>
      <c r="F1582" s="26" t="s">
        <v>58</v>
      </c>
      <c r="G1582" s="27">
        <f t="shared" si="1080"/>
        <v>600000</v>
      </c>
      <c r="H1582" s="27">
        <f t="shared" si="1080"/>
        <v>9800000</v>
      </c>
      <c r="I1582" s="27">
        <f t="shared" si="1080"/>
        <v>7613030</v>
      </c>
      <c r="J1582" s="16">
        <f>'БА в тыс. руб.'!G1582*1000</f>
        <v>600000</v>
      </c>
      <c r="K1582" s="169">
        <f t="shared" si="1066"/>
        <v>0</v>
      </c>
      <c r="L1582" s="16">
        <f>'БА в тыс. руб.'!H1582*1000</f>
        <v>9800000</v>
      </c>
      <c r="M1582" s="169">
        <f t="shared" si="1067"/>
        <v>0</v>
      </c>
      <c r="N1582" s="16">
        <f>'БА в тыс. руб.'!I1582*1000</f>
        <v>7613030</v>
      </c>
      <c r="O1582" s="169">
        <f t="shared" si="1068"/>
        <v>0</v>
      </c>
    </row>
    <row r="1583" spans="1:15" s="3" customFormat="1" ht="38.25">
      <c r="A1583" s="11" t="s">
        <v>154</v>
      </c>
      <c r="B1583" s="25" t="s">
        <v>16</v>
      </c>
      <c r="C1583" s="26" t="s">
        <v>71</v>
      </c>
      <c r="D1583" s="26" t="s">
        <v>65</v>
      </c>
      <c r="E1583" s="26" t="s">
        <v>564</v>
      </c>
      <c r="F1583" s="26" t="s">
        <v>58</v>
      </c>
      <c r="G1583" s="27">
        <f>G1584</f>
        <v>600000</v>
      </c>
      <c r="H1583" s="27">
        <f>H1584</f>
        <v>9800000</v>
      </c>
      <c r="I1583" s="27">
        <f>I1584</f>
        <v>7613030</v>
      </c>
      <c r="J1583" s="16">
        <f>'БА в тыс. руб.'!G1583*1000</f>
        <v>600000</v>
      </c>
      <c r="K1583" s="169">
        <f t="shared" si="1066"/>
        <v>0</v>
      </c>
      <c r="L1583" s="16">
        <f>'БА в тыс. руб.'!H1583*1000</f>
        <v>9800000</v>
      </c>
      <c r="M1583" s="169">
        <f t="shared" si="1067"/>
        <v>0</v>
      </c>
      <c r="N1583" s="16">
        <f>'БА в тыс. руб.'!I1583*1000</f>
        <v>7613030</v>
      </c>
      <c r="O1583" s="169">
        <f t="shared" si="1068"/>
        <v>0</v>
      </c>
    </row>
    <row r="1584" spans="1:15" s="3" customFormat="1">
      <c r="A1584" s="11" t="s">
        <v>21</v>
      </c>
      <c r="B1584" s="25" t="s">
        <v>16</v>
      </c>
      <c r="C1584" s="26" t="s">
        <v>71</v>
      </c>
      <c r="D1584" s="26" t="s">
        <v>65</v>
      </c>
      <c r="E1584" s="26" t="s">
        <v>564</v>
      </c>
      <c r="F1584" s="26" t="s">
        <v>103</v>
      </c>
      <c r="G1584" s="27">
        <f>G1585</f>
        <v>600000</v>
      </c>
      <c r="H1584" s="27">
        <f t="shared" ref="H1584:I1584" si="1081">H1585</f>
        <v>9800000</v>
      </c>
      <c r="I1584" s="27">
        <f t="shared" si="1081"/>
        <v>7613030</v>
      </c>
      <c r="J1584" s="16">
        <f>'БА в тыс. руб.'!G1584*1000</f>
        <v>600000</v>
      </c>
      <c r="K1584" s="169">
        <f t="shared" si="1066"/>
        <v>0</v>
      </c>
      <c r="L1584" s="16">
        <f>'БА в тыс. руб.'!H1584*1000</f>
        <v>9800000</v>
      </c>
      <c r="M1584" s="169">
        <f t="shared" si="1067"/>
        <v>0</v>
      </c>
      <c r="N1584" s="16">
        <f>'БА в тыс. руб.'!I1584*1000</f>
        <v>7613030</v>
      </c>
      <c r="O1584" s="169">
        <f t="shared" si="1068"/>
        <v>0</v>
      </c>
    </row>
    <row r="1585" spans="1:15" s="4" customFormat="1" ht="25.5">
      <c r="A1585" s="12" t="s">
        <v>987</v>
      </c>
      <c r="B1585" s="25" t="s">
        <v>16</v>
      </c>
      <c r="C1585" s="26" t="s">
        <v>71</v>
      </c>
      <c r="D1585" s="26" t="s">
        <v>65</v>
      </c>
      <c r="E1585" s="26" t="s">
        <v>564</v>
      </c>
      <c r="F1585" s="26" t="s">
        <v>1052</v>
      </c>
      <c r="G1585" s="27">
        <f t="shared" ref="G1585" si="1082">J1585</f>
        <v>600000</v>
      </c>
      <c r="H1585" s="27">
        <f>L1585</f>
        <v>9800000</v>
      </c>
      <c r="I1585" s="27">
        <f>N1585</f>
        <v>7613030</v>
      </c>
      <c r="J1585" s="16">
        <f>'БА в тыс. руб.'!G1585*1000</f>
        <v>600000</v>
      </c>
      <c r="K1585" s="169">
        <f t="shared" si="1066"/>
        <v>0</v>
      </c>
      <c r="L1585" s="16">
        <f>'БА в тыс. руб.'!H1585*1000</f>
        <v>9800000</v>
      </c>
      <c r="M1585" s="169">
        <f t="shared" si="1067"/>
        <v>0</v>
      </c>
      <c r="N1585" s="16">
        <f>'БА в тыс. руб.'!I1585*1000</f>
        <v>7613030</v>
      </c>
      <c r="O1585" s="169">
        <f t="shared" si="1068"/>
        <v>0</v>
      </c>
    </row>
    <row r="1586" spans="1:15" s="3" customFormat="1">
      <c r="A1586" s="21" t="s">
        <v>61</v>
      </c>
      <c r="B1586" s="22" t="s">
        <v>16</v>
      </c>
      <c r="C1586" s="23" t="s">
        <v>71</v>
      </c>
      <c r="D1586" s="23" t="s">
        <v>66</v>
      </c>
      <c r="E1586" s="23" t="s">
        <v>196</v>
      </c>
      <c r="F1586" s="23" t="s">
        <v>58</v>
      </c>
      <c r="G1586" s="24">
        <f t="shared" ref="G1586:I1588" si="1083">G1587</f>
        <v>829746120</v>
      </c>
      <c r="H1586" s="24">
        <f t="shared" si="1083"/>
        <v>0</v>
      </c>
      <c r="I1586" s="24">
        <f t="shared" si="1083"/>
        <v>7613020</v>
      </c>
      <c r="J1586" s="16">
        <f>'БА в тыс. руб.'!G1586*1000</f>
        <v>829746120</v>
      </c>
      <c r="K1586" s="169">
        <f t="shared" si="1066"/>
        <v>0</v>
      </c>
      <c r="L1586" s="16">
        <f>'БА в тыс. руб.'!H1586*1000</f>
        <v>0</v>
      </c>
      <c r="M1586" s="169">
        <f t="shared" si="1067"/>
        <v>0</v>
      </c>
      <c r="N1586" s="16">
        <f>'БА в тыс. руб.'!I1586*1000</f>
        <v>7613020</v>
      </c>
      <c r="O1586" s="169">
        <f t="shared" si="1068"/>
        <v>0</v>
      </c>
    </row>
    <row r="1587" spans="1:15" s="3" customFormat="1" ht="25.5">
      <c r="A1587" s="13" t="s">
        <v>723</v>
      </c>
      <c r="B1587" s="25" t="s">
        <v>16</v>
      </c>
      <c r="C1587" s="26" t="s">
        <v>71</v>
      </c>
      <c r="D1587" s="26" t="s">
        <v>66</v>
      </c>
      <c r="E1587" s="26" t="s">
        <v>331</v>
      </c>
      <c r="F1587" s="26" t="s">
        <v>58</v>
      </c>
      <c r="G1587" s="27">
        <f t="shared" si="1083"/>
        <v>829746120</v>
      </c>
      <c r="H1587" s="27">
        <f t="shared" si="1083"/>
        <v>0</v>
      </c>
      <c r="I1587" s="27">
        <f t="shared" si="1083"/>
        <v>7613020</v>
      </c>
      <c r="J1587" s="16">
        <f>'БА в тыс. руб.'!G1587*1000</f>
        <v>829746120</v>
      </c>
      <c r="K1587" s="169">
        <f t="shared" si="1066"/>
        <v>0</v>
      </c>
      <c r="L1587" s="16">
        <f>'БА в тыс. руб.'!H1587*1000</f>
        <v>0</v>
      </c>
      <c r="M1587" s="169">
        <f t="shared" si="1067"/>
        <v>0</v>
      </c>
      <c r="N1587" s="16">
        <f>'БА в тыс. руб.'!I1587*1000</f>
        <v>7613020</v>
      </c>
      <c r="O1587" s="169">
        <f t="shared" si="1068"/>
        <v>0</v>
      </c>
    </row>
    <row r="1588" spans="1:15" s="3" customFormat="1" ht="25.5">
      <c r="A1588" s="11" t="s">
        <v>724</v>
      </c>
      <c r="B1588" s="25" t="s">
        <v>16</v>
      </c>
      <c r="C1588" s="26" t="s">
        <v>71</v>
      </c>
      <c r="D1588" s="26" t="s">
        <v>66</v>
      </c>
      <c r="E1588" s="26" t="s">
        <v>562</v>
      </c>
      <c r="F1588" s="26" t="s">
        <v>58</v>
      </c>
      <c r="G1588" s="27">
        <f t="shared" si="1083"/>
        <v>829746120</v>
      </c>
      <c r="H1588" s="27">
        <f t="shared" si="1083"/>
        <v>0</v>
      </c>
      <c r="I1588" s="27">
        <f t="shared" si="1083"/>
        <v>7613020</v>
      </c>
      <c r="J1588" s="16">
        <f>'БА в тыс. руб.'!G1588*1000</f>
        <v>829746120</v>
      </c>
      <c r="K1588" s="169">
        <f t="shared" si="1066"/>
        <v>0</v>
      </c>
      <c r="L1588" s="16">
        <f>'БА в тыс. руб.'!H1588*1000</f>
        <v>0</v>
      </c>
      <c r="M1588" s="169">
        <f t="shared" si="1067"/>
        <v>0</v>
      </c>
      <c r="N1588" s="16">
        <f>'БА в тыс. руб.'!I1588*1000</f>
        <v>7613020</v>
      </c>
      <c r="O1588" s="169">
        <f t="shared" si="1068"/>
        <v>0</v>
      </c>
    </row>
    <row r="1589" spans="1:15" s="3" customFormat="1" ht="38.25">
      <c r="A1589" s="11" t="s">
        <v>612</v>
      </c>
      <c r="B1589" s="25" t="s">
        <v>16</v>
      </c>
      <c r="C1589" s="26" t="s">
        <v>71</v>
      </c>
      <c r="D1589" s="26" t="s">
        <v>66</v>
      </c>
      <c r="E1589" s="26" t="s">
        <v>563</v>
      </c>
      <c r="F1589" s="26" t="s">
        <v>58</v>
      </c>
      <c r="G1589" s="27">
        <f>G1590+G1593+G1596</f>
        <v>829746120</v>
      </c>
      <c r="H1589" s="27">
        <f>H1590+H1593+H1596</f>
        <v>0</v>
      </c>
      <c r="I1589" s="27">
        <f>I1590+I1593+I1596</f>
        <v>7613020</v>
      </c>
      <c r="J1589" s="16">
        <f>'БА в тыс. руб.'!G1589*1000</f>
        <v>829746120</v>
      </c>
      <c r="K1589" s="169">
        <f t="shared" si="1066"/>
        <v>0</v>
      </c>
      <c r="L1589" s="16">
        <f>'БА в тыс. руб.'!H1589*1000</f>
        <v>0</v>
      </c>
      <c r="M1589" s="169">
        <f t="shared" si="1067"/>
        <v>0</v>
      </c>
      <c r="N1589" s="16">
        <f>'БА в тыс. руб.'!I1589*1000</f>
        <v>7613020</v>
      </c>
      <c r="O1589" s="169">
        <f t="shared" si="1068"/>
        <v>0</v>
      </c>
    </row>
    <row r="1590" spans="1:15" s="3" customFormat="1" ht="38.25">
      <c r="A1590" s="11" t="s">
        <v>154</v>
      </c>
      <c r="B1590" s="25" t="s">
        <v>16</v>
      </c>
      <c r="C1590" s="26" t="s">
        <v>71</v>
      </c>
      <c r="D1590" s="26" t="s">
        <v>66</v>
      </c>
      <c r="E1590" s="26" t="s">
        <v>564</v>
      </c>
      <c r="F1590" s="26" t="s">
        <v>58</v>
      </c>
      <c r="G1590" s="27">
        <f>G1591</f>
        <v>150000</v>
      </c>
      <c r="H1590" s="27">
        <f>H1591</f>
        <v>0</v>
      </c>
      <c r="I1590" s="27">
        <f>I1591</f>
        <v>7613020</v>
      </c>
      <c r="J1590" s="16">
        <f>'БА в тыс. руб.'!G1590*1000</f>
        <v>150000</v>
      </c>
      <c r="K1590" s="169">
        <f t="shared" si="1066"/>
        <v>0</v>
      </c>
      <c r="L1590" s="16">
        <f>'БА в тыс. руб.'!H1590*1000</f>
        <v>0</v>
      </c>
      <c r="M1590" s="169">
        <f t="shared" si="1067"/>
        <v>0</v>
      </c>
      <c r="N1590" s="16">
        <f>'БА в тыс. руб.'!I1590*1000</f>
        <v>7613020</v>
      </c>
      <c r="O1590" s="169">
        <f t="shared" si="1068"/>
        <v>0</v>
      </c>
    </row>
    <row r="1591" spans="1:15" s="3" customFormat="1">
      <c r="A1591" s="11" t="s">
        <v>21</v>
      </c>
      <c r="B1591" s="25" t="s">
        <v>16</v>
      </c>
      <c r="C1591" s="26" t="s">
        <v>71</v>
      </c>
      <c r="D1591" s="26" t="s">
        <v>66</v>
      </c>
      <c r="E1591" s="26" t="s">
        <v>564</v>
      </c>
      <c r="F1591" s="26" t="s">
        <v>103</v>
      </c>
      <c r="G1591" s="27">
        <f>G1592</f>
        <v>150000</v>
      </c>
      <c r="H1591" s="27">
        <f t="shared" ref="H1591:I1591" si="1084">H1592</f>
        <v>0</v>
      </c>
      <c r="I1591" s="27">
        <f t="shared" si="1084"/>
        <v>7613020</v>
      </c>
      <c r="J1591" s="16">
        <f>'БА в тыс. руб.'!G1591*1000</f>
        <v>150000</v>
      </c>
      <c r="K1591" s="169">
        <f t="shared" si="1066"/>
        <v>0</v>
      </c>
      <c r="L1591" s="16">
        <f>'БА в тыс. руб.'!H1591*1000</f>
        <v>0</v>
      </c>
      <c r="M1591" s="169">
        <f t="shared" si="1067"/>
        <v>0</v>
      </c>
      <c r="N1591" s="16">
        <f>'БА в тыс. руб.'!I1591*1000</f>
        <v>7613020</v>
      </c>
      <c r="O1591" s="169">
        <f t="shared" si="1068"/>
        <v>0</v>
      </c>
    </row>
    <row r="1592" spans="1:15" s="4" customFormat="1" ht="25.5">
      <c r="A1592" s="12" t="s">
        <v>987</v>
      </c>
      <c r="B1592" s="25" t="s">
        <v>16</v>
      </c>
      <c r="C1592" s="26" t="s">
        <v>71</v>
      </c>
      <c r="D1592" s="26" t="s">
        <v>66</v>
      </c>
      <c r="E1592" s="26" t="s">
        <v>564</v>
      </c>
      <c r="F1592" s="26" t="s">
        <v>1052</v>
      </c>
      <c r="G1592" s="27">
        <f t="shared" ref="G1592" si="1085">J1592</f>
        <v>150000</v>
      </c>
      <c r="H1592" s="27">
        <f>L1592</f>
        <v>0</v>
      </c>
      <c r="I1592" s="27">
        <f>N1592</f>
        <v>7613020</v>
      </c>
      <c r="J1592" s="16">
        <f>'БА в тыс. руб.'!G1592*1000</f>
        <v>150000</v>
      </c>
      <c r="K1592" s="169">
        <f t="shared" si="1066"/>
        <v>0</v>
      </c>
      <c r="L1592" s="16">
        <f>'БА в тыс. руб.'!H1592*1000</f>
        <v>0</v>
      </c>
      <c r="M1592" s="169">
        <f t="shared" si="1067"/>
        <v>0</v>
      </c>
      <c r="N1592" s="16">
        <f>'БА в тыс. руб.'!I1592*1000</f>
        <v>7613020</v>
      </c>
      <c r="O1592" s="169">
        <f t="shared" si="1068"/>
        <v>0</v>
      </c>
    </row>
    <row r="1593" spans="1:15" s="3" customFormat="1" ht="38.25">
      <c r="A1593" s="11" t="s">
        <v>922</v>
      </c>
      <c r="B1593" s="25" t="s">
        <v>16</v>
      </c>
      <c r="C1593" s="26" t="s">
        <v>71</v>
      </c>
      <c r="D1593" s="26" t="s">
        <v>66</v>
      </c>
      <c r="E1593" s="26" t="s">
        <v>921</v>
      </c>
      <c r="F1593" s="26" t="s">
        <v>58</v>
      </c>
      <c r="G1593" s="27">
        <f>G1594</f>
        <v>2488790</v>
      </c>
      <c r="H1593" s="27">
        <f t="shared" ref="H1593:I1594" si="1086">H1594</f>
        <v>0</v>
      </c>
      <c r="I1593" s="27">
        <f t="shared" si="1086"/>
        <v>0</v>
      </c>
      <c r="J1593" s="16">
        <f>'БА в тыс. руб.'!G1593*1000</f>
        <v>2488790</v>
      </c>
      <c r="K1593" s="169">
        <f t="shared" si="1066"/>
        <v>0</v>
      </c>
      <c r="L1593" s="16">
        <f>'БА в тыс. руб.'!H1593*1000</f>
        <v>0</v>
      </c>
      <c r="M1593" s="169">
        <f t="shared" si="1067"/>
        <v>0</v>
      </c>
      <c r="N1593" s="16">
        <f>'БА в тыс. руб.'!I1593*1000</f>
        <v>0</v>
      </c>
      <c r="O1593" s="169">
        <f t="shared" si="1068"/>
        <v>0</v>
      </c>
    </row>
    <row r="1594" spans="1:15" s="3" customFormat="1">
      <c r="A1594" s="11" t="s">
        <v>21</v>
      </c>
      <c r="B1594" s="25" t="s">
        <v>16</v>
      </c>
      <c r="C1594" s="26" t="s">
        <v>71</v>
      </c>
      <c r="D1594" s="26" t="s">
        <v>66</v>
      </c>
      <c r="E1594" s="26" t="s">
        <v>921</v>
      </c>
      <c r="F1594" s="26" t="s">
        <v>103</v>
      </c>
      <c r="G1594" s="27">
        <f>G1595</f>
        <v>2488790</v>
      </c>
      <c r="H1594" s="27">
        <f t="shared" si="1086"/>
        <v>0</v>
      </c>
      <c r="I1594" s="27">
        <f t="shared" si="1086"/>
        <v>0</v>
      </c>
      <c r="J1594" s="16">
        <f>'БА в тыс. руб.'!G1594*1000</f>
        <v>2488790</v>
      </c>
      <c r="K1594" s="169">
        <f t="shared" si="1066"/>
        <v>0</v>
      </c>
      <c r="L1594" s="16">
        <f>'БА в тыс. руб.'!H1594*1000</f>
        <v>0</v>
      </c>
      <c r="M1594" s="169">
        <f t="shared" si="1067"/>
        <v>0</v>
      </c>
      <c r="N1594" s="16">
        <f>'БА в тыс. руб.'!I1594*1000</f>
        <v>0</v>
      </c>
      <c r="O1594" s="169">
        <f t="shared" si="1068"/>
        <v>0</v>
      </c>
    </row>
    <row r="1595" spans="1:15" s="4" customFormat="1" ht="25.5">
      <c r="A1595" s="12" t="s">
        <v>987</v>
      </c>
      <c r="B1595" s="25" t="s">
        <v>16</v>
      </c>
      <c r="C1595" s="26" t="s">
        <v>71</v>
      </c>
      <c r="D1595" s="26" t="s">
        <v>66</v>
      </c>
      <c r="E1595" s="26" t="s">
        <v>921</v>
      </c>
      <c r="F1595" s="26" t="s">
        <v>1052</v>
      </c>
      <c r="G1595" s="27">
        <f t="shared" ref="G1595" si="1087">J1595</f>
        <v>2488790</v>
      </c>
      <c r="H1595" s="27">
        <f>L1595</f>
        <v>0</v>
      </c>
      <c r="I1595" s="27">
        <f>N1595</f>
        <v>0</v>
      </c>
      <c r="J1595" s="16">
        <f>'БА в тыс. руб.'!G1595*1000</f>
        <v>2488790</v>
      </c>
      <c r="K1595" s="169">
        <f t="shared" si="1066"/>
        <v>0</v>
      </c>
      <c r="L1595" s="16">
        <f>'БА в тыс. руб.'!H1595*1000</f>
        <v>0</v>
      </c>
      <c r="M1595" s="169">
        <f t="shared" si="1067"/>
        <v>0</v>
      </c>
      <c r="N1595" s="16">
        <f>'БА в тыс. руб.'!I1595*1000</f>
        <v>0</v>
      </c>
      <c r="O1595" s="169">
        <f t="shared" si="1068"/>
        <v>0</v>
      </c>
    </row>
    <row r="1596" spans="1:15" s="3" customFormat="1" ht="38.25">
      <c r="A1596" s="11" t="s">
        <v>924</v>
      </c>
      <c r="B1596" s="25" t="s">
        <v>16</v>
      </c>
      <c r="C1596" s="26" t="s">
        <v>71</v>
      </c>
      <c r="D1596" s="26" t="s">
        <v>66</v>
      </c>
      <c r="E1596" s="26" t="s">
        <v>923</v>
      </c>
      <c r="F1596" s="26" t="s">
        <v>58</v>
      </c>
      <c r="G1596" s="27">
        <f>G1597</f>
        <v>827107330</v>
      </c>
      <c r="H1596" s="27">
        <f t="shared" ref="H1596:I1597" si="1088">H1597</f>
        <v>0</v>
      </c>
      <c r="I1596" s="27">
        <f t="shared" si="1088"/>
        <v>0</v>
      </c>
      <c r="J1596" s="16">
        <f>'БА в тыс. руб.'!G1596*1000</f>
        <v>827107330</v>
      </c>
      <c r="K1596" s="169">
        <f t="shared" si="1066"/>
        <v>0</v>
      </c>
      <c r="L1596" s="16">
        <f>'БА в тыс. руб.'!H1596*1000</f>
        <v>0</v>
      </c>
      <c r="M1596" s="169">
        <f t="shared" si="1067"/>
        <v>0</v>
      </c>
      <c r="N1596" s="16">
        <f>'БА в тыс. руб.'!I1596*1000</f>
        <v>0</v>
      </c>
      <c r="O1596" s="169">
        <f t="shared" si="1068"/>
        <v>0</v>
      </c>
    </row>
    <row r="1597" spans="1:15" s="3" customFormat="1">
      <c r="A1597" s="11" t="s">
        <v>21</v>
      </c>
      <c r="B1597" s="25" t="s">
        <v>16</v>
      </c>
      <c r="C1597" s="26" t="s">
        <v>71</v>
      </c>
      <c r="D1597" s="26" t="s">
        <v>66</v>
      </c>
      <c r="E1597" s="26" t="s">
        <v>923</v>
      </c>
      <c r="F1597" s="26" t="s">
        <v>103</v>
      </c>
      <c r="G1597" s="27">
        <f>G1598</f>
        <v>827107330</v>
      </c>
      <c r="H1597" s="27">
        <f t="shared" si="1088"/>
        <v>0</v>
      </c>
      <c r="I1597" s="27">
        <f t="shared" si="1088"/>
        <v>0</v>
      </c>
      <c r="J1597" s="16">
        <f>'БА в тыс. руб.'!G1597*1000</f>
        <v>827107330</v>
      </c>
      <c r="K1597" s="169">
        <f t="shared" si="1066"/>
        <v>0</v>
      </c>
      <c r="L1597" s="16">
        <f>'БА в тыс. руб.'!H1597*1000</f>
        <v>0</v>
      </c>
      <c r="M1597" s="169">
        <f t="shared" si="1067"/>
        <v>0</v>
      </c>
      <c r="N1597" s="16">
        <f>'БА в тыс. руб.'!I1597*1000</f>
        <v>0</v>
      </c>
      <c r="O1597" s="169">
        <f t="shared" si="1068"/>
        <v>0</v>
      </c>
    </row>
    <row r="1598" spans="1:15" s="4" customFormat="1" ht="25.5">
      <c r="A1598" s="12" t="s">
        <v>987</v>
      </c>
      <c r="B1598" s="25" t="s">
        <v>16</v>
      </c>
      <c r="C1598" s="26" t="s">
        <v>71</v>
      </c>
      <c r="D1598" s="26" t="s">
        <v>66</v>
      </c>
      <c r="E1598" s="26" t="s">
        <v>923</v>
      </c>
      <c r="F1598" s="26" t="s">
        <v>1052</v>
      </c>
      <c r="G1598" s="27">
        <f t="shared" ref="G1598" si="1089">J1598</f>
        <v>827107330</v>
      </c>
      <c r="H1598" s="27">
        <f>L1598</f>
        <v>0</v>
      </c>
      <c r="I1598" s="27">
        <f>N1598</f>
        <v>0</v>
      </c>
      <c r="J1598" s="16">
        <f>'БА в тыс. руб.'!G1598*1000</f>
        <v>827107330</v>
      </c>
      <c r="K1598" s="169">
        <f t="shared" si="1066"/>
        <v>0</v>
      </c>
      <c r="L1598" s="16">
        <f>'БА в тыс. руб.'!H1598*1000</f>
        <v>0</v>
      </c>
      <c r="M1598" s="169">
        <f t="shared" si="1067"/>
        <v>0</v>
      </c>
      <c r="N1598" s="16">
        <f>'БА в тыс. руб.'!I1598*1000</f>
        <v>0</v>
      </c>
      <c r="O1598" s="169">
        <f t="shared" si="1068"/>
        <v>0</v>
      </c>
    </row>
    <row r="1599" spans="1:15" s="3" customFormat="1">
      <c r="A1599" s="17" t="s">
        <v>83</v>
      </c>
      <c r="B1599" s="18" t="s">
        <v>16</v>
      </c>
      <c r="C1599" s="19" t="s">
        <v>50</v>
      </c>
      <c r="D1599" s="19" t="s">
        <v>51</v>
      </c>
      <c r="E1599" s="19" t="s">
        <v>196</v>
      </c>
      <c r="F1599" s="19" t="s">
        <v>58</v>
      </c>
      <c r="G1599" s="20">
        <f t="shared" ref="G1599:I1600" si="1090">G1600</f>
        <v>50800000</v>
      </c>
      <c r="H1599" s="20">
        <f t="shared" si="1090"/>
        <v>720000</v>
      </c>
      <c r="I1599" s="20">
        <f t="shared" si="1090"/>
        <v>720000</v>
      </c>
      <c r="J1599" s="16">
        <f>'БА в тыс. руб.'!G1599*1000</f>
        <v>50800000</v>
      </c>
      <c r="K1599" s="169">
        <f t="shared" si="1066"/>
        <v>0</v>
      </c>
      <c r="L1599" s="16">
        <f>'БА в тыс. руб.'!H1599*1000</f>
        <v>720000</v>
      </c>
      <c r="M1599" s="169">
        <f t="shared" si="1067"/>
        <v>0</v>
      </c>
      <c r="N1599" s="16">
        <f>'БА в тыс. руб.'!I1599*1000</f>
        <v>720000</v>
      </c>
      <c r="O1599" s="169">
        <f t="shared" si="1068"/>
        <v>0</v>
      </c>
    </row>
    <row r="1600" spans="1:15" s="3" customFormat="1">
      <c r="A1600" s="21" t="s">
        <v>27</v>
      </c>
      <c r="B1600" s="22" t="s">
        <v>16</v>
      </c>
      <c r="C1600" s="23" t="s">
        <v>50</v>
      </c>
      <c r="D1600" s="23" t="s">
        <v>65</v>
      </c>
      <c r="E1600" s="23" t="s">
        <v>196</v>
      </c>
      <c r="F1600" s="23" t="s">
        <v>58</v>
      </c>
      <c r="G1600" s="24">
        <f t="shared" si="1090"/>
        <v>50800000</v>
      </c>
      <c r="H1600" s="24">
        <f t="shared" si="1090"/>
        <v>720000</v>
      </c>
      <c r="I1600" s="24">
        <f t="shared" si="1090"/>
        <v>720000</v>
      </c>
      <c r="J1600" s="16">
        <f>'БА в тыс. руб.'!G1600*1000</f>
        <v>50800000</v>
      </c>
      <c r="K1600" s="169">
        <f t="shared" si="1066"/>
        <v>0</v>
      </c>
      <c r="L1600" s="16">
        <f>'БА в тыс. руб.'!H1600*1000</f>
        <v>720000</v>
      </c>
      <c r="M1600" s="169">
        <f t="shared" si="1067"/>
        <v>0</v>
      </c>
      <c r="N1600" s="16">
        <f>'БА в тыс. руб.'!I1600*1000</f>
        <v>720000</v>
      </c>
      <c r="O1600" s="169">
        <f t="shared" si="1068"/>
        <v>0</v>
      </c>
    </row>
    <row r="1601" spans="1:15" s="3" customFormat="1">
      <c r="A1601" s="11" t="s">
        <v>739</v>
      </c>
      <c r="B1601" s="25" t="s">
        <v>16</v>
      </c>
      <c r="C1601" s="26" t="s">
        <v>50</v>
      </c>
      <c r="D1601" s="26" t="s">
        <v>65</v>
      </c>
      <c r="E1601" s="36" t="s">
        <v>277</v>
      </c>
      <c r="F1601" s="26" t="s">
        <v>58</v>
      </c>
      <c r="G1601" s="27">
        <f>G1602+G1607</f>
        <v>50800000</v>
      </c>
      <c r="H1601" s="27">
        <f t="shared" ref="H1601:I1601" si="1091">H1602+H1607</f>
        <v>720000</v>
      </c>
      <c r="I1601" s="27">
        <f t="shared" si="1091"/>
        <v>720000</v>
      </c>
      <c r="J1601" s="16">
        <f>'БА в тыс. руб.'!G1601*1000</f>
        <v>50800000</v>
      </c>
      <c r="K1601" s="169">
        <f t="shared" si="1066"/>
        <v>0</v>
      </c>
      <c r="L1601" s="16">
        <f>'БА в тыс. руб.'!H1601*1000</f>
        <v>720000</v>
      </c>
      <c r="M1601" s="169">
        <f t="shared" si="1067"/>
        <v>0</v>
      </c>
      <c r="N1601" s="16">
        <f>'БА в тыс. руб.'!I1601*1000</f>
        <v>720000</v>
      </c>
      <c r="O1601" s="169">
        <f t="shared" si="1068"/>
        <v>0</v>
      </c>
    </row>
    <row r="1602" spans="1:15" s="3" customFormat="1" ht="51">
      <c r="A1602" s="11" t="s">
        <v>194</v>
      </c>
      <c r="B1602" s="25" t="s">
        <v>16</v>
      </c>
      <c r="C1602" s="26" t="s">
        <v>50</v>
      </c>
      <c r="D1602" s="26" t="s">
        <v>65</v>
      </c>
      <c r="E1602" s="36" t="s">
        <v>278</v>
      </c>
      <c r="F1602" s="26" t="s">
        <v>58</v>
      </c>
      <c r="G1602" s="27">
        <f t="shared" ref="G1602:I1605" si="1092">G1603</f>
        <v>800000</v>
      </c>
      <c r="H1602" s="27">
        <f t="shared" si="1092"/>
        <v>720000</v>
      </c>
      <c r="I1602" s="27">
        <f t="shared" si="1092"/>
        <v>720000</v>
      </c>
      <c r="J1602" s="16">
        <f>'БА в тыс. руб.'!G1602*1000</f>
        <v>800000</v>
      </c>
      <c r="K1602" s="169">
        <f t="shared" si="1066"/>
        <v>0</v>
      </c>
      <c r="L1602" s="16">
        <f>'БА в тыс. руб.'!H1602*1000</f>
        <v>720000</v>
      </c>
      <c r="M1602" s="169">
        <f t="shared" si="1067"/>
        <v>0</v>
      </c>
      <c r="N1602" s="16">
        <f>'БА в тыс. руб.'!I1602*1000</f>
        <v>720000</v>
      </c>
      <c r="O1602" s="169">
        <f t="shared" si="1068"/>
        <v>0</v>
      </c>
    </row>
    <row r="1603" spans="1:15" s="3" customFormat="1" ht="63.75">
      <c r="A1603" s="11" t="s">
        <v>605</v>
      </c>
      <c r="B1603" s="25" t="s">
        <v>16</v>
      </c>
      <c r="C1603" s="26" t="s">
        <v>50</v>
      </c>
      <c r="D1603" s="26" t="s">
        <v>65</v>
      </c>
      <c r="E1603" s="36" t="s">
        <v>279</v>
      </c>
      <c r="F1603" s="26" t="s">
        <v>58</v>
      </c>
      <c r="G1603" s="27">
        <f t="shared" si="1092"/>
        <v>800000</v>
      </c>
      <c r="H1603" s="27">
        <f t="shared" si="1092"/>
        <v>720000</v>
      </c>
      <c r="I1603" s="27">
        <f t="shared" si="1092"/>
        <v>720000</v>
      </c>
      <c r="J1603" s="16">
        <f>'БА в тыс. руб.'!G1603*1000</f>
        <v>800000</v>
      </c>
      <c r="K1603" s="169">
        <f t="shared" si="1066"/>
        <v>0</v>
      </c>
      <c r="L1603" s="16">
        <f>'БА в тыс. руб.'!H1603*1000</f>
        <v>720000</v>
      </c>
      <c r="M1603" s="169">
        <f t="shared" si="1067"/>
        <v>0</v>
      </c>
      <c r="N1603" s="16">
        <f>'БА в тыс. руб.'!I1603*1000</f>
        <v>720000</v>
      </c>
      <c r="O1603" s="169">
        <f t="shared" si="1068"/>
        <v>0</v>
      </c>
    </row>
    <row r="1604" spans="1:15" s="3" customFormat="1" ht="25.5">
      <c r="A1604" s="11" t="s">
        <v>161</v>
      </c>
      <c r="B1604" s="25" t="s">
        <v>16</v>
      </c>
      <c r="C1604" s="26" t="s">
        <v>50</v>
      </c>
      <c r="D1604" s="26" t="s">
        <v>65</v>
      </c>
      <c r="E1604" s="36" t="s">
        <v>320</v>
      </c>
      <c r="F1604" s="26" t="s">
        <v>58</v>
      </c>
      <c r="G1604" s="27">
        <f t="shared" si="1092"/>
        <v>800000</v>
      </c>
      <c r="H1604" s="27">
        <f t="shared" si="1092"/>
        <v>720000</v>
      </c>
      <c r="I1604" s="27">
        <f t="shared" si="1092"/>
        <v>720000</v>
      </c>
      <c r="J1604" s="16">
        <f>'БА в тыс. руб.'!G1604*1000</f>
        <v>800000</v>
      </c>
      <c r="K1604" s="169">
        <f t="shared" si="1066"/>
        <v>0</v>
      </c>
      <c r="L1604" s="16">
        <f>'БА в тыс. руб.'!H1604*1000</f>
        <v>720000</v>
      </c>
      <c r="M1604" s="169">
        <f t="shared" si="1067"/>
        <v>0</v>
      </c>
      <c r="N1604" s="16">
        <f>'БА в тыс. руб.'!I1604*1000</f>
        <v>720000</v>
      </c>
      <c r="O1604" s="169">
        <f t="shared" si="1068"/>
        <v>0</v>
      </c>
    </row>
    <row r="1605" spans="1:15" s="3" customFormat="1" ht="25.5">
      <c r="A1605" s="12" t="s">
        <v>108</v>
      </c>
      <c r="B1605" s="25" t="s">
        <v>16</v>
      </c>
      <c r="C1605" s="26" t="s">
        <v>50</v>
      </c>
      <c r="D1605" s="26" t="s">
        <v>65</v>
      </c>
      <c r="E1605" s="36" t="s">
        <v>320</v>
      </c>
      <c r="F1605" s="26" t="s">
        <v>116</v>
      </c>
      <c r="G1605" s="27">
        <f>G1606</f>
        <v>800000</v>
      </c>
      <c r="H1605" s="27">
        <f t="shared" si="1092"/>
        <v>720000</v>
      </c>
      <c r="I1605" s="27">
        <f t="shared" si="1092"/>
        <v>720000</v>
      </c>
      <c r="J1605" s="16">
        <f>'БА в тыс. руб.'!G1605*1000</f>
        <v>800000</v>
      </c>
      <c r="K1605" s="169">
        <f t="shared" si="1066"/>
        <v>0</v>
      </c>
      <c r="L1605" s="16">
        <f>'БА в тыс. руб.'!H1605*1000</f>
        <v>720000</v>
      </c>
      <c r="M1605" s="169">
        <f t="shared" si="1067"/>
        <v>0</v>
      </c>
      <c r="N1605" s="16">
        <f>'БА в тыс. руб.'!I1605*1000</f>
        <v>720000</v>
      </c>
      <c r="O1605" s="169">
        <f t="shared" si="1068"/>
        <v>0</v>
      </c>
    </row>
    <row r="1606" spans="1:15" s="4" customFormat="1" ht="25.5">
      <c r="A1606" s="12" t="s">
        <v>973</v>
      </c>
      <c r="B1606" s="25" t="s">
        <v>16</v>
      </c>
      <c r="C1606" s="26" t="s">
        <v>50</v>
      </c>
      <c r="D1606" s="26" t="s">
        <v>65</v>
      </c>
      <c r="E1606" s="36" t="s">
        <v>320</v>
      </c>
      <c r="F1606" s="26" t="s">
        <v>1043</v>
      </c>
      <c r="G1606" s="27">
        <f t="shared" ref="G1606" si="1093">J1606</f>
        <v>800000</v>
      </c>
      <c r="H1606" s="27">
        <f>L1606</f>
        <v>720000</v>
      </c>
      <c r="I1606" s="27">
        <f>N1606</f>
        <v>720000</v>
      </c>
      <c r="J1606" s="16">
        <f>'БА в тыс. руб.'!G1606*1000</f>
        <v>800000</v>
      </c>
      <c r="K1606" s="169">
        <f t="shared" si="1066"/>
        <v>0</v>
      </c>
      <c r="L1606" s="16">
        <f>'БА в тыс. руб.'!H1606*1000</f>
        <v>720000</v>
      </c>
      <c r="M1606" s="169">
        <f t="shared" si="1067"/>
        <v>0</v>
      </c>
      <c r="N1606" s="16">
        <f>'БА в тыс. руб.'!I1606*1000</f>
        <v>720000</v>
      </c>
      <c r="O1606" s="169">
        <f t="shared" si="1068"/>
        <v>0</v>
      </c>
    </row>
    <row r="1607" spans="1:15" s="3" customFormat="1">
      <c r="A1607" s="12" t="s">
        <v>140</v>
      </c>
      <c r="B1607" s="25" t="s">
        <v>16</v>
      </c>
      <c r="C1607" s="26" t="s">
        <v>50</v>
      </c>
      <c r="D1607" s="26" t="s">
        <v>65</v>
      </c>
      <c r="E1607" s="36" t="s">
        <v>372</v>
      </c>
      <c r="F1607" s="26" t="s">
        <v>58</v>
      </c>
      <c r="G1607" s="27">
        <f>G1608</f>
        <v>50000000</v>
      </c>
      <c r="H1607" s="27">
        <f t="shared" ref="H1607:I1609" si="1094">H1608</f>
        <v>0</v>
      </c>
      <c r="I1607" s="27">
        <f t="shared" si="1094"/>
        <v>0</v>
      </c>
      <c r="J1607" s="16">
        <f>'БА в тыс. руб.'!G1607*1000</f>
        <v>50000000</v>
      </c>
      <c r="K1607" s="169">
        <f t="shared" si="1066"/>
        <v>0</v>
      </c>
      <c r="L1607" s="16">
        <f>'БА в тыс. руб.'!H1607*1000</f>
        <v>0</v>
      </c>
      <c r="M1607" s="169">
        <f t="shared" si="1067"/>
        <v>0</v>
      </c>
      <c r="N1607" s="16">
        <f>'БА в тыс. руб.'!I1607*1000</f>
        <v>0</v>
      </c>
      <c r="O1607" s="169">
        <f t="shared" si="1068"/>
        <v>0</v>
      </c>
    </row>
    <row r="1608" spans="1:15" s="3" customFormat="1" ht="25.5">
      <c r="A1608" s="11" t="s">
        <v>857</v>
      </c>
      <c r="B1608" s="25" t="s">
        <v>16</v>
      </c>
      <c r="C1608" s="26" t="s">
        <v>50</v>
      </c>
      <c r="D1608" s="26" t="s">
        <v>65</v>
      </c>
      <c r="E1608" s="36" t="s">
        <v>839</v>
      </c>
      <c r="F1608" s="26" t="s">
        <v>58</v>
      </c>
      <c r="G1608" s="27">
        <f>G1609</f>
        <v>50000000</v>
      </c>
      <c r="H1608" s="27">
        <f t="shared" si="1094"/>
        <v>0</v>
      </c>
      <c r="I1608" s="27">
        <f t="shared" si="1094"/>
        <v>0</v>
      </c>
      <c r="J1608" s="16">
        <f>'БА в тыс. руб.'!G1608*1000</f>
        <v>50000000</v>
      </c>
      <c r="K1608" s="169">
        <f t="shared" si="1066"/>
        <v>0</v>
      </c>
      <c r="L1608" s="16">
        <f>'БА в тыс. руб.'!H1608*1000</f>
        <v>0</v>
      </c>
      <c r="M1608" s="169">
        <f t="shared" si="1067"/>
        <v>0</v>
      </c>
      <c r="N1608" s="16">
        <f>'БА в тыс. руб.'!I1608*1000</f>
        <v>0</v>
      </c>
      <c r="O1608" s="169">
        <f t="shared" si="1068"/>
        <v>0</v>
      </c>
    </row>
    <row r="1609" spans="1:15" s="3" customFormat="1" ht="63.75">
      <c r="A1609" s="13" t="s">
        <v>840</v>
      </c>
      <c r="B1609" s="25" t="s">
        <v>16</v>
      </c>
      <c r="C1609" s="26" t="s">
        <v>50</v>
      </c>
      <c r="D1609" s="26" t="s">
        <v>65</v>
      </c>
      <c r="E1609" s="36" t="s">
        <v>841</v>
      </c>
      <c r="F1609" s="26" t="s">
        <v>58</v>
      </c>
      <c r="G1609" s="27">
        <f>G1610</f>
        <v>50000000</v>
      </c>
      <c r="H1609" s="27">
        <f t="shared" si="1094"/>
        <v>0</v>
      </c>
      <c r="I1609" s="27">
        <f t="shared" si="1094"/>
        <v>0</v>
      </c>
      <c r="J1609" s="16">
        <f>'БА в тыс. руб.'!G1609*1000</f>
        <v>50000000</v>
      </c>
      <c r="K1609" s="169">
        <f t="shared" si="1066"/>
        <v>0</v>
      </c>
      <c r="L1609" s="16">
        <f>'БА в тыс. руб.'!H1609*1000</f>
        <v>0</v>
      </c>
      <c r="M1609" s="169">
        <f t="shared" si="1067"/>
        <v>0</v>
      </c>
      <c r="N1609" s="16">
        <f>'БА в тыс. руб.'!I1609*1000</f>
        <v>0</v>
      </c>
      <c r="O1609" s="169">
        <f t="shared" si="1068"/>
        <v>0</v>
      </c>
    </row>
    <row r="1610" spans="1:15" s="3" customFormat="1">
      <c r="A1610" s="11" t="s">
        <v>21</v>
      </c>
      <c r="B1610" s="25" t="s">
        <v>16</v>
      </c>
      <c r="C1610" s="26" t="s">
        <v>50</v>
      </c>
      <c r="D1610" s="26" t="s">
        <v>65</v>
      </c>
      <c r="E1610" s="26" t="s">
        <v>841</v>
      </c>
      <c r="F1610" s="26" t="s">
        <v>103</v>
      </c>
      <c r="G1610" s="27">
        <f>G1611</f>
        <v>50000000</v>
      </c>
      <c r="H1610" s="27">
        <v>0</v>
      </c>
      <c r="I1610" s="27">
        <v>0</v>
      </c>
      <c r="J1610" s="16">
        <f>'БА в тыс. руб.'!G1610*1000</f>
        <v>50000000</v>
      </c>
      <c r="K1610" s="169">
        <f t="shared" si="1066"/>
        <v>0</v>
      </c>
      <c r="L1610" s="16">
        <f>'БА в тыс. руб.'!H1610*1000</f>
        <v>0</v>
      </c>
      <c r="M1610" s="169">
        <f t="shared" si="1067"/>
        <v>0</v>
      </c>
      <c r="N1610" s="16">
        <f>'БА в тыс. руб.'!I1610*1000</f>
        <v>0</v>
      </c>
      <c r="O1610" s="169">
        <f t="shared" si="1068"/>
        <v>0</v>
      </c>
    </row>
    <row r="1611" spans="1:15" s="4" customFormat="1" ht="25.5">
      <c r="A1611" s="12" t="s">
        <v>987</v>
      </c>
      <c r="B1611" s="25" t="s">
        <v>16</v>
      </c>
      <c r="C1611" s="26" t="s">
        <v>50</v>
      </c>
      <c r="D1611" s="26" t="s">
        <v>65</v>
      </c>
      <c r="E1611" s="26" t="s">
        <v>841</v>
      </c>
      <c r="F1611" s="26" t="s">
        <v>1052</v>
      </c>
      <c r="G1611" s="27">
        <f t="shared" ref="G1611" si="1095">J1611</f>
        <v>50000000</v>
      </c>
      <c r="H1611" s="27">
        <f t="shared" ref="H1611" si="1096">L1611</f>
        <v>0</v>
      </c>
      <c r="I1611" s="27">
        <f t="shared" ref="I1611" si="1097">N1611</f>
        <v>0</v>
      </c>
      <c r="J1611" s="16">
        <f>'БА в тыс. руб.'!G1611*1000</f>
        <v>50000000</v>
      </c>
      <c r="K1611" s="169">
        <f t="shared" ref="K1611:K1674" si="1098">J1611-G1611</f>
        <v>0</v>
      </c>
      <c r="L1611" s="16">
        <f>'БА в тыс. руб.'!H1611*1000</f>
        <v>0</v>
      </c>
      <c r="M1611" s="169">
        <f t="shared" ref="M1611:M1674" si="1099">L1611-H1611</f>
        <v>0</v>
      </c>
      <c r="N1611" s="16">
        <f>'БА в тыс. руб.'!I1611*1000</f>
        <v>0</v>
      </c>
      <c r="O1611" s="169">
        <f t="shared" ref="O1611:O1674" si="1100">N1611-I1611</f>
        <v>0</v>
      </c>
    </row>
    <row r="1612" spans="1:15" s="71" customFormat="1">
      <c r="A1612" s="79"/>
      <c r="B1612" s="92"/>
      <c r="C1612" s="70"/>
      <c r="D1612" s="70"/>
      <c r="E1612" s="70"/>
      <c r="F1612" s="70"/>
      <c r="G1612" s="27"/>
      <c r="H1612" s="27"/>
      <c r="I1612" s="27"/>
      <c r="J1612" s="16">
        <f>'БА в тыс. руб.'!G1612*1000</f>
        <v>0</v>
      </c>
      <c r="K1612" s="169">
        <f t="shared" si="1098"/>
        <v>0</v>
      </c>
      <c r="L1612" s="16">
        <f>'БА в тыс. руб.'!H1612*1000</f>
        <v>0</v>
      </c>
      <c r="M1612" s="169">
        <f t="shared" si="1099"/>
        <v>0</v>
      </c>
      <c r="N1612" s="16">
        <f>'БА в тыс. руб.'!I1612*1000</f>
        <v>0</v>
      </c>
      <c r="O1612" s="169">
        <f t="shared" si="1100"/>
        <v>0</v>
      </c>
    </row>
    <row r="1613" spans="1:15" s="3" customFormat="1" ht="25.5">
      <c r="A1613" s="28" t="s">
        <v>180</v>
      </c>
      <c r="B1613" s="14" t="s">
        <v>536</v>
      </c>
      <c r="C1613" s="15" t="s">
        <v>51</v>
      </c>
      <c r="D1613" s="15" t="s">
        <v>51</v>
      </c>
      <c r="E1613" s="15" t="s">
        <v>196</v>
      </c>
      <c r="F1613" s="15" t="s">
        <v>58</v>
      </c>
      <c r="G1613" s="29">
        <f t="shared" ref="G1613:I1614" si="1101">G1614</f>
        <v>72707770</v>
      </c>
      <c r="H1613" s="29">
        <f t="shared" si="1101"/>
        <v>68682570</v>
      </c>
      <c r="I1613" s="29">
        <f t="shared" si="1101"/>
        <v>68682570</v>
      </c>
      <c r="J1613" s="16">
        <f>'БА в тыс. руб.'!G1613*1000</f>
        <v>72707770</v>
      </c>
      <c r="K1613" s="169">
        <f t="shared" si="1098"/>
        <v>0</v>
      </c>
      <c r="L1613" s="16">
        <f>'БА в тыс. руб.'!H1613*1000</f>
        <v>68682570</v>
      </c>
      <c r="M1613" s="169">
        <f t="shared" si="1099"/>
        <v>0</v>
      </c>
      <c r="N1613" s="16">
        <f>'БА в тыс. руб.'!I1613*1000</f>
        <v>68682570</v>
      </c>
      <c r="O1613" s="169">
        <f t="shared" si="1100"/>
        <v>0</v>
      </c>
    </row>
    <row r="1614" spans="1:15" s="3" customFormat="1">
      <c r="A1614" s="17" t="s">
        <v>13</v>
      </c>
      <c r="B1614" s="18" t="s">
        <v>536</v>
      </c>
      <c r="C1614" s="19" t="s">
        <v>53</v>
      </c>
      <c r="D1614" s="19" t="s">
        <v>51</v>
      </c>
      <c r="E1614" s="19" t="s">
        <v>196</v>
      </c>
      <c r="F1614" s="19" t="s">
        <v>58</v>
      </c>
      <c r="G1614" s="20">
        <f t="shared" si="1101"/>
        <v>72707770</v>
      </c>
      <c r="H1614" s="20">
        <f t="shared" si="1101"/>
        <v>68682570</v>
      </c>
      <c r="I1614" s="20">
        <f t="shared" si="1101"/>
        <v>68682570</v>
      </c>
      <c r="J1614" s="16">
        <f>'БА в тыс. руб.'!G1614*1000</f>
        <v>72707770</v>
      </c>
      <c r="K1614" s="169">
        <f t="shared" si="1098"/>
        <v>0</v>
      </c>
      <c r="L1614" s="16">
        <f>'БА в тыс. руб.'!H1614*1000</f>
        <v>68682570</v>
      </c>
      <c r="M1614" s="169">
        <f t="shared" si="1099"/>
        <v>0</v>
      </c>
      <c r="N1614" s="16">
        <f>'БА в тыс. руб.'!I1614*1000</f>
        <v>68682570</v>
      </c>
      <c r="O1614" s="169">
        <f t="shared" si="1100"/>
        <v>0</v>
      </c>
    </row>
    <row r="1615" spans="1:15" s="3" customFormat="1" ht="38.25">
      <c r="A1615" s="21" t="s">
        <v>537</v>
      </c>
      <c r="B1615" s="22" t="s">
        <v>536</v>
      </c>
      <c r="C1615" s="23" t="s">
        <v>53</v>
      </c>
      <c r="D1615" s="23" t="s">
        <v>25</v>
      </c>
      <c r="E1615" s="23" t="s">
        <v>196</v>
      </c>
      <c r="F1615" s="23" t="s">
        <v>58</v>
      </c>
      <c r="G1615" s="24">
        <f>G1616+G1622+G1670</f>
        <v>72707770</v>
      </c>
      <c r="H1615" s="24">
        <f>H1616+H1622+H1670</f>
        <v>68682570</v>
      </c>
      <c r="I1615" s="24">
        <f>I1616+I1622+I1670</f>
        <v>68682570</v>
      </c>
      <c r="J1615" s="16">
        <f>'БА в тыс. руб.'!G1615*1000</f>
        <v>72707770</v>
      </c>
      <c r="K1615" s="169">
        <f t="shared" si="1098"/>
        <v>0</v>
      </c>
      <c r="L1615" s="16">
        <f>'БА в тыс. руб.'!H1615*1000</f>
        <v>68682570</v>
      </c>
      <c r="M1615" s="169">
        <f t="shared" si="1099"/>
        <v>0</v>
      </c>
      <c r="N1615" s="16">
        <f>'БА в тыс. руб.'!I1615*1000</f>
        <v>68682570</v>
      </c>
      <c r="O1615" s="169">
        <f t="shared" si="1100"/>
        <v>0</v>
      </c>
    </row>
    <row r="1616" spans="1:15" s="3" customFormat="1" ht="38.25">
      <c r="A1616" s="152" t="s">
        <v>752</v>
      </c>
      <c r="B1616" s="25" t="s">
        <v>536</v>
      </c>
      <c r="C1616" s="26" t="s">
        <v>53</v>
      </c>
      <c r="D1616" s="26" t="s">
        <v>25</v>
      </c>
      <c r="E1616" s="26" t="s">
        <v>249</v>
      </c>
      <c r="F1616" s="26" t="s">
        <v>58</v>
      </c>
      <c r="G1616" s="27">
        <f>G1617</f>
        <v>25500</v>
      </c>
      <c r="H1616" s="27">
        <f t="shared" ref="H1616:I1616" si="1102">H1617</f>
        <v>22950</v>
      </c>
      <c r="I1616" s="27">
        <f t="shared" si="1102"/>
        <v>22950</v>
      </c>
      <c r="J1616" s="16">
        <f>'БА в тыс. руб.'!G1616*1000</f>
        <v>25500</v>
      </c>
      <c r="K1616" s="169">
        <f t="shared" si="1098"/>
        <v>0</v>
      </c>
      <c r="L1616" s="16">
        <f>'БА в тыс. руб.'!H1616*1000</f>
        <v>22950</v>
      </c>
      <c r="M1616" s="169">
        <f t="shared" si="1099"/>
        <v>0</v>
      </c>
      <c r="N1616" s="16">
        <f>'БА в тыс. руб.'!I1616*1000</f>
        <v>22950</v>
      </c>
      <c r="O1616" s="169">
        <f t="shared" si="1100"/>
        <v>0</v>
      </c>
    </row>
    <row r="1617" spans="1:15" s="153" customFormat="1" ht="25.5">
      <c r="A1617" s="11" t="s">
        <v>755</v>
      </c>
      <c r="B1617" s="25" t="s">
        <v>536</v>
      </c>
      <c r="C1617" s="26" t="s">
        <v>53</v>
      </c>
      <c r="D1617" s="26" t="s">
        <v>25</v>
      </c>
      <c r="E1617" s="26" t="s">
        <v>256</v>
      </c>
      <c r="F1617" s="26" t="s">
        <v>58</v>
      </c>
      <c r="G1617" s="27">
        <f t="shared" ref="G1617:I1618" si="1103">G1618</f>
        <v>25500</v>
      </c>
      <c r="H1617" s="27">
        <f t="shared" si="1103"/>
        <v>22950</v>
      </c>
      <c r="I1617" s="27">
        <f t="shared" si="1103"/>
        <v>22950</v>
      </c>
      <c r="J1617" s="16">
        <f>'БА в тыс. руб.'!G1617*1000</f>
        <v>25500</v>
      </c>
      <c r="K1617" s="169">
        <f t="shared" si="1098"/>
        <v>0</v>
      </c>
      <c r="L1617" s="16">
        <f>'БА в тыс. руб.'!H1617*1000</f>
        <v>22950</v>
      </c>
      <c r="M1617" s="169">
        <f t="shared" si="1099"/>
        <v>0</v>
      </c>
      <c r="N1617" s="16">
        <f>'БА в тыс. руб.'!I1617*1000</f>
        <v>22950</v>
      </c>
      <c r="O1617" s="169">
        <f t="shared" si="1100"/>
        <v>0</v>
      </c>
    </row>
    <row r="1618" spans="1:15" s="3" customFormat="1" ht="25.5">
      <c r="A1618" s="152" t="s">
        <v>617</v>
      </c>
      <c r="B1618" s="25" t="s">
        <v>536</v>
      </c>
      <c r="C1618" s="26" t="s">
        <v>53</v>
      </c>
      <c r="D1618" s="26" t="s">
        <v>25</v>
      </c>
      <c r="E1618" s="26" t="s">
        <v>541</v>
      </c>
      <c r="F1618" s="26" t="s">
        <v>58</v>
      </c>
      <c r="G1618" s="27">
        <f t="shared" si="1103"/>
        <v>25500</v>
      </c>
      <c r="H1618" s="27">
        <f t="shared" si="1103"/>
        <v>22950</v>
      </c>
      <c r="I1618" s="27">
        <f t="shared" si="1103"/>
        <v>22950</v>
      </c>
      <c r="J1618" s="16">
        <f>'БА в тыс. руб.'!G1618*1000</f>
        <v>25500</v>
      </c>
      <c r="K1618" s="169">
        <f t="shared" si="1098"/>
        <v>0</v>
      </c>
      <c r="L1618" s="16">
        <f>'БА в тыс. руб.'!H1618*1000</f>
        <v>22950</v>
      </c>
      <c r="M1618" s="169">
        <f t="shared" si="1099"/>
        <v>0</v>
      </c>
      <c r="N1618" s="16">
        <f>'БА в тыс. руб.'!I1618*1000</f>
        <v>22950</v>
      </c>
      <c r="O1618" s="169">
        <f t="shared" si="1100"/>
        <v>0</v>
      </c>
    </row>
    <row r="1619" spans="1:15" s="3" customFormat="1" ht="25.5">
      <c r="A1619" s="152" t="s">
        <v>901</v>
      </c>
      <c r="B1619" s="25" t="s">
        <v>536</v>
      </c>
      <c r="C1619" s="26" t="s">
        <v>53</v>
      </c>
      <c r="D1619" s="26" t="s">
        <v>25</v>
      </c>
      <c r="E1619" s="26" t="s">
        <v>917</v>
      </c>
      <c r="F1619" s="26" t="s">
        <v>58</v>
      </c>
      <c r="G1619" s="27">
        <f>G1620</f>
        <v>25500</v>
      </c>
      <c r="H1619" s="27">
        <f>H1620</f>
        <v>22950</v>
      </c>
      <c r="I1619" s="27">
        <f>I1620</f>
        <v>22950</v>
      </c>
      <c r="J1619" s="16">
        <f>'БА в тыс. руб.'!G1619*1000</f>
        <v>25500</v>
      </c>
      <c r="K1619" s="169">
        <f t="shared" si="1098"/>
        <v>0</v>
      </c>
      <c r="L1619" s="16">
        <f>'БА в тыс. руб.'!H1619*1000</f>
        <v>22950</v>
      </c>
      <c r="M1619" s="169">
        <f t="shared" si="1099"/>
        <v>0</v>
      </c>
      <c r="N1619" s="16">
        <f>'БА в тыс. руб.'!I1619*1000</f>
        <v>22950</v>
      </c>
      <c r="O1619" s="169">
        <f t="shared" si="1100"/>
        <v>0</v>
      </c>
    </row>
    <row r="1620" spans="1:15" s="3" customFormat="1" ht="25.5">
      <c r="A1620" s="152" t="s">
        <v>108</v>
      </c>
      <c r="B1620" s="25" t="s">
        <v>536</v>
      </c>
      <c r="C1620" s="26" t="s">
        <v>53</v>
      </c>
      <c r="D1620" s="26" t="s">
        <v>25</v>
      </c>
      <c r="E1620" s="26" t="s">
        <v>917</v>
      </c>
      <c r="F1620" s="26" t="s">
        <v>116</v>
      </c>
      <c r="G1620" s="27">
        <f>G1621</f>
        <v>25500</v>
      </c>
      <c r="H1620" s="27">
        <f t="shared" ref="H1620:I1620" si="1104">H1621</f>
        <v>22950</v>
      </c>
      <c r="I1620" s="27">
        <f t="shared" si="1104"/>
        <v>22950</v>
      </c>
      <c r="J1620" s="16">
        <f>'БА в тыс. руб.'!G1620*1000</f>
        <v>25500</v>
      </c>
      <c r="K1620" s="169">
        <f t="shared" si="1098"/>
        <v>0</v>
      </c>
      <c r="L1620" s="16">
        <f>'БА в тыс. руб.'!H1620*1000</f>
        <v>22950</v>
      </c>
      <c r="M1620" s="169">
        <f t="shared" si="1099"/>
        <v>0</v>
      </c>
      <c r="N1620" s="16">
        <f>'БА в тыс. руб.'!I1620*1000</f>
        <v>22950</v>
      </c>
      <c r="O1620" s="169">
        <f t="shared" si="1100"/>
        <v>0</v>
      </c>
    </row>
    <row r="1621" spans="1:15" s="94" customFormat="1" ht="25.5">
      <c r="A1621" s="12" t="s">
        <v>973</v>
      </c>
      <c r="B1621" s="25" t="s">
        <v>536</v>
      </c>
      <c r="C1621" s="26" t="s">
        <v>53</v>
      </c>
      <c r="D1621" s="26" t="s">
        <v>25</v>
      </c>
      <c r="E1621" s="26" t="s">
        <v>917</v>
      </c>
      <c r="F1621" s="26" t="s">
        <v>1043</v>
      </c>
      <c r="G1621" s="27">
        <f t="shared" ref="G1621" si="1105">J1621</f>
        <v>25500</v>
      </c>
      <c r="H1621" s="27">
        <f>L1621</f>
        <v>22950</v>
      </c>
      <c r="I1621" s="27">
        <f>N1621</f>
        <v>22950</v>
      </c>
      <c r="J1621" s="16">
        <f>'БА в тыс. руб.'!G1621*1000</f>
        <v>25500</v>
      </c>
      <c r="K1621" s="169">
        <f t="shared" si="1098"/>
        <v>0</v>
      </c>
      <c r="L1621" s="16">
        <f>'БА в тыс. руб.'!H1621*1000</f>
        <v>22950</v>
      </c>
      <c r="M1621" s="169">
        <f t="shared" si="1099"/>
        <v>0</v>
      </c>
      <c r="N1621" s="16">
        <f>'БА в тыс. руб.'!I1621*1000</f>
        <v>22950</v>
      </c>
      <c r="O1621" s="169">
        <f t="shared" si="1100"/>
        <v>0</v>
      </c>
    </row>
    <row r="1622" spans="1:15" s="3" customFormat="1" ht="63.75">
      <c r="A1622" s="11" t="s">
        <v>756</v>
      </c>
      <c r="B1622" s="25" t="s">
        <v>536</v>
      </c>
      <c r="C1622" s="26" t="s">
        <v>53</v>
      </c>
      <c r="D1622" s="26" t="s">
        <v>25</v>
      </c>
      <c r="E1622" s="26" t="s">
        <v>339</v>
      </c>
      <c r="F1622" s="26" t="s">
        <v>58</v>
      </c>
      <c r="G1622" s="27">
        <f>G1623+G1642+G1647</f>
        <v>57332780</v>
      </c>
      <c r="H1622" s="27">
        <f>H1623+H1642+H1647</f>
        <v>53310130</v>
      </c>
      <c r="I1622" s="27">
        <f>I1623+I1642+I1647</f>
        <v>53310130</v>
      </c>
      <c r="J1622" s="16">
        <f>'БА в тыс. руб.'!G1622*1000</f>
        <v>57332780</v>
      </c>
      <c r="K1622" s="169">
        <f t="shared" si="1098"/>
        <v>0</v>
      </c>
      <c r="L1622" s="16">
        <f>'БА в тыс. руб.'!H1622*1000</f>
        <v>53310130.000000007</v>
      </c>
      <c r="M1622" s="169">
        <f t="shared" si="1099"/>
        <v>0</v>
      </c>
      <c r="N1622" s="16">
        <f>'БА в тыс. руб.'!I1622*1000</f>
        <v>53310130.000000007</v>
      </c>
      <c r="O1622" s="169">
        <f t="shared" si="1100"/>
        <v>0</v>
      </c>
    </row>
    <row r="1623" spans="1:15" s="153" customFormat="1" ht="38.25">
      <c r="A1623" s="11" t="s">
        <v>135</v>
      </c>
      <c r="B1623" s="25" t="s">
        <v>536</v>
      </c>
      <c r="C1623" s="26" t="s">
        <v>53</v>
      </c>
      <c r="D1623" s="26" t="s">
        <v>25</v>
      </c>
      <c r="E1623" s="26" t="s">
        <v>542</v>
      </c>
      <c r="F1623" s="26" t="s">
        <v>58</v>
      </c>
      <c r="G1623" s="27">
        <f>G1624+G1628+G1638</f>
        <v>28743790</v>
      </c>
      <c r="H1623" s="27">
        <f>H1624+H1628+H1638</f>
        <v>28785740</v>
      </c>
      <c r="I1623" s="27">
        <f>I1624+I1628+I1638</f>
        <v>28785740</v>
      </c>
      <c r="J1623" s="16">
        <f>'БА в тыс. руб.'!G1623*1000</f>
        <v>28743790</v>
      </c>
      <c r="K1623" s="169">
        <f t="shared" si="1098"/>
        <v>0</v>
      </c>
      <c r="L1623" s="16">
        <f>'БА в тыс. руб.'!H1623*1000</f>
        <v>28785740</v>
      </c>
      <c r="M1623" s="169">
        <f t="shared" si="1099"/>
        <v>0</v>
      </c>
      <c r="N1623" s="16">
        <f>'БА в тыс. руб.'!I1623*1000</f>
        <v>28785740</v>
      </c>
      <c r="O1623" s="169">
        <f t="shared" si="1100"/>
        <v>0</v>
      </c>
    </row>
    <row r="1624" spans="1:15" s="3" customFormat="1" ht="38.25">
      <c r="A1624" s="11" t="s">
        <v>627</v>
      </c>
      <c r="B1624" s="25" t="s">
        <v>536</v>
      </c>
      <c r="C1624" s="26" t="s">
        <v>53</v>
      </c>
      <c r="D1624" s="26" t="s">
        <v>25</v>
      </c>
      <c r="E1624" s="26" t="s">
        <v>543</v>
      </c>
      <c r="F1624" s="26" t="s">
        <v>58</v>
      </c>
      <c r="G1624" s="27">
        <f t="shared" ref="G1624:I1624" si="1106">G1625</f>
        <v>100000</v>
      </c>
      <c r="H1624" s="27">
        <f t="shared" si="1106"/>
        <v>100000</v>
      </c>
      <c r="I1624" s="27">
        <f t="shared" si="1106"/>
        <v>100000</v>
      </c>
      <c r="J1624" s="16">
        <f>'БА в тыс. руб.'!G1624*1000</f>
        <v>100000</v>
      </c>
      <c r="K1624" s="169">
        <f t="shared" si="1098"/>
        <v>0</v>
      </c>
      <c r="L1624" s="16">
        <f>'БА в тыс. руб.'!H1624*1000</f>
        <v>100000</v>
      </c>
      <c r="M1624" s="169">
        <f t="shared" si="1099"/>
        <v>0</v>
      </c>
      <c r="N1624" s="16">
        <f>'БА в тыс. руб.'!I1624*1000</f>
        <v>100000</v>
      </c>
      <c r="O1624" s="169">
        <f t="shared" si="1100"/>
        <v>0</v>
      </c>
    </row>
    <row r="1625" spans="1:15" s="3" customFormat="1" ht="51">
      <c r="A1625" s="152" t="s">
        <v>625</v>
      </c>
      <c r="B1625" s="25" t="s">
        <v>536</v>
      </c>
      <c r="C1625" s="26" t="s">
        <v>53</v>
      </c>
      <c r="D1625" s="26" t="s">
        <v>25</v>
      </c>
      <c r="E1625" s="26" t="s">
        <v>544</v>
      </c>
      <c r="F1625" s="26" t="s">
        <v>58</v>
      </c>
      <c r="G1625" s="27">
        <f>G1626</f>
        <v>100000</v>
      </c>
      <c r="H1625" s="27">
        <f>H1626</f>
        <v>100000</v>
      </c>
      <c r="I1625" s="27">
        <f>I1626</f>
        <v>100000</v>
      </c>
      <c r="J1625" s="16">
        <f>'БА в тыс. руб.'!G1625*1000</f>
        <v>100000</v>
      </c>
      <c r="K1625" s="169">
        <f t="shared" si="1098"/>
        <v>0</v>
      </c>
      <c r="L1625" s="16">
        <f>'БА в тыс. руб.'!H1625*1000</f>
        <v>100000</v>
      </c>
      <c r="M1625" s="169">
        <f t="shared" si="1099"/>
        <v>0</v>
      </c>
      <c r="N1625" s="16">
        <f>'БА в тыс. руб.'!I1625*1000</f>
        <v>100000</v>
      </c>
      <c r="O1625" s="169">
        <f t="shared" si="1100"/>
        <v>0</v>
      </c>
    </row>
    <row r="1626" spans="1:15" s="3" customFormat="1" ht="25.5">
      <c r="A1626" s="11" t="s">
        <v>108</v>
      </c>
      <c r="B1626" s="25" t="s">
        <v>536</v>
      </c>
      <c r="C1626" s="26" t="s">
        <v>53</v>
      </c>
      <c r="D1626" s="26" t="s">
        <v>25</v>
      </c>
      <c r="E1626" s="26" t="s">
        <v>544</v>
      </c>
      <c r="F1626" s="26" t="s">
        <v>116</v>
      </c>
      <c r="G1626" s="27">
        <f>G1627</f>
        <v>100000</v>
      </c>
      <c r="H1626" s="27">
        <f t="shared" ref="H1626:I1626" si="1107">H1627</f>
        <v>100000</v>
      </c>
      <c r="I1626" s="27">
        <f t="shared" si="1107"/>
        <v>100000</v>
      </c>
      <c r="J1626" s="16">
        <f>'БА в тыс. руб.'!G1626*1000</f>
        <v>100000</v>
      </c>
      <c r="K1626" s="169">
        <f t="shared" si="1098"/>
        <v>0</v>
      </c>
      <c r="L1626" s="16">
        <f>'БА в тыс. руб.'!H1626*1000</f>
        <v>100000</v>
      </c>
      <c r="M1626" s="169">
        <f t="shared" si="1099"/>
        <v>0</v>
      </c>
      <c r="N1626" s="16">
        <f>'БА в тыс. руб.'!I1626*1000</f>
        <v>100000</v>
      </c>
      <c r="O1626" s="169">
        <f t="shared" si="1100"/>
        <v>0</v>
      </c>
    </row>
    <row r="1627" spans="1:15" s="4" customFormat="1" ht="25.5">
      <c r="A1627" s="12" t="s">
        <v>973</v>
      </c>
      <c r="B1627" s="25" t="s">
        <v>536</v>
      </c>
      <c r="C1627" s="26" t="s">
        <v>53</v>
      </c>
      <c r="D1627" s="26" t="s">
        <v>25</v>
      </c>
      <c r="E1627" s="26" t="s">
        <v>544</v>
      </c>
      <c r="F1627" s="26" t="s">
        <v>1043</v>
      </c>
      <c r="G1627" s="27">
        <f t="shared" ref="G1627" si="1108">J1627</f>
        <v>100000</v>
      </c>
      <c r="H1627" s="27">
        <f>L1627</f>
        <v>100000</v>
      </c>
      <c r="I1627" s="27">
        <f>N1627</f>
        <v>100000</v>
      </c>
      <c r="J1627" s="16">
        <f>'БА в тыс. руб.'!G1627*1000</f>
        <v>100000</v>
      </c>
      <c r="K1627" s="169">
        <f t="shared" si="1098"/>
        <v>0</v>
      </c>
      <c r="L1627" s="16">
        <f>'БА в тыс. руб.'!H1627*1000</f>
        <v>100000</v>
      </c>
      <c r="M1627" s="169">
        <f t="shared" si="1099"/>
        <v>0</v>
      </c>
      <c r="N1627" s="16">
        <f>'БА в тыс. руб.'!I1627*1000</f>
        <v>100000</v>
      </c>
      <c r="O1627" s="169">
        <f t="shared" si="1100"/>
        <v>0</v>
      </c>
    </row>
    <row r="1628" spans="1:15" s="3" customFormat="1" ht="25.5">
      <c r="A1628" s="152" t="s">
        <v>862</v>
      </c>
      <c r="B1628" s="25" t="s">
        <v>536</v>
      </c>
      <c r="C1628" s="26" t="s">
        <v>53</v>
      </c>
      <c r="D1628" s="26" t="s">
        <v>25</v>
      </c>
      <c r="E1628" s="26" t="s">
        <v>545</v>
      </c>
      <c r="F1628" s="26" t="s">
        <v>58</v>
      </c>
      <c r="G1628" s="27">
        <f>G1629</f>
        <v>28213790</v>
      </c>
      <c r="H1628" s="27">
        <f>H1629</f>
        <v>28255740</v>
      </c>
      <c r="I1628" s="27">
        <f>I1629</f>
        <v>28255740</v>
      </c>
      <c r="J1628" s="16">
        <f>'БА в тыс. руб.'!G1628*1000</f>
        <v>28213790</v>
      </c>
      <c r="K1628" s="169">
        <f t="shared" si="1098"/>
        <v>0</v>
      </c>
      <c r="L1628" s="16">
        <f>'БА в тыс. руб.'!H1628*1000</f>
        <v>28255740</v>
      </c>
      <c r="M1628" s="169">
        <f t="shared" si="1099"/>
        <v>0</v>
      </c>
      <c r="N1628" s="16">
        <f>'БА в тыс. руб.'!I1628*1000</f>
        <v>28255740</v>
      </c>
      <c r="O1628" s="169">
        <f t="shared" si="1100"/>
        <v>0</v>
      </c>
    </row>
    <row r="1629" spans="1:15" s="3" customFormat="1" ht="25.5">
      <c r="A1629" s="152" t="s">
        <v>247</v>
      </c>
      <c r="B1629" s="25" t="s">
        <v>536</v>
      </c>
      <c r="C1629" s="26" t="s">
        <v>53</v>
      </c>
      <c r="D1629" s="26" t="s">
        <v>25</v>
      </c>
      <c r="E1629" s="26" t="s">
        <v>819</v>
      </c>
      <c r="F1629" s="26" t="s">
        <v>58</v>
      </c>
      <c r="G1629" s="27">
        <f>G1630+G1633+G1635</f>
        <v>28213790</v>
      </c>
      <c r="H1629" s="27">
        <f t="shared" ref="H1629:I1629" si="1109">H1630+H1633+H1635</f>
        <v>28255740</v>
      </c>
      <c r="I1629" s="27">
        <f t="shared" si="1109"/>
        <v>28255740</v>
      </c>
      <c r="J1629" s="16">
        <f>'БА в тыс. руб.'!G1629*1000</f>
        <v>28213790</v>
      </c>
      <c r="K1629" s="169">
        <f t="shared" si="1098"/>
        <v>0</v>
      </c>
      <c r="L1629" s="16">
        <f>'БА в тыс. руб.'!H1629*1000</f>
        <v>28255740</v>
      </c>
      <c r="M1629" s="169">
        <f t="shared" si="1099"/>
        <v>0</v>
      </c>
      <c r="N1629" s="16">
        <f>'БА в тыс. руб.'!I1629*1000</f>
        <v>28255740</v>
      </c>
      <c r="O1629" s="169">
        <f t="shared" si="1100"/>
        <v>0</v>
      </c>
    </row>
    <row r="1630" spans="1:15" s="3" customFormat="1">
      <c r="A1630" s="11" t="s">
        <v>106</v>
      </c>
      <c r="B1630" s="25" t="s">
        <v>536</v>
      </c>
      <c r="C1630" s="26" t="s">
        <v>53</v>
      </c>
      <c r="D1630" s="26" t="s">
        <v>25</v>
      </c>
      <c r="E1630" s="26" t="s">
        <v>819</v>
      </c>
      <c r="F1630" s="26" t="s">
        <v>121</v>
      </c>
      <c r="G1630" s="27">
        <f>SUM(G1631:G1632)</f>
        <v>23050520</v>
      </c>
      <c r="H1630" s="27">
        <f t="shared" ref="H1630:I1630" si="1110">SUM(H1631:H1632)</f>
        <v>23050520</v>
      </c>
      <c r="I1630" s="27">
        <f t="shared" si="1110"/>
        <v>23050520</v>
      </c>
      <c r="J1630" s="16">
        <f>'БА в тыс. руб.'!G1630*1000</f>
        <v>23050520</v>
      </c>
      <c r="K1630" s="169">
        <f t="shared" si="1098"/>
        <v>0</v>
      </c>
      <c r="L1630" s="16">
        <f>'БА в тыс. руб.'!H1630*1000</f>
        <v>23050520</v>
      </c>
      <c r="M1630" s="169">
        <f t="shared" si="1099"/>
        <v>0</v>
      </c>
      <c r="N1630" s="16">
        <f>'БА в тыс. руб.'!I1630*1000</f>
        <v>23050520</v>
      </c>
      <c r="O1630" s="169">
        <f t="shared" si="1100"/>
        <v>0</v>
      </c>
    </row>
    <row r="1631" spans="1:15" s="4" customFormat="1">
      <c r="A1631" s="12" t="s">
        <v>932</v>
      </c>
      <c r="B1631" s="25" t="s">
        <v>536</v>
      </c>
      <c r="C1631" s="26" t="s">
        <v>53</v>
      </c>
      <c r="D1631" s="26" t="s">
        <v>25</v>
      </c>
      <c r="E1631" s="26" t="s">
        <v>819</v>
      </c>
      <c r="F1631" s="26" t="s">
        <v>1056</v>
      </c>
      <c r="G1631" s="27">
        <f t="shared" ref="G1631:G1632" si="1111">J1631</f>
        <v>17703930</v>
      </c>
      <c r="H1631" s="27">
        <f t="shared" ref="H1631:H1632" si="1112">L1631</f>
        <v>17703930</v>
      </c>
      <c r="I1631" s="27">
        <f t="shared" ref="I1631:I1632" si="1113">N1631</f>
        <v>17703930</v>
      </c>
      <c r="J1631" s="16">
        <f>'БА в тыс. руб.'!G1631*1000</f>
        <v>17703930</v>
      </c>
      <c r="K1631" s="169">
        <f t="shared" si="1098"/>
        <v>0</v>
      </c>
      <c r="L1631" s="16">
        <f>'БА в тыс. руб.'!H1631*1000</f>
        <v>17703930</v>
      </c>
      <c r="M1631" s="169">
        <f t="shared" si="1099"/>
        <v>0</v>
      </c>
      <c r="N1631" s="16">
        <f>'БА в тыс. руб.'!I1631*1000</f>
        <v>17703930</v>
      </c>
      <c r="O1631" s="169">
        <f t="shared" si="1100"/>
        <v>0</v>
      </c>
    </row>
    <row r="1632" spans="1:15" s="4" customFormat="1" ht="38.25">
      <c r="A1632" s="12" t="s">
        <v>935</v>
      </c>
      <c r="B1632" s="25" t="s">
        <v>536</v>
      </c>
      <c r="C1632" s="26" t="s">
        <v>53</v>
      </c>
      <c r="D1632" s="26" t="s">
        <v>25</v>
      </c>
      <c r="E1632" s="26" t="s">
        <v>819</v>
      </c>
      <c r="F1632" s="26" t="s">
        <v>1057</v>
      </c>
      <c r="G1632" s="27">
        <f t="shared" si="1111"/>
        <v>5346590</v>
      </c>
      <c r="H1632" s="27">
        <f t="shared" si="1112"/>
        <v>5346590</v>
      </c>
      <c r="I1632" s="27">
        <f t="shared" si="1113"/>
        <v>5346590</v>
      </c>
      <c r="J1632" s="16">
        <f>'БА в тыс. руб.'!G1632*1000</f>
        <v>5346590</v>
      </c>
      <c r="K1632" s="169">
        <f t="shared" si="1098"/>
        <v>0</v>
      </c>
      <c r="L1632" s="16">
        <f>'БА в тыс. руб.'!H1632*1000</f>
        <v>5346590</v>
      </c>
      <c r="M1632" s="169">
        <f t="shared" si="1099"/>
        <v>0</v>
      </c>
      <c r="N1632" s="16">
        <f>'БА в тыс. руб.'!I1632*1000</f>
        <v>5346590</v>
      </c>
      <c r="O1632" s="169">
        <f t="shared" si="1100"/>
        <v>0</v>
      </c>
    </row>
    <row r="1633" spans="1:15" s="3" customFormat="1" ht="25.5">
      <c r="A1633" s="152" t="s">
        <v>108</v>
      </c>
      <c r="B1633" s="25" t="s">
        <v>536</v>
      </c>
      <c r="C1633" s="26" t="s">
        <v>53</v>
      </c>
      <c r="D1633" s="26" t="s">
        <v>25</v>
      </c>
      <c r="E1633" s="26" t="s">
        <v>819</v>
      </c>
      <c r="F1633" s="26" t="s">
        <v>116</v>
      </c>
      <c r="G1633" s="27">
        <f>G1634</f>
        <v>4044270</v>
      </c>
      <c r="H1633" s="27">
        <f t="shared" ref="H1633:I1633" si="1114">H1634</f>
        <v>4264220</v>
      </c>
      <c r="I1633" s="27">
        <f t="shared" si="1114"/>
        <v>4264220</v>
      </c>
      <c r="J1633" s="16">
        <f>'БА в тыс. руб.'!G1633*1000</f>
        <v>4044270</v>
      </c>
      <c r="K1633" s="169">
        <f t="shared" si="1098"/>
        <v>0</v>
      </c>
      <c r="L1633" s="16">
        <f>'БА в тыс. руб.'!H1633*1000</f>
        <v>4264220</v>
      </c>
      <c r="M1633" s="169">
        <f t="shared" si="1099"/>
        <v>0</v>
      </c>
      <c r="N1633" s="16">
        <f>'БА в тыс. руб.'!I1633*1000</f>
        <v>4264220</v>
      </c>
      <c r="O1633" s="169">
        <f t="shared" si="1100"/>
        <v>0</v>
      </c>
    </row>
    <row r="1634" spans="1:15" s="4" customFormat="1" ht="25.5">
      <c r="A1634" s="12" t="s">
        <v>973</v>
      </c>
      <c r="B1634" s="25" t="s">
        <v>536</v>
      </c>
      <c r="C1634" s="26" t="s">
        <v>53</v>
      </c>
      <c r="D1634" s="26" t="s">
        <v>25</v>
      </c>
      <c r="E1634" s="26" t="s">
        <v>819</v>
      </c>
      <c r="F1634" s="26" t="s">
        <v>1043</v>
      </c>
      <c r="G1634" s="27">
        <f t="shared" ref="G1634" si="1115">J1634</f>
        <v>4044270</v>
      </c>
      <c r="H1634" s="27">
        <f>L1634</f>
        <v>4264220</v>
      </c>
      <c r="I1634" s="27">
        <f>N1634</f>
        <v>4264220</v>
      </c>
      <c r="J1634" s="16">
        <f>'БА в тыс. руб.'!G1634*1000</f>
        <v>4044270</v>
      </c>
      <c r="K1634" s="169">
        <f t="shared" si="1098"/>
        <v>0</v>
      </c>
      <c r="L1634" s="16">
        <f>'БА в тыс. руб.'!H1634*1000</f>
        <v>4264220</v>
      </c>
      <c r="M1634" s="169">
        <f t="shared" si="1099"/>
        <v>0</v>
      </c>
      <c r="N1634" s="16">
        <f>'БА в тыс. руб.'!I1634*1000</f>
        <v>4264220</v>
      </c>
      <c r="O1634" s="169">
        <f t="shared" si="1100"/>
        <v>0</v>
      </c>
    </row>
    <row r="1635" spans="1:15" s="3" customFormat="1">
      <c r="A1635" s="152" t="s">
        <v>97</v>
      </c>
      <c r="B1635" s="25" t="s">
        <v>536</v>
      </c>
      <c r="C1635" s="26" t="s">
        <v>53</v>
      </c>
      <c r="D1635" s="26" t="s">
        <v>25</v>
      </c>
      <c r="E1635" s="26" t="s">
        <v>819</v>
      </c>
      <c r="F1635" s="26" t="s">
        <v>118</v>
      </c>
      <c r="G1635" s="27">
        <f>SUM(G1636:G1637)</f>
        <v>1119000</v>
      </c>
      <c r="H1635" s="27">
        <f t="shared" ref="H1635:I1635" si="1116">SUM(H1636:H1637)</f>
        <v>941000</v>
      </c>
      <c r="I1635" s="27">
        <f t="shared" si="1116"/>
        <v>941000</v>
      </c>
      <c r="J1635" s="16">
        <f>'БА в тыс. руб.'!G1635*1000</f>
        <v>1119000</v>
      </c>
      <c r="K1635" s="169">
        <f t="shared" si="1098"/>
        <v>0</v>
      </c>
      <c r="L1635" s="16">
        <f>'БА в тыс. руб.'!H1635*1000</f>
        <v>941000</v>
      </c>
      <c r="M1635" s="169">
        <f t="shared" si="1099"/>
        <v>0</v>
      </c>
      <c r="N1635" s="16">
        <f>'БА в тыс. руб.'!I1635*1000</f>
        <v>941000</v>
      </c>
      <c r="O1635" s="169">
        <f t="shared" si="1100"/>
        <v>0</v>
      </c>
    </row>
    <row r="1636" spans="1:15" s="4" customFormat="1">
      <c r="A1636" s="12" t="s">
        <v>1036</v>
      </c>
      <c r="B1636" s="25" t="s">
        <v>536</v>
      </c>
      <c r="C1636" s="26" t="s">
        <v>53</v>
      </c>
      <c r="D1636" s="26" t="s">
        <v>25</v>
      </c>
      <c r="E1636" s="26" t="s">
        <v>819</v>
      </c>
      <c r="F1636" s="26" t="s">
        <v>1061</v>
      </c>
      <c r="G1636" s="27">
        <f t="shared" ref="G1636:G1637" si="1117">J1636</f>
        <v>1080000</v>
      </c>
      <c r="H1636" s="27">
        <f t="shared" ref="H1636:H1637" si="1118">L1636</f>
        <v>901000</v>
      </c>
      <c r="I1636" s="27">
        <f t="shared" ref="I1636:I1637" si="1119">N1636</f>
        <v>901000</v>
      </c>
      <c r="J1636" s="16">
        <f>'БА в тыс. руб.'!G1636*1000</f>
        <v>1080000</v>
      </c>
      <c r="K1636" s="169">
        <f t="shared" si="1098"/>
        <v>0</v>
      </c>
      <c r="L1636" s="16">
        <f>'БА в тыс. руб.'!H1636*1000</f>
        <v>901000</v>
      </c>
      <c r="M1636" s="169">
        <f t="shared" si="1099"/>
        <v>0</v>
      </c>
      <c r="N1636" s="16">
        <f>'БА в тыс. руб.'!I1636*1000</f>
        <v>901000</v>
      </c>
      <c r="O1636" s="169">
        <f t="shared" si="1100"/>
        <v>0</v>
      </c>
    </row>
    <row r="1637" spans="1:15" s="94" customFormat="1">
      <c r="A1637" s="12" t="s">
        <v>1037</v>
      </c>
      <c r="B1637" s="25" t="s">
        <v>536</v>
      </c>
      <c r="C1637" s="26" t="s">
        <v>53</v>
      </c>
      <c r="D1637" s="26" t="s">
        <v>25</v>
      </c>
      <c r="E1637" s="26" t="s">
        <v>819</v>
      </c>
      <c r="F1637" s="26" t="s">
        <v>1062</v>
      </c>
      <c r="G1637" s="27">
        <f t="shared" si="1117"/>
        <v>39000</v>
      </c>
      <c r="H1637" s="27">
        <f t="shared" si="1118"/>
        <v>40000</v>
      </c>
      <c r="I1637" s="27">
        <f t="shared" si="1119"/>
        <v>40000</v>
      </c>
      <c r="J1637" s="16">
        <f>'БА в тыс. руб.'!G1637*1000</f>
        <v>39000</v>
      </c>
      <c r="K1637" s="169">
        <f t="shared" si="1098"/>
        <v>0</v>
      </c>
      <c r="L1637" s="16">
        <f>'БА в тыс. руб.'!H1637*1000</f>
        <v>40000</v>
      </c>
      <c r="M1637" s="169">
        <f t="shared" si="1099"/>
        <v>0</v>
      </c>
      <c r="N1637" s="16">
        <f>'БА в тыс. руб.'!I1637*1000</f>
        <v>40000</v>
      </c>
      <c r="O1637" s="169">
        <f t="shared" si="1100"/>
        <v>0</v>
      </c>
    </row>
    <row r="1638" spans="1:15" s="3" customFormat="1" ht="25.5">
      <c r="A1638" s="152" t="s">
        <v>617</v>
      </c>
      <c r="B1638" s="25" t="s">
        <v>536</v>
      </c>
      <c r="C1638" s="26" t="s">
        <v>53</v>
      </c>
      <c r="D1638" s="26" t="s">
        <v>25</v>
      </c>
      <c r="E1638" s="26" t="s">
        <v>626</v>
      </c>
      <c r="F1638" s="26" t="s">
        <v>58</v>
      </c>
      <c r="G1638" s="27">
        <f t="shared" ref="G1638:I1638" si="1120">G1639</f>
        <v>430000</v>
      </c>
      <c r="H1638" s="27">
        <f t="shared" si="1120"/>
        <v>430000</v>
      </c>
      <c r="I1638" s="27">
        <f t="shared" si="1120"/>
        <v>430000</v>
      </c>
      <c r="J1638" s="16">
        <f>'БА в тыс. руб.'!G1638*1000</f>
        <v>430000</v>
      </c>
      <c r="K1638" s="169">
        <f t="shared" si="1098"/>
        <v>0</v>
      </c>
      <c r="L1638" s="16">
        <f>'БА в тыс. руб.'!H1638*1000</f>
        <v>430000</v>
      </c>
      <c r="M1638" s="169">
        <f t="shared" si="1099"/>
        <v>0</v>
      </c>
      <c r="N1638" s="16">
        <f>'БА в тыс. руб.'!I1638*1000</f>
        <v>430000</v>
      </c>
      <c r="O1638" s="169">
        <f t="shared" si="1100"/>
        <v>0</v>
      </c>
    </row>
    <row r="1639" spans="1:15" s="3" customFormat="1" ht="51">
      <c r="A1639" s="11" t="s">
        <v>172</v>
      </c>
      <c r="B1639" s="25" t="s">
        <v>536</v>
      </c>
      <c r="C1639" s="26" t="s">
        <v>53</v>
      </c>
      <c r="D1639" s="26" t="s">
        <v>25</v>
      </c>
      <c r="E1639" s="26" t="s">
        <v>820</v>
      </c>
      <c r="F1639" s="26" t="s">
        <v>58</v>
      </c>
      <c r="G1639" s="27">
        <f>G1640</f>
        <v>430000</v>
      </c>
      <c r="H1639" s="27">
        <f>H1640</f>
        <v>430000</v>
      </c>
      <c r="I1639" s="27">
        <f>I1640</f>
        <v>430000</v>
      </c>
      <c r="J1639" s="16">
        <f>'БА в тыс. руб.'!G1639*1000</f>
        <v>430000</v>
      </c>
      <c r="K1639" s="169">
        <f t="shared" si="1098"/>
        <v>0</v>
      </c>
      <c r="L1639" s="16">
        <f>'БА в тыс. руб.'!H1639*1000</f>
        <v>430000</v>
      </c>
      <c r="M1639" s="169">
        <f t="shared" si="1099"/>
        <v>0</v>
      </c>
      <c r="N1639" s="16">
        <f>'БА в тыс. руб.'!I1639*1000</f>
        <v>430000</v>
      </c>
      <c r="O1639" s="169">
        <f t="shared" si="1100"/>
        <v>0</v>
      </c>
    </row>
    <row r="1640" spans="1:15" s="3" customFormat="1" ht="25.5">
      <c r="A1640" s="152" t="s">
        <v>108</v>
      </c>
      <c r="B1640" s="25" t="s">
        <v>536</v>
      </c>
      <c r="C1640" s="26" t="s">
        <v>53</v>
      </c>
      <c r="D1640" s="26" t="s">
        <v>25</v>
      </c>
      <c r="E1640" s="26" t="s">
        <v>820</v>
      </c>
      <c r="F1640" s="26" t="s">
        <v>116</v>
      </c>
      <c r="G1640" s="27">
        <f>G1641</f>
        <v>430000</v>
      </c>
      <c r="H1640" s="27">
        <f t="shared" ref="H1640:I1640" si="1121">H1641</f>
        <v>430000</v>
      </c>
      <c r="I1640" s="27">
        <f t="shared" si="1121"/>
        <v>430000</v>
      </c>
      <c r="J1640" s="16">
        <f>'БА в тыс. руб.'!G1640*1000</f>
        <v>430000</v>
      </c>
      <c r="K1640" s="169">
        <f t="shared" si="1098"/>
        <v>0</v>
      </c>
      <c r="L1640" s="16">
        <f>'БА в тыс. руб.'!H1640*1000</f>
        <v>430000</v>
      </c>
      <c r="M1640" s="169">
        <f t="shared" si="1099"/>
        <v>0</v>
      </c>
      <c r="N1640" s="16">
        <f>'БА в тыс. руб.'!I1640*1000</f>
        <v>430000</v>
      </c>
      <c r="O1640" s="169">
        <f t="shared" si="1100"/>
        <v>0</v>
      </c>
    </row>
    <row r="1641" spans="1:15" s="4" customFormat="1" ht="25.5">
      <c r="A1641" s="12" t="s">
        <v>973</v>
      </c>
      <c r="B1641" s="25" t="s">
        <v>536</v>
      </c>
      <c r="C1641" s="26" t="s">
        <v>53</v>
      </c>
      <c r="D1641" s="26" t="s">
        <v>25</v>
      </c>
      <c r="E1641" s="26" t="s">
        <v>820</v>
      </c>
      <c r="F1641" s="26" t="s">
        <v>1043</v>
      </c>
      <c r="G1641" s="27">
        <f t="shared" ref="G1641" si="1122">J1641</f>
        <v>430000</v>
      </c>
      <c r="H1641" s="27">
        <f>L1641</f>
        <v>430000</v>
      </c>
      <c r="I1641" s="27">
        <f>N1641</f>
        <v>430000</v>
      </c>
      <c r="J1641" s="16">
        <f>'БА в тыс. руб.'!G1641*1000</f>
        <v>430000</v>
      </c>
      <c r="K1641" s="169">
        <f t="shared" si="1098"/>
        <v>0</v>
      </c>
      <c r="L1641" s="16">
        <f>'БА в тыс. руб.'!H1641*1000</f>
        <v>430000</v>
      </c>
      <c r="M1641" s="169">
        <f t="shared" si="1099"/>
        <v>0</v>
      </c>
      <c r="N1641" s="16">
        <f>'БА в тыс. руб.'!I1641*1000</f>
        <v>430000</v>
      </c>
      <c r="O1641" s="169">
        <f t="shared" si="1100"/>
        <v>0</v>
      </c>
    </row>
    <row r="1642" spans="1:15" s="153" customFormat="1" ht="25.5">
      <c r="A1642" s="11" t="s">
        <v>136</v>
      </c>
      <c r="B1642" s="25" t="s">
        <v>536</v>
      </c>
      <c r="C1642" s="26" t="s">
        <v>53</v>
      </c>
      <c r="D1642" s="26" t="s">
        <v>25</v>
      </c>
      <c r="E1642" s="26" t="s">
        <v>340</v>
      </c>
      <c r="F1642" s="26" t="s">
        <v>58</v>
      </c>
      <c r="G1642" s="27">
        <f t="shared" ref="G1642:I1643" si="1123">G1643</f>
        <v>1712740</v>
      </c>
      <c r="H1642" s="27">
        <f t="shared" si="1123"/>
        <v>435000</v>
      </c>
      <c r="I1642" s="27">
        <f t="shared" si="1123"/>
        <v>435000</v>
      </c>
      <c r="J1642" s="16">
        <f>'БА в тыс. руб.'!G1642*1000</f>
        <v>1712740</v>
      </c>
      <c r="K1642" s="169">
        <f t="shared" si="1098"/>
        <v>0</v>
      </c>
      <c r="L1642" s="16">
        <f>'БА в тыс. руб.'!H1642*1000</f>
        <v>435000</v>
      </c>
      <c r="M1642" s="169">
        <f t="shared" si="1099"/>
        <v>0</v>
      </c>
      <c r="N1642" s="16">
        <f>'БА в тыс. руб.'!I1642*1000</f>
        <v>435000</v>
      </c>
      <c r="O1642" s="169">
        <f t="shared" si="1100"/>
        <v>0</v>
      </c>
    </row>
    <row r="1643" spans="1:15" s="3" customFormat="1" ht="25.5">
      <c r="A1643" s="152" t="s">
        <v>863</v>
      </c>
      <c r="B1643" s="25" t="s">
        <v>536</v>
      </c>
      <c r="C1643" s="26" t="s">
        <v>53</v>
      </c>
      <c r="D1643" s="26" t="s">
        <v>25</v>
      </c>
      <c r="E1643" s="26" t="s">
        <v>341</v>
      </c>
      <c r="F1643" s="26" t="s">
        <v>58</v>
      </c>
      <c r="G1643" s="27">
        <f t="shared" si="1123"/>
        <v>1712740</v>
      </c>
      <c r="H1643" s="27">
        <f t="shared" si="1123"/>
        <v>435000</v>
      </c>
      <c r="I1643" s="27">
        <f t="shared" si="1123"/>
        <v>435000</v>
      </c>
      <c r="J1643" s="16">
        <f>'БА в тыс. руб.'!G1643*1000</f>
        <v>1712740</v>
      </c>
      <c r="K1643" s="169">
        <f t="shared" si="1098"/>
        <v>0</v>
      </c>
      <c r="L1643" s="16">
        <f>'БА в тыс. руб.'!H1643*1000</f>
        <v>435000</v>
      </c>
      <c r="M1643" s="169">
        <f t="shared" si="1099"/>
        <v>0</v>
      </c>
      <c r="N1643" s="16">
        <f>'БА в тыс. руб.'!I1643*1000</f>
        <v>435000</v>
      </c>
      <c r="O1643" s="169">
        <f t="shared" si="1100"/>
        <v>0</v>
      </c>
    </row>
    <row r="1644" spans="1:15" s="3" customFormat="1" ht="25.5">
      <c r="A1644" s="152" t="s">
        <v>137</v>
      </c>
      <c r="B1644" s="25" t="s">
        <v>536</v>
      </c>
      <c r="C1644" s="26" t="s">
        <v>53</v>
      </c>
      <c r="D1644" s="26" t="s">
        <v>25</v>
      </c>
      <c r="E1644" s="26" t="s">
        <v>546</v>
      </c>
      <c r="F1644" s="26" t="s">
        <v>58</v>
      </c>
      <c r="G1644" s="27">
        <f>G1645</f>
        <v>1712740</v>
      </c>
      <c r="H1644" s="27">
        <f>H1645</f>
        <v>435000</v>
      </c>
      <c r="I1644" s="27">
        <f>I1645</f>
        <v>435000</v>
      </c>
      <c r="J1644" s="16">
        <f>'БА в тыс. руб.'!G1644*1000</f>
        <v>1712740</v>
      </c>
      <c r="K1644" s="169">
        <f t="shared" si="1098"/>
        <v>0</v>
      </c>
      <c r="L1644" s="16">
        <f>'БА в тыс. руб.'!H1644*1000</f>
        <v>435000</v>
      </c>
      <c r="M1644" s="169">
        <f t="shared" si="1099"/>
        <v>0</v>
      </c>
      <c r="N1644" s="16">
        <f>'БА в тыс. руб.'!I1644*1000</f>
        <v>435000</v>
      </c>
      <c r="O1644" s="169">
        <f t="shared" si="1100"/>
        <v>0</v>
      </c>
    </row>
    <row r="1645" spans="1:15" s="3" customFormat="1" ht="25.5">
      <c r="A1645" s="11" t="s">
        <v>108</v>
      </c>
      <c r="B1645" s="25" t="s">
        <v>536</v>
      </c>
      <c r="C1645" s="26" t="s">
        <v>53</v>
      </c>
      <c r="D1645" s="26" t="s">
        <v>25</v>
      </c>
      <c r="E1645" s="26" t="s">
        <v>546</v>
      </c>
      <c r="F1645" s="26" t="s">
        <v>116</v>
      </c>
      <c r="G1645" s="27">
        <f>G1646</f>
        <v>1712740</v>
      </c>
      <c r="H1645" s="27">
        <f t="shared" ref="H1645:I1645" si="1124">H1646</f>
        <v>435000</v>
      </c>
      <c r="I1645" s="27">
        <f t="shared" si="1124"/>
        <v>435000</v>
      </c>
      <c r="J1645" s="16">
        <f>'БА в тыс. руб.'!G1645*1000</f>
        <v>1712740</v>
      </c>
      <c r="K1645" s="169">
        <f t="shared" si="1098"/>
        <v>0</v>
      </c>
      <c r="L1645" s="16">
        <f>'БА в тыс. руб.'!H1645*1000</f>
        <v>435000</v>
      </c>
      <c r="M1645" s="169">
        <f t="shared" si="1099"/>
        <v>0</v>
      </c>
      <c r="N1645" s="16">
        <f>'БА в тыс. руб.'!I1645*1000</f>
        <v>435000</v>
      </c>
      <c r="O1645" s="169">
        <f t="shared" si="1100"/>
        <v>0</v>
      </c>
    </row>
    <row r="1646" spans="1:15" s="4" customFormat="1" ht="25.5">
      <c r="A1646" s="12" t="s">
        <v>973</v>
      </c>
      <c r="B1646" s="25" t="s">
        <v>536</v>
      </c>
      <c r="C1646" s="26" t="s">
        <v>53</v>
      </c>
      <c r="D1646" s="26" t="s">
        <v>25</v>
      </c>
      <c r="E1646" s="26" t="s">
        <v>546</v>
      </c>
      <c r="F1646" s="26" t="s">
        <v>1043</v>
      </c>
      <c r="G1646" s="27">
        <f t="shared" ref="G1646" si="1125">J1646</f>
        <v>1712740</v>
      </c>
      <c r="H1646" s="27">
        <f>L1646</f>
        <v>435000</v>
      </c>
      <c r="I1646" s="27">
        <f>N1646</f>
        <v>435000</v>
      </c>
      <c r="J1646" s="16">
        <f>'БА в тыс. руб.'!G1646*1000</f>
        <v>1712740</v>
      </c>
      <c r="K1646" s="169">
        <f t="shared" si="1098"/>
        <v>0</v>
      </c>
      <c r="L1646" s="16">
        <f>'БА в тыс. руб.'!H1646*1000</f>
        <v>435000</v>
      </c>
      <c r="M1646" s="169">
        <f t="shared" si="1099"/>
        <v>0</v>
      </c>
      <c r="N1646" s="16">
        <f>'БА в тыс. руб.'!I1646*1000</f>
        <v>435000</v>
      </c>
      <c r="O1646" s="169">
        <f t="shared" si="1100"/>
        <v>0</v>
      </c>
    </row>
    <row r="1647" spans="1:15" s="3" customFormat="1" ht="25.5">
      <c r="A1647" s="11" t="s">
        <v>822</v>
      </c>
      <c r="B1647" s="25" t="s">
        <v>536</v>
      </c>
      <c r="C1647" s="26" t="s">
        <v>53</v>
      </c>
      <c r="D1647" s="26" t="s">
        <v>25</v>
      </c>
      <c r="E1647" s="26" t="s">
        <v>821</v>
      </c>
      <c r="F1647" s="26" t="s">
        <v>58</v>
      </c>
      <c r="G1647" s="27">
        <f>G1648+G1658+G1662+G1666</f>
        <v>26876250</v>
      </c>
      <c r="H1647" s="27">
        <f>H1648+H1658+H1662+H1666</f>
        <v>24089390</v>
      </c>
      <c r="I1647" s="27">
        <f>I1648+I1658+I1662+I1666</f>
        <v>24089390</v>
      </c>
      <c r="J1647" s="16">
        <f>'БА в тыс. руб.'!G1647*1000</f>
        <v>26876250</v>
      </c>
      <c r="K1647" s="169">
        <f t="shared" si="1098"/>
        <v>0</v>
      </c>
      <c r="L1647" s="16">
        <f>'БА в тыс. руб.'!H1647*1000</f>
        <v>24089390.000000004</v>
      </c>
      <c r="M1647" s="169">
        <f t="shared" si="1099"/>
        <v>0</v>
      </c>
      <c r="N1647" s="16">
        <f>'БА в тыс. руб.'!I1647*1000</f>
        <v>24089390.000000004</v>
      </c>
      <c r="O1647" s="169">
        <f t="shared" si="1100"/>
        <v>0</v>
      </c>
    </row>
    <row r="1648" spans="1:15" s="3" customFormat="1" ht="38.25">
      <c r="A1648" s="11" t="s">
        <v>864</v>
      </c>
      <c r="B1648" s="25" t="s">
        <v>536</v>
      </c>
      <c r="C1648" s="26" t="s">
        <v>53</v>
      </c>
      <c r="D1648" s="26" t="s">
        <v>25</v>
      </c>
      <c r="E1648" s="26" t="s">
        <v>823</v>
      </c>
      <c r="F1648" s="26" t="s">
        <v>58</v>
      </c>
      <c r="G1648" s="27">
        <f>G1649</f>
        <v>18692580</v>
      </c>
      <c r="H1648" s="27">
        <f>H1649</f>
        <v>18692580</v>
      </c>
      <c r="I1648" s="27">
        <f>I1649</f>
        <v>18692580</v>
      </c>
      <c r="J1648" s="16">
        <f>'БА в тыс. руб.'!G1648*1000</f>
        <v>18692580</v>
      </c>
      <c r="K1648" s="169">
        <f t="shared" si="1098"/>
        <v>0</v>
      </c>
      <c r="L1648" s="16">
        <f>'БА в тыс. руб.'!H1648*1000</f>
        <v>18692580</v>
      </c>
      <c r="M1648" s="169">
        <f t="shared" si="1099"/>
        <v>0</v>
      </c>
      <c r="N1648" s="16">
        <f>'БА в тыс. руб.'!I1648*1000</f>
        <v>18692580</v>
      </c>
      <c r="O1648" s="169">
        <f t="shared" si="1100"/>
        <v>0</v>
      </c>
    </row>
    <row r="1649" spans="1:15" s="3" customFormat="1" ht="25.5">
      <c r="A1649" s="152" t="s">
        <v>247</v>
      </c>
      <c r="B1649" s="25" t="s">
        <v>536</v>
      </c>
      <c r="C1649" s="26" t="s">
        <v>53</v>
      </c>
      <c r="D1649" s="26" t="s">
        <v>25</v>
      </c>
      <c r="E1649" s="26" t="s">
        <v>824</v>
      </c>
      <c r="F1649" s="26" t="s">
        <v>58</v>
      </c>
      <c r="G1649" s="27">
        <f>G1650+G1653+G1655</f>
        <v>18692580</v>
      </c>
      <c r="H1649" s="27">
        <f t="shared" ref="H1649:I1649" si="1126">H1650+H1653+H1655</f>
        <v>18692580</v>
      </c>
      <c r="I1649" s="27">
        <f t="shared" si="1126"/>
        <v>18692580</v>
      </c>
      <c r="J1649" s="16">
        <f>'БА в тыс. руб.'!G1649*1000</f>
        <v>18692580</v>
      </c>
      <c r="K1649" s="169">
        <f t="shared" si="1098"/>
        <v>0</v>
      </c>
      <c r="L1649" s="16">
        <f>'БА в тыс. руб.'!H1649*1000</f>
        <v>18692580</v>
      </c>
      <c r="M1649" s="169">
        <f t="shared" si="1099"/>
        <v>0</v>
      </c>
      <c r="N1649" s="16">
        <f>'БА в тыс. руб.'!I1649*1000</f>
        <v>18692580</v>
      </c>
      <c r="O1649" s="169">
        <f t="shared" si="1100"/>
        <v>0</v>
      </c>
    </row>
    <row r="1650" spans="1:15" s="3" customFormat="1">
      <c r="A1650" s="152" t="s">
        <v>106</v>
      </c>
      <c r="B1650" s="25" t="s">
        <v>536</v>
      </c>
      <c r="C1650" s="26" t="s">
        <v>53</v>
      </c>
      <c r="D1650" s="26" t="s">
        <v>25</v>
      </c>
      <c r="E1650" s="26" t="s">
        <v>824</v>
      </c>
      <c r="F1650" s="26" t="s">
        <v>121</v>
      </c>
      <c r="G1650" s="27">
        <f>SUM(G1651:G1652)</f>
        <v>16997420</v>
      </c>
      <c r="H1650" s="27">
        <f t="shared" ref="H1650:I1650" si="1127">SUM(H1651:H1652)</f>
        <v>16997420</v>
      </c>
      <c r="I1650" s="27">
        <f t="shared" si="1127"/>
        <v>16997420</v>
      </c>
      <c r="J1650" s="16">
        <f>'БА в тыс. руб.'!G1650*1000</f>
        <v>16997420.000000004</v>
      </c>
      <c r="K1650" s="169">
        <f t="shared" si="1098"/>
        <v>0</v>
      </c>
      <c r="L1650" s="16">
        <f>'БА в тыс. руб.'!H1650*1000</f>
        <v>16997420.000000004</v>
      </c>
      <c r="M1650" s="169">
        <f t="shared" si="1099"/>
        <v>0</v>
      </c>
      <c r="N1650" s="16">
        <f>'БА в тыс. руб.'!I1650*1000</f>
        <v>16997420.000000004</v>
      </c>
      <c r="O1650" s="169">
        <f t="shared" si="1100"/>
        <v>0</v>
      </c>
    </row>
    <row r="1651" spans="1:15" s="4" customFormat="1">
      <c r="A1651" s="12" t="s">
        <v>932</v>
      </c>
      <c r="B1651" s="25" t="s">
        <v>536</v>
      </c>
      <c r="C1651" s="26" t="s">
        <v>53</v>
      </c>
      <c r="D1651" s="26" t="s">
        <v>25</v>
      </c>
      <c r="E1651" s="26" t="s">
        <v>824</v>
      </c>
      <c r="F1651" s="26" t="s">
        <v>1056</v>
      </c>
      <c r="G1651" s="27">
        <f t="shared" ref="G1651:G1652" si="1128">J1651</f>
        <v>13054850</v>
      </c>
      <c r="H1651" s="27">
        <f t="shared" ref="H1651:H1652" si="1129">L1651</f>
        <v>13054850</v>
      </c>
      <c r="I1651" s="27">
        <f t="shared" ref="I1651:I1652" si="1130">N1651</f>
        <v>13054850</v>
      </c>
      <c r="J1651" s="16">
        <f>'БА в тыс. руб.'!G1651*1000</f>
        <v>13054850</v>
      </c>
      <c r="K1651" s="169">
        <f t="shared" si="1098"/>
        <v>0</v>
      </c>
      <c r="L1651" s="16">
        <f>'БА в тыс. руб.'!H1651*1000</f>
        <v>13054850</v>
      </c>
      <c r="M1651" s="169">
        <f t="shared" si="1099"/>
        <v>0</v>
      </c>
      <c r="N1651" s="16">
        <f>'БА в тыс. руб.'!I1651*1000</f>
        <v>13054850</v>
      </c>
      <c r="O1651" s="169">
        <f t="shared" si="1100"/>
        <v>0</v>
      </c>
    </row>
    <row r="1652" spans="1:15" s="4" customFormat="1" ht="38.25">
      <c r="A1652" s="12" t="s">
        <v>935</v>
      </c>
      <c r="B1652" s="25" t="s">
        <v>536</v>
      </c>
      <c r="C1652" s="26" t="s">
        <v>53</v>
      </c>
      <c r="D1652" s="26" t="s">
        <v>25</v>
      </c>
      <c r="E1652" s="26" t="s">
        <v>824</v>
      </c>
      <c r="F1652" s="26" t="s">
        <v>1057</v>
      </c>
      <c r="G1652" s="27">
        <f t="shared" si="1128"/>
        <v>3942570</v>
      </c>
      <c r="H1652" s="27">
        <f t="shared" si="1129"/>
        <v>3942570</v>
      </c>
      <c r="I1652" s="27">
        <f t="shared" si="1130"/>
        <v>3942570</v>
      </c>
      <c r="J1652" s="16">
        <f>'БА в тыс. руб.'!G1652*1000</f>
        <v>3942570</v>
      </c>
      <c r="K1652" s="169">
        <f t="shared" si="1098"/>
        <v>0</v>
      </c>
      <c r="L1652" s="16">
        <f>'БА в тыс. руб.'!H1652*1000</f>
        <v>3942570</v>
      </c>
      <c r="M1652" s="169">
        <f t="shared" si="1099"/>
        <v>0</v>
      </c>
      <c r="N1652" s="16">
        <f>'БА в тыс. руб.'!I1652*1000</f>
        <v>3942570</v>
      </c>
      <c r="O1652" s="169">
        <f t="shared" si="1100"/>
        <v>0</v>
      </c>
    </row>
    <row r="1653" spans="1:15" s="3" customFormat="1" ht="25.5">
      <c r="A1653" s="11" t="s">
        <v>108</v>
      </c>
      <c r="B1653" s="25" t="s">
        <v>536</v>
      </c>
      <c r="C1653" s="26" t="s">
        <v>53</v>
      </c>
      <c r="D1653" s="26" t="s">
        <v>25</v>
      </c>
      <c r="E1653" s="26" t="s">
        <v>824</v>
      </c>
      <c r="F1653" s="26" t="s">
        <v>116</v>
      </c>
      <c r="G1653" s="27">
        <f>G1654</f>
        <v>1338160</v>
      </c>
      <c r="H1653" s="27">
        <f t="shared" ref="H1653:I1653" si="1131">H1654</f>
        <v>1338160</v>
      </c>
      <c r="I1653" s="27">
        <f t="shared" si="1131"/>
        <v>1338160</v>
      </c>
      <c r="J1653" s="16">
        <f>'БА в тыс. руб.'!G1653*1000</f>
        <v>1338160</v>
      </c>
      <c r="K1653" s="169">
        <f t="shared" si="1098"/>
        <v>0</v>
      </c>
      <c r="L1653" s="16">
        <f>'БА в тыс. руб.'!H1653*1000</f>
        <v>1338160</v>
      </c>
      <c r="M1653" s="169">
        <f t="shared" si="1099"/>
        <v>0</v>
      </c>
      <c r="N1653" s="16">
        <f>'БА в тыс. руб.'!I1653*1000</f>
        <v>1338160</v>
      </c>
      <c r="O1653" s="169">
        <f t="shared" si="1100"/>
        <v>0</v>
      </c>
    </row>
    <row r="1654" spans="1:15" s="4" customFormat="1" ht="25.5">
      <c r="A1654" s="12" t="s">
        <v>973</v>
      </c>
      <c r="B1654" s="25" t="s">
        <v>536</v>
      </c>
      <c r="C1654" s="26" t="s">
        <v>53</v>
      </c>
      <c r="D1654" s="26" t="s">
        <v>25</v>
      </c>
      <c r="E1654" s="26" t="s">
        <v>824</v>
      </c>
      <c r="F1654" s="26" t="s">
        <v>1043</v>
      </c>
      <c r="G1654" s="27">
        <f t="shared" ref="G1654" si="1132">J1654</f>
        <v>1338160</v>
      </c>
      <c r="H1654" s="27">
        <f>L1654</f>
        <v>1338160</v>
      </c>
      <c r="I1654" s="27">
        <f>N1654</f>
        <v>1338160</v>
      </c>
      <c r="J1654" s="16">
        <f>'БА в тыс. руб.'!G1654*1000</f>
        <v>1338160</v>
      </c>
      <c r="K1654" s="169">
        <f t="shared" si="1098"/>
        <v>0</v>
      </c>
      <c r="L1654" s="16">
        <f>'БА в тыс. руб.'!H1654*1000</f>
        <v>1338160</v>
      </c>
      <c r="M1654" s="169">
        <f t="shared" si="1099"/>
        <v>0</v>
      </c>
      <c r="N1654" s="16">
        <f>'БА в тыс. руб.'!I1654*1000</f>
        <v>1338160</v>
      </c>
      <c r="O1654" s="169">
        <f t="shared" si="1100"/>
        <v>0</v>
      </c>
    </row>
    <row r="1655" spans="1:15" s="3" customFormat="1">
      <c r="A1655" s="152" t="s">
        <v>97</v>
      </c>
      <c r="B1655" s="25" t="s">
        <v>536</v>
      </c>
      <c r="C1655" s="26" t="s">
        <v>53</v>
      </c>
      <c r="D1655" s="26" t="s">
        <v>25</v>
      </c>
      <c r="E1655" s="26" t="s">
        <v>824</v>
      </c>
      <c r="F1655" s="26" t="s">
        <v>118</v>
      </c>
      <c r="G1655" s="27">
        <f>SUM(G1656:G1657)</f>
        <v>357000</v>
      </c>
      <c r="H1655" s="27">
        <f t="shared" ref="H1655:I1655" si="1133">SUM(H1656:H1657)</f>
        <v>357000</v>
      </c>
      <c r="I1655" s="27">
        <f t="shared" si="1133"/>
        <v>357000</v>
      </c>
      <c r="J1655" s="16">
        <f>'БА в тыс. руб.'!G1655*1000</f>
        <v>357000</v>
      </c>
      <c r="K1655" s="169">
        <f t="shared" si="1098"/>
        <v>0</v>
      </c>
      <c r="L1655" s="16">
        <f>'БА в тыс. руб.'!H1655*1000</f>
        <v>357000</v>
      </c>
      <c r="M1655" s="169">
        <f t="shared" si="1099"/>
        <v>0</v>
      </c>
      <c r="N1655" s="16">
        <f>'БА в тыс. руб.'!I1655*1000</f>
        <v>357000</v>
      </c>
      <c r="O1655" s="169">
        <f t="shared" si="1100"/>
        <v>0</v>
      </c>
    </row>
    <row r="1656" spans="1:15" s="4" customFormat="1">
      <c r="A1656" s="12" t="s">
        <v>1036</v>
      </c>
      <c r="B1656" s="25" t="s">
        <v>536</v>
      </c>
      <c r="C1656" s="26" t="s">
        <v>53</v>
      </c>
      <c r="D1656" s="26" t="s">
        <v>25</v>
      </c>
      <c r="E1656" s="26" t="s">
        <v>824</v>
      </c>
      <c r="F1656" s="26" t="s">
        <v>1061</v>
      </c>
      <c r="G1656" s="27">
        <f t="shared" ref="G1656:G1657" si="1134">J1656</f>
        <v>350000</v>
      </c>
      <c r="H1656" s="27">
        <f t="shared" ref="H1656:H1657" si="1135">L1656</f>
        <v>350000</v>
      </c>
      <c r="I1656" s="27">
        <f t="shared" ref="I1656:I1657" si="1136">N1656</f>
        <v>350000</v>
      </c>
      <c r="J1656" s="16">
        <f>'БА в тыс. руб.'!G1656*1000</f>
        <v>350000</v>
      </c>
      <c r="K1656" s="169">
        <f t="shared" si="1098"/>
        <v>0</v>
      </c>
      <c r="L1656" s="16">
        <f>'БА в тыс. руб.'!H1656*1000</f>
        <v>350000</v>
      </c>
      <c r="M1656" s="169">
        <f t="shared" si="1099"/>
        <v>0</v>
      </c>
      <c r="N1656" s="16">
        <f>'БА в тыс. руб.'!I1656*1000</f>
        <v>350000</v>
      </c>
      <c r="O1656" s="169">
        <f t="shared" si="1100"/>
        <v>0</v>
      </c>
    </row>
    <row r="1657" spans="1:15" s="4" customFormat="1">
      <c r="A1657" s="12" t="s">
        <v>1037</v>
      </c>
      <c r="B1657" s="25" t="s">
        <v>536</v>
      </c>
      <c r="C1657" s="26" t="s">
        <v>53</v>
      </c>
      <c r="D1657" s="26" t="s">
        <v>25</v>
      </c>
      <c r="E1657" s="26" t="s">
        <v>824</v>
      </c>
      <c r="F1657" s="26" t="s">
        <v>1062</v>
      </c>
      <c r="G1657" s="27">
        <f t="shared" si="1134"/>
        <v>7000</v>
      </c>
      <c r="H1657" s="27">
        <f t="shared" si="1135"/>
        <v>7000</v>
      </c>
      <c r="I1657" s="27">
        <f t="shared" si="1136"/>
        <v>7000</v>
      </c>
      <c r="J1657" s="16">
        <f>'БА в тыс. руб.'!G1657*1000</f>
        <v>7000</v>
      </c>
      <c r="K1657" s="169">
        <f t="shared" si="1098"/>
        <v>0</v>
      </c>
      <c r="L1657" s="16">
        <f>'БА в тыс. руб.'!H1657*1000</f>
        <v>7000</v>
      </c>
      <c r="M1657" s="169">
        <f t="shared" si="1099"/>
        <v>0</v>
      </c>
      <c r="N1657" s="16">
        <f>'БА в тыс. руб.'!I1657*1000</f>
        <v>7000</v>
      </c>
      <c r="O1657" s="169">
        <f t="shared" si="1100"/>
        <v>0</v>
      </c>
    </row>
    <row r="1658" spans="1:15" s="3" customFormat="1" ht="63.75">
      <c r="A1658" s="152" t="s">
        <v>670</v>
      </c>
      <c r="B1658" s="25" t="s">
        <v>536</v>
      </c>
      <c r="C1658" s="26" t="s">
        <v>53</v>
      </c>
      <c r="D1658" s="26" t="s">
        <v>25</v>
      </c>
      <c r="E1658" s="26" t="s">
        <v>825</v>
      </c>
      <c r="F1658" s="26" t="s">
        <v>58</v>
      </c>
      <c r="G1658" s="27">
        <f>G1659</f>
        <v>2553670</v>
      </c>
      <c r="H1658" s="27">
        <f t="shared" ref="H1658:I1658" si="1137">H1659</f>
        <v>2201810</v>
      </c>
      <c r="I1658" s="27">
        <f t="shared" si="1137"/>
        <v>2201810</v>
      </c>
      <c r="J1658" s="16">
        <f>'БА в тыс. руб.'!G1658*1000</f>
        <v>2553670</v>
      </c>
      <c r="K1658" s="169">
        <f t="shared" si="1098"/>
        <v>0</v>
      </c>
      <c r="L1658" s="16">
        <f>'БА в тыс. руб.'!H1658*1000</f>
        <v>2201810</v>
      </c>
      <c r="M1658" s="169">
        <f t="shared" si="1099"/>
        <v>0</v>
      </c>
      <c r="N1658" s="16">
        <f>'БА в тыс. руб.'!I1658*1000</f>
        <v>2201810</v>
      </c>
      <c r="O1658" s="169">
        <f t="shared" si="1100"/>
        <v>0</v>
      </c>
    </row>
    <row r="1659" spans="1:15" s="3" customFormat="1" ht="51">
      <c r="A1659" s="152" t="s">
        <v>173</v>
      </c>
      <c r="B1659" s="25" t="s">
        <v>536</v>
      </c>
      <c r="C1659" s="26" t="s">
        <v>53</v>
      </c>
      <c r="D1659" s="26" t="s">
        <v>25</v>
      </c>
      <c r="E1659" s="26" t="s">
        <v>826</v>
      </c>
      <c r="F1659" s="26" t="s">
        <v>58</v>
      </c>
      <c r="G1659" s="27">
        <f>G1660</f>
        <v>2553670</v>
      </c>
      <c r="H1659" s="27">
        <f>H1660</f>
        <v>2201810</v>
      </c>
      <c r="I1659" s="27">
        <f>I1660</f>
        <v>2201810</v>
      </c>
      <c r="J1659" s="16">
        <f>'БА в тыс. руб.'!G1659*1000</f>
        <v>2553670</v>
      </c>
      <c r="K1659" s="169">
        <f t="shared" si="1098"/>
        <v>0</v>
      </c>
      <c r="L1659" s="16">
        <f>'БА в тыс. руб.'!H1659*1000</f>
        <v>2201810</v>
      </c>
      <c r="M1659" s="169">
        <f t="shared" si="1099"/>
        <v>0</v>
      </c>
      <c r="N1659" s="16">
        <f>'БА в тыс. руб.'!I1659*1000</f>
        <v>2201810</v>
      </c>
      <c r="O1659" s="169">
        <f t="shared" si="1100"/>
        <v>0</v>
      </c>
    </row>
    <row r="1660" spans="1:15" s="3" customFormat="1" ht="25.5">
      <c r="A1660" s="11" t="s">
        <v>108</v>
      </c>
      <c r="B1660" s="25" t="s">
        <v>536</v>
      </c>
      <c r="C1660" s="26" t="s">
        <v>53</v>
      </c>
      <c r="D1660" s="26" t="s">
        <v>25</v>
      </c>
      <c r="E1660" s="26" t="s">
        <v>826</v>
      </c>
      <c r="F1660" s="26" t="s">
        <v>116</v>
      </c>
      <c r="G1660" s="27">
        <f>G1661</f>
        <v>2553670</v>
      </c>
      <c r="H1660" s="27">
        <f t="shared" ref="H1660:I1660" si="1138">H1661</f>
        <v>2201810</v>
      </c>
      <c r="I1660" s="27">
        <f t="shared" si="1138"/>
        <v>2201810</v>
      </c>
      <c r="J1660" s="16">
        <f>'БА в тыс. руб.'!G1660*1000</f>
        <v>2553670</v>
      </c>
      <c r="K1660" s="169">
        <f t="shared" si="1098"/>
        <v>0</v>
      </c>
      <c r="L1660" s="16">
        <f>'БА в тыс. руб.'!H1660*1000</f>
        <v>2201810</v>
      </c>
      <c r="M1660" s="169">
        <f t="shared" si="1099"/>
        <v>0</v>
      </c>
      <c r="N1660" s="16">
        <f>'БА в тыс. руб.'!I1660*1000</f>
        <v>2201810</v>
      </c>
      <c r="O1660" s="169">
        <f t="shared" si="1100"/>
        <v>0</v>
      </c>
    </row>
    <row r="1661" spans="1:15" s="4" customFormat="1" ht="25.5">
      <c r="A1661" s="12" t="s">
        <v>973</v>
      </c>
      <c r="B1661" s="25" t="s">
        <v>536</v>
      </c>
      <c r="C1661" s="26" t="s">
        <v>53</v>
      </c>
      <c r="D1661" s="26" t="s">
        <v>25</v>
      </c>
      <c r="E1661" s="26" t="s">
        <v>826</v>
      </c>
      <c r="F1661" s="26" t="s">
        <v>1043</v>
      </c>
      <c r="G1661" s="27">
        <f t="shared" ref="G1661" si="1139">J1661</f>
        <v>2553670</v>
      </c>
      <c r="H1661" s="27">
        <f>L1661</f>
        <v>2201810</v>
      </c>
      <c r="I1661" s="27">
        <f>N1661</f>
        <v>2201810</v>
      </c>
      <c r="J1661" s="16">
        <f>'БА в тыс. руб.'!G1661*1000</f>
        <v>2553670</v>
      </c>
      <c r="K1661" s="169">
        <f t="shared" si="1098"/>
        <v>0</v>
      </c>
      <c r="L1661" s="16">
        <f>'БА в тыс. руб.'!H1661*1000</f>
        <v>2201810</v>
      </c>
      <c r="M1661" s="169">
        <f t="shared" si="1099"/>
        <v>0</v>
      </c>
      <c r="N1661" s="16">
        <f>'БА в тыс. руб.'!I1661*1000</f>
        <v>2201810</v>
      </c>
      <c r="O1661" s="169">
        <f t="shared" si="1100"/>
        <v>0</v>
      </c>
    </row>
    <row r="1662" spans="1:15" s="3" customFormat="1" ht="25.5">
      <c r="A1662" s="152" t="s">
        <v>865</v>
      </c>
      <c r="B1662" s="25" t="s">
        <v>536</v>
      </c>
      <c r="C1662" s="26" t="s">
        <v>53</v>
      </c>
      <c r="D1662" s="26" t="s">
        <v>25</v>
      </c>
      <c r="E1662" s="26" t="s">
        <v>827</v>
      </c>
      <c r="F1662" s="26" t="s">
        <v>58</v>
      </c>
      <c r="G1662" s="27">
        <f>G1663</f>
        <v>2700000</v>
      </c>
      <c r="H1662" s="27">
        <f t="shared" ref="H1662:I1662" si="1140">H1663</f>
        <v>2430000</v>
      </c>
      <c r="I1662" s="27">
        <f t="shared" si="1140"/>
        <v>2430000</v>
      </c>
      <c r="J1662" s="16">
        <f>'БА в тыс. руб.'!G1662*1000</f>
        <v>2700000</v>
      </c>
      <c r="K1662" s="169">
        <f t="shared" si="1098"/>
        <v>0</v>
      </c>
      <c r="L1662" s="16">
        <f>'БА в тыс. руб.'!H1662*1000</f>
        <v>2430000</v>
      </c>
      <c r="M1662" s="169">
        <f t="shared" si="1099"/>
        <v>0</v>
      </c>
      <c r="N1662" s="16">
        <f>'БА в тыс. руб.'!I1662*1000</f>
        <v>2430000</v>
      </c>
      <c r="O1662" s="169">
        <f t="shared" si="1100"/>
        <v>0</v>
      </c>
    </row>
    <row r="1663" spans="1:15" s="3" customFormat="1" ht="25.5">
      <c r="A1663" s="152" t="s">
        <v>122</v>
      </c>
      <c r="B1663" s="25" t="s">
        <v>536</v>
      </c>
      <c r="C1663" s="26" t="s">
        <v>53</v>
      </c>
      <c r="D1663" s="26" t="s">
        <v>25</v>
      </c>
      <c r="E1663" s="26" t="s">
        <v>828</v>
      </c>
      <c r="F1663" s="26" t="s">
        <v>58</v>
      </c>
      <c r="G1663" s="27">
        <f>G1664</f>
        <v>2700000</v>
      </c>
      <c r="H1663" s="27">
        <f>H1664</f>
        <v>2430000</v>
      </c>
      <c r="I1663" s="27">
        <f>I1664</f>
        <v>2430000</v>
      </c>
      <c r="J1663" s="16">
        <f>'БА в тыс. руб.'!G1663*1000</f>
        <v>2700000</v>
      </c>
      <c r="K1663" s="169">
        <f t="shared" si="1098"/>
        <v>0</v>
      </c>
      <c r="L1663" s="16">
        <f>'БА в тыс. руб.'!H1663*1000</f>
        <v>2430000</v>
      </c>
      <c r="M1663" s="169">
        <f t="shared" si="1099"/>
        <v>0</v>
      </c>
      <c r="N1663" s="16">
        <f>'БА в тыс. руб.'!I1663*1000</f>
        <v>2430000</v>
      </c>
      <c r="O1663" s="169">
        <f t="shared" si="1100"/>
        <v>0</v>
      </c>
    </row>
    <row r="1664" spans="1:15" s="3" customFormat="1" ht="25.5">
      <c r="A1664" s="152" t="s">
        <v>108</v>
      </c>
      <c r="B1664" s="25" t="s">
        <v>536</v>
      </c>
      <c r="C1664" s="26" t="s">
        <v>53</v>
      </c>
      <c r="D1664" s="26" t="s">
        <v>25</v>
      </c>
      <c r="E1664" s="26" t="s">
        <v>828</v>
      </c>
      <c r="F1664" s="26" t="s">
        <v>116</v>
      </c>
      <c r="G1664" s="27">
        <f>G1665</f>
        <v>2700000</v>
      </c>
      <c r="H1664" s="27">
        <f t="shared" ref="H1664:I1664" si="1141">H1665</f>
        <v>2430000</v>
      </c>
      <c r="I1664" s="27">
        <f t="shared" si="1141"/>
        <v>2430000</v>
      </c>
      <c r="J1664" s="16">
        <f>'БА в тыс. руб.'!G1664*1000</f>
        <v>2700000</v>
      </c>
      <c r="K1664" s="169">
        <f t="shared" si="1098"/>
        <v>0</v>
      </c>
      <c r="L1664" s="16">
        <f>'БА в тыс. руб.'!H1664*1000</f>
        <v>2430000</v>
      </c>
      <c r="M1664" s="169">
        <f t="shared" si="1099"/>
        <v>0</v>
      </c>
      <c r="N1664" s="16">
        <f>'БА в тыс. руб.'!I1664*1000</f>
        <v>2430000</v>
      </c>
      <c r="O1664" s="169">
        <f t="shared" si="1100"/>
        <v>0</v>
      </c>
    </row>
    <row r="1665" spans="1:15" s="4" customFormat="1" ht="25.5">
      <c r="A1665" s="12" t="s">
        <v>973</v>
      </c>
      <c r="B1665" s="25" t="s">
        <v>536</v>
      </c>
      <c r="C1665" s="26" t="s">
        <v>53</v>
      </c>
      <c r="D1665" s="26" t="s">
        <v>25</v>
      </c>
      <c r="E1665" s="26" t="s">
        <v>828</v>
      </c>
      <c r="F1665" s="26" t="s">
        <v>1043</v>
      </c>
      <c r="G1665" s="27">
        <f t="shared" ref="G1665" si="1142">J1665</f>
        <v>2700000</v>
      </c>
      <c r="H1665" s="27">
        <f>L1665</f>
        <v>2430000</v>
      </c>
      <c r="I1665" s="27">
        <f>N1665</f>
        <v>2430000</v>
      </c>
      <c r="J1665" s="16">
        <f>'БА в тыс. руб.'!G1665*1000</f>
        <v>2700000</v>
      </c>
      <c r="K1665" s="169">
        <f t="shared" si="1098"/>
        <v>0</v>
      </c>
      <c r="L1665" s="16">
        <f>'БА в тыс. руб.'!H1665*1000</f>
        <v>2430000</v>
      </c>
      <c r="M1665" s="169">
        <f t="shared" si="1099"/>
        <v>0</v>
      </c>
      <c r="N1665" s="16">
        <f>'БА в тыс. руб.'!I1665*1000</f>
        <v>2430000</v>
      </c>
      <c r="O1665" s="169">
        <f t="shared" si="1100"/>
        <v>0</v>
      </c>
    </row>
    <row r="1666" spans="1:15" s="3" customFormat="1" ht="63.75">
      <c r="A1666" s="152" t="s">
        <v>866</v>
      </c>
      <c r="B1666" s="25" t="s">
        <v>536</v>
      </c>
      <c r="C1666" s="26" t="s">
        <v>53</v>
      </c>
      <c r="D1666" s="26" t="s">
        <v>25</v>
      </c>
      <c r="E1666" s="26" t="s">
        <v>829</v>
      </c>
      <c r="F1666" s="26" t="s">
        <v>58</v>
      </c>
      <c r="G1666" s="27">
        <f>G1667</f>
        <v>2930000</v>
      </c>
      <c r="H1666" s="27">
        <f t="shared" ref="H1666:I1666" si="1143">H1667</f>
        <v>765000</v>
      </c>
      <c r="I1666" s="27">
        <f t="shared" si="1143"/>
        <v>765000</v>
      </c>
      <c r="J1666" s="16">
        <f>'БА в тыс. руб.'!G1666*1000</f>
        <v>2930000</v>
      </c>
      <c r="K1666" s="169">
        <f t="shared" si="1098"/>
        <v>0</v>
      </c>
      <c r="L1666" s="16">
        <f>'БА в тыс. руб.'!H1666*1000</f>
        <v>765000</v>
      </c>
      <c r="M1666" s="169">
        <f t="shared" si="1099"/>
        <v>0</v>
      </c>
      <c r="N1666" s="16">
        <f>'БА в тыс. руб.'!I1666*1000</f>
        <v>765000</v>
      </c>
      <c r="O1666" s="169">
        <f t="shared" si="1100"/>
        <v>0</v>
      </c>
    </row>
    <row r="1667" spans="1:15" s="3" customFormat="1" ht="25.5">
      <c r="A1667" s="152" t="s">
        <v>122</v>
      </c>
      <c r="B1667" s="25" t="s">
        <v>536</v>
      </c>
      <c r="C1667" s="26" t="s">
        <v>53</v>
      </c>
      <c r="D1667" s="26" t="s">
        <v>25</v>
      </c>
      <c r="E1667" s="26" t="s">
        <v>830</v>
      </c>
      <c r="F1667" s="26" t="s">
        <v>58</v>
      </c>
      <c r="G1667" s="27">
        <f>G1668</f>
        <v>2930000</v>
      </c>
      <c r="H1667" s="27">
        <f>H1668</f>
        <v>765000</v>
      </c>
      <c r="I1667" s="27">
        <f>I1668</f>
        <v>765000</v>
      </c>
      <c r="J1667" s="16">
        <f>'БА в тыс. руб.'!G1667*1000</f>
        <v>2930000</v>
      </c>
      <c r="K1667" s="169">
        <f t="shared" si="1098"/>
        <v>0</v>
      </c>
      <c r="L1667" s="16">
        <f>'БА в тыс. руб.'!H1667*1000</f>
        <v>765000</v>
      </c>
      <c r="M1667" s="169">
        <f t="shared" si="1099"/>
        <v>0</v>
      </c>
      <c r="N1667" s="16">
        <f>'БА в тыс. руб.'!I1667*1000</f>
        <v>765000</v>
      </c>
      <c r="O1667" s="169">
        <f t="shared" si="1100"/>
        <v>0</v>
      </c>
    </row>
    <row r="1668" spans="1:15" s="3" customFormat="1" ht="25.5">
      <c r="A1668" s="152" t="s">
        <v>108</v>
      </c>
      <c r="B1668" s="25" t="s">
        <v>536</v>
      </c>
      <c r="C1668" s="26" t="s">
        <v>53</v>
      </c>
      <c r="D1668" s="26" t="s">
        <v>25</v>
      </c>
      <c r="E1668" s="26" t="s">
        <v>830</v>
      </c>
      <c r="F1668" s="26" t="s">
        <v>116</v>
      </c>
      <c r="G1668" s="27">
        <f>G1669</f>
        <v>2930000</v>
      </c>
      <c r="H1668" s="27">
        <f t="shared" ref="H1668:I1668" si="1144">H1669</f>
        <v>765000</v>
      </c>
      <c r="I1668" s="27">
        <f t="shared" si="1144"/>
        <v>765000</v>
      </c>
      <c r="J1668" s="16">
        <f>'БА в тыс. руб.'!G1668*1000</f>
        <v>2930000</v>
      </c>
      <c r="K1668" s="169">
        <f t="shared" si="1098"/>
        <v>0</v>
      </c>
      <c r="L1668" s="16">
        <f>'БА в тыс. руб.'!H1668*1000</f>
        <v>765000</v>
      </c>
      <c r="M1668" s="169">
        <f t="shared" si="1099"/>
        <v>0</v>
      </c>
      <c r="N1668" s="16">
        <f>'БА в тыс. руб.'!I1668*1000</f>
        <v>765000</v>
      </c>
      <c r="O1668" s="169">
        <f t="shared" si="1100"/>
        <v>0</v>
      </c>
    </row>
    <row r="1669" spans="1:15" s="4" customFormat="1" ht="25.5">
      <c r="A1669" s="12" t="s">
        <v>973</v>
      </c>
      <c r="B1669" s="25" t="s">
        <v>536</v>
      </c>
      <c r="C1669" s="26" t="s">
        <v>53</v>
      </c>
      <c r="D1669" s="26" t="s">
        <v>25</v>
      </c>
      <c r="E1669" s="26" t="s">
        <v>830</v>
      </c>
      <c r="F1669" s="26" t="s">
        <v>1043</v>
      </c>
      <c r="G1669" s="27">
        <f t="shared" ref="G1669" si="1145">J1669</f>
        <v>2930000</v>
      </c>
      <c r="H1669" s="27">
        <f>L1669</f>
        <v>765000</v>
      </c>
      <c r="I1669" s="27">
        <f>N1669</f>
        <v>765000</v>
      </c>
      <c r="J1669" s="16">
        <f>'БА в тыс. руб.'!G1669*1000</f>
        <v>2930000</v>
      </c>
      <c r="K1669" s="169">
        <f t="shared" si="1098"/>
        <v>0</v>
      </c>
      <c r="L1669" s="16">
        <f>'БА в тыс. руб.'!H1669*1000</f>
        <v>765000</v>
      </c>
      <c r="M1669" s="169">
        <f t="shared" si="1099"/>
        <v>0</v>
      </c>
      <c r="N1669" s="16">
        <f>'БА в тыс. руб.'!I1669*1000</f>
        <v>765000</v>
      </c>
      <c r="O1669" s="169">
        <f t="shared" si="1100"/>
        <v>0</v>
      </c>
    </row>
    <row r="1670" spans="1:15" s="3" customFormat="1" ht="38.25">
      <c r="A1670" s="120" t="s">
        <v>185</v>
      </c>
      <c r="B1670" s="25" t="s">
        <v>536</v>
      </c>
      <c r="C1670" s="26" t="s">
        <v>53</v>
      </c>
      <c r="D1670" s="26" t="s">
        <v>25</v>
      </c>
      <c r="E1670" s="26" t="s">
        <v>547</v>
      </c>
      <c r="F1670" s="26" t="s">
        <v>58</v>
      </c>
      <c r="G1670" s="27">
        <f>G1671</f>
        <v>15349490</v>
      </c>
      <c r="H1670" s="27">
        <f>H1671</f>
        <v>15349490</v>
      </c>
      <c r="I1670" s="27">
        <f>I1671</f>
        <v>15349490</v>
      </c>
      <c r="J1670" s="16">
        <f>'БА в тыс. руб.'!G1670*1000</f>
        <v>15349490</v>
      </c>
      <c r="K1670" s="169">
        <f t="shared" si="1098"/>
        <v>0</v>
      </c>
      <c r="L1670" s="16">
        <f>'БА в тыс. руб.'!H1670*1000</f>
        <v>15349490</v>
      </c>
      <c r="M1670" s="169">
        <f t="shared" si="1099"/>
        <v>0</v>
      </c>
      <c r="N1670" s="16">
        <f>'БА в тыс. руб.'!I1670*1000</f>
        <v>15349490</v>
      </c>
      <c r="O1670" s="169">
        <f t="shared" si="1100"/>
        <v>0</v>
      </c>
    </row>
    <row r="1671" spans="1:15" s="153" customFormat="1" ht="38.25">
      <c r="A1671" s="11" t="s">
        <v>548</v>
      </c>
      <c r="B1671" s="25" t="s">
        <v>536</v>
      </c>
      <c r="C1671" s="26" t="s">
        <v>53</v>
      </c>
      <c r="D1671" s="26" t="s">
        <v>25</v>
      </c>
      <c r="E1671" s="26" t="s">
        <v>549</v>
      </c>
      <c r="F1671" s="26" t="s">
        <v>58</v>
      </c>
      <c r="G1671" s="27">
        <f>G1672+G1681</f>
        <v>15349490</v>
      </c>
      <c r="H1671" s="27">
        <f>H1672+H1681</f>
        <v>15349490</v>
      </c>
      <c r="I1671" s="27">
        <f>I1672+I1681</f>
        <v>15349490</v>
      </c>
      <c r="J1671" s="16">
        <f>'БА в тыс. руб.'!G1671*1000</f>
        <v>15349490</v>
      </c>
      <c r="K1671" s="169">
        <f t="shared" si="1098"/>
        <v>0</v>
      </c>
      <c r="L1671" s="16">
        <f>'БА в тыс. руб.'!H1671*1000</f>
        <v>15349490</v>
      </c>
      <c r="M1671" s="169">
        <f t="shared" si="1099"/>
        <v>0</v>
      </c>
      <c r="N1671" s="16">
        <f>'БА в тыс. руб.'!I1671*1000</f>
        <v>15349490</v>
      </c>
      <c r="O1671" s="169">
        <f t="shared" si="1100"/>
        <v>0</v>
      </c>
    </row>
    <row r="1672" spans="1:15" s="3" customFormat="1" ht="25.5">
      <c r="A1672" s="157" t="s">
        <v>114</v>
      </c>
      <c r="B1672" s="154" t="s">
        <v>536</v>
      </c>
      <c r="C1672" s="155" t="s">
        <v>53</v>
      </c>
      <c r="D1672" s="155" t="s">
        <v>25</v>
      </c>
      <c r="E1672" s="155" t="s">
        <v>550</v>
      </c>
      <c r="F1672" s="155" t="s">
        <v>58</v>
      </c>
      <c r="G1672" s="156">
        <f>G1673+G1676+G1678</f>
        <v>1772940</v>
      </c>
      <c r="H1672" s="156">
        <f t="shared" ref="H1672:I1672" si="1146">H1673+H1676+H1678</f>
        <v>1772940</v>
      </c>
      <c r="I1672" s="156">
        <f t="shared" si="1146"/>
        <v>1772940</v>
      </c>
      <c r="J1672" s="16">
        <f>'БА в тыс. руб.'!G1672*1000</f>
        <v>1772940</v>
      </c>
      <c r="K1672" s="171">
        <f t="shared" si="1098"/>
        <v>0</v>
      </c>
      <c r="L1672" s="16">
        <f>'БА в тыс. руб.'!H1672*1000</f>
        <v>1772940</v>
      </c>
      <c r="M1672" s="171">
        <f t="shared" si="1099"/>
        <v>0</v>
      </c>
      <c r="N1672" s="16">
        <f>'БА в тыс. руб.'!I1672*1000</f>
        <v>1772940</v>
      </c>
      <c r="O1672" s="171">
        <f t="shared" si="1100"/>
        <v>0</v>
      </c>
    </row>
    <row r="1673" spans="1:15" s="159" customFormat="1" ht="25.5">
      <c r="A1673" s="11" t="s">
        <v>107</v>
      </c>
      <c r="B1673" s="25" t="s">
        <v>536</v>
      </c>
      <c r="C1673" s="26" t="s">
        <v>53</v>
      </c>
      <c r="D1673" s="26" t="s">
        <v>25</v>
      </c>
      <c r="E1673" s="26" t="s">
        <v>550</v>
      </c>
      <c r="F1673" s="26" t="s">
        <v>115</v>
      </c>
      <c r="G1673" s="27">
        <f>SUM(G1674:G1675)</f>
        <v>387250</v>
      </c>
      <c r="H1673" s="27">
        <f t="shared" ref="H1673:I1673" si="1147">SUM(H1674:H1675)</f>
        <v>387250</v>
      </c>
      <c r="I1673" s="27">
        <f t="shared" si="1147"/>
        <v>387250</v>
      </c>
      <c r="J1673" s="16">
        <f>'БА в тыс. руб.'!G1673*1000</f>
        <v>387250</v>
      </c>
      <c r="K1673" s="172">
        <f t="shared" si="1098"/>
        <v>0</v>
      </c>
      <c r="L1673" s="16">
        <f>'БА в тыс. руб.'!H1673*1000</f>
        <v>387250</v>
      </c>
      <c r="M1673" s="172">
        <f t="shared" si="1099"/>
        <v>0</v>
      </c>
      <c r="N1673" s="16">
        <f>'БА в тыс. руб.'!I1673*1000</f>
        <v>387250</v>
      </c>
      <c r="O1673" s="172">
        <f t="shared" si="1100"/>
        <v>0</v>
      </c>
    </row>
    <row r="1674" spans="1:15" s="159" customFormat="1" ht="25.5">
      <c r="A1674" s="11" t="s">
        <v>937</v>
      </c>
      <c r="B1674" s="25" t="s">
        <v>536</v>
      </c>
      <c r="C1674" s="26" t="s">
        <v>53</v>
      </c>
      <c r="D1674" s="26" t="s">
        <v>25</v>
      </c>
      <c r="E1674" s="26" t="s">
        <v>550</v>
      </c>
      <c r="F1674" s="26" t="s">
        <v>1059</v>
      </c>
      <c r="G1674" s="27">
        <f t="shared" ref="G1674:G1675" si="1148">J1674</f>
        <v>303080</v>
      </c>
      <c r="H1674" s="27">
        <f t="shared" ref="H1674:H1675" si="1149">L1674</f>
        <v>303080</v>
      </c>
      <c r="I1674" s="27">
        <f t="shared" ref="I1674:I1675" si="1150">N1674</f>
        <v>303080</v>
      </c>
      <c r="J1674" s="16">
        <f>'БА в тыс. руб.'!G1674*1000</f>
        <v>303080</v>
      </c>
      <c r="K1674" s="172">
        <f t="shared" si="1098"/>
        <v>0</v>
      </c>
      <c r="L1674" s="16">
        <f>'БА в тыс. руб.'!H1674*1000</f>
        <v>303080</v>
      </c>
      <c r="M1674" s="172">
        <f t="shared" si="1099"/>
        <v>0</v>
      </c>
      <c r="N1674" s="16">
        <f>'БА в тыс. руб.'!I1674*1000</f>
        <v>303080</v>
      </c>
      <c r="O1674" s="172">
        <f t="shared" si="1100"/>
        <v>0</v>
      </c>
    </row>
    <row r="1675" spans="1:15" s="159" customFormat="1" ht="38.25">
      <c r="A1675" s="11" t="s">
        <v>939</v>
      </c>
      <c r="B1675" s="25" t="s">
        <v>536</v>
      </c>
      <c r="C1675" s="26" t="s">
        <v>53</v>
      </c>
      <c r="D1675" s="26" t="s">
        <v>25</v>
      </c>
      <c r="E1675" s="26" t="s">
        <v>550</v>
      </c>
      <c r="F1675" s="26" t="s">
        <v>1060</v>
      </c>
      <c r="G1675" s="27">
        <f t="shared" si="1148"/>
        <v>84170</v>
      </c>
      <c r="H1675" s="27">
        <f t="shared" si="1149"/>
        <v>84170</v>
      </c>
      <c r="I1675" s="27">
        <f t="shared" si="1150"/>
        <v>84170</v>
      </c>
      <c r="J1675" s="16">
        <f>'БА в тыс. руб.'!G1675*1000</f>
        <v>84170</v>
      </c>
      <c r="K1675" s="172">
        <f t="shared" ref="K1675:K1706" si="1151">J1675-G1675</f>
        <v>0</v>
      </c>
      <c r="L1675" s="16">
        <f>'БА в тыс. руб.'!H1675*1000</f>
        <v>84170</v>
      </c>
      <c r="M1675" s="172">
        <f t="shared" ref="M1675:M1706" si="1152">L1675-H1675</f>
        <v>0</v>
      </c>
      <c r="N1675" s="16">
        <f>'БА в тыс. руб.'!I1675*1000</f>
        <v>84170</v>
      </c>
      <c r="O1675" s="172">
        <f t="shared" ref="O1675:O1706" si="1153">N1675-I1675</f>
        <v>0</v>
      </c>
    </row>
    <row r="1676" spans="1:15" s="159" customFormat="1" ht="25.5">
      <c r="A1676" s="11" t="s">
        <v>108</v>
      </c>
      <c r="B1676" s="25" t="s">
        <v>536</v>
      </c>
      <c r="C1676" s="26" t="s">
        <v>53</v>
      </c>
      <c r="D1676" s="26" t="s">
        <v>25</v>
      </c>
      <c r="E1676" s="26" t="s">
        <v>550</v>
      </c>
      <c r="F1676" s="26" t="s">
        <v>116</v>
      </c>
      <c r="G1676" s="27">
        <f>G1677</f>
        <v>1183980</v>
      </c>
      <c r="H1676" s="27">
        <f t="shared" ref="H1676:I1676" si="1154">H1677</f>
        <v>1183980</v>
      </c>
      <c r="I1676" s="27">
        <f t="shared" si="1154"/>
        <v>1183980</v>
      </c>
      <c r="J1676" s="16">
        <f>'БА в тыс. руб.'!G1676*1000</f>
        <v>1183980</v>
      </c>
      <c r="K1676" s="172">
        <f t="shared" si="1151"/>
        <v>0</v>
      </c>
      <c r="L1676" s="16">
        <f>'БА в тыс. руб.'!H1676*1000</f>
        <v>1183980</v>
      </c>
      <c r="M1676" s="172">
        <f t="shared" si="1152"/>
        <v>0</v>
      </c>
      <c r="N1676" s="16">
        <f>'БА в тыс. руб.'!I1676*1000</f>
        <v>1183980</v>
      </c>
      <c r="O1676" s="172">
        <f t="shared" si="1153"/>
        <v>0</v>
      </c>
    </row>
    <row r="1677" spans="1:15" s="159" customFormat="1" ht="25.5">
      <c r="A1677" s="12" t="s">
        <v>973</v>
      </c>
      <c r="B1677" s="25" t="s">
        <v>536</v>
      </c>
      <c r="C1677" s="26" t="s">
        <v>53</v>
      </c>
      <c r="D1677" s="26" t="s">
        <v>25</v>
      </c>
      <c r="E1677" s="26" t="s">
        <v>550</v>
      </c>
      <c r="F1677" s="26" t="s">
        <v>1043</v>
      </c>
      <c r="G1677" s="27">
        <f t="shared" ref="G1677" si="1155">J1677</f>
        <v>1183980</v>
      </c>
      <c r="H1677" s="27">
        <f>L1677</f>
        <v>1183980</v>
      </c>
      <c r="I1677" s="27">
        <f>N1677</f>
        <v>1183980</v>
      </c>
      <c r="J1677" s="16">
        <f>'БА в тыс. руб.'!G1677*1000</f>
        <v>1183980</v>
      </c>
      <c r="K1677" s="172">
        <f t="shared" si="1151"/>
        <v>0</v>
      </c>
      <c r="L1677" s="16">
        <f>'БА в тыс. руб.'!H1677*1000</f>
        <v>1183980</v>
      </c>
      <c r="M1677" s="172">
        <f t="shared" si="1152"/>
        <v>0</v>
      </c>
      <c r="N1677" s="16">
        <f>'БА в тыс. руб.'!I1677*1000</f>
        <v>1183980</v>
      </c>
      <c r="O1677" s="172">
        <f t="shared" si="1153"/>
        <v>0</v>
      </c>
    </row>
    <row r="1678" spans="1:15" s="159" customFormat="1">
      <c r="A1678" s="11" t="s">
        <v>97</v>
      </c>
      <c r="B1678" s="25" t="s">
        <v>536</v>
      </c>
      <c r="C1678" s="26" t="s">
        <v>53</v>
      </c>
      <c r="D1678" s="26" t="s">
        <v>25</v>
      </c>
      <c r="E1678" s="26" t="s">
        <v>550</v>
      </c>
      <c r="F1678" s="26" t="s">
        <v>118</v>
      </c>
      <c r="G1678" s="27">
        <f>SUM(G1679:G1680)</f>
        <v>201710</v>
      </c>
      <c r="H1678" s="27">
        <f>SUM(H1679:H1680)</f>
        <v>201710</v>
      </c>
      <c r="I1678" s="27">
        <f>SUM(I1679:I1680)</f>
        <v>201710</v>
      </c>
      <c r="J1678" s="16">
        <f>'БА в тыс. руб.'!G1678*1000</f>
        <v>201710</v>
      </c>
      <c r="K1678" s="172">
        <f t="shared" si="1151"/>
        <v>0</v>
      </c>
      <c r="L1678" s="16">
        <f>'БА в тыс. руб.'!H1678*1000</f>
        <v>201710</v>
      </c>
      <c r="M1678" s="172">
        <f t="shared" si="1152"/>
        <v>0</v>
      </c>
      <c r="N1678" s="16">
        <f>'БА в тыс. руб.'!I1678*1000</f>
        <v>201710</v>
      </c>
      <c r="O1678" s="172">
        <f t="shared" si="1153"/>
        <v>0</v>
      </c>
    </row>
    <row r="1679" spans="1:15" s="159" customFormat="1">
      <c r="A1679" s="11" t="s">
        <v>1036</v>
      </c>
      <c r="B1679" s="25" t="s">
        <v>536</v>
      </c>
      <c r="C1679" s="26" t="s">
        <v>53</v>
      </c>
      <c r="D1679" s="26" t="s">
        <v>25</v>
      </c>
      <c r="E1679" s="26" t="s">
        <v>550</v>
      </c>
      <c r="F1679" s="26" t="s">
        <v>1061</v>
      </c>
      <c r="G1679" s="27">
        <f t="shared" ref="G1679:G1680" si="1156">J1679</f>
        <v>172710</v>
      </c>
      <c r="H1679" s="27">
        <f t="shared" ref="H1679:H1680" si="1157">L1679</f>
        <v>172710</v>
      </c>
      <c r="I1679" s="27">
        <f t="shared" ref="I1679:I1680" si="1158">N1679</f>
        <v>172710</v>
      </c>
      <c r="J1679" s="16">
        <f>'БА в тыс. руб.'!G1679*1000</f>
        <v>172710</v>
      </c>
      <c r="K1679" s="172">
        <f t="shared" si="1151"/>
        <v>0</v>
      </c>
      <c r="L1679" s="16">
        <f>'БА в тыс. руб.'!H1679*1000</f>
        <v>172710</v>
      </c>
      <c r="M1679" s="172">
        <f t="shared" si="1152"/>
        <v>0</v>
      </c>
      <c r="N1679" s="16">
        <f>'БА в тыс. руб.'!I1679*1000</f>
        <v>172710</v>
      </c>
      <c r="O1679" s="172">
        <f t="shared" si="1153"/>
        <v>0</v>
      </c>
    </row>
    <row r="1680" spans="1:15" s="159" customFormat="1">
      <c r="A1680" s="11" t="s">
        <v>1037</v>
      </c>
      <c r="B1680" s="25" t="s">
        <v>536</v>
      </c>
      <c r="C1680" s="26" t="s">
        <v>53</v>
      </c>
      <c r="D1680" s="26" t="s">
        <v>25</v>
      </c>
      <c r="E1680" s="26" t="s">
        <v>550</v>
      </c>
      <c r="F1680" s="26" t="s">
        <v>1062</v>
      </c>
      <c r="G1680" s="27">
        <f t="shared" si="1156"/>
        <v>29000</v>
      </c>
      <c r="H1680" s="27">
        <f t="shared" si="1157"/>
        <v>29000</v>
      </c>
      <c r="I1680" s="27">
        <f t="shared" si="1158"/>
        <v>29000</v>
      </c>
      <c r="J1680" s="16">
        <f>'БА в тыс. руб.'!G1680*1000</f>
        <v>29000</v>
      </c>
      <c r="K1680" s="172">
        <f t="shared" si="1151"/>
        <v>0</v>
      </c>
      <c r="L1680" s="16">
        <f>'БА в тыс. руб.'!H1680*1000</f>
        <v>29000</v>
      </c>
      <c r="M1680" s="172">
        <f t="shared" si="1152"/>
        <v>0</v>
      </c>
      <c r="N1680" s="16">
        <f>'БА в тыс. руб.'!I1680*1000</f>
        <v>29000</v>
      </c>
      <c r="O1680" s="172">
        <f t="shared" si="1153"/>
        <v>0</v>
      </c>
    </row>
    <row r="1681" spans="1:15" s="3" customFormat="1" ht="25.5">
      <c r="A1681" s="152" t="s">
        <v>126</v>
      </c>
      <c r="B1681" s="25" t="s">
        <v>536</v>
      </c>
      <c r="C1681" s="26" t="s">
        <v>53</v>
      </c>
      <c r="D1681" s="26" t="s">
        <v>25</v>
      </c>
      <c r="E1681" s="26" t="s">
        <v>551</v>
      </c>
      <c r="F1681" s="26" t="s">
        <v>58</v>
      </c>
      <c r="G1681" s="27">
        <f>G1682</f>
        <v>13576550</v>
      </c>
      <c r="H1681" s="27">
        <f>H1682</f>
        <v>13576550</v>
      </c>
      <c r="I1681" s="27">
        <f>I1682</f>
        <v>13576550</v>
      </c>
      <c r="J1681" s="16">
        <f>'БА в тыс. руб.'!G1681*1000</f>
        <v>13576550</v>
      </c>
      <c r="K1681" s="169">
        <f t="shared" si="1151"/>
        <v>0</v>
      </c>
      <c r="L1681" s="16">
        <f>'БА в тыс. руб.'!H1681*1000</f>
        <v>13576550</v>
      </c>
      <c r="M1681" s="169">
        <f t="shared" si="1152"/>
        <v>0</v>
      </c>
      <c r="N1681" s="16">
        <f>'БА в тыс. руб.'!I1681*1000</f>
        <v>13576550</v>
      </c>
      <c r="O1681" s="169">
        <f t="shared" si="1153"/>
        <v>0</v>
      </c>
    </row>
    <row r="1682" spans="1:15" s="3" customFormat="1" ht="25.5">
      <c r="A1682" s="11" t="s">
        <v>107</v>
      </c>
      <c r="B1682" s="25" t="s">
        <v>536</v>
      </c>
      <c r="C1682" s="26" t="s">
        <v>53</v>
      </c>
      <c r="D1682" s="26" t="s">
        <v>25</v>
      </c>
      <c r="E1682" s="26" t="s">
        <v>551</v>
      </c>
      <c r="F1682" s="26" t="s">
        <v>115</v>
      </c>
      <c r="G1682" s="27">
        <f>SUM(G1683:G1684)</f>
        <v>13576550</v>
      </c>
      <c r="H1682" s="27">
        <f t="shared" ref="H1682:I1682" si="1159">SUM(H1683:H1684)</f>
        <v>13576550</v>
      </c>
      <c r="I1682" s="27">
        <f t="shared" si="1159"/>
        <v>13576550</v>
      </c>
      <c r="J1682" s="16">
        <f>'БА в тыс. руб.'!G1682*1000</f>
        <v>13576550</v>
      </c>
      <c r="K1682" s="169">
        <f t="shared" si="1151"/>
        <v>0</v>
      </c>
      <c r="L1682" s="16">
        <f>'БА в тыс. руб.'!H1682*1000</f>
        <v>13576550</v>
      </c>
      <c r="M1682" s="169">
        <f t="shared" si="1152"/>
        <v>0</v>
      </c>
      <c r="N1682" s="16">
        <f>'БА в тыс. руб.'!I1682*1000</f>
        <v>13576550</v>
      </c>
      <c r="O1682" s="169">
        <f t="shared" si="1153"/>
        <v>0</v>
      </c>
    </row>
    <row r="1683" spans="1:15" s="94" customFormat="1">
      <c r="A1683" s="12" t="s">
        <v>936</v>
      </c>
      <c r="B1683" s="25" t="s">
        <v>536</v>
      </c>
      <c r="C1683" s="26" t="s">
        <v>53</v>
      </c>
      <c r="D1683" s="26" t="s">
        <v>25</v>
      </c>
      <c r="E1683" s="26" t="s">
        <v>551</v>
      </c>
      <c r="F1683" s="26" t="s">
        <v>1063</v>
      </c>
      <c r="G1683" s="27">
        <f t="shared" ref="G1683:G1685" si="1160">J1683</f>
        <v>10427460</v>
      </c>
      <c r="H1683" s="27">
        <f t="shared" ref="H1683:H1685" si="1161">L1683</f>
        <v>10427460</v>
      </c>
      <c r="I1683" s="27">
        <f t="shared" ref="I1683:I1685" si="1162">N1683</f>
        <v>10427460</v>
      </c>
      <c r="J1683" s="16">
        <f>'БА в тыс. руб.'!G1683*1000</f>
        <v>10427460</v>
      </c>
      <c r="K1683" s="169">
        <f t="shared" si="1151"/>
        <v>0</v>
      </c>
      <c r="L1683" s="16">
        <f>'БА в тыс. руб.'!H1683*1000</f>
        <v>10427460</v>
      </c>
      <c r="M1683" s="169">
        <f t="shared" si="1152"/>
        <v>0</v>
      </c>
      <c r="N1683" s="16">
        <f>'БА в тыс. руб.'!I1683*1000</f>
        <v>10427460</v>
      </c>
      <c r="O1683" s="169">
        <f t="shared" si="1153"/>
        <v>0</v>
      </c>
    </row>
    <row r="1684" spans="1:15" s="94" customFormat="1" ht="38.25">
      <c r="A1684" s="12" t="s">
        <v>939</v>
      </c>
      <c r="B1684" s="25" t="s">
        <v>536</v>
      </c>
      <c r="C1684" s="26" t="s">
        <v>53</v>
      </c>
      <c r="D1684" s="26" t="s">
        <v>25</v>
      </c>
      <c r="E1684" s="26" t="s">
        <v>551</v>
      </c>
      <c r="F1684" s="26" t="s">
        <v>1060</v>
      </c>
      <c r="G1684" s="27">
        <f t="shared" si="1160"/>
        <v>3149090</v>
      </c>
      <c r="H1684" s="27">
        <f t="shared" si="1161"/>
        <v>3149090</v>
      </c>
      <c r="I1684" s="27">
        <f t="shared" si="1162"/>
        <v>3149090</v>
      </c>
      <c r="J1684" s="16">
        <f>'БА в тыс. руб.'!G1684*1000</f>
        <v>3149090</v>
      </c>
      <c r="K1684" s="169">
        <f t="shared" si="1151"/>
        <v>0</v>
      </c>
      <c r="L1684" s="16">
        <f>'БА в тыс. руб.'!H1684*1000</f>
        <v>3149090</v>
      </c>
      <c r="M1684" s="169">
        <f t="shared" si="1152"/>
        <v>0</v>
      </c>
      <c r="N1684" s="16">
        <f>'БА в тыс. руб.'!I1684*1000</f>
        <v>3149090</v>
      </c>
      <c r="O1684" s="169">
        <f t="shared" si="1153"/>
        <v>0</v>
      </c>
    </row>
    <row r="1685" spans="1:15" s="71" customFormat="1" ht="16.899999999999999" customHeight="1">
      <c r="A1685" s="79"/>
      <c r="B1685" s="92"/>
      <c r="C1685" s="70"/>
      <c r="D1685" s="70"/>
      <c r="E1685" s="70"/>
      <c r="F1685" s="70"/>
      <c r="G1685" s="27">
        <f t="shared" si="1160"/>
        <v>0</v>
      </c>
      <c r="H1685" s="27">
        <f t="shared" si="1161"/>
        <v>0</v>
      </c>
      <c r="I1685" s="27">
        <f t="shared" si="1162"/>
        <v>0</v>
      </c>
      <c r="J1685" s="16">
        <f>'БА в тыс. руб.'!G1685*1000</f>
        <v>0</v>
      </c>
      <c r="K1685" s="169">
        <f t="shared" si="1151"/>
        <v>0</v>
      </c>
      <c r="L1685" s="16">
        <f>'БА в тыс. руб.'!H1685*1000</f>
        <v>0</v>
      </c>
      <c r="M1685" s="169">
        <f t="shared" si="1152"/>
        <v>0</v>
      </c>
      <c r="N1685" s="16">
        <f>'БА в тыс. руб.'!I1685*1000</f>
        <v>0</v>
      </c>
      <c r="O1685" s="169">
        <f t="shared" si="1153"/>
        <v>0</v>
      </c>
    </row>
    <row r="1686" spans="1:15" s="3" customFormat="1">
      <c r="A1686" s="28" t="s">
        <v>127</v>
      </c>
      <c r="B1686" s="14" t="s">
        <v>707</v>
      </c>
      <c r="C1686" s="15" t="s">
        <v>51</v>
      </c>
      <c r="D1686" s="15" t="s">
        <v>51</v>
      </c>
      <c r="E1686" s="15" t="s">
        <v>196</v>
      </c>
      <c r="F1686" s="15" t="s">
        <v>58</v>
      </c>
      <c r="G1686" s="29">
        <f t="shared" ref="G1686:I1689" si="1163">G1687</f>
        <v>13430300</v>
      </c>
      <c r="H1686" s="29">
        <f t="shared" si="1163"/>
        <v>13442180</v>
      </c>
      <c r="I1686" s="29">
        <f t="shared" si="1163"/>
        <v>13442180</v>
      </c>
      <c r="J1686" s="16">
        <f>'БА в тыс. руб.'!G1686*1000</f>
        <v>13430300.000000002</v>
      </c>
      <c r="K1686" s="169">
        <f t="shared" si="1151"/>
        <v>0</v>
      </c>
      <c r="L1686" s="16">
        <f>'БА в тыс. руб.'!H1686*1000</f>
        <v>13442180</v>
      </c>
      <c r="M1686" s="169">
        <f t="shared" si="1152"/>
        <v>0</v>
      </c>
      <c r="N1686" s="16">
        <f>'БА в тыс. руб.'!I1686*1000</f>
        <v>13442180</v>
      </c>
      <c r="O1686" s="169">
        <f t="shared" si="1153"/>
        <v>0</v>
      </c>
    </row>
    <row r="1687" spans="1:15" s="3" customFormat="1">
      <c r="A1687" s="17" t="s">
        <v>64</v>
      </c>
      <c r="B1687" s="18" t="s">
        <v>707</v>
      </c>
      <c r="C1687" s="19" t="s">
        <v>65</v>
      </c>
      <c r="D1687" s="19" t="s">
        <v>51</v>
      </c>
      <c r="E1687" s="19" t="s">
        <v>196</v>
      </c>
      <c r="F1687" s="19" t="s">
        <v>58</v>
      </c>
      <c r="G1687" s="20">
        <f t="shared" si="1163"/>
        <v>13430300</v>
      </c>
      <c r="H1687" s="20">
        <f t="shared" si="1163"/>
        <v>13442180</v>
      </c>
      <c r="I1687" s="20">
        <f t="shared" si="1163"/>
        <v>13442180</v>
      </c>
      <c r="J1687" s="16">
        <f>'БА в тыс. руб.'!G1687*1000</f>
        <v>13430300.000000002</v>
      </c>
      <c r="K1687" s="169">
        <f t="shared" si="1151"/>
        <v>0</v>
      </c>
      <c r="L1687" s="16">
        <f>'БА в тыс. руб.'!H1687*1000</f>
        <v>13442180</v>
      </c>
      <c r="M1687" s="169">
        <f t="shared" si="1152"/>
        <v>0</v>
      </c>
      <c r="N1687" s="16">
        <f>'БА в тыс. руб.'!I1687*1000</f>
        <v>13442180</v>
      </c>
      <c r="O1687" s="169">
        <f t="shared" si="1153"/>
        <v>0</v>
      </c>
    </row>
    <row r="1688" spans="1:15" s="3" customFormat="1" ht="25.5">
      <c r="A1688" s="21" t="s">
        <v>32</v>
      </c>
      <c r="B1688" s="22" t="s">
        <v>707</v>
      </c>
      <c r="C1688" s="23" t="s">
        <v>65</v>
      </c>
      <c r="D1688" s="23" t="s">
        <v>2</v>
      </c>
      <c r="E1688" s="23" t="s">
        <v>196</v>
      </c>
      <c r="F1688" s="23" t="s">
        <v>58</v>
      </c>
      <c r="G1688" s="24">
        <f t="shared" si="1163"/>
        <v>13430300</v>
      </c>
      <c r="H1688" s="24">
        <f t="shared" si="1163"/>
        <v>13442180</v>
      </c>
      <c r="I1688" s="24">
        <f t="shared" si="1163"/>
        <v>13442180</v>
      </c>
      <c r="J1688" s="16">
        <f>'БА в тыс. руб.'!G1688*1000</f>
        <v>13430300.000000002</v>
      </c>
      <c r="K1688" s="169">
        <f t="shared" si="1151"/>
        <v>0</v>
      </c>
      <c r="L1688" s="16">
        <f>'БА в тыс. руб.'!H1688*1000</f>
        <v>13442180</v>
      </c>
      <c r="M1688" s="169">
        <f t="shared" si="1152"/>
        <v>0</v>
      </c>
      <c r="N1688" s="16">
        <f>'БА в тыс. руб.'!I1688*1000</f>
        <v>13442180</v>
      </c>
      <c r="O1688" s="169">
        <f t="shared" si="1153"/>
        <v>0</v>
      </c>
    </row>
    <row r="1689" spans="1:15" s="3" customFormat="1" ht="26.25">
      <c r="A1689" s="10" t="s">
        <v>712</v>
      </c>
      <c r="B1689" s="25" t="s">
        <v>707</v>
      </c>
      <c r="C1689" s="26" t="s">
        <v>65</v>
      </c>
      <c r="D1689" s="26" t="s">
        <v>2</v>
      </c>
      <c r="E1689" s="26" t="s">
        <v>710</v>
      </c>
      <c r="F1689" s="26" t="s">
        <v>58</v>
      </c>
      <c r="G1689" s="27">
        <f t="shared" si="1163"/>
        <v>13430300</v>
      </c>
      <c r="H1689" s="27">
        <f t="shared" si="1163"/>
        <v>13442180</v>
      </c>
      <c r="I1689" s="27">
        <f t="shared" si="1163"/>
        <v>13442180</v>
      </c>
      <c r="J1689" s="16">
        <f>'БА в тыс. руб.'!G1689*1000</f>
        <v>13430300.000000002</v>
      </c>
      <c r="K1689" s="169">
        <f t="shared" si="1151"/>
        <v>0</v>
      </c>
      <c r="L1689" s="16">
        <f>'БА в тыс. руб.'!H1689*1000</f>
        <v>13442180</v>
      </c>
      <c r="M1689" s="169">
        <f t="shared" si="1152"/>
        <v>0</v>
      </c>
      <c r="N1689" s="16">
        <f>'БА в тыс. руб.'!I1689*1000</f>
        <v>13442180</v>
      </c>
      <c r="O1689" s="169">
        <f t="shared" si="1153"/>
        <v>0</v>
      </c>
    </row>
    <row r="1690" spans="1:15" s="3" customFormat="1" ht="26.25">
      <c r="A1690" s="10" t="s">
        <v>711</v>
      </c>
      <c r="B1690" s="25" t="s">
        <v>707</v>
      </c>
      <c r="C1690" s="26" t="s">
        <v>65</v>
      </c>
      <c r="D1690" s="26" t="s">
        <v>2</v>
      </c>
      <c r="E1690" s="26" t="s">
        <v>708</v>
      </c>
      <c r="F1690" s="26" t="s">
        <v>58</v>
      </c>
      <c r="G1690" s="27">
        <f>G1691+G1699</f>
        <v>13430300</v>
      </c>
      <c r="H1690" s="27">
        <f>H1691+H1699</f>
        <v>13442180</v>
      </c>
      <c r="I1690" s="27">
        <f>I1691+I1699</f>
        <v>13442180</v>
      </c>
      <c r="J1690" s="16">
        <f>'БА в тыс. руб.'!G1690*1000</f>
        <v>13430300.000000002</v>
      </c>
      <c r="K1690" s="169">
        <f t="shared" si="1151"/>
        <v>0</v>
      </c>
      <c r="L1690" s="16">
        <f>'БА в тыс. руб.'!H1690*1000</f>
        <v>13442180</v>
      </c>
      <c r="M1690" s="169">
        <f t="shared" si="1152"/>
        <v>0</v>
      </c>
      <c r="N1690" s="16">
        <f>'БА в тыс. руб.'!I1690*1000</f>
        <v>13442180</v>
      </c>
      <c r="O1690" s="169">
        <f t="shared" si="1153"/>
        <v>0</v>
      </c>
    </row>
    <row r="1691" spans="1:15" s="3" customFormat="1" ht="25.5">
      <c r="A1691" s="11" t="s">
        <v>114</v>
      </c>
      <c r="B1691" s="25" t="s">
        <v>707</v>
      </c>
      <c r="C1691" s="26" t="s">
        <v>65</v>
      </c>
      <c r="D1691" s="26" t="s">
        <v>2</v>
      </c>
      <c r="E1691" s="26" t="s">
        <v>709</v>
      </c>
      <c r="F1691" s="26" t="s">
        <v>58</v>
      </c>
      <c r="G1691" s="27">
        <f>G1692+G1695+G1697</f>
        <v>2962510</v>
      </c>
      <c r="H1691" s="27">
        <f t="shared" ref="H1691:I1691" si="1164">H1692+H1695+H1697</f>
        <v>2974390</v>
      </c>
      <c r="I1691" s="27">
        <f t="shared" si="1164"/>
        <v>2974390</v>
      </c>
      <c r="J1691" s="16">
        <f>'БА в тыс. руб.'!G1691*1000</f>
        <v>2962510</v>
      </c>
      <c r="K1691" s="169">
        <f t="shared" si="1151"/>
        <v>0</v>
      </c>
      <c r="L1691" s="16">
        <f>'БА в тыс. руб.'!H1691*1000</f>
        <v>2974390.0000000005</v>
      </c>
      <c r="M1691" s="169">
        <f t="shared" si="1152"/>
        <v>0</v>
      </c>
      <c r="N1691" s="16">
        <f>'БА в тыс. руб.'!I1691*1000</f>
        <v>2974390.0000000005</v>
      </c>
      <c r="O1691" s="169">
        <f t="shared" si="1153"/>
        <v>0</v>
      </c>
    </row>
    <row r="1692" spans="1:15" s="3" customFormat="1" ht="25.5">
      <c r="A1692" s="12" t="s">
        <v>107</v>
      </c>
      <c r="B1692" s="25" t="s">
        <v>707</v>
      </c>
      <c r="C1692" s="26" t="s">
        <v>65</v>
      </c>
      <c r="D1692" s="26" t="s">
        <v>2</v>
      </c>
      <c r="E1692" s="26" t="s">
        <v>709</v>
      </c>
      <c r="F1692" s="26" t="s">
        <v>115</v>
      </c>
      <c r="G1692" s="27">
        <f>SUM(G1693:G1694)</f>
        <v>446530</v>
      </c>
      <c r="H1692" s="27">
        <f t="shared" ref="H1692:I1692" si="1165">SUM(H1693:H1694)</f>
        <v>446530</v>
      </c>
      <c r="I1692" s="27">
        <f t="shared" si="1165"/>
        <v>446530</v>
      </c>
      <c r="J1692" s="16">
        <f>'БА в тыс. руб.'!G1692*1000</f>
        <v>446530</v>
      </c>
      <c r="K1692" s="169">
        <f t="shared" si="1151"/>
        <v>0</v>
      </c>
      <c r="L1692" s="16">
        <f>'БА в тыс. руб.'!H1692*1000</f>
        <v>446530</v>
      </c>
      <c r="M1692" s="169">
        <f t="shared" si="1152"/>
        <v>0</v>
      </c>
      <c r="N1692" s="16">
        <f>'БА в тыс. руб.'!I1692*1000</f>
        <v>446530</v>
      </c>
      <c r="O1692" s="169">
        <f t="shared" si="1153"/>
        <v>0</v>
      </c>
    </row>
    <row r="1693" spans="1:15" s="4" customFormat="1" ht="25.5">
      <c r="A1693" s="12" t="s">
        <v>937</v>
      </c>
      <c r="B1693" s="25" t="s">
        <v>707</v>
      </c>
      <c r="C1693" s="26" t="s">
        <v>65</v>
      </c>
      <c r="D1693" s="26" t="s">
        <v>2</v>
      </c>
      <c r="E1693" s="26" t="s">
        <v>709</v>
      </c>
      <c r="F1693" s="26" t="s">
        <v>1059</v>
      </c>
      <c r="G1693" s="27">
        <f t="shared" ref="G1693:G1694" si="1166">J1693</f>
        <v>376500</v>
      </c>
      <c r="H1693" s="27">
        <f t="shared" ref="H1693:H1694" si="1167">L1693</f>
        <v>376500</v>
      </c>
      <c r="I1693" s="27">
        <f t="shared" ref="I1693:I1694" si="1168">N1693</f>
        <v>376500</v>
      </c>
      <c r="J1693" s="16">
        <f>'БА в тыс. руб.'!G1693*1000</f>
        <v>376500</v>
      </c>
      <c r="K1693" s="169">
        <f t="shared" si="1151"/>
        <v>0</v>
      </c>
      <c r="L1693" s="16">
        <f>'БА в тыс. руб.'!H1693*1000</f>
        <v>376500</v>
      </c>
      <c r="M1693" s="169">
        <f t="shared" si="1152"/>
        <v>0</v>
      </c>
      <c r="N1693" s="16">
        <f>'БА в тыс. руб.'!I1693*1000</f>
        <v>376500</v>
      </c>
      <c r="O1693" s="169">
        <f t="shared" si="1153"/>
        <v>0</v>
      </c>
    </row>
    <row r="1694" spans="1:15" s="4" customFormat="1" ht="38.25">
      <c r="A1694" s="12" t="s">
        <v>939</v>
      </c>
      <c r="B1694" s="25" t="s">
        <v>707</v>
      </c>
      <c r="C1694" s="26" t="s">
        <v>65</v>
      </c>
      <c r="D1694" s="26" t="s">
        <v>2</v>
      </c>
      <c r="E1694" s="26" t="s">
        <v>709</v>
      </c>
      <c r="F1694" s="26" t="s">
        <v>1060</v>
      </c>
      <c r="G1694" s="27">
        <f t="shared" si="1166"/>
        <v>70030</v>
      </c>
      <c r="H1694" s="27">
        <f t="shared" si="1167"/>
        <v>70030</v>
      </c>
      <c r="I1694" s="27">
        <f t="shared" si="1168"/>
        <v>70030</v>
      </c>
      <c r="J1694" s="16">
        <f>'БА в тыс. руб.'!G1694*1000</f>
        <v>70030</v>
      </c>
      <c r="K1694" s="169">
        <f t="shared" si="1151"/>
        <v>0</v>
      </c>
      <c r="L1694" s="16">
        <f>'БА в тыс. руб.'!H1694*1000</f>
        <v>70030</v>
      </c>
      <c r="M1694" s="169">
        <f t="shared" si="1152"/>
        <v>0</v>
      </c>
      <c r="N1694" s="16">
        <f>'БА в тыс. руб.'!I1694*1000</f>
        <v>70030</v>
      </c>
      <c r="O1694" s="169">
        <f t="shared" si="1153"/>
        <v>0</v>
      </c>
    </row>
    <row r="1695" spans="1:15" s="3" customFormat="1" ht="25.5">
      <c r="A1695" s="11" t="s">
        <v>108</v>
      </c>
      <c r="B1695" s="25" t="s">
        <v>707</v>
      </c>
      <c r="C1695" s="26" t="s">
        <v>65</v>
      </c>
      <c r="D1695" s="26" t="s">
        <v>2</v>
      </c>
      <c r="E1695" s="26" t="s">
        <v>709</v>
      </c>
      <c r="F1695" s="26" t="s">
        <v>116</v>
      </c>
      <c r="G1695" s="27">
        <f>G1696</f>
        <v>2496980</v>
      </c>
      <c r="H1695" s="27">
        <f t="shared" ref="H1695:I1695" si="1169">H1696</f>
        <v>2508860</v>
      </c>
      <c r="I1695" s="27">
        <f t="shared" si="1169"/>
        <v>2508860</v>
      </c>
      <c r="J1695" s="16">
        <f>'БА в тыс. руб.'!G1695*1000</f>
        <v>2496980</v>
      </c>
      <c r="K1695" s="169">
        <f t="shared" si="1151"/>
        <v>0</v>
      </c>
      <c r="L1695" s="16">
        <f>'БА в тыс. руб.'!H1695*1000</f>
        <v>2508860</v>
      </c>
      <c r="M1695" s="169">
        <f t="shared" si="1152"/>
        <v>0</v>
      </c>
      <c r="N1695" s="16">
        <f>'БА в тыс. руб.'!I1695*1000</f>
        <v>2508860</v>
      </c>
      <c r="O1695" s="169">
        <f t="shared" si="1153"/>
        <v>0</v>
      </c>
    </row>
    <row r="1696" spans="1:15" s="94" customFormat="1" ht="25.5">
      <c r="A1696" s="12" t="s">
        <v>973</v>
      </c>
      <c r="B1696" s="25" t="s">
        <v>707</v>
      </c>
      <c r="C1696" s="26" t="s">
        <v>65</v>
      </c>
      <c r="D1696" s="26" t="s">
        <v>2</v>
      </c>
      <c r="E1696" s="26" t="s">
        <v>709</v>
      </c>
      <c r="F1696" s="26" t="s">
        <v>1043</v>
      </c>
      <c r="G1696" s="27">
        <f t="shared" ref="G1696" si="1170">J1696</f>
        <v>2496980</v>
      </c>
      <c r="H1696" s="27">
        <f>L1696</f>
        <v>2508860</v>
      </c>
      <c r="I1696" s="27">
        <f>N1696</f>
        <v>2508860</v>
      </c>
      <c r="J1696" s="16">
        <f>'БА в тыс. руб.'!G1696*1000</f>
        <v>2496980</v>
      </c>
      <c r="K1696" s="169">
        <f t="shared" si="1151"/>
        <v>0</v>
      </c>
      <c r="L1696" s="16">
        <f>'БА в тыс. руб.'!H1696*1000</f>
        <v>2508860</v>
      </c>
      <c r="M1696" s="169">
        <f t="shared" si="1152"/>
        <v>0</v>
      </c>
      <c r="N1696" s="16">
        <f>'БА в тыс. руб.'!I1696*1000</f>
        <v>2508860</v>
      </c>
      <c r="O1696" s="169">
        <f t="shared" si="1153"/>
        <v>0</v>
      </c>
    </row>
    <row r="1697" spans="1:15" s="3" customFormat="1">
      <c r="A1697" s="11" t="s">
        <v>97</v>
      </c>
      <c r="B1697" s="25" t="s">
        <v>707</v>
      </c>
      <c r="C1697" s="26" t="s">
        <v>65</v>
      </c>
      <c r="D1697" s="26" t="s">
        <v>2</v>
      </c>
      <c r="E1697" s="26" t="s">
        <v>709</v>
      </c>
      <c r="F1697" s="26" t="s">
        <v>118</v>
      </c>
      <c r="G1697" s="27">
        <f>G1698</f>
        <v>19000</v>
      </c>
      <c r="H1697" s="27">
        <f t="shared" ref="H1697:I1697" si="1171">H1698</f>
        <v>19000</v>
      </c>
      <c r="I1697" s="27">
        <f t="shared" si="1171"/>
        <v>19000</v>
      </c>
      <c r="J1697" s="16">
        <f>'БА в тыс. руб.'!G1697*1000</f>
        <v>19000</v>
      </c>
      <c r="K1697" s="169">
        <f t="shared" si="1151"/>
        <v>0</v>
      </c>
      <c r="L1697" s="16">
        <f>'БА в тыс. руб.'!H1697*1000</f>
        <v>19000</v>
      </c>
      <c r="M1697" s="169">
        <f t="shared" si="1152"/>
        <v>0</v>
      </c>
      <c r="N1697" s="16">
        <f>'БА в тыс. руб.'!I1697*1000</f>
        <v>19000</v>
      </c>
      <c r="O1697" s="169">
        <f t="shared" si="1153"/>
        <v>0</v>
      </c>
    </row>
    <row r="1698" spans="1:15" s="4" customFormat="1">
      <c r="A1698" s="12" t="s">
        <v>1038</v>
      </c>
      <c r="B1698" s="25" t="s">
        <v>707</v>
      </c>
      <c r="C1698" s="26" t="s">
        <v>65</v>
      </c>
      <c r="D1698" s="26" t="s">
        <v>2</v>
      </c>
      <c r="E1698" s="26" t="s">
        <v>709</v>
      </c>
      <c r="F1698" s="26" t="s">
        <v>1066</v>
      </c>
      <c r="G1698" s="27">
        <f t="shared" ref="G1698" si="1172">J1698</f>
        <v>19000</v>
      </c>
      <c r="H1698" s="27">
        <f>L1698</f>
        <v>19000</v>
      </c>
      <c r="I1698" s="27">
        <f>N1698</f>
        <v>19000</v>
      </c>
      <c r="J1698" s="16">
        <f>'БА в тыс. руб.'!G1698*1000</f>
        <v>19000</v>
      </c>
      <c r="K1698" s="169">
        <f t="shared" si="1151"/>
        <v>0</v>
      </c>
      <c r="L1698" s="16">
        <f>'БА в тыс. руб.'!H1698*1000</f>
        <v>19000</v>
      </c>
      <c r="M1698" s="169">
        <f t="shared" si="1152"/>
        <v>0</v>
      </c>
      <c r="N1698" s="16">
        <f>'БА в тыс. руб.'!I1698*1000</f>
        <v>19000</v>
      </c>
      <c r="O1698" s="169">
        <f t="shared" si="1153"/>
        <v>0</v>
      </c>
    </row>
    <row r="1699" spans="1:15" s="3" customFormat="1" ht="25.5">
      <c r="A1699" s="11" t="s">
        <v>126</v>
      </c>
      <c r="B1699" s="25" t="s">
        <v>707</v>
      </c>
      <c r="C1699" s="26" t="s">
        <v>65</v>
      </c>
      <c r="D1699" s="26" t="s">
        <v>2</v>
      </c>
      <c r="E1699" s="26" t="s">
        <v>713</v>
      </c>
      <c r="F1699" s="26" t="s">
        <v>58</v>
      </c>
      <c r="G1699" s="27">
        <f>G1700</f>
        <v>10467790</v>
      </c>
      <c r="H1699" s="27">
        <f>H1700</f>
        <v>10467790</v>
      </c>
      <c r="I1699" s="27">
        <f>I1700</f>
        <v>10467790</v>
      </c>
      <c r="J1699" s="16">
        <f>'БА в тыс. руб.'!G1699*1000</f>
        <v>10467790</v>
      </c>
      <c r="K1699" s="169">
        <f t="shared" si="1151"/>
        <v>0</v>
      </c>
      <c r="L1699" s="16">
        <f>'БА в тыс. руб.'!H1699*1000</f>
        <v>10467790</v>
      </c>
      <c r="M1699" s="169">
        <f t="shared" si="1152"/>
        <v>0</v>
      </c>
      <c r="N1699" s="16">
        <f>'БА в тыс. руб.'!I1699*1000</f>
        <v>10467790</v>
      </c>
      <c r="O1699" s="169">
        <f t="shared" si="1153"/>
        <v>0</v>
      </c>
    </row>
    <row r="1700" spans="1:15" s="3" customFormat="1" ht="25.5">
      <c r="A1700" s="11" t="s">
        <v>107</v>
      </c>
      <c r="B1700" s="25" t="s">
        <v>707</v>
      </c>
      <c r="C1700" s="26" t="s">
        <v>65</v>
      </c>
      <c r="D1700" s="26" t="s">
        <v>2</v>
      </c>
      <c r="E1700" s="26" t="s">
        <v>713</v>
      </c>
      <c r="F1700" s="26" t="s">
        <v>115</v>
      </c>
      <c r="G1700" s="27">
        <f>SUM(G1701:G1702)</f>
        <v>10467790</v>
      </c>
      <c r="H1700" s="27">
        <f t="shared" ref="H1700:I1700" si="1173">SUM(H1701:H1702)</f>
        <v>10467790</v>
      </c>
      <c r="I1700" s="27">
        <f t="shared" si="1173"/>
        <v>10467790</v>
      </c>
      <c r="J1700" s="16">
        <f>'БА в тыс. руб.'!G1700*1000</f>
        <v>10467790</v>
      </c>
      <c r="K1700" s="169">
        <f t="shared" si="1151"/>
        <v>0</v>
      </c>
      <c r="L1700" s="16">
        <f>'БА в тыс. руб.'!H1700*1000</f>
        <v>10467790</v>
      </c>
      <c r="M1700" s="169">
        <f t="shared" si="1152"/>
        <v>0</v>
      </c>
      <c r="N1700" s="16">
        <f>'БА в тыс. руб.'!I1700*1000</f>
        <v>10467790</v>
      </c>
      <c r="O1700" s="169">
        <f t="shared" si="1153"/>
        <v>0</v>
      </c>
    </row>
    <row r="1701" spans="1:15" s="3" customFormat="1">
      <c r="A1701" s="11" t="s">
        <v>936</v>
      </c>
      <c r="B1701" s="25" t="s">
        <v>707</v>
      </c>
      <c r="C1701" s="26" t="s">
        <v>65</v>
      </c>
      <c r="D1701" s="26" t="s">
        <v>2</v>
      </c>
      <c r="E1701" s="26" t="s">
        <v>713</v>
      </c>
      <c r="F1701" s="26" t="s">
        <v>1063</v>
      </c>
      <c r="G1701" s="27">
        <f t="shared" ref="G1701:G1702" si="1174">J1701</f>
        <v>8039780</v>
      </c>
      <c r="H1701" s="27">
        <f t="shared" ref="H1701:H1704" si="1175">L1701</f>
        <v>8039780</v>
      </c>
      <c r="I1701" s="27">
        <f t="shared" ref="I1701:I1704" si="1176">N1701</f>
        <v>8039780</v>
      </c>
      <c r="J1701" s="16">
        <f>'БА в тыс. руб.'!G1701*1000</f>
        <v>8039780</v>
      </c>
      <c r="K1701" s="169">
        <f t="shared" si="1151"/>
        <v>0</v>
      </c>
      <c r="L1701" s="16">
        <f>'БА в тыс. руб.'!H1701*1000</f>
        <v>8039780</v>
      </c>
      <c r="M1701" s="169">
        <f t="shared" si="1152"/>
        <v>0</v>
      </c>
      <c r="N1701" s="16">
        <f>'БА в тыс. руб.'!I1701*1000</f>
        <v>8039780</v>
      </c>
      <c r="O1701" s="169">
        <f t="shared" si="1153"/>
        <v>0</v>
      </c>
    </row>
    <row r="1702" spans="1:15" s="3" customFormat="1" ht="38.25">
      <c r="A1702" s="11" t="s">
        <v>939</v>
      </c>
      <c r="B1702" s="25" t="s">
        <v>707</v>
      </c>
      <c r="C1702" s="26" t="s">
        <v>65</v>
      </c>
      <c r="D1702" s="26" t="s">
        <v>2</v>
      </c>
      <c r="E1702" s="26" t="s">
        <v>713</v>
      </c>
      <c r="F1702" s="26" t="s">
        <v>1060</v>
      </c>
      <c r="G1702" s="27">
        <f t="shared" si="1174"/>
        <v>2428010</v>
      </c>
      <c r="H1702" s="27">
        <f t="shared" si="1175"/>
        <v>2428010</v>
      </c>
      <c r="I1702" s="27">
        <f t="shared" si="1176"/>
        <v>2428010</v>
      </c>
      <c r="J1702" s="16">
        <f>'БА в тыс. руб.'!G1702*1000</f>
        <v>2428010</v>
      </c>
      <c r="K1702" s="169">
        <f t="shared" si="1151"/>
        <v>0</v>
      </c>
      <c r="L1702" s="16">
        <f>'БА в тыс. руб.'!H1702*1000</f>
        <v>2428010</v>
      </c>
      <c r="M1702" s="169">
        <f t="shared" si="1152"/>
        <v>0</v>
      </c>
      <c r="N1702" s="16">
        <f>'БА в тыс. руб.'!I1702*1000</f>
        <v>2428010</v>
      </c>
      <c r="O1702" s="169">
        <f t="shared" si="1153"/>
        <v>0</v>
      </c>
    </row>
    <row r="1703" spans="1:15" s="3" customFormat="1">
      <c r="A1703" s="11"/>
      <c r="B1703" s="25"/>
      <c r="C1703" s="26"/>
      <c r="D1703" s="26"/>
      <c r="E1703" s="26"/>
      <c r="F1703" s="26"/>
      <c r="G1703" s="27"/>
      <c r="H1703" s="27"/>
      <c r="I1703" s="27"/>
      <c r="J1703" s="16">
        <f>'БА в тыс. руб.'!G1703*1000</f>
        <v>0</v>
      </c>
      <c r="K1703" s="169">
        <f t="shared" si="1151"/>
        <v>0</v>
      </c>
      <c r="L1703" s="16">
        <f>'БА в тыс. руб.'!H1703*1000</f>
        <v>0</v>
      </c>
      <c r="M1703" s="169">
        <f t="shared" si="1152"/>
        <v>0</v>
      </c>
      <c r="N1703" s="16">
        <f>'БА в тыс. руб.'!I1703*1000</f>
        <v>0</v>
      </c>
      <c r="O1703" s="169">
        <f t="shared" si="1153"/>
        <v>0</v>
      </c>
    </row>
    <row r="1704" spans="1:15" s="3" customFormat="1">
      <c r="A1704" s="11" t="s">
        <v>833</v>
      </c>
      <c r="B1704" s="25"/>
      <c r="C1704" s="26"/>
      <c r="D1704" s="26"/>
      <c r="E1704" s="26"/>
      <c r="F1704" s="26"/>
      <c r="G1704" s="27">
        <v>0</v>
      </c>
      <c r="H1704" s="27">
        <f t="shared" si="1175"/>
        <v>93704760</v>
      </c>
      <c r="I1704" s="27">
        <f t="shared" si="1176"/>
        <v>194788330.00000003</v>
      </c>
      <c r="J1704" s="16">
        <f>'БА в тыс. руб.'!G1704*1000</f>
        <v>0</v>
      </c>
      <c r="K1704" s="169">
        <f t="shared" si="1151"/>
        <v>0</v>
      </c>
      <c r="L1704" s="16">
        <f>'БА в тыс. руб.'!H1704*1000</f>
        <v>93704760</v>
      </c>
      <c r="M1704" s="169">
        <f t="shared" si="1152"/>
        <v>0</v>
      </c>
      <c r="N1704" s="16">
        <f>'БА в тыс. руб.'!I1704*1000</f>
        <v>194788330.00000003</v>
      </c>
      <c r="O1704" s="169">
        <f t="shared" si="1153"/>
        <v>0</v>
      </c>
    </row>
    <row r="1705" spans="1:15" s="3" customFormat="1">
      <c r="A1705" s="160"/>
      <c r="B1705" s="25"/>
      <c r="C1705" s="26"/>
      <c r="D1705" s="26"/>
      <c r="E1705" s="26"/>
      <c r="F1705" s="26"/>
      <c r="G1705" s="27"/>
      <c r="H1705" s="27"/>
      <c r="I1705" s="27"/>
      <c r="J1705" s="27"/>
      <c r="K1705" s="169">
        <f t="shared" si="1151"/>
        <v>0</v>
      </c>
      <c r="L1705" s="27"/>
      <c r="M1705" s="169">
        <f t="shared" si="1152"/>
        <v>0</v>
      </c>
      <c r="N1705" s="16">
        <f>'БА в тыс. руб.'!I1705*1000</f>
        <v>0</v>
      </c>
      <c r="O1705" s="169">
        <f t="shared" si="1153"/>
        <v>0</v>
      </c>
    </row>
    <row r="1706" spans="1:15">
      <c r="A1706" s="9" t="s">
        <v>41</v>
      </c>
      <c r="B1706" s="61"/>
      <c r="C1706" s="15"/>
      <c r="D1706" s="15"/>
      <c r="E1706" s="15"/>
      <c r="F1706" s="15"/>
      <c r="G1706" s="29">
        <f>G5+G62+G275+G344+G390+G431+G632+G814+G1018+G1096+G1182+G1265+G1348+G1613+G1522+G1686+G1704</f>
        <v>8620578340</v>
      </c>
      <c r="H1706" s="29">
        <f>H5+H62+H275+H344+H390+H431+H632+H814+H1018+H1096+H1182+H1265+H1348+H1613+H1522+H1686+H1704</f>
        <v>7084551580</v>
      </c>
      <c r="I1706" s="29">
        <f>I5+I62+I275+I344+I390+I431+I632+I814+I1018+I1096+I1182+I1265+I1348+I1613+I1522+I1686+I1704</f>
        <v>7545819350</v>
      </c>
      <c r="J1706" s="29">
        <f>J5+J62+J275+J344+J390+J431+J632+J814+J1018+J1096+J1182+J1265+J1348+J1613+J1522+J1686+J1704</f>
        <v>8620578340</v>
      </c>
      <c r="K1706" s="169">
        <f t="shared" si="1151"/>
        <v>0</v>
      </c>
      <c r="L1706" s="29">
        <f>L5+L62+L275+L344+L390+L431+L632+L814+L1018+L1096+L1182+L1265+L1348+L1613+L1522+L1686+L1704</f>
        <v>7084551580</v>
      </c>
      <c r="M1706" s="169">
        <f t="shared" si="1152"/>
        <v>0</v>
      </c>
      <c r="N1706" s="29">
        <f>N5+N62+N275+N344+N390+N431+N632+N814+N1018+N1096+N1182+N1265+N1348+N1613+N1522+N1686+N1704</f>
        <v>7545819350</v>
      </c>
      <c r="O1706" s="169">
        <f t="shared" si="1153"/>
        <v>0</v>
      </c>
    </row>
    <row r="1707" spans="1:15">
      <c r="H1707" s="49"/>
      <c r="I1707" s="20"/>
      <c r="J1707" s="20"/>
      <c r="K1707" s="173"/>
      <c r="L1707" s="29"/>
      <c r="M1707" s="169"/>
      <c r="N1707" s="20"/>
      <c r="O1707" s="177"/>
    </row>
    <row r="1708" spans="1:15">
      <c r="H1708" s="49"/>
      <c r="I1708" s="20"/>
      <c r="J1708" s="20"/>
      <c r="K1708" s="173"/>
      <c r="L1708" s="29"/>
      <c r="M1708" s="169"/>
      <c r="N1708" s="20"/>
      <c r="O1708" s="177"/>
    </row>
    <row r="1709" spans="1:15">
      <c r="E1709" s="65"/>
      <c r="F1709" s="65"/>
      <c r="G1709" s="52">
        <f>'БА в тыс. руб.'!G1709*1000</f>
        <v>8620578340.0000019</v>
      </c>
      <c r="H1709" s="52">
        <f>'БА в тыс. руб.'!H1709*1000</f>
        <v>7084551580</v>
      </c>
      <c r="I1709" s="52">
        <f>'БА в тыс. руб.'!I1709*1000</f>
        <v>7545819350.000001</v>
      </c>
      <c r="J1709" s="52"/>
      <c r="K1709" s="174"/>
      <c r="L1709" s="27"/>
      <c r="M1709" s="169"/>
      <c r="N1709" s="52"/>
      <c r="O1709" s="177"/>
    </row>
    <row r="1710" spans="1:15">
      <c r="E1710" s="65"/>
      <c r="F1710" s="65"/>
      <c r="G1710" s="52">
        <f>G1706-G1709</f>
        <v>0</v>
      </c>
      <c r="H1710" s="52">
        <f>H1706-H1709</f>
        <v>0</v>
      </c>
      <c r="I1710" s="52">
        <f>I1706-I1709</f>
        <v>0</v>
      </c>
      <c r="J1710" s="52"/>
      <c r="K1710" s="174"/>
      <c r="L1710" s="27"/>
      <c r="M1710" s="169"/>
      <c r="N1710" s="52"/>
      <c r="O1710" s="177"/>
    </row>
    <row r="1711" spans="1:15">
      <c r="E1711" s="65"/>
      <c r="F1711" s="65"/>
      <c r="G1711" s="52"/>
      <c r="H1711" s="52"/>
      <c r="I1711" s="52"/>
      <c r="J1711" s="52"/>
      <c r="K1711" s="174"/>
      <c r="L1711" s="27"/>
      <c r="M1711" s="177"/>
      <c r="N1711" s="52"/>
      <c r="O1711" s="177"/>
    </row>
    <row r="1712" spans="1:15">
      <c r="E1712" s="65"/>
      <c r="F1712" s="65"/>
      <c r="G1712" s="52"/>
      <c r="H1712" s="52"/>
      <c r="I1712" s="52"/>
      <c r="J1712" s="52"/>
      <c r="K1712" s="174"/>
      <c r="L1712" s="27"/>
      <c r="M1712" s="177"/>
      <c r="N1712" s="52"/>
      <c r="O1712" s="177"/>
    </row>
    <row r="1713" spans="5:15">
      <c r="E1713" s="65"/>
      <c r="F1713" s="65"/>
      <c r="G1713" s="52"/>
      <c r="H1713" s="52"/>
      <c r="I1713" s="52"/>
      <c r="J1713" s="52"/>
      <c r="K1713" s="174"/>
      <c r="L1713" s="27"/>
      <c r="M1713" s="177"/>
      <c r="N1713" s="52"/>
      <c r="O1713" s="177"/>
    </row>
    <row r="1714" spans="5:15">
      <c r="E1714" s="65"/>
      <c r="F1714" s="65"/>
      <c r="G1714" s="52"/>
      <c r="H1714" s="52"/>
      <c r="I1714" s="52"/>
      <c r="J1714" s="52"/>
      <c r="K1714" s="174"/>
      <c r="L1714" s="27"/>
      <c r="M1714" s="177"/>
      <c r="N1714" s="52"/>
      <c r="O1714" s="177"/>
    </row>
    <row r="1715" spans="5:15">
      <c r="E1715" s="65"/>
      <c r="F1715" s="65"/>
      <c r="G1715" s="52"/>
      <c r="H1715" s="52"/>
      <c r="I1715" s="52"/>
      <c r="J1715" s="52"/>
      <c r="K1715" s="174"/>
      <c r="L1715" s="52"/>
      <c r="M1715" s="174"/>
      <c r="N1715" s="52"/>
      <c r="O1715" s="174"/>
    </row>
    <row r="1716" spans="5:15">
      <c r="G1716" s="49"/>
      <c r="H1716" s="49"/>
      <c r="I1716" s="49"/>
      <c r="J1716" s="49"/>
      <c r="K1716" s="175"/>
      <c r="L1716" s="49"/>
      <c r="M1716" s="175"/>
      <c r="N1716" s="49"/>
      <c r="O1716" s="175"/>
    </row>
    <row r="1717" spans="5:15">
      <c r="I1717" s="20"/>
      <c r="J1717" s="20"/>
      <c r="K1717" s="173"/>
      <c r="L1717" s="20"/>
      <c r="M1717" s="173"/>
      <c r="N1717" s="20"/>
      <c r="O1717" s="173"/>
    </row>
  </sheetData>
  <autoFilter ref="A3:O1706"/>
  <pageMargins left="0.59055118110236227" right="0.15748031496062992" top="0.51181102362204722" bottom="0.27559055118110237" header="0.19685039370078741" footer="0.15748031496062992"/>
  <pageSetup paperSize="9" scale="10" fitToHeight="2" orientation="portrait" r:id="rId1"/>
  <headerFooter differentFirst="1" alignWithMargins="0">
    <oddHeader>&amp;C&amp;P</oddHeader>
  </headerFooter>
  <rowBreaks count="1" manualBreakCount="1">
    <brk id="781" max="8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U1717"/>
  <sheetViews>
    <sheetView view="pageBreakPreview" topLeftCell="J7" zoomScaleNormal="100" zoomScaleSheetLayoutView="100" workbookViewId="0">
      <selection activeCell="G602" sqref="G602:I602"/>
    </sheetView>
  </sheetViews>
  <sheetFormatPr defaultColWidth="8.7265625" defaultRowHeight="15.75"/>
  <cols>
    <col min="1" max="1" width="35.90625" style="6" customWidth="1"/>
    <col min="2" max="2" width="5" style="62" customWidth="1"/>
    <col min="3" max="3" width="3.36328125" style="63" customWidth="1"/>
    <col min="4" max="4" width="3" style="63" customWidth="1"/>
    <col min="5" max="5" width="8.90625" style="63" customWidth="1"/>
    <col min="6" max="6" width="4" style="63" customWidth="1"/>
    <col min="7" max="8" width="11.453125" style="64" bestFit="1" customWidth="1"/>
    <col min="9" max="9" width="11.453125" style="67" bestFit="1" customWidth="1"/>
    <col min="10" max="10" width="10.36328125" style="67" customWidth="1"/>
    <col min="11" max="11" width="10.36328125" style="176" customWidth="1"/>
    <col min="12" max="12" width="10.36328125" style="67" customWidth="1"/>
    <col min="13" max="13" width="10.36328125" style="176" customWidth="1"/>
    <col min="14" max="14" width="10.36328125" style="67" customWidth="1"/>
    <col min="15" max="15" width="10.36328125" style="176" customWidth="1"/>
    <col min="16" max="18" width="8.7265625" style="5"/>
    <col min="19" max="19" width="10.26953125" style="125" bestFit="1" customWidth="1"/>
    <col min="20" max="21" width="8.7265625" style="125"/>
    <col min="22" max="16384" width="8.7265625" style="5"/>
  </cols>
  <sheetData>
    <row r="1" spans="1:21" s="2" customFormat="1">
      <c r="A1" s="1"/>
      <c r="B1" s="48"/>
      <c r="C1" s="33"/>
      <c r="D1" s="53"/>
      <c r="E1" s="53"/>
      <c r="F1" s="53"/>
      <c r="G1" s="48"/>
      <c r="H1" s="48"/>
      <c r="I1" s="66"/>
      <c r="J1" s="66"/>
      <c r="K1" s="165"/>
      <c r="L1" s="66"/>
      <c r="M1" s="165"/>
      <c r="N1" s="66"/>
      <c r="O1" s="165"/>
      <c r="S1" s="33"/>
      <c r="T1" s="33"/>
      <c r="U1" s="33"/>
    </row>
    <row r="2" spans="1:21" s="2" customFormat="1" ht="16.5" thickBot="1">
      <c r="A2" s="7"/>
      <c r="B2" s="54"/>
      <c r="C2" s="55"/>
      <c r="D2" s="55"/>
      <c r="F2" s="73"/>
      <c r="G2" s="73"/>
      <c r="H2" s="51"/>
      <c r="I2" s="69" t="s">
        <v>193</v>
      </c>
      <c r="J2" s="78"/>
      <c r="K2" s="166"/>
      <c r="L2" s="78"/>
      <c r="M2" s="166"/>
      <c r="N2" s="78"/>
      <c r="O2" s="166"/>
      <c r="S2" s="33"/>
      <c r="T2" s="33"/>
      <c r="U2" s="33"/>
    </row>
    <row r="3" spans="1:21" s="2" customFormat="1" ht="67.150000000000006" customHeight="1" thickBot="1">
      <c r="A3" s="75" t="s">
        <v>42</v>
      </c>
      <c r="B3" s="56" t="s">
        <v>43</v>
      </c>
      <c r="C3" s="57" t="s">
        <v>23</v>
      </c>
      <c r="D3" s="57" t="s">
        <v>44</v>
      </c>
      <c r="E3" s="57" t="s">
        <v>45</v>
      </c>
      <c r="F3" s="58" t="s">
        <v>46</v>
      </c>
      <c r="G3" s="59" t="s">
        <v>719</v>
      </c>
      <c r="H3" s="59" t="s">
        <v>720</v>
      </c>
      <c r="I3" s="59" t="s">
        <v>721</v>
      </c>
      <c r="J3" s="59" t="s">
        <v>719</v>
      </c>
      <c r="K3" s="167" t="s">
        <v>59</v>
      </c>
      <c r="L3" s="59" t="s">
        <v>720</v>
      </c>
      <c r="M3" s="167" t="s">
        <v>59</v>
      </c>
      <c r="N3" s="59" t="s">
        <v>721</v>
      </c>
      <c r="O3" s="167" t="s">
        <v>59</v>
      </c>
      <c r="S3" s="33"/>
      <c r="T3" s="33"/>
      <c r="U3" s="33"/>
    </row>
    <row r="4" spans="1:21" s="68" customFormat="1" ht="16.5" thickBot="1">
      <c r="A4" s="8">
        <v>1</v>
      </c>
      <c r="B4" s="60">
        <v>2</v>
      </c>
      <c r="C4" s="60">
        <v>3</v>
      </c>
      <c r="D4" s="60" t="s">
        <v>552</v>
      </c>
      <c r="E4" s="60">
        <v>5</v>
      </c>
      <c r="F4" s="60">
        <v>6</v>
      </c>
      <c r="G4" s="60">
        <v>7</v>
      </c>
      <c r="H4" s="60">
        <v>8</v>
      </c>
      <c r="I4" s="60">
        <v>9</v>
      </c>
      <c r="J4" s="60">
        <v>7</v>
      </c>
      <c r="K4" s="168"/>
      <c r="L4" s="60">
        <v>8</v>
      </c>
      <c r="M4" s="168"/>
      <c r="N4" s="60">
        <v>9</v>
      </c>
      <c r="O4" s="168"/>
      <c r="S4" s="179"/>
      <c r="T4" s="179"/>
      <c r="U4" s="179"/>
    </row>
    <row r="5" spans="1:21" s="3" customFormat="1">
      <c r="A5" s="107" t="s">
        <v>47</v>
      </c>
      <c r="B5" s="14" t="s">
        <v>48</v>
      </c>
      <c r="C5" s="15" t="s">
        <v>51</v>
      </c>
      <c r="D5" s="15" t="s">
        <v>51</v>
      </c>
      <c r="E5" s="15" t="s">
        <v>196</v>
      </c>
      <c r="F5" s="15" t="s">
        <v>58</v>
      </c>
      <c r="G5" s="16">
        <f>G6+G48</f>
        <v>55105770</v>
      </c>
      <c r="H5" s="16">
        <f>H6+H48</f>
        <v>55107760</v>
      </c>
      <c r="I5" s="16">
        <f>I6+I48</f>
        <v>55107760</v>
      </c>
      <c r="J5" s="16">
        <f>'БА в тыс. руб.'!G5*1000</f>
        <v>55105770</v>
      </c>
      <c r="K5" s="169">
        <f>J5-G5</f>
        <v>0</v>
      </c>
      <c r="L5" s="16">
        <f>'БА в тыс. руб.'!H5*1000</f>
        <v>55107760</v>
      </c>
      <c r="M5" s="169">
        <f>L5-H5</f>
        <v>0</v>
      </c>
      <c r="N5" s="16">
        <f>'БА в тыс. руб.'!I5*1000</f>
        <v>55107760</v>
      </c>
      <c r="O5" s="169">
        <f>N5-I5</f>
        <v>0</v>
      </c>
      <c r="P5" s="16">
        <v>55105770</v>
      </c>
      <c r="Q5" s="16">
        <v>55107760</v>
      </c>
      <c r="R5" s="16">
        <v>55107760</v>
      </c>
      <c r="S5" s="180">
        <f>G5-P5</f>
        <v>0</v>
      </c>
      <c r="T5" s="180">
        <f>H5-Q5</f>
        <v>0</v>
      </c>
      <c r="U5" s="180">
        <f>I5-R5</f>
        <v>0</v>
      </c>
    </row>
    <row r="6" spans="1:21" s="3" customFormat="1">
      <c r="A6" s="17" t="s">
        <v>64</v>
      </c>
      <c r="B6" s="18" t="s">
        <v>48</v>
      </c>
      <c r="C6" s="19" t="s">
        <v>65</v>
      </c>
      <c r="D6" s="19" t="s">
        <v>51</v>
      </c>
      <c r="E6" s="19" t="s">
        <v>196</v>
      </c>
      <c r="F6" s="19" t="s">
        <v>58</v>
      </c>
      <c r="G6" s="20">
        <f>G7+G42</f>
        <v>48015270</v>
      </c>
      <c r="H6" s="20">
        <f>H7+H42</f>
        <v>48017260</v>
      </c>
      <c r="I6" s="20">
        <f>I7+I42</f>
        <v>48017260</v>
      </c>
      <c r="J6" s="16">
        <f>'БА в тыс. руб.'!G6*1000</f>
        <v>48015270</v>
      </c>
      <c r="K6" s="169">
        <f t="shared" ref="K6:K69" si="0">J6-G6</f>
        <v>0</v>
      </c>
      <c r="L6" s="16">
        <f>'БА в тыс. руб.'!H6*1000</f>
        <v>48017260</v>
      </c>
      <c r="M6" s="169">
        <f t="shared" ref="M6:M69" si="1">L6-H6</f>
        <v>0</v>
      </c>
      <c r="N6" s="16">
        <f>'БА в тыс. руб.'!I6*1000</f>
        <v>48017260</v>
      </c>
      <c r="O6" s="169">
        <f t="shared" ref="O6:O69" si="2">N6-I6</f>
        <v>0</v>
      </c>
      <c r="P6" s="20">
        <v>48015270</v>
      </c>
      <c r="Q6" s="20">
        <v>48017260</v>
      </c>
      <c r="R6" s="20">
        <v>48017260</v>
      </c>
      <c r="S6" s="180">
        <f t="shared" ref="S6:S54" si="3">G6-P6</f>
        <v>0</v>
      </c>
      <c r="T6" s="180">
        <f t="shared" ref="T6:T54" si="4">H6-Q6</f>
        <v>0</v>
      </c>
      <c r="U6" s="180">
        <f t="shared" ref="U6:U54" si="5">I6-R6</f>
        <v>0</v>
      </c>
    </row>
    <row r="7" spans="1:21" s="3" customFormat="1" ht="38.25">
      <c r="A7" s="21" t="s">
        <v>56</v>
      </c>
      <c r="B7" s="22" t="s">
        <v>48</v>
      </c>
      <c r="C7" s="23" t="s">
        <v>65</v>
      </c>
      <c r="D7" s="23" t="s">
        <v>53</v>
      </c>
      <c r="E7" s="23" t="s">
        <v>196</v>
      </c>
      <c r="F7" s="23" t="s">
        <v>58</v>
      </c>
      <c r="G7" s="24">
        <f>G8</f>
        <v>47515270</v>
      </c>
      <c r="H7" s="24">
        <f>H8</f>
        <v>47517260</v>
      </c>
      <c r="I7" s="24">
        <f>I8</f>
        <v>47517260</v>
      </c>
      <c r="J7" s="16">
        <f>'БА в тыс. руб.'!G7*1000</f>
        <v>47515270</v>
      </c>
      <c r="K7" s="169">
        <f t="shared" si="0"/>
        <v>0</v>
      </c>
      <c r="L7" s="16">
        <f>'БА в тыс. руб.'!H7*1000</f>
        <v>47517260</v>
      </c>
      <c r="M7" s="169">
        <f t="shared" si="1"/>
        <v>0</v>
      </c>
      <c r="N7" s="16">
        <f>'БА в тыс. руб.'!I7*1000</f>
        <v>47517260</v>
      </c>
      <c r="O7" s="169">
        <f t="shared" si="2"/>
        <v>0</v>
      </c>
      <c r="P7" s="24">
        <v>47515270</v>
      </c>
      <c r="Q7" s="24">
        <v>47517260</v>
      </c>
      <c r="R7" s="24">
        <v>47517260</v>
      </c>
      <c r="S7" s="180">
        <f t="shared" si="3"/>
        <v>0</v>
      </c>
      <c r="T7" s="180">
        <f t="shared" si="4"/>
        <v>0</v>
      </c>
      <c r="U7" s="180">
        <f t="shared" si="5"/>
        <v>0</v>
      </c>
    </row>
    <row r="8" spans="1:21" s="3" customFormat="1">
      <c r="A8" s="11" t="s">
        <v>124</v>
      </c>
      <c r="B8" s="25" t="s">
        <v>48</v>
      </c>
      <c r="C8" s="26" t="s">
        <v>65</v>
      </c>
      <c r="D8" s="26" t="s">
        <v>53</v>
      </c>
      <c r="E8" s="26" t="s">
        <v>197</v>
      </c>
      <c r="F8" s="26" t="s">
        <v>58</v>
      </c>
      <c r="G8" s="27">
        <f>G9+G33+G24</f>
        <v>47515270</v>
      </c>
      <c r="H8" s="27">
        <f>H9+H33+H24</f>
        <v>47517260</v>
      </c>
      <c r="I8" s="27">
        <f>I9+I33+I24</f>
        <v>47517260</v>
      </c>
      <c r="J8" s="16">
        <f>'БА в тыс. руб.'!G8*1000</f>
        <v>47515270</v>
      </c>
      <c r="K8" s="169">
        <f t="shared" si="0"/>
        <v>0</v>
      </c>
      <c r="L8" s="16">
        <f>'БА в тыс. руб.'!H8*1000</f>
        <v>47517260</v>
      </c>
      <c r="M8" s="169">
        <f t="shared" si="1"/>
        <v>0</v>
      </c>
      <c r="N8" s="16">
        <f>'БА в тыс. руб.'!I8*1000</f>
        <v>47517260</v>
      </c>
      <c r="O8" s="169">
        <f t="shared" si="2"/>
        <v>0</v>
      </c>
      <c r="P8" s="27">
        <v>47515270</v>
      </c>
      <c r="Q8" s="27">
        <v>47517260</v>
      </c>
      <c r="R8" s="27">
        <v>47517260</v>
      </c>
      <c r="S8" s="180">
        <f t="shared" si="3"/>
        <v>0</v>
      </c>
      <c r="T8" s="180">
        <f t="shared" si="4"/>
        <v>0</v>
      </c>
      <c r="U8" s="180">
        <f t="shared" si="5"/>
        <v>0</v>
      </c>
    </row>
    <row r="9" spans="1:21" s="3" customFormat="1" ht="25.5">
      <c r="A9" s="11" t="s">
        <v>125</v>
      </c>
      <c r="B9" s="25" t="s">
        <v>48</v>
      </c>
      <c r="C9" s="26" t="s">
        <v>65</v>
      </c>
      <c r="D9" s="26" t="s">
        <v>53</v>
      </c>
      <c r="E9" s="26" t="s">
        <v>200</v>
      </c>
      <c r="F9" s="26" t="s">
        <v>58</v>
      </c>
      <c r="G9" s="27">
        <f>G10+G20</f>
        <v>43813450</v>
      </c>
      <c r="H9" s="27">
        <f>H10+H20</f>
        <v>43815440</v>
      </c>
      <c r="I9" s="27">
        <f>I10+I20</f>
        <v>43815440</v>
      </c>
      <c r="J9" s="16">
        <f>'БА в тыс. руб.'!G9*1000</f>
        <v>43813450</v>
      </c>
      <c r="K9" s="169">
        <f t="shared" si="0"/>
        <v>0</v>
      </c>
      <c r="L9" s="16">
        <f>'БА в тыс. руб.'!H9*1000</f>
        <v>43815440</v>
      </c>
      <c r="M9" s="169">
        <f t="shared" si="1"/>
        <v>0</v>
      </c>
      <c r="N9" s="16">
        <f>'БА в тыс. руб.'!I9*1000</f>
        <v>43815440</v>
      </c>
      <c r="O9" s="169">
        <f t="shared" si="2"/>
        <v>0</v>
      </c>
      <c r="P9" s="27">
        <v>43813450</v>
      </c>
      <c r="Q9" s="27">
        <v>43815440</v>
      </c>
      <c r="R9" s="27">
        <v>43815440</v>
      </c>
      <c r="S9" s="180">
        <f t="shared" si="3"/>
        <v>0</v>
      </c>
      <c r="T9" s="180">
        <f t="shared" si="4"/>
        <v>0</v>
      </c>
      <c r="U9" s="180">
        <f t="shared" si="5"/>
        <v>0</v>
      </c>
    </row>
    <row r="10" spans="1:21" s="3" customFormat="1" ht="25.5">
      <c r="A10" s="11" t="s">
        <v>114</v>
      </c>
      <c r="B10" s="25" t="s">
        <v>48</v>
      </c>
      <c r="C10" s="26" t="s">
        <v>65</v>
      </c>
      <c r="D10" s="26" t="s">
        <v>53</v>
      </c>
      <c r="E10" s="26" t="s">
        <v>201</v>
      </c>
      <c r="F10" s="26" t="s">
        <v>58</v>
      </c>
      <c r="G10" s="27">
        <f>G11+G15+G17</f>
        <v>10533430</v>
      </c>
      <c r="H10" s="27">
        <f>H11+H15+H17</f>
        <v>10535420</v>
      </c>
      <c r="I10" s="27">
        <f>I11+I15+I17</f>
        <v>10535420</v>
      </c>
      <c r="J10" s="16">
        <f>'БА в тыс. руб.'!G10*1000</f>
        <v>10533430</v>
      </c>
      <c r="K10" s="169">
        <f t="shared" si="0"/>
        <v>0</v>
      </c>
      <c r="L10" s="16">
        <f>'БА в тыс. руб.'!H10*1000</f>
        <v>10535420.000000002</v>
      </c>
      <c r="M10" s="169">
        <f t="shared" si="1"/>
        <v>0</v>
      </c>
      <c r="N10" s="16">
        <f>'БА в тыс. руб.'!I10*1000</f>
        <v>10535420.000000002</v>
      </c>
      <c r="O10" s="169">
        <f t="shared" si="2"/>
        <v>0</v>
      </c>
      <c r="P10" s="27">
        <v>10533430</v>
      </c>
      <c r="Q10" s="27">
        <v>10535420</v>
      </c>
      <c r="R10" s="27">
        <v>10535420</v>
      </c>
      <c r="S10" s="180">
        <f t="shared" si="3"/>
        <v>0</v>
      </c>
      <c r="T10" s="180">
        <f t="shared" si="4"/>
        <v>0</v>
      </c>
      <c r="U10" s="180">
        <f t="shared" si="5"/>
        <v>0</v>
      </c>
    </row>
    <row r="11" spans="1:21" s="3" customFormat="1" ht="25.5">
      <c r="A11" s="12" t="s">
        <v>107</v>
      </c>
      <c r="B11" s="25" t="s">
        <v>48</v>
      </c>
      <c r="C11" s="26" t="s">
        <v>65</v>
      </c>
      <c r="D11" s="26" t="s">
        <v>53</v>
      </c>
      <c r="E11" s="26" t="s">
        <v>201</v>
      </c>
      <c r="F11" s="26" t="s">
        <v>115</v>
      </c>
      <c r="G11" s="27">
        <f>SUM(G12:G14)</f>
        <v>3836780</v>
      </c>
      <c r="H11" s="27">
        <f t="shared" ref="H11:I11" si="6">SUM(H12:H14)</f>
        <v>3836780</v>
      </c>
      <c r="I11" s="27">
        <f t="shared" si="6"/>
        <v>3836780</v>
      </c>
      <c r="J11" s="16">
        <f>'БА в тыс. руб.'!G11*1000</f>
        <v>3836779.9999999995</v>
      </c>
      <c r="K11" s="169">
        <f t="shared" si="0"/>
        <v>0</v>
      </c>
      <c r="L11" s="16">
        <f>'БА в тыс. руб.'!H11*1000</f>
        <v>3836779.9999999995</v>
      </c>
      <c r="M11" s="169">
        <f t="shared" si="1"/>
        <v>0</v>
      </c>
      <c r="N11" s="16">
        <f>'БА в тыс. руб.'!I11*1000</f>
        <v>3836779.9999999995</v>
      </c>
      <c r="O11" s="169">
        <f t="shared" si="2"/>
        <v>0</v>
      </c>
      <c r="P11" s="27">
        <v>3836780</v>
      </c>
      <c r="Q11" s="27">
        <v>3836780</v>
      </c>
      <c r="R11" s="27">
        <v>3836780</v>
      </c>
      <c r="S11" s="180">
        <f t="shared" si="3"/>
        <v>0</v>
      </c>
      <c r="T11" s="180">
        <f t="shared" si="4"/>
        <v>0</v>
      </c>
      <c r="U11" s="180">
        <f t="shared" si="5"/>
        <v>0</v>
      </c>
    </row>
    <row r="12" spans="1:21" s="3" customFormat="1" ht="25.5">
      <c r="A12" s="12" t="s">
        <v>937</v>
      </c>
      <c r="B12" s="25" t="s">
        <v>48</v>
      </c>
      <c r="C12" s="26" t="s">
        <v>65</v>
      </c>
      <c r="D12" s="26" t="s">
        <v>53</v>
      </c>
      <c r="E12" s="26" t="s">
        <v>201</v>
      </c>
      <c r="F12" s="26" t="s">
        <v>1059</v>
      </c>
      <c r="G12" s="27">
        <f>J12</f>
        <v>1273000</v>
      </c>
      <c r="H12" s="27">
        <f>L12</f>
        <v>1273000</v>
      </c>
      <c r="I12" s="27">
        <f>N12</f>
        <v>1273000</v>
      </c>
      <c r="J12" s="16">
        <f>'БА в тыс. руб.'!G12*1000</f>
        <v>1273000</v>
      </c>
      <c r="K12" s="169"/>
      <c r="L12" s="16">
        <f>'БА в тыс. руб.'!H12*1000</f>
        <v>1273000</v>
      </c>
      <c r="M12" s="169"/>
      <c r="N12" s="16">
        <f>'БА в тыс. руб.'!I12*1000</f>
        <v>1273000</v>
      </c>
      <c r="O12" s="169"/>
      <c r="P12" s="27">
        <v>1273000</v>
      </c>
      <c r="Q12" s="27">
        <v>1273000</v>
      </c>
      <c r="R12" s="27">
        <v>1273000</v>
      </c>
      <c r="S12" s="180">
        <f t="shared" si="3"/>
        <v>0</v>
      </c>
      <c r="T12" s="180">
        <f t="shared" si="4"/>
        <v>0</v>
      </c>
      <c r="U12" s="180">
        <f t="shared" si="5"/>
        <v>0</v>
      </c>
    </row>
    <row r="13" spans="1:21" s="4" customFormat="1" ht="38.25">
      <c r="A13" s="12" t="s">
        <v>938</v>
      </c>
      <c r="B13" s="25" t="s">
        <v>48</v>
      </c>
      <c r="C13" s="26" t="s">
        <v>65</v>
      </c>
      <c r="D13" s="26" t="s">
        <v>53</v>
      </c>
      <c r="E13" s="26" t="s">
        <v>201</v>
      </c>
      <c r="F13" s="26" t="s">
        <v>1068</v>
      </c>
      <c r="G13" s="27">
        <f t="shared" ref="G13:G14" si="7">J13</f>
        <v>2333120</v>
      </c>
      <c r="H13" s="27">
        <f t="shared" ref="H13:H14" si="8">L13</f>
        <v>2333120</v>
      </c>
      <c r="I13" s="27">
        <f t="shared" ref="I13:I14" si="9">N13</f>
        <v>2333120</v>
      </c>
      <c r="J13" s="16">
        <f>'БА в тыс. руб.'!G13*1000</f>
        <v>2333120</v>
      </c>
      <c r="K13" s="169">
        <f t="shared" si="0"/>
        <v>0</v>
      </c>
      <c r="L13" s="16">
        <f>'БА в тыс. руб.'!H13*1000</f>
        <v>2333120</v>
      </c>
      <c r="M13" s="169">
        <f t="shared" si="1"/>
        <v>0</v>
      </c>
      <c r="N13" s="16">
        <f>'БА в тыс. руб.'!I13*1000</f>
        <v>2333120</v>
      </c>
      <c r="O13" s="169">
        <f t="shared" si="2"/>
        <v>0</v>
      </c>
      <c r="P13" s="27">
        <v>2333124</v>
      </c>
      <c r="Q13" s="27">
        <v>2333124</v>
      </c>
      <c r="R13" s="27">
        <v>2333124</v>
      </c>
      <c r="S13" s="180">
        <f t="shared" si="3"/>
        <v>-4</v>
      </c>
      <c r="T13" s="180">
        <f t="shared" si="4"/>
        <v>-4</v>
      </c>
      <c r="U13" s="180">
        <f t="shared" si="5"/>
        <v>-4</v>
      </c>
    </row>
    <row r="14" spans="1:21" s="4" customFormat="1" ht="38.25">
      <c r="A14" s="12" t="s">
        <v>939</v>
      </c>
      <c r="B14" s="25" t="s">
        <v>48</v>
      </c>
      <c r="C14" s="26" t="s">
        <v>65</v>
      </c>
      <c r="D14" s="26" t="s">
        <v>53</v>
      </c>
      <c r="E14" s="26" t="s">
        <v>201</v>
      </c>
      <c r="F14" s="26" t="s">
        <v>1060</v>
      </c>
      <c r="G14" s="27">
        <f t="shared" si="7"/>
        <v>230660</v>
      </c>
      <c r="H14" s="27">
        <f t="shared" si="8"/>
        <v>230660</v>
      </c>
      <c r="I14" s="27">
        <f t="shared" si="9"/>
        <v>230660</v>
      </c>
      <c r="J14" s="16">
        <f>'БА в тыс. руб.'!G14*1000</f>
        <v>230660</v>
      </c>
      <c r="K14" s="169">
        <f t="shared" si="0"/>
        <v>0</v>
      </c>
      <c r="L14" s="16">
        <f>'БА в тыс. руб.'!H14*1000</f>
        <v>230660</v>
      </c>
      <c r="M14" s="169">
        <f t="shared" si="1"/>
        <v>0</v>
      </c>
      <c r="N14" s="16">
        <f>'БА в тыс. руб.'!I14*1000</f>
        <v>230660</v>
      </c>
      <c r="O14" s="169">
        <f t="shared" si="2"/>
        <v>0</v>
      </c>
      <c r="P14" s="27">
        <v>230656</v>
      </c>
      <c r="Q14" s="27">
        <v>230656</v>
      </c>
      <c r="R14" s="27">
        <v>230656</v>
      </c>
      <c r="S14" s="180">
        <f t="shared" si="3"/>
        <v>4</v>
      </c>
      <c r="T14" s="180">
        <f t="shared" si="4"/>
        <v>4</v>
      </c>
      <c r="U14" s="180">
        <f t="shared" si="5"/>
        <v>4</v>
      </c>
    </row>
    <row r="15" spans="1:21" s="3" customFormat="1" ht="25.5">
      <c r="A15" s="11" t="s">
        <v>108</v>
      </c>
      <c r="B15" s="25" t="s">
        <v>48</v>
      </c>
      <c r="C15" s="26" t="s">
        <v>65</v>
      </c>
      <c r="D15" s="26" t="s">
        <v>53</v>
      </c>
      <c r="E15" s="26" t="s">
        <v>201</v>
      </c>
      <c r="F15" s="26" t="s">
        <v>116</v>
      </c>
      <c r="G15" s="27">
        <f>G16</f>
        <v>6532610</v>
      </c>
      <c r="H15" s="27">
        <f t="shared" ref="H15:I15" si="10">H16</f>
        <v>6534600</v>
      </c>
      <c r="I15" s="27">
        <f t="shared" si="10"/>
        <v>6534600</v>
      </c>
      <c r="J15" s="16">
        <f>'БА в тыс. руб.'!G15*1000</f>
        <v>6532610</v>
      </c>
      <c r="K15" s="169">
        <f t="shared" si="0"/>
        <v>0</v>
      </c>
      <c r="L15" s="16">
        <f>'БА в тыс. руб.'!H15*1000</f>
        <v>6534600</v>
      </c>
      <c r="M15" s="169">
        <f t="shared" si="1"/>
        <v>0</v>
      </c>
      <c r="N15" s="16">
        <f>'БА в тыс. руб.'!I15*1000</f>
        <v>6534600</v>
      </c>
      <c r="O15" s="169">
        <f t="shared" si="2"/>
        <v>0</v>
      </c>
      <c r="P15" s="27">
        <v>6532610</v>
      </c>
      <c r="Q15" s="27">
        <v>6534600</v>
      </c>
      <c r="R15" s="27">
        <v>6534600</v>
      </c>
      <c r="S15" s="180">
        <f t="shared" si="3"/>
        <v>0</v>
      </c>
      <c r="T15" s="180">
        <f t="shared" si="4"/>
        <v>0</v>
      </c>
      <c r="U15" s="180">
        <f t="shared" si="5"/>
        <v>0</v>
      </c>
    </row>
    <row r="16" spans="1:21" s="4" customFormat="1" ht="25.5">
      <c r="A16" s="12" t="s">
        <v>973</v>
      </c>
      <c r="B16" s="25" t="s">
        <v>48</v>
      </c>
      <c r="C16" s="26" t="s">
        <v>65</v>
      </c>
      <c r="D16" s="26" t="s">
        <v>53</v>
      </c>
      <c r="E16" s="26" t="s">
        <v>201</v>
      </c>
      <c r="F16" s="26" t="s">
        <v>1043</v>
      </c>
      <c r="G16" s="27">
        <f>J16</f>
        <v>6532610</v>
      </c>
      <c r="H16" s="27">
        <f>L16</f>
        <v>6534600</v>
      </c>
      <c r="I16" s="27">
        <f>N16</f>
        <v>6534600</v>
      </c>
      <c r="J16" s="16">
        <f>'БА в тыс. руб.'!G16*1000</f>
        <v>6532610</v>
      </c>
      <c r="K16" s="169">
        <f t="shared" si="0"/>
        <v>0</v>
      </c>
      <c r="L16" s="16">
        <f>'БА в тыс. руб.'!H16*1000</f>
        <v>6534600</v>
      </c>
      <c r="M16" s="169">
        <f t="shared" si="1"/>
        <v>0</v>
      </c>
      <c r="N16" s="16">
        <f>'БА в тыс. руб.'!I16*1000</f>
        <v>6534600</v>
      </c>
      <c r="O16" s="169">
        <f t="shared" si="2"/>
        <v>0</v>
      </c>
      <c r="P16" s="27">
        <v>6532610</v>
      </c>
      <c r="Q16" s="27">
        <v>6534600</v>
      </c>
      <c r="R16" s="27">
        <v>6534600</v>
      </c>
      <c r="S16" s="180">
        <f t="shared" si="3"/>
        <v>0</v>
      </c>
      <c r="T16" s="180">
        <f t="shared" si="4"/>
        <v>0</v>
      </c>
      <c r="U16" s="180">
        <f t="shared" si="5"/>
        <v>0</v>
      </c>
    </row>
    <row r="17" spans="1:21" s="3" customFormat="1">
      <c r="A17" s="11" t="s">
        <v>97</v>
      </c>
      <c r="B17" s="25" t="s">
        <v>48</v>
      </c>
      <c r="C17" s="26" t="s">
        <v>65</v>
      </c>
      <c r="D17" s="26" t="s">
        <v>53</v>
      </c>
      <c r="E17" s="26" t="s">
        <v>201</v>
      </c>
      <c r="F17" s="26" t="s">
        <v>118</v>
      </c>
      <c r="G17" s="27">
        <f>SUM(G18:G19)</f>
        <v>164040</v>
      </c>
      <c r="H17" s="27">
        <f t="shared" ref="H17:I17" si="11">SUM(H18:H19)</f>
        <v>164040</v>
      </c>
      <c r="I17" s="27">
        <f t="shared" si="11"/>
        <v>164040</v>
      </c>
      <c r="J17" s="16">
        <f>'БА в тыс. руб.'!G17*1000</f>
        <v>164040.00000000003</v>
      </c>
      <c r="K17" s="169">
        <f t="shared" si="0"/>
        <v>0</v>
      </c>
      <c r="L17" s="16">
        <f>'БА в тыс. руб.'!H17*1000</f>
        <v>164040.00000000003</v>
      </c>
      <c r="M17" s="169">
        <f t="shared" si="1"/>
        <v>0</v>
      </c>
      <c r="N17" s="16">
        <f>'БА в тыс. руб.'!I17*1000</f>
        <v>164040.00000000003</v>
      </c>
      <c r="O17" s="169">
        <f t="shared" si="2"/>
        <v>0</v>
      </c>
      <c r="P17" s="27">
        <v>164040</v>
      </c>
      <c r="Q17" s="27">
        <v>164040</v>
      </c>
      <c r="R17" s="27">
        <v>164040</v>
      </c>
      <c r="S17" s="180">
        <f t="shared" si="3"/>
        <v>0</v>
      </c>
      <c r="T17" s="180">
        <f t="shared" si="4"/>
        <v>0</v>
      </c>
      <c r="U17" s="180">
        <f t="shared" si="5"/>
        <v>0</v>
      </c>
    </row>
    <row r="18" spans="1:21" s="3" customFormat="1">
      <c r="A18" s="11" t="s">
        <v>1036</v>
      </c>
      <c r="B18" s="25" t="s">
        <v>48</v>
      </c>
      <c r="C18" s="26" t="s">
        <v>65</v>
      </c>
      <c r="D18" s="26" t="s">
        <v>53</v>
      </c>
      <c r="E18" s="26" t="s">
        <v>201</v>
      </c>
      <c r="F18" s="26" t="s">
        <v>1061</v>
      </c>
      <c r="G18" s="27">
        <f t="shared" ref="G18:G19" si="12">J18</f>
        <v>78370</v>
      </c>
      <c r="H18" s="27">
        <f t="shared" ref="H18:H19" si="13">L18</f>
        <v>78370</v>
      </c>
      <c r="I18" s="27">
        <f t="shared" ref="I18:I19" si="14">N18</f>
        <v>78370</v>
      </c>
      <c r="J18" s="16">
        <f>'БА в тыс. руб.'!G18*1000</f>
        <v>78370</v>
      </c>
      <c r="K18" s="169">
        <f t="shared" si="0"/>
        <v>0</v>
      </c>
      <c r="L18" s="16">
        <f>'БА в тыс. руб.'!H18*1000</f>
        <v>78370</v>
      </c>
      <c r="M18" s="169">
        <f t="shared" si="1"/>
        <v>0</v>
      </c>
      <c r="N18" s="16">
        <f>'БА в тыс. руб.'!I18*1000</f>
        <v>78370</v>
      </c>
      <c r="O18" s="169">
        <f t="shared" si="2"/>
        <v>0</v>
      </c>
      <c r="P18" s="27">
        <v>78370</v>
      </c>
      <c r="Q18" s="27">
        <v>78370</v>
      </c>
      <c r="R18" s="27">
        <v>78370</v>
      </c>
      <c r="S18" s="180">
        <f t="shared" si="3"/>
        <v>0</v>
      </c>
      <c r="T18" s="180">
        <f t="shared" si="4"/>
        <v>0</v>
      </c>
      <c r="U18" s="180">
        <f t="shared" si="5"/>
        <v>0</v>
      </c>
    </row>
    <row r="19" spans="1:21" s="3" customFormat="1">
      <c r="A19" s="11" t="s">
        <v>1037</v>
      </c>
      <c r="B19" s="25" t="s">
        <v>48</v>
      </c>
      <c r="C19" s="26" t="s">
        <v>65</v>
      </c>
      <c r="D19" s="26" t="s">
        <v>53</v>
      </c>
      <c r="E19" s="26" t="s">
        <v>201</v>
      </c>
      <c r="F19" s="26" t="s">
        <v>1062</v>
      </c>
      <c r="G19" s="27">
        <f t="shared" si="12"/>
        <v>85670</v>
      </c>
      <c r="H19" s="27">
        <f t="shared" si="13"/>
        <v>85670</v>
      </c>
      <c r="I19" s="27">
        <f t="shared" si="14"/>
        <v>85670</v>
      </c>
      <c r="J19" s="16">
        <f>'БА в тыс. руб.'!G19*1000</f>
        <v>85670</v>
      </c>
      <c r="K19" s="169">
        <f t="shared" si="0"/>
        <v>0</v>
      </c>
      <c r="L19" s="16">
        <f>'БА в тыс. руб.'!H19*1000</f>
        <v>85670</v>
      </c>
      <c r="M19" s="169">
        <f t="shared" si="1"/>
        <v>0</v>
      </c>
      <c r="N19" s="16">
        <f>'БА в тыс. руб.'!I19*1000</f>
        <v>85670</v>
      </c>
      <c r="O19" s="169">
        <f t="shared" si="2"/>
        <v>0</v>
      </c>
      <c r="P19" s="27">
        <v>85670</v>
      </c>
      <c r="Q19" s="27">
        <v>85670</v>
      </c>
      <c r="R19" s="27">
        <v>85670</v>
      </c>
      <c r="S19" s="180">
        <f t="shared" si="3"/>
        <v>0</v>
      </c>
      <c r="T19" s="180">
        <f t="shared" si="4"/>
        <v>0</v>
      </c>
      <c r="U19" s="180">
        <f t="shared" si="5"/>
        <v>0</v>
      </c>
    </row>
    <row r="20" spans="1:21" s="3" customFormat="1" ht="25.5">
      <c r="A20" s="11" t="s">
        <v>126</v>
      </c>
      <c r="B20" s="25" t="s">
        <v>48</v>
      </c>
      <c r="C20" s="26" t="s">
        <v>65</v>
      </c>
      <c r="D20" s="26" t="s">
        <v>53</v>
      </c>
      <c r="E20" s="26" t="s">
        <v>202</v>
      </c>
      <c r="F20" s="26" t="s">
        <v>58</v>
      </c>
      <c r="G20" s="27">
        <f>G21</f>
        <v>33280020</v>
      </c>
      <c r="H20" s="27">
        <f>H21</f>
        <v>33280020</v>
      </c>
      <c r="I20" s="27">
        <f>I21</f>
        <v>33280020</v>
      </c>
      <c r="J20" s="16">
        <f>'БА в тыс. руб.'!G20*1000</f>
        <v>33280019.999999996</v>
      </c>
      <c r="K20" s="169">
        <f t="shared" si="0"/>
        <v>0</v>
      </c>
      <c r="L20" s="16">
        <f>'БА в тыс. руб.'!H20*1000</f>
        <v>33280019.999999996</v>
      </c>
      <c r="M20" s="169">
        <f t="shared" si="1"/>
        <v>0</v>
      </c>
      <c r="N20" s="16">
        <f>'БА в тыс. руб.'!I20*1000</f>
        <v>33280019.999999996</v>
      </c>
      <c r="O20" s="169">
        <f t="shared" si="2"/>
        <v>0</v>
      </c>
      <c r="P20" s="27">
        <v>33280020</v>
      </c>
      <c r="Q20" s="27">
        <v>33280020</v>
      </c>
      <c r="R20" s="27">
        <v>33280020</v>
      </c>
      <c r="S20" s="180">
        <f t="shared" si="3"/>
        <v>0</v>
      </c>
      <c r="T20" s="180">
        <f t="shared" si="4"/>
        <v>0</v>
      </c>
      <c r="U20" s="180">
        <f t="shared" si="5"/>
        <v>0</v>
      </c>
    </row>
    <row r="21" spans="1:21" s="3" customFormat="1" ht="25.5">
      <c r="A21" s="11" t="s">
        <v>107</v>
      </c>
      <c r="B21" s="25" t="s">
        <v>48</v>
      </c>
      <c r="C21" s="26" t="s">
        <v>65</v>
      </c>
      <c r="D21" s="26" t="s">
        <v>53</v>
      </c>
      <c r="E21" s="26" t="s">
        <v>202</v>
      </c>
      <c r="F21" s="26" t="s">
        <v>115</v>
      </c>
      <c r="G21" s="27">
        <f>SUM(G22:G23)</f>
        <v>33280020</v>
      </c>
      <c r="H21" s="27">
        <f t="shared" ref="H21:I21" si="15">SUM(H22:H23)</f>
        <v>33280020</v>
      </c>
      <c r="I21" s="27">
        <f t="shared" si="15"/>
        <v>33280020</v>
      </c>
      <c r="J21" s="16">
        <f>'БА в тыс. руб.'!G21*1000</f>
        <v>33280019.999999996</v>
      </c>
      <c r="K21" s="169">
        <f t="shared" si="0"/>
        <v>0</v>
      </c>
      <c r="L21" s="16">
        <f>'БА в тыс. руб.'!H21*1000</f>
        <v>33280019.999999996</v>
      </c>
      <c r="M21" s="169">
        <f t="shared" si="1"/>
        <v>0</v>
      </c>
      <c r="N21" s="16">
        <f>'БА в тыс. руб.'!I21*1000</f>
        <v>33280019.999999996</v>
      </c>
      <c r="O21" s="169">
        <f t="shared" si="2"/>
        <v>0</v>
      </c>
      <c r="P21" s="27">
        <v>33280020</v>
      </c>
      <c r="Q21" s="27">
        <v>33280020</v>
      </c>
      <c r="R21" s="27">
        <v>33280020</v>
      </c>
      <c r="S21" s="180">
        <f t="shared" si="3"/>
        <v>0</v>
      </c>
      <c r="T21" s="180">
        <f t="shared" si="4"/>
        <v>0</v>
      </c>
      <c r="U21" s="180">
        <f t="shared" si="5"/>
        <v>0</v>
      </c>
    </row>
    <row r="22" spans="1:21" s="3" customFormat="1">
      <c r="A22" s="11" t="s">
        <v>936</v>
      </c>
      <c r="B22" s="25" t="s">
        <v>48</v>
      </c>
      <c r="C22" s="26" t="s">
        <v>65</v>
      </c>
      <c r="D22" s="26" t="s">
        <v>53</v>
      </c>
      <c r="E22" s="26" t="s">
        <v>202</v>
      </c>
      <c r="F22" s="26" t="s">
        <v>1063</v>
      </c>
      <c r="G22" s="27">
        <f t="shared" ref="G22:G23" si="16">J22</f>
        <v>25560710</v>
      </c>
      <c r="H22" s="27">
        <f t="shared" ref="H22:H23" si="17">L22</f>
        <v>25560710</v>
      </c>
      <c r="I22" s="27">
        <f t="shared" ref="I22:I23" si="18">N22</f>
        <v>25560710</v>
      </c>
      <c r="J22" s="16">
        <f>'БА в тыс. руб.'!G22*1000</f>
        <v>25560710</v>
      </c>
      <c r="K22" s="169">
        <f t="shared" si="0"/>
        <v>0</v>
      </c>
      <c r="L22" s="16">
        <f>'БА в тыс. руб.'!H22*1000</f>
        <v>25560710</v>
      </c>
      <c r="M22" s="169">
        <f t="shared" si="1"/>
        <v>0</v>
      </c>
      <c r="N22" s="16">
        <f>'БА в тыс. руб.'!I22*1000</f>
        <v>25560710</v>
      </c>
      <c r="O22" s="169">
        <f t="shared" si="2"/>
        <v>0</v>
      </c>
      <c r="P22" s="27">
        <v>25560710</v>
      </c>
      <c r="Q22" s="27">
        <v>25560710</v>
      </c>
      <c r="R22" s="27">
        <v>25560710</v>
      </c>
      <c r="S22" s="180">
        <f t="shared" si="3"/>
        <v>0</v>
      </c>
      <c r="T22" s="180">
        <f t="shared" si="4"/>
        <v>0</v>
      </c>
      <c r="U22" s="180">
        <f t="shared" si="5"/>
        <v>0</v>
      </c>
    </row>
    <row r="23" spans="1:21" s="3" customFormat="1" ht="38.25">
      <c r="A23" s="11" t="s">
        <v>939</v>
      </c>
      <c r="B23" s="25" t="s">
        <v>48</v>
      </c>
      <c r="C23" s="26" t="s">
        <v>65</v>
      </c>
      <c r="D23" s="26" t="s">
        <v>53</v>
      </c>
      <c r="E23" s="26" t="s">
        <v>202</v>
      </c>
      <c r="F23" s="26" t="s">
        <v>1060</v>
      </c>
      <c r="G23" s="27">
        <f t="shared" si="16"/>
        <v>7719309.9999999991</v>
      </c>
      <c r="H23" s="27">
        <f t="shared" si="17"/>
        <v>7719309.9999999991</v>
      </c>
      <c r="I23" s="27">
        <f t="shared" si="18"/>
        <v>7719309.9999999991</v>
      </c>
      <c r="J23" s="16">
        <f>'БА в тыс. руб.'!G23*1000</f>
        <v>7719309.9999999991</v>
      </c>
      <c r="K23" s="169">
        <f t="shared" si="0"/>
        <v>0</v>
      </c>
      <c r="L23" s="16">
        <f>'БА в тыс. руб.'!H23*1000</f>
        <v>7719309.9999999991</v>
      </c>
      <c r="M23" s="169">
        <f t="shared" si="1"/>
        <v>0</v>
      </c>
      <c r="N23" s="16">
        <f>'БА в тыс. руб.'!I23*1000</f>
        <v>7719309.9999999991</v>
      </c>
      <c r="O23" s="169">
        <f t="shared" si="2"/>
        <v>0</v>
      </c>
      <c r="P23" s="27">
        <v>7719310</v>
      </c>
      <c r="Q23" s="27">
        <v>7719310</v>
      </c>
      <c r="R23" s="27">
        <v>7719310</v>
      </c>
      <c r="S23" s="180">
        <f t="shared" si="3"/>
        <v>0</v>
      </c>
      <c r="T23" s="180">
        <f t="shared" si="4"/>
        <v>0</v>
      </c>
      <c r="U23" s="180">
        <f t="shared" si="5"/>
        <v>0</v>
      </c>
    </row>
    <row r="24" spans="1:21" s="3" customFormat="1" ht="25.5">
      <c r="A24" s="11" t="s">
        <v>831</v>
      </c>
      <c r="B24" s="25" t="s">
        <v>48</v>
      </c>
      <c r="C24" s="26" t="s">
        <v>65</v>
      </c>
      <c r="D24" s="26" t="s">
        <v>53</v>
      </c>
      <c r="E24" s="26" t="s">
        <v>198</v>
      </c>
      <c r="F24" s="26" t="s">
        <v>58</v>
      </c>
      <c r="G24" s="27">
        <f>G29+G25</f>
        <v>1593550</v>
      </c>
      <c r="H24" s="27">
        <f>H29+H25</f>
        <v>1593550</v>
      </c>
      <c r="I24" s="27">
        <f>I29+I25</f>
        <v>1593550</v>
      </c>
      <c r="J24" s="16">
        <f>'БА в тыс. руб.'!G24*1000</f>
        <v>1593550</v>
      </c>
      <c r="K24" s="169">
        <f t="shared" si="0"/>
        <v>0</v>
      </c>
      <c r="L24" s="16">
        <f>'БА в тыс. руб.'!H24*1000</f>
        <v>1593550</v>
      </c>
      <c r="M24" s="169">
        <f t="shared" si="1"/>
        <v>0</v>
      </c>
      <c r="N24" s="16">
        <f>'БА в тыс. руб.'!I24*1000</f>
        <v>1593550</v>
      </c>
      <c r="O24" s="169">
        <f t="shared" si="2"/>
        <v>0</v>
      </c>
      <c r="P24" s="27">
        <v>1593550</v>
      </c>
      <c r="Q24" s="27">
        <v>1593550</v>
      </c>
      <c r="R24" s="27">
        <v>1593550</v>
      </c>
      <c r="S24" s="180">
        <f t="shared" si="3"/>
        <v>0</v>
      </c>
      <c r="T24" s="180">
        <f t="shared" si="4"/>
        <v>0</v>
      </c>
      <c r="U24" s="180">
        <f t="shared" si="5"/>
        <v>0</v>
      </c>
    </row>
    <row r="25" spans="1:21" s="3" customFormat="1" ht="25.5">
      <c r="A25" s="11" t="s">
        <v>114</v>
      </c>
      <c r="B25" s="25" t="s">
        <v>48</v>
      </c>
      <c r="C25" s="26" t="s">
        <v>65</v>
      </c>
      <c r="D25" s="26" t="s">
        <v>53</v>
      </c>
      <c r="E25" s="26" t="s">
        <v>628</v>
      </c>
      <c r="F25" s="26" t="s">
        <v>58</v>
      </c>
      <c r="G25" s="27">
        <f>G26</f>
        <v>41550</v>
      </c>
      <c r="H25" s="27">
        <f>H26</f>
        <v>41550</v>
      </c>
      <c r="I25" s="27">
        <f>I26</f>
        <v>41550</v>
      </c>
      <c r="J25" s="16">
        <f>'БА в тыс. руб.'!G25*1000</f>
        <v>41550</v>
      </c>
      <c r="K25" s="169">
        <f t="shared" si="0"/>
        <v>0</v>
      </c>
      <c r="L25" s="16">
        <f>'БА в тыс. руб.'!H25*1000</f>
        <v>41550</v>
      </c>
      <c r="M25" s="169">
        <f t="shared" si="1"/>
        <v>0</v>
      </c>
      <c r="N25" s="16">
        <f>'БА в тыс. руб.'!I25*1000</f>
        <v>41550</v>
      </c>
      <c r="O25" s="169">
        <f t="shared" si="2"/>
        <v>0</v>
      </c>
      <c r="P25" s="27">
        <v>41550</v>
      </c>
      <c r="Q25" s="27">
        <v>41550</v>
      </c>
      <c r="R25" s="27">
        <v>41550</v>
      </c>
      <c r="S25" s="180">
        <f t="shared" si="3"/>
        <v>0</v>
      </c>
      <c r="T25" s="180">
        <f t="shared" si="4"/>
        <v>0</v>
      </c>
      <c r="U25" s="180">
        <f t="shared" si="5"/>
        <v>0</v>
      </c>
    </row>
    <row r="26" spans="1:21" s="3" customFormat="1" ht="25.5">
      <c r="A26" s="11" t="s">
        <v>107</v>
      </c>
      <c r="B26" s="25" t="s">
        <v>48</v>
      </c>
      <c r="C26" s="26" t="s">
        <v>65</v>
      </c>
      <c r="D26" s="26" t="s">
        <v>53</v>
      </c>
      <c r="E26" s="26" t="s">
        <v>628</v>
      </c>
      <c r="F26" s="26" t="s">
        <v>115</v>
      </c>
      <c r="G26" s="27">
        <f>SUM(G27:G28)</f>
        <v>41550</v>
      </c>
      <c r="H26" s="27">
        <f t="shared" ref="H26:I26" si="19">SUM(H27:H28)</f>
        <v>41550</v>
      </c>
      <c r="I26" s="27">
        <f t="shared" si="19"/>
        <v>41550</v>
      </c>
      <c r="J26" s="16">
        <f>'БА в тыс. руб.'!G26*1000</f>
        <v>41550</v>
      </c>
      <c r="K26" s="169">
        <f t="shared" si="0"/>
        <v>0</v>
      </c>
      <c r="L26" s="16">
        <f>'БА в тыс. руб.'!H26*1000</f>
        <v>41550</v>
      </c>
      <c r="M26" s="169">
        <f t="shared" si="1"/>
        <v>0</v>
      </c>
      <c r="N26" s="16">
        <f>'БА в тыс. руб.'!I26*1000</f>
        <v>41550</v>
      </c>
      <c r="O26" s="169">
        <f t="shared" si="2"/>
        <v>0</v>
      </c>
      <c r="P26" s="27">
        <v>41550</v>
      </c>
      <c r="Q26" s="27">
        <v>41550</v>
      </c>
      <c r="R26" s="27">
        <v>41550</v>
      </c>
      <c r="S26" s="180">
        <f t="shared" si="3"/>
        <v>0</v>
      </c>
      <c r="T26" s="180">
        <f t="shared" si="4"/>
        <v>0</v>
      </c>
      <c r="U26" s="180">
        <f t="shared" si="5"/>
        <v>0</v>
      </c>
    </row>
    <row r="27" spans="1:21" s="3" customFormat="1" ht="25.5">
      <c r="A27" s="11" t="s">
        <v>937</v>
      </c>
      <c r="B27" s="25" t="s">
        <v>48</v>
      </c>
      <c r="C27" s="26" t="s">
        <v>65</v>
      </c>
      <c r="D27" s="26" t="s">
        <v>53</v>
      </c>
      <c r="E27" s="26" t="s">
        <v>628</v>
      </c>
      <c r="F27" s="26" t="s">
        <v>1059</v>
      </c>
      <c r="G27" s="27">
        <f t="shared" ref="G27:G28" si="20">J27</f>
        <v>31910</v>
      </c>
      <c r="H27" s="27">
        <f t="shared" ref="H27:H28" si="21">L27</f>
        <v>31910</v>
      </c>
      <c r="I27" s="27">
        <f t="shared" ref="I27:I28" si="22">N27</f>
        <v>31910</v>
      </c>
      <c r="J27" s="16">
        <f>'БА в тыс. руб.'!G27*1000</f>
        <v>31910</v>
      </c>
      <c r="K27" s="169">
        <f t="shared" si="0"/>
        <v>0</v>
      </c>
      <c r="L27" s="16">
        <f>'БА в тыс. руб.'!H27*1000</f>
        <v>31910</v>
      </c>
      <c r="M27" s="169">
        <f t="shared" si="1"/>
        <v>0</v>
      </c>
      <c r="N27" s="16">
        <f>'БА в тыс. руб.'!I27*1000</f>
        <v>31910</v>
      </c>
      <c r="O27" s="169">
        <f t="shared" si="2"/>
        <v>0</v>
      </c>
      <c r="P27" s="27">
        <v>31912.5</v>
      </c>
      <c r="Q27" s="27">
        <v>31912.5</v>
      </c>
      <c r="R27" s="27">
        <v>31912.5</v>
      </c>
      <c r="S27" s="180">
        <f t="shared" si="3"/>
        <v>-2.5</v>
      </c>
      <c r="T27" s="180">
        <f t="shared" si="4"/>
        <v>-2.5</v>
      </c>
      <c r="U27" s="180">
        <f t="shared" si="5"/>
        <v>-2.5</v>
      </c>
    </row>
    <row r="28" spans="1:21" s="3" customFormat="1" ht="38.25">
      <c r="A28" s="11" t="s">
        <v>939</v>
      </c>
      <c r="B28" s="25" t="s">
        <v>48</v>
      </c>
      <c r="C28" s="26" t="s">
        <v>65</v>
      </c>
      <c r="D28" s="26" t="s">
        <v>53</v>
      </c>
      <c r="E28" s="26" t="s">
        <v>628</v>
      </c>
      <c r="F28" s="26" t="s">
        <v>1060</v>
      </c>
      <c r="G28" s="27">
        <f t="shared" si="20"/>
        <v>9640</v>
      </c>
      <c r="H28" s="27">
        <f t="shared" si="21"/>
        <v>9640</v>
      </c>
      <c r="I28" s="27">
        <f t="shared" si="22"/>
        <v>9640</v>
      </c>
      <c r="J28" s="16">
        <f>'БА в тыс. руб.'!G28*1000</f>
        <v>9640</v>
      </c>
      <c r="K28" s="169">
        <f t="shared" si="0"/>
        <v>0</v>
      </c>
      <c r="L28" s="16">
        <f>'БА в тыс. руб.'!H28*1000</f>
        <v>9640</v>
      </c>
      <c r="M28" s="169">
        <f t="shared" si="1"/>
        <v>0</v>
      </c>
      <c r="N28" s="16">
        <f>'БА в тыс. руб.'!I28*1000</f>
        <v>9640</v>
      </c>
      <c r="O28" s="169">
        <f t="shared" si="2"/>
        <v>0</v>
      </c>
      <c r="P28" s="27">
        <v>9637.5</v>
      </c>
      <c r="Q28" s="27">
        <v>9637.5</v>
      </c>
      <c r="R28" s="27">
        <v>9637.5</v>
      </c>
      <c r="S28" s="180">
        <f t="shared" si="3"/>
        <v>2.5</v>
      </c>
      <c r="T28" s="180">
        <f t="shared" si="4"/>
        <v>2.5</v>
      </c>
      <c r="U28" s="180">
        <f t="shared" si="5"/>
        <v>2.5</v>
      </c>
    </row>
    <row r="29" spans="1:21" s="3" customFormat="1" ht="25.5">
      <c r="A29" s="11" t="s">
        <v>126</v>
      </c>
      <c r="B29" s="25" t="s">
        <v>48</v>
      </c>
      <c r="C29" s="26" t="s">
        <v>65</v>
      </c>
      <c r="D29" s="26" t="s">
        <v>53</v>
      </c>
      <c r="E29" s="26" t="s">
        <v>199</v>
      </c>
      <c r="F29" s="26" t="s">
        <v>58</v>
      </c>
      <c r="G29" s="27">
        <f>G30</f>
        <v>1552000</v>
      </c>
      <c r="H29" s="27">
        <f>H30</f>
        <v>1552000</v>
      </c>
      <c r="I29" s="27">
        <f>I30</f>
        <v>1552000</v>
      </c>
      <c r="J29" s="16">
        <f>'БА в тыс. руб.'!G29*1000</f>
        <v>1552000</v>
      </c>
      <c r="K29" s="169">
        <f t="shared" si="0"/>
        <v>0</v>
      </c>
      <c r="L29" s="16">
        <f>'БА в тыс. руб.'!H29*1000</f>
        <v>1552000</v>
      </c>
      <c r="M29" s="169">
        <f t="shared" si="1"/>
        <v>0</v>
      </c>
      <c r="N29" s="16">
        <f>'БА в тыс. руб.'!I29*1000</f>
        <v>1552000</v>
      </c>
      <c r="O29" s="169">
        <f t="shared" si="2"/>
        <v>0</v>
      </c>
      <c r="P29" s="27">
        <v>1552000</v>
      </c>
      <c r="Q29" s="27">
        <v>1552000</v>
      </c>
      <c r="R29" s="27">
        <v>1552000</v>
      </c>
      <c r="S29" s="180">
        <f t="shared" si="3"/>
        <v>0</v>
      </c>
      <c r="T29" s="180">
        <f t="shared" si="4"/>
        <v>0</v>
      </c>
      <c r="U29" s="180">
        <f t="shared" si="5"/>
        <v>0</v>
      </c>
    </row>
    <row r="30" spans="1:21" s="3" customFormat="1" ht="25.5">
      <c r="A30" s="11" t="s">
        <v>107</v>
      </c>
      <c r="B30" s="25" t="s">
        <v>48</v>
      </c>
      <c r="C30" s="26" t="s">
        <v>65</v>
      </c>
      <c r="D30" s="26" t="s">
        <v>53</v>
      </c>
      <c r="E30" s="26" t="s">
        <v>199</v>
      </c>
      <c r="F30" s="26" t="s">
        <v>115</v>
      </c>
      <c r="G30" s="27">
        <f>SUM(G31:G32)</f>
        <v>1552000</v>
      </c>
      <c r="H30" s="27">
        <f t="shared" ref="H30:I30" si="23">SUM(H31:H32)</f>
        <v>1552000</v>
      </c>
      <c r="I30" s="27">
        <f t="shared" si="23"/>
        <v>1552000</v>
      </c>
      <c r="J30" s="16">
        <f>'БА в тыс. руб.'!G30*1000</f>
        <v>1552000</v>
      </c>
      <c r="K30" s="169">
        <f t="shared" si="0"/>
        <v>0</v>
      </c>
      <c r="L30" s="16">
        <f>'БА в тыс. руб.'!H30*1000</f>
        <v>1552000</v>
      </c>
      <c r="M30" s="169">
        <f t="shared" si="1"/>
        <v>0</v>
      </c>
      <c r="N30" s="16">
        <f>'БА в тыс. руб.'!I30*1000</f>
        <v>1552000</v>
      </c>
      <c r="O30" s="169">
        <f t="shared" si="2"/>
        <v>0</v>
      </c>
      <c r="P30" s="27">
        <v>1552000</v>
      </c>
      <c r="Q30" s="27">
        <v>1552000</v>
      </c>
      <c r="R30" s="27">
        <v>1552000</v>
      </c>
      <c r="S30" s="180">
        <f t="shared" si="3"/>
        <v>0</v>
      </c>
      <c r="T30" s="180">
        <f t="shared" si="4"/>
        <v>0</v>
      </c>
      <c r="U30" s="180">
        <f t="shared" si="5"/>
        <v>0</v>
      </c>
    </row>
    <row r="31" spans="1:21" s="3" customFormat="1">
      <c r="A31" s="11" t="s">
        <v>936</v>
      </c>
      <c r="B31" s="25" t="s">
        <v>48</v>
      </c>
      <c r="C31" s="26" t="s">
        <v>65</v>
      </c>
      <c r="D31" s="26" t="s">
        <v>53</v>
      </c>
      <c r="E31" s="26" t="s">
        <v>199</v>
      </c>
      <c r="F31" s="26" t="s">
        <v>1063</v>
      </c>
      <c r="G31" s="27">
        <f t="shared" ref="G31:G32" si="24">J31</f>
        <v>1192000</v>
      </c>
      <c r="H31" s="27">
        <f t="shared" ref="H31:H32" si="25">L31</f>
        <v>1192000</v>
      </c>
      <c r="I31" s="27">
        <f t="shared" ref="I31:I32" si="26">N31</f>
        <v>1192000</v>
      </c>
      <c r="J31" s="16">
        <f>'БА в тыс. руб.'!G31*1000</f>
        <v>1192000</v>
      </c>
      <c r="K31" s="169">
        <f t="shared" si="0"/>
        <v>0</v>
      </c>
      <c r="L31" s="16">
        <f>'БА в тыс. руб.'!H31*1000</f>
        <v>1192000</v>
      </c>
      <c r="M31" s="169">
        <f t="shared" si="1"/>
        <v>0</v>
      </c>
      <c r="N31" s="16">
        <f>'БА в тыс. руб.'!I31*1000</f>
        <v>1192000</v>
      </c>
      <c r="O31" s="169">
        <f t="shared" si="2"/>
        <v>0</v>
      </c>
      <c r="P31" s="27">
        <v>1192000</v>
      </c>
      <c r="Q31" s="27">
        <v>1192000</v>
      </c>
      <c r="R31" s="27">
        <v>1192000</v>
      </c>
      <c r="S31" s="180">
        <f t="shared" si="3"/>
        <v>0</v>
      </c>
      <c r="T31" s="180">
        <f t="shared" si="4"/>
        <v>0</v>
      </c>
      <c r="U31" s="180">
        <f t="shared" si="5"/>
        <v>0</v>
      </c>
    </row>
    <row r="32" spans="1:21" s="3" customFormat="1" ht="38.25">
      <c r="A32" s="11" t="s">
        <v>939</v>
      </c>
      <c r="B32" s="25" t="s">
        <v>48</v>
      </c>
      <c r="C32" s="26" t="s">
        <v>65</v>
      </c>
      <c r="D32" s="26" t="s">
        <v>53</v>
      </c>
      <c r="E32" s="26" t="s">
        <v>199</v>
      </c>
      <c r="F32" s="26" t="s">
        <v>1060</v>
      </c>
      <c r="G32" s="27">
        <f t="shared" si="24"/>
        <v>360000</v>
      </c>
      <c r="H32" s="27">
        <f t="shared" si="25"/>
        <v>360000</v>
      </c>
      <c r="I32" s="27">
        <f t="shared" si="26"/>
        <v>360000</v>
      </c>
      <c r="J32" s="16">
        <f>'БА в тыс. руб.'!G32*1000</f>
        <v>360000</v>
      </c>
      <c r="K32" s="169">
        <f t="shared" si="0"/>
        <v>0</v>
      </c>
      <c r="L32" s="16">
        <f>'БА в тыс. руб.'!H32*1000</f>
        <v>360000</v>
      </c>
      <c r="M32" s="169">
        <f t="shared" si="1"/>
        <v>0</v>
      </c>
      <c r="N32" s="16">
        <f>'БА в тыс. руб.'!I32*1000</f>
        <v>360000</v>
      </c>
      <c r="O32" s="169">
        <f t="shared" si="2"/>
        <v>0</v>
      </c>
      <c r="P32" s="27">
        <v>360000</v>
      </c>
      <c r="Q32" s="27">
        <v>360000</v>
      </c>
      <c r="R32" s="27">
        <v>360000</v>
      </c>
      <c r="S32" s="180">
        <f t="shared" si="3"/>
        <v>0</v>
      </c>
      <c r="T32" s="180">
        <f t="shared" si="4"/>
        <v>0</v>
      </c>
      <c r="U32" s="180">
        <f t="shared" si="5"/>
        <v>0</v>
      </c>
    </row>
    <row r="33" spans="1:21" s="3" customFormat="1">
      <c r="A33" s="11" t="s">
        <v>28</v>
      </c>
      <c r="B33" s="25" t="s">
        <v>48</v>
      </c>
      <c r="C33" s="26" t="s">
        <v>65</v>
      </c>
      <c r="D33" s="26" t="s">
        <v>53</v>
      </c>
      <c r="E33" s="26" t="s">
        <v>203</v>
      </c>
      <c r="F33" s="26" t="s">
        <v>58</v>
      </c>
      <c r="G33" s="27">
        <f>G38+G34</f>
        <v>2108270</v>
      </c>
      <c r="H33" s="27">
        <f>H38+H34</f>
        <v>2108270</v>
      </c>
      <c r="I33" s="27">
        <f>I38+I34</f>
        <v>2108270</v>
      </c>
      <c r="J33" s="16">
        <f>'БА в тыс. руб.'!G33*1000</f>
        <v>2108270</v>
      </c>
      <c r="K33" s="169">
        <f t="shared" si="0"/>
        <v>0</v>
      </c>
      <c r="L33" s="16">
        <f>'БА в тыс. руб.'!H33*1000</f>
        <v>2108270</v>
      </c>
      <c r="M33" s="169">
        <f t="shared" si="1"/>
        <v>0</v>
      </c>
      <c r="N33" s="16">
        <f>'БА в тыс. руб.'!I33*1000</f>
        <v>2108270</v>
      </c>
      <c r="O33" s="169">
        <f t="shared" si="2"/>
        <v>0</v>
      </c>
      <c r="P33" s="27">
        <v>2108270</v>
      </c>
      <c r="Q33" s="27">
        <v>2108270</v>
      </c>
      <c r="R33" s="27">
        <v>2108270</v>
      </c>
      <c r="S33" s="180">
        <f t="shared" si="3"/>
        <v>0</v>
      </c>
      <c r="T33" s="180">
        <f t="shared" si="4"/>
        <v>0</v>
      </c>
      <c r="U33" s="180">
        <f t="shared" si="5"/>
        <v>0</v>
      </c>
    </row>
    <row r="34" spans="1:21" s="3" customFormat="1" ht="25.5">
      <c r="A34" s="11" t="s">
        <v>114</v>
      </c>
      <c r="B34" s="25" t="s">
        <v>48</v>
      </c>
      <c r="C34" s="26" t="s">
        <v>65</v>
      </c>
      <c r="D34" s="26" t="s">
        <v>53</v>
      </c>
      <c r="E34" s="26" t="s">
        <v>643</v>
      </c>
      <c r="F34" s="26" t="s">
        <v>58</v>
      </c>
      <c r="G34" s="27">
        <f>G35</f>
        <v>83110</v>
      </c>
      <c r="H34" s="27">
        <f>H35</f>
        <v>83110</v>
      </c>
      <c r="I34" s="27">
        <f>I35</f>
        <v>83110</v>
      </c>
      <c r="J34" s="16">
        <f>'БА в тыс. руб.'!G34*1000</f>
        <v>83110</v>
      </c>
      <c r="K34" s="169">
        <f t="shared" si="0"/>
        <v>0</v>
      </c>
      <c r="L34" s="16">
        <f>'БА в тыс. руб.'!H34*1000</f>
        <v>83110</v>
      </c>
      <c r="M34" s="169">
        <f t="shared" si="1"/>
        <v>0</v>
      </c>
      <c r="N34" s="16">
        <f>'БА в тыс. руб.'!I34*1000</f>
        <v>83110</v>
      </c>
      <c r="O34" s="169">
        <f t="shared" si="2"/>
        <v>0</v>
      </c>
      <c r="P34" s="27">
        <v>83110</v>
      </c>
      <c r="Q34" s="27">
        <v>83110</v>
      </c>
      <c r="R34" s="27">
        <v>83110</v>
      </c>
      <c r="S34" s="180">
        <f t="shared" si="3"/>
        <v>0</v>
      </c>
      <c r="T34" s="180">
        <f t="shared" si="4"/>
        <v>0</v>
      </c>
      <c r="U34" s="180">
        <f t="shared" si="5"/>
        <v>0</v>
      </c>
    </row>
    <row r="35" spans="1:21" s="3" customFormat="1" ht="25.5">
      <c r="A35" s="11" t="s">
        <v>107</v>
      </c>
      <c r="B35" s="25" t="s">
        <v>48</v>
      </c>
      <c r="C35" s="26" t="s">
        <v>65</v>
      </c>
      <c r="D35" s="26" t="s">
        <v>53</v>
      </c>
      <c r="E35" s="26" t="s">
        <v>643</v>
      </c>
      <c r="F35" s="26" t="s">
        <v>115</v>
      </c>
      <c r="G35" s="27">
        <f>SUM(G36:G37)</f>
        <v>83110</v>
      </c>
      <c r="H35" s="27">
        <f t="shared" ref="H35:I35" si="27">SUM(H36:H37)</f>
        <v>83110</v>
      </c>
      <c r="I35" s="27">
        <f t="shared" si="27"/>
        <v>83110</v>
      </c>
      <c r="J35" s="16">
        <f>'БА в тыс. руб.'!G35*1000</f>
        <v>83110</v>
      </c>
      <c r="K35" s="169">
        <f t="shared" si="0"/>
        <v>0</v>
      </c>
      <c r="L35" s="16">
        <f>'БА в тыс. руб.'!H35*1000</f>
        <v>83110</v>
      </c>
      <c r="M35" s="169">
        <f t="shared" si="1"/>
        <v>0</v>
      </c>
      <c r="N35" s="16">
        <f>'БА в тыс. руб.'!I35*1000</f>
        <v>83110</v>
      </c>
      <c r="O35" s="169">
        <f t="shared" si="2"/>
        <v>0</v>
      </c>
      <c r="P35" s="27">
        <v>83110</v>
      </c>
      <c r="Q35" s="27">
        <v>83110</v>
      </c>
      <c r="R35" s="27">
        <v>83110</v>
      </c>
      <c r="S35" s="180">
        <f t="shared" si="3"/>
        <v>0</v>
      </c>
      <c r="T35" s="180">
        <f t="shared" si="4"/>
        <v>0</v>
      </c>
      <c r="U35" s="180">
        <f t="shared" si="5"/>
        <v>0</v>
      </c>
    </row>
    <row r="36" spans="1:21" s="3" customFormat="1" ht="25.5">
      <c r="A36" s="11" t="s">
        <v>937</v>
      </c>
      <c r="B36" s="25" t="s">
        <v>48</v>
      </c>
      <c r="C36" s="26" t="s">
        <v>65</v>
      </c>
      <c r="D36" s="26" t="s">
        <v>53</v>
      </c>
      <c r="E36" s="26" t="s">
        <v>643</v>
      </c>
      <c r="F36" s="26" t="s">
        <v>1059</v>
      </c>
      <c r="G36" s="27">
        <f t="shared" ref="G36:G37" si="28">J36</f>
        <v>63830</v>
      </c>
      <c r="H36" s="27">
        <f t="shared" ref="H36:H37" si="29">L36</f>
        <v>63830</v>
      </c>
      <c r="I36" s="27">
        <f t="shared" ref="I36:I37" si="30">N36</f>
        <v>63830</v>
      </c>
      <c r="J36" s="16">
        <f>'БА в тыс. руб.'!G36*1000</f>
        <v>63830</v>
      </c>
      <c r="K36" s="169">
        <f t="shared" si="0"/>
        <v>0</v>
      </c>
      <c r="L36" s="16">
        <f>'БА в тыс. руб.'!H36*1000</f>
        <v>63830</v>
      </c>
      <c r="M36" s="169">
        <f t="shared" si="1"/>
        <v>0</v>
      </c>
      <c r="N36" s="16">
        <f>'БА в тыс. руб.'!I36*1000</f>
        <v>63830</v>
      </c>
      <c r="O36" s="169">
        <f t="shared" si="2"/>
        <v>0</v>
      </c>
      <c r="P36" s="27">
        <v>63830</v>
      </c>
      <c r="Q36" s="27">
        <v>63830</v>
      </c>
      <c r="R36" s="27">
        <v>63830</v>
      </c>
      <c r="S36" s="180">
        <f t="shared" si="3"/>
        <v>0</v>
      </c>
      <c r="T36" s="180">
        <f t="shared" si="4"/>
        <v>0</v>
      </c>
      <c r="U36" s="180">
        <f t="shared" si="5"/>
        <v>0</v>
      </c>
    </row>
    <row r="37" spans="1:21" s="3" customFormat="1" ht="38.25">
      <c r="A37" s="11" t="s">
        <v>939</v>
      </c>
      <c r="B37" s="25" t="s">
        <v>48</v>
      </c>
      <c r="C37" s="26" t="s">
        <v>65</v>
      </c>
      <c r="D37" s="26" t="s">
        <v>53</v>
      </c>
      <c r="E37" s="26" t="s">
        <v>643</v>
      </c>
      <c r="F37" s="26" t="s">
        <v>1060</v>
      </c>
      <c r="G37" s="27">
        <f t="shared" si="28"/>
        <v>19280</v>
      </c>
      <c r="H37" s="27">
        <f t="shared" si="29"/>
        <v>19280</v>
      </c>
      <c r="I37" s="27">
        <f t="shared" si="30"/>
        <v>19280</v>
      </c>
      <c r="J37" s="16">
        <f>'БА в тыс. руб.'!G37*1000</f>
        <v>19280</v>
      </c>
      <c r="K37" s="169">
        <f t="shared" si="0"/>
        <v>0</v>
      </c>
      <c r="L37" s="16">
        <f>'БА в тыс. руб.'!H37*1000</f>
        <v>19280</v>
      </c>
      <c r="M37" s="169">
        <f t="shared" si="1"/>
        <v>0</v>
      </c>
      <c r="N37" s="16">
        <f>'БА в тыс. руб.'!I37*1000</f>
        <v>19280</v>
      </c>
      <c r="O37" s="169">
        <f t="shared" si="2"/>
        <v>0</v>
      </c>
      <c r="P37" s="27">
        <v>19280</v>
      </c>
      <c r="Q37" s="27">
        <v>19280</v>
      </c>
      <c r="R37" s="27">
        <v>19280</v>
      </c>
      <c r="S37" s="180">
        <f t="shared" si="3"/>
        <v>0</v>
      </c>
      <c r="T37" s="180">
        <f t="shared" si="4"/>
        <v>0</v>
      </c>
      <c r="U37" s="180">
        <f t="shared" si="5"/>
        <v>0</v>
      </c>
    </row>
    <row r="38" spans="1:21" s="3" customFormat="1" ht="25.5">
      <c r="A38" s="11" t="s">
        <v>126</v>
      </c>
      <c r="B38" s="25" t="s">
        <v>48</v>
      </c>
      <c r="C38" s="26" t="s">
        <v>65</v>
      </c>
      <c r="D38" s="26" t="s">
        <v>53</v>
      </c>
      <c r="E38" s="26" t="s">
        <v>204</v>
      </c>
      <c r="F38" s="26" t="s">
        <v>58</v>
      </c>
      <c r="G38" s="27">
        <f>G39</f>
        <v>2025160</v>
      </c>
      <c r="H38" s="27">
        <f>H39</f>
        <v>2025160</v>
      </c>
      <c r="I38" s="27">
        <f>I39</f>
        <v>2025160</v>
      </c>
      <c r="J38" s="16">
        <f>'БА в тыс. руб.'!G38*1000</f>
        <v>2025160</v>
      </c>
      <c r="K38" s="169">
        <f t="shared" si="0"/>
        <v>0</v>
      </c>
      <c r="L38" s="16">
        <f>'БА в тыс. руб.'!H38*1000</f>
        <v>2025160</v>
      </c>
      <c r="M38" s="169">
        <f t="shared" si="1"/>
        <v>0</v>
      </c>
      <c r="N38" s="16">
        <f>'БА в тыс. руб.'!I38*1000</f>
        <v>2025160</v>
      </c>
      <c r="O38" s="169">
        <f t="shared" si="2"/>
        <v>0</v>
      </c>
      <c r="P38" s="27">
        <v>2025160</v>
      </c>
      <c r="Q38" s="27">
        <v>2025160</v>
      </c>
      <c r="R38" s="27">
        <v>2025160</v>
      </c>
      <c r="S38" s="180">
        <f t="shared" si="3"/>
        <v>0</v>
      </c>
      <c r="T38" s="180">
        <f t="shared" si="4"/>
        <v>0</v>
      </c>
      <c r="U38" s="180">
        <f t="shared" si="5"/>
        <v>0</v>
      </c>
    </row>
    <row r="39" spans="1:21" s="3" customFormat="1" ht="25.5">
      <c r="A39" s="11" t="s">
        <v>107</v>
      </c>
      <c r="B39" s="25" t="s">
        <v>48</v>
      </c>
      <c r="C39" s="26" t="s">
        <v>65</v>
      </c>
      <c r="D39" s="26" t="s">
        <v>53</v>
      </c>
      <c r="E39" s="26" t="s">
        <v>204</v>
      </c>
      <c r="F39" s="26" t="s">
        <v>115</v>
      </c>
      <c r="G39" s="27">
        <f>SUM(G40:G41)</f>
        <v>2025160</v>
      </c>
      <c r="H39" s="27">
        <f t="shared" ref="H39:I39" si="31">SUM(H40:H41)</f>
        <v>2025160</v>
      </c>
      <c r="I39" s="27">
        <f t="shared" si="31"/>
        <v>2025160</v>
      </c>
      <c r="J39" s="16">
        <f>'БА в тыс. руб.'!G39*1000</f>
        <v>2025160</v>
      </c>
      <c r="K39" s="169">
        <f t="shared" si="0"/>
        <v>0</v>
      </c>
      <c r="L39" s="16">
        <f>'БА в тыс. руб.'!H39*1000</f>
        <v>2025160</v>
      </c>
      <c r="M39" s="169">
        <f t="shared" si="1"/>
        <v>0</v>
      </c>
      <c r="N39" s="16">
        <f>'БА в тыс. руб.'!I39*1000</f>
        <v>2025160</v>
      </c>
      <c r="O39" s="169">
        <f t="shared" si="2"/>
        <v>0</v>
      </c>
      <c r="P39" s="27">
        <v>2025160</v>
      </c>
      <c r="Q39" s="27">
        <v>2025160</v>
      </c>
      <c r="R39" s="27">
        <v>2025160</v>
      </c>
      <c r="S39" s="180">
        <f t="shared" si="3"/>
        <v>0</v>
      </c>
      <c r="T39" s="180">
        <f t="shared" si="4"/>
        <v>0</v>
      </c>
      <c r="U39" s="180">
        <f t="shared" si="5"/>
        <v>0</v>
      </c>
    </row>
    <row r="40" spans="1:21" s="3" customFormat="1">
      <c r="A40" s="11" t="s">
        <v>936</v>
      </c>
      <c r="B40" s="25" t="s">
        <v>48</v>
      </c>
      <c r="C40" s="26" t="s">
        <v>65</v>
      </c>
      <c r="D40" s="26" t="s">
        <v>53</v>
      </c>
      <c r="E40" s="26" t="s">
        <v>204</v>
      </c>
      <c r="F40" s="26" t="s">
        <v>1063</v>
      </c>
      <c r="G40" s="27">
        <f t="shared" ref="G40:G41" si="32">J40</f>
        <v>1555420</v>
      </c>
      <c r="H40" s="27">
        <f t="shared" ref="H40:H41" si="33">L40</f>
        <v>1555420</v>
      </c>
      <c r="I40" s="27">
        <f t="shared" ref="I40:I41" si="34">N40</f>
        <v>1555420</v>
      </c>
      <c r="J40" s="16">
        <f>'БА в тыс. руб.'!G40*1000</f>
        <v>1555420</v>
      </c>
      <c r="K40" s="169">
        <f t="shared" si="0"/>
        <v>0</v>
      </c>
      <c r="L40" s="16">
        <f>'БА в тыс. руб.'!H40*1000</f>
        <v>1555420</v>
      </c>
      <c r="M40" s="169">
        <f t="shared" si="1"/>
        <v>0</v>
      </c>
      <c r="N40" s="16">
        <f>'БА в тыс. руб.'!I40*1000</f>
        <v>1555420</v>
      </c>
      <c r="O40" s="169">
        <f t="shared" si="2"/>
        <v>0</v>
      </c>
      <c r="P40" s="27">
        <v>1555420</v>
      </c>
      <c r="Q40" s="27">
        <v>1555420</v>
      </c>
      <c r="R40" s="27">
        <v>1555420</v>
      </c>
      <c r="S40" s="180">
        <f t="shared" si="3"/>
        <v>0</v>
      </c>
      <c r="T40" s="180">
        <f t="shared" si="4"/>
        <v>0</v>
      </c>
      <c r="U40" s="180">
        <f t="shared" si="5"/>
        <v>0</v>
      </c>
    </row>
    <row r="41" spans="1:21" s="3" customFormat="1" ht="38.25">
      <c r="A41" s="11" t="s">
        <v>939</v>
      </c>
      <c r="B41" s="25" t="s">
        <v>48</v>
      </c>
      <c r="C41" s="26" t="s">
        <v>65</v>
      </c>
      <c r="D41" s="26" t="s">
        <v>53</v>
      </c>
      <c r="E41" s="26" t="s">
        <v>204</v>
      </c>
      <c r="F41" s="26" t="s">
        <v>1060</v>
      </c>
      <c r="G41" s="27">
        <f t="shared" si="32"/>
        <v>469740</v>
      </c>
      <c r="H41" s="27">
        <f t="shared" si="33"/>
        <v>469740</v>
      </c>
      <c r="I41" s="27">
        <f t="shared" si="34"/>
        <v>469740</v>
      </c>
      <c r="J41" s="16">
        <f>'БА в тыс. руб.'!G41*1000</f>
        <v>469740</v>
      </c>
      <c r="K41" s="169">
        <f t="shared" si="0"/>
        <v>0</v>
      </c>
      <c r="L41" s="16">
        <f>'БА в тыс. руб.'!H41*1000</f>
        <v>469740</v>
      </c>
      <c r="M41" s="169">
        <f t="shared" si="1"/>
        <v>0</v>
      </c>
      <c r="N41" s="16">
        <f>'БА в тыс. руб.'!I41*1000</f>
        <v>469740</v>
      </c>
      <c r="O41" s="169">
        <f t="shared" si="2"/>
        <v>0</v>
      </c>
      <c r="P41" s="27">
        <v>469740</v>
      </c>
      <c r="Q41" s="27">
        <v>469740</v>
      </c>
      <c r="R41" s="27">
        <v>469740</v>
      </c>
      <c r="S41" s="180">
        <f t="shared" si="3"/>
        <v>0</v>
      </c>
      <c r="T41" s="180">
        <f t="shared" si="4"/>
        <v>0</v>
      </c>
      <c r="U41" s="180">
        <f t="shared" si="5"/>
        <v>0</v>
      </c>
    </row>
    <row r="42" spans="1:21" s="3" customFormat="1">
      <c r="A42" s="21" t="s">
        <v>38</v>
      </c>
      <c r="B42" s="22" t="s">
        <v>48</v>
      </c>
      <c r="C42" s="23" t="s">
        <v>65</v>
      </c>
      <c r="D42" s="23" t="s">
        <v>84</v>
      </c>
      <c r="E42" s="23" t="s">
        <v>196</v>
      </c>
      <c r="F42" s="23" t="s">
        <v>58</v>
      </c>
      <c r="G42" s="24">
        <f t="shared" ref="G42:I44" si="35">G43</f>
        <v>500000</v>
      </c>
      <c r="H42" s="24">
        <f t="shared" si="35"/>
        <v>500000</v>
      </c>
      <c r="I42" s="24">
        <f t="shared" si="35"/>
        <v>500000</v>
      </c>
      <c r="J42" s="16">
        <f>'БА в тыс. руб.'!G42*1000</f>
        <v>500000</v>
      </c>
      <c r="K42" s="169">
        <f t="shared" si="0"/>
        <v>0</v>
      </c>
      <c r="L42" s="16">
        <f>'БА в тыс. руб.'!H42*1000</f>
        <v>500000</v>
      </c>
      <c r="M42" s="169">
        <f t="shared" si="1"/>
        <v>0</v>
      </c>
      <c r="N42" s="16">
        <f>'БА в тыс. руб.'!I42*1000</f>
        <v>500000</v>
      </c>
      <c r="O42" s="169">
        <f t="shared" si="2"/>
        <v>0</v>
      </c>
      <c r="P42" s="27">
        <v>500000</v>
      </c>
      <c r="Q42" s="27">
        <v>500000</v>
      </c>
      <c r="R42" s="27">
        <v>500000</v>
      </c>
      <c r="S42" s="180">
        <f t="shared" si="3"/>
        <v>0</v>
      </c>
      <c r="T42" s="180">
        <f t="shared" si="4"/>
        <v>0</v>
      </c>
      <c r="U42" s="180">
        <f t="shared" si="5"/>
        <v>0</v>
      </c>
    </row>
    <row r="43" spans="1:21" s="3" customFormat="1">
      <c r="A43" s="11" t="s">
        <v>124</v>
      </c>
      <c r="B43" s="25" t="s">
        <v>48</v>
      </c>
      <c r="C43" s="26" t="s">
        <v>65</v>
      </c>
      <c r="D43" s="26" t="s">
        <v>84</v>
      </c>
      <c r="E43" s="26" t="s">
        <v>197</v>
      </c>
      <c r="F43" s="26" t="s">
        <v>58</v>
      </c>
      <c r="G43" s="27">
        <f>G44</f>
        <v>500000</v>
      </c>
      <c r="H43" s="27">
        <f t="shared" si="35"/>
        <v>500000</v>
      </c>
      <c r="I43" s="27">
        <f t="shared" si="35"/>
        <v>500000</v>
      </c>
      <c r="J43" s="16">
        <f>'БА в тыс. руб.'!G43*1000</f>
        <v>500000</v>
      </c>
      <c r="K43" s="169">
        <f t="shared" si="0"/>
        <v>0</v>
      </c>
      <c r="L43" s="16">
        <f>'БА в тыс. руб.'!H43*1000</f>
        <v>500000</v>
      </c>
      <c r="M43" s="169">
        <f t="shared" si="1"/>
        <v>0</v>
      </c>
      <c r="N43" s="16">
        <f>'БА в тыс. руб.'!I43*1000</f>
        <v>500000</v>
      </c>
      <c r="O43" s="169">
        <f t="shared" si="2"/>
        <v>0</v>
      </c>
      <c r="P43" s="27">
        <v>500000</v>
      </c>
      <c r="Q43" s="27">
        <v>500000</v>
      </c>
      <c r="R43" s="27">
        <v>500000</v>
      </c>
      <c r="S43" s="180">
        <f t="shared" si="3"/>
        <v>0</v>
      </c>
      <c r="T43" s="180">
        <f t="shared" si="4"/>
        <v>0</v>
      </c>
      <c r="U43" s="180">
        <f t="shared" si="5"/>
        <v>0</v>
      </c>
    </row>
    <row r="44" spans="1:21" s="3" customFormat="1">
      <c r="A44" s="11" t="s">
        <v>175</v>
      </c>
      <c r="B44" s="25" t="s">
        <v>48</v>
      </c>
      <c r="C44" s="26" t="s">
        <v>65</v>
      </c>
      <c r="D44" s="26" t="s">
        <v>84</v>
      </c>
      <c r="E44" s="26" t="s">
        <v>205</v>
      </c>
      <c r="F44" s="26" t="s">
        <v>58</v>
      </c>
      <c r="G44" s="27">
        <f>G45</f>
        <v>500000</v>
      </c>
      <c r="H44" s="27">
        <f t="shared" si="35"/>
        <v>500000</v>
      </c>
      <c r="I44" s="27">
        <f t="shared" si="35"/>
        <v>500000</v>
      </c>
      <c r="J44" s="16">
        <f>'БА в тыс. руб.'!G44*1000</f>
        <v>500000</v>
      </c>
      <c r="K44" s="169">
        <f t="shared" si="0"/>
        <v>0</v>
      </c>
      <c r="L44" s="16">
        <f>'БА в тыс. руб.'!H44*1000</f>
        <v>500000</v>
      </c>
      <c r="M44" s="169">
        <f t="shared" si="1"/>
        <v>0</v>
      </c>
      <c r="N44" s="16">
        <f>'БА в тыс. руб.'!I44*1000</f>
        <v>500000</v>
      </c>
      <c r="O44" s="169">
        <f t="shared" si="2"/>
        <v>0</v>
      </c>
      <c r="P44" s="178">
        <v>5900500</v>
      </c>
      <c r="Q44" s="178">
        <v>5900500</v>
      </c>
      <c r="R44" s="178">
        <v>5900500</v>
      </c>
      <c r="S44" s="180">
        <f t="shared" si="3"/>
        <v>-5400500</v>
      </c>
      <c r="T44" s="180">
        <f t="shared" si="4"/>
        <v>-5400500</v>
      </c>
      <c r="U44" s="180">
        <f t="shared" si="5"/>
        <v>-5400500</v>
      </c>
    </row>
    <row r="45" spans="1:21" s="3" customFormat="1" ht="63.75">
      <c r="A45" s="34" t="s">
        <v>846</v>
      </c>
      <c r="B45" s="25" t="s">
        <v>48</v>
      </c>
      <c r="C45" s="26" t="s">
        <v>65</v>
      </c>
      <c r="D45" s="26" t="s">
        <v>84</v>
      </c>
      <c r="E45" s="26" t="s">
        <v>832</v>
      </c>
      <c r="F45" s="26" t="s">
        <v>58</v>
      </c>
      <c r="G45" s="27">
        <f t="shared" ref="G45:I46" si="36">G46</f>
        <v>500000</v>
      </c>
      <c r="H45" s="27">
        <f t="shared" si="36"/>
        <v>500000</v>
      </c>
      <c r="I45" s="27">
        <f t="shared" si="36"/>
        <v>500000</v>
      </c>
      <c r="J45" s="16">
        <f>'БА в тыс. руб.'!G45*1000</f>
        <v>500000</v>
      </c>
      <c r="K45" s="169">
        <f t="shared" si="0"/>
        <v>0</v>
      </c>
      <c r="L45" s="16">
        <f>'БА в тыс. руб.'!H45*1000</f>
        <v>500000</v>
      </c>
      <c r="M45" s="169">
        <f t="shared" si="1"/>
        <v>0</v>
      </c>
      <c r="N45" s="16">
        <f>'БА в тыс. руб.'!I45*1000</f>
        <v>500000</v>
      </c>
      <c r="O45" s="169">
        <f t="shared" si="2"/>
        <v>0</v>
      </c>
      <c r="P45" s="178">
        <v>5900500</v>
      </c>
      <c r="Q45" s="178">
        <v>5900500</v>
      </c>
      <c r="R45" s="178">
        <v>5900500</v>
      </c>
      <c r="S45" s="180">
        <f t="shared" si="3"/>
        <v>-5400500</v>
      </c>
      <c r="T45" s="180">
        <f t="shared" si="4"/>
        <v>-5400500</v>
      </c>
      <c r="U45" s="180">
        <f t="shared" si="5"/>
        <v>-5400500</v>
      </c>
    </row>
    <row r="46" spans="1:21" s="3" customFormat="1" ht="25.5">
      <c r="A46" s="11" t="s">
        <v>108</v>
      </c>
      <c r="B46" s="25" t="s">
        <v>48</v>
      </c>
      <c r="C46" s="26" t="s">
        <v>65</v>
      </c>
      <c r="D46" s="26" t="s">
        <v>84</v>
      </c>
      <c r="E46" s="26" t="s">
        <v>832</v>
      </c>
      <c r="F46" s="26" t="s">
        <v>116</v>
      </c>
      <c r="G46" s="27">
        <f>G47</f>
        <v>500000</v>
      </c>
      <c r="H46" s="27">
        <f t="shared" si="36"/>
        <v>500000</v>
      </c>
      <c r="I46" s="27">
        <f t="shared" si="36"/>
        <v>500000</v>
      </c>
      <c r="J46" s="16">
        <f>'БА в тыс. руб.'!G46*1000</f>
        <v>500000</v>
      </c>
      <c r="K46" s="169">
        <f t="shared" si="0"/>
        <v>0</v>
      </c>
      <c r="L46" s="16">
        <f>'БА в тыс. руб.'!H46*1000</f>
        <v>500000</v>
      </c>
      <c r="M46" s="169">
        <f t="shared" si="1"/>
        <v>0</v>
      </c>
      <c r="N46" s="16">
        <f>'БА в тыс. руб.'!I46*1000</f>
        <v>500000</v>
      </c>
      <c r="O46" s="169">
        <f t="shared" si="2"/>
        <v>0</v>
      </c>
      <c r="P46" s="178">
        <v>5900500</v>
      </c>
      <c r="Q46" s="178">
        <v>5900500</v>
      </c>
      <c r="R46" s="178">
        <v>5900500</v>
      </c>
      <c r="S46" s="180">
        <f t="shared" si="3"/>
        <v>-5400500</v>
      </c>
      <c r="T46" s="180">
        <f t="shared" si="4"/>
        <v>-5400500</v>
      </c>
      <c r="U46" s="180">
        <f t="shared" si="5"/>
        <v>-5400500</v>
      </c>
    </row>
    <row r="47" spans="1:21" s="4" customFormat="1" ht="25.5">
      <c r="A47" s="12" t="s">
        <v>973</v>
      </c>
      <c r="B47" s="25" t="s">
        <v>48</v>
      </c>
      <c r="C47" s="26" t="s">
        <v>65</v>
      </c>
      <c r="D47" s="26" t="s">
        <v>84</v>
      </c>
      <c r="E47" s="26" t="s">
        <v>832</v>
      </c>
      <c r="F47" s="26" t="s">
        <v>1043</v>
      </c>
      <c r="G47" s="27">
        <f t="shared" ref="G47" si="37">J47</f>
        <v>500000</v>
      </c>
      <c r="H47" s="27">
        <f>L47</f>
        <v>500000</v>
      </c>
      <c r="I47" s="27">
        <f>N47</f>
        <v>500000</v>
      </c>
      <c r="J47" s="16">
        <f>'БА в тыс. руб.'!G47*1000</f>
        <v>500000</v>
      </c>
      <c r="K47" s="169">
        <f t="shared" si="0"/>
        <v>0</v>
      </c>
      <c r="L47" s="16">
        <f>'БА в тыс. руб.'!H47*1000</f>
        <v>500000</v>
      </c>
      <c r="M47" s="169">
        <f t="shared" si="1"/>
        <v>0</v>
      </c>
      <c r="N47" s="16">
        <f>'БА в тыс. руб.'!I47*1000</f>
        <v>500000</v>
      </c>
      <c r="O47" s="169">
        <f t="shared" si="2"/>
        <v>0</v>
      </c>
      <c r="P47" s="178">
        <v>5900500</v>
      </c>
      <c r="Q47" s="178">
        <v>5900500</v>
      </c>
      <c r="R47" s="178">
        <v>5900500</v>
      </c>
      <c r="S47" s="180">
        <f t="shared" si="3"/>
        <v>-5400500</v>
      </c>
      <c r="T47" s="180">
        <f t="shared" si="4"/>
        <v>-5400500</v>
      </c>
      <c r="U47" s="180">
        <f t="shared" si="5"/>
        <v>-5400500</v>
      </c>
    </row>
    <row r="48" spans="1:21" s="2" customFormat="1">
      <c r="A48" s="17" t="s">
        <v>77</v>
      </c>
      <c r="B48" s="18" t="s">
        <v>48</v>
      </c>
      <c r="C48" s="19" t="s">
        <v>40</v>
      </c>
      <c r="D48" s="19" t="s">
        <v>51</v>
      </c>
      <c r="E48" s="19" t="s">
        <v>196</v>
      </c>
      <c r="F48" s="19" t="s">
        <v>58</v>
      </c>
      <c r="G48" s="20">
        <f>G55+G49</f>
        <v>7090500</v>
      </c>
      <c r="H48" s="20">
        <f t="shared" ref="H48:I48" si="38">H55+H49</f>
        <v>7090500</v>
      </c>
      <c r="I48" s="20">
        <f t="shared" si="38"/>
        <v>7090500</v>
      </c>
      <c r="J48" s="16">
        <f>'БА в тыс. руб.'!G48*1000</f>
        <v>7090500</v>
      </c>
      <c r="K48" s="169">
        <f t="shared" si="0"/>
        <v>0</v>
      </c>
      <c r="L48" s="16">
        <f>'БА в тыс. руб.'!H48*1000</f>
        <v>7090500</v>
      </c>
      <c r="M48" s="169">
        <f t="shared" si="1"/>
        <v>0</v>
      </c>
      <c r="N48" s="16">
        <f>'БА в тыс. руб.'!I48*1000</f>
        <v>7090500</v>
      </c>
      <c r="O48" s="169">
        <f t="shared" si="2"/>
        <v>0</v>
      </c>
      <c r="P48" s="178">
        <v>5900500</v>
      </c>
      <c r="Q48" s="178">
        <v>5900500</v>
      </c>
      <c r="R48" s="178">
        <v>5900500</v>
      </c>
      <c r="S48" s="180">
        <f t="shared" si="3"/>
        <v>1190000</v>
      </c>
      <c r="T48" s="180">
        <f t="shared" si="4"/>
        <v>1190000</v>
      </c>
      <c r="U48" s="180">
        <f t="shared" si="5"/>
        <v>1190000</v>
      </c>
    </row>
    <row r="49" spans="1:21" s="2" customFormat="1">
      <c r="A49" s="21" t="s">
        <v>906</v>
      </c>
      <c r="B49" s="22" t="s">
        <v>48</v>
      </c>
      <c r="C49" s="23" t="s">
        <v>40</v>
      </c>
      <c r="D49" s="23" t="s">
        <v>65</v>
      </c>
      <c r="E49" s="23" t="s">
        <v>196</v>
      </c>
      <c r="F49" s="23" t="s">
        <v>58</v>
      </c>
      <c r="G49" s="24">
        <f>G50</f>
        <v>5900500</v>
      </c>
      <c r="H49" s="24">
        <f t="shared" ref="H49:I50" si="39">H50</f>
        <v>5900500</v>
      </c>
      <c r="I49" s="24">
        <f t="shared" si="39"/>
        <v>5900500</v>
      </c>
      <c r="J49" s="16">
        <f>'БА в тыс. руб.'!G49*1000</f>
        <v>5900500</v>
      </c>
      <c r="K49" s="169">
        <f t="shared" si="0"/>
        <v>0</v>
      </c>
      <c r="L49" s="16">
        <f>'БА в тыс. руб.'!H49*1000</f>
        <v>5900500</v>
      </c>
      <c r="M49" s="169">
        <f t="shared" si="1"/>
        <v>0</v>
      </c>
      <c r="N49" s="16">
        <f>'БА в тыс. руб.'!I49*1000</f>
        <v>5900500</v>
      </c>
      <c r="O49" s="169">
        <f t="shared" si="2"/>
        <v>0</v>
      </c>
      <c r="P49" s="178">
        <v>1190000</v>
      </c>
      <c r="Q49" s="178">
        <v>1190000</v>
      </c>
      <c r="R49" s="178">
        <v>1190000</v>
      </c>
      <c r="S49" s="180">
        <f t="shared" si="3"/>
        <v>4710500</v>
      </c>
      <c r="T49" s="180">
        <f t="shared" si="4"/>
        <v>4710500</v>
      </c>
      <c r="U49" s="180">
        <f t="shared" si="5"/>
        <v>4710500</v>
      </c>
    </row>
    <row r="50" spans="1:21" s="3" customFormat="1">
      <c r="A50" s="11" t="s">
        <v>124</v>
      </c>
      <c r="B50" s="25" t="s">
        <v>48</v>
      </c>
      <c r="C50" s="26" t="s">
        <v>40</v>
      </c>
      <c r="D50" s="26" t="s">
        <v>65</v>
      </c>
      <c r="E50" s="26" t="s">
        <v>197</v>
      </c>
      <c r="F50" s="26" t="s">
        <v>58</v>
      </c>
      <c r="G50" s="27">
        <f>G51</f>
        <v>5900500</v>
      </c>
      <c r="H50" s="27">
        <f t="shared" si="39"/>
        <v>5900500</v>
      </c>
      <c r="I50" s="27">
        <f t="shared" si="39"/>
        <v>5900500</v>
      </c>
      <c r="J50" s="16">
        <f>'БА в тыс. руб.'!G50*1000</f>
        <v>5900500</v>
      </c>
      <c r="K50" s="169">
        <f t="shared" si="0"/>
        <v>0</v>
      </c>
      <c r="L50" s="16">
        <f>'БА в тыс. руб.'!H50*1000</f>
        <v>5900500</v>
      </c>
      <c r="M50" s="169">
        <f t="shared" si="1"/>
        <v>0</v>
      </c>
      <c r="N50" s="16">
        <f>'БА в тыс. руб.'!I50*1000</f>
        <v>5900500</v>
      </c>
      <c r="O50" s="169">
        <f t="shared" si="2"/>
        <v>0</v>
      </c>
      <c r="P50" s="178">
        <v>1190000</v>
      </c>
      <c r="Q50" s="178">
        <v>1190000</v>
      </c>
      <c r="R50" s="178">
        <v>1190000</v>
      </c>
      <c r="S50" s="180">
        <f t="shared" si="3"/>
        <v>4710500</v>
      </c>
      <c r="T50" s="180">
        <f t="shared" si="4"/>
        <v>4710500</v>
      </c>
      <c r="U50" s="180">
        <f t="shared" si="5"/>
        <v>4710500</v>
      </c>
    </row>
    <row r="51" spans="1:21" s="3" customFormat="1">
      <c r="A51" s="11" t="s">
        <v>175</v>
      </c>
      <c r="B51" s="25" t="s">
        <v>48</v>
      </c>
      <c r="C51" s="26" t="s">
        <v>40</v>
      </c>
      <c r="D51" s="26" t="s">
        <v>65</v>
      </c>
      <c r="E51" s="26" t="s">
        <v>205</v>
      </c>
      <c r="F51" s="26" t="s">
        <v>58</v>
      </c>
      <c r="G51" s="27">
        <f t="shared" ref="G51:I53" si="40">G52</f>
        <v>5900500</v>
      </c>
      <c r="H51" s="27">
        <f t="shared" si="40"/>
        <v>5900500</v>
      </c>
      <c r="I51" s="27">
        <f t="shared" si="40"/>
        <v>5900500</v>
      </c>
      <c r="J51" s="16">
        <f>'БА в тыс. руб.'!G51*1000</f>
        <v>5900500</v>
      </c>
      <c r="K51" s="169">
        <f t="shared" si="0"/>
        <v>0</v>
      </c>
      <c r="L51" s="16">
        <f>'БА в тыс. руб.'!H51*1000</f>
        <v>5900500</v>
      </c>
      <c r="M51" s="169">
        <f t="shared" si="1"/>
        <v>0</v>
      </c>
      <c r="N51" s="16">
        <f>'БА в тыс. руб.'!I51*1000</f>
        <v>5900500</v>
      </c>
      <c r="O51" s="169">
        <f t="shared" si="2"/>
        <v>0</v>
      </c>
      <c r="P51" s="178">
        <v>1190000</v>
      </c>
      <c r="Q51" s="178">
        <v>1190000</v>
      </c>
      <c r="R51" s="178">
        <v>1190000</v>
      </c>
      <c r="S51" s="180">
        <f t="shared" si="3"/>
        <v>4710500</v>
      </c>
      <c r="T51" s="180">
        <f t="shared" si="4"/>
        <v>4710500</v>
      </c>
      <c r="U51" s="180">
        <f t="shared" si="5"/>
        <v>4710500</v>
      </c>
    </row>
    <row r="52" spans="1:21" s="3" customFormat="1" ht="25.5">
      <c r="A52" s="11" t="s">
        <v>120</v>
      </c>
      <c r="B52" s="25" t="s">
        <v>48</v>
      </c>
      <c r="C52" s="26" t="s">
        <v>40</v>
      </c>
      <c r="D52" s="26" t="s">
        <v>65</v>
      </c>
      <c r="E52" s="26" t="s">
        <v>928</v>
      </c>
      <c r="F52" s="26" t="s">
        <v>58</v>
      </c>
      <c r="G52" s="27">
        <f t="shared" si="40"/>
        <v>5900500</v>
      </c>
      <c r="H52" s="27">
        <f t="shared" si="40"/>
        <v>5900500</v>
      </c>
      <c r="I52" s="27">
        <f t="shared" si="40"/>
        <v>5900500</v>
      </c>
      <c r="J52" s="16">
        <f>'БА в тыс. руб.'!G52*1000</f>
        <v>5900500</v>
      </c>
      <c r="K52" s="169">
        <f t="shared" si="0"/>
        <v>0</v>
      </c>
      <c r="L52" s="16">
        <f>'БА в тыс. руб.'!H52*1000</f>
        <v>5900500</v>
      </c>
      <c r="M52" s="169">
        <f t="shared" si="1"/>
        <v>0</v>
      </c>
      <c r="N52" s="16">
        <f>'БА в тыс. руб.'!I52*1000</f>
        <v>5900500</v>
      </c>
      <c r="O52" s="169">
        <f t="shared" si="2"/>
        <v>0</v>
      </c>
      <c r="P52" s="178">
        <v>1190000</v>
      </c>
      <c r="Q52" s="178">
        <v>1190000</v>
      </c>
      <c r="R52" s="178">
        <v>1190000</v>
      </c>
      <c r="S52" s="180">
        <f t="shared" si="3"/>
        <v>4710500</v>
      </c>
      <c r="T52" s="180">
        <f t="shared" si="4"/>
        <v>4710500</v>
      </c>
      <c r="U52" s="180">
        <f t="shared" si="5"/>
        <v>4710500</v>
      </c>
    </row>
    <row r="53" spans="1:21" s="3" customFormat="1" ht="25.5">
      <c r="A53" s="11" t="s">
        <v>108</v>
      </c>
      <c r="B53" s="25" t="s">
        <v>48</v>
      </c>
      <c r="C53" s="26" t="s">
        <v>40</v>
      </c>
      <c r="D53" s="26" t="s">
        <v>65</v>
      </c>
      <c r="E53" s="26" t="s">
        <v>928</v>
      </c>
      <c r="F53" s="26" t="s">
        <v>116</v>
      </c>
      <c r="G53" s="27">
        <f>G54</f>
        <v>5900500</v>
      </c>
      <c r="H53" s="27">
        <f t="shared" si="40"/>
        <v>5900500</v>
      </c>
      <c r="I53" s="27">
        <f t="shared" si="40"/>
        <v>5900500</v>
      </c>
      <c r="J53" s="16">
        <f>'БА в тыс. руб.'!G53*1000</f>
        <v>5900500</v>
      </c>
      <c r="K53" s="169">
        <f t="shared" si="0"/>
        <v>0</v>
      </c>
      <c r="L53" s="16">
        <f>'БА в тыс. руб.'!H53*1000</f>
        <v>5900500</v>
      </c>
      <c r="M53" s="169">
        <f t="shared" si="1"/>
        <v>0</v>
      </c>
      <c r="N53" s="16">
        <f>'БА в тыс. руб.'!I53*1000</f>
        <v>5900500</v>
      </c>
      <c r="O53" s="169">
        <f t="shared" si="2"/>
        <v>0</v>
      </c>
      <c r="P53" s="178">
        <v>1190000</v>
      </c>
      <c r="Q53" s="178">
        <v>1190000</v>
      </c>
      <c r="R53" s="178">
        <v>1190000</v>
      </c>
      <c r="S53" s="180">
        <f t="shared" si="3"/>
        <v>4710500</v>
      </c>
      <c r="T53" s="180">
        <f t="shared" si="4"/>
        <v>4710500</v>
      </c>
      <c r="U53" s="180">
        <f t="shared" si="5"/>
        <v>4710500</v>
      </c>
    </row>
    <row r="54" spans="1:21" s="4" customFormat="1" ht="25.5">
      <c r="A54" s="12" t="s">
        <v>973</v>
      </c>
      <c r="B54" s="25" t="s">
        <v>48</v>
      </c>
      <c r="C54" s="26" t="s">
        <v>40</v>
      </c>
      <c r="D54" s="26" t="s">
        <v>65</v>
      </c>
      <c r="E54" s="26" t="s">
        <v>928</v>
      </c>
      <c r="F54" s="26" t="s">
        <v>1043</v>
      </c>
      <c r="G54" s="27">
        <f t="shared" ref="G54" si="41">J54</f>
        <v>5900500</v>
      </c>
      <c r="H54" s="27">
        <f>L54</f>
        <v>5900500</v>
      </c>
      <c r="I54" s="27">
        <f>N54</f>
        <v>5900500</v>
      </c>
      <c r="J54" s="16">
        <f>'БА в тыс. руб.'!G54*1000</f>
        <v>5900500</v>
      </c>
      <c r="K54" s="169">
        <f t="shared" si="0"/>
        <v>0</v>
      </c>
      <c r="L54" s="16">
        <f>'БА в тыс. руб.'!H54*1000</f>
        <v>5900500</v>
      </c>
      <c r="M54" s="169">
        <f t="shared" si="1"/>
        <v>0</v>
      </c>
      <c r="N54" s="16">
        <f>'БА в тыс. руб.'!I54*1000</f>
        <v>5900500</v>
      </c>
      <c r="O54" s="169">
        <f t="shared" si="2"/>
        <v>0</v>
      </c>
      <c r="P54" s="178">
        <v>1190000</v>
      </c>
      <c r="Q54" s="178">
        <v>1190000</v>
      </c>
      <c r="R54" s="178">
        <v>1190000</v>
      </c>
      <c r="S54" s="180">
        <f t="shared" si="3"/>
        <v>4710500</v>
      </c>
      <c r="T54" s="180">
        <f t="shared" si="4"/>
        <v>4710500</v>
      </c>
      <c r="U54" s="180">
        <f t="shared" si="5"/>
        <v>4710500</v>
      </c>
    </row>
    <row r="55" spans="1:21" s="3" customFormat="1">
      <c r="A55" s="21" t="s">
        <v>52</v>
      </c>
      <c r="B55" s="22" t="s">
        <v>48</v>
      </c>
      <c r="C55" s="23" t="s">
        <v>40</v>
      </c>
      <c r="D55" s="23" t="s">
        <v>66</v>
      </c>
      <c r="E55" s="23" t="s">
        <v>196</v>
      </c>
      <c r="F55" s="23" t="s">
        <v>58</v>
      </c>
      <c r="G55" s="24">
        <f t="shared" ref="G55:I59" si="42">G56</f>
        <v>1190000</v>
      </c>
      <c r="H55" s="24">
        <f t="shared" si="42"/>
        <v>1190000</v>
      </c>
      <c r="I55" s="24">
        <f t="shared" si="42"/>
        <v>1190000</v>
      </c>
      <c r="J55" s="16">
        <f>'БА в тыс. руб.'!G55*1000</f>
        <v>1190000</v>
      </c>
      <c r="K55" s="169">
        <f t="shared" si="0"/>
        <v>0</v>
      </c>
      <c r="L55" s="16">
        <f>'БА в тыс. руб.'!H55*1000</f>
        <v>1190000</v>
      </c>
      <c r="M55" s="169">
        <f t="shared" si="1"/>
        <v>0</v>
      </c>
      <c r="N55" s="16">
        <f>'БА в тыс. руб.'!I55*1000</f>
        <v>1190000</v>
      </c>
      <c r="O55" s="169">
        <f t="shared" si="2"/>
        <v>0</v>
      </c>
      <c r="S55" s="30"/>
      <c r="T55" s="30"/>
      <c r="U55" s="30"/>
    </row>
    <row r="56" spans="1:21" s="3" customFormat="1">
      <c r="A56" s="11" t="s">
        <v>124</v>
      </c>
      <c r="B56" s="25" t="s">
        <v>48</v>
      </c>
      <c r="C56" s="26" t="s">
        <v>40</v>
      </c>
      <c r="D56" s="26" t="s">
        <v>66</v>
      </c>
      <c r="E56" s="26" t="s">
        <v>197</v>
      </c>
      <c r="F56" s="26" t="s">
        <v>58</v>
      </c>
      <c r="G56" s="27">
        <f>G57</f>
        <v>1190000</v>
      </c>
      <c r="H56" s="27">
        <f t="shared" si="42"/>
        <v>1190000</v>
      </c>
      <c r="I56" s="27">
        <f t="shared" si="42"/>
        <v>1190000</v>
      </c>
      <c r="J56" s="16">
        <f>'БА в тыс. руб.'!G56*1000</f>
        <v>1190000</v>
      </c>
      <c r="K56" s="169">
        <f t="shared" si="0"/>
        <v>0</v>
      </c>
      <c r="L56" s="16">
        <f>'БА в тыс. руб.'!H56*1000</f>
        <v>1190000</v>
      </c>
      <c r="M56" s="169">
        <f t="shared" si="1"/>
        <v>0</v>
      </c>
      <c r="N56" s="16">
        <f>'БА в тыс. руб.'!I56*1000</f>
        <v>1190000</v>
      </c>
      <c r="O56" s="169">
        <f t="shared" si="2"/>
        <v>0</v>
      </c>
      <c r="S56" s="30"/>
      <c r="T56" s="30"/>
      <c r="U56" s="30"/>
    </row>
    <row r="57" spans="1:21" s="3" customFormat="1">
      <c r="A57" s="11" t="s">
        <v>175</v>
      </c>
      <c r="B57" s="25" t="s">
        <v>48</v>
      </c>
      <c r="C57" s="26" t="s">
        <v>40</v>
      </c>
      <c r="D57" s="26" t="s">
        <v>66</v>
      </c>
      <c r="E57" s="26" t="s">
        <v>205</v>
      </c>
      <c r="F57" s="26" t="s">
        <v>58</v>
      </c>
      <c r="G57" s="27">
        <f>G58</f>
        <v>1190000</v>
      </c>
      <c r="H57" s="27">
        <f t="shared" si="42"/>
        <v>1190000</v>
      </c>
      <c r="I57" s="27">
        <f t="shared" si="42"/>
        <v>1190000</v>
      </c>
      <c r="J57" s="16">
        <f>'БА в тыс. руб.'!G57*1000</f>
        <v>1190000</v>
      </c>
      <c r="K57" s="169">
        <f t="shared" si="0"/>
        <v>0</v>
      </c>
      <c r="L57" s="16">
        <f>'БА в тыс. руб.'!H57*1000</f>
        <v>1190000</v>
      </c>
      <c r="M57" s="169">
        <f t="shared" si="1"/>
        <v>0</v>
      </c>
      <c r="N57" s="16">
        <f>'БА в тыс. руб.'!I57*1000</f>
        <v>1190000</v>
      </c>
      <c r="O57" s="169">
        <f t="shared" si="2"/>
        <v>0</v>
      </c>
      <c r="S57" s="30"/>
      <c r="T57" s="30"/>
      <c r="U57" s="30"/>
    </row>
    <row r="58" spans="1:21" s="3" customFormat="1" ht="25.5">
      <c r="A58" s="11" t="s">
        <v>120</v>
      </c>
      <c r="B58" s="25" t="s">
        <v>48</v>
      </c>
      <c r="C58" s="26" t="s">
        <v>40</v>
      </c>
      <c r="D58" s="26" t="s">
        <v>66</v>
      </c>
      <c r="E58" s="26" t="s">
        <v>928</v>
      </c>
      <c r="F58" s="26" t="s">
        <v>58</v>
      </c>
      <c r="G58" s="27">
        <f>G59</f>
        <v>1190000</v>
      </c>
      <c r="H58" s="27">
        <f t="shared" si="42"/>
        <v>1190000</v>
      </c>
      <c r="I58" s="27">
        <f t="shared" si="42"/>
        <v>1190000</v>
      </c>
      <c r="J58" s="16">
        <f>'БА в тыс. руб.'!G58*1000</f>
        <v>1190000</v>
      </c>
      <c r="K58" s="169">
        <f t="shared" si="0"/>
        <v>0</v>
      </c>
      <c r="L58" s="16">
        <f>'БА в тыс. руб.'!H58*1000</f>
        <v>1190000</v>
      </c>
      <c r="M58" s="169">
        <f t="shared" si="1"/>
        <v>0</v>
      </c>
      <c r="N58" s="16">
        <f>'БА в тыс. руб.'!I58*1000</f>
        <v>1190000</v>
      </c>
      <c r="O58" s="169">
        <f t="shared" si="2"/>
        <v>0</v>
      </c>
      <c r="S58" s="30"/>
      <c r="T58" s="30"/>
      <c r="U58" s="30"/>
    </row>
    <row r="59" spans="1:21" s="3" customFormat="1" ht="25.5">
      <c r="A59" s="11" t="s">
        <v>108</v>
      </c>
      <c r="B59" s="25" t="s">
        <v>48</v>
      </c>
      <c r="C59" s="26" t="s">
        <v>40</v>
      </c>
      <c r="D59" s="26" t="s">
        <v>66</v>
      </c>
      <c r="E59" s="26" t="s">
        <v>928</v>
      </c>
      <c r="F59" s="26" t="s">
        <v>116</v>
      </c>
      <c r="G59" s="27">
        <f>G60</f>
        <v>1190000</v>
      </c>
      <c r="H59" s="27">
        <f t="shared" si="42"/>
        <v>1190000</v>
      </c>
      <c r="I59" s="27">
        <f t="shared" si="42"/>
        <v>1190000</v>
      </c>
      <c r="J59" s="16">
        <f>'БА в тыс. руб.'!G59*1000</f>
        <v>1190000</v>
      </c>
      <c r="K59" s="169">
        <f t="shared" si="0"/>
        <v>0</v>
      </c>
      <c r="L59" s="16">
        <f>'БА в тыс. руб.'!H59*1000</f>
        <v>1190000</v>
      </c>
      <c r="M59" s="169">
        <f t="shared" si="1"/>
        <v>0</v>
      </c>
      <c r="N59" s="16">
        <f>'БА в тыс. руб.'!I59*1000</f>
        <v>1190000</v>
      </c>
      <c r="O59" s="169">
        <f t="shared" si="2"/>
        <v>0</v>
      </c>
      <c r="S59" s="30"/>
      <c r="T59" s="30"/>
      <c r="U59" s="30"/>
    </row>
    <row r="60" spans="1:21" s="4" customFormat="1" ht="25.5">
      <c r="A60" s="12" t="s">
        <v>973</v>
      </c>
      <c r="B60" s="25" t="s">
        <v>48</v>
      </c>
      <c r="C60" s="26" t="s">
        <v>40</v>
      </c>
      <c r="D60" s="26" t="s">
        <v>66</v>
      </c>
      <c r="E60" s="26" t="s">
        <v>928</v>
      </c>
      <c r="F60" s="26" t="s">
        <v>1043</v>
      </c>
      <c r="G60" s="27">
        <f t="shared" ref="G60" si="43">J60</f>
        <v>1190000</v>
      </c>
      <c r="H60" s="27">
        <f t="shared" ref="H60" si="44">L60</f>
        <v>1190000</v>
      </c>
      <c r="I60" s="27">
        <f t="shared" ref="I60" si="45">N60</f>
        <v>1190000</v>
      </c>
      <c r="J60" s="16">
        <f>'БА в тыс. руб.'!G60*1000</f>
        <v>1190000</v>
      </c>
      <c r="K60" s="169">
        <f t="shared" si="0"/>
        <v>0</v>
      </c>
      <c r="L60" s="16">
        <f>'БА в тыс. руб.'!H60*1000</f>
        <v>1190000</v>
      </c>
      <c r="M60" s="169">
        <f t="shared" si="1"/>
        <v>0</v>
      </c>
      <c r="N60" s="16">
        <f>'БА в тыс. руб.'!I60*1000</f>
        <v>1190000</v>
      </c>
      <c r="O60" s="169">
        <f t="shared" si="2"/>
        <v>0</v>
      </c>
      <c r="S60" s="83"/>
      <c r="T60" s="83"/>
      <c r="U60" s="83"/>
    </row>
    <row r="61" spans="1:21" s="71" customFormat="1">
      <c r="A61" s="79"/>
      <c r="B61" s="92"/>
      <c r="C61" s="70"/>
      <c r="D61" s="70"/>
      <c r="E61" s="70"/>
      <c r="F61" s="70"/>
      <c r="G61" s="27"/>
      <c r="H61" s="27"/>
      <c r="I61" s="27"/>
      <c r="J61" s="16">
        <f>'БА в тыс. руб.'!G61*1000</f>
        <v>0</v>
      </c>
      <c r="K61" s="169">
        <f t="shared" si="0"/>
        <v>0</v>
      </c>
      <c r="L61" s="16">
        <f>'БА в тыс. руб.'!H61*1000</f>
        <v>0</v>
      </c>
      <c r="M61" s="169">
        <f t="shared" si="1"/>
        <v>0</v>
      </c>
      <c r="N61" s="16">
        <f>'БА в тыс. руб.'!I61*1000</f>
        <v>0</v>
      </c>
      <c r="O61" s="169">
        <f t="shared" si="2"/>
        <v>0</v>
      </c>
      <c r="S61" s="181"/>
      <c r="T61" s="181"/>
      <c r="U61" s="181"/>
    </row>
    <row r="62" spans="1:21" s="3" customFormat="1">
      <c r="A62" s="28" t="s">
        <v>54</v>
      </c>
      <c r="B62" s="14" t="s">
        <v>55</v>
      </c>
      <c r="C62" s="15" t="s">
        <v>51</v>
      </c>
      <c r="D62" s="15" t="s">
        <v>51</v>
      </c>
      <c r="E62" s="15" t="s">
        <v>196</v>
      </c>
      <c r="F62" s="15" t="s">
        <v>58</v>
      </c>
      <c r="G62" s="29">
        <f>G63+G212+G239+G247+G255</f>
        <v>272499480</v>
      </c>
      <c r="H62" s="29">
        <f>H63+H212+H239+H247+H255</f>
        <v>261700520</v>
      </c>
      <c r="I62" s="29">
        <f>I63+I212+I239+I247+I255</f>
        <v>261700520</v>
      </c>
      <c r="J62" s="16">
        <f>'БА в тыс. руб.'!G62*1000</f>
        <v>272499480</v>
      </c>
      <c r="K62" s="169">
        <f t="shared" si="0"/>
        <v>0</v>
      </c>
      <c r="L62" s="16">
        <f>'БА в тыс. руб.'!H62*1000</f>
        <v>261700519.99999997</v>
      </c>
      <c r="M62" s="169">
        <f t="shared" si="1"/>
        <v>0</v>
      </c>
      <c r="N62" s="16">
        <f>'БА в тыс. руб.'!I62*1000</f>
        <v>261700519.99999997</v>
      </c>
      <c r="O62" s="169">
        <f t="shared" si="2"/>
        <v>0</v>
      </c>
      <c r="S62" s="30"/>
      <c r="T62" s="30"/>
      <c r="U62" s="30"/>
    </row>
    <row r="63" spans="1:21" s="2" customFormat="1">
      <c r="A63" s="17" t="s">
        <v>64</v>
      </c>
      <c r="B63" s="18" t="s">
        <v>55</v>
      </c>
      <c r="C63" s="19" t="s">
        <v>65</v>
      </c>
      <c r="D63" s="19" t="s">
        <v>51</v>
      </c>
      <c r="E63" s="19" t="s">
        <v>196</v>
      </c>
      <c r="F63" s="19" t="s">
        <v>58</v>
      </c>
      <c r="G63" s="20">
        <f>G75+G102+G108+G64</f>
        <v>242383980</v>
      </c>
      <c r="H63" s="20">
        <f>H75+H102+H108+H64</f>
        <v>232624520</v>
      </c>
      <c r="I63" s="20">
        <f>I75+I102+I108+I64</f>
        <v>232624520</v>
      </c>
      <c r="J63" s="16">
        <f>'БА в тыс. руб.'!G63*1000</f>
        <v>242383979.99999997</v>
      </c>
      <c r="K63" s="169">
        <f t="shared" si="0"/>
        <v>0</v>
      </c>
      <c r="L63" s="16">
        <f>'БА в тыс. руб.'!H63*1000</f>
        <v>232624519.99999997</v>
      </c>
      <c r="M63" s="169">
        <f t="shared" si="1"/>
        <v>0</v>
      </c>
      <c r="N63" s="16">
        <f>'БА в тыс. руб.'!I63*1000</f>
        <v>232624519.99999997</v>
      </c>
      <c r="O63" s="169">
        <f t="shared" si="2"/>
        <v>0</v>
      </c>
      <c r="S63" s="33"/>
      <c r="T63" s="33"/>
      <c r="U63" s="33"/>
    </row>
    <row r="64" spans="1:21" s="2" customFormat="1" ht="25.5">
      <c r="A64" s="21" t="s">
        <v>33</v>
      </c>
      <c r="B64" s="22" t="s">
        <v>55</v>
      </c>
      <c r="C64" s="23" t="s">
        <v>65</v>
      </c>
      <c r="D64" s="23" t="s">
        <v>66</v>
      </c>
      <c r="E64" s="23" t="s">
        <v>196</v>
      </c>
      <c r="F64" s="23" t="s">
        <v>58</v>
      </c>
      <c r="G64" s="24">
        <f>G65</f>
        <v>1593550</v>
      </c>
      <c r="H64" s="24">
        <f t="shared" ref="H64:I65" si="46">H65</f>
        <v>1593550</v>
      </c>
      <c r="I64" s="24">
        <f t="shared" si="46"/>
        <v>1593550</v>
      </c>
      <c r="J64" s="16">
        <f>'БА в тыс. руб.'!G64*1000</f>
        <v>1593550</v>
      </c>
      <c r="K64" s="169">
        <f t="shared" si="0"/>
        <v>0</v>
      </c>
      <c r="L64" s="16">
        <f>'БА в тыс. руб.'!H64*1000</f>
        <v>1593550</v>
      </c>
      <c r="M64" s="169">
        <f t="shared" si="1"/>
        <v>0</v>
      </c>
      <c r="N64" s="16">
        <f>'БА в тыс. руб.'!I64*1000</f>
        <v>1593550</v>
      </c>
      <c r="O64" s="169">
        <f t="shared" si="2"/>
        <v>0</v>
      </c>
      <c r="S64" s="33"/>
      <c r="T64" s="33"/>
      <c r="U64" s="33"/>
    </row>
    <row r="65" spans="1:21" s="3" customFormat="1">
      <c r="A65" s="11" t="s">
        <v>112</v>
      </c>
      <c r="B65" s="25" t="s">
        <v>55</v>
      </c>
      <c r="C65" s="26" t="s">
        <v>65</v>
      </c>
      <c r="D65" s="26" t="s">
        <v>66</v>
      </c>
      <c r="E65" s="26" t="s">
        <v>206</v>
      </c>
      <c r="F65" s="26" t="s">
        <v>58</v>
      </c>
      <c r="G65" s="27">
        <f>G66</f>
        <v>1593550</v>
      </c>
      <c r="H65" s="27">
        <f t="shared" si="46"/>
        <v>1593550</v>
      </c>
      <c r="I65" s="27">
        <f t="shared" si="46"/>
        <v>1593550</v>
      </c>
      <c r="J65" s="16">
        <f>'БА в тыс. руб.'!G65*1000</f>
        <v>1593550</v>
      </c>
      <c r="K65" s="169">
        <f t="shared" si="0"/>
        <v>0</v>
      </c>
      <c r="L65" s="16">
        <f>'БА в тыс. руб.'!H65*1000</f>
        <v>1593550</v>
      </c>
      <c r="M65" s="169">
        <f t="shared" si="1"/>
        <v>0</v>
      </c>
      <c r="N65" s="16">
        <f>'БА в тыс. руб.'!I65*1000</f>
        <v>1593550</v>
      </c>
      <c r="O65" s="169">
        <f t="shared" si="2"/>
        <v>0</v>
      </c>
      <c r="S65" s="30"/>
      <c r="T65" s="30"/>
      <c r="U65" s="30"/>
    </row>
    <row r="66" spans="1:21" s="3" customFormat="1">
      <c r="A66" s="11" t="s">
        <v>34</v>
      </c>
      <c r="B66" s="25" t="s">
        <v>55</v>
      </c>
      <c r="C66" s="26" t="s">
        <v>65</v>
      </c>
      <c r="D66" s="26" t="s">
        <v>66</v>
      </c>
      <c r="E66" s="26" t="s">
        <v>213</v>
      </c>
      <c r="F66" s="26" t="s">
        <v>58</v>
      </c>
      <c r="G66" s="27">
        <f>G67+G71</f>
        <v>1593550</v>
      </c>
      <c r="H66" s="27">
        <f t="shared" ref="H66:I66" si="47">H67+H71</f>
        <v>1593550</v>
      </c>
      <c r="I66" s="27">
        <f t="shared" si="47"/>
        <v>1593550</v>
      </c>
      <c r="J66" s="16">
        <f>'БА в тыс. руб.'!G66*1000</f>
        <v>1593550</v>
      </c>
      <c r="K66" s="169">
        <f t="shared" si="0"/>
        <v>0</v>
      </c>
      <c r="L66" s="16">
        <f>'БА в тыс. руб.'!H66*1000</f>
        <v>1593550</v>
      </c>
      <c r="M66" s="169">
        <f t="shared" si="1"/>
        <v>0</v>
      </c>
      <c r="N66" s="16">
        <f>'БА в тыс. руб.'!I66*1000</f>
        <v>1593550</v>
      </c>
      <c r="O66" s="169">
        <f t="shared" si="2"/>
        <v>0</v>
      </c>
      <c r="S66" s="30"/>
      <c r="T66" s="30"/>
      <c r="U66" s="30"/>
    </row>
    <row r="67" spans="1:21" s="3" customFormat="1" ht="25.5">
      <c r="A67" s="11" t="s">
        <v>114</v>
      </c>
      <c r="B67" s="25" t="s">
        <v>55</v>
      </c>
      <c r="C67" s="26" t="s">
        <v>65</v>
      </c>
      <c r="D67" s="26" t="s">
        <v>66</v>
      </c>
      <c r="E67" s="26" t="s">
        <v>585</v>
      </c>
      <c r="F67" s="26" t="s">
        <v>58</v>
      </c>
      <c r="G67" s="27">
        <f>G68</f>
        <v>41550</v>
      </c>
      <c r="H67" s="27">
        <f t="shared" ref="H67:I67" si="48">H68</f>
        <v>41550</v>
      </c>
      <c r="I67" s="27">
        <f t="shared" si="48"/>
        <v>41550</v>
      </c>
      <c r="J67" s="16">
        <f>'БА в тыс. руб.'!G67*1000</f>
        <v>41550</v>
      </c>
      <c r="K67" s="169">
        <f t="shared" si="0"/>
        <v>0</v>
      </c>
      <c r="L67" s="16">
        <f>'БА в тыс. руб.'!H67*1000</f>
        <v>41550</v>
      </c>
      <c r="M67" s="169">
        <f t="shared" si="1"/>
        <v>0</v>
      </c>
      <c r="N67" s="16">
        <f>'БА в тыс. руб.'!I67*1000</f>
        <v>41550</v>
      </c>
      <c r="O67" s="169">
        <f t="shared" si="2"/>
        <v>0</v>
      </c>
      <c r="S67" s="30"/>
      <c r="T67" s="30"/>
      <c r="U67" s="30"/>
    </row>
    <row r="68" spans="1:21" s="3" customFormat="1" ht="25.5">
      <c r="A68" s="11" t="s">
        <v>107</v>
      </c>
      <c r="B68" s="25" t="s">
        <v>55</v>
      </c>
      <c r="C68" s="26" t="s">
        <v>65</v>
      </c>
      <c r="D68" s="26" t="s">
        <v>66</v>
      </c>
      <c r="E68" s="26" t="s">
        <v>585</v>
      </c>
      <c r="F68" s="26" t="s">
        <v>115</v>
      </c>
      <c r="G68" s="27">
        <f>SUM(G69:G70)</f>
        <v>41550</v>
      </c>
      <c r="H68" s="27">
        <f t="shared" ref="H68:I68" si="49">SUM(H69:H70)</f>
        <v>41550</v>
      </c>
      <c r="I68" s="27">
        <f t="shared" si="49"/>
        <v>41550</v>
      </c>
      <c r="J68" s="16">
        <f>'БА в тыс. руб.'!G68*1000</f>
        <v>41550</v>
      </c>
      <c r="K68" s="169">
        <f t="shared" si="0"/>
        <v>0</v>
      </c>
      <c r="L68" s="16">
        <f>'БА в тыс. руб.'!H68*1000</f>
        <v>41550</v>
      </c>
      <c r="M68" s="169">
        <f t="shared" si="1"/>
        <v>0</v>
      </c>
      <c r="N68" s="16">
        <f>'БА в тыс. руб.'!I68*1000</f>
        <v>41550</v>
      </c>
      <c r="O68" s="169">
        <f t="shared" si="2"/>
        <v>0</v>
      </c>
      <c r="S68" s="30"/>
      <c r="T68" s="30"/>
      <c r="U68" s="30"/>
    </row>
    <row r="69" spans="1:21" s="3" customFormat="1" ht="25.5">
      <c r="A69" s="11" t="s">
        <v>937</v>
      </c>
      <c r="B69" s="25" t="s">
        <v>55</v>
      </c>
      <c r="C69" s="26" t="s">
        <v>65</v>
      </c>
      <c r="D69" s="26" t="s">
        <v>66</v>
      </c>
      <c r="E69" s="26" t="s">
        <v>585</v>
      </c>
      <c r="F69" s="26" t="s">
        <v>1059</v>
      </c>
      <c r="G69" s="27">
        <f t="shared" ref="G69:G70" si="50">J69</f>
        <v>31910</v>
      </c>
      <c r="H69" s="27">
        <f t="shared" ref="H69:H70" si="51">L69</f>
        <v>31910</v>
      </c>
      <c r="I69" s="27">
        <f t="shared" ref="I69:I70" si="52">N69</f>
        <v>31910</v>
      </c>
      <c r="J69" s="16">
        <f>'БА в тыс. руб.'!G69*1000</f>
        <v>31910</v>
      </c>
      <c r="K69" s="169">
        <f t="shared" si="0"/>
        <v>0</v>
      </c>
      <c r="L69" s="16">
        <f>'БА в тыс. руб.'!H69*1000</f>
        <v>31910</v>
      </c>
      <c r="M69" s="169">
        <f t="shared" si="1"/>
        <v>0</v>
      </c>
      <c r="N69" s="16">
        <f>'БА в тыс. руб.'!I69*1000</f>
        <v>31910</v>
      </c>
      <c r="O69" s="169">
        <f t="shared" si="2"/>
        <v>0</v>
      </c>
      <c r="S69" s="30"/>
      <c r="T69" s="30"/>
      <c r="U69" s="30"/>
    </row>
    <row r="70" spans="1:21" s="3" customFormat="1" ht="38.25">
      <c r="A70" s="11" t="s">
        <v>939</v>
      </c>
      <c r="B70" s="25" t="s">
        <v>55</v>
      </c>
      <c r="C70" s="26" t="s">
        <v>65</v>
      </c>
      <c r="D70" s="26" t="s">
        <v>66</v>
      </c>
      <c r="E70" s="26" t="s">
        <v>585</v>
      </c>
      <c r="F70" s="26" t="s">
        <v>1060</v>
      </c>
      <c r="G70" s="27">
        <f t="shared" si="50"/>
        <v>9640</v>
      </c>
      <c r="H70" s="27">
        <f t="shared" si="51"/>
        <v>9640</v>
      </c>
      <c r="I70" s="27">
        <f t="shared" si="52"/>
        <v>9640</v>
      </c>
      <c r="J70" s="16">
        <f>'БА в тыс. руб.'!G70*1000</f>
        <v>9640</v>
      </c>
      <c r="K70" s="169">
        <f t="shared" ref="K70:K133" si="53">J70-G70</f>
        <v>0</v>
      </c>
      <c r="L70" s="16">
        <f>'БА в тыс. руб.'!H70*1000</f>
        <v>9640</v>
      </c>
      <c r="M70" s="169">
        <f t="shared" ref="M70:M133" si="54">L70-H70</f>
        <v>0</v>
      </c>
      <c r="N70" s="16">
        <f>'БА в тыс. руб.'!I70*1000</f>
        <v>9640</v>
      </c>
      <c r="O70" s="169">
        <f t="shared" ref="O70:O133" si="55">N70-I70</f>
        <v>0</v>
      </c>
      <c r="S70" s="30"/>
      <c r="T70" s="30"/>
      <c r="U70" s="30"/>
    </row>
    <row r="71" spans="1:21" s="3" customFormat="1" ht="25.5">
      <c r="A71" s="11" t="s">
        <v>126</v>
      </c>
      <c r="B71" s="25" t="s">
        <v>55</v>
      </c>
      <c r="C71" s="26" t="s">
        <v>65</v>
      </c>
      <c r="D71" s="26" t="s">
        <v>66</v>
      </c>
      <c r="E71" s="26" t="s">
        <v>214</v>
      </c>
      <c r="F71" s="26" t="s">
        <v>58</v>
      </c>
      <c r="G71" s="27">
        <f>G72</f>
        <v>1552000</v>
      </c>
      <c r="H71" s="27">
        <f t="shared" ref="H71:I71" si="56">H72</f>
        <v>1552000</v>
      </c>
      <c r="I71" s="27">
        <f t="shared" si="56"/>
        <v>1552000</v>
      </c>
      <c r="J71" s="16">
        <f>'БА в тыс. руб.'!G71*1000</f>
        <v>1552000</v>
      </c>
      <c r="K71" s="169">
        <f t="shared" si="53"/>
        <v>0</v>
      </c>
      <c r="L71" s="16">
        <f>'БА в тыс. руб.'!H71*1000</f>
        <v>1552000</v>
      </c>
      <c r="M71" s="169">
        <f t="shared" si="54"/>
        <v>0</v>
      </c>
      <c r="N71" s="16">
        <f>'БА в тыс. руб.'!I71*1000</f>
        <v>1552000</v>
      </c>
      <c r="O71" s="169">
        <f t="shared" si="55"/>
        <v>0</v>
      </c>
      <c r="S71" s="30"/>
      <c r="T71" s="30"/>
      <c r="U71" s="30"/>
    </row>
    <row r="72" spans="1:21" s="3" customFormat="1" ht="25.5">
      <c r="A72" s="12" t="s">
        <v>107</v>
      </c>
      <c r="B72" s="25" t="s">
        <v>55</v>
      </c>
      <c r="C72" s="26" t="s">
        <v>65</v>
      </c>
      <c r="D72" s="26" t="s">
        <v>66</v>
      </c>
      <c r="E72" s="26" t="s">
        <v>214</v>
      </c>
      <c r="F72" s="26" t="s">
        <v>115</v>
      </c>
      <c r="G72" s="27">
        <f>SUM(G73:G74)</f>
        <v>1552000</v>
      </c>
      <c r="H72" s="27">
        <f t="shared" ref="H72:I72" si="57">SUM(H73:H74)</f>
        <v>1552000</v>
      </c>
      <c r="I72" s="27">
        <f t="shared" si="57"/>
        <v>1552000</v>
      </c>
      <c r="J72" s="16">
        <f>'БА в тыс. руб.'!G72*1000</f>
        <v>1552000</v>
      </c>
      <c r="K72" s="169">
        <f t="shared" si="53"/>
        <v>0</v>
      </c>
      <c r="L72" s="16">
        <f>'БА в тыс. руб.'!H72*1000</f>
        <v>1552000</v>
      </c>
      <c r="M72" s="169">
        <f t="shared" si="54"/>
        <v>0</v>
      </c>
      <c r="N72" s="16">
        <f>'БА в тыс. руб.'!I72*1000</f>
        <v>1552000</v>
      </c>
      <c r="O72" s="169">
        <f t="shared" si="55"/>
        <v>0</v>
      </c>
      <c r="S72" s="30"/>
      <c r="T72" s="30"/>
      <c r="U72" s="30"/>
    </row>
    <row r="73" spans="1:21" s="4" customFormat="1">
      <c r="A73" s="12" t="s">
        <v>936</v>
      </c>
      <c r="B73" s="25" t="s">
        <v>55</v>
      </c>
      <c r="C73" s="26" t="s">
        <v>65</v>
      </c>
      <c r="D73" s="26" t="s">
        <v>66</v>
      </c>
      <c r="E73" s="26" t="s">
        <v>214</v>
      </c>
      <c r="F73" s="26" t="s">
        <v>1063</v>
      </c>
      <c r="G73" s="27">
        <f t="shared" ref="G73:G74" si="58">J73</f>
        <v>1192000</v>
      </c>
      <c r="H73" s="27">
        <f t="shared" ref="H73:H74" si="59">L73</f>
        <v>1192000</v>
      </c>
      <c r="I73" s="27">
        <f t="shared" ref="I73:I74" si="60">N73</f>
        <v>1192000</v>
      </c>
      <c r="J73" s="16">
        <f>'БА в тыс. руб.'!G73*1000</f>
        <v>1192000</v>
      </c>
      <c r="K73" s="169">
        <f t="shared" si="53"/>
        <v>0</v>
      </c>
      <c r="L73" s="16">
        <f>'БА в тыс. руб.'!H73*1000</f>
        <v>1192000</v>
      </c>
      <c r="M73" s="169">
        <f t="shared" si="54"/>
        <v>0</v>
      </c>
      <c r="N73" s="16">
        <f>'БА в тыс. руб.'!I73*1000</f>
        <v>1192000</v>
      </c>
      <c r="O73" s="169">
        <f t="shared" si="55"/>
        <v>0</v>
      </c>
      <c r="S73" s="83"/>
      <c r="T73" s="83"/>
      <c r="U73" s="83"/>
    </row>
    <row r="74" spans="1:21" s="4" customFormat="1" ht="38.25">
      <c r="A74" s="12" t="s">
        <v>939</v>
      </c>
      <c r="B74" s="25" t="s">
        <v>55</v>
      </c>
      <c r="C74" s="26" t="s">
        <v>65</v>
      </c>
      <c r="D74" s="26" t="s">
        <v>66</v>
      </c>
      <c r="E74" s="26" t="s">
        <v>214</v>
      </c>
      <c r="F74" s="26" t="s">
        <v>1060</v>
      </c>
      <c r="G74" s="27">
        <f t="shared" si="58"/>
        <v>360000</v>
      </c>
      <c r="H74" s="27">
        <f t="shared" si="59"/>
        <v>360000</v>
      </c>
      <c r="I74" s="27">
        <f t="shared" si="60"/>
        <v>360000</v>
      </c>
      <c r="J74" s="16">
        <f>'БА в тыс. руб.'!G74*1000</f>
        <v>360000</v>
      </c>
      <c r="K74" s="169">
        <f t="shared" si="53"/>
        <v>0</v>
      </c>
      <c r="L74" s="16">
        <f>'БА в тыс. руб.'!H74*1000</f>
        <v>360000</v>
      </c>
      <c r="M74" s="169">
        <f t="shared" si="54"/>
        <v>0</v>
      </c>
      <c r="N74" s="16">
        <f>'БА в тыс. руб.'!I74*1000</f>
        <v>360000</v>
      </c>
      <c r="O74" s="169">
        <f t="shared" si="55"/>
        <v>0</v>
      </c>
      <c r="S74" s="83"/>
      <c r="T74" s="83"/>
      <c r="U74" s="83"/>
    </row>
    <row r="75" spans="1:21" s="3" customFormat="1" ht="38.25">
      <c r="A75" s="21" t="s">
        <v>31</v>
      </c>
      <c r="B75" s="22" t="s">
        <v>55</v>
      </c>
      <c r="C75" s="23" t="s">
        <v>65</v>
      </c>
      <c r="D75" s="23" t="s">
        <v>37</v>
      </c>
      <c r="E75" s="23" t="s">
        <v>196</v>
      </c>
      <c r="F75" s="23" t="s">
        <v>58</v>
      </c>
      <c r="G75" s="24">
        <f>G76</f>
        <v>107847470</v>
      </c>
      <c r="H75" s="24">
        <f>H76</f>
        <v>107847470</v>
      </c>
      <c r="I75" s="24">
        <f>I76</f>
        <v>107847470</v>
      </c>
      <c r="J75" s="16">
        <f>'БА в тыс. руб.'!G75*1000</f>
        <v>107847470</v>
      </c>
      <c r="K75" s="169">
        <f t="shared" si="53"/>
        <v>0</v>
      </c>
      <c r="L75" s="16">
        <f>'БА в тыс. руб.'!H75*1000</f>
        <v>107847470</v>
      </c>
      <c r="M75" s="169">
        <f t="shared" si="54"/>
        <v>0</v>
      </c>
      <c r="N75" s="16">
        <f>'БА в тыс. руб.'!I75*1000</f>
        <v>107847470</v>
      </c>
      <c r="O75" s="169">
        <f t="shared" si="55"/>
        <v>0</v>
      </c>
      <c r="S75" s="30"/>
      <c r="T75" s="30"/>
      <c r="U75" s="30"/>
    </row>
    <row r="76" spans="1:21" s="3" customFormat="1">
      <c r="A76" s="34" t="s">
        <v>112</v>
      </c>
      <c r="B76" s="25" t="s">
        <v>55</v>
      </c>
      <c r="C76" s="26" t="s">
        <v>65</v>
      </c>
      <c r="D76" s="26" t="s">
        <v>37</v>
      </c>
      <c r="E76" s="26" t="s">
        <v>206</v>
      </c>
      <c r="F76" s="26" t="s">
        <v>58</v>
      </c>
      <c r="G76" s="27">
        <f>G77</f>
        <v>107847470</v>
      </c>
      <c r="H76" s="27">
        <f t="shared" ref="H76:I76" si="61">H77</f>
        <v>107847470</v>
      </c>
      <c r="I76" s="27">
        <f t="shared" si="61"/>
        <v>107847470</v>
      </c>
      <c r="J76" s="16">
        <f>'БА в тыс. руб.'!G76*1000</f>
        <v>107847470</v>
      </c>
      <c r="K76" s="169">
        <f t="shared" si="53"/>
        <v>0</v>
      </c>
      <c r="L76" s="16">
        <f>'БА в тыс. руб.'!H76*1000</f>
        <v>107847470</v>
      </c>
      <c r="M76" s="169">
        <f t="shared" si="54"/>
        <v>0</v>
      </c>
      <c r="N76" s="16">
        <f>'БА в тыс. руб.'!I76*1000</f>
        <v>107847470</v>
      </c>
      <c r="O76" s="169">
        <f t="shared" si="55"/>
        <v>0</v>
      </c>
      <c r="S76" s="30"/>
      <c r="T76" s="30"/>
      <c r="U76" s="30"/>
    </row>
    <row r="77" spans="1:21" s="3" customFormat="1" ht="25.5">
      <c r="A77" s="34" t="s">
        <v>113</v>
      </c>
      <c r="B77" s="25" t="s">
        <v>55</v>
      </c>
      <c r="C77" s="26" t="s">
        <v>65</v>
      </c>
      <c r="D77" s="26" t="s">
        <v>37</v>
      </c>
      <c r="E77" s="26" t="s">
        <v>207</v>
      </c>
      <c r="F77" s="26" t="s">
        <v>58</v>
      </c>
      <c r="G77" s="27">
        <f>G78+G86+G90+G93+G99</f>
        <v>107847470</v>
      </c>
      <c r="H77" s="27">
        <f>H78+H86+H90+H93+H99</f>
        <v>107847470</v>
      </c>
      <c r="I77" s="27">
        <f>I78+I86+I90+I93+I99</f>
        <v>107847470</v>
      </c>
      <c r="J77" s="16">
        <f>'БА в тыс. руб.'!G77*1000</f>
        <v>107847470</v>
      </c>
      <c r="K77" s="169">
        <f t="shared" si="53"/>
        <v>0</v>
      </c>
      <c r="L77" s="16">
        <f>'БА в тыс. руб.'!H77*1000</f>
        <v>107847470</v>
      </c>
      <c r="M77" s="169">
        <f t="shared" si="54"/>
        <v>0</v>
      </c>
      <c r="N77" s="16">
        <f>'БА в тыс. руб.'!I77*1000</f>
        <v>107847470</v>
      </c>
      <c r="O77" s="169">
        <f t="shared" si="55"/>
        <v>0</v>
      </c>
      <c r="S77" s="30"/>
      <c r="T77" s="30"/>
      <c r="U77" s="30"/>
    </row>
    <row r="78" spans="1:21" s="3" customFormat="1" ht="25.5">
      <c r="A78" s="34" t="s">
        <v>114</v>
      </c>
      <c r="B78" s="35" t="s">
        <v>55</v>
      </c>
      <c r="C78" s="36" t="s">
        <v>65</v>
      </c>
      <c r="D78" s="36" t="s">
        <v>37</v>
      </c>
      <c r="E78" s="36" t="s">
        <v>208</v>
      </c>
      <c r="F78" s="36" t="s">
        <v>58</v>
      </c>
      <c r="G78" s="37">
        <f>G79+G82+G84</f>
        <v>12309690</v>
      </c>
      <c r="H78" s="37">
        <f t="shared" ref="H78:I78" si="62">H79+H82+H84</f>
        <v>12309690</v>
      </c>
      <c r="I78" s="37">
        <f t="shared" si="62"/>
        <v>12309690</v>
      </c>
      <c r="J78" s="16">
        <f>'БА в тыс. руб.'!G78*1000</f>
        <v>12309690</v>
      </c>
      <c r="K78" s="169">
        <f t="shared" si="53"/>
        <v>0</v>
      </c>
      <c r="L78" s="16">
        <f>'БА в тыс. руб.'!H78*1000</f>
        <v>12309690</v>
      </c>
      <c r="M78" s="169">
        <f t="shared" si="54"/>
        <v>0</v>
      </c>
      <c r="N78" s="16">
        <f>'БА в тыс. руб.'!I78*1000</f>
        <v>12309690</v>
      </c>
      <c r="O78" s="169">
        <f t="shared" si="55"/>
        <v>0</v>
      </c>
      <c r="S78" s="30"/>
      <c r="T78" s="30"/>
      <c r="U78" s="30"/>
    </row>
    <row r="79" spans="1:21" s="3" customFormat="1" ht="25.5">
      <c r="A79" s="12" t="s">
        <v>107</v>
      </c>
      <c r="B79" s="35" t="s">
        <v>55</v>
      </c>
      <c r="C79" s="36" t="s">
        <v>65</v>
      </c>
      <c r="D79" s="36" t="s">
        <v>37</v>
      </c>
      <c r="E79" s="36" t="s">
        <v>208</v>
      </c>
      <c r="F79" s="26" t="s">
        <v>115</v>
      </c>
      <c r="G79" s="27">
        <f>SUM(G80:G81)</f>
        <v>4384020</v>
      </c>
      <c r="H79" s="27">
        <f t="shared" ref="H79:I79" si="63">SUM(H80:H81)</f>
        <v>4384020</v>
      </c>
      <c r="I79" s="27">
        <f t="shared" si="63"/>
        <v>4384020</v>
      </c>
      <c r="J79" s="16">
        <f>'БА в тыс. руб.'!G79*1000</f>
        <v>4384020</v>
      </c>
      <c r="K79" s="169">
        <f t="shared" si="53"/>
        <v>0</v>
      </c>
      <c r="L79" s="16">
        <f>'БА в тыс. руб.'!H79*1000</f>
        <v>4384020</v>
      </c>
      <c r="M79" s="169">
        <f t="shared" si="54"/>
        <v>0</v>
      </c>
      <c r="N79" s="16">
        <f>'БА в тыс. руб.'!I79*1000</f>
        <v>4384020</v>
      </c>
      <c r="O79" s="169">
        <f t="shared" si="55"/>
        <v>0</v>
      </c>
      <c r="S79" s="30"/>
      <c r="T79" s="30"/>
      <c r="U79" s="30"/>
    </row>
    <row r="80" spans="1:21" s="3" customFormat="1" ht="25.5">
      <c r="A80" s="11" t="s">
        <v>937</v>
      </c>
      <c r="B80" s="25" t="s">
        <v>55</v>
      </c>
      <c r="C80" s="26" t="s">
        <v>65</v>
      </c>
      <c r="D80" s="26" t="s">
        <v>37</v>
      </c>
      <c r="E80" s="26" t="s">
        <v>208</v>
      </c>
      <c r="F80" s="26" t="s">
        <v>1059</v>
      </c>
      <c r="G80" s="27">
        <f t="shared" ref="G80:G81" si="64">J80</f>
        <v>3681770</v>
      </c>
      <c r="H80" s="27">
        <f t="shared" ref="H80:H81" si="65">L80</f>
        <v>3681770</v>
      </c>
      <c r="I80" s="27">
        <f t="shared" ref="I80:I81" si="66">N80</f>
        <v>3681770</v>
      </c>
      <c r="J80" s="16">
        <f>'БА в тыс. руб.'!G80*1000</f>
        <v>3681770</v>
      </c>
      <c r="K80" s="169">
        <f t="shared" si="53"/>
        <v>0</v>
      </c>
      <c r="L80" s="16">
        <f>'БА в тыс. руб.'!H80*1000</f>
        <v>3681770</v>
      </c>
      <c r="M80" s="169">
        <f t="shared" si="54"/>
        <v>0</v>
      </c>
      <c r="N80" s="16">
        <f>'БА в тыс. руб.'!I80*1000</f>
        <v>3681770</v>
      </c>
      <c r="O80" s="169">
        <f t="shared" si="55"/>
        <v>0</v>
      </c>
      <c r="S80" s="30"/>
      <c r="T80" s="30"/>
      <c r="U80" s="30"/>
    </row>
    <row r="81" spans="1:21" s="3" customFormat="1" ht="38.25">
      <c r="A81" s="11" t="s">
        <v>939</v>
      </c>
      <c r="B81" s="25" t="s">
        <v>55</v>
      </c>
      <c r="C81" s="26" t="s">
        <v>65</v>
      </c>
      <c r="D81" s="26" t="s">
        <v>37</v>
      </c>
      <c r="E81" s="26" t="s">
        <v>208</v>
      </c>
      <c r="F81" s="26" t="s">
        <v>1060</v>
      </c>
      <c r="G81" s="27">
        <f t="shared" si="64"/>
        <v>702250</v>
      </c>
      <c r="H81" s="27">
        <f t="shared" si="65"/>
        <v>702250</v>
      </c>
      <c r="I81" s="27">
        <f t="shared" si="66"/>
        <v>702250</v>
      </c>
      <c r="J81" s="16">
        <f>'БА в тыс. руб.'!G81*1000</f>
        <v>702250</v>
      </c>
      <c r="K81" s="169">
        <f t="shared" si="53"/>
        <v>0</v>
      </c>
      <c r="L81" s="16">
        <f>'БА в тыс. руб.'!H81*1000</f>
        <v>702250</v>
      </c>
      <c r="M81" s="169">
        <f t="shared" si="54"/>
        <v>0</v>
      </c>
      <c r="N81" s="16">
        <f>'БА в тыс. руб.'!I81*1000</f>
        <v>702250</v>
      </c>
      <c r="O81" s="169">
        <f t="shared" si="55"/>
        <v>0</v>
      </c>
      <c r="S81" s="30"/>
      <c r="T81" s="30"/>
      <c r="U81" s="30"/>
    </row>
    <row r="82" spans="1:21" s="3" customFormat="1" ht="25.5">
      <c r="A82" s="11" t="s">
        <v>108</v>
      </c>
      <c r="B82" s="35" t="s">
        <v>55</v>
      </c>
      <c r="C82" s="36" t="s">
        <v>65</v>
      </c>
      <c r="D82" s="36" t="s">
        <v>37</v>
      </c>
      <c r="E82" s="36" t="s">
        <v>208</v>
      </c>
      <c r="F82" s="26" t="s">
        <v>116</v>
      </c>
      <c r="G82" s="27">
        <f>G83</f>
        <v>7901670</v>
      </c>
      <c r="H82" s="27">
        <f t="shared" ref="H82:I82" si="67">H83</f>
        <v>7901670</v>
      </c>
      <c r="I82" s="27">
        <f t="shared" si="67"/>
        <v>7901670</v>
      </c>
      <c r="J82" s="16">
        <f>'БА в тыс. руб.'!G82*1000</f>
        <v>7901670</v>
      </c>
      <c r="K82" s="169">
        <f t="shared" si="53"/>
        <v>0</v>
      </c>
      <c r="L82" s="16">
        <f>'БА в тыс. руб.'!H82*1000</f>
        <v>7901670</v>
      </c>
      <c r="M82" s="169">
        <f t="shared" si="54"/>
        <v>0</v>
      </c>
      <c r="N82" s="16">
        <f>'БА в тыс. руб.'!I82*1000</f>
        <v>7901670</v>
      </c>
      <c r="O82" s="169">
        <f t="shared" si="55"/>
        <v>0</v>
      </c>
      <c r="S82" s="30"/>
      <c r="T82" s="30"/>
      <c r="U82" s="30"/>
    </row>
    <row r="83" spans="1:21" s="4" customFormat="1" ht="25.5">
      <c r="A83" s="12" t="s">
        <v>973</v>
      </c>
      <c r="B83" s="35" t="s">
        <v>55</v>
      </c>
      <c r="C83" s="36" t="s">
        <v>65</v>
      </c>
      <c r="D83" s="36" t="s">
        <v>37</v>
      </c>
      <c r="E83" s="36" t="s">
        <v>208</v>
      </c>
      <c r="F83" s="26" t="s">
        <v>1043</v>
      </c>
      <c r="G83" s="27">
        <f t="shared" ref="G83" si="68">J83</f>
        <v>7901670</v>
      </c>
      <c r="H83" s="27">
        <f>L83</f>
        <v>7901670</v>
      </c>
      <c r="I83" s="27">
        <f>N83</f>
        <v>7901670</v>
      </c>
      <c r="J83" s="16">
        <f>'БА в тыс. руб.'!G83*1000</f>
        <v>7901670</v>
      </c>
      <c r="K83" s="169">
        <f t="shared" si="53"/>
        <v>0</v>
      </c>
      <c r="L83" s="16">
        <f>'БА в тыс. руб.'!H83*1000</f>
        <v>7901670</v>
      </c>
      <c r="M83" s="169">
        <f t="shared" si="54"/>
        <v>0</v>
      </c>
      <c r="N83" s="16">
        <f>'БА в тыс. руб.'!I83*1000</f>
        <v>7901670</v>
      </c>
      <c r="O83" s="169">
        <f t="shared" si="55"/>
        <v>0</v>
      </c>
      <c r="S83" s="83"/>
      <c r="T83" s="83"/>
      <c r="U83" s="83"/>
    </row>
    <row r="84" spans="1:21" s="3" customFormat="1">
      <c r="A84" s="11" t="s">
        <v>97</v>
      </c>
      <c r="B84" s="35" t="s">
        <v>55</v>
      </c>
      <c r="C84" s="36" t="s">
        <v>65</v>
      </c>
      <c r="D84" s="36" t="s">
        <v>37</v>
      </c>
      <c r="E84" s="36" t="s">
        <v>208</v>
      </c>
      <c r="F84" s="26" t="s">
        <v>118</v>
      </c>
      <c r="G84" s="27">
        <f>G85</f>
        <v>24000</v>
      </c>
      <c r="H84" s="27">
        <f t="shared" ref="H84:I84" si="69">H85</f>
        <v>24000</v>
      </c>
      <c r="I84" s="27">
        <f t="shared" si="69"/>
        <v>24000</v>
      </c>
      <c r="J84" s="16">
        <f>'БА в тыс. руб.'!G84*1000</f>
        <v>24000</v>
      </c>
      <c r="K84" s="169">
        <f t="shared" si="53"/>
        <v>0</v>
      </c>
      <c r="L84" s="16">
        <f>'БА в тыс. руб.'!H84*1000</f>
        <v>24000</v>
      </c>
      <c r="M84" s="169">
        <f t="shared" si="54"/>
        <v>0</v>
      </c>
      <c r="N84" s="16">
        <f>'БА в тыс. руб.'!I84*1000</f>
        <v>24000</v>
      </c>
      <c r="O84" s="169">
        <f t="shared" si="55"/>
        <v>0</v>
      </c>
      <c r="S84" s="30"/>
      <c r="T84" s="30"/>
      <c r="U84" s="30"/>
    </row>
    <row r="85" spans="1:21" s="4" customFormat="1">
      <c r="A85" s="12" t="s">
        <v>1037</v>
      </c>
      <c r="B85" s="35" t="s">
        <v>55</v>
      </c>
      <c r="C85" s="36" t="s">
        <v>65</v>
      </c>
      <c r="D85" s="36" t="s">
        <v>37</v>
      </c>
      <c r="E85" s="36" t="s">
        <v>208</v>
      </c>
      <c r="F85" s="26" t="s">
        <v>1062</v>
      </c>
      <c r="G85" s="27">
        <f t="shared" ref="G85" si="70">J85</f>
        <v>24000</v>
      </c>
      <c r="H85" s="27">
        <f>L85</f>
        <v>24000</v>
      </c>
      <c r="I85" s="27">
        <f>N85</f>
        <v>24000</v>
      </c>
      <c r="J85" s="16">
        <f>'БА в тыс. руб.'!G85*1000</f>
        <v>24000</v>
      </c>
      <c r="K85" s="169">
        <f t="shared" si="53"/>
        <v>0</v>
      </c>
      <c r="L85" s="16">
        <f>'БА в тыс. руб.'!H85*1000</f>
        <v>24000</v>
      </c>
      <c r="M85" s="169">
        <f t="shared" si="54"/>
        <v>0</v>
      </c>
      <c r="N85" s="16">
        <f>'БА в тыс. руб.'!I85*1000</f>
        <v>24000</v>
      </c>
      <c r="O85" s="169">
        <f t="shared" si="55"/>
        <v>0</v>
      </c>
      <c r="S85" s="83"/>
      <c r="T85" s="83"/>
      <c r="U85" s="83"/>
    </row>
    <row r="86" spans="1:21" s="3" customFormat="1" ht="25.5">
      <c r="A86" s="34" t="s">
        <v>126</v>
      </c>
      <c r="B86" s="25" t="s">
        <v>55</v>
      </c>
      <c r="C86" s="26" t="s">
        <v>65</v>
      </c>
      <c r="D86" s="26" t="s">
        <v>37</v>
      </c>
      <c r="E86" s="26" t="s">
        <v>209</v>
      </c>
      <c r="F86" s="36" t="s">
        <v>58</v>
      </c>
      <c r="G86" s="27">
        <f>G87</f>
        <v>94314410</v>
      </c>
      <c r="H86" s="27">
        <f t="shared" ref="H86:I86" si="71">H87</f>
        <v>94314410</v>
      </c>
      <c r="I86" s="27">
        <f t="shared" si="71"/>
        <v>94314410</v>
      </c>
      <c r="J86" s="16">
        <f>'БА в тыс. руб.'!G86*1000</f>
        <v>94314410</v>
      </c>
      <c r="K86" s="169">
        <f t="shared" si="53"/>
        <v>0</v>
      </c>
      <c r="L86" s="16">
        <f>'БА в тыс. руб.'!H86*1000</f>
        <v>94314410</v>
      </c>
      <c r="M86" s="169">
        <f t="shared" si="54"/>
        <v>0</v>
      </c>
      <c r="N86" s="16">
        <f>'БА в тыс. руб.'!I86*1000</f>
        <v>94314410</v>
      </c>
      <c r="O86" s="169">
        <f t="shared" si="55"/>
        <v>0</v>
      </c>
      <c r="S86" s="30"/>
      <c r="T86" s="30"/>
      <c r="U86" s="30"/>
    </row>
    <row r="87" spans="1:21" s="3" customFormat="1" ht="25.5">
      <c r="A87" s="12" t="s">
        <v>107</v>
      </c>
      <c r="B87" s="25" t="s">
        <v>55</v>
      </c>
      <c r="C87" s="26" t="s">
        <v>65</v>
      </c>
      <c r="D87" s="26" t="s">
        <v>37</v>
      </c>
      <c r="E87" s="26" t="s">
        <v>209</v>
      </c>
      <c r="F87" s="36" t="s">
        <v>115</v>
      </c>
      <c r="G87" s="27">
        <f>SUM(G88:G89)</f>
        <v>94314410</v>
      </c>
      <c r="H87" s="27">
        <f t="shared" ref="H87:I87" si="72">SUM(H88:H89)</f>
        <v>94314410</v>
      </c>
      <c r="I87" s="27">
        <f t="shared" si="72"/>
        <v>94314410</v>
      </c>
      <c r="J87" s="16">
        <f>'БА в тыс. руб.'!G87*1000</f>
        <v>94314410</v>
      </c>
      <c r="K87" s="169">
        <f t="shared" si="53"/>
        <v>0</v>
      </c>
      <c r="L87" s="16">
        <f>'БА в тыс. руб.'!H87*1000</f>
        <v>94314410</v>
      </c>
      <c r="M87" s="169">
        <f t="shared" si="54"/>
        <v>0</v>
      </c>
      <c r="N87" s="16">
        <f>'БА в тыс. руб.'!I87*1000</f>
        <v>94314410</v>
      </c>
      <c r="O87" s="169">
        <f t="shared" si="55"/>
        <v>0</v>
      </c>
      <c r="S87" s="30"/>
      <c r="T87" s="30"/>
      <c r="U87" s="30"/>
    </row>
    <row r="88" spans="1:21" s="4" customFormat="1">
      <c r="A88" s="12" t="s">
        <v>936</v>
      </c>
      <c r="B88" s="25" t="s">
        <v>55</v>
      </c>
      <c r="C88" s="26" t="s">
        <v>65</v>
      </c>
      <c r="D88" s="26" t="s">
        <v>37</v>
      </c>
      <c r="E88" s="26" t="s">
        <v>209</v>
      </c>
      <c r="F88" s="26" t="s">
        <v>1063</v>
      </c>
      <c r="G88" s="27">
        <f t="shared" ref="G88:G89" si="73">J88</f>
        <v>72438120</v>
      </c>
      <c r="H88" s="27">
        <f t="shared" ref="H88:H89" si="74">L88</f>
        <v>72438120</v>
      </c>
      <c r="I88" s="27">
        <f t="shared" ref="I88:I89" si="75">N88</f>
        <v>72438120</v>
      </c>
      <c r="J88" s="16">
        <f>'БА в тыс. руб.'!G88*1000</f>
        <v>72438120</v>
      </c>
      <c r="K88" s="169">
        <f t="shared" si="53"/>
        <v>0</v>
      </c>
      <c r="L88" s="16">
        <f>'БА в тыс. руб.'!H88*1000</f>
        <v>72438120</v>
      </c>
      <c r="M88" s="169">
        <f t="shared" si="54"/>
        <v>0</v>
      </c>
      <c r="N88" s="16">
        <f>'БА в тыс. руб.'!I88*1000</f>
        <v>72438120</v>
      </c>
      <c r="O88" s="169">
        <f t="shared" si="55"/>
        <v>0</v>
      </c>
      <c r="S88" s="83"/>
      <c r="T88" s="83"/>
      <c r="U88" s="83"/>
    </row>
    <row r="89" spans="1:21" s="4" customFormat="1" ht="38.25">
      <c r="A89" s="12" t="s">
        <v>939</v>
      </c>
      <c r="B89" s="25" t="s">
        <v>55</v>
      </c>
      <c r="C89" s="26" t="s">
        <v>65</v>
      </c>
      <c r="D89" s="26" t="s">
        <v>37</v>
      </c>
      <c r="E89" s="26" t="s">
        <v>209</v>
      </c>
      <c r="F89" s="26" t="s">
        <v>1060</v>
      </c>
      <c r="G89" s="27">
        <f t="shared" si="73"/>
        <v>21876290</v>
      </c>
      <c r="H89" s="27">
        <f t="shared" si="74"/>
        <v>21876290</v>
      </c>
      <c r="I89" s="27">
        <f t="shared" si="75"/>
        <v>21876290</v>
      </c>
      <c r="J89" s="16">
        <f>'БА в тыс. руб.'!G89*1000</f>
        <v>21876290</v>
      </c>
      <c r="K89" s="169">
        <f t="shared" si="53"/>
        <v>0</v>
      </c>
      <c r="L89" s="16">
        <f>'БА в тыс. руб.'!H89*1000</f>
        <v>21876290</v>
      </c>
      <c r="M89" s="169">
        <f t="shared" si="54"/>
        <v>0</v>
      </c>
      <c r="N89" s="16">
        <f>'БА в тыс. руб.'!I89*1000</f>
        <v>21876290</v>
      </c>
      <c r="O89" s="169">
        <f t="shared" si="55"/>
        <v>0</v>
      </c>
      <c r="S89" s="83"/>
      <c r="T89" s="83"/>
      <c r="U89" s="83"/>
    </row>
    <row r="90" spans="1:21" s="3" customFormat="1" ht="51">
      <c r="A90" s="34" t="s">
        <v>870</v>
      </c>
      <c r="B90" s="25" t="s">
        <v>55</v>
      </c>
      <c r="C90" s="26" t="s">
        <v>65</v>
      </c>
      <c r="D90" s="26" t="s">
        <v>37</v>
      </c>
      <c r="E90" s="26" t="s">
        <v>210</v>
      </c>
      <c r="F90" s="36" t="s">
        <v>58</v>
      </c>
      <c r="G90" s="27">
        <f>G91</f>
        <v>51730</v>
      </c>
      <c r="H90" s="27">
        <f>H91</f>
        <v>51730</v>
      </c>
      <c r="I90" s="27">
        <f>I91</f>
        <v>51730</v>
      </c>
      <c r="J90" s="16">
        <f>'БА в тыс. руб.'!G90*1000</f>
        <v>51730</v>
      </c>
      <c r="K90" s="169">
        <f t="shared" si="53"/>
        <v>0</v>
      </c>
      <c r="L90" s="16">
        <f>'БА в тыс. руб.'!H90*1000</f>
        <v>51730</v>
      </c>
      <c r="M90" s="169">
        <f t="shared" si="54"/>
        <v>0</v>
      </c>
      <c r="N90" s="16">
        <f>'БА в тыс. руб.'!I90*1000</f>
        <v>51730</v>
      </c>
      <c r="O90" s="169">
        <f t="shared" si="55"/>
        <v>0</v>
      </c>
      <c r="S90" s="30"/>
      <c r="T90" s="30"/>
      <c r="U90" s="30"/>
    </row>
    <row r="91" spans="1:21" s="3" customFormat="1" ht="25.5">
      <c r="A91" s="11" t="s">
        <v>108</v>
      </c>
      <c r="B91" s="25" t="s">
        <v>55</v>
      </c>
      <c r="C91" s="26" t="s">
        <v>65</v>
      </c>
      <c r="D91" s="26" t="s">
        <v>37</v>
      </c>
      <c r="E91" s="26" t="s">
        <v>210</v>
      </c>
      <c r="F91" s="26" t="s">
        <v>116</v>
      </c>
      <c r="G91" s="27">
        <f>G92</f>
        <v>51730</v>
      </c>
      <c r="H91" s="27">
        <f t="shared" ref="H91:I91" si="76">H92</f>
        <v>51730</v>
      </c>
      <c r="I91" s="27">
        <f t="shared" si="76"/>
        <v>51730</v>
      </c>
      <c r="J91" s="16">
        <f>'БА в тыс. руб.'!G91*1000</f>
        <v>51730</v>
      </c>
      <c r="K91" s="169">
        <f t="shared" si="53"/>
        <v>0</v>
      </c>
      <c r="L91" s="16">
        <f>'БА в тыс. руб.'!H91*1000</f>
        <v>51730</v>
      </c>
      <c r="M91" s="169">
        <f t="shared" si="54"/>
        <v>0</v>
      </c>
      <c r="N91" s="16">
        <f>'БА в тыс. руб.'!I91*1000</f>
        <v>51730</v>
      </c>
      <c r="O91" s="169">
        <f t="shared" si="55"/>
        <v>0</v>
      </c>
      <c r="S91" s="30"/>
      <c r="T91" s="30"/>
      <c r="U91" s="30"/>
    </row>
    <row r="92" spans="1:21" s="4" customFormat="1" ht="25.5">
      <c r="A92" s="12" t="s">
        <v>973</v>
      </c>
      <c r="B92" s="25" t="s">
        <v>55</v>
      </c>
      <c r="C92" s="26" t="s">
        <v>65</v>
      </c>
      <c r="D92" s="26" t="s">
        <v>37</v>
      </c>
      <c r="E92" s="26" t="s">
        <v>210</v>
      </c>
      <c r="F92" s="26" t="s">
        <v>1043</v>
      </c>
      <c r="G92" s="27">
        <f t="shared" ref="G92" si="77">J92</f>
        <v>51730</v>
      </c>
      <c r="H92" s="27">
        <f>L92</f>
        <v>51730</v>
      </c>
      <c r="I92" s="27">
        <f>N92</f>
        <v>51730</v>
      </c>
      <c r="J92" s="16">
        <f>'БА в тыс. руб.'!G92*1000</f>
        <v>51730</v>
      </c>
      <c r="K92" s="169">
        <f t="shared" si="53"/>
        <v>0</v>
      </c>
      <c r="L92" s="16">
        <f>'БА в тыс. руб.'!H92*1000</f>
        <v>51730</v>
      </c>
      <c r="M92" s="169">
        <f t="shared" si="54"/>
        <v>0</v>
      </c>
      <c r="N92" s="16">
        <f>'БА в тыс. руб.'!I92*1000</f>
        <v>51730</v>
      </c>
      <c r="O92" s="169">
        <f t="shared" si="55"/>
        <v>0</v>
      </c>
      <c r="S92" s="83"/>
      <c r="T92" s="83"/>
      <c r="U92" s="83"/>
    </row>
    <row r="93" spans="1:21" s="3" customFormat="1" ht="51">
      <c r="A93" s="11" t="s">
        <v>597</v>
      </c>
      <c r="B93" s="35" t="s">
        <v>55</v>
      </c>
      <c r="C93" s="36" t="s">
        <v>65</v>
      </c>
      <c r="D93" s="36" t="s">
        <v>37</v>
      </c>
      <c r="E93" s="36" t="s">
        <v>211</v>
      </c>
      <c r="F93" s="36" t="s">
        <v>58</v>
      </c>
      <c r="G93" s="27">
        <f>G94+G97</f>
        <v>1162640</v>
      </c>
      <c r="H93" s="27">
        <f t="shared" ref="H93:I93" si="78">H94+H97</f>
        <v>1162640</v>
      </c>
      <c r="I93" s="27">
        <f t="shared" si="78"/>
        <v>1162640</v>
      </c>
      <c r="J93" s="16">
        <f>'БА в тыс. руб.'!G93*1000</f>
        <v>1162640</v>
      </c>
      <c r="K93" s="169">
        <f t="shared" si="53"/>
        <v>0</v>
      </c>
      <c r="L93" s="16">
        <f>'БА в тыс. руб.'!H93*1000</f>
        <v>1162640</v>
      </c>
      <c r="M93" s="169">
        <f t="shared" si="54"/>
        <v>0</v>
      </c>
      <c r="N93" s="16">
        <f>'БА в тыс. руб.'!I93*1000</f>
        <v>1162640</v>
      </c>
      <c r="O93" s="169">
        <f t="shared" si="55"/>
        <v>0</v>
      </c>
      <c r="S93" s="30"/>
      <c r="T93" s="30"/>
      <c r="U93" s="30"/>
    </row>
    <row r="94" spans="1:21" s="3" customFormat="1" ht="25.5">
      <c r="A94" s="12" t="s">
        <v>107</v>
      </c>
      <c r="B94" s="35" t="s">
        <v>55</v>
      </c>
      <c r="C94" s="36" t="s">
        <v>65</v>
      </c>
      <c r="D94" s="36" t="s">
        <v>37</v>
      </c>
      <c r="E94" s="36" t="s">
        <v>211</v>
      </c>
      <c r="F94" s="36" t="s">
        <v>115</v>
      </c>
      <c r="G94" s="27">
        <f>SUM(G95:G96)</f>
        <v>855700</v>
      </c>
      <c r="H94" s="27">
        <f t="shared" ref="H94:I94" si="79">SUM(H95:H96)</f>
        <v>855700</v>
      </c>
      <c r="I94" s="27">
        <f t="shared" si="79"/>
        <v>855700</v>
      </c>
      <c r="J94" s="16">
        <f>'БА в тыс. руб.'!G94*1000</f>
        <v>855700</v>
      </c>
      <c r="K94" s="169">
        <f t="shared" si="53"/>
        <v>0</v>
      </c>
      <c r="L94" s="16">
        <f>'БА в тыс. руб.'!H94*1000</f>
        <v>855700</v>
      </c>
      <c r="M94" s="169">
        <f t="shared" si="54"/>
        <v>0</v>
      </c>
      <c r="N94" s="16">
        <f>'БА в тыс. руб.'!I94*1000</f>
        <v>855700</v>
      </c>
      <c r="O94" s="169">
        <f t="shared" si="55"/>
        <v>0</v>
      </c>
      <c r="S94" s="30"/>
      <c r="T94" s="30"/>
      <c r="U94" s="30"/>
    </row>
    <row r="95" spans="1:21" s="4" customFormat="1">
      <c r="A95" s="12" t="s">
        <v>936</v>
      </c>
      <c r="B95" s="35" t="s">
        <v>55</v>
      </c>
      <c r="C95" s="36" t="s">
        <v>65</v>
      </c>
      <c r="D95" s="36" t="s">
        <v>37</v>
      </c>
      <c r="E95" s="36" t="s">
        <v>211</v>
      </c>
      <c r="F95" s="26" t="s">
        <v>1063</v>
      </c>
      <c r="G95" s="27">
        <f t="shared" ref="G95:G96" si="80">J95</f>
        <v>657220</v>
      </c>
      <c r="H95" s="27">
        <f t="shared" ref="H95:H96" si="81">L95</f>
        <v>657220</v>
      </c>
      <c r="I95" s="27">
        <f t="shared" ref="I95:I96" si="82">N95</f>
        <v>657220</v>
      </c>
      <c r="J95" s="16">
        <f>'БА в тыс. руб.'!G95*1000</f>
        <v>657220</v>
      </c>
      <c r="K95" s="169">
        <f t="shared" si="53"/>
        <v>0</v>
      </c>
      <c r="L95" s="16">
        <f>'БА в тыс. руб.'!H95*1000</f>
        <v>657220</v>
      </c>
      <c r="M95" s="169">
        <f t="shared" si="54"/>
        <v>0</v>
      </c>
      <c r="N95" s="16">
        <f>'БА в тыс. руб.'!I95*1000</f>
        <v>657220</v>
      </c>
      <c r="O95" s="169">
        <f t="shared" si="55"/>
        <v>0</v>
      </c>
      <c r="S95" s="83"/>
      <c r="T95" s="83"/>
      <c r="U95" s="83"/>
    </row>
    <row r="96" spans="1:21" s="4" customFormat="1" ht="38.25">
      <c r="A96" s="12" t="s">
        <v>939</v>
      </c>
      <c r="B96" s="35" t="s">
        <v>55</v>
      </c>
      <c r="C96" s="36" t="s">
        <v>65</v>
      </c>
      <c r="D96" s="36" t="s">
        <v>37</v>
      </c>
      <c r="E96" s="36" t="s">
        <v>211</v>
      </c>
      <c r="F96" s="26" t="s">
        <v>1060</v>
      </c>
      <c r="G96" s="27">
        <f t="shared" si="80"/>
        <v>198480</v>
      </c>
      <c r="H96" s="27">
        <f t="shared" si="81"/>
        <v>198480</v>
      </c>
      <c r="I96" s="27">
        <f t="shared" si="82"/>
        <v>198480</v>
      </c>
      <c r="J96" s="16">
        <f>'БА в тыс. руб.'!G96*1000</f>
        <v>198480</v>
      </c>
      <c r="K96" s="169">
        <f t="shared" si="53"/>
        <v>0</v>
      </c>
      <c r="L96" s="16">
        <f>'БА в тыс. руб.'!H96*1000</f>
        <v>198480</v>
      </c>
      <c r="M96" s="169">
        <f t="shared" si="54"/>
        <v>0</v>
      </c>
      <c r="N96" s="16">
        <f>'БА в тыс. руб.'!I96*1000</f>
        <v>198480</v>
      </c>
      <c r="O96" s="169">
        <f t="shared" si="55"/>
        <v>0</v>
      </c>
      <c r="S96" s="83"/>
      <c r="T96" s="83"/>
      <c r="U96" s="83"/>
    </row>
    <row r="97" spans="1:21" s="3" customFormat="1" ht="25.5">
      <c r="A97" s="11" t="s">
        <v>108</v>
      </c>
      <c r="B97" s="35" t="s">
        <v>55</v>
      </c>
      <c r="C97" s="36" t="s">
        <v>65</v>
      </c>
      <c r="D97" s="36" t="s">
        <v>37</v>
      </c>
      <c r="E97" s="36" t="s">
        <v>211</v>
      </c>
      <c r="F97" s="36" t="s">
        <v>116</v>
      </c>
      <c r="G97" s="27">
        <f>G98</f>
        <v>306940</v>
      </c>
      <c r="H97" s="27">
        <f t="shared" ref="H97:I97" si="83">H98</f>
        <v>306940</v>
      </c>
      <c r="I97" s="27">
        <f t="shared" si="83"/>
        <v>306940</v>
      </c>
      <c r="J97" s="16">
        <f>'БА в тыс. руб.'!G97*1000</f>
        <v>306940</v>
      </c>
      <c r="K97" s="169">
        <f t="shared" si="53"/>
        <v>0</v>
      </c>
      <c r="L97" s="16">
        <f>'БА в тыс. руб.'!H97*1000</f>
        <v>306940</v>
      </c>
      <c r="M97" s="169">
        <f t="shared" si="54"/>
        <v>0</v>
      </c>
      <c r="N97" s="16">
        <f>'БА в тыс. руб.'!I97*1000</f>
        <v>306940</v>
      </c>
      <c r="O97" s="169">
        <f t="shared" si="55"/>
        <v>0</v>
      </c>
      <c r="S97" s="30"/>
      <c r="T97" s="30"/>
      <c r="U97" s="30"/>
    </row>
    <row r="98" spans="1:21" s="3" customFormat="1" ht="25.5">
      <c r="A98" s="12" t="s">
        <v>973</v>
      </c>
      <c r="B98" s="35" t="s">
        <v>55</v>
      </c>
      <c r="C98" s="36" t="s">
        <v>65</v>
      </c>
      <c r="D98" s="36" t="s">
        <v>37</v>
      </c>
      <c r="E98" s="36" t="s">
        <v>211</v>
      </c>
      <c r="F98" s="36" t="s">
        <v>1043</v>
      </c>
      <c r="G98" s="27">
        <f t="shared" ref="G98" si="84">J98</f>
        <v>306940</v>
      </c>
      <c r="H98" s="27">
        <f>L98</f>
        <v>306940</v>
      </c>
      <c r="I98" s="27">
        <f>N98</f>
        <v>306940</v>
      </c>
      <c r="J98" s="16">
        <f>'БА в тыс. руб.'!G98*1000</f>
        <v>306940</v>
      </c>
      <c r="K98" s="169">
        <f t="shared" si="53"/>
        <v>0</v>
      </c>
      <c r="L98" s="16">
        <f>'БА в тыс. руб.'!H98*1000</f>
        <v>306940</v>
      </c>
      <c r="M98" s="169">
        <f t="shared" si="54"/>
        <v>0</v>
      </c>
      <c r="N98" s="16">
        <f>'БА в тыс. руб.'!I98*1000</f>
        <v>306940</v>
      </c>
      <c r="O98" s="169">
        <f t="shared" si="55"/>
        <v>0</v>
      </c>
      <c r="S98" s="30"/>
      <c r="T98" s="30"/>
      <c r="U98" s="30"/>
    </row>
    <row r="99" spans="1:21" s="3" customFormat="1" ht="38.25">
      <c r="A99" s="34" t="s">
        <v>596</v>
      </c>
      <c r="B99" s="35" t="s">
        <v>55</v>
      </c>
      <c r="C99" s="36" t="s">
        <v>65</v>
      </c>
      <c r="D99" s="36" t="s">
        <v>37</v>
      </c>
      <c r="E99" s="36" t="s">
        <v>212</v>
      </c>
      <c r="F99" s="36" t="s">
        <v>58</v>
      </c>
      <c r="G99" s="37">
        <f>G100</f>
        <v>9000</v>
      </c>
      <c r="H99" s="37">
        <f>H100</f>
        <v>9000</v>
      </c>
      <c r="I99" s="37">
        <f>I100</f>
        <v>9000</v>
      </c>
      <c r="J99" s="16">
        <f>'БА в тыс. руб.'!G99*1000</f>
        <v>9000</v>
      </c>
      <c r="K99" s="169">
        <f t="shared" si="53"/>
        <v>0</v>
      </c>
      <c r="L99" s="16">
        <f>'БА в тыс. руб.'!H99*1000</f>
        <v>9000</v>
      </c>
      <c r="M99" s="169">
        <f t="shared" si="54"/>
        <v>0</v>
      </c>
      <c r="N99" s="16">
        <f>'БА в тыс. руб.'!I99*1000</f>
        <v>9000</v>
      </c>
      <c r="O99" s="169">
        <f t="shared" si="55"/>
        <v>0</v>
      </c>
      <c r="S99" s="30"/>
      <c r="T99" s="30"/>
      <c r="U99" s="30"/>
    </row>
    <row r="100" spans="1:21" s="3" customFormat="1" ht="25.5">
      <c r="A100" s="11" t="s">
        <v>108</v>
      </c>
      <c r="B100" s="35" t="s">
        <v>55</v>
      </c>
      <c r="C100" s="36" t="s">
        <v>65</v>
      </c>
      <c r="D100" s="36" t="s">
        <v>37</v>
      </c>
      <c r="E100" s="36" t="s">
        <v>212</v>
      </c>
      <c r="F100" s="36" t="s">
        <v>116</v>
      </c>
      <c r="G100" s="27">
        <f>G101</f>
        <v>9000</v>
      </c>
      <c r="H100" s="27">
        <f t="shared" ref="H100:I100" si="85">H101</f>
        <v>9000</v>
      </c>
      <c r="I100" s="27">
        <f t="shared" si="85"/>
        <v>9000</v>
      </c>
      <c r="J100" s="16">
        <f>'БА в тыс. руб.'!G100*1000</f>
        <v>9000</v>
      </c>
      <c r="K100" s="169">
        <f t="shared" si="53"/>
        <v>0</v>
      </c>
      <c r="L100" s="16">
        <f>'БА в тыс. руб.'!H100*1000</f>
        <v>9000</v>
      </c>
      <c r="M100" s="169">
        <f t="shared" si="54"/>
        <v>0</v>
      </c>
      <c r="N100" s="16">
        <f>'БА в тыс. руб.'!I100*1000</f>
        <v>9000</v>
      </c>
      <c r="O100" s="169">
        <f t="shared" si="55"/>
        <v>0</v>
      </c>
      <c r="S100" s="30"/>
      <c r="T100" s="30"/>
      <c r="U100" s="30"/>
    </row>
    <row r="101" spans="1:21" s="4" customFormat="1" ht="25.5">
      <c r="A101" s="12" t="s">
        <v>973</v>
      </c>
      <c r="B101" s="35" t="s">
        <v>55</v>
      </c>
      <c r="C101" s="36" t="s">
        <v>65</v>
      </c>
      <c r="D101" s="36" t="s">
        <v>37</v>
      </c>
      <c r="E101" s="36" t="s">
        <v>212</v>
      </c>
      <c r="F101" s="36" t="s">
        <v>1043</v>
      </c>
      <c r="G101" s="27">
        <f t="shared" ref="G101" si="86">J101</f>
        <v>9000</v>
      </c>
      <c r="H101" s="27">
        <f>L101</f>
        <v>9000</v>
      </c>
      <c r="I101" s="27">
        <f>N101</f>
        <v>9000</v>
      </c>
      <c r="J101" s="16">
        <f>'БА в тыс. руб.'!G101*1000</f>
        <v>9000</v>
      </c>
      <c r="K101" s="169">
        <f t="shared" si="53"/>
        <v>0</v>
      </c>
      <c r="L101" s="16">
        <f>'БА в тыс. руб.'!H101*1000</f>
        <v>9000</v>
      </c>
      <c r="M101" s="169">
        <f t="shared" si="54"/>
        <v>0</v>
      </c>
      <c r="N101" s="16">
        <f>'БА в тыс. руб.'!I101*1000</f>
        <v>9000</v>
      </c>
      <c r="O101" s="169">
        <f t="shared" si="55"/>
        <v>0</v>
      </c>
      <c r="S101" s="83"/>
      <c r="T101" s="83"/>
      <c r="U101" s="83"/>
    </row>
    <row r="102" spans="1:21" s="3" customFormat="1">
      <c r="A102" s="21" t="s">
        <v>57</v>
      </c>
      <c r="B102" s="22" t="s">
        <v>55</v>
      </c>
      <c r="C102" s="23" t="s">
        <v>65</v>
      </c>
      <c r="D102" s="23" t="s">
        <v>8</v>
      </c>
      <c r="E102" s="23" t="s">
        <v>196</v>
      </c>
      <c r="F102" s="23" t="s">
        <v>58</v>
      </c>
      <c r="G102" s="24">
        <f>G103</f>
        <v>136800</v>
      </c>
      <c r="H102" s="24">
        <f>H103</f>
        <v>136800</v>
      </c>
      <c r="I102" s="24">
        <f>I103</f>
        <v>136800</v>
      </c>
      <c r="J102" s="16">
        <f>'БА в тыс. руб.'!G102*1000</f>
        <v>136800</v>
      </c>
      <c r="K102" s="169">
        <f t="shared" si="53"/>
        <v>0</v>
      </c>
      <c r="L102" s="16">
        <f>'БА в тыс. руб.'!H102*1000</f>
        <v>136800</v>
      </c>
      <c r="M102" s="169">
        <f t="shared" si="54"/>
        <v>0</v>
      </c>
      <c r="N102" s="16">
        <f>'БА в тыс. руб.'!I102*1000</f>
        <v>136800</v>
      </c>
      <c r="O102" s="169">
        <f t="shared" si="55"/>
        <v>0</v>
      </c>
      <c r="S102" s="30"/>
      <c r="T102" s="30"/>
      <c r="U102" s="30"/>
    </row>
    <row r="103" spans="1:21" s="3" customFormat="1" ht="38.25">
      <c r="A103" s="11" t="s">
        <v>683</v>
      </c>
      <c r="B103" s="25" t="s">
        <v>55</v>
      </c>
      <c r="C103" s="26" t="s">
        <v>65</v>
      </c>
      <c r="D103" s="36" t="s">
        <v>8</v>
      </c>
      <c r="E103" s="26" t="s">
        <v>680</v>
      </c>
      <c r="F103" s="26" t="s">
        <v>58</v>
      </c>
      <c r="G103" s="27">
        <f t="shared" ref="G103:I106" si="87">G104</f>
        <v>136800</v>
      </c>
      <c r="H103" s="27">
        <f t="shared" si="87"/>
        <v>136800</v>
      </c>
      <c r="I103" s="27">
        <f t="shared" si="87"/>
        <v>136800</v>
      </c>
      <c r="J103" s="16">
        <f>'БА в тыс. руб.'!G103*1000</f>
        <v>136800</v>
      </c>
      <c r="K103" s="169">
        <f t="shared" si="53"/>
        <v>0</v>
      </c>
      <c r="L103" s="16">
        <f>'БА в тыс. руб.'!H103*1000</f>
        <v>136800</v>
      </c>
      <c r="M103" s="169">
        <f t="shared" si="54"/>
        <v>0</v>
      </c>
      <c r="N103" s="16">
        <f>'БА в тыс. руб.'!I103*1000</f>
        <v>136800</v>
      </c>
      <c r="O103" s="169">
        <f t="shared" si="55"/>
        <v>0</v>
      </c>
      <c r="S103" s="30"/>
      <c r="T103" s="30"/>
      <c r="U103" s="30"/>
    </row>
    <row r="104" spans="1:21" s="3" customFormat="1">
      <c r="A104" s="11" t="s">
        <v>684</v>
      </c>
      <c r="B104" s="25" t="s">
        <v>55</v>
      </c>
      <c r="C104" s="26" t="s">
        <v>65</v>
      </c>
      <c r="D104" s="36" t="s">
        <v>8</v>
      </c>
      <c r="E104" s="26" t="s">
        <v>681</v>
      </c>
      <c r="F104" s="26" t="s">
        <v>58</v>
      </c>
      <c r="G104" s="27">
        <f t="shared" si="87"/>
        <v>136800</v>
      </c>
      <c r="H104" s="27">
        <f t="shared" si="87"/>
        <v>136800</v>
      </c>
      <c r="I104" s="27">
        <f t="shared" si="87"/>
        <v>136800</v>
      </c>
      <c r="J104" s="16">
        <f>'БА в тыс. руб.'!G104*1000</f>
        <v>136800</v>
      </c>
      <c r="K104" s="169">
        <f t="shared" si="53"/>
        <v>0</v>
      </c>
      <c r="L104" s="16">
        <f>'БА в тыс. руб.'!H104*1000</f>
        <v>136800</v>
      </c>
      <c r="M104" s="169">
        <f t="shared" si="54"/>
        <v>0</v>
      </c>
      <c r="N104" s="16">
        <f>'БА в тыс. руб.'!I104*1000</f>
        <v>136800</v>
      </c>
      <c r="O104" s="169">
        <f t="shared" si="55"/>
        <v>0</v>
      </c>
      <c r="S104" s="30"/>
      <c r="T104" s="30"/>
      <c r="U104" s="30"/>
    </row>
    <row r="105" spans="1:21" s="3" customFormat="1" ht="38.25">
      <c r="A105" s="34" t="s">
        <v>903</v>
      </c>
      <c r="B105" s="35" t="s">
        <v>55</v>
      </c>
      <c r="C105" s="36" t="s">
        <v>65</v>
      </c>
      <c r="D105" s="36" t="s">
        <v>8</v>
      </c>
      <c r="E105" s="36" t="s">
        <v>682</v>
      </c>
      <c r="F105" s="36" t="s">
        <v>58</v>
      </c>
      <c r="G105" s="37">
        <f t="shared" si="87"/>
        <v>136800</v>
      </c>
      <c r="H105" s="37">
        <f t="shared" si="87"/>
        <v>136800</v>
      </c>
      <c r="I105" s="37">
        <f t="shared" si="87"/>
        <v>136800</v>
      </c>
      <c r="J105" s="16">
        <f>'БА в тыс. руб.'!G105*1000</f>
        <v>136800</v>
      </c>
      <c r="K105" s="169">
        <f t="shared" si="53"/>
        <v>0</v>
      </c>
      <c r="L105" s="16">
        <f>'БА в тыс. руб.'!H105*1000</f>
        <v>136800</v>
      </c>
      <c r="M105" s="169">
        <f t="shared" si="54"/>
        <v>0</v>
      </c>
      <c r="N105" s="16">
        <f>'БА в тыс. руб.'!I105*1000</f>
        <v>136800</v>
      </c>
      <c r="O105" s="169">
        <f t="shared" si="55"/>
        <v>0</v>
      </c>
      <c r="S105" s="30"/>
      <c r="T105" s="30"/>
      <c r="U105" s="30"/>
    </row>
    <row r="106" spans="1:21" s="3" customFormat="1" ht="25.5">
      <c r="A106" s="11" t="s">
        <v>108</v>
      </c>
      <c r="B106" s="35" t="s">
        <v>55</v>
      </c>
      <c r="C106" s="36" t="s">
        <v>65</v>
      </c>
      <c r="D106" s="36" t="s">
        <v>8</v>
      </c>
      <c r="E106" s="36" t="s">
        <v>682</v>
      </c>
      <c r="F106" s="36" t="s">
        <v>116</v>
      </c>
      <c r="G106" s="27">
        <f>G107</f>
        <v>136800</v>
      </c>
      <c r="H106" s="27">
        <f t="shared" si="87"/>
        <v>136800</v>
      </c>
      <c r="I106" s="27">
        <f t="shared" si="87"/>
        <v>136800</v>
      </c>
      <c r="J106" s="16">
        <f>'БА в тыс. руб.'!G106*1000</f>
        <v>136800</v>
      </c>
      <c r="K106" s="169">
        <f t="shared" si="53"/>
        <v>0</v>
      </c>
      <c r="L106" s="16">
        <f>'БА в тыс. руб.'!H106*1000</f>
        <v>136800</v>
      </c>
      <c r="M106" s="169">
        <f t="shared" si="54"/>
        <v>0</v>
      </c>
      <c r="N106" s="16">
        <f>'БА в тыс. руб.'!I106*1000</f>
        <v>136800</v>
      </c>
      <c r="O106" s="169">
        <f t="shared" si="55"/>
        <v>0</v>
      </c>
      <c r="S106" s="30"/>
      <c r="T106" s="30"/>
      <c r="U106" s="30"/>
    </row>
    <row r="107" spans="1:21" s="4" customFormat="1" ht="25.5">
      <c r="A107" s="12" t="s">
        <v>973</v>
      </c>
      <c r="B107" s="35" t="s">
        <v>55</v>
      </c>
      <c r="C107" s="36" t="s">
        <v>65</v>
      </c>
      <c r="D107" s="36" t="s">
        <v>8</v>
      </c>
      <c r="E107" s="36" t="s">
        <v>682</v>
      </c>
      <c r="F107" s="36" t="s">
        <v>1043</v>
      </c>
      <c r="G107" s="27">
        <f t="shared" ref="G107" si="88">J107</f>
        <v>136800</v>
      </c>
      <c r="H107" s="27">
        <f>L107</f>
        <v>136800</v>
      </c>
      <c r="I107" s="27">
        <f>N107</f>
        <v>136800</v>
      </c>
      <c r="J107" s="16">
        <f>'БА в тыс. руб.'!G107*1000</f>
        <v>136800</v>
      </c>
      <c r="K107" s="169">
        <f t="shared" si="53"/>
        <v>0</v>
      </c>
      <c r="L107" s="16">
        <f>'БА в тыс. руб.'!H107*1000</f>
        <v>136800</v>
      </c>
      <c r="M107" s="169">
        <f t="shared" si="54"/>
        <v>0</v>
      </c>
      <c r="N107" s="16">
        <f>'БА в тыс. руб.'!I107*1000</f>
        <v>136800</v>
      </c>
      <c r="O107" s="169">
        <f t="shared" si="55"/>
        <v>0</v>
      </c>
      <c r="S107" s="83"/>
      <c r="T107" s="83"/>
      <c r="U107" s="83"/>
    </row>
    <row r="108" spans="1:21" s="3" customFormat="1">
      <c r="A108" s="21" t="s">
        <v>38</v>
      </c>
      <c r="B108" s="22" t="s">
        <v>55</v>
      </c>
      <c r="C108" s="23" t="s">
        <v>65</v>
      </c>
      <c r="D108" s="23" t="s">
        <v>84</v>
      </c>
      <c r="E108" s="23" t="s">
        <v>196</v>
      </c>
      <c r="F108" s="23" t="s">
        <v>58</v>
      </c>
      <c r="G108" s="24">
        <f>G109+G118+G124+G158+G187+G193+G206</f>
        <v>132806160</v>
      </c>
      <c r="H108" s="24">
        <f>H109+H118+H124+H158+H187+H193+H206</f>
        <v>123046700</v>
      </c>
      <c r="I108" s="24">
        <f>I109+I118+I124+I158+I187+I193+I206</f>
        <v>123046700</v>
      </c>
      <c r="J108" s="16">
        <f>'БА в тыс. руб.'!G108*1000</f>
        <v>132806159.99999997</v>
      </c>
      <c r="K108" s="169">
        <f t="shared" si="53"/>
        <v>0</v>
      </c>
      <c r="L108" s="16">
        <f>'БА в тыс. руб.'!H108*1000</f>
        <v>123046699.99999999</v>
      </c>
      <c r="M108" s="169">
        <f t="shared" si="54"/>
        <v>0</v>
      </c>
      <c r="N108" s="16">
        <f>'БА в тыс. руб.'!I108*1000</f>
        <v>123046699.99999999</v>
      </c>
      <c r="O108" s="169">
        <f t="shared" si="55"/>
        <v>0</v>
      </c>
      <c r="S108" s="30"/>
      <c r="T108" s="30"/>
      <c r="U108" s="30"/>
    </row>
    <row r="109" spans="1:21" s="3" customFormat="1" ht="25.5">
      <c r="A109" s="34" t="s">
        <v>747</v>
      </c>
      <c r="B109" s="25" t="s">
        <v>55</v>
      </c>
      <c r="C109" s="26" t="s">
        <v>65</v>
      </c>
      <c r="D109" s="26" t="s">
        <v>84</v>
      </c>
      <c r="E109" s="26" t="s">
        <v>215</v>
      </c>
      <c r="F109" s="26" t="s">
        <v>58</v>
      </c>
      <c r="G109" s="27">
        <f t="shared" ref="G109:I110" si="89">G110</f>
        <v>2195000</v>
      </c>
      <c r="H109" s="27">
        <f t="shared" si="89"/>
        <v>1975500</v>
      </c>
      <c r="I109" s="27">
        <f t="shared" si="89"/>
        <v>1975500</v>
      </c>
      <c r="J109" s="16">
        <f>'БА в тыс. руб.'!G109*1000</f>
        <v>2195000</v>
      </c>
      <c r="K109" s="169">
        <f t="shared" si="53"/>
        <v>0</v>
      </c>
      <c r="L109" s="16">
        <f>'БА в тыс. руб.'!H109*1000</f>
        <v>1975500</v>
      </c>
      <c r="M109" s="169">
        <f t="shared" si="54"/>
        <v>0</v>
      </c>
      <c r="N109" s="16">
        <f>'БА в тыс. руб.'!I109*1000</f>
        <v>1975500</v>
      </c>
      <c r="O109" s="169">
        <f t="shared" si="55"/>
        <v>0</v>
      </c>
      <c r="S109" s="30"/>
      <c r="T109" s="30"/>
      <c r="U109" s="30"/>
    </row>
    <row r="110" spans="1:21" s="3" customFormat="1" ht="25.5">
      <c r="A110" s="34" t="s">
        <v>765</v>
      </c>
      <c r="B110" s="25" t="s">
        <v>55</v>
      </c>
      <c r="C110" s="26" t="s">
        <v>65</v>
      </c>
      <c r="D110" s="26" t="s">
        <v>84</v>
      </c>
      <c r="E110" s="26" t="s">
        <v>216</v>
      </c>
      <c r="F110" s="26" t="s">
        <v>58</v>
      </c>
      <c r="G110" s="27">
        <f t="shared" si="89"/>
        <v>2195000</v>
      </c>
      <c r="H110" s="27">
        <f t="shared" si="89"/>
        <v>1975500</v>
      </c>
      <c r="I110" s="27">
        <f t="shared" si="89"/>
        <v>1975500</v>
      </c>
      <c r="J110" s="16">
        <f>'БА в тыс. руб.'!G110*1000</f>
        <v>2195000</v>
      </c>
      <c r="K110" s="169">
        <f t="shared" si="53"/>
        <v>0</v>
      </c>
      <c r="L110" s="16">
        <f>'БА в тыс. руб.'!H110*1000</f>
        <v>1975500</v>
      </c>
      <c r="M110" s="169">
        <f t="shared" si="54"/>
        <v>0</v>
      </c>
      <c r="N110" s="16">
        <f>'БА в тыс. руб.'!I110*1000</f>
        <v>1975500</v>
      </c>
      <c r="O110" s="169">
        <f t="shared" si="55"/>
        <v>0</v>
      </c>
      <c r="S110" s="30"/>
      <c r="T110" s="30"/>
      <c r="U110" s="30"/>
    </row>
    <row r="111" spans="1:21" s="3" customFormat="1" ht="38.25">
      <c r="A111" s="34" t="s">
        <v>845</v>
      </c>
      <c r="B111" s="25" t="s">
        <v>55</v>
      </c>
      <c r="C111" s="26" t="s">
        <v>65</v>
      </c>
      <c r="D111" s="26" t="s">
        <v>84</v>
      </c>
      <c r="E111" s="26" t="s">
        <v>217</v>
      </c>
      <c r="F111" s="26" t="s">
        <v>58</v>
      </c>
      <c r="G111" s="27">
        <f>G112+G115</f>
        <v>2195000</v>
      </c>
      <c r="H111" s="27">
        <f>H112+H115</f>
        <v>1975500</v>
      </c>
      <c r="I111" s="27">
        <f>I112+I115</f>
        <v>1975500</v>
      </c>
      <c r="J111" s="16">
        <f>'БА в тыс. руб.'!G111*1000</f>
        <v>2195000</v>
      </c>
      <c r="K111" s="169">
        <f t="shared" si="53"/>
        <v>0</v>
      </c>
      <c r="L111" s="16">
        <f>'БА в тыс. руб.'!H111*1000</f>
        <v>1975500</v>
      </c>
      <c r="M111" s="169">
        <f t="shared" si="54"/>
        <v>0</v>
      </c>
      <c r="N111" s="16">
        <f>'БА в тыс. руб.'!I111*1000</f>
        <v>1975500</v>
      </c>
      <c r="O111" s="169">
        <f t="shared" si="55"/>
        <v>0</v>
      </c>
      <c r="S111" s="30"/>
      <c r="T111" s="30"/>
      <c r="U111" s="30"/>
    </row>
    <row r="112" spans="1:21" s="3" customFormat="1" ht="38.25">
      <c r="A112" s="34" t="s">
        <v>844</v>
      </c>
      <c r="B112" s="25" t="s">
        <v>55</v>
      </c>
      <c r="C112" s="26" t="s">
        <v>65</v>
      </c>
      <c r="D112" s="26" t="s">
        <v>84</v>
      </c>
      <c r="E112" s="26" t="s">
        <v>218</v>
      </c>
      <c r="F112" s="26" t="s">
        <v>58</v>
      </c>
      <c r="G112" s="27">
        <f>G113</f>
        <v>1405000</v>
      </c>
      <c r="H112" s="27">
        <f>H113</f>
        <v>1185500</v>
      </c>
      <c r="I112" s="27">
        <f>I113</f>
        <v>1185500</v>
      </c>
      <c r="J112" s="16">
        <f>'БА в тыс. руб.'!G112*1000</f>
        <v>1405000</v>
      </c>
      <c r="K112" s="169">
        <f t="shared" si="53"/>
        <v>0</v>
      </c>
      <c r="L112" s="16">
        <f>'БА в тыс. руб.'!H112*1000</f>
        <v>1185500</v>
      </c>
      <c r="M112" s="169">
        <f t="shared" si="54"/>
        <v>0</v>
      </c>
      <c r="N112" s="16">
        <f>'БА в тыс. руб.'!I112*1000</f>
        <v>1185500</v>
      </c>
      <c r="O112" s="169">
        <f t="shared" si="55"/>
        <v>0</v>
      </c>
      <c r="S112" s="30"/>
      <c r="T112" s="30"/>
      <c r="U112" s="30"/>
    </row>
    <row r="113" spans="1:21" s="3" customFormat="1">
      <c r="A113" s="11" t="s">
        <v>97</v>
      </c>
      <c r="B113" s="25" t="s">
        <v>55</v>
      </c>
      <c r="C113" s="26" t="s">
        <v>65</v>
      </c>
      <c r="D113" s="26" t="s">
        <v>84</v>
      </c>
      <c r="E113" s="26" t="s">
        <v>218</v>
      </c>
      <c r="F113" s="26" t="s">
        <v>118</v>
      </c>
      <c r="G113" s="27">
        <f>G114</f>
        <v>1405000</v>
      </c>
      <c r="H113" s="27">
        <f t="shared" ref="H113:I113" si="90">H114</f>
        <v>1185500</v>
      </c>
      <c r="I113" s="27">
        <f t="shared" si="90"/>
        <v>1185500</v>
      </c>
      <c r="J113" s="16">
        <f>'БА в тыс. руб.'!G113*1000</f>
        <v>1405000</v>
      </c>
      <c r="K113" s="169">
        <f t="shared" si="53"/>
        <v>0</v>
      </c>
      <c r="L113" s="16">
        <f>'БА в тыс. руб.'!H113*1000</f>
        <v>1185500</v>
      </c>
      <c r="M113" s="169">
        <f t="shared" si="54"/>
        <v>0</v>
      </c>
      <c r="N113" s="16">
        <f>'БА в тыс. руб.'!I113*1000</f>
        <v>1185500</v>
      </c>
      <c r="O113" s="169">
        <f t="shared" si="55"/>
        <v>0</v>
      </c>
      <c r="S113" s="30"/>
      <c r="T113" s="30"/>
      <c r="U113" s="30"/>
    </row>
    <row r="114" spans="1:21" s="4" customFormat="1">
      <c r="A114" s="12" t="s">
        <v>1038</v>
      </c>
      <c r="B114" s="25" t="s">
        <v>55</v>
      </c>
      <c r="C114" s="26" t="s">
        <v>65</v>
      </c>
      <c r="D114" s="26" t="s">
        <v>84</v>
      </c>
      <c r="E114" s="26" t="s">
        <v>218</v>
      </c>
      <c r="F114" s="26" t="s">
        <v>1066</v>
      </c>
      <c r="G114" s="27">
        <f t="shared" ref="G114" si="91">J114</f>
        <v>1405000</v>
      </c>
      <c r="H114" s="27">
        <f>L114</f>
        <v>1185500</v>
      </c>
      <c r="I114" s="27">
        <f>N114</f>
        <v>1185500</v>
      </c>
      <c r="J114" s="16">
        <f>'БА в тыс. руб.'!G114*1000</f>
        <v>1405000</v>
      </c>
      <c r="K114" s="169">
        <f t="shared" si="53"/>
        <v>0</v>
      </c>
      <c r="L114" s="16">
        <f>'БА в тыс. руб.'!H114*1000</f>
        <v>1185500</v>
      </c>
      <c r="M114" s="169">
        <f t="shared" si="54"/>
        <v>0</v>
      </c>
      <c r="N114" s="16">
        <f>'БА в тыс. руб.'!I114*1000</f>
        <v>1185500</v>
      </c>
      <c r="O114" s="169">
        <f t="shared" si="55"/>
        <v>0</v>
      </c>
      <c r="S114" s="83"/>
      <c r="T114" s="83"/>
      <c r="U114" s="83"/>
    </row>
    <row r="115" spans="1:21" s="3" customFormat="1" ht="63.75">
      <c r="A115" s="34" t="s">
        <v>846</v>
      </c>
      <c r="B115" s="25" t="s">
        <v>55</v>
      </c>
      <c r="C115" s="26" t="s">
        <v>65</v>
      </c>
      <c r="D115" s="26" t="s">
        <v>84</v>
      </c>
      <c r="E115" s="26" t="s">
        <v>219</v>
      </c>
      <c r="F115" s="26" t="s">
        <v>58</v>
      </c>
      <c r="G115" s="27">
        <f>G116</f>
        <v>790000</v>
      </c>
      <c r="H115" s="27">
        <f>H116</f>
        <v>790000</v>
      </c>
      <c r="I115" s="27">
        <f>I116</f>
        <v>790000</v>
      </c>
      <c r="J115" s="16">
        <f>'БА в тыс. руб.'!G115*1000</f>
        <v>790000</v>
      </c>
      <c r="K115" s="169">
        <f t="shared" si="53"/>
        <v>0</v>
      </c>
      <c r="L115" s="16">
        <f>'БА в тыс. руб.'!H115*1000</f>
        <v>790000</v>
      </c>
      <c r="M115" s="169">
        <f t="shared" si="54"/>
        <v>0</v>
      </c>
      <c r="N115" s="16">
        <f>'БА в тыс. руб.'!I115*1000</f>
        <v>790000</v>
      </c>
      <c r="O115" s="169">
        <f t="shared" si="55"/>
        <v>0</v>
      </c>
      <c r="S115" s="30"/>
      <c r="T115" s="30"/>
      <c r="U115" s="30"/>
    </row>
    <row r="116" spans="1:21" s="3" customFormat="1" ht="25.5">
      <c r="A116" s="11" t="s">
        <v>108</v>
      </c>
      <c r="B116" s="25" t="s">
        <v>55</v>
      </c>
      <c r="C116" s="26" t="s">
        <v>65</v>
      </c>
      <c r="D116" s="26" t="s">
        <v>84</v>
      </c>
      <c r="E116" s="26" t="s">
        <v>219</v>
      </c>
      <c r="F116" s="26" t="s">
        <v>116</v>
      </c>
      <c r="G116" s="27">
        <f>J116</f>
        <v>790000</v>
      </c>
      <c r="H116" s="27">
        <f>L116</f>
        <v>790000</v>
      </c>
      <c r="I116" s="27">
        <f>N116</f>
        <v>790000</v>
      </c>
      <c r="J116" s="16">
        <f>'БА в тыс. руб.'!G116*1000</f>
        <v>790000</v>
      </c>
      <c r="K116" s="169">
        <f t="shared" si="53"/>
        <v>0</v>
      </c>
      <c r="L116" s="16">
        <f>'БА в тыс. руб.'!H116*1000</f>
        <v>790000</v>
      </c>
      <c r="M116" s="169">
        <f t="shared" si="54"/>
        <v>0</v>
      </c>
      <c r="N116" s="16">
        <f>'БА в тыс. руб.'!I116*1000</f>
        <v>790000</v>
      </c>
      <c r="O116" s="169">
        <f t="shared" si="55"/>
        <v>0</v>
      </c>
      <c r="S116" s="30"/>
      <c r="T116" s="30"/>
      <c r="U116" s="30"/>
    </row>
    <row r="117" spans="1:21" s="3" customFormat="1" ht="25.5">
      <c r="A117" s="12" t="s">
        <v>973</v>
      </c>
      <c r="B117" s="25" t="s">
        <v>55</v>
      </c>
      <c r="C117" s="26" t="s">
        <v>65</v>
      </c>
      <c r="D117" s="26" t="s">
        <v>84</v>
      </c>
      <c r="E117" s="26" t="s">
        <v>219</v>
      </c>
      <c r="F117" s="26" t="s">
        <v>1043</v>
      </c>
      <c r="G117" s="27">
        <f t="shared" ref="G117" si="92">J117</f>
        <v>790000</v>
      </c>
      <c r="H117" s="27">
        <f>L117</f>
        <v>790000</v>
      </c>
      <c r="I117" s="27">
        <f>N117</f>
        <v>790000</v>
      </c>
      <c r="J117" s="16">
        <f>'БА в тыс. руб.'!G117*1000</f>
        <v>790000</v>
      </c>
      <c r="K117" s="169">
        <f t="shared" si="53"/>
        <v>0</v>
      </c>
      <c r="L117" s="16">
        <f>'БА в тыс. руб.'!H117*1000</f>
        <v>790000</v>
      </c>
      <c r="M117" s="169">
        <f t="shared" si="54"/>
        <v>0</v>
      </c>
      <c r="N117" s="16">
        <f>'БА в тыс. руб.'!I117*1000</f>
        <v>790000</v>
      </c>
      <c r="O117" s="169">
        <f t="shared" si="55"/>
        <v>0</v>
      </c>
      <c r="S117" s="30"/>
      <c r="T117" s="30"/>
      <c r="U117" s="30"/>
    </row>
    <row r="118" spans="1:21" s="3" customFormat="1" ht="25.5">
      <c r="A118" s="34" t="s">
        <v>748</v>
      </c>
      <c r="B118" s="25" t="s">
        <v>55</v>
      </c>
      <c r="C118" s="26" t="s">
        <v>65</v>
      </c>
      <c r="D118" s="26" t="s">
        <v>84</v>
      </c>
      <c r="E118" s="26" t="s">
        <v>220</v>
      </c>
      <c r="F118" s="26" t="s">
        <v>58</v>
      </c>
      <c r="G118" s="27">
        <f>G119</f>
        <v>145000</v>
      </c>
      <c r="H118" s="27">
        <f>H119</f>
        <v>100000</v>
      </c>
      <c r="I118" s="27">
        <f>I119</f>
        <v>100000</v>
      </c>
      <c r="J118" s="16">
        <f>'БА в тыс. руб.'!G118*1000</f>
        <v>145000</v>
      </c>
      <c r="K118" s="169">
        <f t="shared" si="53"/>
        <v>0</v>
      </c>
      <c r="L118" s="16">
        <f>'БА в тыс. руб.'!H118*1000</f>
        <v>100000</v>
      </c>
      <c r="M118" s="169">
        <f t="shared" si="54"/>
        <v>0</v>
      </c>
      <c r="N118" s="16">
        <f>'БА в тыс. руб.'!I118*1000</f>
        <v>100000</v>
      </c>
      <c r="O118" s="169">
        <f t="shared" si="55"/>
        <v>0</v>
      </c>
      <c r="S118" s="30"/>
      <c r="T118" s="30"/>
      <c r="U118" s="30"/>
    </row>
    <row r="119" spans="1:21" s="3" customFormat="1" ht="25.5">
      <c r="A119" s="11" t="s">
        <v>750</v>
      </c>
      <c r="B119" s="25" t="s">
        <v>55</v>
      </c>
      <c r="C119" s="26" t="s">
        <v>65</v>
      </c>
      <c r="D119" s="26" t="s">
        <v>84</v>
      </c>
      <c r="E119" s="26" t="s">
        <v>225</v>
      </c>
      <c r="F119" s="26" t="s">
        <v>58</v>
      </c>
      <c r="G119" s="27">
        <f>G120</f>
        <v>145000</v>
      </c>
      <c r="H119" s="27">
        <f t="shared" ref="H119:I119" si="93">H120</f>
        <v>100000</v>
      </c>
      <c r="I119" s="27">
        <f t="shared" si="93"/>
        <v>100000</v>
      </c>
      <c r="J119" s="16">
        <f>'БА в тыс. руб.'!G119*1000</f>
        <v>145000</v>
      </c>
      <c r="K119" s="169">
        <f t="shared" si="53"/>
        <v>0</v>
      </c>
      <c r="L119" s="16">
        <f>'БА в тыс. руб.'!H119*1000</f>
        <v>100000</v>
      </c>
      <c r="M119" s="169">
        <f t="shared" si="54"/>
        <v>0</v>
      </c>
      <c r="N119" s="16">
        <f>'БА в тыс. руб.'!I119*1000</f>
        <v>100000</v>
      </c>
      <c r="O119" s="169">
        <f t="shared" si="55"/>
        <v>0</v>
      </c>
      <c r="S119" s="30"/>
      <c r="T119" s="30"/>
      <c r="U119" s="30"/>
    </row>
    <row r="120" spans="1:21" s="3" customFormat="1" ht="25.5">
      <c r="A120" s="34" t="s">
        <v>228</v>
      </c>
      <c r="B120" s="25" t="s">
        <v>55</v>
      </c>
      <c r="C120" s="26" t="s">
        <v>65</v>
      </c>
      <c r="D120" s="26" t="s">
        <v>84</v>
      </c>
      <c r="E120" s="26" t="s">
        <v>226</v>
      </c>
      <c r="F120" s="26" t="s">
        <v>58</v>
      </c>
      <c r="G120" s="27">
        <f>G121</f>
        <v>145000</v>
      </c>
      <c r="H120" s="27">
        <f>H121</f>
        <v>100000</v>
      </c>
      <c r="I120" s="27">
        <f>I121</f>
        <v>100000</v>
      </c>
      <c r="J120" s="16">
        <f>'БА в тыс. руб.'!G120*1000</f>
        <v>145000</v>
      </c>
      <c r="K120" s="169">
        <f t="shared" si="53"/>
        <v>0</v>
      </c>
      <c r="L120" s="16">
        <f>'БА в тыс. руб.'!H120*1000</f>
        <v>100000</v>
      </c>
      <c r="M120" s="169">
        <f t="shared" si="54"/>
        <v>0</v>
      </c>
      <c r="N120" s="16">
        <f>'БА в тыс. руб.'!I120*1000</f>
        <v>100000</v>
      </c>
      <c r="O120" s="169">
        <f t="shared" si="55"/>
        <v>0</v>
      </c>
      <c r="S120" s="30"/>
      <c r="T120" s="30"/>
      <c r="U120" s="30"/>
    </row>
    <row r="121" spans="1:21" s="3" customFormat="1" ht="38.25">
      <c r="A121" s="34" t="s">
        <v>169</v>
      </c>
      <c r="B121" s="25" t="s">
        <v>55</v>
      </c>
      <c r="C121" s="26" t="s">
        <v>65</v>
      </c>
      <c r="D121" s="26" t="s">
        <v>84</v>
      </c>
      <c r="E121" s="26" t="s">
        <v>227</v>
      </c>
      <c r="F121" s="26" t="s">
        <v>58</v>
      </c>
      <c r="G121" s="27">
        <f>G122</f>
        <v>145000</v>
      </c>
      <c r="H121" s="27">
        <f>H122</f>
        <v>100000</v>
      </c>
      <c r="I121" s="27">
        <f>I122</f>
        <v>100000</v>
      </c>
      <c r="J121" s="16">
        <f>'БА в тыс. руб.'!G121*1000</f>
        <v>145000</v>
      </c>
      <c r="K121" s="169">
        <f t="shared" si="53"/>
        <v>0</v>
      </c>
      <c r="L121" s="16">
        <f>'БА в тыс. руб.'!H121*1000</f>
        <v>100000</v>
      </c>
      <c r="M121" s="169">
        <f t="shared" si="54"/>
        <v>0</v>
      </c>
      <c r="N121" s="16">
        <f>'БА в тыс. руб.'!I121*1000</f>
        <v>100000</v>
      </c>
      <c r="O121" s="169">
        <f t="shared" si="55"/>
        <v>0</v>
      </c>
      <c r="S121" s="30"/>
      <c r="T121" s="30"/>
      <c r="U121" s="30"/>
    </row>
    <row r="122" spans="1:21" s="3" customFormat="1" ht="25.5">
      <c r="A122" s="11" t="s">
        <v>108</v>
      </c>
      <c r="B122" s="25" t="s">
        <v>55</v>
      </c>
      <c r="C122" s="26" t="s">
        <v>65</v>
      </c>
      <c r="D122" s="26" t="s">
        <v>84</v>
      </c>
      <c r="E122" s="26" t="s">
        <v>227</v>
      </c>
      <c r="F122" s="26" t="s">
        <v>116</v>
      </c>
      <c r="G122" s="27">
        <f>G123</f>
        <v>145000</v>
      </c>
      <c r="H122" s="27">
        <f t="shared" ref="H122:I122" si="94">H123</f>
        <v>100000</v>
      </c>
      <c r="I122" s="27">
        <f t="shared" si="94"/>
        <v>100000</v>
      </c>
      <c r="J122" s="16">
        <f>'БА в тыс. руб.'!G122*1000</f>
        <v>145000</v>
      </c>
      <c r="K122" s="169">
        <f t="shared" si="53"/>
        <v>0</v>
      </c>
      <c r="L122" s="16">
        <f>'БА в тыс. руб.'!H122*1000</f>
        <v>100000</v>
      </c>
      <c r="M122" s="169">
        <f t="shared" si="54"/>
        <v>0</v>
      </c>
      <c r="N122" s="16">
        <f>'БА в тыс. руб.'!I122*1000</f>
        <v>100000</v>
      </c>
      <c r="O122" s="169">
        <f t="shared" si="55"/>
        <v>0</v>
      </c>
      <c r="S122" s="30"/>
      <c r="T122" s="30"/>
      <c r="U122" s="30"/>
    </row>
    <row r="123" spans="1:21" s="4" customFormat="1" ht="25.5">
      <c r="A123" s="12" t="s">
        <v>973</v>
      </c>
      <c r="B123" s="25" t="s">
        <v>55</v>
      </c>
      <c r="C123" s="26" t="s">
        <v>65</v>
      </c>
      <c r="D123" s="26" t="s">
        <v>84</v>
      </c>
      <c r="E123" s="26" t="s">
        <v>227</v>
      </c>
      <c r="F123" s="26" t="s">
        <v>1043</v>
      </c>
      <c r="G123" s="27">
        <f t="shared" ref="G123" si="95">J123</f>
        <v>145000</v>
      </c>
      <c r="H123" s="27">
        <f>L123</f>
        <v>100000</v>
      </c>
      <c r="I123" s="27">
        <f>N123</f>
        <v>100000</v>
      </c>
      <c r="J123" s="16">
        <f>'БА в тыс. руб.'!G123*1000</f>
        <v>145000</v>
      </c>
      <c r="K123" s="169">
        <f t="shared" si="53"/>
        <v>0</v>
      </c>
      <c r="L123" s="16">
        <f>'БА в тыс. руб.'!H123*1000</f>
        <v>100000</v>
      </c>
      <c r="M123" s="169">
        <f t="shared" si="54"/>
        <v>0</v>
      </c>
      <c r="N123" s="16">
        <f>'БА в тыс. руб.'!I123*1000</f>
        <v>100000</v>
      </c>
      <c r="O123" s="169">
        <f t="shared" si="55"/>
        <v>0</v>
      </c>
      <c r="S123" s="83"/>
      <c r="T123" s="83"/>
      <c r="U123" s="83"/>
    </row>
    <row r="124" spans="1:21" s="3" customFormat="1" ht="38.25">
      <c r="A124" s="34" t="s">
        <v>751</v>
      </c>
      <c r="B124" s="25" t="s">
        <v>55</v>
      </c>
      <c r="C124" s="26" t="s">
        <v>65</v>
      </c>
      <c r="D124" s="26" t="s">
        <v>84</v>
      </c>
      <c r="E124" s="26" t="s">
        <v>229</v>
      </c>
      <c r="F124" s="26" t="s">
        <v>58</v>
      </c>
      <c r="G124" s="27">
        <f>G125+G134</f>
        <v>79419770</v>
      </c>
      <c r="H124" s="27">
        <f>H125+H134</f>
        <v>78133710</v>
      </c>
      <c r="I124" s="27">
        <f>I125+I134</f>
        <v>78133710</v>
      </c>
      <c r="J124" s="16">
        <f>'БА в тыс. руб.'!G124*1000</f>
        <v>79419769.999999985</v>
      </c>
      <c r="K124" s="169">
        <f t="shared" si="53"/>
        <v>0</v>
      </c>
      <c r="L124" s="16">
        <f>'БА в тыс. руб.'!H124*1000</f>
        <v>78133709.999999985</v>
      </c>
      <c r="M124" s="169">
        <f t="shared" si="54"/>
        <v>0</v>
      </c>
      <c r="N124" s="16">
        <f>'БА в тыс. руб.'!I124*1000</f>
        <v>78133709.999999985</v>
      </c>
      <c r="O124" s="169">
        <f t="shared" si="55"/>
        <v>0</v>
      </c>
      <c r="S124" s="30"/>
      <c r="T124" s="30"/>
      <c r="U124" s="30"/>
    </row>
    <row r="125" spans="1:21" s="3" customFormat="1" ht="25.5">
      <c r="A125" s="34" t="s">
        <v>119</v>
      </c>
      <c r="B125" s="25" t="s">
        <v>55</v>
      </c>
      <c r="C125" s="26" t="s">
        <v>65</v>
      </c>
      <c r="D125" s="26" t="s">
        <v>84</v>
      </c>
      <c r="E125" s="26" t="s">
        <v>230</v>
      </c>
      <c r="F125" s="26" t="s">
        <v>58</v>
      </c>
      <c r="G125" s="27">
        <f>G126+G130</f>
        <v>12176540</v>
      </c>
      <c r="H125" s="27">
        <f t="shared" ref="H125:I125" si="96">H126+H130</f>
        <v>10818880</v>
      </c>
      <c r="I125" s="27">
        <f t="shared" si="96"/>
        <v>10818880</v>
      </c>
      <c r="J125" s="16">
        <f>'БА в тыс. руб.'!G125*1000</f>
        <v>12176540</v>
      </c>
      <c r="K125" s="169">
        <f t="shared" si="53"/>
        <v>0</v>
      </c>
      <c r="L125" s="16">
        <f>'БА в тыс. руб.'!H125*1000</f>
        <v>10818880.000000002</v>
      </c>
      <c r="M125" s="169">
        <f t="shared" si="54"/>
        <v>0</v>
      </c>
      <c r="N125" s="16">
        <f>'БА в тыс. руб.'!I125*1000</f>
        <v>10818880.000000002</v>
      </c>
      <c r="O125" s="169">
        <f t="shared" si="55"/>
        <v>0</v>
      </c>
      <c r="S125" s="30"/>
      <c r="T125" s="30"/>
      <c r="U125" s="30"/>
    </row>
    <row r="126" spans="1:21" s="3" customFormat="1" ht="38.25">
      <c r="A126" s="34" t="s">
        <v>231</v>
      </c>
      <c r="B126" s="25" t="s">
        <v>55</v>
      </c>
      <c r="C126" s="26" t="s">
        <v>65</v>
      </c>
      <c r="D126" s="26" t="s">
        <v>84</v>
      </c>
      <c r="E126" s="26" t="s">
        <v>232</v>
      </c>
      <c r="F126" s="26" t="s">
        <v>58</v>
      </c>
      <c r="G126" s="27">
        <f t="shared" ref="G126:I128" si="97">G127</f>
        <v>9323170</v>
      </c>
      <c r="H126" s="27">
        <f t="shared" si="97"/>
        <v>8250850</v>
      </c>
      <c r="I126" s="27">
        <f t="shared" si="97"/>
        <v>8250850</v>
      </c>
      <c r="J126" s="16">
        <f>'БА в тыс. руб.'!G126*1000</f>
        <v>9323170</v>
      </c>
      <c r="K126" s="169">
        <f t="shared" si="53"/>
        <v>0</v>
      </c>
      <c r="L126" s="16">
        <f>'БА в тыс. руб.'!H126*1000</f>
        <v>8250850</v>
      </c>
      <c r="M126" s="169">
        <f t="shared" si="54"/>
        <v>0</v>
      </c>
      <c r="N126" s="16">
        <f>'БА в тыс. руб.'!I126*1000</f>
        <v>8250850</v>
      </c>
      <c r="O126" s="169">
        <f t="shared" si="55"/>
        <v>0</v>
      </c>
      <c r="S126" s="30"/>
      <c r="T126" s="30"/>
      <c r="U126" s="30"/>
    </row>
    <row r="127" spans="1:21" s="3" customFormat="1" ht="25.5">
      <c r="A127" s="34" t="s">
        <v>170</v>
      </c>
      <c r="B127" s="25" t="s">
        <v>55</v>
      </c>
      <c r="C127" s="26" t="s">
        <v>65</v>
      </c>
      <c r="D127" s="26" t="s">
        <v>84</v>
      </c>
      <c r="E127" s="26" t="s">
        <v>233</v>
      </c>
      <c r="F127" s="26" t="s">
        <v>58</v>
      </c>
      <c r="G127" s="27">
        <f t="shared" si="97"/>
        <v>9323170</v>
      </c>
      <c r="H127" s="27">
        <f t="shared" si="97"/>
        <v>8250850</v>
      </c>
      <c r="I127" s="27">
        <f t="shared" si="97"/>
        <v>8250850</v>
      </c>
      <c r="J127" s="16">
        <f>'БА в тыс. руб.'!G127*1000</f>
        <v>9323170</v>
      </c>
      <c r="K127" s="169">
        <f t="shared" si="53"/>
        <v>0</v>
      </c>
      <c r="L127" s="16">
        <f>'БА в тыс. руб.'!H127*1000</f>
        <v>8250850</v>
      </c>
      <c r="M127" s="169">
        <f t="shared" si="54"/>
        <v>0</v>
      </c>
      <c r="N127" s="16">
        <f>'БА в тыс. руб.'!I127*1000</f>
        <v>8250850</v>
      </c>
      <c r="O127" s="169">
        <f t="shared" si="55"/>
        <v>0</v>
      </c>
      <c r="S127" s="30"/>
      <c r="T127" s="30"/>
      <c r="U127" s="30"/>
    </row>
    <row r="128" spans="1:21" s="3" customFormat="1" ht="25.5">
      <c r="A128" s="11" t="s">
        <v>108</v>
      </c>
      <c r="B128" s="25" t="s">
        <v>55</v>
      </c>
      <c r="C128" s="26" t="s">
        <v>65</v>
      </c>
      <c r="D128" s="26" t="s">
        <v>84</v>
      </c>
      <c r="E128" s="26" t="s">
        <v>233</v>
      </c>
      <c r="F128" s="26" t="s">
        <v>116</v>
      </c>
      <c r="G128" s="27">
        <f>G129</f>
        <v>9323170</v>
      </c>
      <c r="H128" s="27">
        <f t="shared" si="97"/>
        <v>8250850</v>
      </c>
      <c r="I128" s="27">
        <f t="shared" si="97"/>
        <v>8250850</v>
      </c>
      <c r="J128" s="16">
        <f>'БА в тыс. руб.'!G128*1000</f>
        <v>9323170</v>
      </c>
      <c r="K128" s="169">
        <f t="shared" si="53"/>
        <v>0</v>
      </c>
      <c r="L128" s="16">
        <f>'БА в тыс. руб.'!H128*1000</f>
        <v>8250850</v>
      </c>
      <c r="M128" s="169">
        <f t="shared" si="54"/>
        <v>0</v>
      </c>
      <c r="N128" s="16">
        <f>'БА в тыс. руб.'!I128*1000</f>
        <v>8250850</v>
      </c>
      <c r="O128" s="169">
        <f t="shared" si="55"/>
        <v>0</v>
      </c>
      <c r="S128" s="30"/>
      <c r="T128" s="30"/>
      <c r="U128" s="30"/>
    </row>
    <row r="129" spans="1:21" s="4" customFormat="1" ht="25.5">
      <c r="A129" s="12" t="s">
        <v>973</v>
      </c>
      <c r="B129" s="25" t="s">
        <v>55</v>
      </c>
      <c r="C129" s="26" t="s">
        <v>65</v>
      </c>
      <c r="D129" s="26" t="s">
        <v>84</v>
      </c>
      <c r="E129" s="26" t="s">
        <v>233</v>
      </c>
      <c r="F129" s="26" t="s">
        <v>1043</v>
      </c>
      <c r="G129" s="27">
        <f t="shared" ref="G129" si="98">J129</f>
        <v>9323170</v>
      </c>
      <c r="H129" s="27">
        <f>L129</f>
        <v>8250850</v>
      </c>
      <c r="I129" s="27">
        <f>N129</f>
        <v>8250850</v>
      </c>
      <c r="J129" s="16">
        <f>'БА в тыс. руб.'!G129*1000</f>
        <v>9323170</v>
      </c>
      <c r="K129" s="169">
        <f t="shared" si="53"/>
        <v>0</v>
      </c>
      <c r="L129" s="16">
        <f>'БА в тыс. руб.'!H129*1000</f>
        <v>8250850</v>
      </c>
      <c r="M129" s="169">
        <f t="shared" si="54"/>
        <v>0</v>
      </c>
      <c r="N129" s="16">
        <f>'БА в тыс. руб.'!I129*1000</f>
        <v>8250850</v>
      </c>
      <c r="O129" s="169">
        <f t="shared" si="55"/>
        <v>0</v>
      </c>
      <c r="S129" s="83"/>
      <c r="T129" s="83"/>
      <c r="U129" s="83"/>
    </row>
    <row r="130" spans="1:21" s="3" customFormat="1" ht="38.25">
      <c r="A130" s="34" t="s">
        <v>234</v>
      </c>
      <c r="B130" s="25" t="s">
        <v>55</v>
      </c>
      <c r="C130" s="26" t="s">
        <v>65</v>
      </c>
      <c r="D130" s="26" t="s">
        <v>84</v>
      </c>
      <c r="E130" s="26" t="s">
        <v>235</v>
      </c>
      <c r="F130" s="26" t="s">
        <v>58</v>
      </c>
      <c r="G130" s="27">
        <f t="shared" ref="G130:I132" si="99">G131</f>
        <v>2853370</v>
      </c>
      <c r="H130" s="27">
        <f t="shared" si="99"/>
        <v>2568030</v>
      </c>
      <c r="I130" s="27">
        <f t="shared" si="99"/>
        <v>2568030</v>
      </c>
      <c r="J130" s="16">
        <f>'БА в тыс. руб.'!G130*1000</f>
        <v>2853370</v>
      </c>
      <c r="K130" s="169">
        <f t="shared" si="53"/>
        <v>0</v>
      </c>
      <c r="L130" s="16">
        <f>'БА в тыс. руб.'!H130*1000</f>
        <v>2568030</v>
      </c>
      <c r="M130" s="169">
        <f t="shared" si="54"/>
        <v>0</v>
      </c>
      <c r="N130" s="16">
        <f>'БА в тыс. руб.'!I130*1000</f>
        <v>2568030</v>
      </c>
      <c r="O130" s="169">
        <f t="shared" si="55"/>
        <v>0</v>
      </c>
      <c r="S130" s="30"/>
      <c r="T130" s="30"/>
      <c r="U130" s="30"/>
    </row>
    <row r="131" spans="1:21" s="3" customFormat="1" ht="25.5">
      <c r="A131" s="34" t="s">
        <v>170</v>
      </c>
      <c r="B131" s="25" t="s">
        <v>55</v>
      </c>
      <c r="C131" s="26" t="s">
        <v>65</v>
      </c>
      <c r="D131" s="26" t="s">
        <v>84</v>
      </c>
      <c r="E131" s="26" t="s">
        <v>236</v>
      </c>
      <c r="F131" s="26" t="s">
        <v>58</v>
      </c>
      <c r="G131" s="27">
        <f t="shared" si="99"/>
        <v>2853370</v>
      </c>
      <c r="H131" s="27">
        <f t="shared" si="99"/>
        <v>2568030</v>
      </c>
      <c r="I131" s="27">
        <f t="shared" si="99"/>
        <v>2568030</v>
      </c>
      <c r="J131" s="16">
        <f>'БА в тыс. руб.'!G131*1000</f>
        <v>2853370</v>
      </c>
      <c r="K131" s="169">
        <f t="shared" si="53"/>
        <v>0</v>
      </c>
      <c r="L131" s="16">
        <f>'БА в тыс. руб.'!H131*1000</f>
        <v>2568030</v>
      </c>
      <c r="M131" s="169">
        <f t="shared" si="54"/>
        <v>0</v>
      </c>
      <c r="N131" s="16">
        <f>'БА в тыс. руб.'!I131*1000</f>
        <v>2568030</v>
      </c>
      <c r="O131" s="169">
        <f t="shared" si="55"/>
        <v>0</v>
      </c>
      <c r="S131" s="30"/>
      <c r="T131" s="30"/>
      <c r="U131" s="30"/>
    </row>
    <row r="132" spans="1:21" s="3" customFormat="1" ht="25.5">
      <c r="A132" s="11" t="s">
        <v>108</v>
      </c>
      <c r="B132" s="25" t="s">
        <v>55</v>
      </c>
      <c r="C132" s="26" t="s">
        <v>65</v>
      </c>
      <c r="D132" s="26" t="s">
        <v>84</v>
      </c>
      <c r="E132" s="26" t="s">
        <v>236</v>
      </c>
      <c r="F132" s="26" t="s">
        <v>116</v>
      </c>
      <c r="G132" s="27">
        <f>G133</f>
        <v>2853370</v>
      </c>
      <c r="H132" s="27">
        <f t="shared" si="99"/>
        <v>2568030</v>
      </c>
      <c r="I132" s="27">
        <f t="shared" si="99"/>
        <v>2568030</v>
      </c>
      <c r="J132" s="16">
        <f>'БА в тыс. руб.'!G132*1000</f>
        <v>2853370</v>
      </c>
      <c r="K132" s="169">
        <f t="shared" si="53"/>
        <v>0</v>
      </c>
      <c r="L132" s="16">
        <f>'БА в тыс. руб.'!H132*1000</f>
        <v>2568030</v>
      </c>
      <c r="M132" s="169">
        <f t="shared" si="54"/>
        <v>0</v>
      </c>
      <c r="N132" s="16">
        <f>'БА в тыс. руб.'!I132*1000</f>
        <v>2568030</v>
      </c>
      <c r="O132" s="169">
        <f t="shared" si="55"/>
        <v>0</v>
      </c>
      <c r="S132" s="30"/>
      <c r="T132" s="30"/>
      <c r="U132" s="30"/>
    </row>
    <row r="133" spans="1:21" s="4" customFormat="1" ht="25.5">
      <c r="A133" s="12" t="s">
        <v>973</v>
      </c>
      <c r="B133" s="25" t="s">
        <v>55</v>
      </c>
      <c r="C133" s="26" t="s">
        <v>65</v>
      </c>
      <c r="D133" s="26" t="s">
        <v>84</v>
      </c>
      <c r="E133" s="26" t="s">
        <v>236</v>
      </c>
      <c r="F133" s="26" t="s">
        <v>1043</v>
      </c>
      <c r="G133" s="27">
        <f t="shared" ref="G133" si="100">J133</f>
        <v>2853370</v>
      </c>
      <c r="H133" s="27">
        <f>L133</f>
        <v>2568030</v>
      </c>
      <c r="I133" s="27">
        <f>N133</f>
        <v>2568030</v>
      </c>
      <c r="J133" s="16">
        <f>'БА в тыс. руб.'!G133*1000</f>
        <v>2853370</v>
      </c>
      <c r="K133" s="169">
        <f t="shared" si="53"/>
        <v>0</v>
      </c>
      <c r="L133" s="16">
        <f>'БА в тыс. руб.'!H133*1000</f>
        <v>2568030</v>
      </c>
      <c r="M133" s="169">
        <f t="shared" si="54"/>
        <v>0</v>
      </c>
      <c r="N133" s="16">
        <f>'БА в тыс. руб.'!I133*1000</f>
        <v>2568030</v>
      </c>
      <c r="O133" s="169">
        <f t="shared" si="55"/>
        <v>0</v>
      </c>
      <c r="S133" s="83"/>
      <c r="T133" s="83"/>
      <c r="U133" s="83"/>
    </row>
    <row r="134" spans="1:21" s="3" customFormat="1" ht="38.25">
      <c r="A134" s="34" t="s">
        <v>871</v>
      </c>
      <c r="B134" s="25" t="s">
        <v>55</v>
      </c>
      <c r="C134" s="26" t="s">
        <v>65</v>
      </c>
      <c r="D134" s="26" t="s">
        <v>84</v>
      </c>
      <c r="E134" s="26" t="s">
        <v>240</v>
      </c>
      <c r="F134" s="26" t="s">
        <v>58</v>
      </c>
      <c r="G134" s="27">
        <f>G135+G139+G147+G143</f>
        <v>67243230</v>
      </c>
      <c r="H134" s="27">
        <f t="shared" ref="H134:I134" si="101">H135+H139+H147+H143</f>
        <v>67314830</v>
      </c>
      <c r="I134" s="27">
        <f t="shared" si="101"/>
        <v>67314830</v>
      </c>
      <c r="J134" s="16">
        <f>'БА в тыс. руб.'!G134*1000</f>
        <v>67243230</v>
      </c>
      <c r="K134" s="169">
        <f t="shared" ref="K134:K197" si="102">J134-G134</f>
        <v>0</v>
      </c>
      <c r="L134" s="16">
        <f>'БА в тыс. руб.'!H134*1000</f>
        <v>67314829.999999985</v>
      </c>
      <c r="M134" s="169">
        <f t="shared" ref="M134:M197" si="103">L134-H134</f>
        <v>0</v>
      </c>
      <c r="N134" s="16">
        <f>'БА в тыс. руб.'!I134*1000</f>
        <v>67314829.999999985</v>
      </c>
      <c r="O134" s="169">
        <f t="shared" ref="O134:O197" si="104">N134-I134</f>
        <v>0</v>
      </c>
      <c r="S134" s="30"/>
      <c r="T134" s="30"/>
      <c r="U134" s="30"/>
    </row>
    <row r="135" spans="1:21" s="3" customFormat="1" ht="25.5">
      <c r="A135" s="34" t="s">
        <v>849</v>
      </c>
      <c r="B135" s="25" t="s">
        <v>55</v>
      </c>
      <c r="C135" s="26" t="s">
        <v>65</v>
      </c>
      <c r="D135" s="26" t="s">
        <v>84</v>
      </c>
      <c r="E135" s="26" t="s">
        <v>241</v>
      </c>
      <c r="F135" s="26" t="s">
        <v>58</v>
      </c>
      <c r="G135" s="27">
        <f t="shared" ref="G135:I137" si="105">G136</f>
        <v>450000</v>
      </c>
      <c r="H135" s="27">
        <f t="shared" si="105"/>
        <v>450000</v>
      </c>
      <c r="I135" s="27">
        <f t="shared" si="105"/>
        <v>450000</v>
      </c>
      <c r="J135" s="16">
        <f>'БА в тыс. руб.'!G135*1000</f>
        <v>450000</v>
      </c>
      <c r="K135" s="169">
        <f t="shared" si="102"/>
        <v>0</v>
      </c>
      <c r="L135" s="16">
        <f>'БА в тыс. руб.'!H135*1000</f>
        <v>450000</v>
      </c>
      <c r="M135" s="169">
        <f t="shared" si="103"/>
        <v>0</v>
      </c>
      <c r="N135" s="16">
        <f>'БА в тыс. руб.'!I135*1000</f>
        <v>450000</v>
      </c>
      <c r="O135" s="169">
        <f t="shared" si="104"/>
        <v>0</v>
      </c>
      <c r="S135" s="30"/>
      <c r="T135" s="30"/>
      <c r="U135" s="30"/>
    </row>
    <row r="136" spans="1:21" s="3" customFormat="1" ht="38.25">
      <c r="A136" s="34" t="s">
        <v>872</v>
      </c>
      <c r="B136" s="25" t="s">
        <v>55</v>
      </c>
      <c r="C136" s="26" t="s">
        <v>65</v>
      </c>
      <c r="D136" s="26" t="s">
        <v>84</v>
      </c>
      <c r="E136" s="26" t="s">
        <v>242</v>
      </c>
      <c r="F136" s="26" t="s">
        <v>58</v>
      </c>
      <c r="G136" s="27">
        <f t="shared" si="105"/>
        <v>450000</v>
      </c>
      <c r="H136" s="27">
        <f t="shared" si="105"/>
        <v>450000</v>
      </c>
      <c r="I136" s="27">
        <f t="shared" si="105"/>
        <v>450000</v>
      </c>
      <c r="J136" s="16">
        <f>'БА в тыс. руб.'!G136*1000</f>
        <v>450000</v>
      </c>
      <c r="K136" s="169">
        <f t="shared" si="102"/>
        <v>0</v>
      </c>
      <c r="L136" s="16">
        <f>'БА в тыс. руб.'!H136*1000</f>
        <v>450000</v>
      </c>
      <c r="M136" s="169">
        <f t="shared" si="103"/>
        <v>0</v>
      </c>
      <c r="N136" s="16">
        <f>'БА в тыс. руб.'!I136*1000</f>
        <v>450000</v>
      </c>
      <c r="O136" s="169">
        <f t="shared" si="104"/>
        <v>0</v>
      </c>
      <c r="S136" s="30"/>
      <c r="T136" s="30"/>
      <c r="U136" s="30"/>
    </row>
    <row r="137" spans="1:21" s="3" customFormat="1" ht="25.5">
      <c r="A137" s="11" t="s">
        <v>108</v>
      </c>
      <c r="B137" s="25" t="s">
        <v>55</v>
      </c>
      <c r="C137" s="26" t="s">
        <v>65</v>
      </c>
      <c r="D137" s="26" t="s">
        <v>84</v>
      </c>
      <c r="E137" s="26" t="s">
        <v>242</v>
      </c>
      <c r="F137" s="26" t="s">
        <v>116</v>
      </c>
      <c r="G137" s="27">
        <f>G138</f>
        <v>450000</v>
      </c>
      <c r="H137" s="27">
        <f t="shared" si="105"/>
        <v>450000</v>
      </c>
      <c r="I137" s="27">
        <f t="shared" si="105"/>
        <v>450000</v>
      </c>
      <c r="J137" s="16">
        <f>'БА в тыс. руб.'!G137*1000</f>
        <v>450000</v>
      </c>
      <c r="K137" s="169">
        <f t="shared" si="102"/>
        <v>0</v>
      </c>
      <c r="L137" s="16">
        <f>'БА в тыс. руб.'!H137*1000</f>
        <v>450000</v>
      </c>
      <c r="M137" s="169">
        <f t="shared" si="103"/>
        <v>0</v>
      </c>
      <c r="N137" s="16">
        <f>'БА в тыс. руб.'!I137*1000</f>
        <v>450000</v>
      </c>
      <c r="O137" s="169">
        <f t="shared" si="104"/>
        <v>0</v>
      </c>
      <c r="S137" s="30"/>
      <c r="T137" s="30"/>
      <c r="U137" s="30"/>
    </row>
    <row r="138" spans="1:21" s="4" customFormat="1" ht="25.5">
      <c r="A138" s="12" t="s">
        <v>973</v>
      </c>
      <c r="B138" s="25" t="s">
        <v>55</v>
      </c>
      <c r="C138" s="26" t="s">
        <v>65</v>
      </c>
      <c r="D138" s="26" t="s">
        <v>84</v>
      </c>
      <c r="E138" s="26" t="s">
        <v>242</v>
      </c>
      <c r="F138" s="26" t="s">
        <v>1043</v>
      </c>
      <c r="G138" s="27">
        <f t="shared" ref="G138" si="106">J138</f>
        <v>450000</v>
      </c>
      <c r="H138" s="27">
        <f>L138</f>
        <v>450000</v>
      </c>
      <c r="I138" s="27">
        <f>N138</f>
        <v>450000</v>
      </c>
      <c r="J138" s="16">
        <f>'БА в тыс. руб.'!G138*1000</f>
        <v>450000</v>
      </c>
      <c r="K138" s="169">
        <f t="shared" si="102"/>
        <v>0</v>
      </c>
      <c r="L138" s="16">
        <f>'БА в тыс. руб.'!H138*1000</f>
        <v>450000</v>
      </c>
      <c r="M138" s="169">
        <f t="shared" si="103"/>
        <v>0</v>
      </c>
      <c r="N138" s="16">
        <f>'БА в тыс. руб.'!I138*1000</f>
        <v>450000</v>
      </c>
      <c r="O138" s="169">
        <f t="shared" si="104"/>
        <v>0</v>
      </c>
      <c r="S138" s="83"/>
      <c r="T138" s="83"/>
      <c r="U138" s="83"/>
    </row>
    <row r="139" spans="1:21" s="3" customFormat="1" ht="51">
      <c r="A139" s="34" t="s">
        <v>604</v>
      </c>
      <c r="B139" s="25" t="s">
        <v>55</v>
      </c>
      <c r="C139" s="26" t="s">
        <v>65</v>
      </c>
      <c r="D139" s="26" t="s">
        <v>84</v>
      </c>
      <c r="E139" s="26" t="s">
        <v>243</v>
      </c>
      <c r="F139" s="26" t="s">
        <v>58</v>
      </c>
      <c r="G139" s="27">
        <f t="shared" ref="G139:I141" si="107">G140</f>
        <v>85000</v>
      </c>
      <c r="H139" s="27">
        <f t="shared" si="107"/>
        <v>76500</v>
      </c>
      <c r="I139" s="27">
        <f t="shared" si="107"/>
        <v>76500</v>
      </c>
      <c r="J139" s="16">
        <f>'БА в тыс. руб.'!G139*1000</f>
        <v>85000</v>
      </c>
      <c r="K139" s="169">
        <f t="shared" si="102"/>
        <v>0</v>
      </c>
      <c r="L139" s="16">
        <f>'БА в тыс. руб.'!H139*1000</f>
        <v>76500</v>
      </c>
      <c r="M139" s="169">
        <f t="shared" si="103"/>
        <v>0</v>
      </c>
      <c r="N139" s="16">
        <f>'БА в тыс. руб.'!I139*1000</f>
        <v>76500</v>
      </c>
      <c r="O139" s="169">
        <f t="shared" si="104"/>
        <v>0</v>
      </c>
      <c r="S139" s="30"/>
      <c r="T139" s="30"/>
      <c r="U139" s="30"/>
    </row>
    <row r="140" spans="1:21" s="3" customFormat="1" ht="38.25">
      <c r="A140" s="34" t="s">
        <v>872</v>
      </c>
      <c r="B140" s="25" t="s">
        <v>55</v>
      </c>
      <c r="C140" s="26" t="s">
        <v>65</v>
      </c>
      <c r="D140" s="26" t="s">
        <v>84</v>
      </c>
      <c r="E140" s="26" t="s">
        <v>244</v>
      </c>
      <c r="F140" s="26" t="s">
        <v>58</v>
      </c>
      <c r="G140" s="27">
        <f t="shared" si="107"/>
        <v>85000</v>
      </c>
      <c r="H140" s="27">
        <f t="shared" si="107"/>
        <v>76500</v>
      </c>
      <c r="I140" s="27">
        <f t="shared" si="107"/>
        <v>76500</v>
      </c>
      <c r="J140" s="16">
        <f>'БА в тыс. руб.'!G140*1000</f>
        <v>85000</v>
      </c>
      <c r="K140" s="169">
        <f t="shared" si="102"/>
        <v>0</v>
      </c>
      <c r="L140" s="16">
        <f>'БА в тыс. руб.'!H140*1000</f>
        <v>76500</v>
      </c>
      <c r="M140" s="169">
        <f t="shared" si="103"/>
        <v>0</v>
      </c>
      <c r="N140" s="16">
        <f>'БА в тыс. руб.'!I140*1000</f>
        <v>76500</v>
      </c>
      <c r="O140" s="169">
        <f t="shared" si="104"/>
        <v>0</v>
      </c>
      <c r="S140" s="30"/>
      <c r="T140" s="30"/>
      <c r="U140" s="30"/>
    </row>
    <row r="141" spans="1:21" s="3" customFormat="1" ht="25.5">
      <c r="A141" s="11" t="s">
        <v>108</v>
      </c>
      <c r="B141" s="25" t="s">
        <v>55</v>
      </c>
      <c r="C141" s="26" t="s">
        <v>65</v>
      </c>
      <c r="D141" s="26" t="s">
        <v>84</v>
      </c>
      <c r="E141" s="26" t="s">
        <v>244</v>
      </c>
      <c r="F141" s="26" t="s">
        <v>116</v>
      </c>
      <c r="G141" s="27">
        <f>G142</f>
        <v>85000</v>
      </c>
      <c r="H141" s="27">
        <f t="shared" si="107"/>
        <v>76500</v>
      </c>
      <c r="I141" s="27">
        <f t="shared" si="107"/>
        <v>76500</v>
      </c>
      <c r="J141" s="16">
        <f>'БА в тыс. руб.'!G141*1000</f>
        <v>85000</v>
      </c>
      <c r="K141" s="169">
        <f t="shared" si="102"/>
        <v>0</v>
      </c>
      <c r="L141" s="16">
        <f>'БА в тыс. руб.'!H141*1000</f>
        <v>76500</v>
      </c>
      <c r="M141" s="169">
        <f t="shared" si="103"/>
        <v>0</v>
      </c>
      <c r="N141" s="16">
        <f>'БА в тыс. руб.'!I141*1000</f>
        <v>76500</v>
      </c>
      <c r="O141" s="169">
        <f t="shared" si="104"/>
        <v>0</v>
      </c>
      <c r="S141" s="30"/>
      <c r="T141" s="30"/>
      <c r="U141" s="30"/>
    </row>
    <row r="142" spans="1:21" s="4" customFormat="1" ht="25.5">
      <c r="A142" s="12" t="s">
        <v>973</v>
      </c>
      <c r="B142" s="25" t="s">
        <v>55</v>
      </c>
      <c r="C142" s="26" t="s">
        <v>65</v>
      </c>
      <c r="D142" s="26" t="s">
        <v>84</v>
      </c>
      <c r="E142" s="26" t="s">
        <v>244</v>
      </c>
      <c r="F142" s="26" t="s">
        <v>1043</v>
      </c>
      <c r="G142" s="27">
        <f t="shared" ref="G142" si="108">J142</f>
        <v>85000</v>
      </c>
      <c r="H142" s="27">
        <f>L142</f>
        <v>76500</v>
      </c>
      <c r="I142" s="27">
        <f>N142</f>
        <v>76500</v>
      </c>
      <c r="J142" s="16">
        <f>'БА в тыс. руб.'!G142*1000</f>
        <v>85000</v>
      </c>
      <c r="K142" s="169">
        <f t="shared" si="102"/>
        <v>0</v>
      </c>
      <c r="L142" s="16">
        <f>'БА в тыс. руб.'!H142*1000</f>
        <v>76500</v>
      </c>
      <c r="M142" s="169">
        <f t="shared" si="103"/>
        <v>0</v>
      </c>
      <c r="N142" s="16">
        <f>'БА в тыс. руб.'!I142*1000</f>
        <v>76500</v>
      </c>
      <c r="O142" s="169">
        <f t="shared" si="104"/>
        <v>0</v>
      </c>
      <c r="S142" s="83"/>
      <c r="T142" s="83"/>
      <c r="U142" s="83"/>
    </row>
    <row r="143" spans="1:21" s="3" customFormat="1" ht="51">
      <c r="A143" s="34" t="s">
        <v>771</v>
      </c>
      <c r="B143" s="25" t="s">
        <v>55</v>
      </c>
      <c r="C143" s="26" t="s">
        <v>65</v>
      </c>
      <c r="D143" s="26" t="s">
        <v>84</v>
      </c>
      <c r="E143" s="26" t="s">
        <v>772</v>
      </c>
      <c r="F143" s="26" t="s">
        <v>58</v>
      </c>
      <c r="G143" s="27">
        <f>G144</f>
        <v>85000</v>
      </c>
      <c r="H143" s="27">
        <f t="shared" ref="H143:I145" si="109">H144</f>
        <v>76500</v>
      </c>
      <c r="I143" s="27">
        <f t="shared" si="109"/>
        <v>76500</v>
      </c>
      <c r="J143" s="16">
        <f>'БА в тыс. руб.'!G143*1000</f>
        <v>85000</v>
      </c>
      <c r="K143" s="169">
        <f t="shared" si="102"/>
        <v>0</v>
      </c>
      <c r="L143" s="16">
        <f>'БА в тыс. руб.'!H143*1000</f>
        <v>76500</v>
      </c>
      <c r="M143" s="169">
        <f t="shared" si="103"/>
        <v>0</v>
      </c>
      <c r="N143" s="16">
        <f>'БА в тыс. руб.'!I143*1000</f>
        <v>76500</v>
      </c>
      <c r="O143" s="169">
        <f t="shared" si="104"/>
        <v>0</v>
      </c>
      <c r="S143" s="30"/>
      <c r="T143" s="30"/>
      <c r="U143" s="30"/>
    </row>
    <row r="144" spans="1:21" s="3" customFormat="1" ht="38.25">
      <c r="A144" s="34" t="s">
        <v>872</v>
      </c>
      <c r="B144" s="25" t="s">
        <v>55</v>
      </c>
      <c r="C144" s="26" t="s">
        <v>65</v>
      </c>
      <c r="D144" s="26" t="s">
        <v>84</v>
      </c>
      <c r="E144" s="26" t="s">
        <v>773</v>
      </c>
      <c r="F144" s="26" t="s">
        <v>58</v>
      </c>
      <c r="G144" s="27">
        <f>G145</f>
        <v>85000</v>
      </c>
      <c r="H144" s="27">
        <f t="shared" si="109"/>
        <v>76500</v>
      </c>
      <c r="I144" s="27">
        <f t="shared" si="109"/>
        <v>76500</v>
      </c>
      <c r="J144" s="16">
        <f>'БА в тыс. руб.'!G144*1000</f>
        <v>85000</v>
      </c>
      <c r="K144" s="169">
        <f t="shared" si="102"/>
        <v>0</v>
      </c>
      <c r="L144" s="16">
        <f>'БА в тыс. руб.'!H144*1000</f>
        <v>76500</v>
      </c>
      <c r="M144" s="169">
        <f t="shared" si="103"/>
        <v>0</v>
      </c>
      <c r="N144" s="16">
        <f>'БА в тыс. руб.'!I144*1000</f>
        <v>76500</v>
      </c>
      <c r="O144" s="169">
        <f t="shared" si="104"/>
        <v>0</v>
      </c>
      <c r="S144" s="30"/>
      <c r="T144" s="30"/>
      <c r="U144" s="30"/>
    </row>
    <row r="145" spans="1:21" s="3" customFormat="1" ht="25.5">
      <c r="A145" s="11" t="s">
        <v>108</v>
      </c>
      <c r="B145" s="25" t="s">
        <v>55</v>
      </c>
      <c r="C145" s="26" t="s">
        <v>65</v>
      </c>
      <c r="D145" s="26" t="s">
        <v>84</v>
      </c>
      <c r="E145" s="26" t="s">
        <v>773</v>
      </c>
      <c r="F145" s="26" t="s">
        <v>116</v>
      </c>
      <c r="G145" s="27">
        <f>G146</f>
        <v>85000</v>
      </c>
      <c r="H145" s="27">
        <f t="shared" si="109"/>
        <v>76500</v>
      </c>
      <c r="I145" s="27">
        <f t="shared" si="109"/>
        <v>76500</v>
      </c>
      <c r="J145" s="16">
        <f>'БА в тыс. руб.'!G145*1000</f>
        <v>85000</v>
      </c>
      <c r="K145" s="169">
        <f t="shared" si="102"/>
        <v>0</v>
      </c>
      <c r="L145" s="16">
        <f>'БА в тыс. руб.'!H145*1000</f>
        <v>76500</v>
      </c>
      <c r="M145" s="169">
        <f t="shared" si="103"/>
        <v>0</v>
      </c>
      <c r="N145" s="16">
        <f>'БА в тыс. руб.'!I145*1000</f>
        <v>76500</v>
      </c>
      <c r="O145" s="169">
        <f t="shared" si="104"/>
        <v>0</v>
      </c>
      <c r="S145" s="30"/>
      <c r="T145" s="30"/>
      <c r="U145" s="30"/>
    </row>
    <row r="146" spans="1:21" s="4" customFormat="1" ht="25.5">
      <c r="A146" s="12" t="s">
        <v>973</v>
      </c>
      <c r="B146" s="25" t="s">
        <v>55</v>
      </c>
      <c r="C146" s="26" t="s">
        <v>65</v>
      </c>
      <c r="D146" s="26" t="s">
        <v>84</v>
      </c>
      <c r="E146" s="26" t="s">
        <v>773</v>
      </c>
      <c r="F146" s="26" t="s">
        <v>1043</v>
      </c>
      <c r="G146" s="27">
        <f t="shared" ref="G146" si="110">J146</f>
        <v>85000</v>
      </c>
      <c r="H146" s="27">
        <f>L146</f>
        <v>76500</v>
      </c>
      <c r="I146" s="27">
        <f>N146</f>
        <v>76500</v>
      </c>
      <c r="J146" s="16">
        <f>'БА в тыс. руб.'!G146*1000</f>
        <v>85000</v>
      </c>
      <c r="K146" s="169">
        <f t="shared" si="102"/>
        <v>0</v>
      </c>
      <c r="L146" s="16">
        <f>'БА в тыс. руб.'!H146*1000</f>
        <v>76500</v>
      </c>
      <c r="M146" s="169">
        <f t="shared" si="103"/>
        <v>0</v>
      </c>
      <c r="N146" s="16">
        <f>'БА в тыс. руб.'!I146*1000</f>
        <v>76500</v>
      </c>
      <c r="O146" s="169">
        <f t="shared" si="104"/>
        <v>0</v>
      </c>
      <c r="S146" s="83"/>
      <c r="T146" s="83"/>
      <c r="U146" s="83"/>
    </row>
    <row r="147" spans="1:21" s="3" customFormat="1" ht="38.25">
      <c r="A147" s="34" t="s">
        <v>245</v>
      </c>
      <c r="B147" s="25" t="s">
        <v>55</v>
      </c>
      <c r="C147" s="26" t="s">
        <v>65</v>
      </c>
      <c r="D147" s="26" t="s">
        <v>84</v>
      </c>
      <c r="E147" s="26" t="s">
        <v>246</v>
      </c>
      <c r="F147" s="26" t="s">
        <v>58</v>
      </c>
      <c r="G147" s="27">
        <f>G148</f>
        <v>66623230</v>
      </c>
      <c r="H147" s="27">
        <f>H148</f>
        <v>66711830</v>
      </c>
      <c r="I147" s="27">
        <f>I148</f>
        <v>66711830</v>
      </c>
      <c r="J147" s="16">
        <f>'БА в тыс. руб.'!G147*1000</f>
        <v>66623229.999999993</v>
      </c>
      <c r="K147" s="169">
        <f t="shared" si="102"/>
        <v>0</v>
      </c>
      <c r="L147" s="16">
        <f>'БА в тыс. руб.'!H147*1000</f>
        <v>66711829.999999985</v>
      </c>
      <c r="M147" s="169">
        <f t="shared" si="103"/>
        <v>0</v>
      </c>
      <c r="N147" s="16">
        <f>'БА в тыс. руб.'!I147*1000</f>
        <v>66711829.999999985</v>
      </c>
      <c r="O147" s="169">
        <f t="shared" si="104"/>
        <v>0</v>
      </c>
      <c r="S147" s="30"/>
      <c r="T147" s="30"/>
      <c r="U147" s="30"/>
    </row>
    <row r="148" spans="1:21" s="3" customFormat="1" ht="25.5">
      <c r="A148" s="34" t="s">
        <v>247</v>
      </c>
      <c r="B148" s="25" t="s">
        <v>55</v>
      </c>
      <c r="C148" s="26" t="s">
        <v>65</v>
      </c>
      <c r="D148" s="26" t="s">
        <v>84</v>
      </c>
      <c r="E148" s="26" t="s">
        <v>248</v>
      </c>
      <c r="F148" s="26" t="s">
        <v>58</v>
      </c>
      <c r="G148" s="27">
        <f>G149+G153+G155</f>
        <v>66623230</v>
      </c>
      <c r="H148" s="27">
        <f t="shared" ref="H148:I148" si="111">H149+H153+H155</f>
        <v>66711830</v>
      </c>
      <c r="I148" s="27">
        <f t="shared" si="111"/>
        <v>66711830</v>
      </c>
      <c r="J148" s="16">
        <f>'БА в тыс. руб.'!G148*1000</f>
        <v>66623229.999999993</v>
      </c>
      <c r="K148" s="169">
        <f t="shared" si="102"/>
        <v>0</v>
      </c>
      <c r="L148" s="16">
        <f>'БА в тыс. руб.'!H148*1000</f>
        <v>66711829.999999985</v>
      </c>
      <c r="M148" s="169">
        <f t="shared" si="103"/>
        <v>0</v>
      </c>
      <c r="N148" s="16">
        <f>'БА в тыс. руб.'!I148*1000</f>
        <v>66711829.999999985</v>
      </c>
      <c r="O148" s="169">
        <f t="shared" si="104"/>
        <v>0</v>
      </c>
      <c r="S148" s="30"/>
      <c r="T148" s="30"/>
      <c r="U148" s="30"/>
    </row>
    <row r="149" spans="1:21" s="3" customFormat="1">
      <c r="A149" s="13" t="s">
        <v>106</v>
      </c>
      <c r="B149" s="25" t="s">
        <v>55</v>
      </c>
      <c r="C149" s="26" t="s">
        <v>65</v>
      </c>
      <c r="D149" s="26" t="s">
        <v>84</v>
      </c>
      <c r="E149" s="26" t="s">
        <v>248</v>
      </c>
      <c r="F149" s="26" t="s">
        <v>121</v>
      </c>
      <c r="G149" s="27">
        <f>SUM(G150:G152)</f>
        <v>58134480</v>
      </c>
      <c r="H149" s="27">
        <f t="shared" ref="H149:I149" si="112">SUM(H150:H152)</f>
        <v>58134480</v>
      </c>
      <c r="I149" s="27">
        <f t="shared" si="112"/>
        <v>58134480</v>
      </c>
      <c r="J149" s="16">
        <f>'БА в тыс. руб.'!G149*1000</f>
        <v>58134479.999999993</v>
      </c>
      <c r="K149" s="169">
        <f t="shared" si="102"/>
        <v>0</v>
      </c>
      <c r="L149" s="16">
        <f>'БА в тыс. руб.'!H149*1000</f>
        <v>58134479.999999993</v>
      </c>
      <c r="M149" s="169">
        <f t="shared" si="103"/>
        <v>0</v>
      </c>
      <c r="N149" s="16">
        <f>'БА в тыс. руб.'!I149*1000</f>
        <v>58134479.999999993</v>
      </c>
      <c r="O149" s="169">
        <f t="shared" si="104"/>
        <v>0</v>
      </c>
      <c r="S149" s="30"/>
      <c r="T149" s="30"/>
      <c r="U149" s="30"/>
    </row>
    <row r="150" spans="1:21" s="4" customFormat="1">
      <c r="A150" s="12" t="s">
        <v>932</v>
      </c>
      <c r="B150" s="25" t="s">
        <v>55</v>
      </c>
      <c r="C150" s="26" t="s">
        <v>65</v>
      </c>
      <c r="D150" s="26" t="s">
        <v>84</v>
      </c>
      <c r="E150" s="26" t="s">
        <v>248</v>
      </c>
      <c r="F150" s="26" t="s">
        <v>1056</v>
      </c>
      <c r="G150" s="27">
        <f t="shared" ref="G150:G152" si="113">J150</f>
        <v>44638770</v>
      </c>
      <c r="H150" s="27">
        <f t="shared" ref="H150:H152" si="114">L150</f>
        <v>44638770</v>
      </c>
      <c r="I150" s="27">
        <f t="shared" ref="I150:I152" si="115">N150</f>
        <v>44638770</v>
      </c>
      <c r="J150" s="16">
        <f>'БА в тыс. руб.'!G150*1000</f>
        <v>44638770</v>
      </c>
      <c r="K150" s="169">
        <f t="shared" si="102"/>
        <v>0</v>
      </c>
      <c r="L150" s="16">
        <f>'БА в тыс. руб.'!H150*1000</f>
        <v>44638770</v>
      </c>
      <c r="M150" s="169">
        <f t="shared" si="103"/>
        <v>0</v>
      </c>
      <c r="N150" s="16">
        <f>'БА в тыс. руб.'!I150*1000</f>
        <v>44638770</v>
      </c>
      <c r="O150" s="169">
        <f t="shared" si="104"/>
        <v>0</v>
      </c>
      <c r="S150" s="83"/>
      <c r="T150" s="83"/>
      <c r="U150" s="83"/>
    </row>
    <row r="151" spans="1:21" s="4" customFormat="1" ht="25.5">
      <c r="A151" s="12" t="s">
        <v>933</v>
      </c>
      <c r="B151" s="25" t="s">
        <v>55</v>
      </c>
      <c r="C151" s="26" t="s">
        <v>65</v>
      </c>
      <c r="D151" s="26" t="s">
        <v>84</v>
      </c>
      <c r="E151" s="26" t="s">
        <v>248</v>
      </c>
      <c r="F151" s="26" t="s">
        <v>1069</v>
      </c>
      <c r="G151" s="27">
        <f t="shared" si="113"/>
        <v>14800</v>
      </c>
      <c r="H151" s="27">
        <f t="shared" si="114"/>
        <v>14800</v>
      </c>
      <c r="I151" s="27">
        <f t="shared" si="115"/>
        <v>14800</v>
      </c>
      <c r="J151" s="16">
        <f>'БА в тыс. руб.'!G151*1000</f>
        <v>14800</v>
      </c>
      <c r="K151" s="169"/>
      <c r="L151" s="16">
        <f>'БА в тыс. руб.'!H151*1000</f>
        <v>14800</v>
      </c>
      <c r="M151" s="169"/>
      <c r="N151" s="16">
        <f>'БА в тыс. руб.'!I151*1000</f>
        <v>14800</v>
      </c>
      <c r="O151" s="169"/>
      <c r="S151" s="83"/>
      <c r="T151" s="83"/>
      <c r="U151" s="83"/>
    </row>
    <row r="152" spans="1:21" s="4" customFormat="1" ht="38.25">
      <c r="A152" s="12" t="s">
        <v>935</v>
      </c>
      <c r="B152" s="25" t="s">
        <v>55</v>
      </c>
      <c r="C152" s="26" t="s">
        <v>65</v>
      </c>
      <c r="D152" s="26" t="s">
        <v>84</v>
      </c>
      <c r="E152" s="26" t="s">
        <v>248</v>
      </c>
      <c r="F152" s="26" t="s">
        <v>1057</v>
      </c>
      <c r="G152" s="27">
        <f t="shared" si="113"/>
        <v>13480910</v>
      </c>
      <c r="H152" s="27">
        <f t="shared" si="114"/>
        <v>13480910</v>
      </c>
      <c r="I152" s="27">
        <f t="shared" si="115"/>
        <v>13480910</v>
      </c>
      <c r="J152" s="16">
        <f>'БА в тыс. руб.'!G152*1000</f>
        <v>13480910</v>
      </c>
      <c r="K152" s="169">
        <f t="shared" si="102"/>
        <v>0</v>
      </c>
      <c r="L152" s="16">
        <f>'БА в тыс. руб.'!H152*1000</f>
        <v>13480910</v>
      </c>
      <c r="M152" s="169">
        <f t="shared" si="103"/>
        <v>0</v>
      </c>
      <c r="N152" s="16">
        <f>'БА в тыс. руб.'!I152*1000</f>
        <v>13480910</v>
      </c>
      <c r="O152" s="169">
        <f t="shared" si="104"/>
        <v>0</v>
      </c>
      <c r="S152" s="83"/>
      <c r="T152" s="83"/>
      <c r="U152" s="83"/>
    </row>
    <row r="153" spans="1:21" s="3" customFormat="1" ht="25.5">
      <c r="A153" s="11" t="s">
        <v>108</v>
      </c>
      <c r="B153" s="25" t="s">
        <v>55</v>
      </c>
      <c r="C153" s="26" t="s">
        <v>65</v>
      </c>
      <c r="D153" s="26" t="s">
        <v>84</v>
      </c>
      <c r="E153" s="26" t="s">
        <v>248</v>
      </c>
      <c r="F153" s="26" t="s">
        <v>116</v>
      </c>
      <c r="G153" s="27">
        <f>G154</f>
        <v>7191320</v>
      </c>
      <c r="H153" s="27">
        <f t="shared" ref="H153:I153" si="116">H154</f>
        <v>7279920</v>
      </c>
      <c r="I153" s="27">
        <f t="shared" si="116"/>
        <v>7279920</v>
      </c>
      <c r="J153" s="16">
        <f>'БА в тыс. руб.'!G153*1000</f>
        <v>7191320</v>
      </c>
      <c r="K153" s="169">
        <f t="shared" si="102"/>
        <v>0</v>
      </c>
      <c r="L153" s="16">
        <f>'БА в тыс. руб.'!H153*1000</f>
        <v>7279920</v>
      </c>
      <c r="M153" s="169">
        <f t="shared" si="103"/>
        <v>0</v>
      </c>
      <c r="N153" s="16">
        <f>'БА в тыс. руб.'!I153*1000</f>
        <v>7279920</v>
      </c>
      <c r="O153" s="169">
        <f t="shared" si="104"/>
        <v>0</v>
      </c>
      <c r="S153" s="30"/>
      <c r="T153" s="30"/>
      <c r="U153" s="30"/>
    </row>
    <row r="154" spans="1:21" s="4" customFormat="1" ht="25.5">
      <c r="A154" s="12" t="s">
        <v>973</v>
      </c>
      <c r="B154" s="25" t="s">
        <v>55</v>
      </c>
      <c r="C154" s="26" t="s">
        <v>65</v>
      </c>
      <c r="D154" s="26" t="s">
        <v>84</v>
      </c>
      <c r="E154" s="26" t="s">
        <v>248</v>
      </c>
      <c r="F154" s="26" t="s">
        <v>1043</v>
      </c>
      <c r="G154" s="27">
        <f t="shared" ref="G154" si="117">J154</f>
        <v>7191320</v>
      </c>
      <c r="H154" s="27">
        <f>L154</f>
        <v>7279920</v>
      </c>
      <c r="I154" s="27">
        <f>N154</f>
        <v>7279920</v>
      </c>
      <c r="J154" s="16">
        <f>'БА в тыс. руб.'!G154*1000</f>
        <v>7191320</v>
      </c>
      <c r="K154" s="169">
        <f t="shared" si="102"/>
        <v>0</v>
      </c>
      <c r="L154" s="16">
        <f>'БА в тыс. руб.'!H154*1000</f>
        <v>7279920</v>
      </c>
      <c r="M154" s="169">
        <f t="shared" si="103"/>
        <v>0</v>
      </c>
      <c r="N154" s="16">
        <f>'БА в тыс. руб.'!I154*1000</f>
        <v>7279920</v>
      </c>
      <c r="O154" s="169">
        <f t="shared" si="104"/>
        <v>0</v>
      </c>
      <c r="S154" s="83"/>
      <c r="T154" s="83"/>
      <c r="U154" s="83"/>
    </row>
    <row r="155" spans="1:21" s="3" customFormat="1">
      <c r="A155" s="11" t="s">
        <v>97</v>
      </c>
      <c r="B155" s="25" t="s">
        <v>55</v>
      </c>
      <c r="C155" s="26" t="s">
        <v>65</v>
      </c>
      <c r="D155" s="26" t="s">
        <v>84</v>
      </c>
      <c r="E155" s="26" t="s">
        <v>248</v>
      </c>
      <c r="F155" s="108">
        <v>850</v>
      </c>
      <c r="G155" s="27">
        <f>SUM(G156:G157)</f>
        <v>1297430</v>
      </c>
      <c r="H155" s="27">
        <f t="shared" ref="H155:I155" si="118">SUM(H156:H157)</f>
        <v>1297430</v>
      </c>
      <c r="I155" s="27">
        <f t="shared" si="118"/>
        <v>1297430</v>
      </c>
      <c r="J155" s="16">
        <f>'БА в тыс. руб.'!G155*1000</f>
        <v>1297429.9999999998</v>
      </c>
      <c r="K155" s="169">
        <f t="shared" si="102"/>
        <v>0</v>
      </c>
      <c r="L155" s="16">
        <f>'БА в тыс. руб.'!H155*1000</f>
        <v>1297429.9999999998</v>
      </c>
      <c r="M155" s="169">
        <f t="shared" si="103"/>
        <v>0</v>
      </c>
      <c r="N155" s="16">
        <f>'БА в тыс. руб.'!I155*1000</f>
        <v>1297429.9999999998</v>
      </c>
      <c r="O155" s="169">
        <f t="shared" si="104"/>
        <v>0</v>
      </c>
      <c r="S155" s="30"/>
      <c r="T155" s="30"/>
      <c r="U155" s="30"/>
    </row>
    <row r="156" spans="1:21" s="4" customFormat="1">
      <c r="A156" s="12" t="s">
        <v>1036</v>
      </c>
      <c r="B156" s="25" t="s">
        <v>55</v>
      </c>
      <c r="C156" s="26" t="s">
        <v>65</v>
      </c>
      <c r="D156" s="26" t="s">
        <v>84</v>
      </c>
      <c r="E156" s="26" t="s">
        <v>248</v>
      </c>
      <c r="F156" s="47">
        <v>851</v>
      </c>
      <c r="G156" s="27">
        <f t="shared" ref="G156:G157" si="119">J156</f>
        <v>1283590</v>
      </c>
      <c r="H156" s="27">
        <f t="shared" ref="H156:H157" si="120">L156</f>
        <v>1283590</v>
      </c>
      <c r="I156" s="27">
        <f t="shared" ref="I156:I157" si="121">N156</f>
        <v>1283590</v>
      </c>
      <c r="J156" s="16">
        <f>'БА в тыс. руб.'!G156*1000</f>
        <v>1283590</v>
      </c>
      <c r="K156" s="169">
        <f t="shared" si="102"/>
        <v>0</v>
      </c>
      <c r="L156" s="16">
        <f>'БА в тыс. руб.'!H156*1000</f>
        <v>1283590</v>
      </c>
      <c r="M156" s="169">
        <f t="shared" si="103"/>
        <v>0</v>
      </c>
      <c r="N156" s="16">
        <f>'БА в тыс. руб.'!I156*1000</f>
        <v>1283590</v>
      </c>
      <c r="O156" s="169">
        <f t="shared" si="104"/>
        <v>0</v>
      </c>
      <c r="S156" s="83"/>
      <c r="T156" s="83"/>
      <c r="U156" s="83"/>
    </row>
    <row r="157" spans="1:21" s="4" customFormat="1">
      <c r="A157" s="12" t="s">
        <v>1037</v>
      </c>
      <c r="B157" s="25" t="s">
        <v>55</v>
      </c>
      <c r="C157" s="26" t="s">
        <v>65</v>
      </c>
      <c r="D157" s="26" t="s">
        <v>84</v>
      </c>
      <c r="E157" s="26" t="s">
        <v>248</v>
      </c>
      <c r="F157" s="47">
        <v>852</v>
      </c>
      <c r="G157" s="27">
        <f t="shared" si="119"/>
        <v>13840</v>
      </c>
      <c r="H157" s="27">
        <f t="shared" si="120"/>
        <v>13840</v>
      </c>
      <c r="I157" s="27">
        <f t="shared" si="121"/>
        <v>13840</v>
      </c>
      <c r="J157" s="16">
        <f>'БА в тыс. руб.'!G157*1000</f>
        <v>13840</v>
      </c>
      <c r="K157" s="169">
        <f t="shared" si="102"/>
        <v>0</v>
      </c>
      <c r="L157" s="16">
        <f>'БА в тыс. руб.'!H157*1000</f>
        <v>13840</v>
      </c>
      <c r="M157" s="169">
        <f t="shared" si="103"/>
        <v>0</v>
      </c>
      <c r="N157" s="16">
        <f>'БА в тыс. руб.'!I157*1000</f>
        <v>13840</v>
      </c>
      <c r="O157" s="169">
        <f t="shared" si="104"/>
        <v>0</v>
      </c>
      <c r="S157" s="83"/>
      <c r="T157" s="83"/>
      <c r="U157" s="83"/>
    </row>
    <row r="158" spans="1:21" s="3" customFormat="1" ht="38.25">
      <c r="A158" s="12" t="s">
        <v>752</v>
      </c>
      <c r="B158" s="35">
        <v>601</v>
      </c>
      <c r="C158" s="35" t="s">
        <v>65</v>
      </c>
      <c r="D158" s="35">
        <v>13</v>
      </c>
      <c r="E158" s="35" t="s">
        <v>249</v>
      </c>
      <c r="F158" s="35" t="s">
        <v>58</v>
      </c>
      <c r="G158" s="38">
        <f>G159+G168+G183</f>
        <v>1113100</v>
      </c>
      <c r="H158" s="38">
        <f>H159+H168+H183</f>
        <v>1001790</v>
      </c>
      <c r="I158" s="38">
        <f>I159+I168+I183</f>
        <v>1001790</v>
      </c>
      <c r="J158" s="16">
        <f>'БА в тыс. руб.'!G158*1000</f>
        <v>1113100</v>
      </c>
      <c r="K158" s="169">
        <f t="shared" si="102"/>
        <v>0</v>
      </c>
      <c r="L158" s="16">
        <f>'БА в тыс. руб.'!H158*1000</f>
        <v>1001790</v>
      </c>
      <c r="M158" s="169">
        <f t="shared" si="103"/>
        <v>0</v>
      </c>
      <c r="N158" s="16">
        <f>'БА в тыс. руб.'!I158*1000</f>
        <v>1001790</v>
      </c>
      <c r="O158" s="169">
        <f t="shared" si="104"/>
        <v>0</v>
      </c>
      <c r="S158" s="30"/>
      <c r="T158" s="30"/>
      <c r="U158" s="30"/>
    </row>
    <row r="159" spans="1:21" s="3" customFormat="1">
      <c r="A159" s="11" t="s">
        <v>753</v>
      </c>
      <c r="B159" s="35">
        <v>601</v>
      </c>
      <c r="C159" s="35" t="s">
        <v>65</v>
      </c>
      <c r="D159" s="35">
        <v>13</v>
      </c>
      <c r="E159" s="35" t="s">
        <v>250</v>
      </c>
      <c r="F159" s="35" t="s">
        <v>58</v>
      </c>
      <c r="G159" s="38">
        <f>G160+G164</f>
        <v>374000</v>
      </c>
      <c r="H159" s="38">
        <f>H160+H164</f>
        <v>336600</v>
      </c>
      <c r="I159" s="38">
        <f>I160+I164</f>
        <v>336600</v>
      </c>
      <c r="J159" s="16">
        <f>'БА в тыс. руб.'!G159*1000</f>
        <v>374000</v>
      </c>
      <c r="K159" s="169">
        <f t="shared" si="102"/>
        <v>0</v>
      </c>
      <c r="L159" s="16">
        <f>'БА в тыс. руб.'!H159*1000</f>
        <v>336600</v>
      </c>
      <c r="M159" s="169">
        <f t="shared" si="103"/>
        <v>0</v>
      </c>
      <c r="N159" s="16">
        <f>'БА в тыс. руб.'!I159*1000</f>
        <v>336600</v>
      </c>
      <c r="O159" s="169">
        <f t="shared" si="104"/>
        <v>0</v>
      </c>
      <c r="S159" s="30"/>
      <c r="T159" s="30"/>
      <c r="U159" s="30"/>
    </row>
    <row r="160" spans="1:21" s="3" customFormat="1" ht="38.25">
      <c r="A160" s="34" t="s">
        <v>880</v>
      </c>
      <c r="B160" s="35">
        <v>601</v>
      </c>
      <c r="C160" s="35" t="s">
        <v>65</v>
      </c>
      <c r="D160" s="35">
        <v>13</v>
      </c>
      <c r="E160" s="35" t="s">
        <v>538</v>
      </c>
      <c r="F160" s="35" t="s">
        <v>58</v>
      </c>
      <c r="G160" s="38">
        <f>G161</f>
        <v>357000</v>
      </c>
      <c r="H160" s="38">
        <f>H161</f>
        <v>321300</v>
      </c>
      <c r="I160" s="38">
        <f>I161</f>
        <v>321300</v>
      </c>
      <c r="J160" s="16">
        <f>'БА в тыс. руб.'!G160*1000</f>
        <v>357000</v>
      </c>
      <c r="K160" s="169">
        <f t="shared" si="102"/>
        <v>0</v>
      </c>
      <c r="L160" s="16">
        <f>'БА в тыс. руб.'!H160*1000</f>
        <v>321300</v>
      </c>
      <c r="M160" s="169">
        <f t="shared" si="103"/>
        <v>0</v>
      </c>
      <c r="N160" s="16">
        <f>'БА в тыс. руб.'!I160*1000</f>
        <v>321300</v>
      </c>
      <c r="O160" s="169">
        <f t="shared" si="104"/>
        <v>0</v>
      </c>
      <c r="S160" s="30"/>
      <c r="T160" s="30"/>
      <c r="U160" s="30"/>
    </row>
    <row r="161" spans="1:21" s="3" customFormat="1" ht="25.5">
      <c r="A161" s="34" t="s">
        <v>122</v>
      </c>
      <c r="B161" s="35">
        <v>601</v>
      </c>
      <c r="C161" s="35" t="s">
        <v>65</v>
      </c>
      <c r="D161" s="35">
        <v>13</v>
      </c>
      <c r="E161" s="35" t="s">
        <v>539</v>
      </c>
      <c r="F161" s="35" t="s">
        <v>58</v>
      </c>
      <c r="G161" s="38">
        <f>SUM(G162:G162)</f>
        <v>357000</v>
      </c>
      <c r="H161" s="38">
        <f>SUM(H162:H162)</f>
        <v>321300</v>
      </c>
      <c r="I161" s="38">
        <f>SUM(I162:I162)</f>
        <v>321300</v>
      </c>
      <c r="J161" s="16">
        <f>'БА в тыс. руб.'!G161*1000</f>
        <v>357000</v>
      </c>
      <c r="K161" s="169">
        <f t="shared" si="102"/>
        <v>0</v>
      </c>
      <c r="L161" s="16">
        <f>'БА в тыс. руб.'!H161*1000</f>
        <v>321300</v>
      </c>
      <c r="M161" s="169">
        <f t="shared" si="103"/>
        <v>0</v>
      </c>
      <c r="N161" s="16">
        <f>'БА в тыс. руб.'!I161*1000</f>
        <v>321300</v>
      </c>
      <c r="O161" s="169">
        <f t="shared" si="104"/>
        <v>0</v>
      </c>
      <c r="S161" s="30"/>
      <c r="T161" s="30"/>
      <c r="U161" s="30"/>
    </row>
    <row r="162" spans="1:21" s="3" customFormat="1" ht="25.5">
      <c r="A162" s="31" t="s">
        <v>108</v>
      </c>
      <c r="B162" s="35">
        <v>601</v>
      </c>
      <c r="C162" s="35" t="s">
        <v>65</v>
      </c>
      <c r="D162" s="35">
        <v>13</v>
      </c>
      <c r="E162" s="35" t="s">
        <v>539</v>
      </c>
      <c r="F162" s="35" t="s">
        <v>116</v>
      </c>
      <c r="G162" s="27">
        <f>G163</f>
        <v>357000</v>
      </c>
      <c r="H162" s="27">
        <f t="shared" ref="H162:I162" si="122">H163</f>
        <v>321300</v>
      </c>
      <c r="I162" s="27">
        <f t="shared" si="122"/>
        <v>321300</v>
      </c>
      <c r="J162" s="16">
        <f>'БА в тыс. руб.'!G162*1000</f>
        <v>357000</v>
      </c>
      <c r="K162" s="169">
        <f t="shared" si="102"/>
        <v>0</v>
      </c>
      <c r="L162" s="16">
        <f>'БА в тыс. руб.'!H162*1000</f>
        <v>321300</v>
      </c>
      <c r="M162" s="169">
        <f t="shared" si="103"/>
        <v>0</v>
      </c>
      <c r="N162" s="16">
        <f>'БА в тыс. руб.'!I162*1000</f>
        <v>321300</v>
      </c>
      <c r="O162" s="169">
        <f t="shared" si="104"/>
        <v>0</v>
      </c>
      <c r="S162" s="30"/>
      <c r="T162" s="30"/>
      <c r="U162" s="30"/>
    </row>
    <row r="163" spans="1:21" s="4" customFormat="1" ht="25.5">
      <c r="A163" s="12" t="s">
        <v>973</v>
      </c>
      <c r="B163" s="35">
        <v>601</v>
      </c>
      <c r="C163" s="35" t="s">
        <v>65</v>
      </c>
      <c r="D163" s="35">
        <v>13</v>
      </c>
      <c r="E163" s="35" t="s">
        <v>539</v>
      </c>
      <c r="F163" s="35" t="s">
        <v>1043</v>
      </c>
      <c r="G163" s="27">
        <f t="shared" ref="G163" si="123">J163</f>
        <v>357000</v>
      </c>
      <c r="H163" s="27">
        <f>L163</f>
        <v>321300</v>
      </c>
      <c r="I163" s="27">
        <f>N163</f>
        <v>321300</v>
      </c>
      <c r="J163" s="16">
        <f>'БА в тыс. руб.'!G163*1000</f>
        <v>357000</v>
      </c>
      <c r="K163" s="169">
        <f t="shared" si="102"/>
        <v>0</v>
      </c>
      <c r="L163" s="16">
        <f>'БА в тыс. руб.'!H163*1000</f>
        <v>321300</v>
      </c>
      <c r="M163" s="169">
        <f t="shared" si="103"/>
        <v>0</v>
      </c>
      <c r="N163" s="16">
        <f>'БА в тыс. руб.'!I163*1000</f>
        <v>321300</v>
      </c>
      <c r="O163" s="169">
        <f t="shared" si="104"/>
        <v>0</v>
      </c>
      <c r="S163" s="83"/>
      <c r="T163" s="83"/>
      <c r="U163" s="83"/>
    </row>
    <row r="164" spans="1:21" s="3" customFormat="1" ht="25.5">
      <c r="A164" s="31" t="s">
        <v>618</v>
      </c>
      <c r="B164" s="35">
        <v>601</v>
      </c>
      <c r="C164" s="35" t="s">
        <v>65</v>
      </c>
      <c r="D164" s="35">
        <v>13</v>
      </c>
      <c r="E164" s="35" t="s">
        <v>540</v>
      </c>
      <c r="F164" s="35" t="s">
        <v>58</v>
      </c>
      <c r="G164" s="38">
        <f t="shared" ref="G164:I166" si="124">G165</f>
        <v>17000</v>
      </c>
      <c r="H164" s="38">
        <f t="shared" si="124"/>
        <v>15300</v>
      </c>
      <c r="I164" s="38">
        <f t="shared" si="124"/>
        <v>15300</v>
      </c>
      <c r="J164" s="16">
        <f>'БА в тыс. руб.'!G164*1000</f>
        <v>17000</v>
      </c>
      <c r="K164" s="169">
        <f t="shared" si="102"/>
        <v>0</v>
      </c>
      <c r="L164" s="16">
        <f>'БА в тыс. руб.'!H164*1000</f>
        <v>15300</v>
      </c>
      <c r="M164" s="169">
        <f t="shared" si="103"/>
        <v>0</v>
      </c>
      <c r="N164" s="16">
        <f>'БА в тыс. руб.'!I164*1000</f>
        <v>15300</v>
      </c>
      <c r="O164" s="169">
        <f t="shared" si="104"/>
        <v>0</v>
      </c>
      <c r="S164" s="30"/>
      <c r="T164" s="30"/>
      <c r="U164" s="30"/>
    </row>
    <row r="165" spans="1:21" s="3" customFormat="1" ht="25.5">
      <c r="A165" s="31" t="s">
        <v>122</v>
      </c>
      <c r="B165" s="35">
        <v>601</v>
      </c>
      <c r="C165" s="35" t="s">
        <v>65</v>
      </c>
      <c r="D165" s="35">
        <v>13</v>
      </c>
      <c r="E165" s="35" t="s">
        <v>571</v>
      </c>
      <c r="F165" s="35" t="s">
        <v>58</v>
      </c>
      <c r="G165" s="38">
        <f t="shared" si="124"/>
        <v>17000</v>
      </c>
      <c r="H165" s="38">
        <f t="shared" si="124"/>
        <v>15300</v>
      </c>
      <c r="I165" s="38">
        <f t="shared" si="124"/>
        <v>15300</v>
      </c>
      <c r="J165" s="16">
        <f>'БА в тыс. руб.'!G165*1000</f>
        <v>17000</v>
      </c>
      <c r="K165" s="169">
        <f t="shared" si="102"/>
        <v>0</v>
      </c>
      <c r="L165" s="16">
        <f>'БА в тыс. руб.'!H165*1000</f>
        <v>15300</v>
      </c>
      <c r="M165" s="169">
        <f t="shared" si="103"/>
        <v>0</v>
      </c>
      <c r="N165" s="16">
        <f>'БА в тыс. руб.'!I165*1000</f>
        <v>15300</v>
      </c>
      <c r="O165" s="169">
        <f t="shared" si="104"/>
        <v>0</v>
      </c>
      <c r="S165" s="30"/>
      <c r="T165" s="30"/>
      <c r="U165" s="30"/>
    </row>
    <row r="166" spans="1:21" s="3" customFormat="1" ht="25.5">
      <c r="A166" s="31" t="s">
        <v>108</v>
      </c>
      <c r="B166" s="35">
        <v>601</v>
      </c>
      <c r="C166" s="35" t="s">
        <v>65</v>
      </c>
      <c r="D166" s="35">
        <v>13</v>
      </c>
      <c r="E166" s="35" t="s">
        <v>571</v>
      </c>
      <c r="F166" s="35" t="s">
        <v>116</v>
      </c>
      <c r="G166" s="27">
        <f>G167</f>
        <v>17000</v>
      </c>
      <c r="H166" s="27">
        <f t="shared" si="124"/>
        <v>15300</v>
      </c>
      <c r="I166" s="27">
        <f t="shared" si="124"/>
        <v>15300</v>
      </c>
      <c r="J166" s="16">
        <f>'БА в тыс. руб.'!G166*1000</f>
        <v>17000</v>
      </c>
      <c r="K166" s="169">
        <f t="shared" si="102"/>
        <v>0</v>
      </c>
      <c r="L166" s="16">
        <f>'БА в тыс. руб.'!H166*1000</f>
        <v>15300</v>
      </c>
      <c r="M166" s="169">
        <f t="shared" si="103"/>
        <v>0</v>
      </c>
      <c r="N166" s="16">
        <f>'БА в тыс. руб.'!I166*1000</f>
        <v>15300</v>
      </c>
      <c r="O166" s="169">
        <f t="shared" si="104"/>
        <v>0</v>
      </c>
      <c r="S166" s="30"/>
      <c r="T166" s="30"/>
      <c r="U166" s="30"/>
    </row>
    <row r="167" spans="1:21" s="4" customFormat="1" ht="25.5">
      <c r="A167" s="12" t="s">
        <v>973</v>
      </c>
      <c r="B167" s="35">
        <v>601</v>
      </c>
      <c r="C167" s="35" t="s">
        <v>65</v>
      </c>
      <c r="D167" s="35">
        <v>13</v>
      </c>
      <c r="E167" s="35" t="s">
        <v>571</v>
      </c>
      <c r="F167" s="35" t="s">
        <v>1043</v>
      </c>
      <c r="G167" s="27">
        <f t="shared" ref="G167" si="125">J167</f>
        <v>17000</v>
      </c>
      <c r="H167" s="27">
        <f>L167</f>
        <v>15300</v>
      </c>
      <c r="I167" s="27">
        <f>N167</f>
        <v>15300</v>
      </c>
      <c r="J167" s="16">
        <f>'БА в тыс. руб.'!G167*1000</f>
        <v>17000</v>
      </c>
      <c r="K167" s="169">
        <f t="shared" si="102"/>
        <v>0</v>
      </c>
      <c r="L167" s="16">
        <f>'БА в тыс. руб.'!H167*1000</f>
        <v>15300</v>
      </c>
      <c r="M167" s="169">
        <f t="shared" si="103"/>
        <v>0</v>
      </c>
      <c r="N167" s="16">
        <f>'БА в тыс. руб.'!I167*1000</f>
        <v>15300</v>
      </c>
      <c r="O167" s="169">
        <f t="shared" si="104"/>
        <v>0</v>
      </c>
      <c r="S167" s="83"/>
      <c r="T167" s="83"/>
      <c r="U167" s="83"/>
    </row>
    <row r="168" spans="1:21" s="3" customFormat="1">
      <c r="A168" s="12" t="s">
        <v>754</v>
      </c>
      <c r="B168" s="108">
        <v>601</v>
      </c>
      <c r="C168" s="35" t="s">
        <v>65</v>
      </c>
      <c r="D168" s="35">
        <v>13</v>
      </c>
      <c r="E168" s="35" t="s">
        <v>251</v>
      </c>
      <c r="F168" s="35" t="s">
        <v>58</v>
      </c>
      <c r="G168" s="38">
        <f>G173+G178+G169</f>
        <v>460300</v>
      </c>
      <c r="H168" s="38">
        <f t="shared" ref="H168:I168" si="126">H173+H178+H169</f>
        <v>414270</v>
      </c>
      <c r="I168" s="38">
        <f t="shared" si="126"/>
        <v>414270</v>
      </c>
      <c r="J168" s="16">
        <f>'БА в тыс. руб.'!G168*1000</f>
        <v>460300</v>
      </c>
      <c r="K168" s="169">
        <f t="shared" si="102"/>
        <v>0</v>
      </c>
      <c r="L168" s="16">
        <f>'БА в тыс. руб.'!H168*1000</f>
        <v>414270</v>
      </c>
      <c r="M168" s="169">
        <f t="shared" si="103"/>
        <v>0</v>
      </c>
      <c r="N168" s="16">
        <f>'БА в тыс. руб.'!I168*1000</f>
        <v>414270</v>
      </c>
      <c r="O168" s="169">
        <f t="shared" si="104"/>
        <v>0</v>
      </c>
      <c r="S168" s="30"/>
      <c r="T168" s="30"/>
      <c r="U168" s="30"/>
    </row>
    <row r="169" spans="1:21" s="3" customFormat="1" ht="38.25">
      <c r="A169" s="34" t="s">
        <v>774</v>
      </c>
      <c r="B169" s="108">
        <v>601</v>
      </c>
      <c r="C169" s="35" t="s">
        <v>65</v>
      </c>
      <c r="D169" s="35">
        <v>13</v>
      </c>
      <c r="E169" s="35" t="s">
        <v>775</v>
      </c>
      <c r="F169" s="35" t="s">
        <v>58</v>
      </c>
      <c r="G169" s="38">
        <f>G170</f>
        <v>83300</v>
      </c>
      <c r="H169" s="38">
        <f t="shared" ref="H169:I171" si="127">H170</f>
        <v>74970</v>
      </c>
      <c r="I169" s="38">
        <f t="shared" si="127"/>
        <v>74970</v>
      </c>
      <c r="J169" s="16">
        <f>'БА в тыс. руб.'!G169*1000</f>
        <v>83300</v>
      </c>
      <c r="K169" s="169">
        <f t="shared" si="102"/>
        <v>0</v>
      </c>
      <c r="L169" s="16">
        <f>'БА в тыс. руб.'!H169*1000</f>
        <v>74970</v>
      </c>
      <c r="M169" s="169">
        <f t="shared" si="103"/>
        <v>0</v>
      </c>
      <c r="N169" s="16">
        <f>'БА в тыс. руб.'!I169*1000</f>
        <v>74970</v>
      </c>
      <c r="O169" s="169">
        <f t="shared" si="104"/>
        <v>0</v>
      </c>
      <c r="S169" s="30"/>
      <c r="T169" s="30"/>
      <c r="U169" s="30"/>
    </row>
    <row r="170" spans="1:21" s="3" customFormat="1" ht="51">
      <c r="A170" s="34" t="s">
        <v>873</v>
      </c>
      <c r="B170" s="108">
        <v>601</v>
      </c>
      <c r="C170" s="35" t="s">
        <v>65</v>
      </c>
      <c r="D170" s="35">
        <v>13</v>
      </c>
      <c r="E170" s="35" t="s">
        <v>776</v>
      </c>
      <c r="F170" s="35" t="s">
        <v>58</v>
      </c>
      <c r="G170" s="27">
        <f>G171</f>
        <v>83300</v>
      </c>
      <c r="H170" s="27">
        <f t="shared" si="127"/>
        <v>74970</v>
      </c>
      <c r="I170" s="27">
        <f t="shared" si="127"/>
        <v>74970</v>
      </c>
      <c r="J170" s="16">
        <f>'БА в тыс. руб.'!G170*1000</f>
        <v>83300</v>
      </c>
      <c r="K170" s="169">
        <f t="shared" si="102"/>
        <v>0</v>
      </c>
      <c r="L170" s="16">
        <f>'БА в тыс. руб.'!H170*1000</f>
        <v>74970</v>
      </c>
      <c r="M170" s="169">
        <f t="shared" si="103"/>
        <v>0</v>
      </c>
      <c r="N170" s="16">
        <f>'БА в тыс. руб.'!I170*1000</f>
        <v>74970</v>
      </c>
      <c r="O170" s="169">
        <f t="shared" si="104"/>
        <v>0</v>
      </c>
      <c r="S170" s="30"/>
      <c r="T170" s="30"/>
      <c r="U170" s="30"/>
    </row>
    <row r="171" spans="1:21" s="3" customFormat="1" ht="25.5">
      <c r="A171" s="11" t="s">
        <v>108</v>
      </c>
      <c r="B171" s="108">
        <v>601</v>
      </c>
      <c r="C171" s="35" t="s">
        <v>65</v>
      </c>
      <c r="D171" s="35">
        <v>13</v>
      </c>
      <c r="E171" s="35" t="s">
        <v>776</v>
      </c>
      <c r="F171" s="35" t="s">
        <v>116</v>
      </c>
      <c r="G171" s="27">
        <f>G172</f>
        <v>83300</v>
      </c>
      <c r="H171" s="27">
        <f t="shared" si="127"/>
        <v>74970</v>
      </c>
      <c r="I171" s="27">
        <f t="shared" si="127"/>
        <v>74970</v>
      </c>
      <c r="J171" s="16">
        <f>'БА в тыс. руб.'!G171*1000</f>
        <v>83300</v>
      </c>
      <c r="K171" s="169">
        <f t="shared" si="102"/>
        <v>0</v>
      </c>
      <c r="L171" s="16">
        <f>'БА в тыс. руб.'!H171*1000</f>
        <v>74970</v>
      </c>
      <c r="M171" s="169">
        <f t="shared" si="103"/>
        <v>0</v>
      </c>
      <c r="N171" s="16">
        <f>'БА в тыс. руб.'!I171*1000</f>
        <v>74970</v>
      </c>
      <c r="O171" s="169">
        <f t="shared" si="104"/>
        <v>0</v>
      </c>
      <c r="S171" s="30"/>
      <c r="T171" s="30"/>
      <c r="U171" s="30"/>
    </row>
    <row r="172" spans="1:21" s="4" customFormat="1" ht="25.5">
      <c r="A172" s="12" t="s">
        <v>973</v>
      </c>
      <c r="B172" s="108">
        <v>601</v>
      </c>
      <c r="C172" s="35" t="s">
        <v>65</v>
      </c>
      <c r="D172" s="35">
        <v>13</v>
      </c>
      <c r="E172" s="35" t="s">
        <v>776</v>
      </c>
      <c r="F172" s="35" t="s">
        <v>1043</v>
      </c>
      <c r="G172" s="27">
        <f t="shared" ref="G172" si="128">J172</f>
        <v>83300</v>
      </c>
      <c r="H172" s="27">
        <f>L172</f>
        <v>74970</v>
      </c>
      <c r="I172" s="27">
        <f>N172</f>
        <v>74970</v>
      </c>
      <c r="J172" s="16">
        <f>'БА в тыс. руб.'!G172*1000</f>
        <v>83300</v>
      </c>
      <c r="K172" s="169">
        <f t="shared" si="102"/>
        <v>0</v>
      </c>
      <c r="L172" s="16">
        <f>'БА в тыс. руб.'!H172*1000</f>
        <v>74970</v>
      </c>
      <c r="M172" s="169">
        <f t="shared" si="103"/>
        <v>0</v>
      </c>
      <c r="N172" s="16">
        <f>'БА в тыс. руб.'!I172*1000</f>
        <v>74970</v>
      </c>
      <c r="O172" s="169">
        <f t="shared" si="104"/>
        <v>0</v>
      </c>
      <c r="S172" s="83"/>
      <c r="T172" s="83"/>
      <c r="U172" s="83"/>
    </row>
    <row r="173" spans="1:21" s="3" customFormat="1" ht="38.25">
      <c r="A173" s="34" t="s">
        <v>611</v>
      </c>
      <c r="B173" s="108">
        <v>601</v>
      </c>
      <c r="C173" s="35" t="s">
        <v>65</v>
      </c>
      <c r="D173" s="35">
        <v>13</v>
      </c>
      <c r="E173" s="35" t="s">
        <v>252</v>
      </c>
      <c r="F173" s="26" t="s">
        <v>58</v>
      </c>
      <c r="G173" s="27">
        <f>G174</f>
        <v>175000</v>
      </c>
      <c r="H173" s="27">
        <f>H174</f>
        <v>157500</v>
      </c>
      <c r="I173" s="27">
        <f>I174</f>
        <v>157500</v>
      </c>
      <c r="J173" s="16">
        <f>'БА в тыс. руб.'!G173*1000</f>
        <v>175000</v>
      </c>
      <c r="K173" s="169">
        <f t="shared" si="102"/>
        <v>0</v>
      </c>
      <c r="L173" s="16">
        <f>'БА в тыс. руб.'!H173*1000</f>
        <v>157500</v>
      </c>
      <c r="M173" s="169">
        <f t="shared" si="103"/>
        <v>0</v>
      </c>
      <c r="N173" s="16">
        <f>'БА в тыс. руб.'!I173*1000</f>
        <v>157500</v>
      </c>
      <c r="O173" s="169">
        <f t="shared" si="104"/>
        <v>0</v>
      </c>
      <c r="S173" s="30"/>
      <c r="T173" s="30"/>
      <c r="U173" s="30"/>
    </row>
    <row r="174" spans="1:21" s="3" customFormat="1" ht="51">
      <c r="A174" s="34" t="s">
        <v>873</v>
      </c>
      <c r="B174" s="108">
        <v>601</v>
      </c>
      <c r="C174" s="35" t="s">
        <v>65</v>
      </c>
      <c r="D174" s="35">
        <v>13</v>
      </c>
      <c r="E174" s="35" t="s">
        <v>253</v>
      </c>
      <c r="F174" s="26" t="s">
        <v>58</v>
      </c>
      <c r="G174" s="27">
        <f>G175+G177</f>
        <v>175000</v>
      </c>
      <c r="H174" s="27">
        <f>H175+H177</f>
        <v>157500</v>
      </c>
      <c r="I174" s="27">
        <f>I175+I177</f>
        <v>157500</v>
      </c>
      <c r="J174" s="16">
        <f>'БА в тыс. руб.'!G174*1000</f>
        <v>175000</v>
      </c>
      <c r="K174" s="169">
        <f t="shared" si="102"/>
        <v>0</v>
      </c>
      <c r="L174" s="16">
        <f>'БА в тыс. руб.'!H174*1000</f>
        <v>157500</v>
      </c>
      <c r="M174" s="169">
        <f t="shared" si="103"/>
        <v>0</v>
      </c>
      <c r="N174" s="16">
        <f>'БА в тыс. руб.'!I174*1000</f>
        <v>157500</v>
      </c>
      <c r="O174" s="169">
        <f t="shared" si="104"/>
        <v>0</v>
      </c>
      <c r="S174" s="30"/>
      <c r="T174" s="30"/>
      <c r="U174" s="30"/>
    </row>
    <row r="175" spans="1:21" s="3" customFormat="1" ht="25.5">
      <c r="A175" s="11" t="s">
        <v>108</v>
      </c>
      <c r="B175" s="108">
        <v>601</v>
      </c>
      <c r="C175" s="35" t="s">
        <v>65</v>
      </c>
      <c r="D175" s="35">
        <v>13</v>
      </c>
      <c r="E175" s="35" t="s">
        <v>253</v>
      </c>
      <c r="F175" s="26" t="s">
        <v>116</v>
      </c>
      <c r="G175" s="27">
        <f>G176</f>
        <v>105000</v>
      </c>
      <c r="H175" s="27">
        <f t="shared" ref="H175:I175" si="129">H176</f>
        <v>94500</v>
      </c>
      <c r="I175" s="27">
        <f t="shared" si="129"/>
        <v>94500</v>
      </c>
      <c r="J175" s="16">
        <f>'БА в тыс. руб.'!G175*1000</f>
        <v>105000</v>
      </c>
      <c r="K175" s="169">
        <f t="shared" si="102"/>
        <v>0</v>
      </c>
      <c r="L175" s="16">
        <f>'БА в тыс. руб.'!H175*1000</f>
        <v>94500</v>
      </c>
      <c r="M175" s="169">
        <f t="shared" si="103"/>
        <v>0</v>
      </c>
      <c r="N175" s="16">
        <f>'БА в тыс. руб.'!I175*1000</f>
        <v>94500</v>
      </c>
      <c r="O175" s="169">
        <f t="shared" si="104"/>
        <v>0</v>
      </c>
      <c r="S175" s="30"/>
      <c r="T175" s="30"/>
      <c r="U175" s="30"/>
    </row>
    <row r="176" spans="1:21" s="4" customFormat="1" ht="25.5">
      <c r="A176" s="12" t="s">
        <v>973</v>
      </c>
      <c r="B176" s="108">
        <v>601</v>
      </c>
      <c r="C176" s="35" t="s">
        <v>65</v>
      </c>
      <c r="D176" s="35">
        <v>13</v>
      </c>
      <c r="E176" s="35" t="s">
        <v>253</v>
      </c>
      <c r="F176" s="26" t="s">
        <v>1043</v>
      </c>
      <c r="G176" s="27">
        <f t="shared" ref="G176:G177" si="130">J176</f>
        <v>105000</v>
      </c>
      <c r="H176" s="27">
        <f t="shared" ref="H176:H177" si="131">L176</f>
        <v>94500</v>
      </c>
      <c r="I176" s="27">
        <f t="shared" ref="I176:I177" si="132">N176</f>
        <v>94500</v>
      </c>
      <c r="J176" s="16">
        <f>'БА в тыс. руб.'!G176*1000</f>
        <v>105000</v>
      </c>
      <c r="K176" s="169">
        <f t="shared" si="102"/>
        <v>0</v>
      </c>
      <c r="L176" s="16">
        <f>'БА в тыс. руб.'!H176*1000</f>
        <v>94500</v>
      </c>
      <c r="M176" s="169">
        <f t="shared" si="103"/>
        <v>0</v>
      </c>
      <c r="N176" s="16">
        <f>'БА в тыс. руб.'!I176*1000</f>
        <v>94500</v>
      </c>
      <c r="O176" s="169">
        <f t="shared" si="104"/>
        <v>0</v>
      </c>
      <c r="S176" s="83"/>
      <c r="T176" s="83"/>
      <c r="U176" s="83"/>
    </row>
    <row r="177" spans="1:21" s="3" customFormat="1">
      <c r="A177" s="31" t="s">
        <v>91</v>
      </c>
      <c r="B177" s="108">
        <v>601</v>
      </c>
      <c r="C177" s="35" t="s">
        <v>65</v>
      </c>
      <c r="D177" s="35">
        <v>13</v>
      </c>
      <c r="E177" s="35" t="s">
        <v>253</v>
      </c>
      <c r="F177" s="26" t="s">
        <v>100</v>
      </c>
      <c r="G177" s="27">
        <f t="shared" si="130"/>
        <v>70000</v>
      </c>
      <c r="H177" s="27">
        <f t="shared" si="131"/>
        <v>63000</v>
      </c>
      <c r="I177" s="27">
        <f t="shared" si="132"/>
        <v>63000</v>
      </c>
      <c r="J177" s="16">
        <f>'БА в тыс. руб.'!G177*1000</f>
        <v>70000</v>
      </c>
      <c r="K177" s="169">
        <f t="shared" si="102"/>
        <v>0</v>
      </c>
      <c r="L177" s="16">
        <f>'БА в тыс. руб.'!H177*1000</f>
        <v>63000</v>
      </c>
      <c r="M177" s="169">
        <f t="shared" si="103"/>
        <v>0</v>
      </c>
      <c r="N177" s="16">
        <f>'БА в тыс. руб.'!I177*1000</f>
        <v>63000</v>
      </c>
      <c r="O177" s="169">
        <f t="shared" si="104"/>
        <v>0</v>
      </c>
      <c r="S177" s="30"/>
      <c r="T177" s="30"/>
      <c r="U177" s="30"/>
    </row>
    <row r="178" spans="1:21" s="3" customFormat="1" ht="25.5">
      <c r="A178" s="34" t="s">
        <v>615</v>
      </c>
      <c r="B178" s="108">
        <v>601</v>
      </c>
      <c r="C178" s="35" t="s">
        <v>65</v>
      </c>
      <c r="D178" s="35">
        <v>13</v>
      </c>
      <c r="E178" s="35" t="s">
        <v>254</v>
      </c>
      <c r="F178" s="26" t="s">
        <v>58</v>
      </c>
      <c r="G178" s="27">
        <f>G179</f>
        <v>202000</v>
      </c>
      <c r="H178" s="27">
        <f>H179</f>
        <v>181800</v>
      </c>
      <c r="I178" s="27">
        <f>I179</f>
        <v>181800</v>
      </c>
      <c r="J178" s="16">
        <f>'БА в тыс. руб.'!G178*1000</f>
        <v>202000</v>
      </c>
      <c r="K178" s="169">
        <f t="shared" si="102"/>
        <v>0</v>
      </c>
      <c r="L178" s="16">
        <f>'БА в тыс. руб.'!H178*1000</f>
        <v>181800</v>
      </c>
      <c r="M178" s="169">
        <f t="shared" si="103"/>
        <v>0</v>
      </c>
      <c r="N178" s="16">
        <f>'БА в тыс. руб.'!I178*1000</f>
        <v>181800</v>
      </c>
      <c r="O178" s="169">
        <f t="shared" si="104"/>
        <v>0</v>
      </c>
      <c r="S178" s="30"/>
      <c r="T178" s="30"/>
      <c r="U178" s="30"/>
    </row>
    <row r="179" spans="1:21" s="3" customFormat="1" ht="51">
      <c r="A179" s="34" t="s">
        <v>873</v>
      </c>
      <c r="B179" s="108">
        <v>601</v>
      </c>
      <c r="C179" s="35" t="s">
        <v>65</v>
      </c>
      <c r="D179" s="35">
        <v>13</v>
      </c>
      <c r="E179" s="35" t="s">
        <v>255</v>
      </c>
      <c r="F179" s="26" t="s">
        <v>58</v>
      </c>
      <c r="G179" s="27">
        <f>G180+G182</f>
        <v>202000</v>
      </c>
      <c r="H179" s="27">
        <f>H180+H182</f>
        <v>181800</v>
      </c>
      <c r="I179" s="27">
        <f>I180+I182</f>
        <v>181800</v>
      </c>
      <c r="J179" s="16">
        <f>'БА в тыс. руб.'!G179*1000</f>
        <v>202000</v>
      </c>
      <c r="K179" s="169">
        <f t="shared" si="102"/>
        <v>0</v>
      </c>
      <c r="L179" s="16">
        <f>'БА в тыс. руб.'!H179*1000</f>
        <v>181800</v>
      </c>
      <c r="M179" s="169">
        <f t="shared" si="103"/>
        <v>0</v>
      </c>
      <c r="N179" s="16">
        <f>'БА в тыс. руб.'!I179*1000</f>
        <v>181800</v>
      </c>
      <c r="O179" s="169">
        <f t="shared" si="104"/>
        <v>0</v>
      </c>
      <c r="S179" s="30"/>
      <c r="T179" s="30"/>
      <c r="U179" s="30"/>
    </row>
    <row r="180" spans="1:21" s="3" customFormat="1" ht="25.5">
      <c r="A180" s="11" t="s">
        <v>108</v>
      </c>
      <c r="B180" s="108">
        <v>601</v>
      </c>
      <c r="C180" s="35" t="s">
        <v>65</v>
      </c>
      <c r="D180" s="35">
        <v>13</v>
      </c>
      <c r="E180" s="35" t="s">
        <v>255</v>
      </c>
      <c r="F180" s="26" t="s">
        <v>116</v>
      </c>
      <c r="G180" s="27">
        <f>G181</f>
        <v>140000</v>
      </c>
      <c r="H180" s="27">
        <f t="shared" ref="H180:I180" si="133">H181</f>
        <v>121800</v>
      </c>
      <c r="I180" s="27">
        <f t="shared" si="133"/>
        <v>121800</v>
      </c>
      <c r="J180" s="16">
        <f>'БА в тыс. руб.'!G180*1000</f>
        <v>140000</v>
      </c>
      <c r="K180" s="169">
        <f t="shared" si="102"/>
        <v>0</v>
      </c>
      <c r="L180" s="16">
        <f>'БА в тыс. руб.'!H180*1000</f>
        <v>121800</v>
      </c>
      <c r="M180" s="169">
        <f t="shared" si="103"/>
        <v>0</v>
      </c>
      <c r="N180" s="16">
        <f>'БА в тыс. руб.'!I180*1000</f>
        <v>121800</v>
      </c>
      <c r="O180" s="169">
        <f t="shared" si="104"/>
        <v>0</v>
      </c>
      <c r="S180" s="30"/>
      <c r="T180" s="30"/>
      <c r="U180" s="30"/>
    </row>
    <row r="181" spans="1:21" s="4" customFormat="1" ht="25.5">
      <c r="A181" s="12" t="s">
        <v>973</v>
      </c>
      <c r="B181" s="108">
        <v>601</v>
      </c>
      <c r="C181" s="35" t="s">
        <v>65</v>
      </c>
      <c r="D181" s="35">
        <v>13</v>
      </c>
      <c r="E181" s="35" t="s">
        <v>255</v>
      </c>
      <c r="F181" s="26" t="s">
        <v>1043</v>
      </c>
      <c r="G181" s="27">
        <f t="shared" ref="G181:G182" si="134">J181</f>
        <v>140000</v>
      </c>
      <c r="H181" s="27">
        <f t="shared" ref="H181:H182" si="135">L181</f>
        <v>121800</v>
      </c>
      <c r="I181" s="27">
        <f t="shared" ref="I181:I182" si="136">N181</f>
        <v>121800</v>
      </c>
      <c r="J181" s="16">
        <f>'БА в тыс. руб.'!G181*1000</f>
        <v>140000</v>
      </c>
      <c r="K181" s="169">
        <f t="shared" si="102"/>
        <v>0</v>
      </c>
      <c r="L181" s="16">
        <f>'БА в тыс. руб.'!H181*1000</f>
        <v>121800</v>
      </c>
      <c r="M181" s="169">
        <f t="shared" si="103"/>
        <v>0</v>
      </c>
      <c r="N181" s="16">
        <f>'БА в тыс. руб.'!I181*1000</f>
        <v>121800</v>
      </c>
      <c r="O181" s="169">
        <f t="shared" si="104"/>
        <v>0</v>
      </c>
      <c r="S181" s="83"/>
      <c r="T181" s="83"/>
      <c r="U181" s="83"/>
    </row>
    <row r="182" spans="1:21" s="3" customFormat="1">
      <c r="A182" s="31" t="s">
        <v>91</v>
      </c>
      <c r="B182" s="108">
        <v>601</v>
      </c>
      <c r="C182" s="35" t="s">
        <v>65</v>
      </c>
      <c r="D182" s="35">
        <v>13</v>
      </c>
      <c r="E182" s="35" t="s">
        <v>255</v>
      </c>
      <c r="F182" s="26" t="s">
        <v>100</v>
      </c>
      <c r="G182" s="27">
        <f t="shared" si="134"/>
        <v>62000</v>
      </c>
      <c r="H182" s="27">
        <f t="shared" si="135"/>
        <v>60000</v>
      </c>
      <c r="I182" s="27">
        <f t="shared" si="136"/>
        <v>60000</v>
      </c>
      <c r="J182" s="16">
        <f>'БА в тыс. руб.'!G182*1000</f>
        <v>62000</v>
      </c>
      <c r="K182" s="169">
        <f t="shared" si="102"/>
        <v>0</v>
      </c>
      <c r="L182" s="16">
        <f>'БА в тыс. руб.'!H182*1000</f>
        <v>60000</v>
      </c>
      <c r="M182" s="169">
        <f t="shared" si="103"/>
        <v>0</v>
      </c>
      <c r="N182" s="16">
        <f>'БА в тыс. руб.'!I182*1000</f>
        <v>60000</v>
      </c>
      <c r="O182" s="169">
        <f t="shared" si="104"/>
        <v>0</v>
      </c>
      <c r="S182" s="30"/>
      <c r="T182" s="30"/>
      <c r="U182" s="30"/>
    </row>
    <row r="183" spans="1:21" s="3" customFormat="1" ht="25.5">
      <c r="A183" s="11" t="s">
        <v>755</v>
      </c>
      <c r="B183" s="108">
        <v>601</v>
      </c>
      <c r="C183" s="35" t="s">
        <v>65</v>
      </c>
      <c r="D183" s="35">
        <v>13</v>
      </c>
      <c r="E183" s="35" t="s">
        <v>256</v>
      </c>
      <c r="F183" s="26" t="s">
        <v>58</v>
      </c>
      <c r="G183" s="27">
        <f t="shared" ref="G183:I185" si="137">G184</f>
        <v>278800</v>
      </c>
      <c r="H183" s="27">
        <f t="shared" si="137"/>
        <v>250920</v>
      </c>
      <c r="I183" s="27">
        <f t="shared" si="137"/>
        <v>250920</v>
      </c>
      <c r="J183" s="16">
        <f>'БА в тыс. руб.'!G183*1000</f>
        <v>278800</v>
      </c>
      <c r="K183" s="169">
        <f t="shared" si="102"/>
        <v>0</v>
      </c>
      <c r="L183" s="16">
        <f>'БА в тыс. руб.'!H183*1000</f>
        <v>250920</v>
      </c>
      <c r="M183" s="169">
        <f t="shared" si="103"/>
        <v>0</v>
      </c>
      <c r="N183" s="16">
        <f>'БА в тыс. руб.'!I183*1000</f>
        <v>250920</v>
      </c>
      <c r="O183" s="169">
        <f t="shared" si="104"/>
        <v>0</v>
      </c>
      <c r="S183" s="30"/>
      <c r="T183" s="30"/>
      <c r="U183" s="30"/>
    </row>
    <row r="184" spans="1:21" s="3" customFormat="1" ht="25.5">
      <c r="A184" s="11" t="s">
        <v>679</v>
      </c>
      <c r="B184" s="108">
        <v>601</v>
      </c>
      <c r="C184" s="35" t="s">
        <v>65</v>
      </c>
      <c r="D184" s="35">
        <v>13</v>
      </c>
      <c r="E184" s="35" t="s">
        <v>257</v>
      </c>
      <c r="F184" s="26" t="s">
        <v>58</v>
      </c>
      <c r="G184" s="27">
        <f t="shared" si="137"/>
        <v>278800</v>
      </c>
      <c r="H184" s="27">
        <f t="shared" si="137"/>
        <v>250920</v>
      </c>
      <c r="I184" s="27">
        <f t="shared" si="137"/>
        <v>250920</v>
      </c>
      <c r="J184" s="16">
        <f>'БА в тыс. руб.'!G184*1000</f>
        <v>278800</v>
      </c>
      <c r="K184" s="169">
        <f t="shared" si="102"/>
        <v>0</v>
      </c>
      <c r="L184" s="16">
        <f>'БА в тыс. руб.'!H184*1000</f>
        <v>250920</v>
      </c>
      <c r="M184" s="169">
        <f t="shared" si="103"/>
        <v>0</v>
      </c>
      <c r="N184" s="16">
        <f>'БА в тыс. руб.'!I184*1000</f>
        <v>250920</v>
      </c>
      <c r="O184" s="169">
        <f t="shared" si="104"/>
        <v>0</v>
      </c>
      <c r="S184" s="30"/>
      <c r="T184" s="30"/>
      <c r="U184" s="30"/>
    </row>
    <row r="185" spans="1:21" s="3" customFormat="1" ht="38.25">
      <c r="A185" s="11" t="s">
        <v>678</v>
      </c>
      <c r="B185" s="108">
        <v>601</v>
      </c>
      <c r="C185" s="35" t="s">
        <v>65</v>
      </c>
      <c r="D185" s="35">
        <v>13</v>
      </c>
      <c r="E185" s="35" t="s">
        <v>258</v>
      </c>
      <c r="F185" s="26" t="s">
        <v>58</v>
      </c>
      <c r="G185" s="27">
        <f t="shared" si="137"/>
        <v>278800</v>
      </c>
      <c r="H185" s="27">
        <f t="shared" si="137"/>
        <v>250920</v>
      </c>
      <c r="I185" s="27">
        <f t="shared" si="137"/>
        <v>250920</v>
      </c>
      <c r="J185" s="16">
        <f>'БА в тыс. руб.'!G185*1000</f>
        <v>278800</v>
      </c>
      <c r="K185" s="169">
        <f t="shared" si="102"/>
        <v>0</v>
      </c>
      <c r="L185" s="16">
        <f>'БА в тыс. руб.'!H185*1000</f>
        <v>250920</v>
      </c>
      <c r="M185" s="169">
        <f t="shared" si="103"/>
        <v>0</v>
      </c>
      <c r="N185" s="16">
        <f>'БА в тыс. руб.'!I185*1000</f>
        <v>250920</v>
      </c>
      <c r="O185" s="169">
        <f t="shared" si="104"/>
        <v>0</v>
      </c>
      <c r="S185" s="30"/>
      <c r="T185" s="30"/>
      <c r="U185" s="30"/>
    </row>
    <row r="186" spans="1:21" s="3" customFormat="1">
      <c r="A186" s="31" t="s">
        <v>91</v>
      </c>
      <c r="B186" s="108">
        <v>601</v>
      </c>
      <c r="C186" s="35" t="s">
        <v>65</v>
      </c>
      <c r="D186" s="35">
        <v>13</v>
      </c>
      <c r="E186" s="35" t="s">
        <v>258</v>
      </c>
      <c r="F186" s="26" t="s">
        <v>100</v>
      </c>
      <c r="G186" s="27">
        <f t="shared" ref="G186" si="138">J186</f>
        <v>278800</v>
      </c>
      <c r="H186" s="27">
        <f>L186</f>
        <v>250920</v>
      </c>
      <c r="I186" s="27">
        <f>N186</f>
        <v>250920</v>
      </c>
      <c r="J186" s="16">
        <f>'БА в тыс. руб.'!G186*1000</f>
        <v>278800</v>
      </c>
      <c r="K186" s="169">
        <f t="shared" si="102"/>
        <v>0</v>
      </c>
      <c r="L186" s="16">
        <f>'БА в тыс. руб.'!H186*1000</f>
        <v>250920</v>
      </c>
      <c r="M186" s="169">
        <f t="shared" si="103"/>
        <v>0</v>
      </c>
      <c r="N186" s="16">
        <f>'БА в тыс. руб.'!I186*1000</f>
        <v>250920</v>
      </c>
      <c r="O186" s="169">
        <f t="shared" si="104"/>
        <v>0</v>
      </c>
      <c r="S186" s="30"/>
      <c r="T186" s="30"/>
      <c r="U186" s="30"/>
    </row>
    <row r="187" spans="1:21" s="3" customFormat="1" ht="25.5">
      <c r="A187" s="11" t="s">
        <v>759</v>
      </c>
      <c r="B187" s="25" t="s">
        <v>55</v>
      </c>
      <c r="C187" s="26" t="s">
        <v>65</v>
      </c>
      <c r="D187" s="26" t="s">
        <v>84</v>
      </c>
      <c r="E187" s="26" t="s">
        <v>259</v>
      </c>
      <c r="F187" s="26" t="s">
        <v>58</v>
      </c>
      <c r="G187" s="27">
        <f t="shared" ref="G187:I191" si="139">G188</f>
        <v>2292500</v>
      </c>
      <c r="H187" s="27">
        <f t="shared" si="139"/>
        <v>2292500</v>
      </c>
      <c r="I187" s="27">
        <f t="shared" si="139"/>
        <v>2292500</v>
      </c>
      <c r="J187" s="16">
        <f>'БА в тыс. руб.'!G187*1000</f>
        <v>2292500</v>
      </c>
      <c r="K187" s="169">
        <f t="shared" si="102"/>
        <v>0</v>
      </c>
      <c r="L187" s="16">
        <f>'БА в тыс. руб.'!H187*1000</f>
        <v>2292500</v>
      </c>
      <c r="M187" s="169">
        <f t="shared" si="103"/>
        <v>0</v>
      </c>
      <c r="N187" s="16">
        <f>'БА в тыс. руб.'!I187*1000</f>
        <v>2292500</v>
      </c>
      <c r="O187" s="169">
        <f t="shared" si="104"/>
        <v>0</v>
      </c>
      <c r="S187" s="30"/>
      <c r="T187" s="30"/>
      <c r="U187" s="30"/>
    </row>
    <row r="188" spans="1:21" s="3" customFormat="1" ht="25.5">
      <c r="A188" s="11" t="s">
        <v>760</v>
      </c>
      <c r="B188" s="25" t="s">
        <v>55</v>
      </c>
      <c r="C188" s="26" t="s">
        <v>65</v>
      </c>
      <c r="D188" s="26" t="s">
        <v>84</v>
      </c>
      <c r="E188" s="26" t="s">
        <v>260</v>
      </c>
      <c r="F188" s="26" t="s">
        <v>58</v>
      </c>
      <c r="G188" s="27">
        <f t="shared" si="139"/>
        <v>2292500</v>
      </c>
      <c r="H188" s="27">
        <f t="shared" si="139"/>
        <v>2292500</v>
      </c>
      <c r="I188" s="27">
        <f t="shared" si="139"/>
        <v>2292500</v>
      </c>
      <c r="J188" s="16">
        <f>'БА в тыс. руб.'!G188*1000</f>
        <v>2292500</v>
      </c>
      <c r="K188" s="169">
        <f t="shared" si="102"/>
        <v>0</v>
      </c>
      <c r="L188" s="16">
        <f>'БА в тыс. руб.'!H188*1000</f>
        <v>2292500</v>
      </c>
      <c r="M188" s="169">
        <f t="shared" si="103"/>
        <v>0</v>
      </c>
      <c r="N188" s="16">
        <f>'БА в тыс. руб.'!I188*1000</f>
        <v>2292500</v>
      </c>
      <c r="O188" s="169">
        <f t="shared" si="104"/>
        <v>0</v>
      </c>
      <c r="S188" s="30"/>
      <c r="T188" s="30"/>
      <c r="U188" s="30"/>
    </row>
    <row r="189" spans="1:21" s="3" customFormat="1" ht="51">
      <c r="A189" s="34" t="s">
        <v>261</v>
      </c>
      <c r="B189" s="25" t="s">
        <v>55</v>
      </c>
      <c r="C189" s="26" t="s">
        <v>65</v>
      </c>
      <c r="D189" s="26" t="s">
        <v>84</v>
      </c>
      <c r="E189" s="26" t="s">
        <v>262</v>
      </c>
      <c r="F189" s="26" t="s">
        <v>58</v>
      </c>
      <c r="G189" s="27">
        <f t="shared" si="139"/>
        <v>2292500</v>
      </c>
      <c r="H189" s="27">
        <f t="shared" si="139"/>
        <v>2292500</v>
      </c>
      <c r="I189" s="27">
        <f t="shared" si="139"/>
        <v>2292500</v>
      </c>
      <c r="J189" s="16">
        <f>'БА в тыс. руб.'!G189*1000</f>
        <v>2292500</v>
      </c>
      <c r="K189" s="169">
        <f t="shared" si="102"/>
        <v>0</v>
      </c>
      <c r="L189" s="16">
        <f>'БА в тыс. руб.'!H189*1000</f>
        <v>2292500</v>
      </c>
      <c r="M189" s="169">
        <f t="shared" si="103"/>
        <v>0</v>
      </c>
      <c r="N189" s="16">
        <f>'БА в тыс. руб.'!I189*1000</f>
        <v>2292500</v>
      </c>
      <c r="O189" s="169">
        <f t="shared" si="104"/>
        <v>0</v>
      </c>
      <c r="S189" s="30"/>
      <c r="T189" s="30"/>
      <c r="U189" s="30"/>
    </row>
    <row r="190" spans="1:21" s="3" customFormat="1" ht="89.25">
      <c r="A190" s="11" t="s">
        <v>677</v>
      </c>
      <c r="B190" s="25" t="s">
        <v>55</v>
      </c>
      <c r="C190" s="26" t="s">
        <v>65</v>
      </c>
      <c r="D190" s="26" t="s">
        <v>84</v>
      </c>
      <c r="E190" s="26" t="s">
        <v>263</v>
      </c>
      <c r="F190" s="26" t="s">
        <v>58</v>
      </c>
      <c r="G190" s="27">
        <f t="shared" si="139"/>
        <v>2292500</v>
      </c>
      <c r="H190" s="27">
        <f t="shared" si="139"/>
        <v>2292500</v>
      </c>
      <c r="I190" s="27">
        <f t="shared" si="139"/>
        <v>2292500</v>
      </c>
      <c r="J190" s="16">
        <f>'БА в тыс. руб.'!G190*1000</f>
        <v>2292500</v>
      </c>
      <c r="K190" s="169">
        <f t="shared" si="102"/>
        <v>0</v>
      </c>
      <c r="L190" s="16">
        <f>'БА в тыс. руб.'!H190*1000</f>
        <v>2292500</v>
      </c>
      <c r="M190" s="169">
        <f t="shared" si="103"/>
        <v>0</v>
      </c>
      <c r="N190" s="16">
        <f>'БА в тыс. руб.'!I190*1000</f>
        <v>2292500</v>
      </c>
      <c r="O190" s="169">
        <f t="shared" si="104"/>
        <v>0</v>
      </c>
      <c r="S190" s="30"/>
      <c r="T190" s="30"/>
      <c r="U190" s="30"/>
    </row>
    <row r="191" spans="1:21" s="3" customFormat="1" ht="25.5">
      <c r="A191" s="11" t="s">
        <v>111</v>
      </c>
      <c r="B191" s="25" t="s">
        <v>55</v>
      </c>
      <c r="C191" s="26" t="s">
        <v>65</v>
      </c>
      <c r="D191" s="26" t="s">
        <v>84</v>
      </c>
      <c r="E191" s="26" t="s">
        <v>263</v>
      </c>
      <c r="F191" s="26" t="s">
        <v>104</v>
      </c>
      <c r="G191" s="27">
        <f>G192</f>
        <v>2292500</v>
      </c>
      <c r="H191" s="27">
        <f t="shared" si="139"/>
        <v>2292500</v>
      </c>
      <c r="I191" s="27">
        <f t="shared" si="139"/>
        <v>2292500</v>
      </c>
      <c r="J191" s="16">
        <f>'БА в тыс. руб.'!G191*1000</f>
        <v>2292500</v>
      </c>
      <c r="K191" s="169">
        <f t="shared" si="102"/>
        <v>0</v>
      </c>
      <c r="L191" s="16">
        <f>'БА в тыс. руб.'!H191*1000</f>
        <v>2292500</v>
      </c>
      <c r="M191" s="169">
        <f t="shared" si="103"/>
        <v>0</v>
      </c>
      <c r="N191" s="16">
        <f>'БА в тыс. руб.'!I191*1000</f>
        <v>2292500</v>
      </c>
      <c r="O191" s="169">
        <f t="shared" si="104"/>
        <v>0</v>
      </c>
      <c r="S191" s="30"/>
      <c r="T191" s="30"/>
      <c r="U191" s="30"/>
    </row>
    <row r="192" spans="1:21" s="4" customFormat="1" ht="76.5">
      <c r="A192" s="12" t="s">
        <v>1048</v>
      </c>
      <c r="B192" s="25" t="s">
        <v>55</v>
      </c>
      <c r="C192" s="26" t="s">
        <v>65</v>
      </c>
      <c r="D192" s="26" t="s">
        <v>84</v>
      </c>
      <c r="E192" s="26" t="s">
        <v>263</v>
      </c>
      <c r="F192" s="26" t="s">
        <v>1055</v>
      </c>
      <c r="G192" s="27">
        <f t="shared" ref="G192" si="140">J192</f>
        <v>2292500</v>
      </c>
      <c r="H192" s="27">
        <f>L192</f>
        <v>2292500</v>
      </c>
      <c r="I192" s="27">
        <f>N192</f>
        <v>2292500</v>
      </c>
      <c r="J192" s="16">
        <f>'БА в тыс. руб.'!G192*1000</f>
        <v>2292500</v>
      </c>
      <c r="K192" s="169">
        <f t="shared" si="102"/>
        <v>0</v>
      </c>
      <c r="L192" s="16">
        <f>'БА в тыс. руб.'!H192*1000</f>
        <v>2292500</v>
      </c>
      <c r="M192" s="169">
        <f t="shared" si="103"/>
        <v>0</v>
      </c>
      <c r="N192" s="16">
        <f>'БА в тыс. руб.'!I192*1000</f>
        <v>2292500</v>
      </c>
      <c r="O192" s="169">
        <f t="shared" si="104"/>
        <v>0</v>
      </c>
      <c r="S192" s="83"/>
      <c r="T192" s="83"/>
      <c r="U192" s="83"/>
    </row>
    <row r="193" spans="1:21" s="3" customFormat="1">
      <c r="A193" s="34" t="s">
        <v>112</v>
      </c>
      <c r="B193" s="35" t="s">
        <v>55</v>
      </c>
      <c r="C193" s="36" t="s">
        <v>65</v>
      </c>
      <c r="D193" s="36" t="s">
        <v>84</v>
      </c>
      <c r="E193" s="36" t="s">
        <v>206</v>
      </c>
      <c r="F193" s="36" t="s">
        <v>58</v>
      </c>
      <c r="G193" s="27">
        <f>G194</f>
        <v>34270650</v>
      </c>
      <c r="H193" s="27">
        <f>H194</f>
        <v>32138510</v>
      </c>
      <c r="I193" s="27">
        <f>I194</f>
        <v>32138510</v>
      </c>
      <c r="J193" s="16">
        <f>'БА в тыс. руб.'!G193*1000</f>
        <v>34270649.999999993</v>
      </c>
      <c r="K193" s="169">
        <f t="shared" si="102"/>
        <v>0</v>
      </c>
      <c r="L193" s="16">
        <f>'БА в тыс. руб.'!H193*1000</f>
        <v>32138510</v>
      </c>
      <c r="M193" s="169">
        <f t="shared" si="103"/>
        <v>0</v>
      </c>
      <c r="N193" s="16">
        <f>'БА в тыс. руб.'!I193*1000</f>
        <v>32138510</v>
      </c>
      <c r="O193" s="169">
        <f t="shared" si="104"/>
        <v>0</v>
      </c>
      <c r="S193" s="30"/>
      <c r="T193" s="30"/>
      <c r="U193" s="30"/>
    </row>
    <row r="194" spans="1:21" s="3" customFormat="1" ht="25.5">
      <c r="A194" s="34" t="s">
        <v>113</v>
      </c>
      <c r="B194" s="35" t="s">
        <v>55</v>
      </c>
      <c r="C194" s="36" t="s">
        <v>65</v>
      </c>
      <c r="D194" s="36" t="s">
        <v>84</v>
      </c>
      <c r="E194" s="36" t="s">
        <v>207</v>
      </c>
      <c r="F194" s="36" t="s">
        <v>58</v>
      </c>
      <c r="G194" s="27">
        <f>G195</f>
        <v>34270650</v>
      </c>
      <c r="H194" s="27">
        <f t="shared" ref="H194:I194" si="141">H195</f>
        <v>32138510</v>
      </c>
      <c r="I194" s="27">
        <f t="shared" si="141"/>
        <v>32138510</v>
      </c>
      <c r="J194" s="16">
        <f>'БА в тыс. руб.'!G194*1000</f>
        <v>34270649.999999993</v>
      </c>
      <c r="K194" s="169">
        <f t="shared" si="102"/>
        <v>0</v>
      </c>
      <c r="L194" s="16">
        <f>'БА в тыс. руб.'!H194*1000</f>
        <v>32138510</v>
      </c>
      <c r="M194" s="169">
        <f t="shared" si="103"/>
        <v>0</v>
      </c>
      <c r="N194" s="16">
        <f>'БА в тыс. руб.'!I194*1000</f>
        <v>32138510</v>
      </c>
      <c r="O194" s="169">
        <f t="shared" si="104"/>
        <v>0</v>
      </c>
      <c r="S194" s="30"/>
      <c r="T194" s="30"/>
      <c r="U194" s="30"/>
    </row>
    <row r="195" spans="1:21" s="3" customFormat="1" ht="25.5">
      <c r="A195" s="34" t="s">
        <v>247</v>
      </c>
      <c r="B195" s="35" t="s">
        <v>55</v>
      </c>
      <c r="C195" s="36" t="s">
        <v>65</v>
      </c>
      <c r="D195" s="36" t="s">
        <v>84</v>
      </c>
      <c r="E195" s="36" t="s">
        <v>264</v>
      </c>
      <c r="F195" s="36" t="s">
        <v>58</v>
      </c>
      <c r="G195" s="37">
        <f>G196+G200+G202</f>
        <v>34270650</v>
      </c>
      <c r="H195" s="37">
        <f t="shared" ref="H195:I195" si="142">H196+H200+H202</f>
        <v>32138510</v>
      </c>
      <c r="I195" s="37">
        <f t="shared" si="142"/>
        <v>32138510</v>
      </c>
      <c r="J195" s="16">
        <f>'БА в тыс. руб.'!G195*1000</f>
        <v>34270649.999999993</v>
      </c>
      <c r="K195" s="169">
        <f t="shared" si="102"/>
        <v>0</v>
      </c>
      <c r="L195" s="16">
        <f>'БА в тыс. руб.'!H195*1000</f>
        <v>32138510</v>
      </c>
      <c r="M195" s="169">
        <f t="shared" si="103"/>
        <v>0</v>
      </c>
      <c r="N195" s="16">
        <f>'БА в тыс. руб.'!I195*1000</f>
        <v>32138510</v>
      </c>
      <c r="O195" s="169">
        <f t="shared" si="104"/>
        <v>0</v>
      </c>
      <c r="S195" s="30"/>
      <c r="T195" s="30"/>
      <c r="U195" s="30"/>
    </row>
    <row r="196" spans="1:21" s="3" customFormat="1">
      <c r="A196" s="13" t="s">
        <v>106</v>
      </c>
      <c r="B196" s="35" t="s">
        <v>55</v>
      </c>
      <c r="C196" s="36" t="s">
        <v>65</v>
      </c>
      <c r="D196" s="36" t="s">
        <v>84</v>
      </c>
      <c r="E196" s="36" t="s">
        <v>264</v>
      </c>
      <c r="F196" s="36" t="s">
        <v>121</v>
      </c>
      <c r="G196" s="27">
        <f>SUM(G197:G199)</f>
        <v>12661960</v>
      </c>
      <c r="H196" s="27">
        <f t="shared" ref="H196:I196" si="143">SUM(H197:H199)</f>
        <v>12661960</v>
      </c>
      <c r="I196" s="27">
        <f t="shared" si="143"/>
        <v>12661960</v>
      </c>
      <c r="J196" s="16">
        <f>'БА в тыс. руб.'!G196*1000</f>
        <v>12661960</v>
      </c>
      <c r="K196" s="169">
        <f t="shared" si="102"/>
        <v>0</v>
      </c>
      <c r="L196" s="16">
        <f>'БА в тыс. руб.'!H196*1000</f>
        <v>12661960</v>
      </c>
      <c r="M196" s="169">
        <f t="shared" si="103"/>
        <v>0</v>
      </c>
      <c r="N196" s="16">
        <f>'БА в тыс. руб.'!I196*1000</f>
        <v>12661960</v>
      </c>
      <c r="O196" s="169">
        <f t="shared" si="104"/>
        <v>0</v>
      </c>
      <c r="S196" s="30"/>
      <c r="T196" s="30"/>
      <c r="U196" s="30"/>
    </row>
    <row r="197" spans="1:21" s="4" customFormat="1">
      <c r="A197" s="12" t="s">
        <v>932</v>
      </c>
      <c r="B197" s="35" t="s">
        <v>55</v>
      </c>
      <c r="C197" s="36" t="s">
        <v>65</v>
      </c>
      <c r="D197" s="36" t="s">
        <v>84</v>
      </c>
      <c r="E197" s="36" t="s">
        <v>264</v>
      </c>
      <c r="F197" s="26" t="s">
        <v>1056</v>
      </c>
      <c r="G197" s="27">
        <f t="shared" ref="G197:G199" si="144">J197</f>
        <v>9739070</v>
      </c>
      <c r="H197" s="27">
        <f t="shared" ref="H197:H199" si="145">L197</f>
        <v>9739070</v>
      </c>
      <c r="I197" s="27">
        <f t="shared" ref="I197:I199" si="146">N197</f>
        <v>9739070</v>
      </c>
      <c r="J197" s="16">
        <f>'БА в тыс. руб.'!G197*1000</f>
        <v>9739070</v>
      </c>
      <c r="K197" s="169">
        <f t="shared" si="102"/>
        <v>0</v>
      </c>
      <c r="L197" s="16">
        <f>'БА в тыс. руб.'!H197*1000</f>
        <v>9739070</v>
      </c>
      <c r="M197" s="169">
        <f t="shared" si="103"/>
        <v>0</v>
      </c>
      <c r="N197" s="16">
        <f>'БА в тыс. руб.'!I197*1000</f>
        <v>9739070</v>
      </c>
      <c r="O197" s="169">
        <f t="shared" si="104"/>
        <v>0</v>
      </c>
      <c r="S197" s="83"/>
      <c r="T197" s="83"/>
      <c r="U197" s="83"/>
    </row>
    <row r="198" spans="1:21" s="4" customFormat="1" ht="25.5">
      <c r="A198" s="12" t="s">
        <v>933</v>
      </c>
      <c r="B198" s="35" t="s">
        <v>55</v>
      </c>
      <c r="C198" s="36" t="s">
        <v>65</v>
      </c>
      <c r="D198" s="36" t="s">
        <v>84</v>
      </c>
      <c r="E198" s="36" t="s">
        <v>264</v>
      </c>
      <c r="F198" s="26" t="s">
        <v>1069</v>
      </c>
      <c r="G198" s="27">
        <f t="shared" si="144"/>
        <v>55000</v>
      </c>
      <c r="H198" s="27">
        <f t="shared" si="145"/>
        <v>55000</v>
      </c>
      <c r="I198" s="27">
        <f t="shared" si="146"/>
        <v>55000</v>
      </c>
      <c r="J198" s="16">
        <f>'БА в тыс. руб.'!G198*1000</f>
        <v>55000</v>
      </c>
      <c r="K198" s="169">
        <f t="shared" ref="K198:K263" si="147">J198-G198</f>
        <v>0</v>
      </c>
      <c r="L198" s="16">
        <f>'БА в тыс. руб.'!H198*1000</f>
        <v>55000</v>
      </c>
      <c r="M198" s="169">
        <f t="shared" ref="M198:M263" si="148">L198-H198</f>
        <v>0</v>
      </c>
      <c r="N198" s="16">
        <f>'БА в тыс. руб.'!I198*1000</f>
        <v>55000</v>
      </c>
      <c r="O198" s="169">
        <f t="shared" ref="O198:O263" si="149">N198-I198</f>
        <v>0</v>
      </c>
      <c r="S198" s="83"/>
      <c r="T198" s="83"/>
      <c r="U198" s="83"/>
    </row>
    <row r="199" spans="1:21" s="4" customFormat="1" ht="38.25">
      <c r="A199" s="12" t="s">
        <v>935</v>
      </c>
      <c r="B199" s="35" t="s">
        <v>55</v>
      </c>
      <c r="C199" s="36" t="s">
        <v>65</v>
      </c>
      <c r="D199" s="36" t="s">
        <v>84</v>
      </c>
      <c r="E199" s="36" t="s">
        <v>264</v>
      </c>
      <c r="F199" s="26" t="s">
        <v>1057</v>
      </c>
      <c r="G199" s="27">
        <f t="shared" si="144"/>
        <v>2867890</v>
      </c>
      <c r="H199" s="27">
        <f t="shared" si="145"/>
        <v>2867890</v>
      </c>
      <c r="I199" s="27">
        <f t="shared" si="146"/>
        <v>2867890</v>
      </c>
      <c r="J199" s="16">
        <f>'БА в тыс. руб.'!G199*1000</f>
        <v>2867890</v>
      </c>
      <c r="K199" s="169"/>
      <c r="L199" s="16">
        <f>'БА в тыс. руб.'!H199*1000</f>
        <v>2867890</v>
      </c>
      <c r="M199" s="169"/>
      <c r="N199" s="16">
        <f>'БА в тыс. руб.'!I199*1000</f>
        <v>2867890</v>
      </c>
      <c r="O199" s="169"/>
      <c r="S199" s="83"/>
      <c r="T199" s="83"/>
      <c r="U199" s="83"/>
    </row>
    <row r="200" spans="1:21" s="3" customFormat="1" ht="25.5">
      <c r="A200" s="11" t="s">
        <v>108</v>
      </c>
      <c r="B200" s="35" t="s">
        <v>55</v>
      </c>
      <c r="C200" s="36" t="s">
        <v>65</v>
      </c>
      <c r="D200" s="36" t="s">
        <v>84</v>
      </c>
      <c r="E200" s="36" t="s">
        <v>264</v>
      </c>
      <c r="F200" s="36" t="s">
        <v>116</v>
      </c>
      <c r="G200" s="27">
        <f>G201</f>
        <v>21214160</v>
      </c>
      <c r="H200" s="27">
        <f t="shared" ref="H200:I200" si="150">H201</f>
        <v>19082020</v>
      </c>
      <c r="I200" s="27">
        <f t="shared" si="150"/>
        <v>19082020</v>
      </c>
      <c r="J200" s="16">
        <f>'БА в тыс. руб.'!G200*1000</f>
        <v>21214160</v>
      </c>
      <c r="K200" s="169">
        <f t="shared" si="147"/>
        <v>0</v>
      </c>
      <c r="L200" s="16">
        <f>'БА в тыс. руб.'!H200*1000</f>
        <v>19082020</v>
      </c>
      <c r="M200" s="169">
        <f t="shared" si="148"/>
        <v>0</v>
      </c>
      <c r="N200" s="16">
        <f>'БА в тыс. руб.'!I200*1000</f>
        <v>19082020</v>
      </c>
      <c r="O200" s="169">
        <f t="shared" si="149"/>
        <v>0</v>
      </c>
      <c r="S200" s="30"/>
      <c r="T200" s="30"/>
      <c r="U200" s="30"/>
    </row>
    <row r="201" spans="1:21" s="4" customFormat="1" ht="25.5">
      <c r="A201" s="12" t="s">
        <v>973</v>
      </c>
      <c r="B201" s="35" t="s">
        <v>55</v>
      </c>
      <c r="C201" s="36" t="s">
        <v>65</v>
      </c>
      <c r="D201" s="36" t="s">
        <v>84</v>
      </c>
      <c r="E201" s="36" t="s">
        <v>264</v>
      </c>
      <c r="F201" s="36" t="s">
        <v>1043</v>
      </c>
      <c r="G201" s="27">
        <f t="shared" ref="G201" si="151">J201</f>
        <v>21214160</v>
      </c>
      <c r="H201" s="27">
        <f>L201</f>
        <v>19082020</v>
      </c>
      <c r="I201" s="27">
        <f>N201</f>
        <v>19082020</v>
      </c>
      <c r="J201" s="16">
        <f>'БА в тыс. руб.'!G201*1000</f>
        <v>21214160</v>
      </c>
      <c r="K201" s="169">
        <f t="shared" si="147"/>
        <v>0</v>
      </c>
      <c r="L201" s="16">
        <f>'БА в тыс. руб.'!H201*1000</f>
        <v>19082020</v>
      </c>
      <c r="M201" s="169">
        <f t="shared" si="148"/>
        <v>0</v>
      </c>
      <c r="N201" s="16">
        <f>'БА в тыс. руб.'!I201*1000</f>
        <v>19082020</v>
      </c>
      <c r="O201" s="169">
        <f t="shared" si="149"/>
        <v>0</v>
      </c>
      <c r="S201" s="83"/>
      <c r="T201" s="83"/>
      <c r="U201" s="83"/>
    </row>
    <row r="202" spans="1:21" s="3" customFormat="1">
      <c r="A202" s="11" t="s">
        <v>97</v>
      </c>
      <c r="B202" s="25" t="s">
        <v>55</v>
      </c>
      <c r="C202" s="26" t="s">
        <v>65</v>
      </c>
      <c r="D202" s="26" t="s">
        <v>84</v>
      </c>
      <c r="E202" s="26" t="s">
        <v>264</v>
      </c>
      <c r="F202" s="26" t="s">
        <v>118</v>
      </c>
      <c r="G202" s="27">
        <f>SUM(G203:G205)</f>
        <v>394530</v>
      </c>
      <c r="H202" s="27">
        <f t="shared" ref="H202:I202" si="152">SUM(H203:H205)</f>
        <v>394530</v>
      </c>
      <c r="I202" s="27">
        <f t="shared" si="152"/>
        <v>394530</v>
      </c>
      <c r="J202" s="16">
        <f>'БА в тыс. руб.'!G202*1000</f>
        <v>394530</v>
      </c>
      <c r="K202" s="169">
        <f t="shared" si="147"/>
        <v>0</v>
      </c>
      <c r="L202" s="16">
        <f>'БА в тыс. руб.'!H202*1000</f>
        <v>394530</v>
      </c>
      <c r="M202" s="169">
        <f t="shared" si="148"/>
        <v>0</v>
      </c>
      <c r="N202" s="16">
        <f>'БА в тыс. руб.'!I202*1000</f>
        <v>394530</v>
      </c>
      <c r="O202" s="169">
        <f t="shared" si="149"/>
        <v>0</v>
      </c>
      <c r="S202" s="30"/>
      <c r="T202" s="30"/>
      <c r="U202" s="30"/>
    </row>
    <row r="203" spans="1:21" s="3" customFormat="1">
      <c r="A203" s="11" t="s">
        <v>1036</v>
      </c>
      <c r="B203" s="25" t="s">
        <v>55</v>
      </c>
      <c r="C203" s="26" t="s">
        <v>65</v>
      </c>
      <c r="D203" s="26" t="s">
        <v>84</v>
      </c>
      <c r="E203" s="26" t="s">
        <v>264</v>
      </c>
      <c r="F203" s="26" t="s">
        <v>1061</v>
      </c>
      <c r="G203" s="27">
        <f t="shared" ref="G203:G205" si="153">J203</f>
        <v>200000</v>
      </c>
      <c r="H203" s="27">
        <f t="shared" ref="H203:H205" si="154">L203</f>
        <v>200000</v>
      </c>
      <c r="I203" s="27">
        <f t="shared" ref="I203:I205" si="155">N203</f>
        <v>200000</v>
      </c>
      <c r="J203" s="16">
        <f>'БА в тыс. руб.'!G203*1000</f>
        <v>200000</v>
      </c>
      <c r="K203" s="169">
        <f t="shared" si="147"/>
        <v>0</v>
      </c>
      <c r="L203" s="16">
        <f>'БА в тыс. руб.'!H203*1000</f>
        <v>200000</v>
      </c>
      <c r="M203" s="169">
        <f t="shared" si="148"/>
        <v>0</v>
      </c>
      <c r="N203" s="16">
        <f>'БА в тыс. руб.'!I203*1000</f>
        <v>200000</v>
      </c>
      <c r="O203" s="169">
        <f t="shared" si="149"/>
        <v>0</v>
      </c>
      <c r="S203" s="30"/>
      <c r="T203" s="30"/>
      <c r="U203" s="30"/>
    </row>
    <row r="204" spans="1:21" s="3" customFormat="1">
      <c r="A204" s="11" t="s">
        <v>1037</v>
      </c>
      <c r="B204" s="25" t="s">
        <v>55</v>
      </c>
      <c r="C204" s="26" t="s">
        <v>65</v>
      </c>
      <c r="D204" s="26" t="s">
        <v>84</v>
      </c>
      <c r="E204" s="26" t="s">
        <v>264</v>
      </c>
      <c r="F204" s="26" t="s">
        <v>1062</v>
      </c>
      <c r="G204" s="27">
        <f t="shared" si="153"/>
        <v>192530</v>
      </c>
      <c r="H204" s="27">
        <f t="shared" si="154"/>
        <v>192530</v>
      </c>
      <c r="I204" s="27">
        <f t="shared" si="155"/>
        <v>192530</v>
      </c>
      <c r="J204" s="16">
        <f>'БА в тыс. руб.'!G204*1000</f>
        <v>192530</v>
      </c>
      <c r="K204" s="169">
        <f t="shared" si="147"/>
        <v>0</v>
      </c>
      <c r="L204" s="16">
        <f>'БА в тыс. руб.'!H204*1000</f>
        <v>192530</v>
      </c>
      <c r="M204" s="169">
        <f t="shared" si="148"/>
        <v>0</v>
      </c>
      <c r="N204" s="16">
        <f>'БА в тыс. руб.'!I204*1000</f>
        <v>192530</v>
      </c>
      <c r="O204" s="169">
        <f t="shared" si="149"/>
        <v>0</v>
      </c>
      <c r="S204" s="30"/>
      <c r="T204" s="30"/>
      <c r="U204" s="30"/>
    </row>
    <row r="205" spans="1:21" s="3" customFormat="1">
      <c r="A205" s="11" t="s">
        <v>1038</v>
      </c>
      <c r="B205" s="25" t="s">
        <v>55</v>
      </c>
      <c r="C205" s="26" t="s">
        <v>65</v>
      </c>
      <c r="D205" s="26" t="s">
        <v>84</v>
      </c>
      <c r="E205" s="26" t="s">
        <v>264</v>
      </c>
      <c r="F205" s="26" t="s">
        <v>1066</v>
      </c>
      <c r="G205" s="27">
        <f t="shared" si="153"/>
        <v>2000</v>
      </c>
      <c r="H205" s="27">
        <f t="shared" si="154"/>
        <v>2000</v>
      </c>
      <c r="I205" s="27">
        <f t="shared" si="155"/>
        <v>2000</v>
      </c>
      <c r="J205" s="16">
        <f>'БА в тыс. руб.'!G205*1000</f>
        <v>2000</v>
      </c>
      <c r="K205" s="169">
        <f t="shared" si="147"/>
        <v>0</v>
      </c>
      <c r="L205" s="16">
        <f>'БА в тыс. руб.'!H205*1000</f>
        <v>2000</v>
      </c>
      <c r="M205" s="169">
        <f t="shared" si="148"/>
        <v>0</v>
      </c>
      <c r="N205" s="16">
        <f>'БА в тыс. руб.'!I205*1000</f>
        <v>2000</v>
      </c>
      <c r="O205" s="169">
        <f t="shared" si="149"/>
        <v>0</v>
      </c>
      <c r="S205" s="30"/>
      <c r="T205" s="30"/>
      <c r="U205" s="30"/>
    </row>
    <row r="206" spans="1:21" s="3" customFormat="1" ht="38.25">
      <c r="A206" s="11" t="s">
        <v>683</v>
      </c>
      <c r="B206" s="35" t="s">
        <v>55</v>
      </c>
      <c r="C206" s="36" t="s">
        <v>65</v>
      </c>
      <c r="D206" s="36" t="s">
        <v>84</v>
      </c>
      <c r="E206" s="36" t="s">
        <v>680</v>
      </c>
      <c r="F206" s="36" t="s">
        <v>58</v>
      </c>
      <c r="G206" s="27">
        <f>G207</f>
        <v>13370140</v>
      </c>
      <c r="H206" s="27">
        <f t="shared" ref="H206:I207" si="156">H207</f>
        <v>7404690</v>
      </c>
      <c r="I206" s="27">
        <f t="shared" si="156"/>
        <v>7404690</v>
      </c>
      <c r="J206" s="16">
        <f>'БА в тыс. руб.'!G206*1000</f>
        <v>13370140</v>
      </c>
      <c r="K206" s="169">
        <f t="shared" si="147"/>
        <v>0</v>
      </c>
      <c r="L206" s="16">
        <f>'БА в тыс. руб.'!H206*1000</f>
        <v>7404690</v>
      </c>
      <c r="M206" s="169">
        <f t="shared" si="148"/>
        <v>0</v>
      </c>
      <c r="N206" s="16">
        <f>'БА в тыс. руб.'!I206*1000</f>
        <v>7404690</v>
      </c>
      <c r="O206" s="169">
        <f t="shared" si="149"/>
        <v>0</v>
      </c>
      <c r="S206" s="30"/>
      <c r="T206" s="30"/>
      <c r="U206" s="30"/>
    </row>
    <row r="207" spans="1:21" s="3" customFormat="1">
      <c r="A207" s="11" t="s">
        <v>684</v>
      </c>
      <c r="B207" s="35" t="s">
        <v>55</v>
      </c>
      <c r="C207" s="36" t="s">
        <v>65</v>
      </c>
      <c r="D207" s="36" t="s">
        <v>84</v>
      </c>
      <c r="E207" s="36" t="s">
        <v>681</v>
      </c>
      <c r="F207" s="36" t="s">
        <v>58</v>
      </c>
      <c r="G207" s="27">
        <f>G208</f>
        <v>13370140</v>
      </c>
      <c r="H207" s="27">
        <f t="shared" si="156"/>
        <v>7404690</v>
      </c>
      <c r="I207" s="27">
        <f t="shared" si="156"/>
        <v>7404690</v>
      </c>
      <c r="J207" s="16">
        <f>'БА в тыс. руб.'!G207*1000</f>
        <v>13370140</v>
      </c>
      <c r="K207" s="169">
        <f t="shared" si="147"/>
        <v>0</v>
      </c>
      <c r="L207" s="16">
        <f>'БА в тыс. руб.'!H207*1000</f>
        <v>7404690</v>
      </c>
      <c r="M207" s="169">
        <f t="shared" si="148"/>
        <v>0</v>
      </c>
      <c r="N207" s="16">
        <f>'БА в тыс. руб.'!I207*1000</f>
        <v>7404690</v>
      </c>
      <c r="O207" s="169">
        <f t="shared" si="149"/>
        <v>0</v>
      </c>
      <c r="S207" s="30"/>
      <c r="T207" s="30"/>
      <c r="U207" s="30"/>
    </row>
    <row r="208" spans="1:21" s="3" customFormat="1" ht="38.25">
      <c r="A208" s="34" t="s">
        <v>265</v>
      </c>
      <c r="B208" s="35" t="s">
        <v>55</v>
      </c>
      <c r="C208" s="36" t="s">
        <v>65</v>
      </c>
      <c r="D208" s="36" t="s">
        <v>84</v>
      </c>
      <c r="E208" s="36" t="s">
        <v>770</v>
      </c>
      <c r="F208" s="36" t="s">
        <v>58</v>
      </c>
      <c r="G208" s="27">
        <f>SUM(G209:G209)</f>
        <v>13370140</v>
      </c>
      <c r="H208" s="27">
        <f>SUM(H209:H209)</f>
        <v>7404690</v>
      </c>
      <c r="I208" s="27">
        <f>SUM(I209:I209)</f>
        <v>7404690</v>
      </c>
      <c r="J208" s="16">
        <f>'БА в тыс. руб.'!G208*1000</f>
        <v>13370140</v>
      </c>
      <c r="K208" s="169">
        <f t="shared" si="147"/>
        <v>0</v>
      </c>
      <c r="L208" s="16">
        <f>'БА в тыс. руб.'!H208*1000</f>
        <v>7404690</v>
      </c>
      <c r="M208" s="169">
        <f t="shared" si="148"/>
        <v>0</v>
      </c>
      <c r="N208" s="16">
        <f>'БА в тыс. руб.'!I208*1000</f>
        <v>7404690</v>
      </c>
      <c r="O208" s="169">
        <f t="shared" si="149"/>
        <v>0</v>
      </c>
      <c r="S208" s="30"/>
      <c r="T208" s="30"/>
      <c r="U208" s="30"/>
    </row>
    <row r="209" spans="1:21" s="3" customFormat="1" ht="25.5">
      <c r="A209" s="12" t="s">
        <v>107</v>
      </c>
      <c r="B209" s="35" t="s">
        <v>55</v>
      </c>
      <c r="C209" s="36" t="s">
        <v>65</v>
      </c>
      <c r="D209" s="36" t="s">
        <v>84</v>
      </c>
      <c r="E209" s="36" t="s">
        <v>770</v>
      </c>
      <c r="F209" s="36" t="s">
        <v>115</v>
      </c>
      <c r="G209" s="27">
        <f>SUM(G210:G211)</f>
        <v>13370140</v>
      </c>
      <c r="H209" s="27">
        <f t="shared" ref="H209:I209" si="157">SUM(H210:H211)</f>
        <v>7404690</v>
      </c>
      <c r="I209" s="27">
        <f t="shared" si="157"/>
        <v>7404690</v>
      </c>
      <c r="J209" s="16">
        <f>'БА в тыс. руб.'!G209*1000</f>
        <v>13370140</v>
      </c>
      <c r="K209" s="169">
        <f t="shared" si="147"/>
        <v>0</v>
      </c>
      <c r="L209" s="16">
        <f>'БА в тыс. руб.'!H209*1000</f>
        <v>7404690</v>
      </c>
      <c r="M209" s="169">
        <f t="shared" si="148"/>
        <v>0</v>
      </c>
      <c r="N209" s="16">
        <f>'БА в тыс. руб.'!I209*1000</f>
        <v>7404690</v>
      </c>
      <c r="O209" s="169">
        <f t="shared" si="149"/>
        <v>0</v>
      </c>
      <c r="S209" s="30"/>
      <c r="T209" s="30"/>
      <c r="U209" s="30"/>
    </row>
    <row r="210" spans="1:21" s="4" customFormat="1">
      <c r="A210" s="12" t="s">
        <v>936</v>
      </c>
      <c r="B210" s="35" t="s">
        <v>55</v>
      </c>
      <c r="C210" s="36" t="s">
        <v>65</v>
      </c>
      <c r="D210" s="36" t="s">
        <v>84</v>
      </c>
      <c r="E210" s="36" t="s">
        <v>770</v>
      </c>
      <c r="F210" s="26" t="s">
        <v>1063</v>
      </c>
      <c r="G210" s="27">
        <f t="shared" ref="G210:G211" si="158">J210</f>
        <v>10268920</v>
      </c>
      <c r="H210" s="27">
        <f t="shared" ref="H210:H211" si="159">L210</f>
        <v>5687160</v>
      </c>
      <c r="I210" s="27">
        <f t="shared" ref="I210:I211" si="160">N210</f>
        <v>5687160</v>
      </c>
      <c r="J210" s="16">
        <f>'БА в тыс. руб.'!G210*1000</f>
        <v>10268920</v>
      </c>
      <c r="K210" s="169">
        <f t="shared" si="147"/>
        <v>0</v>
      </c>
      <c r="L210" s="16">
        <f>'БА в тыс. руб.'!H210*1000</f>
        <v>5687160</v>
      </c>
      <c r="M210" s="169">
        <f t="shared" si="148"/>
        <v>0</v>
      </c>
      <c r="N210" s="16">
        <f>'БА в тыс. руб.'!I210*1000</f>
        <v>5687160</v>
      </c>
      <c r="O210" s="169">
        <f t="shared" si="149"/>
        <v>0</v>
      </c>
      <c r="S210" s="83"/>
      <c r="T210" s="83"/>
      <c r="U210" s="83"/>
    </row>
    <row r="211" spans="1:21" s="4" customFormat="1" ht="38.25">
      <c r="A211" s="12" t="s">
        <v>939</v>
      </c>
      <c r="B211" s="35" t="s">
        <v>55</v>
      </c>
      <c r="C211" s="36" t="s">
        <v>65</v>
      </c>
      <c r="D211" s="36" t="s">
        <v>84</v>
      </c>
      <c r="E211" s="36" t="s">
        <v>770</v>
      </c>
      <c r="F211" s="26" t="s">
        <v>1060</v>
      </c>
      <c r="G211" s="27">
        <f t="shared" si="158"/>
        <v>3101220.0000000005</v>
      </c>
      <c r="H211" s="27">
        <f t="shared" si="159"/>
        <v>1717530</v>
      </c>
      <c r="I211" s="27">
        <f t="shared" si="160"/>
        <v>1717530</v>
      </c>
      <c r="J211" s="16">
        <f>'БА в тыс. руб.'!G211*1000</f>
        <v>3101220.0000000005</v>
      </c>
      <c r="K211" s="169">
        <f t="shared" si="147"/>
        <v>0</v>
      </c>
      <c r="L211" s="16">
        <f>'БА в тыс. руб.'!H211*1000</f>
        <v>1717530</v>
      </c>
      <c r="M211" s="169">
        <f t="shared" si="148"/>
        <v>0</v>
      </c>
      <c r="N211" s="16">
        <f>'БА в тыс. руб.'!I211*1000</f>
        <v>1717530</v>
      </c>
      <c r="O211" s="169">
        <f t="shared" si="149"/>
        <v>0</v>
      </c>
      <c r="S211" s="83"/>
      <c r="T211" s="83"/>
      <c r="U211" s="83"/>
    </row>
    <row r="212" spans="1:21" s="3" customFormat="1">
      <c r="A212" s="17" t="s">
        <v>35</v>
      </c>
      <c r="B212" s="18" t="s">
        <v>55</v>
      </c>
      <c r="C212" s="19" t="s">
        <v>37</v>
      </c>
      <c r="D212" s="19" t="s">
        <v>51</v>
      </c>
      <c r="E212" s="19" t="s">
        <v>196</v>
      </c>
      <c r="F212" s="19" t="s">
        <v>58</v>
      </c>
      <c r="G212" s="20">
        <f t="shared" ref="G212:I213" si="161">G213</f>
        <v>7375000</v>
      </c>
      <c r="H212" s="20">
        <f t="shared" si="161"/>
        <v>6547500</v>
      </c>
      <c r="I212" s="20">
        <f t="shared" si="161"/>
        <v>6547500</v>
      </c>
      <c r="J212" s="16">
        <f>'БА в тыс. руб.'!G212*1000</f>
        <v>7375000</v>
      </c>
      <c r="K212" s="169">
        <f t="shared" si="147"/>
        <v>0</v>
      </c>
      <c r="L212" s="16">
        <f>'БА в тыс. руб.'!H212*1000</f>
        <v>6547500</v>
      </c>
      <c r="M212" s="169">
        <f t="shared" si="148"/>
        <v>0</v>
      </c>
      <c r="N212" s="16">
        <f>'БА в тыс. руб.'!I212*1000</f>
        <v>6547500</v>
      </c>
      <c r="O212" s="169">
        <f t="shared" si="149"/>
        <v>0</v>
      </c>
      <c r="S212" s="30"/>
      <c r="T212" s="30"/>
      <c r="U212" s="30"/>
    </row>
    <row r="213" spans="1:21" s="3" customFormat="1">
      <c r="A213" s="21" t="s">
        <v>30</v>
      </c>
      <c r="B213" s="22" t="s">
        <v>55</v>
      </c>
      <c r="C213" s="23" t="s">
        <v>37</v>
      </c>
      <c r="D213" s="23" t="s">
        <v>40</v>
      </c>
      <c r="E213" s="23" t="s">
        <v>196</v>
      </c>
      <c r="F213" s="23" t="s">
        <v>58</v>
      </c>
      <c r="G213" s="24">
        <f t="shared" si="161"/>
        <v>7375000</v>
      </c>
      <c r="H213" s="24">
        <f t="shared" si="161"/>
        <v>6547500</v>
      </c>
      <c r="I213" s="24">
        <f t="shared" si="161"/>
        <v>6547500</v>
      </c>
      <c r="J213" s="16">
        <f>'БА в тыс. руб.'!G213*1000</f>
        <v>7375000</v>
      </c>
      <c r="K213" s="169">
        <f t="shared" si="147"/>
        <v>0</v>
      </c>
      <c r="L213" s="16">
        <f>'БА в тыс. руб.'!H213*1000</f>
        <v>6547500</v>
      </c>
      <c r="M213" s="169">
        <f t="shared" si="148"/>
        <v>0</v>
      </c>
      <c r="N213" s="16">
        <f>'БА в тыс. руб.'!I213*1000</f>
        <v>6547500</v>
      </c>
      <c r="O213" s="169">
        <f t="shared" si="149"/>
        <v>0</v>
      </c>
      <c r="S213" s="30"/>
      <c r="T213" s="30"/>
      <c r="U213" s="30"/>
    </row>
    <row r="214" spans="1:21" s="3" customFormat="1" ht="25.5">
      <c r="A214" s="34" t="s">
        <v>747</v>
      </c>
      <c r="B214" s="25" t="s">
        <v>55</v>
      </c>
      <c r="C214" s="26" t="s">
        <v>37</v>
      </c>
      <c r="D214" s="26" t="s">
        <v>40</v>
      </c>
      <c r="E214" s="26" t="s">
        <v>215</v>
      </c>
      <c r="F214" s="26" t="s">
        <v>58</v>
      </c>
      <c r="G214" s="27">
        <f>G215+G229</f>
        <v>7375000</v>
      </c>
      <c r="H214" s="27">
        <f t="shared" ref="H214:I214" si="162">H215+H229</f>
        <v>6547500</v>
      </c>
      <c r="I214" s="27">
        <f t="shared" si="162"/>
        <v>6547500</v>
      </c>
      <c r="J214" s="16">
        <f>'БА в тыс. руб.'!G214*1000</f>
        <v>7375000</v>
      </c>
      <c r="K214" s="169">
        <f t="shared" si="147"/>
        <v>0</v>
      </c>
      <c r="L214" s="16">
        <f>'БА в тыс. руб.'!H214*1000</f>
        <v>6547500</v>
      </c>
      <c r="M214" s="169">
        <f t="shared" si="148"/>
        <v>0</v>
      </c>
      <c r="N214" s="16">
        <f>'БА в тыс. руб.'!I214*1000</f>
        <v>6547500</v>
      </c>
      <c r="O214" s="169">
        <f t="shared" si="149"/>
        <v>0</v>
      </c>
      <c r="S214" s="30"/>
      <c r="T214" s="30"/>
      <c r="U214" s="30"/>
    </row>
    <row r="215" spans="1:21" s="3" customFormat="1" ht="25.5">
      <c r="A215" s="34" t="s">
        <v>153</v>
      </c>
      <c r="B215" s="25" t="s">
        <v>55</v>
      </c>
      <c r="C215" s="26" t="s">
        <v>37</v>
      </c>
      <c r="D215" s="26" t="s">
        <v>40</v>
      </c>
      <c r="E215" s="26" t="s">
        <v>266</v>
      </c>
      <c r="F215" s="26" t="s">
        <v>58</v>
      </c>
      <c r="G215" s="27">
        <f>G216+G221+G225</f>
        <v>6600000</v>
      </c>
      <c r="H215" s="27">
        <f>H216+H221+H225</f>
        <v>5967000</v>
      </c>
      <c r="I215" s="27">
        <f>I216+I221+I225</f>
        <v>5967000</v>
      </c>
      <c r="J215" s="16">
        <f>'БА в тыс. руб.'!G215*1000</f>
        <v>6600000</v>
      </c>
      <c r="K215" s="169">
        <f t="shared" si="147"/>
        <v>0</v>
      </c>
      <c r="L215" s="16">
        <f>'БА в тыс. руб.'!H215*1000</f>
        <v>5967000</v>
      </c>
      <c r="M215" s="169">
        <f t="shared" si="148"/>
        <v>0</v>
      </c>
      <c r="N215" s="16">
        <f>'БА в тыс. руб.'!I215*1000</f>
        <v>5967000</v>
      </c>
      <c r="O215" s="169">
        <f t="shared" si="149"/>
        <v>0</v>
      </c>
      <c r="S215" s="30"/>
      <c r="T215" s="30"/>
      <c r="U215" s="30"/>
    </row>
    <row r="216" spans="1:21" s="3" customFormat="1" ht="25.5">
      <c r="A216" s="34" t="s">
        <v>586</v>
      </c>
      <c r="B216" s="25" t="s">
        <v>55</v>
      </c>
      <c r="C216" s="26" t="s">
        <v>37</v>
      </c>
      <c r="D216" s="26" t="s">
        <v>40</v>
      </c>
      <c r="E216" s="26" t="s">
        <v>267</v>
      </c>
      <c r="F216" s="26" t="s">
        <v>58</v>
      </c>
      <c r="G216" s="27">
        <f t="shared" ref="G216:I217" si="163">G217</f>
        <v>5000000</v>
      </c>
      <c r="H216" s="27">
        <f t="shared" si="163"/>
        <v>4410000</v>
      </c>
      <c r="I216" s="27">
        <f t="shared" si="163"/>
        <v>4410000</v>
      </c>
      <c r="J216" s="16">
        <f>'БА в тыс. руб.'!G216*1000</f>
        <v>5000000</v>
      </c>
      <c r="K216" s="169">
        <f t="shared" si="147"/>
        <v>0</v>
      </c>
      <c r="L216" s="16">
        <f>'БА в тыс. руб.'!H216*1000</f>
        <v>4410000</v>
      </c>
      <c r="M216" s="169">
        <f t="shared" si="148"/>
        <v>0</v>
      </c>
      <c r="N216" s="16">
        <f>'БА в тыс. руб.'!I216*1000</f>
        <v>4410000</v>
      </c>
      <c r="O216" s="169">
        <f t="shared" si="149"/>
        <v>0</v>
      </c>
      <c r="S216" s="30"/>
      <c r="T216" s="30"/>
      <c r="U216" s="30"/>
    </row>
    <row r="217" spans="1:21" s="3" customFormat="1" ht="38.25">
      <c r="A217" s="34" t="s">
        <v>268</v>
      </c>
      <c r="B217" s="25" t="s">
        <v>55</v>
      </c>
      <c r="C217" s="26" t="s">
        <v>37</v>
      </c>
      <c r="D217" s="26" t="s">
        <v>40</v>
      </c>
      <c r="E217" s="26" t="s">
        <v>269</v>
      </c>
      <c r="F217" s="26" t="s">
        <v>58</v>
      </c>
      <c r="G217" s="27">
        <f t="shared" si="163"/>
        <v>5000000</v>
      </c>
      <c r="H217" s="27">
        <f t="shared" si="163"/>
        <v>4410000</v>
      </c>
      <c r="I217" s="27">
        <f t="shared" si="163"/>
        <v>4410000</v>
      </c>
      <c r="J217" s="16">
        <f>'БА в тыс. руб.'!G217*1000</f>
        <v>5000000</v>
      </c>
      <c r="K217" s="169">
        <f t="shared" si="147"/>
        <v>0</v>
      </c>
      <c r="L217" s="16">
        <f>'БА в тыс. руб.'!H217*1000</f>
        <v>4410000</v>
      </c>
      <c r="M217" s="169">
        <f t="shared" si="148"/>
        <v>0</v>
      </c>
      <c r="N217" s="16">
        <f>'БА в тыс. руб.'!I217*1000</f>
        <v>4410000</v>
      </c>
      <c r="O217" s="169">
        <f t="shared" si="149"/>
        <v>0</v>
      </c>
      <c r="S217" s="30"/>
      <c r="T217" s="30"/>
      <c r="U217" s="30"/>
    </row>
    <row r="218" spans="1:21" s="3" customFormat="1" ht="38.25">
      <c r="A218" s="46" t="s">
        <v>561</v>
      </c>
      <c r="B218" s="25" t="s">
        <v>55</v>
      </c>
      <c r="C218" s="26" t="s">
        <v>37</v>
      </c>
      <c r="D218" s="26" t="s">
        <v>40</v>
      </c>
      <c r="E218" s="26" t="s">
        <v>269</v>
      </c>
      <c r="F218" s="26" t="s">
        <v>101</v>
      </c>
      <c r="G218" s="27">
        <f>SUM(G219:G220)</f>
        <v>5000000</v>
      </c>
      <c r="H218" s="27">
        <f t="shared" ref="H218:I218" si="164">SUM(H219:H220)</f>
        <v>4410000</v>
      </c>
      <c r="I218" s="27">
        <f t="shared" si="164"/>
        <v>4410000</v>
      </c>
      <c r="J218" s="16">
        <f>'БА в тыс. руб.'!G218*1000</f>
        <v>5000000</v>
      </c>
      <c r="K218" s="169">
        <f t="shared" si="147"/>
        <v>0</v>
      </c>
      <c r="L218" s="16">
        <f>'БА в тыс. руб.'!H218*1000</f>
        <v>4410000</v>
      </c>
      <c r="M218" s="169">
        <f t="shared" si="148"/>
        <v>0</v>
      </c>
      <c r="N218" s="16">
        <f>'БА в тыс. руб.'!I218*1000</f>
        <v>4410000</v>
      </c>
      <c r="O218" s="169">
        <f t="shared" si="149"/>
        <v>0</v>
      </c>
      <c r="S218" s="30"/>
      <c r="T218" s="30"/>
      <c r="U218" s="30"/>
    </row>
    <row r="219" spans="1:21" s="3" customFormat="1" ht="51">
      <c r="A219" s="12" t="s">
        <v>1047</v>
      </c>
      <c r="B219" s="25" t="s">
        <v>55</v>
      </c>
      <c r="C219" s="26" t="s">
        <v>37</v>
      </c>
      <c r="D219" s="26" t="s">
        <v>40</v>
      </c>
      <c r="E219" s="26" t="s">
        <v>269</v>
      </c>
      <c r="F219" s="26" t="s">
        <v>1050</v>
      </c>
      <c r="G219" s="27">
        <f t="shared" ref="G219:G220" si="165">J219</f>
        <v>2000000</v>
      </c>
      <c r="H219" s="27">
        <f t="shared" ref="H219:H220" si="166">L219</f>
        <v>1710000</v>
      </c>
      <c r="I219" s="27">
        <f t="shared" ref="I219:I220" si="167">N219</f>
        <v>2310000</v>
      </c>
      <c r="J219" s="16">
        <f>'БА в тыс. руб.'!G219*1000</f>
        <v>2000000</v>
      </c>
      <c r="K219" s="169"/>
      <c r="L219" s="16">
        <f>'БА в тыс. руб.'!H219*1000</f>
        <v>1710000</v>
      </c>
      <c r="M219" s="169"/>
      <c r="N219" s="16">
        <f>'БА в тыс. руб.'!I219*1000</f>
        <v>2310000</v>
      </c>
      <c r="O219" s="169"/>
      <c r="S219" s="30"/>
      <c r="T219" s="30"/>
      <c r="U219" s="30"/>
    </row>
    <row r="220" spans="1:21" s="4" customFormat="1" ht="76.5">
      <c r="A220" s="12" t="s">
        <v>1048</v>
      </c>
      <c r="B220" s="25" t="s">
        <v>55</v>
      </c>
      <c r="C220" s="26" t="s">
        <v>37</v>
      </c>
      <c r="D220" s="26" t="s">
        <v>40</v>
      </c>
      <c r="E220" s="26" t="s">
        <v>269</v>
      </c>
      <c r="F220" s="26" t="s">
        <v>1051</v>
      </c>
      <c r="G220" s="27">
        <f t="shared" si="165"/>
        <v>3000000</v>
      </c>
      <c r="H220" s="27">
        <f t="shared" si="166"/>
        <v>2700000</v>
      </c>
      <c r="I220" s="27">
        <f t="shared" si="167"/>
        <v>2100000</v>
      </c>
      <c r="J220" s="16">
        <f>'БА в тыс. руб.'!G220*1000</f>
        <v>3000000</v>
      </c>
      <c r="K220" s="169">
        <f t="shared" si="147"/>
        <v>0</v>
      </c>
      <c r="L220" s="16">
        <f>'БА в тыс. руб.'!H220*1000</f>
        <v>2700000</v>
      </c>
      <c r="M220" s="169">
        <f t="shared" si="148"/>
        <v>0</v>
      </c>
      <c r="N220" s="16">
        <f>'БА в тыс. руб.'!I220*1000</f>
        <v>2100000</v>
      </c>
      <c r="O220" s="169">
        <f t="shared" si="149"/>
        <v>0</v>
      </c>
      <c r="S220" s="83"/>
      <c r="T220" s="83"/>
      <c r="U220" s="83"/>
    </row>
    <row r="221" spans="1:21" s="3" customFormat="1" ht="38.25">
      <c r="A221" s="34" t="s">
        <v>270</v>
      </c>
      <c r="B221" s="25" t="s">
        <v>55</v>
      </c>
      <c r="C221" s="26" t="s">
        <v>37</v>
      </c>
      <c r="D221" s="26" t="s">
        <v>40</v>
      </c>
      <c r="E221" s="26" t="s">
        <v>271</v>
      </c>
      <c r="F221" s="26" t="s">
        <v>58</v>
      </c>
      <c r="G221" s="27">
        <f t="shared" ref="G221:I223" si="168">G222</f>
        <v>1150000</v>
      </c>
      <c r="H221" s="27">
        <f t="shared" si="168"/>
        <v>1150000</v>
      </c>
      <c r="I221" s="27">
        <f t="shared" si="168"/>
        <v>1150000</v>
      </c>
      <c r="J221" s="16">
        <f>'БА в тыс. руб.'!G221*1000</f>
        <v>1150000</v>
      </c>
      <c r="K221" s="169">
        <f t="shared" si="147"/>
        <v>0</v>
      </c>
      <c r="L221" s="16">
        <f>'БА в тыс. руб.'!H221*1000</f>
        <v>1150000</v>
      </c>
      <c r="M221" s="169">
        <f t="shared" si="148"/>
        <v>0</v>
      </c>
      <c r="N221" s="16">
        <f>'БА в тыс. руб.'!I221*1000</f>
        <v>1150000</v>
      </c>
      <c r="O221" s="169">
        <f t="shared" si="149"/>
        <v>0</v>
      </c>
      <c r="S221" s="30"/>
      <c r="T221" s="30"/>
      <c r="U221" s="30"/>
    </row>
    <row r="222" spans="1:21" s="3" customFormat="1" ht="38.25">
      <c r="A222" s="34" t="s">
        <v>874</v>
      </c>
      <c r="B222" s="25" t="s">
        <v>55</v>
      </c>
      <c r="C222" s="26" t="s">
        <v>37</v>
      </c>
      <c r="D222" s="26" t="s">
        <v>40</v>
      </c>
      <c r="E222" s="26" t="s">
        <v>272</v>
      </c>
      <c r="F222" s="26" t="s">
        <v>58</v>
      </c>
      <c r="G222" s="27">
        <f t="shared" si="168"/>
        <v>1150000</v>
      </c>
      <c r="H222" s="27">
        <f t="shared" si="168"/>
        <v>1150000</v>
      </c>
      <c r="I222" s="27">
        <f t="shared" si="168"/>
        <v>1150000</v>
      </c>
      <c r="J222" s="16">
        <f>'БА в тыс. руб.'!G222*1000</f>
        <v>1150000</v>
      </c>
      <c r="K222" s="169">
        <f t="shared" si="147"/>
        <v>0</v>
      </c>
      <c r="L222" s="16">
        <f>'БА в тыс. руб.'!H222*1000</f>
        <v>1150000</v>
      </c>
      <c r="M222" s="169">
        <f t="shared" si="148"/>
        <v>0</v>
      </c>
      <c r="N222" s="16">
        <f>'БА в тыс. руб.'!I222*1000</f>
        <v>1150000</v>
      </c>
      <c r="O222" s="169">
        <f t="shared" si="149"/>
        <v>0</v>
      </c>
      <c r="S222" s="30"/>
      <c r="T222" s="30"/>
      <c r="U222" s="30"/>
    </row>
    <row r="223" spans="1:21" s="3" customFormat="1" ht="25.5">
      <c r="A223" s="11" t="s">
        <v>108</v>
      </c>
      <c r="B223" s="25" t="s">
        <v>55</v>
      </c>
      <c r="C223" s="26" t="s">
        <v>37</v>
      </c>
      <c r="D223" s="26" t="s">
        <v>40</v>
      </c>
      <c r="E223" s="26" t="s">
        <v>272</v>
      </c>
      <c r="F223" s="26" t="s">
        <v>116</v>
      </c>
      <c r="G223" s="27">
        <f>G224</f>
        <v>1150000</v>
      </c>
      <c r="H223" s="27">
        <f t="shared" si="168"/>
        <v>1150000</v>
      </c>
      <c r="I223" s="27">
        <f t="shared" si="168"/>
        <v>1150000</v>
      </c>
      <c r="J223" s="16">
        <f>'БА в тыс. руб.'!G223*1000</f>
        <v>1150000</v>
      </c>
      <c r="K223" s="169">
        <f t="shared" si="147"/>
        <v>0</v>
      </c>
      <c r="L223" s="16">
        <f>'БА в тыс. руб.'!H223*1000</f>
        <v>1150000</v>
      </c>
      <c r="M223" s="169">
        <f t="shared" si="148"/>
        <v>0</v>
      </c>
      <c r="N223" s="16">
        <f>'БА в тыс. руб.'!I223*1000</f>
        <v>1150000</v>
      </c>
      <c r="O223" s="169">
        <f t="shared" si="149"/>
        <v>0</v>
      </c>
      <c r="S223" s="30"/>
      <c r="T223" s="30"/>
      <c r="U223" s="30"/>
    </row>
    <row r="224" spans="1:21" s="94" customFormat="1" ht="25.5">
      <c r="A224" s="12" t="s">
        <v>973</v>
      </c>
      <c r="B224" s="25" t="s">
        <v>55</v>
      </c>
      <c r="C224" s="26" t="s">
        <v>37</v>
      </c>
      <c r="D224" s="26" t="s">
        <v>40</v>
      </c>
      <c r="E224" s="26" t="s">
        <v>272</v>
      </c>
      <c r="F224" s="26" t="s">
        <v>1043</v>
      </c>
      <c r="G224" s="27">
        <f t="shared" ref="G224" si="169">J224</f>
        <v>1150000</v>
      </c>
      <c r="H224" s="27">
        <f>L224</f>
        <v>1150000</v>
      </c>
      <c r="I224" s="27">
        <f>N224</f>
        <v>1150000</v>
      </c>
      <c r="J224" s="16">
        <f>'БА в тыс. руб.'!G224*1000</f>
        <v>1150000</v>
      </c>
      <c r="K224" s="169">
        <f t="shared" si="147"/>
        <v>0</v>
      </c>
      <c r="L224" s="16">
        <f>'БА в тыс. руб.'!H224*1000</f>
        <v>1150000</v>
      </c>
      <c r="M224" s="169">
        <f t="shared" si="148"/>
        <v>0</v>
      </c>
      <c r="N224" s="16">
        <f>'БА в тыс. руб.'!I224*1000</f>
        <v>1150000</v>
      </c>
      <c r="O224" s="169">
        <f t="shared" si="149"/>
        <v>0</v>
      </c>
      <c r="S224" s="103"/>
      <c r="T224" s="103"/>
      <c r="U224" s="103"/>
    </row>
    <row r="225" spans="1:21" s="3" customFormat="1" ht="38.25">
      <c r="A225" s="34" t="s">
        <v>608</v>
      </c>
      <c r="B225" s="25" t="s">
        <v>55</v>
      </c>
      <c r="C225" s="26" t="s">
        <v>37</v>
      </c>
      <c r="D225" s="26" t="s">
        <v>40</v>
      </c>
      <c r="E225" s="26" t="s">
        <v>273</v>
      </c>
      <c r="F225" s="26" t="s">
        <v>58</v>
      </c>
      <c r="G225" s="27">
        <f t="shared" ref="G225:I227" si="170">G226</f>
        <v>450000</v>
      </c>
      <c r="H225" s="27">
        <f t="shared" si="170"/>
        <v>407000</v>
      </c>
      <c r="I225" s="27">
        <f t="shared" si="170"/>
        <v>407000</v>
      </c>
      <c r="J225" s="16">
        <f>'БА в тыс. руб.'!G225*1000</f>
        <v>450000</v>
      </c>
      <c r="K225" s="169">
        <f t="shared" si="147"/>
        <v>0</v>
      </c>
      <c r="L225" s="16">
        <f>'БА в тыс. руб.'!H225*1000</f>
        <v>407000</v>
      </c>
      <c r="M225" s="169">
        <f t="shared" si="148"/>
        <v>0</v>
      </c>
      <c r="N225" s="16">
        <f>'БА в тыс. руб.'!I225*1000</f>
        <v>407000</v>
      </c>
      <c r="O225" s="169">
        <f t="shared" si="149"/>
        <v>0</v>
      </c>
      <c r="S225" s="30"/>
      <c r="T225" s="30"/>
      <c r="U225" s="30"/>
    </row>
    <row r="226" spans="1:21" s="3" customFormat="1" ht="38.25">
      <c r="A226" s="34" t="s">
        <v>874</v>
      </c>
      <c r="B226" s="25" t="s">
        <v>55</v>
      </c>
      <c r="C226" s="26" t="s">
        <v>37</v>
      </c>
      <c r="D226" s="26" t="s">
        <v>40</v>
      </c>
      <c r="E226" s="26" t="s">
        <v>274</v>
      </c>
      <c r="F226" s="26" t="s">
        <v>58</v>
      </c>
      <c r="G226" s="27">
        <f t="shared" si="170"/>
        <v>450000</v>
      </c>
      <c r="H226" s="27">
        <f t="shared" si="170"/>
        <v>407000</v>
      </c>
      <c r="I226" s="27">
        <f t="shared" si="170"/>
        <v>407000</v>
      </c>
      <c r="J226" s="16">
        <f>'БА в тыс. руб.'!G226*1000</f>
        <v>450000</v>
      </c>
      <c r="K226" s="169">
        <f t="shared" si="147"/>
        <v>0</v>
      </c>
      <c r="L226" s="16">
        <f>'БА в тыс. руб.'!H226*1000</f>
        <v>407000</v>
      </c>
      <c r="M226" s="169">
        <f t="shared" si="148"/>
        <v>0</v>
      </c>
      <c r="N226" s="16">
        <f>'БА в тыс. руб.'!I226*1000</f>
        <v>407000</v>
      </c>
      <c r="O226" s="169">
        <f t="shared" si="149"/>
        <v>0</v>
      </c>
      <c r="S226" s="30"/>
      <c r="T226" s="30"/>
      <c r="U226" s="30"/>
    </row>
    <row r="227" spans="1:21" s="3" customFormat="1" ht="31.9" customHeight="1">
      <c r="A227" s="11" t="s">
        <v>108</v>
      </c>
      <c r="B227" s="25" t="s">
        <v>55</v>
      </c>
      <c r="C227" s="26" t="s">
        <v>37</v>
      </c>
      <c r="D227" s="26" t="s">
        <v>40</v>
      </c>
      <c r="E227" s="26" t="s">
        <v>274</v>
      </c>
      <c r="F227" s="26" t="s">
        <v>116</v>
      </c>
      <c r="G227" s="27">
        <f>G228</f>
        <v>450000</v>
      </c>
      <c r="H227" s="27">
        <f t="shared" si="170"/>
        <v>407000</v>
      </c>
      <c r="I227" s="27">
        <f t="shared" si="170"/>
        <v>407000</v>
      </c>
      <c r="J227" s="16">
        <f>'БА в тыс. руб.'!G227*1000</f>
        <v>450000</v>
      </c>
      <c r="K227" s="169">
        <f t="shared" si="147"/>
        <v>0</v>
      </c>
      <c r="L227" s="16">
        <f>'БА в тыс. руб.'!H227*1000</f>
        <v>407000</v>
      </c>
      <c r="M227" s="169">
        <f t="shared" si="148"/>
        <v>0</v>
      </c>
      <c r="N227" s="16">
        <f>'БА в тыс. руб.'!I227*1000</f>
        <v>407000</v>
      </c>
      <c r="O227" s="169">
        <f t="shared" si="149"/>
        <v>0</v>
      </c>
      <c r="S227" s="30"/>
      <c r="T227" s="30"/>
      <c r="U227" s="30"/>
    </row>
    <row r="228" spans="1:21" s="4" customFormat="1" ht="25.5">
      <c r="A228" s="12" t="s">
        <v>973</v>
      </c>
      <c r="B228" s="25" t="s">
        <v>55</v>
      </c>
      <c r="C228" s="26" t="s">
        <v>37</v>
      </c>
      <c r="D228" s="26" t="s">
        <v>40</v>
      </c>
      <c r="E228" s="26" t="s">
        <v>274</v>
      </c>
      <c r="F228" s="26" t="s">
        <v>1043</v>
      </c>
      <c r="G228" s="27">
        <f t="shared" ref="G228" si="171">J228</f>
        <v>450000</v>
      </c>
      <c r="H228" s="27">
        <f>L228</f>
        <v>407000</v>
      </c>
      <c r="I228" s="27">
        <f>N228</f>
        <v>407000</v>
      </c>
      <c r="J228" s="16">
        <f>'БА в тыс. руб.'!G228*1000</f>
        <v>450000</v>
      </c>
      <c r="K228" s="169">
        <f t="shared" si="147"/>
        <v>0</v>
      </c>
      <c r="L228" s="16">
        <f>'БА в тыс. руб.'!H228*1000</f>
        <v>407000</v>
      </c>
      <c r="M228" s="169">
        <f t="shared" si="148"/>
        <v>0</v>
      </c>
      <c r="N228" s="16">
        <f>'БА в тыс. руб.'!I228*1000</f>
        <v>407000</v>
      </c>
      <c r="O228" s="169">
        <f t="shared" si="149"/>
        <v>0</v>
      </c>
      <c r="S228" s="83"/>
      <c r="T228" s="83"/>
      <c r="U228" s="83"/>
    </row>
    <row r="229" spans="1:21" s="3" customFormat="1" ht="25.5">
      <c r="A229" s="11" t="s">
        <v>765</v>
      </c>
      <c r="B229" s="25" t="s">
        <v>55</v>
      </c>
      <c r="C229" s="26" t="s">
        <v>37</v>
      </c>
      <c r="D229" s="26" t="s">
        <v>40</v>
      </c>
      <c r="E229" s="26" t="s">
        <v>216</v>
      </c>
      <c r="F229" s="26" t="s">
        <v>58</v>
      </c>
      <c r="G229" s="27">
        <f>G234+G230</f>
        <v>775000</v>
      </c>
      <c r="H229" s="27">
        <f t="shared" ref="H229:I229" si="172">H234+H230</f>
        <v>580500</v>
      </c>
      <c r="I229" s="27">
        <f t="shared" si="172"/>
        <v>580500</v>
      </c>
      <c r="J229" s="16">
        <f>'БА в тыс. руб.'!G229*1000</f>
        <v>775000</v>
      </c>
      <c r="K229" s="169">
        <f t="shared" si="147"/>
        <v>0</v>
      </c>
      <c r="L229" s="16">
        <f>'БА в тыс. руб.'!H229*1000</f>
        <v>580500</v>
      </c>
      <c r="M229" s="169">
        <f t="shared" si="148"/>
        <v>0</v>
      </c>
      <c r="N229" s="16">
        <f>'БА в тыс. руб.'!I229*1000</f>
        <v>580500</v>
      </c>
      <c r="O229" s="169">
        <f t="shared" si="149"/>
        <v>0</v>
      </c>
      <c r="S229" s="30"/>
      <c r="T229" s="30"/>
      <c r="U229" s="30"/>
    </row>
    <row r="230" spans="1:21" s="3" customFormat="1" ht="25.5">
      <c r="A230" s="34" t="s">
        <v>847</v>
      </c>
      <c r="B230" s="25" t="s">
        <v>55</v>
      </c>
      <c r="C230" s="26" t="s">
        <v>37</v>
      </c>
      <c r="D230" s="26" t="s">
        <v>40</v>
      </c>
      <c r="E230" s="26" t="s">
        <v>777</v>
      </c>
      <c r="F230" s="26" t="s">
        <v>58</v>
      </c>
      <c r="G230" s="27">
        <f>G231</f>
        <v>280000</v>
      </c>
      <c r="H230" s="27">
        <f t="shared" ref="H230:I232" si="173">H231</f>
        <v>252000</v>
      </c>
      <c r="I230" s="27">
        <f t="shared" si="173"/>
        <v>252000</v>
      </c>
      <c r="J230" s="16">
        <f>'БА в тыс. руб.'!G230*1000</f>
        <v>280000</v>
      </c>
      <c r="K230" s="169">
        <f t="shared" si="147"/>
        <v>0</v>
      </c>
      <c r="L230" s="16">
        <f>'БА в тыс. руб.'!H230*1000</f>
        <v>252000</v>
      </c>
      <c r="M230" s="169">
        <f t="shared" si="148"/>
        <v>0</v>
      </c>
      <c r="N230" s="16">
        <f>'БА в тыс. руб.'!I230*1000</f>
        <v>252000</v>
      </c>
      <c r="O230" s="169">
        <f t="shared" si="149"/>
        <v>0</v>
      </c>
      <c r="S230" s="30"/>
      <c r="T230" s="30"/>
      <c r="U230" s="30"/>
    </row>
    <row r="231" spans="1:21" s="3" customFormat="1" ht="25.5">
      <c r="A231" s="34" t="s">
        <v>875</v>
      </c>
      <c r="B231" s="25" t="s">
        <v>55</v>
      </c>
      <c r="C231" s="26" t="s">
        <v>37</v>
      </c>
      <c r="D231" s="26" t="s">
        <v>40</v>
      </c>
      <c r="E231" s="26" t="s">
        <v>778</v>
      </c>
      <c r="F231" s="26" t="s">
        <v>58</v>
      </c>
      <c r="G231" s="27">
        <f>G232</f>
        <v>280000</v>
      </c>
      <c r="H231" s="27">
        <f t="shared" si="173"/>
        <v>252000</v>
      </c>
      <c r="I231" s="27">
        <f t="shared" si="173"/>
        <v>252000</v>
      </c>
      <c r="J231" s="16">
        <f>'БА в тыс. руб.'!G231*1000</f>
        <v>280000</v>
      </c>
      <c r="K231" s="169">
        <f t="shared" si="147"/>
        <v>0</v>
      </c>
      <c r="L231" s="16">
        <f>'БА в тыс. руб.'!H231*1000</f>
        <v>252000</v>
      </c>
      <c r="M231" s="169">
        <f t="shared" si="148"/>
        <v>0</v>
      </c>
      <c r="N231" s="16">
        <f>'БА в тыс. руб.'!I231*1000</f>
        <v>252000</v>
      </c>
      <c r="O231" s="169">
        <f t="shared" si="149"/>
        <v>0</v>
      </c>
      <c r="S231" s="30"/>
      <c r="T231" s="30"/>
      <c r="U231" s="30"/>
    </row>
    <row r="232" spans="1:21" s="3" customFormat="1" ht="25.5">
      <c r="A232" s="11" t="s">
        <v>108</v>
      </c>
      <c r="B232" s="25" t="s">
        <v>55</v>
      </c>
      <c r="C232" s="26" t="s">
        <v>37</v>
      </c>
      <c r="D232" s="26" t="s">
        <v>40</v>
      </c>
      <c r="E232" s="26" t="s">
        <v>778</v>
      </c>
      <c r="F232" s="26" t="s">
        <v>116</v>
      </c>
      <c r="G232" s="27">
        <f>G233</f>
        <v>280000</v>
      </c>
      <c r="H232" s="27">
        <f t="shared" si="173"/>
        <v>252000</v>
      </c>
      <c r="I232" s="27">
        <f t="shared" si="173"/>
        <v>252000</v>
      </c>
      <c r="J232" s="16">
        <f>'БА в тыс. руб.'!G232*1000</f>
        <v>280000</v>
      </c>
      <c r="K232" s="169">
        <f t="shared" si="147"/>
        <v>0</v>
      </c>
      <c r="L232" s="16">
        <f>'БА в тыс. руб.'!H232*1000</f>
        <v>252000</v>
      </c>
      <c r="M232" s="169">
        <f t="shared" si="148"/>
        <v>0</v>
      </c>
      <c r="N232" s="16">
        <f>'БА в тыс. руб.'!I232*1000</f>
        <v>252000</v>
      </c>
      <c r="O232" s="169">
        <f t="shared" si="149"/>
        <v>0</v>
      </c>
      <c r="S232" s="30"/>
      <c r="T232" s="30"/>
      <c r="U232" s="30"/>
    </row>
    <row r="233" spans="1:21" s="4" customFormat="1" ht="25.5">
      <c r="A233" s="12" t="s">
        <v>973</v>
      </c>
      <c r="B233" s="25" t="s">
        <v>55</v>
      </c>
      <c r="C233" s="26" t="s">
        <v>37</v>
      </c>
      <c r="D233" s="26" t="s">
        <v>40</v>
      </c>
      <c r="E233" s="26" t="s">
        <v>778</v>
      </c>
      <c r="F233" s="26" t="s">
        <v>1043</v>
      </c>
      <c r="G233" s="27">
        <f t="shared" ref="G233" si="174">J233</f>
        <v>280000</v>
      </c>
      <c r="H233" s="27">
        <f>L233</f>
        <v>252000</v>
      </c>
      <c r="I233" s="27">
        <f>N233</f>
        <v>252000</v>
      </c>
      <c r="J233" s="16">
        <f>'БА в тыс. руб.'!G233*1000</f>
        <v>280000</v>
      </c>
      <c r="K233" s="169">
        <f t="shared" si="147"/>
        <v>0</v>
      </c>
      <c r="L233" s="16">
        <f>'БА в тыс. руб.'!H233*1000</f>
        <v>252000</v>
      </c>
      <c r="M233" s="169">
        <f t="shared" si="148"/>
        <v>0</v>
      </c>
      <c r="N233" s="16">
        <f>'БА в тыс. руб.'!I233*1000</f>
        <v>252000</v>
      </c>
      <c r="O233" s="169">
        <f t="shared" si="149"/>
        <v>0</v>
      </c>
      <c r="S233" s="83"/>
      <c r="T233" s="83"/>
      <c r="U233" s="83"/>
    </row>
    <row r="234" spans="1:21" s="3" customFormat="1" ht="25.5">
      <c r="A234" s="11" t="s">
        <v>851</v>
      </c>
      <c r="B234" s="25" t="s">
        <v>55</v>
      </c>
      <c r="C234" s="26" t="s">
        <v>37</v>
      </c>
      <c r="D234" s="26" t="s">
        <v>40</v>
      </c>
      <c r="E234" s="26" t="s">
        <v>275</v>
      </c>
      <c r="F234" s="26" t="s">
        <v>58</v>
      </c>
      <c r="G234" s="27">
        <f t="shared" ref="G234:I234" si="175">G235</f>
        <v>495000</v>
      </c>
      <c r="H234" s="27">
        <f t="shared" si="175"/>
        <v>328500</v>
      </c>
      <c r="I234" s="27">
        <f t="shared" si="175"/>
        <v>328500</v>
      </c>
      <c r="J234" s="16">
        <f>'БА в тыс. руб.'!G234*1000</f>
        <v>495000</v>
      </c>
      <c r="K234" s="169">
        <f t="shared" si="147"/>
        <v>0</v>
      </c>
      <c r="L234" s="16">
        <f>'БА в тыс. руб.'!H234*1000</f>
        <v>328500</v>
      </c>
      <c r="M234" s="169">
        <f t="shared" si="148"/>
        <v>0</v>
      </c>
      <c r="N234" s="16">
        <f>'БА в тыс. руб.'!I234*1000</f>
        <v>328500</v>
      </c>
      <c r="O234" s="169">
        <f t="shared" si="149"/>
        <v>0</v>
      </c>
      <c r="S234" s="30"/>
      <c r="T234" s="30"/>
      <c r="U234" s="30"/>
    </row>
    <row r="235" spans="1:21" s="3" customFormat="1" ht="38.25">
      <c r="A235" s="34" t="s">
        <v>876</v>
      </c>
      <c r="B235" s="25" t="s">
        <v>55</v>
      </c>
      <c r="C235" s="26" t="s">
        <v>37</v>
      </c>
      <c r="D235" s="26" t="s">
        <v>40</v>
      </c>
      <c r="E235" s="26" t="s">
        <v>276</v>
      </c>
      <c r="F235" s="26" t="s">
        <v>58</v>
      </c>
      <c r="G235" s="27">
        <f>G236+G238</f>
        <v>495000</v>
      </c>
      <c r="H235" s="27">
        <f t="shared" ref="H235:I235" si="176">H236+H238</f>
        <v>328500</v>
      </c>
      <c r="I235" s="27">
        <f t="shared" si="176"/>
        <v>328500</v>
      </c>
      <c r="J235" s="16">
        <f>'БА в тыс. руб.'!G235*1000</f>
        <v>495000</v>
      </c>
      <c r="K235" s="169">
        <f t="shared" si="147"/>
        <v>0</v>
      </c>
      <c r="L235" s="16">
        <f>'БА в тыс. руб.'!H235*1000</f>
        <v>328500</v>
      </c>
      <c r="M235" s="169">
        <f t="shared" si="148"/>
        <v>0</v>
      </c>
      <c r="N235" s="16">
        <f>'БА в тыс. руб.'!I235*1000</f>
        <v>328500</v>
      </c>
      <c r="O235" s="169">
        <f t="shared" si="149"/>
        <v>0</v>
      </c>
      <c r="S235" s="30"/>
      <c r="T235" s="30"/>
      <c r="U235" s="30"/>
    </row>
    <row r="236" spans="1:21" s="3" customFormat="1" ht="25.5">
      <c r="A236" s="11" t="s">
        <v>108</v>
      </c>
      <c r="B236" s="25" t="s">
        <v>55</v>
      </c>
      <c r="C236" s="26" t="s">
        <v>37</v>
      </c>
      <c r="D236" s="26" t="s">
        <v>40</v>
      </c>
      <c r="E236" s="26" t="s">
        <v>276</v>
      </c>
      <c r="F236" s="26" t="s">
        <v>116</v>
      </c>
      <c r="G236" s="27">
        <f>G237</f>
        <v>395000</v>
      </c>
      <c r="H236" s="27">
        <f t="shared" ref="H236:I236" si="177">H237</f>
        <v>328500</v>
      </c>
      <c r="I236" s="27">
        <f t="shared" si="177"/>
        <v>328500</v>
      </c>
      <c r="J236" s="16">
        <f>'БА в тыс. руб.'!G236*1000</f>
        <v>395000</v>
      </c>
      <c r="K236" s="169">
        <f t="shared" si="147"/>
        <v>0</v>
      </c>
      <c r="L236" s="16">
        <f>'БА в тыс. руб.'!H236*1000</f>
        <v>328500</v>
      </c>
      <c r="M236" s="169">
        <f t="shared" si="148"/>
        <v>0</v>
      </c>
      <c r="N236" s="16">
        <f>'БА в тыс. руб.'!I236*1000</f>
        <v>328500</v>
      </c>
      <c r="O236" s="169">
        <f t="shared" si="149"/>
        <v>0</v>
      </c>
      <c r="S236" s="30"/>
      <c r="T236" s="30"/>
      <c r="U236" s="30"/>
    </row>
    <row r="237" spans="1:21" s="4" customFormat="1" ht="25.5">
      <c r="A237" s="12" t="s">
        <v>973</v>
      </c>
      <c r="B237" s="25" t="s">
        <v>55</v>
      </c>
      <c r="C237" s="26" t="s">
        <v>37</v>
      </c>
      <c r="D237" s="26" t="s">
        <v>40</v>
      </c>
      <c r="E237" s="26" t="s">
        <v>276</v>
      </c>
      <c r="F237" s="26" t="s">
        <v>1043</v>
      </c>
      <c r="G237" s="27">
        <f t="shared" ref="G237:G238" si="178">J237</f>
        <v>395000</v>
      </c>
      <c r="H237" s="27">
        <f t="shared" ref="H237:H238" si="179">L237</f>
        <v>328500</v>
      </c>
      <c r="I237" s="27">
        <f t="shared" ref="I237:I238" si="180">N237</f>
        <v>328500</v>
      </c>
      <c r="J237" s="16">
        <f>'БА в тыс. руб.'!G237*1000</f>
        <v>395000</v>
      </c>
      <c r="K237" s="169">
        <f t="shared" si="147"/>
        <v>0</v>
      </c>
      <c r="L237" s="16">
        <f>'БА в тыс. руб.'!H237*1000</f>
        <v>328500</v>
      </c>
      <c r="M237" s="169">
        <f t="shared" si="148"/>
        <v>0</v>
      </c>
      <c r="N237" s="16">
        <f>'БА в тыс. руб.'!I237*1000</f>
        <v>328500</v>
      </c>
      <c r="O237" s="169">
        <f t="shared" si="149"/>
        <v>0</v>
      </c>
      <c r="S237" s="83"/>
      <c r="T237" s="83"/>
      <c r="U237" s="83"/>
    </row>
    <row r="238" spans="1:21" s="3" customFormat="1">
      <c r="A238" s="11" t="s">
        <v>99</v>
      </c>
      <c r="B238" s="25" t="s">
        <v>55</v>
      </c>
      <c r="C238" s="26" t="s">
        <v>37</v>
      </c>
      <c r="D238" s="26" t="s">
        <v>40</v>
      </c>
      <c r="E238" s="26" t="s">
        <v>276</v>
      </c>
      <c r="F238" s="26" t="s">
        <v>105</v>
      </c>
      <c r="G238" s="27">
        <f t="shared" si="178"/>
        <v>100000</v>
      </c>
      <c r="H238" s="27">
        <f t="shared" si="179"/>
        <v>0</v>
      </c>
      <c r="I238" s="27">
        <f t="shared" si="180"/>
        <v>0</v>
      </c>
      <c r="J238" s="16">
        <f>'БА в тыс. руб.'!G238*1000</f>
        <v>100000</v>
      </c>
      <c r="K238" s="169">
        <f t="shared" si="147"/>
        <v>0</v>
      </c>
      <c r="L238" s="16">
        <f>'БА в тыс. руб.'!H238*1000</f>
        <v>0</v>
      </c>
      <c r="M238" s="169">
        <f t="shared" si="148"/>
        <v>0</v>
      </c>
      <c r="N238" s="16">
        <f>'БА в тыс. руб.'!I238*1000</f>
        <v>0</v>
      </c>
      <c r="O238" s="169">
        <f t="shared" si="149"/>
        <v>0</v>
      </c>
      <c r="S238" s="30"/>
      <c r="T238" s="30"/>
      <c r="U238" s="30"/>
    </row>
    <row r="239" spans="1:21" s="3" customFormat="1">
      <c r="A239" s="17" t="s">
        <v>70</v>
      </c>
      <c r="B239" s="18" t="s">
        <v>55</v>
      </c>
      <c r="C239" s="19" t="s">
        <v>71</v>
      </c>
      <c r="D239" s="19" t="s">
        <v>51</v>
      </c>
      <c r="E239" s="19" t="s">
        <v>196</v>
      </c>
      <c r="F239" s="19" t="s">
        <v>58</v>
      </c>
      <c r="G239" s="20">
        <f t="shared" ref="G239:I244" si="181">G240</f>
        <v>160000</v>
      </c>
      <c r="H239" s="20">
        <f t="shared" si="181"/>
        <v>160000</v>
      </c>
      <c r="I239" s="20">
        <f t="shared" si="181"/>
        <v>160000</v>
      </c>
      <c r="J239" s="16">
        <f>'БА в тыс. руб.'!G239*1000</f>
        <v>160000</v>
      </c>
      <c r="K239" s="169">
        <f t="shared" si="147"/>
        <v>0</v>
      </c>
      <c r="L239" s="16">
        <f>'БА в тыс. руб.'!H239*1000</f>
        <v>160000</v>
      </c>
      <c r="M239" s="169">
        <f t="shared" si="148"/>
        <v>0</v>
      </c>
      <c r="N239" s="16">
        <f>'БА в тыс. руб.'!I239*1000</f>
        <v>160000</v>
      </c>
      <c r="O239" s="169">
        <f t="shared" si="149"/>
        <v>0</v>
      </c>
      <c r="S239" s="30"/>
      <c r="T239" s="30"/>
      <c r="U239" s="30"/>
    </row>
    <row r="240" spans="1:21" s="3" customFormat="1" ht="25.5">
      <c r="A240" s="21" t="s">
        <v>664</v>
      </c>
      <c r="B240" s="22" t="s">
        <v>55</v>
      </c>
      <c r="C240" s="23" t="s">
        <v>71</v>
      </c>
      <c r="D240" s="23" t="s">
        <v>8</v>
      </c>
      <c r="E240" s="23" t="s">
        <v>196</v>
      </c>
      <c r="F240" s="23" t="s">
        <v>58</v>
      </c>
      <c r="G240" s="24">
        <f t="shared" si="181"/>
        <v>160000</v>
      </c>
      <c r="H240" s="24">
        <f t="shared" si="181"/>
        <v>160000</v>
      </c>
      <c r="I240" s="24">
        <f t="shared" si="181"/>
        <v>160000</v>
      </c>
      <c r="J240" s="16">
        <f>'БА в тыс. руб.'!G240*1000</f>
        <v>160000</v>
      </c>
      <c r="K240" s="169">
        <f t="shared" si="147"/>
        <v>0</v>
      </c>
      <c r="L240" s="16">
        <f>'БА в тыс. руб.'!H240*1000</f>
        <v>160000</v>
      </c>
      <c r="M240" s="169">
        <f t="shared" si="148"/>
        <v>0</v>
      </c>
      <c r="N240" s="16">
        <f>'БА в тыс. руб.'!I240*1000</f>
        <v>160000</v>
      </c>
      <c r="O240" s="169">
        <f t="shared" si="149"/>
        <v>0</v>
      </c>
      <c r="S240" s="30"/>
      <c r="T240" s="30"/>
      <c r="U240" s="30"/>
    </row>
    <row r="241" spans="1:21" s="3" customFormat="1" ht="25.5">
      <c r="A241" s="34" t="s">
        <v>748</v>
      </c>
      <c r="B241" s="25" t="s">
        <v>55</v>
      </c>
      <c r="C241" s="26" t="s">
        <v>71</v>
      </c>
      <c r="D241" s="26" t="s">
        <v>8</v>
      </c>
      <c r="E241" s="26" t="s">
        <v>220</v>
      </c>
      <c r="F241" s="26" t="s">
        <v>58</v>
      </c>
      <c r="G241" s="27">
        <f t="shared" si="181"/>
        <v>160000</v>
      </c>
      <c r="H241" s="27">
        <f t="shared" si="181"/>
        <v>160000</v>
      </c>
      <c r="I241" s="27">
        <f t="shared" si="181"/>
        <v>160000</v>
      </c>
      <c r="J241" s="16">
        <f>'БА в тыс. руб.'!G241*1000</f>
        <v>160000</v>
      </c>
      <c r="K241" s="169">
        <f t="shared" si="147"/>
        <v>0</v>
      </c>
      <c r="L241" s="16">
        <f>'БА в тыс. руб.'!H241*1000</f>
        <v>160000</v>
      </c>
      <c r="M241" s="169">
        <f t="shared" si="148"/>
        <v>0</v>
      </c>
      <c r="N241" s="16">
        <f>'БА в тыс. руб.'!I241*1000</f>
        <v>160000</v>
      </c>
      <c r="O241" s="169">
        <f t="shared" si="149"/>
        <v>0</v>
      </c>
      <c r="S241" s="30"/>
      <c r="T241" s="30"/>
      <c r="U241" s="30"/>
    </row>
    <row r="242" spans="1:21" s="3" customFormat="1" ht="25.5">
      <c r="A242" s="34" t="s">
        <v>749</v>
      </c>
      <c r="B242" s="25" t="s">
        <v>55</v>
      </c>
      <c r="C242" s="26" t="s">
        <v>71</v>
      </c>
      <c r="D242" s="26" t="s">
        <v>8</v>
      </c>
      <c r="E242" s="26" t="s">
        <v>221</v>
      </c>
      <c r="F242" s="26" t="s">
        <v>58</v>
      </c>
      <c r="G242" s="27">
        <f t="shared" si="181"/>
        <v>160000</v>
      </c>
      <c r="H242" s="27">
        <f t="shared" si="181"/>
        <v>160000</v>
      </c>
      <c r="I242" s="27">
        <f t="shared" si="181"/>
        <v>160000</v>
      </c>
      <c r="J242" s="16">
        <f>'БА в тыс. руб.'!G242*1000</f>
        <v>160000</v>
      </c>
      <c r="K242" s="169">
        <f t="shared" si="147"/>
        <v>0</v>
      </c>
      <c r="L242" s="16">
        <f>'БА в тыс. руб.'!H242*1000</f>
        <v>160000</v>
      </c>
      <c r="M242" s="169">
        <f t="shared" si="148"/>
        <v>0</v>
      </c>
      <c r="N242" s="16">
        <f>'БА в тыс. руб.'!I242*1000</f>
        <v>160000</v>
      </c>
      <c r="O242" s="169">
        <f t="shared" si="149"/>
        <v>0</v>
      </c>
      <c r="S242" s="30"/>
      <c r="T242" s="30"/>
      <c r="U242" s="30"/>
    </row>
    <row r="243" spans="1:21" s="3" customFormat="1" ht="38.25">
      <c r="A243" s="34" t="s">
        <v>222</v>
      </c>
      <c r="B243" s="25" t="s">
        <v>55</v>
      </c>
      <c r="C243" s="26" t="s">
        <v>71</v>
      </c>
      <c r="D243" s="26" t="s">
        <v>8</v>
      </c>
      <c r="E243" s="26" t="s">
        <v>223</v>
      </c>
      <c r="F243" s="26" t="s">
        <v>58</v>
      </c>
      <c r="G243" s="27">
        <f t="shared" si="181"/>
        <v>160000</v>
      </c>
      <c r="H243" s="27">
        <f t="shared" si="181"/>
        <v>160000</v>
      </c>
      <c r="I243" s="27">
        <f t="shared" si="181"/>
        <v>160000</v>
      </c>
      <c r="J243" s="16">
        <f>'БА в тыс. руб.'!G243*1000</f>
        <v>160000</v>
      </c>
      <c r="K243" s="169">
        <f t="shared" si="147"/>
        <v>0</v>
      </c>
      <c r="L243" s="16">
        <f>'БА в тыс. руб.'!H243*1000</f>
        <v>160000</v>
      </c>
      <c r="M243" s="169">
        <f t="shared" si="148"/>
        <v>0</v>
      </c>
      <c r="N243" s="16">
        <f>'БА в тыс. руб.'!I243*1000</f>
        <v>160000</v>
      </c>
      <c r="O243" s="169">
        <f t="shared" si="149"/>
        <v>0</v>
      </c>
      <c r="S243" s="30"/>
      <c r="T243" s="30"/>
      <c r="U243" s="30"/>
    </row>
    <row r="244" spans="1:21" s="3" customFormat="1" ht="25.5">
      <c r="A244" s="34" t="s">
        <v>877</v>
      </c>
      <c r="B244" s="25" t="s">
        <v>55</v>
      </c>
      <c r="C244" s="26" t="s">
        <v>71</v>
      </c>
      <c r="D244" s="26" t="s">
        <v>8</v>
      </c>
      <c r="E244" s="26" t="s">
        <v>224</v>
      </c>
      <c r="F244" s="26" t="s">
        <v>58</v>
      </c>
      <c r="G244" s="27">
        <f t="shared" si="181"/>
        <v>160000</v>
      </c>
      <c r="H244" s="27">
        <f t="shared" si="181"/>
        <v>160000</v>
      </c>
      <c r="I244" s="27">
        <f t="shared" si="181"/>
        <v>160000</v>
      </c>
      <c r="J244" s="16">
        <f>'БА в тыс. руб.'!G244*1000</f>
        <v>160000</v>
      </c>
      <c r="K244" s="169">
        <f t="shared" si="147"/>
        <v>0</v>
      </c>
      <c r="L244" s="16">
        <f>'БА в тыс. руб.'!H244*1000</f>
        <v>160000</v>
      </c>
      <c r="M244" s="169">
        <f t="shared" si="148"/>
        <v>0</v>
      </c>
      <c r="N244" s="16">
        <f>'БА в тыс. руб.'!I244*1000</f>
        <v>160000</v>
      </c>
      <c r="O244" s="169">
        <f t="shared" si="149"/>
        <v>0</v>
      </c>
      <c r="S244" s="30"/>
      <c r="T244" s="30"/>
      <c r="U244" s="30"/>
    </row>
    <row r="245" spans="1:21" s="3" customFormat="1" ht="25.5">
      <c r="A245" s="11" t="s">
        <v>108</v>
      </c>
      <c r="B245" s="25" t="s">
        <v>55</v>
      </c>
      <c r="C245" s="26" t="s">
        <v>71</v>
      </c>
      <c r="D245" s="26" t="s">
        <v>8</v>
      </c>
      <c r="E245" s="26" t="s">
        <v>224</v>
      </c>
      <c r="F245" s="26" t="s">
        <v>116</v>
      </c>
      <c r="G245" s="27">
        <f>J245</f>
        <v>160000</v>
      </c>
      <c r="H245" s="27">
        <f>L245</f>
        <v>160000</v>
      </c>
      <c r="I245" s="27">
        <f>N245</f>
        <v>160000</v>
      </c>
      <c r="J245" s="16">
        <f>'БА в тыс. руб.'!G245*1000</f>
        <v>160000</v>
      </c>
      <c r="K245" s="169">
        <f t="shared" si="147"/>
        <v>0</v>
      </c>
      <c r="L245" s="16">
        <f>'БА в тыс. руб.'!H245*1000</f>
        <v>160000</v>
      </c>
      <c r="M245" s="169">
        <f t="shared" si="148"/>
        <v>0</v>
      </c>
      <c r="N245" s="16">
        <f>'БА в тыс. руб.'!I245*1000</f>
        <v>160000</v>
      </c>
      <c r="O245" s="169">
        <f t="shared" si="149"/>
        <v>0</v>
      </c>
      <c r="S245" s="30"/>
      <c r="T245" s="30"/>
      <c r="U245" s="30"/>
    </row>
    <row r="246" spans="1:21" s="4" customFormat="1" ht="25.5">
      <c r="A246" s="12" t="s">
        <v>973</v>
      </c>
      <c r="B246" s="25" t="s">
        <v>55</v>
      </c>
      <c r="C246" s="26" t="s">
        <v>71</v>
      </c>
      <c r="D246" s="26" t="s">
        <v>8</v>
      </c>
      <c r="E246" s="26" t="s">
        <v>224</v>
      </c>
      <c r="F246" s="26" t="s">
        <v>1043</v>
      </c>
      <c r="G246" s="27">
        <f t="shared" ref="G246" si="182">J246</f>
        <v>160000</v>
      </c>
      <c r="H246" s="27">
        <f>L246</f>
        <v>160000</v>
      </c>
      <c r="I246" s="27">
        <f>N246</f>
        <v>160000</v>
      </c>
      <c r="J246" s="16">
        <f>'БА в тыс. руб.'!G246*1000</f>
        <v>160000</v>
      </c>
      <c r="K246" s="169">
        <f t="shared" si="147"/>
        <v>0</v>
      </c>
      <c r="L246" s="16">
        <f>'БА в тыс. руб.'!H246*1000</f>
        <v>160000</v>
      </c>
      <c r="M246" s="169">
        <f t="shared" si="148"/>
        <v>0</v>
      </c>
      <c r="N246" s="16">
        <f>'БА в тыс. руб.'!I246*1000</f>
        <v>160000</v>
      </c>
      <c r="O246" s="169">
        <f t="shared" si="149"/>
        <v>0</v>
      </c>
      <c r="S246" s="83"/>
      <c r="T246" s="83"/>
      <c r="U246" s="83"/>
    </row>
    <row r="247" spans="1:21" s="3" customFormat="1">
      <c r="A247" s="17" t="s">
        <v>499</v>
      </c>
      <c r="B247" s="18" t="s">
        <v>55</v>
      </c>
      <c r="C247" s="19" t="s">
        <v>50</v>
      </c>
      <c r="D247" s="19" t="s">
        <v>51</v>
      </c>
      <c r="E247" s="19" t="s">
        <v>196</v>
      </c>
      <c r="F247" s="19" t="s">
        <v>58</v>
      </c>
      <c r="G247" s="20">
        <f t="shared" ref="G247:I251" si="183">G248</f>
        <v>2123000</v>
      </c>
      <c r="H247" s="20">
        <f t="shared" si="183"/>
        <v>1911000</v>
      </c>
      <c r="I247" s="20">
        <f t="shared" si="183"/>
        <v>1911000</v>
      </c>
      <c r="J247" s="16">
        <f>'БА в тыс. руб.'!G247*1000</f>
        <v>2123000</v>
      </c>
      <c r="K247" s="169">
        <f t="shared" si="147"/>
        <v>0</v>
      </c>
      <c r="L247" s="16">
        <f>'БА в тыс. руб.'!H247*1000</f>
        <v>1911000</v>
      </c>
      <c r="M247" s="169">
        <f t="shared" si="148"/>
        <v>0</v>
      </c>
      <c r="N247" s="16">
        <f>'БА в тыс. руб.'!I247*1000</f>
        <v>1911000</v>
      </c>
      <c r="O247" s="169">
        <f t="shared" si="149"/>
        <v>0</v>
      </c>
      <c r="S247" s="30"/>
      <c r="T247" s="30"/>
      <c r="U247" s="30"/>
    </row>
    <row r="248" spans="1:21" s="3" customFormat="1">
      <c r="A248" s="21" t="s">
        <v>27</v>
      </c>
      <c r="B248" s="22" t="s">
        <v>55</v>
      </c>
      <c r="C248" s="23" t="s">
        <v>50</v>
      </c>
      <c r="D248" s="23" t="s">
        <v>65</v>
      </c>
      <c r="E248" s="23" t="s">
        <v>196</v>
      </c>
      <c r="F248" s="23" t="s">
        <v>58</v>
      </c>
      <c r="G248" s="24">
        <f t="shared" si="183"/>
        <v>2123000</v>
      </c>
      <c r="H248" s="24">
        <f t="shared" si="183"/>
        <v>1911000</v>
      </c>
      <c r="I248" s="24">
        <f t="shared" si="183"/>
        <v>1911000</v>
      </c>
      <c r="J248" s="16">
        <f>'БА в тыс. руб.'!G248*1000</f>
        <v>2123000</v>
      </c>
      <c r="K248" s="169">
        <f t="shared" si="147"/>
        <v>0</v>
      </c>
      <c r="L248" s="16">
        <f>'БА в тыс. руб.'!H248*1000</f>
        <v>1911000</v>
      </c>
      <c r="M248" s="169">
        <f t="shared" si="148"/>
        <v>0</v>
      </c>
      <c r="N248" s="16">
        <f>'БА в тыс. руб.'!I248*1000</f>
        <v>1911000</v>
      </c>
      <c r="O248" s="169">
        <f t="shared" si="149"/>
        <v>0</v>
      </c>
      <c r="S248" s="30"/>
      <c r="T248" s="30"/>
      <c r="U248" s="30"/>
    </row>
    <row r="249" spans="1:21" s="3" customFormat="1">
      <c r="A249" s="11" t="s">
        <v>739</v>
      </c>
      <c r="B249" s="25" t="s">
        <v>55</v>
      </c>
      <c r="C249" s="26" t="s">
        <v>50</v>
      </c>
      <c r="D249" s="26" t="s">
        <v>65</v>
      </c>
      <c r="E249" s="26" t="s">
        <v>277</v>
      </c>
      <c r="F249" s="26" t="s">
        <v>58</v>
      </c>
      <c r="G249" s="27">
        <f t="shared" si="183"/>
        <v>2123000</v>
      </c>
      <c r="H249" s="27">
        <f t="shared" si="183"/>
        <v>1911000</v>
      </c>
      <c r="I249" s="27">
        <f t="shared" si="183"/>
        <v>1911000</v>
      </c>
      <c r="J249" s="16">
        <f>'БА в тыс. руб.'!G249*1000</f>
        <v>2123000</v>
      </c>
      <c r="K249" s="169">
        <f t="shared" si="147"/>
        <v>0</v>
      </c>
      <c r="L249" s="16">
        <f>'БА в тыс. руб.'!H249*1000</f>
        <v>1911000</v>
      </c>
      <c r="M249" s="169">
        <f t="shared" si="148"/>
        <v>0</v>
      </c>
      <c r="N249" s="16">
        <f>'БА в тыс. руб.'!I249*1000</f>
        <v>1911000</v>
      </c>
      <c r="O249" s="169">
        <f t="shared" si="149"/>
        <v>0</v>
      </c>
      <c r="S249" s="30"/>
      <c r="T249" s="30"/>
      <c r="U249" s="30"/>
    </row>
    <row r="250" spans="1:21" s="3" customFormat="1" ht="51">
      <c r="A250" s="34" t="s">
        <v>191</v>
      </c>
      <c r="B250" s="25" t="s">
        <v>55</v>
      </c>
      <c r="C250" s="26" t="s">
        <v>50</v>
      </c>
      <c r="D250" s="26" t="s">
        <v>65</v>
      </c>
      <c r="E250" s="26" t="s">
        <v>278</v>
      </c>
      <c r="F250" s="26" t="s">
        <v>58</v>
      </c>
      <c r="G250" s="27">
        <f t="shared" si="183"/>
        <v>2123000</v>
      </c>
      <c r="H250" s="27">
        <f t="shared" si="183"/>
        <v>1911000</v>
      </c>
      <c r="I250" s="27">
        <f t="shared" si="183"/>
        <v>1911000</v>
      </c>
      <c r="J250" s="16">
        <f>'БА в тыс. руб.'!G250*1000</f>
        <v>2123000</v>
      </c>
      <c r="K250" s="169">
        <f t="shared" si="147"/>
        <v>0</v>
      </c>
      <c r="L250" s="16">
        <f>'БА в тыс. руб.'!H250*1000</f>
        <v>1911000</v>
      </c>
      <c r="M250" s="169">
        <f t="shared" si="148"/>
        <v>0</v>
      </c>
      <c r="N250" s="16">
        <f>'БА в тыс. руб.'!I250*1000</f>
        <v>1911000</v>
      </c>
      <c r="O250" s="169">
        <f t="shared" si="149"/>
        <v>0</v>
      </c>
      <c r="S250" s="30"/>
      <c r="T250" s="30"/>
      <c r="U250" s="30"/>
    </row>
    <row r="251" spans="1:21" s="3" customFormat="1" ht="63.75">
      <c r="A251" s="34" t="s">
        <v>605</v>
      </c>
      <c r="B251" s="25" t="s">
        <v>55</v>
      </c>
      <c r="C251" s="26" t="s">
        <v>50</v>
      </c>
      <c r="D251" s="26" t="s">
        <v>65</v>
      </c>
      <c r="E251" s="26" t="s">
        <v>279</v>
      </c>
      <c r="F251" s="26" t="s">
        <v>58</v>
      </c>
      <c r="G251" s="27">
        <f t="shared" si="183"/>
        <v>2123000</v>
      </c>
      <c r="H251" s="27">
        <f t="shared" si="183"/>
        <v>1911000</v>
      </c>
      <c r="I251" s="27">
        <f t="shared" si="183"/>
        <v>1911000</v>
      </c>
      <c r="J251" s="16">
        <f>'БА в тыс. руб.'!G251*1000</f>
        <v>2123000</v>
      </c>
      <c r="K251" s="169">
        <f t="shared" si="147"/>
        <v>0</v>
      </c>
      <c r="L251" s="16">
        <f>'БА в тыс. руб.'!H251*1000</f>
        <v>1911000</v>
      </c>
      <c r="M251" s="169">
        <f t="shared" si="148"/>
        <v>0</v>
      </c>
      <c r="N251" s="16">
        <f>'БА в тыс. руб.'!I251*1000</f>
        <v>1911000</v>
      </c>
      <c r="O251" s="169">
        <f t="shared" si="149"/>
        <v>0</v>
      </c>
      <c r="S251" s="30"/>
      <c r="T251" s="30"/>
      <c r="U251" s="30"/>
    </row>
    <row r="252" spans="1:21" s="3" customFormat="1" ht="25.5">
      <c r="A252" s="34" t="s">
        <v>161</v>
      </c>
      <c r="B252" s="25" t="s">
        <v>55</v>
      </c>
      <c r="C252" s="26" t="s">
        <v>50</v>
      </c>
      <c r="D252" s="26" t="s">
        <v>65</v>
      </c>
      <c r="E252" s="26" t="s">
        <v>320</v>
      </c>
      <c r="F252" s="26" t="s">
        <v>58</v>
      </c>
      <c r="G252" s="27">
        <f>G253</f>
        <v>2123000</v>
      </c>
      <c r="H252" s="27">
        <f>H253</f>
        <v>1911000</v>
      </c>
      <c r="I252" s="27">
        <f>I253</f>
        <v>1911000</v>
      </c>
      <c r="J252" s="16">
        <f>'БА в тыс. руб.'!G252*1000</f>
        <v>2123000</v>
      </c>
      <c r="K252" s="169">
        <f t="shared" si="147"/>
        <v>0</v>
      </c>
      <c r="L252" s="16">
        <f>'БА в тыс. руб.'!H252*1000</f>
        <v>1911000</v>
      </c>
      <c r="M252" s="169">
        <f t="shared" si="148"/>
        <v>0</v>
      </c>
      <c r="N252" s="16">
        <f>'БА в тыс. руб.'!I252*1000</f>
        <v>1911000</v>
      </c>
      <c r="O252" s="169">
        <f t="shared" si="149"/>
        <v>0</v>
      </c>
      <c r="S252" s="30"/>
      <c r="T252" s="30"/>
      <c r="U252" s="30"/>
    </row>
    <row r="253" spans="1:21" s="3" customFormat="1" ht="25.5">
      <c r="A253" s="11" t="s">
        <v>108</v>
      </c>
      <c r="B253" s="25" t="s">
        <v>55</v>
      </c>
      <c r="C253" s="26" t="s">
        <v>50</v>
      </c>
      <c r="D253" s="26" t="s">
        <v>65</v>
      </c>
      <c r="E253" s="26" t="s">
        <v>320</v>
      </c>
      <c r="F253" s="26" t="s">
        <v>116</v>
      </c>
      <c r="G253" s="27">
        <f>G254</f>
        <v>2123000</v>
      </c>
      <c r="H253" s="27">
        <f t="shared" ref="H253:I253" si="184">H254</f>
        <v>1911000</v>
      </c>
      <c r="I253" s="27">
        <f t="shared" si="184"/>
        <v>1911000</v>
      </c>
      <c r="J253" s="16">
        <f>'БА в тыс. руб.'!G253*1000</f>
        <v>2123000</v>
      </c>
      <c r="K253" s="169">
        <f t="shared" si="147"/>
        <v>0</v>
      </c>
      <c r="L253" s="16">
        <f>'БА в тыс. руб.'!H253*1000</f>
        <v>1911000</v>
      </c>
      <c r="M253" s="169">
        <f t="shared" si="148"/>
        <v>0</v>
      </c>
      <c r="N253" s="16">
        <f>'БА в тыс. руб.'!I253*1000</f>
        <v>1911000</v>
      </c>
      <c r="O253" s="169">
        <f t="shared" si="149"/>
        <v>0</v>
      </c>
      <c r="S253" s="30"/>
      <c r="T253" s="30"/>
      <c r="U253" s="30"/>
    </row>
    <row r="254" spans="1:21" s="4" customFormat="1" ht="25.5">
      <c r="A254" s="12" t="s">
        <v>973</v>
      </c>
      <c r="B254" s="25" t="s">
        <v>55</v>
      </c>
      <c r="C254" s="26" t="s">
        <v>50</v>
      </c>
      <c r="D254" s="26" t="s">
        <v>65</v>
      </c>
      <c r="E254" s="26" t="s">
        <v>320</v>
      </c>
      <c r="F254" s="26" t="s">
        <v>1043</v>
      </c>
      <c r="G254" s="27">
        <f t="shared" ref="G254" si="185">J254</f>
        <v>2123000</v>
      </c>
      <c r="H254" s="27">
        <f>L254</f>
        <v>1911000</v>
      </c>
      <c r="I254" s="27">
        <f>N254</f>
        <v>1911000</v>
      </c>
      <c r="J254" s="16">
        <f>'БА в тыс. руб.'!G254*1000</f>
        <v>2123000</v>
      </c>
      <c r="K254" s="169">
        <f t="shared" si="147"/>
        <v>0</v>
      </c>
      <c r="L254" s="16">
        <f>'БА в тыс. руб.'!H254*1000</f>
        <v>1911000</v>
      </c>
      <c r="M254" s="169">
        <f t="shared" si="148"/>
        <v>0</v>
      </c>
      <c r="N254" s="16">
        <f>'БА в тыс. руб.'!I254*1000</f>
        <v>1911000</v>
      </c>
      <c r="O254" s="169">
        <f t="shared" si="149"/>
        <v>0</v>
      </c>
      <c r="S254" s="83"/>
      <c r="T254" s="83"/>
      <c r="U254" s="83"/>
    </row>
    <row r="255" spans="1:21" s="2" customFormat="1">
      <c r="A255" s="17" t="s">
        <v>77</v>
      </c>
      <c r="B255" s="18" t="s">
        <v>55</v>
      </c>
      <c r="C255" s="19" t="s">
        <v>40</v>
      </c>
      <c r="D255" s="19" t="s">
        <v>51</v>
      </c>
      <c r="E255" s="19" t="s">
        <v>196</v>
      </c>
      <c r="F255" s="19" t="s">
        <v>58</v>
      </c>
      <c r="G255" s="20">
        <f>G263+G256</f>
        <v>20457500</v>
      </c>
      <c r="H255" s="20">
        <f>H263+H256</f>
        <v>20457500</v>
      </c>
      <c r="I255" s="20">
        <f>I263+I256</f>
        <v>20457500</v>
      </c>
      <c r="J255" s="16">
        <f>'БА в тыс. руб.'!G255*1000</f>
        <v>20457500</v>
      </c>
      <c r="K255" s="169">
        <f t="shared" si="147"/>
        <v>0</v>
      </c>
      <c r="L255" s="16">
        <f>'БА в тыс. руб.'!H255*1000</f>
        <v>20457500</v>
      </c>
      <c r="M255" s="169">
        <f t="shared" si="148"/>
        <v>0</v>
      </c>
      <c r="N255" s="16">
        <f>'БА в тыс. руб.'!I255*1000</f>
        <v>20457500</v>
      </c>
      <c r="O255" s="169">
        <f t="shared" si="149"/>
        <v>0</v>
      </c>
      <c r="S255" s="33"/>
      <c r="T255" s="33"/>
      <c r="U255" s="33"/>
    </row>
    <row r="256" spans="1:21" s="2" customFormat="1">
      <c r="A256" s="21" t="s">
        <v>906</v>
      </c>
      <c r="B256" s="22" t="s">
        <v>55</v>
      </c>
      <c r="C256" s="23" t="s">
        <v>40</v>
      </c>
      <c r="D256" s="23" t="s">
        <v>65</v>
      </c>
      <c r="E256" s="23" t="s">
        <v>196</v>
      </c>
      <c r="F256" s="23" t="s">
        <v>58</v>
      </c>
      <c r="G256" s="24">
        <f t="shared" ref="G256:I261" si="186">G257</f>
        <v>5900500</v>
      </c>
      <c r="H256" s="24">
        <f t="shared" si="186"/>
        <v>5900500</v>
      </c>
      <c r="I256" s="24">
        <f t="shared" si="186"/>
        <v>5900500</v>
      </c>
      <c r="J256" s="16">
        <f>'БА в тыс. руб.'!G256*1000</f>
        <v>5900500</v>
      </c>
      <c r="K256" s="169">
        <f t="shared" si="147"/>
        <v>0</v>
      </c>
      <c r="L256" s="16">
        <f>'БА в тыс. руб.'!H256*1000</f>
        <v>5900500</v>
      </c>
      <c r="M256" s="169">
        <f t="shared" si="148"/>
        <v>0</v>
      </c>
      <c r="N256" s="16">
        <f>'БА в тыс. руб.'!I256*1000</f>
        <v>5900500</v>
      </c>
      <c r="O256" s="169">
        <f t="shared" si="149"/>
        <v>0</v>
      </c>
      <c r="S256" s="33"/>
      <c r="T256" s="33"/>
      <c r="U256" s="33"/>
    </row>
    <row r="257" spans="1:21" s="2" customFormat="1" ht="38.25">
      <c r="A257" s="34" t="s">
        <v>751</v>
      </c>
      <c r="B257" s="25" t="s">
        <v>55</v>
      </c>
      <c r="C257" s="26" t="s">
        <v>40</v>
      </c>
      <c r="D257" s="26" t="s">
        <v>65</v>
      </c>
      <c r="E257" s="26" t="s">
        <v>229</v>
      </c>
      <c r="F257" s="26" t="s">
        <v>58</v>
      </c>
      <c r="G257" s="27">
        <f t="shared" si="186"/>
        <v>5900500</v>
      </c>
      <c r="H257" s="27">
        <f t="shared" si="186"/>
        <v>5900500</v>
      </c>
      <c r="I257" s="27">
        <f t="shared" si="186"/>
        <v>5900500</v>
      </c>
      <c r="J257" s="16">
        <f>'БА в тыс. руб.'!G257*1000</f>
        <v>5900500</v>
      </c>
      <c r="K257" s="169">
        <f t="shared" si="147"/>
        <v>0</v>
      </c>
      <c r="L257" s="16">
        <f>'БА в тыс. руб.'!H257*1000</f>
        <v>5900500</v>
      </c>
      <c r="M257" s="169">
        <f t="shared" si="148"/>
        <v>0</v>
      </c>
      <c r="N257" s="16">
        <f>'БА в тыс. руб.'!I257*1000</f>
        <v>5900500</v>
      </c>
      <c r="O257" s="169">
        <f t="shared" si="149"/>
        <v>0</v>
      </c>
      <c r="S257" s="33"/>
      <c r="T257" s="33"/>
      <c r="U257" s="33"/>
    </row>
    <row r="258" spans="1:21" s="2" customFormat="1" ht="25.5">
      <c r="A258" s="34" t="s">
        <v>119</v>
      </c>
      <c r="B258" s="25" t="s">
        <v>55</v>
      </c>
      <c r="C258" s="26" t="s">
        <v>40</v>
      </c>
      <c r="D258" s="26" t="s">
        <v>65</v>
      </c>
      <c r="E258" s="26" t="s">
        <v>230</v>
      </c>
      <c r="F258" s="26" t="s">
        <v>58</v>
      </c>
      <c r="G258" s="27">
        <f t="shared" si="186"/>
        <v>5900500</v>
      </c>
      <c r="H258" s="27">
        <f t="shared" si="186"/>
        <v>5900500</v>
      </c>
      <c r="I258" s="27">
        <f t="shared" si="186"/>
        <v>5900500</v>
      </c>
      <c r="J258" s="16">
        <f>'БА в тыс. руб.'!G258*1000</f>
        <v>5900500</v>
      </c>
      <c r="K258" s="169">
        <f t="shared" si="147"/>
        <v>0</v>
      </c>
      <c r="L258" s="16">
        <f>'БА в тыс. руб.'!H258*1000</f>
        <v>5900500</v>
      </c>
      <c r="M258" s="169">
        <f t="shared" si="148"/>
        <v>0</v>
      </c>
      <c r="N258" s="16">
        <f>'БА в тыс. руб.'!I258*1000</f>
        <v>5900500</v>
      </c>
      <c r="O258" s="169">
        <f t="shared" si="149"/>
        <v>0</v>
      </c>
      <c r="S258" s="33"/>
      <c r="T258" s="33"/>
      <c r="U258" s="33"/>
    </row>
    <row r="259" spans="1:21" s="2" customFormat="1" ht="38.25">
      <c r="A259" s="34" t="s">
        <v>237</v>
      </c>
      <c r="B259" s="25" t="s">
        <v>55</v>
      </c>
      <c r="C259" s="26" t="s">
        <v>40</v>
      </c>
      <c r="D259" s="26" t="s">
        <v>65</v>
      </c>
      <c r="E259" s="26" t="s">
        <v>238</v>
      </c>
      <c r="F259" s="26" t="s">
        <v>58</v>
      </c>
      <c r="G259" s="27">
        <f t="shared" si="186"/>
        <v>5900500</v>
      </c>
      <c r="H259" s="27">
        <f t="shared" si="186"/>
        <v>5900500</v>
      </c>
      <c r="I259" s="27">
        <f t="shared" si="186"/>
        <v>5900500</v>
      </c>
      <c r="J259" s="16">
        <f>'БА в тыс. руб.'!G259*1000</f>
        <v>5900500</v>
      </c>
      <c r="K259" s="169">
        <f t="shared" si="147"/>
        <v>0</v>
      </c>
      <c r="L259" s="16">
        <f>'БА в тыс. руб.'!H259*1000</f>
        <v>5900500</v>
      </c>
      <c r="M259" s="169">
        <f t="shared" si="148"/>
        <v>0</v>
      </c>
      <c r="N259" s="16">
        <f>'БА в тыс. руб.'!I259*1000</f>
        <v>5900500</v>
      </c>
      <c r="O259" s="169">
        <f t="shared" si="149"/>
        <v>0</v>
      </c>
      <c r="S259" s="33"/>
      <c r="T259" s="33"/>
      <c r="U259" s="33"/>
    </row>
    <row r="260" spans="1:21" s="2" customFormat="1" ht="25.5">
      <c r="A260" s="34" t="s">
        <v>120</v>
      </c>
      <c r="B260" s="25" t="s">
        <v>55</v>
      </c>
      <c r="C260" s="26" t="s">
        <v>40</v>
      </c>
      <c r="D260" s="26" t="s">
        <v>65</v>
      </c>
      <c r="E260" s="26" t="s">
        <v>907</v>
      </c>
      <c r="F260" s="26" t="s">
        <v>58</v>
      </c>
      <c r="G260" s="27">
        <f t="shared" si="186"/>
        <v>5900500</v>
      </c>
      <c r="H260" s="27">
        <f t="shared" si="186"/>
        <v>5900500</v>
      </c>
      <c r="I260" s="27">
        <f t="shared" si="186"/>
        <v>5900500</v>
      </c>
      <c r="J260" s="16">
        <f>'БА в тыс. руб.'!G260*1000</f>
        <v>5900500</v>
      </c>
      <c r="K260" s="169">
        <f t="shared" si="147"/>
        <v>0</v>
      </c>
      <c r="L260" s="16">
        <f>'БА в тыс. руб.'!H260*1000</f>
        <v>5900500</v>
      </c>
      <c r="M260" s="169">
        <f t="shared" si="148"/>
        <v>0</v>
      </c>
      <c r="N260" s="16">
        <f>'БА в тыс. руб.'!I260*1000</f>
        <v>5900500</v>
      </c>
      <c r="O260" s="169">
        <f t="shared" si="149"/>
        <v>0</v>
      </c>
      <c r="S260" s="33"/>
      <c r="T260" s="33"/>
      <c r="U260" s="33"/>
    </row>
    <row r="261" spans="1:21" s="2" customFormat="1" ht="25.5">
      <c r="A261" s="11" t="s">
        <v>108</v>
      </c>
      <c r="B261" s="25" t="s">
        <v>55</v>
      </c>
      <c r="C261" s="26" t="s">
        <v>40</v>
      </c>
      <c r="D261" s="26" t="s">
        <v>65</v>
      </c>
      <c r="E261" s="26" t="s">
        <v>907</v>
      </c>
      <c r="F261" s="26" t="s">
        <v>116</v>
      </c>
      <c r="G261" s="27">
        <f t="shared" si="186"/>
        <v>5900500</v>
      </c>
      <c r="H261" s="27">
        <f t="shared" si="186"/>
        <v>5900500</v>
      </c>
      <c r="I261" s="27">
        <f t="shared" si="186"/>
        <v>5900500</v>
      </c>
      <c r="J261" s="16">
        <f>'БА в тыс. руб.'!G261*1000</f>
        <v>5900500</v>
      </c>
      <c r="K261" s="169">
        <f t="shared" si="147"/>
        <v>0</v>
      </c>
      <c r="L261" s="16">
        <f>'БА в тыс. руб.'!H261*1000</f>
        <v>5900500</v>
      </c>
      <c r="M261" s="169">
        <f t="shared" si="148"/>
        <v>0</v>
      </c>
      <c r="N261" s="16">
        <f>'БА в тыс. руб.'!I261*1000</f>
        <v>5900500</v>
      </c>
      <c r="O261" s="169">
        <f t="shared" si="149"/>
        <v>0</v>
      </c>
      <c r="S261" s="33"/>
      <c r="T261" s="33"/>
      <c r="U261" s="33"/>
    </row>
    <row r="262" spans="1:21" ht="25.5">
      <c r="A262" s="12" t="s">
        <v>973</v>
      </c>
      <c r="B262" s="25" t="s">
        <v>55</v>
      </c>
      <c r="C262" s="26" t="s">
        <v>40</v>
      </c>
      <c r="D262" s="26" t="s">
        <v>65</v>
      </c>
      <c r="E262" s="26" t="s">
        <v>907</v>
      </c>
      <c r="F262" s="26" t="s">
        <v>1043</v>
      </c>
      <c r="G262" s="27">
        <f t="shared" ref="G262" si="187">J262</f>
        <v>5900500</v>
      </c>
      <c r="H262" s="27">
        <f>L262</f>
        <v>5900500</v>
      </c>
      <c r="I262" s="27">
        <f>N262</f>
        <v>5900500</v>
      </c>
      <c r="J262" s="16">
        <f>'БА в тыс. руб.'!G262*1000</f>
        <v>5900500</v>
      </c>
      <c r="K262" s="169">
        <f t="shared" si="147"/>
        <v>0</v>
      </c>
      <c r="L262" s="16">
        <f>'БА в тыс. руб.'!H262*1000</f>
        <v>5900500</v>
      </c>
      <c r="M262" s="169">
        <f t="shared" si="148"/>
        <v>0</v>
      </c>
      <c r="N262" s="16">
        <f>'БА в тыс. руб.'!I262*1000</f>
        <v>5900500</v>
      </c>
      <c r="O262" s="169">
        <f t="shared" si="149"/>
        <v>0</v>
      </c>
    </row>
    <row r="263" spans="1:21" s="2" customFormat="1">
      <c r="A263" s="21" t="s">
        <v>52</v>
      </c>
      <c r="B263" s="22" t="s">
        <v>55</v>
      </c>
      <c r="C263" s="23" t="s">
        <v>40</v>
      </c>
      <c r="D263" s="23" t="s">
        <v>66</v>
      </c>
      <c r="E263" s="23" t="s">
        <v>196</v>
      </c>
      <c r="F263" s="23" t="s">
        <v>58</v>
      </c>
      <c r="G263" s="24">
        <f t="shared" ref="G263:I272" si="188">G264</f>
        <v>14557000</v>
      </c>
      <c r="H263" s="24">
        <f t="shared" si="188"/>
        <v>14557000</v>
      </c>
      <c r="I263" s="24">
        <f t="shared" si="188"/>
        <v>14557000</v>
      </c>
      <c r="J263" s="16">
        <f>'БА в тыс. руб.'!G263*1000</f>
        <v>14557000</v>
      </c>
      <c r="K263" s="169">
        <f t="shared" si="147"/>
        <v>0</v>
      </c>
      <c r="L263" s="16">
        <f>'БА в тыс. руб.'!H263*1000</f>
        <v>14557000</v>
      </c>
      <c r="M263" s="169">
        <f t="shared" si="148"/>
        <v>0</v>
      </c>
      <c r="N263" s="16">
        <f>'БА в тыс. руб.'!I263*1000</f>
        <v>14557000</v>
      </c>
      <c r="O263" s="169">
        <f t="shared" si="149"/>
        <v>0</v>
      </c>
      <c r="S263" s="33"/>
      <c r="T263" s="33"/>
      <c r="U263" s="33"/>
    </row>
    <row r="264" spans="1:21" s="3" customFormat="1" ht="38.25">
      <c r="A264" s="34" t="s">
        <v>751</v>
      </c>
      <c r="B264" s="25" t="s">
        <v>55</v>
      </c>
      <c r="C264" s="26" t="s">
        <v>40</v>
      </c>
      <c r="D264" s="26" t="s">
        <v>66</v>
      </c>
      <c r="E264" s="26" t="s">
        <v>229</v>
      </c>
      <c r="F264" s="26" t="s">
        <v>58</v>
      </c>
      <c r="G264" s="27">
        <f t="shared" si="188"/>
        <v>14557000</v>
      </c>
      <c r="H264" s="27">
        <f t="shared" si="188"/>
        <v>14557000</v>
      </c>
      <c r="I264" s="27">
        <f t="shared" si="188"/>
        <v>14557000</v>
      </c>
      <c r="J264" s="16">
        <f>'БА в тыс. руб.'!G264*1000</f>
        <v>14557000</v>
      </c>
      <c r="K264" s="169">
        <f t="shared" ref="K264:K327" si="189">J264-G264</f>
        <v>0</v>
      </c>
      <c r="L264" s="16">
        <f>'БА в тыс. руб.'!H264*1000</f>
        <v>14557000</v>
      </c>
      <c r="M264" s="169">
        <f t="shared" ref="M264:M327" si="190">L264-H264</f>
        <v>0</v>
      </c>
      <c r="N264" s="16">
        <f>'БА в тыс. руб.'!I264*1000</f>
        <v>14557000</v>
      </c>
      <c r="O264" s="169">
        <f t="shared" ref="O264:O327" si="191">N264-I264</f>
        <v>0</v>
      </c>
      <c r="S264" s="30"/>
      <c r="T264" s="30"/>
      <c r="U264" s="30"/>
    </row>
    <row r="265" spans="1:21" s="3" customFormat="1" ht="25.5">
      <c r="A265" s="34" t="s">
        <v>119</v>
      </c>
      <c r="B265" s="25" t="s">
        <v>55</v>
      </c>
      <c r="C265" s="26" t="s">
        <v>40</v>
      </c>
      <c r="D265" s="26" t="s">
        <v>66</v>
      </c>
      <c r="E265" s="26" t="s">
        <v>230</v>
      </c>
      <c r="F265" s="26" t="s">
        <v>58</v>
      </c>
      <c r="G265" s="27">
        <f>G270+G266</f>
        <v>14557000</v>
      </c>
      <c r="H265" s="27">
        <f t="shared" ref="H265:I265" si="192">H270+H266</f>
        <v>14557000</v>
      </c>
      <c r="I265" s="27">
        <f t="shared" si="192"/>
        <v>14557000</v>
      </c>
      <c r="J265" s="16">
        <f>'БА в тыс. руб.'!G265*1000</f>
        <v>14557000</v>
      </c>
      <c r="K265" s="169">
        <f t="shared" si="189"/>
        <v>0</v>
      </c>
      <c r="L265" s="16">
        <f>'БА в тыс. руб.'!H265*1000</f>
        <v>14557000</v>
      </c>
      <c r="M265" s="169">
        <f t="shared" si="190"/>
        <v>0</v>
      </c>
      <c r="N265" s="16">
        <f>'БА в тыс. руб.'!I265*1000</f>
        <v>14557000</v>
      </c>
      <c r="O265" s="169">
        <f t="shared" si="191"/>
        <v>0</v>
      </c>
      <c r="S265" s="30"/>
      <c r="T265" s="30"/>
      <c r="U265" s="30"/>
    </row>
    <row r="266" spans="1:21" s="2" customFormat="1" ht="38.25">
      <c r="A266" s="34" t="s">
        <v>237</v>
      </c>
      <c r="B266" s="25" t="s">
        <v>55</v>
      </c>
      <c r="C266" s="26" t="s">
        <v>40</v>
      </c>
      <c r="D266" s="26" t="s">
        <v>66</v>
      </c>
      <c r="E266" s="26" t="s">
        <v>238</v>
      </c>
      <c r="F266" s="26" t="s">
        <v>58</v>
      </c>
      <c r="G266" s="27">
        <f>G267</f>
        <v>1190000</v>
      </c>
      <c r="H266" s="27">
        <f t="shared" ref="H266:I267" si="193">H267</f>
        <v>1190000</v>
      </c>
      <c r="I266" s="27">
        <f t="shared" si="193"/>
        <v>1190000</v>
      </c>
      <c r="J266" s="16">
        <f>'БА в тыс. руб.'!G266*1000</f>
        <v>1190000</v>
      </c>
      <c r="K266" s="169">
        <f t="shared" si="189"/>
        <v>0</v>
      </c>
      <c r="L266" s="16">
        <f>'БА в тыс. руб.'!H266*1000</f>
        <v>1190000</v>
      </c>
      <c r="M266" s="169">
        <f t="shared" si="190"/>
        <v>0</v>
      </c>
      <c r="N266" s="16">
        <f>'БА в тыс. руб.'!I266*1000</f>
        <v>1190000</v>
      </c>
      <c r="O266" s="169">
        <f t="shared" si="191"/>
        <v>0</v>
      </c>
      <c r="S266" s="33"/>
      <c r="T266" s="33"/>
      <c r="U266" s="33"/>
    </row>
    <row r="267" spans="1:21" s="2" customFormat="1" ht="25.5">
      <c r="A267" s="34" t="s">
        <v>120</v>
      </c>
      <c r="B267" s="25" t="s">
        <v>55</v>
      </c>
      <c r="C267" s="26" t="s">
        <v>40</v>
      </c>
      <c r="D267" s="26" t="s">
        <v>66</v>
      </c>
      <c r="E267" s="26" t="s">
        <v>907</v>
      </c>
      <c r="F267" s="26" t="s">
        <v>58</v>
      </c>
      <c r="G267" s="27">
        <f>G268</f>
        <v>1190000</v>
      </c>
      <c r="H267" s="27">
        <f t="shared" si="193"/>
        <v>1190000</v>
      </c>
      <c r="I267" s="27">
        <f t="shared" si="193"/>
        <v>1190000</v>
      </c>
      <c r="J267" s="16">
        <f>'БА в тыс. руб.'!G267*1000</f>
        <v>1190000</v>
      </c>
      <c r="K267" s="169">
        <f t="shared" si="189"/>
        <v>0</v>
      </c>
      <c r="L267" s="16">
        <f>'БА в тыс. руб.'!H267*1000</f>
        <v>1190000</v>
      </c>
      <c r="M267" s="169">
        <f t="shared" si="190"/>
        <v>0</v>
      </c>
      <c r="N267" s="16">
        <f>'БА в тыс. руб.'!I267*1000</f>
        <v>1190000</v>
      </c>
      <c r="O267" s="169">
        <f t="shared" si="191"/>
        <v>0</v>
      </c>
      <c r="S267" s="33"/>
      <c r="T267" s="33"/>
      <c r="U267" s="33"/>
    </row>
    <row r="268" spans="1:21" s="2" customFormat="1" ht="25.5">
      <c r="A268" s="11" t="s">
        <v>108</v>
      </c>
      <c r="B268" s="25" t="s">
        <v>55</v>
      </c>
      <c r="C268" s="26" t="s">
        <v>40</v>
      </c>
      <c r="D268" s="26" t="s">
        <v>66</v>
      </c>
      <c r="E268" s="26" t="s">
        <v>907</v>
      </c>
      <c r="F268" s="26" t="s">
        <v>116</v>
      </c>
      <c r="G268" s="27">
        <f>G269</f>
        <v>1190000</v>
      </c>
      <c r="H268" s="27">
        <f>H269</f>
        <v>1190000</v>
      </c>
      <c r="I268" s="27">
        <f>I269</f>
        <v>1190000</v>
      </c>
      <c r="J268" s="16">
        <f>'БА в тыс. руб.'!G268*1000</f>
        <v>1190000</v>
      </c>
      <c r="K268" s="169">
        <f t="shared" si="189"/>
        <v>0</v>
      </c>
      <c r="L268" s="16">
        <f>'БА в тыс. руб.'!H268*1000</f>
        <v>1190000</v>
      </c>
      <c r="M268" s="169">
        <f t="shared" si="190"/>
        <v>0</v>
      </c>
      <c r="N268" s="16">
        <f>'БА в тыс. руб.'!I268*1000</f>
        <v>1190000</v>
      </c>
      <c r="O268" s="169">
        <f t="shared" si="191"/>
        <v>0</v>
      </c>
      <c r="S268" s="33"/>
      <c r="T268" s="33"/>
      <c r="U268" s="33"/>
    </row>
    <row r="269" spans="1:21" ht="25.5">
      <c r="A269" s="12" t="s">
        <v>973</v>
      </c>
      <c r="B269" s="25" t="s">
        <v>55</v>
      </c>
      <c r="C269" s="26" t="s">
        <v>40</v>
      </c>
      <c r="D269" s="26" t="s">
        <v>66</v>
      </c>
      <c r="E269" s="26" t="s">
        <v>907</v>
      </c>
      <c r="F269" s="26" t="s">
        <v>1043</v>
      </c>
      <c r="G269" s="27">
        <f t="shared" ref="G269" si="194">J269</f>
        <v>1190000</v>
      </c>
      <c r="H269" s="27">
        <f>L269</f>
        <v>1190000</v>
      </c>
      <c r="I269" s="27">
        <f>N269</f>
        <v>1190000</v>
      </c>
      <c r="J269" s="16">
        <f>'БА в тыс. руб.'!G269*1000</f>
        <v>1190000</v>
      </c>
      <c r="K269" s="169">
        <f t="shared" si="189"/>
        <v>0</v>
      </c>
      <c r="L269" s="16">
        <f>'БА в тыс. руб.'!H269*1000</f>
        <v>1190000</v>
      </c>
      <c r="M269" s="169">
        <f t="shared" si="190"/>
        <v>0</v>
      </c>
      <c r="N269" s="16">
        <f>'БА в тыс. руб.'!I269*1000</f>
        <v>1190000</v>
      </c>
      <c r="O269" s="169">
        <f t="shared" si="191"/>
        <v>0</v>
      </c>
    </row>
    <row r="270" spans="1:21" s="3" customFormat="1" ht="38.25">
      <c r="A270" s="34" t="s">
        <v>603</v>
      </c>
      <c r="B270" s="25" t="s">
        <v>55</v>
      </c>
      <c r="C270" s="26" t="s">
        <v>40</v>
      </c>
      <c r="D270" s="26" t="s">
        <v>66</v>
      </c>
      <c r="E270" s="26" t="s">
        <v>239</v>
      </c>
      <c r="F270" s="26" t="s">
        <v>58</v>
      </c>
      <c r="G270" s="27">
        <f>G271</f>
        <v>13367000</v>
      </c>
      <c r="H270" s="27">
        <f t="shared" ref="H270:I270" si="195">H271</f>
        <v>13367000</v>
      </c>
      <c r="I270" s="27">
        <f t="shared" si="195"/>
        <v>13367000</v>
      </c>
      <c r="J270" s="16">
        <f>'БА в тыс. руб.'!G270*1000</f>
        <v>13367000</v>
      </c>
      <c r="K270" s="169">
        <f t="shared" si="189"/>
        <v>0</v>
      </c>
      <c r="L270" s="16">
        <f>'БА в тыс. руб.'!H270*1000</f>
        <v>13367000</v>
      </c>
      <c r="M270" s="169">
        <f t="shared" si="190"/>
        <v>0</v>
      </c>
      <c r="N270" s="16">
        <f>'БА в тыс. руб.'!I270*1000</f>
        <v>13367000</v>
      </c>
      <c r="O270" s="169">
        <f t="shared" si="191"/>
        <v>0</v>
      </c>
      <c r="S270" s="30"/>
      <c r="T270" s="30"/>
      <c r="U270" s="30"/>
    </row>
    <row r="271" spans="1:21" s="3" customFormat="1" ht="25.5">
      <c r="A271" s="34" t="s">
        <v>171</v>
      </c>
      <c r="B271" s="25" t="s">
        <v>55</v>
      </c>
      <c r="C271" s="26" t="s">
        <v>40</v>
      </c>
      <c r="D271" s="26" t="s">
        <v>66</v>
      </c>
      <c r="E271" s="26" t="s">
        <v>929</v>
      </c>
      <c r="F271" s="26" t="s">
        <v>58</v>
      </c>
      <c r="G271" s="27">
        <f t="shared" si="188"/>
        <v>13367000</v>
      </c>
      <c r="H271" s="27">
        <f t="shared" si="188"/>
        <v>13367000</v>
      </c>
      <c r="I271" s="27">
        <f t="shared" si="188"/>
        <v>13367000</v>
      </c>
      <c r="J271" s="16">
        <f>'БА в тыс. руб.'!G271*1000</f>
        <v>13367000</v>
      </c>
      <c r="K271" s="169">
        <f t="shared" si="189"/>
        <v>0</v>
      </c>
      <c r="L271" s="16">
        <f>'БА в тыс. руб.'!H271*1000</f>
        <v>13367000</v>
      </c>
      <c r="M271" s="169">
        <f t="shared" si="190"/>
        <v>0</v>
      </c>
      <c r="N271" s="16">
        <f>'БА в тыс. руб.'!I271*1000</f>
        <v>13367000</v>
      </c>
      <c r="O271" s="169">
        <f t="shared" si="191"/>
        <v>0</v>
      </c>
      <c r="S271" s="30"/>
      <c r="T271" s="30"/>
      <c r="U271" s="30"/>
    </row>
    <row r="272" spans="1:21" s="3" customFormat="1" ht="38.25">
      <c r="A272" s="34" t="s">
        <v>561</v>
      </c>
      <c r="B272" s="25" t="s">
        <v>55</v>
      </c>
      <c r="C272" s="26" t="s">
        <v>40</v>
      </c>
      <c r="D272" s="26" t="s">
        <v>66</v>
      </c>
      <c r="E272" s="26" t="s">
        <v>929</v>
      </c>
      <c r="F272" s="26" t="s">
        <v>101</v>
      </c>
      <c r="G272" s="27">
        <f>G273</f>
        <v>13367000</v>
      </c>
      <c r="H272" s="27">
        <f t="shared" si="188"/>
        <v>13367000</v>
      </c>
      <c r="I272" s="27">
        <f t="shared" si="188"/>
        <v>13367000</v>
      </c>
      <c r="J272" s="16">
        <f>'БА в тыс. руб.'!G272*1000</f>
        <v>13367000</v>
      </c>
      <c r="K272" s="169">
        <f t="shared" si="189"/>
        <v>0</v>
      </c>
      <c r="L272" s="16">
        <f>'БА в тыс. руб.'!H272*1000</f>
        <v>13367000</v>
      </c>
      <c r="M272" s="169">
        <f t="shared" si="190"/>
        <v>0</v>
      </c>
      <c r="N272" s="16">
        <f>'БА в тыс. руб.'!I272*1000</f>
        <v>13367000</v>
      </c>
      <c r="O272" s="169">
        <f t="shared" si="191"/>
        <v>0</v>
      </c>
      <c r="S272" s="30"/>
      <c r="T272" s="30"/>
      <c r="U272" s="30"/>
    </row>
    <row r="273" spans="1:21" s="94" customFormat="1" ht="76.5">
      <c r="A273" s="12" t="s">
        <v>1048</v>
      </c>
      <c r="B273" s="25" t="s">
        <v>55</v>
      </c>
      <c r="C273" s="26" t="s">
        <v>40</v>
      </c>
      <c r="D273" s="26" t="s">
        <v>66</v>
      </c>
      <c r="E273" s="26" t="s">
        <v>929</v>
      </c>
      <c r="F273" s="26" t="s">
        <v>1051</v>
      </c>
      <c r="G273" s="27">
        <f t="shared" ref="G273" si="196">J273</f>
        <v>13367000</v>
      </c>
      <c r="H273" s="27">
        <f t="shared" ref="H273" si="197">L273</f>
        <v>13367000</v>
      </c>
      <c r="I273" s="27">
        <f t="shared" ref="I273" si="198">N273</f>
        <v>13367000</v>
      </c>
      <c r="J273" s="16">
        <f>'БА в тыс. руб.'!G273*1000</f>
        <v>13367000</v>
      </c>
      <c r="K273" s="169">
        <f t="shared" si="189"/>
        <v>0</v>
      </c>
      <c r="L273" s="16">
        <f>'БА в тыс. руб.'!H273*1000</f>
        <v>13367000</v>
      </c>
      <c r="M273" s="169">
        <f t="shared" si="190"/>
        <v>0</v>
      </c>
      <c r="N273" s="16">
        <f>'БА в тыс. руб.'!I273*1000</f>
        <v>13367000</v>
      </c>
      <c r="O273" s="169">
        <f t="shared" si="191"/>
        <v>0</v>
      </c>
      <c r="S273" s="103"/>
      <c r="T273" s="103"/>
      <c r="U273" s="103"/>
    </row>
    <row r="274" spans="1:21" s="71" customFormat="1">
      <c r="A274" s="95"/>
      <c r="B274" s="92"/>
      <c r="C274" s="70"/>
      <c r="D274" s="70"/>
      <c r="E274" s="70"/>
      <c r="F274" s="70"/>
      <c r="G274" s="27"/>
      <c r="H274" s="27"/>
      <c r="I274" s="27"/>
      <c r="J274" s="16">
        <f>'БА в тыс. руб.'!G274*1000</f>
        <v>0</v>
      </c>
      <c r="K274" s="169">
        <f t="shared" si="189"/>
        <v>0</v>
      </c>
      <c r="L274" s="16">
        <f>'БА в тыс. руб.'!H274*1000</f>
        <v>0</v>
      </c>
      <c r="M274" s="169">
        <f t="shared" si="190"/>
        <v>0</v>
      </c>
      <c r="N274" s="16">
        <f>'БА в тыс. руб.'!I274*1000</f>
        <v>0</v>
      </c>
      <c r="O274" s="169">
        <f t="shared" si="191"/>
        <v>0</v>
      </c>
      <c r="S274" s="181"/>
      <c r="T274" s="181"/>
      <c r="U274" s="181"/>
    </row>
    <row r="275" spans="1:21" s="109" customFormat="1" ht="25.5">
      <c r="A275" s="28" t="s">
        <v>60</v>
      </c>
      <c r="B275" s="14" t="s">
        <v>29</v>
      </c>
      <c r="C275" s="15" t="s">
        <v>51</v>
      </c>
      <c r="D275" s="15" t="s">
        <v>51</v>
      </c>
      <c r="E275" s="15" t="s">
        <v>196</v>
      </c>
      <c r="F275" s="15" t="s">
        <v>58</v>
      </c>
      <c r="G275" s="29">
        <f>G276+G323</f>
        <v>81223370</v>
      </c>
      <c r="H275" s="29">
        <f>H276+H323</f>
        <v>67262680</v>
      </c>
      <c r="I275" s="29">
        <f>I276+I323</f>
        <v>67262680</v>
      </c>
      <c r="J275" s="16">
        <f>'БА в тыс. руб.'!G275*1000</f>
        <v>81223370</v>
      </c>
      <c r="K275" s="169">
        <f t="shared" si="189"/>
        <v>0</v>
      </c>
      <c r="L275" s="16">
        <f>'БА в тыс. руб.'!H275*1000</f>
        <v>67262680.000000015</v>
      </c>
      <c r="M275" s="169">
        <f t="shared" si="190"/>
        <v>0</v>
      </c>
      <c r="N275" s="16">
        <f>'БА в тыс. руб.'!I275*1000</f>
        <v>67262680.000000015</v>
      </c>
      <c r="O275" s="169">
        <f t="shared" si="191"/>
        <v>0</v>
      </c>
      <c r="S275" s="182"/>
      <c r="T275" s="182"/>
      <c r="U275" s="182"/>
    </row>
    <row r="276" spans="1:21" s="109" customFormat="1" ht="12.75">
      <c r="A276" s="17" t="s">
        <v>64</v>
      </c>
      <c r="B276" s="18" t="s">
        <v>29</v>
      </c>
      <c r="C276" s="19" t="s">
        <v>65</v>
      </c>
      <c r="D276" s="19" t="s">
        <v>51</v>
      </c>
      <c r="E276" s="19" t="s">
        <v>196</v>
      </c>
      <c r="F276" s="19" t="s">
        <v>58</v>
      </c>
      <c r="G276" s="20">
        <f>G277</f>
        <v>69598086.5</v>
      </c>
      <c r="H276" s="20">
        <f>H277</f>
        <v>66470680</v>
      </c>
      <c r="I276" s="20">
        <f>I277</f>
        <v>66470680</v>
      </c>
      <c r="J276" s="16">
        <f>'БА в тыс. руб.'!G276*1000</f>
        <v>69598090</v>
      </c>
      <c r="K276" s="169">
        <f t="shared" si="189"/>
        <v>3.5</v>
      </c>
      <c r="L276" s="16">
        <f>'БА в тыс. руб.'!H276*1000</f>
        <v>66470680.000000007</v>
      </c>
      <c r="M276" s="169">
        <f t="shared" si="190"/>
        <v>0</v>
      </c>
      <c r="N276" s="16">
        <f>'БА в тыс. руб.'!I276*1000</f>
        <v>66470680.000000007</v>
      </c>
      <c r="O276" s="169">
        <f t="shared" si="191"/>
        <v>0</v>
      </c>
      <c r="S276" s="182"/>
      <c r="T276" s="182"/>
      <c r="U276" s="182"/>
    </row>
    <row r="277" spans="1:21" s="109" customFormat="1" ht="12.75">
      <c r="A277" s="21" t="s">
        <v>38</v>
      </c>
      <c r="B277" s="22" t="s">
        <v>29</v>
      </c>
      <c r="C277" s="23" t="s">
        <v>65</v>
      </c>
      <c r="D277" s="23" t="s">
        <v>84</v>
      </c>
      <c r="E277" s="23" t="s">
        <v>196</v>
      </c>
      <c r="F277" s="23" t="s">
        <v>58</v>
      </c>
      <c r="G277" s="24">
        <f>G278+G308+G296+G302</f>
        <v>69598086.5</v>
      </c>
      <c r="H277" s="24">
        <f>H278+H308+H296+H302</f>
        <v>66470680</v>
      </c>
      <c r="I277" s="24">
        <f>I278+I308+I296+I302</f>
        <v>66470680</v>
      </c>
      <c r="J277" s="16">
        <f>'БА в тыс. руб.'!G277*1000</f>
        <v>69598090</v>
      </c>
      <c r="K277" s="169">
        <f t="shared" si="189"/>
        <v>3.5</v>
      </c>
      <c r="L277" s="16">
        <f>'БА в тыс. руб.'!H277*1000</f>
        <v>66470680.000000007</v>
      </c>
      <c r="M277" s="169">
        <f t="shared" si="190"/>
        <v>0</v>
      </c>
      <c r="N277" s="16">
        <f>'БА в тыс. руб.'!I277*1000</f>
        <v>66470680.000000007</v>
      </c>
      <c r="O277" s="169">
        <f t="shared" si="191"/>
        <v>0</v>
      </c>
      <c r="S277" s="182"/>
      <c r="T277" s="182"/>
      <c r="U277" s="182"/>
    </row>
    <row r="278" spans="1:21" s="109" customFormat="1" ht="38.25">
      <c r="A278" s="13" t="s">
        <v>745</v>
      </c>
      <c r="B278" s="25" t="s">
        <v>29</v>
      </c>
      <c r="C278" s="26" t="s">
        <v>65</v>
      </c>
      <c r="D278" s="26" t="s">
        <v>84</v>
      </c>
      <c r="E278" s="26" t="s">
        <v>280</v>
      </c>
      <c r="F278" s="26" t="s">
        <v>58</v>
      </c>
      <c r="G278" s="27">
        <f>G279</f>
        <v>5231410</v>
      </c>
      <c r="H278" s="27">
        <f>H279</f>
        <v>5065270</v>
      </c>
      <c r="I278" s="27">
        <f>I279</f>
        <v>5065270</v>
      </c>
      <c r="J278" s="16">
        <f>'БА в тыс. руб.'!G278*1000</f>
        <v>5231410.0000000009</v>
      </c>
      <c r="K278" s="169">
        <f t="shared" si="189"/>
        <v>0</v>
      </c>
      <c r="L278" s="16">
        <f>'БА в тыс. руб.'!H278*1000</f>
        <v>5065270</v>
      </c>
      <c r="M278" s="169">
        <f t="shared" si="190"/>
        <v>0</v>
      </c>
      <c r="N278" s="16">
        <f>'БА в тыс. руб.'!I278*1000</f>
        <v>5065270</v>
      </c>
      <c r="O278" s="169">
        <f t="shared" si="191"/>
        <v>0</v>
      </c>
      <c r="S278" s="182"/>
      <c r="T278" s="182"/>
      <c r="U278" s="182"/>
    </row>
    <row r="279" spans="1:21" s="109" customFormat="1" ht="51">
      <c r="A279" s="13" t="s">
        <v>746</v>
      </c>
      <c r="B279" s="25" t="s">
        <v>29</v>
      </c>
      <c r="C279" s="26" t="s">
        <v>65</v>
      </c>
      <c r="D279" s="26" t="s">
        <v>84</v>
      </c>
      <c r="E279" s="26" t="s">
        <v>281</v>
      </c>
      <c r="F279" s="26" t="s">
        <v>58</v>
      </c>
      <c r="G279" s="27">
        <f>G280+G292</f>
        <v>5231410</v>
      </c>
      <c r="H279" s="27">
        <f>H280+H292</f>
        <v>5065270</v>
      </c>
      <c r="I279" s="27">
        <f>I280+I292</f>
        <v>5065270</v>
      </c>
      <c r="J279" s="16">
        <f>'БА в тыс. руб.'!G279*1000</f>
        <v>5231410.0000000009</v>
      </c>
      <c r="K279" s="169">
        <f t="shared" si="189"/>
        <v>0</v>
      </c>
      <c r="L279" s="16">
        <f>'БА в тыс. руб.'!H279*1000</f>
        <v>5065270</v>
      </c>
      <c r="M279" s="169">
        <f t="shared" si="190"/>
        <v>0</v>
      </c>
      <c r="N279" s="16">
        <f>'БА в тыс. руб.'!I279*1000</f>
        <v>5065270</v>
      </c>
      <c r="O279" s="169">
        <f t="shared" si="191"/>
        <v>0</v>
      </c>
      <c r="S279" s="182"/>
      <c r="T279" s="182"/>
      <c r="U279" s="182"/>
    </row>
    <row r="280" spans="1:21" s="109" customFormat="1" ht="38.25">
      <c r="A280" s="11" t="s">
        <v>282</v>
      </c>
      <c r="B280" s="25" t="s">
        <v>29</v>
      </c>
      <c r="C280" s="26" t="s">
        <v>65</v>
      </c>
      <c r="D280" s="26" t="s">
        <v>84</v>
      </c>
      <c r="E280" s="26" t="s">
        <v>283</v>
      </c>
      <c r="F280" s="26" t="s">
        <v>58</v>
      </c>
      <c r="G280" s="27">
        <f>G281+G286+G289</f>
        <v>4850610</v>
      </c>
      <c r="H280" s="27">
        <f>H281+H286+H289</f>
        <v>4722550</v>
      </c>
      <c r="I280" s="27">
        <f>I281+I286+I289</f>
        <v>4722550</v>
      </c>
      <c r="J280" s="16">
        <f>'БА в тыс. руб.'!G280*1000</f>
        <v>4850610.0000000009</v>
      </c>
      <c r="K280" s="169">
        <f t="shared" si="189"/>
        <v>0</v>
      </c>
      <c r="L280" s="16">
        <f>'БА в тыс. руб.'!H280*1000</f>
        <v>4722550</v>
      </c>
      <c r="M280" s="169">
        <f t="shared" si="190"/>
        <v>0</v>
      </c>
      <c r="N280" s="16">
        <f>'БА в тыс. руб.'!I280*1000</f>
        <v>4722550</v>
      </c>
      <c r="O280" s="169">
        <f t="shared" si="191"/>
        <v>0</v>
      </c>
      <c r="S280" s="182"/>
      <c r="T280" s="182"/>
      <c r="U280" s="182"/>
    </row>
    <row r="281" spans="1:21" s="109" customFormat="1" ht="51">
      <c r="A281" s="11" t="s">
        <v>165</v>
      </c>
      <c r="B281" s="25" t="s">
        <v>29</v>
      </c>
      <c r="C281" s="26" t="s">
        <v>65</v>
      </c>
      <c r="D281" s="26" t="s">
        <v>84</v>
      </c>
      <c r="E281" s="26" t="s">
        <v>284</v>
      </c>
      <c r="F281" s="26" t="s">
        <v>58</v>
      </c>
      <c r="G281" s="27">
        <f>G282+G284</f>
        <v>1363000</v>
      </c>
      <c r="H281" s="27">
        <f t="shared" ref="H281:I281" si="199">H282+H284</f>
        <v>1261000</v>
      </c>
      <c r="I281" s="27">
        <f t="shared" si="199"/>
        <v>1261000</v>
      </c>
      <c r="J281" s="16">
        <f>'БА в тыс. руб.'!G281*1000</f>
        <v>1363000</v>
      </c>
      <c r="K281" s="169">
        <f t="shared" si="189"/>
        <v>0</v>
      </c>
      <c r="L281" s="16">
        <f>'БА в тыс. руб.'!H281*1000</f>
        <v>1261000</v>
      </c>
      <c r="M281" s="169">
        <f t="shared" si="190"/>
        <v>0</v>
      </c>
      <c r="N281" s="16">
        <f>'БА в тыс. руб.'!I281*1000</f>
        <v>1261000</v>
      </c>
      <c r="O281" s="169">
        <f t="shared" si="191"/>
        <v>0</v>
      </c>
      <c r="S281" s="182"/>
      <c r="T281" s="182"/>
      <c r="U281" s="182"/>
    </row>
    <row r="282" spans="1:21" s="109" customFormat="1" ht="25.5">
      <c r="A282" s="11" t="s">
        <v>108</v>
      </c>
      <c r="B282" s="25" t="s">
        <v>29</v>
      </c>
      <c r="C282" s="26" t="s">
        <v>65</v>
      </c>
      <c r="D282" s="26" t="s">
        <v>84</v>
      </c>
      <c r="E282" s="26" t="s">
        <v>284</v>
      </c>
      <c r="F282" s="26" t="s">
        <v>116</v>
      </c>
      <c r="G282" s="27">
        <f>G283</f>
        <v>1350000</v>
      </c>
      <c r="H282" s="27">
        <f t="shared" ref="H282:I282" si="200">H283</f>
        <v>1250000</v>
      </c>
      <c r="I282" s="27">
        <f t="shared" si="200"/>
        <v>1250000</v>
      </c>
      <c r="J282" s="16">
        <f>'БА в тыс. руб.'!G282*1000</f>
        <v>1350000</v>
      </c>
      <c r="K282" s="169">
        <f t="shared" si="189"/>
        <v>0</v>
      </c>
      <c r="L282" s="16">
        <f>'БА в тыс. руб.'!H282*1000</f>
        <v>1250000</v>
      </c>
      <c r="M282" s="169">
        <f t="shared" si="190"/>
        <v>0</v>
      </c>
      <c r="N282" s="16">
        <f>'БА в тыс. руб.'!I282*1000</f>
        <v>1250000</v>
      </c>
      <c r="O282" s="169">
        <f t="shared" si="191"/>
        <v>0</v>
      </c>
      <c r="S282" s="182"/>
      <c r="T282" s="182"/>
      <c r="U282" s="182"/>
    </row>
    <row r="283" spans="1:21" s="110" customFormat="1" ht="25.5">
      <c r="A283" s="12" t="s">
        <v>973</v>
      </c>
      <c r="B283" s="25" t="s">
        <v>29</v>
      </c>
      <c r="C283" s="26" t="s">
        <v>65</v>
      </c>
      <c r="D283" s="26" t="s">
        <v>84</v>
      </c>
      <c r="E283" s="26" t="s">
        <v>284</v>
      </c>
      <c r="F283" s="26" t="s">
        <v>1043</v>
      </c>
      <c r="G283" s="27">
        <f t="shared" ref="G283" si="201">J283</f>
        <v>1350000</v>
      </c>
      <c r="H283" s="27">
        <f>L283</f>
        <v>1250000</v>
      </c>
      <c r="I283" s="27">
        <f>N283</f>
        <v>1250000</v>
      </c>
      <c r="J283" s="16">
        <f>'БА в тыс. руб.'!G283*1000</f>
        <v>1350000</v>
      </c>
      <c r="K283" s="169">
        <f t="shared" si="189"/>
        <v>0</v>
      </c>
      <c r="L283" s="16">
        <f>'БА в тыс. руб.'!H283*1000</f>
        <v>1250000</v>
      </c>
      <c r="M283" s="169">
        <f t="shared" si="190"/>
        <v>0</v>
      </c>
      <c r="N283" s="16">
        <f>'БА в тыс. руб.'!I283*1000</f>
        <v>1250000</v>
      </c>
      <c r="O283" s="169">
        <f t="shared" si="191"/>
        <v>0</v>
      </c>
      <c r="S283" s="183"/>
      <c r="T283" s="183"/>
      <c r="U283" s="183"/>
    </row>
    <row r="284" spans="1:21" s="109" customFormat="1" ht="12.75">
      <c r="A284" s="11" t="s">
        <v>97</v>
      </c>
      <c r="B284" s="25" t="s">
        <v>29</v>
      </c>
      <c r="C284" s="26" t="s">
        <v>65</v>
      </c>
      <c r="D284" s="26" t="s">
        <v>84</v>
      </c>
      <c r="E284" s="26" t="s">
        <v>284</v>
      </c>
      <c r="F284" s="26" t="s">
        <v>118</v>
      </c>
      <c r="G284" s="27">
        <f>G285</f>
        <v>13000</v>
      </c>
      <c r="H284" s="27">
        <f t="shared" ref="H284:I284" si="202">H285</f>
        <v>11000</v>
      </c>
      <c r="I284" s="27">
        <f t="shared" si="202"/>
        <v>11000</v>
      </c>
      <c r="J284" s="16">
        <f>'БА в тыс. руб.'!G284*1000</f>
        <v>13000</v>
      </c>
      <c r="K284" s="169">
        <f t="shared" si="189"/>
        <v>0</v>
      </c>
      <c r="L284" s="16">
        <f>'БА в тыс. руб.'!H284*1000</f>
        <v>11000</v>
      </c>
      <c r="M284" s="169">
        <f t="shared" si="190"/>
        <v>0</v>
      </c>
      <c r="N284" s="16">
        <f>'БА в тыс. руб.'!I284*1000</f>
        <v>11000</v>
      </c>
      <c r="O284" s="169">
        <f t="shared" si="191"/>
        <v>0</v>
      </c>
      <c r="S284" s="182"/>
      <c r="T284" s="182"/>
      <c r="U284" s="182"/>
    </row>
    <row r="285" spans="1:21" s="110" customFormat="1" ht="12.75">
      <c r="A285" s="12" t="s">
        <v>1037</v>
      </c>
      <c r="B285" s="25" t="s">
        <v>29</v>
      </c>
      <c r="C285" s="26" t="s">
        <v>65</v>
      </c>
      <c r="D285" s="26" t="s">
        <v>84</v>
      </c>
      <c r="E285" s="26" t="s">
        <v>284</v>
      </c>
      <c r="F285" s="26" t="s">
        <v>1062</v>
      </c>
      <c r="G285" s="27">
        <f t="shared" ref="G285" si="203">J285</f>
        <v>13000</v>
      </c>
      <c r="H285" s="27">
        <f>L285</f>
        <v>11000</v>
      </c>
      <c r="I285" s="27">
        <f>N285</f>
        <v>11000</v>
      </c>
      <c r="J285" s="16">
        <f>'БА в тыс. руб.'!G285*1000</f>
        <v>13000</v>
      </c>
      <c r="K285" s="169">
        <f t="shared" si="189"/>
        <v>0</v>
      </c>
      <c r="L285" s="16">
        <f>'БА в тыс. руб.'!H285*1000</f>
        <v>11000</v>
      </c>
      <c r="M285" s="169">
        <f t="shared" si="190"/>
        <v>0</v>
      </c>
      <c r="N285" s="16">
        <f>'БА в тыс. руб.'!I285*1000</f>
        <v>11000</v>
      </c>
      <c r="O285" s="169">
        <f t="shared" si="191"/>
        <v>0</v>
      </c>
      <c r="S285" s="183"/>
      <c r="T285" s="183"/>
      <c r="U285" s="183"/>
    </row>
    <row r="286" spans="1:21" s="109" customFormat="1" ht="27" customHeight="1">
      <c r="A286" s="11" t="s">
        <v>166</v>
      </c>
      <c r="B286" s="25" t="s">
        <v>29</v>
      </c>
      <c r="C286" s="26" t="s">
        <v>65</v>
      </c>
      <c r="D286" s="26" t="s">
        <v>84</v>
      </c>
      <c r="E286" s="26" t="s">
        <v>285</v>
      </c>
      <c r="F286" s="26" t="s">
        <v>58</v>
      </c>
      <c r="G286" s="27">
        <f>G287</f>
        <v>1729980</v>
      </c>
      <c r="H286" s="27">
        <f>H287</f>
        <v>1703920</v>
      </c>
      <c r="I286" s="27">
        <f>I287</f>
        <v>1703920</v>
      </c>
      <c r="J286" s="16">
        <f>'БА в тыс. руб.'!G286*1000</f>
        <v>1729980</v>
      </c>
      <c r="K286" s="169">
        <f t="shared" si="189"/>
        <v>0</v>
      </c>
      <c r="L286" s="16">
        <f>'БА в тыс. руб.'!H286*1000</f>
        <v>1703920</v>
      </c>
      <c r="M286" s="169">
        <f t="shared" si="190"/>
        <v>0</v>
      </c>
      <c r="N286" s="16">
        <f>'БА в тыс. руб.'!I286*1000</f>
        <v>1703920</v>
      </c>
      <c r="O286" s="169">
        <f t="shared" si="191"/>
        <v>0</v>
      </c>
      <c r="S286" s="182"/>
      <c r="T286" s="182"/>
      <c r="U286" s="182"/>
    </row>
    <row r="287" spans="1:21" s="109" customFormat="1" ht="27" customHeight="1">
      <c r="A287" s="11" t="s">
        <v>108</v>
      </c>
      <c r="B287" s="25" t="s">
        <v>29</v>
      </c>
      <c r="C287" s="26" t="s">
        <v>65</v>
      </c>
      <c r="D287" s="26" t="s">
        <v>84</v>
      </c>
      <c r="E287" s="26" t="s">
        <v>285</v>
      </c>
      <c r="F287" s="26" t="s">
        <v>116</v>
      </c>
      <c r="G287" s="27">
        <f>G288</f>
        <v>1729980</v>
      </c>
      <c r="H287" s="27">
        <f t="shared" ref="H287:I287" si="204">H288</f>
        <v>1703920</v>
      </c>
      <c r="I287" s="27">
        <f t="shared" si="204"/>
        <v>1703920</v>
      </c>
      <c r="J287" s="16">
        <f>'БА в тыс. руб.'!G287*1000</f>
        <v>1729980</v>
      </c>
      <c r="K287" s="169">
        <f t="shared" si="189"/>
        <v>0</v>
      </c>
      <c r="L287" s="16">
        <f>'БА в тыс. руб.'!H287*1000</f>
        <v>1703920</v>
      </c>
      <c r="M287" s="169">
        <f t="shared" si="190"/>
        <v>0</v>
      </c>
      <c r="N287" s="16">
        <f>'БА в тыс. руб.'!I287*1000</f>
        <v>1703920</v>
      </c>
      <c r="O287" s="169">
        <f t="shared" si="191"/>
        <v>0</v>
      </c>
      <c r="S287" s="182"/>
      <c r="T287" s="182"/>
      <c r="U287" s="182"/>
    </row>
    <row r="288" spans="1:21" s="110" customFormat="1" ht="27" customHeight="1">
      <c r="A288" s="12" t="s">
        <v>973</v>
      </c>
      <c r="B288" s="25" t="s">
        <v>29</v>
      </c>
      <c r="C288" s="26" t="s">
        <v>65</v>
      </c>
      <c r="D288" s="26" t="s">
        <v>84</v>
      </c>
      <c r="E288" s="26" t="s">
        <v>285</v>
      </c>
      <c r="F288" s="26" t="s">
        <v>1043</v>
      </c>
      <c r="G288" s="27">
        <f t="shared" ref="G288" si="205">J288</f>
        <v>1729980</v>
      </c>
      <c r="H288" s="27">
        <f>L288</f>
        <v>1703920</v>
      </c>
      <c r="I288" s="27">
        <f>N288</f>
        <v>1703920</v>
      </c>
      <c r="J288" s="16">
        <f>'БА в тыс. руб.'!G288*1000</f>
        <v>1729980</v>
      </c>
      <c r="K288" s="169">
        <f t="shared" si="189"/>
        <v>0</v>
      </c>
      <c r="L288" s="16">
        <f>'БА в тыс. руб.'!H288*1000</f>
        <v>1703920</v>
      </c>
      <c r="M288" s="169">
        <f t="shared" si="190"/>
        <v>0</v>
      </c>
      <c r="N288" s="16">
        <f>'БА в тыс. руб.'!I288*1000</f>
        <v>1703920</v>
      </c>
      <c r="O288" s="169">
        <f t="shared" si="191"/>
        <v>0</v>
      </c>
      <c r="S288" s="183"/>
      <c r="T288" s="183"/>
      <c r="U288" s="183"/>
    </row>
    <row r="289" spans="1:21" s="109" customFormat="1" ht="27" customHeight="1">
      <c r="A289" s="11" t="s">
        <v>859</v>
      </c>
      <c r="B289" s="25" t="s">
        <v>29</v>
      </c>
      <c r="C289" s="26" t="s">
        <v>65</v>
      </c>
      <c r="D289" s="26" t="s">
        <v>84</v>
      </c>
      <c r="E289" s="26" t="s">
        <v>858</v>
      </c>
      <c r="F289" s="26" t="s">
        <v>58</v>
      </c>
      <c r="G289" s="27">
        <f>G290</f>
        <v>1757630</v>
      </c>
      <c r="H289" s="27">
        <f t="shared" ref="H289:I290" si="206">H290</f>
        <v>1757630</v>
      </c>
      <c r="I289" s="27">
        <f t="shared" si="206"/>
        <v>1757630</v>
      </c>
      <c r="J289" s="16">
        <f>'БА в тыс. руб.'!G289*1000</f>
        <v>1757630</v>
      </c>
      <c r="K289" s="169">
        <f t="shared" si="189"/>
        <v>0</v>
      </c>
      <c r="L289" s="16">
        <f>'БА в тыс. руб.'!H289*1000</f>
        <v>1757630</v>
      </c>
      <c r="M289" s="169">
        <f t="shared" si="190"/>
        <v>0</v>
      </c>
      <c r="N289" s="16">
        <f>'БА в тыс. руб.'!I289*1000</f>
        <v>1757630</v>
      </c>
      <c r="O289" s="169">
        <f t="shared" si="191"/>
        <v>0</v>
      </c>
      <c r="S289" s="182"/>
      <c r="T289" s="182"/>
      <c r="U289" s="182"/>
    </row>
    <row r="290" spans="1:21" s="109" customFormat="1" ht="25.5">
      <c r="A290" s="11" t="s">
        <v>108</v>
      </c>
      <c r="B290" s="25" t="s">
        <v>29</v>
      </c>
      <c r="C290" s="26" t="s">
        <v>65</v>
      </c>
      <c r="D290" s="26" t="s">
        <v>84</v>
      </c>
      <c r="E290" s="26" t="s">
        <v>858</v>
      </c>
      <c r="F290" s="26" t="s">
        <v>116</v>
      </c>
      <c r="G290" s="27">
        <f>G291</f>
        <v>1757630</v>
      </c>
      <c r="H290" s="27">
        <f t="shared" si="206"/>
        <v>1757630</v>
      </c>
      <c r="I290" s="27">
        <f t="shared" si="206"/>
        <v>1757630</v>
      </c>
      <c r="J290" s="16">
        <f>'БА в тыс. руб.'!G290*1000</f>
        <v>1757630</v>
      </c>
      <c r="K290" s="169">
        <f t="shared" si="189"/>
        <v>0</v>
      </c>
      <c r="L290" s="16">
        <f>'БА в тыс. руб.'!H290*1000</f>
        <v>1757630</v>
      </c>
      <c r="M290" s="169">
        <f t="shared" si="190"/>
        <v>0</v>
      </c>
      <c r="N290" s="16">
        <f>'БА в тыс. руб.'!I290*1000</f>
        <v>1757630</v>
      </c>
      <c r="O290" s="169">
        <f t="shared" si="191"/>
        <v>0</v>
      </c>
      <c r="S290" s="182"/>
      <c r="T290" s="182"/>
      <c r="U290" s="182"/>
    </row>
    <row r="291" spans="1:21" s="110" customFormat="1" ht="25.5">
      <c r="A291" s="12" t="s">
        <v>973</v>
      </c>
      <c r="B291" s="25" t="s">
        <v>29</v>
      </c>
      <c r="C291" s="26" t="s">
        <v>65</v>
      </c>
      <c r="D291" s="26" t="s">
        <v>84</v>
      </c>
      <c r="E291" s="26" t="s">
        <v>858</v>
      </c>
      <c r="F291" s="26" t="s">
        <v>1043</v>
      </c>
      <c r="G291" s="27">
        <f t="shared" ref="G291" si="207">J291</f>
        <v>1757630</v>
      </c>
      <c r="H291" s="27">
        <f>L291</f>
        <v>1757630</v>
      </c>
      <c r="I291" s="27">
        <f>N291</f>
        <v>1757630</v>
      </c>
      <c r="J291" s="16">
        <f>'БА в тыс. руб.'!G291*1000</f>
        <v>1757630</v>
      </c>
      <c r="K291" s="169">
        <f t="shared" si="189"/>
        <v>0</v>
      </c>
      <c r="L291" s="16">
        <f>'БА в тыс. руб.'!H291*1000</f>
        <v>1757630</v>
      </c>
      <c r="M291" s="169">
        <f t="shared" si="190"/>
        <v>0</v>
      </c>
      <c r="N291" s="16">
        <f>'БА в тыс. руб.'!I291*1000</f>
        <v>1757630</v>
      </c>
      <c r="O291" s="169">
        <f t="shared" si="191"/>
        <v>0</v>
      </c>
      <c r="S291" s="183"/>
      <c r="T291" s="183"/>
      <c r="U291" s="183"/>
    </row>
    <row r="292" spans="1:21" s="109" customFormat="1" ht="51">
      <c r="A292" s="76" t="s">
        <v>852</v>
      </c>
      <c r="B292" s="25" t="s">
        <v>29</v>
      </c>
      <c r="C292" s="26" t="s">
        <v>65</v>
      </c>
      <c r="D292" s="26" t="s">
        <v>84</v>
      </c>
      <c r="E292" s="26" t="s">
        <v>289</v>
      </c>
      <c r="F292" s="26" t="s">
        <v>58</v>
      </c>
      <c r="G292" s="27">
        <f t="shared" ref="G292:I294" si="208">G293</f>
        <v>380800</v>
      </c>
      <c r="H292" s="27">
        <f t="shared" si="208"/>
        <v>342720</v>
      </c>
      <c r="I292" s="27">
        <f t="shared" si="208"/>
        <v>342720</v>
      </c>
      <c r="J292" s="16">
        <f>'БА в тыс. руб.'!G292*1000</f>
        <v>380800</v>
      </c>
      <c r="K292" s="169">
        <f t="shared" si="189"/>
        <v>0</v>
      </c>
      <c r="L292" s="16">
        <f>'БА в тыс. руб.'!H292*1000</f>
        <v>342720</v>
      </c>
      <c r="M292" s="169">
        <f t="shared" si="190"/>
        <v>0</v>
      </c>
      <c r="N292" s="16">
        <f>'БА в тыс. руб.'!I292*1000</f>
        <v>342720</v>
      </c>
      <c r="O292" s="169">
        <f t="shared" si="191"/>
        <v>0</v>
      </c>
      <c r="S292" s="182"/>
      <c r="T292" s="182"/>
      <c r="U292" s="182"/>
    </row>
    <row r="293" spans="1:21" s="109" customFormat="1" ht="51">
      <c r="A293" s="11" t="s">
        <v>168</v>
      </c>
      <c r="B293" s="25" t="s">
        <v>29</v>
      </c>
      <c r="C293" s="26" t="s">
        <v>65</v>
      </c>
      <c r="D293" s="26" t="s">
        <v>84</v>
      </c>
      <c r="E293" s="26" t="s">
        <v>290</v>
      </c>
      <c r="F293" s="26" t="s">
        <v>58</v>
      </c>
      <c r="G293" s="27">
        <f t="shared" si="208"/>
        <v>380800</v>
      </c>
      <c r="H293" s="27">
        <f t="shared" si="208"/>
        <v>342720</v>
      </c>
      <c r="I293" s="27">
        <f t="shared" si="208"/>
        <v>342720</v>
      </c>
      <c r="J293" s="16">
        <f>'БА в тыс. руб.'!G293*1000</f>
        <v>380800</v>
      </c>
      <c r="K293" s="169">
        <f t="shared" si="189"/>
        <v>0</v>
      </c>
      <c r="L293" s="16">
        <f>'БА в тыс. руб.'!H293*1000</f>
        <v>342720</v>
      </c>
      <c r="M293" s="169">
        <f t="shared" si="190"/>
        <v>0</v>
      </c>
      <c r="N293" s="16">
        <f>'БА в тыс. руб.'!I293*1000</f>
        <v>342720</v>
      </c>
      <c r="O293" s="169">
        <f t="shared" si="191"/>
        <v>0</v>
      </c>
      <c r="S293" s="182"/>
      <c r="T293" s="182"/>
      <c r="U293" s="182"/>
    </row>
    <row r="294" spans="1:21" s="109" customFormat="1" ht="25.5">
      <c r="A294" s="11" t="s">
        <v>108</v>
      </c>
      <c r="B294" s="25" t="s">
        <v>29</v>
      </c>
      <c r="C294" s="26" t="s">
        <v>65</v>
      </c>
      <c r="D294" s="26" t="s">
        <v>84</v>
      </c>
      <c r="E294" s="26" t="s">
        <v>290</v>
      </c>
      <c r="F294" s="26" t="s">
        <v>116</v>
      </c>
      <c r="G294" s="27">
        <f>G295</f>
        <v>380800</v>
      </c>
      <c r="H294" s="27">
        <f t="shared" si="208"/>
        <v>342720</v>
      </c>
      <c r="I294" s="27">
        <f t="shared" si="208"/>
        <v>342720</v>
      </c>
      <c r="J294" s="16">
        <f>'БА в тыс. руб.'!G294*1000</f>
        <v>380800</v>
      </c>
      <c r="K294" s="169">
        <f t="shared" si="189"/>
        <v>0</v>
      </c>
      <c r="L294" s="16">
        <f>'БА в тыс. руб.'!H294*1000</f>
        <v>342720</v>
      </c>
      <c r="M294" s="169">
        <f t="shared" si="190"/>
        <v>0</v>
      </c>
      <c r="N294" s="16">
        <f>'БА в тыс. руб.'!I294*1000</f>
        <v>342720</v>
      </c>
      <c r="O294" s="169">
        <f t="shared" si="191"/>
        <v>0</v>
      </c>
      <c r="S294" s="182"/>
      <c r="T294" s="182"/>
      <c r="U294" s="182"/>
    </row>
    <row r="295" spans="1:21" s="110" customFormat="1" ht="25.5">
      <c r="A295" s="12" t="s">
        <v>973</v>
      </c>
      <c r="B295" s="25" t="s">
        <v>29</v>
      </c>
      <c r="C295" s="26" t="s">
        <v>65</v>
      </c>
      <c r="D295" s="26" t="s">
        <v>84</v>
      </c>
      <c r="E295" s="26" t="s">
        <v>290</v>
      </c>
      <c r="F295" s="26" t="s">
        <v>1043</v>
      </c>
      <c r="G295" s="27">
        <f t="shared" ref="G295" si="209">J295</f>
        <v>380800</v>
      </c>
      <c r="H295" s="27">
        <f>L295</f>
        <v>342720</v>
      </c>
      <c r="I295" s="27">
        <f>N295</f>
        <v>342720</v>
      </c>
      <c r="J295" s="16">
        <f>'БА в тыс. руб.'!G295*1000</f>
        <v>380800</v>
      </c>
      <c r="K295" s="169">
        <f t="shared" si="189"/>
        <v>0</v>
      </c>
      <c r="L295" s="16">
        <f>'БА в тыс. руб.'!H295*1000</f>
        <v>342720</v>
      </c>
      <c r="M295" s="169">
        <f t="shared" si="190"/>
        <v>0</v>
      </c>
      <c r="N295" s="16">
        <f>'БА в тыс. руб.'!I295*1000</f>
        <v>342720</v>
      </c>
      <c r="O295" s="169">
        <f t="shared" si="191"/>
        <v>0</v>
      </c>
      <c r="S295" s="183"/>
      <c r="T295" s="183"/>
      <c r="U295" s="183"/>
    </row>
    <row r="296" spans="1:21" s="109" customFormat="1" ht="38.25">
      <c r="A296" s="34" t="s">
        <v>751</v>
      </c>
      <c r="B296" s="25" t="s">
        <v>29</v>
      </c>
      <c r="C296" s="26" t="s">
        <v>65</v>
      </c>
      <c r="D296" s="26" t="s">
        <v>84</v>
      </c>
      <c r="E296" s="26" t="s">
        <v>229</v>
      </c>
      <c r="F296" s="26" t="s">
        <v>58</v>
      </c>
      <c r="G296" s="27">
        <f t="shared" ref="G296:I300" si="210">G297</f>
        <v>478000</v>
      </c>
      <c r="H296" s="27">
        <f t="shared" si="210"/>
        <v>478000</v>
      </c>
      <c r="I296" s="27">
        <f t="shared" si="210"/>
        <v>478000</v>
      </c>
      <c r="J296" s="16">
        <f>'БА в тыс. руб.'!G296*1000</f>
        <v>478000</v>
      </c>
      <c r="K296" s="169">
        <f t="shared" si="189"/>
        <v>0</v>
      </c>
      <c r="L296" s="16">
        <f>'БА в тыс. руб.'!H296*1000</f>
        <v>478000</v>
      </c>
      <c r="M296" s="169">
        <f t="shared" si="190"/>
        <v>0</v>
      </c>
      <c r="N296" s="16">
        <f>'БА в тыс. руб.'!I296*1000</f>
        <v>478000</v>
      </c>
      <c r="O296" s="169">
        <f t="shared" si="191"/>
        <v>0</v>
      </c>
      <c r="S296" s="182"/>
      <c r="T296" s="182"/>
      <c r="U296" s="182"/>
    </row>
    <row r="297" spans="1:21" s="109" customFormat="1" ht="25.5">
      <c r="A297" s="34" t="s">
        <v>119</v>
      </c>
      <c r="B297" s="25" t="s">
        <v>29</v>
      </c>
      <c r="C297" s="26" t="s">
        <v>65</v>
      </c>
      <c r="D297" s="26" t="s">
        <v>84</v>
      </c>
      <c r="E297" s="26" t="s">
        <v>230</v>
      </c>
      <c r="F297" s="26" t="s">
        <v>58</v>
      </c>
      <c r="G297" s="27">
        <f t="shared" si="210"/>
        <v>478000</v>
      </c>
      <c r="H297" s="27">
        <f t="shared" si="210"/>
        <v>478000</v>
      </c>
      <c r="I297" s="27">
        <f t="shared" si="210"/>
        <v>478000</v>
      </c>
      <c r="J297" s="16">
        <f>'БА в тыс. руб.'!G297*1000</f>
        <v>478000</v>
      </c>
      <c r="K297" s="169">
        <f t="shared" si="189"/>
        <v>0</v>
      </c>
      <c r="L297" s="16">
        <f>'БА в тыс. руб.'!H297*1000</f>
        <v>478000</v>
      </c>
      <c r="M297" s="169">
        <f t="shared" si="190"/>
        <v>0</v>
      </c>
      <c r="N297" s="16">
        <f>'БА в тыс. руб.'!I297*1000</f>
        <v>478000</v>
      </c>
      <c r="O297" s="169">
        <f t="shared" si="191"/>
        <v>0</v>
      </c>
      <c r="S297" s="182"/>
      <c r="T297" s="182"/>
      <c r="U297" s="182"/>
    </row>
    <row r="298" spans="1:21" s="109" customFormat="1" ht="38.25">
      <c r="A298" s="34" t="s">
        <v>234</v>
      </c>
      <c r="B298" s="25" t="s">
        <v>29</v>
      </c>
      <c r="C298" s="26" t="s">
        <v>65</v>
      </c>
      <c r="D298" s="26" t="s">
        <v>84</v>
      </c>
      <c r="E298" s="26" t="s">
        <v>235</v>
      </c>
      <c r="F298" s="26" t="s">
        <v>58</v>
      </c>
      <c r="G298" s="27">
        <f t="shared" si="210"/>
        <v>478000</v>
      </c>
      <c r="H298" s="27">
        <f t="shared" si="210"/>
        <v>478000</v>
      </c>
      <c r="I298" s="27">
        <f t="shared" si="210"/>
        <v>478000</v>
      </c>
      <c r="J298" s="16">
        <f>'БА в тыс. руб.'!G298*1000</f>
        <v>478000</v>
      </c>
      <c r="K298" s="169">
        <f t="shared" si="189"/>
        <v>0</v>
      </c>
      <c r="L298" s="16">
        <f>'БА в тыс. руб.'!H298*1000</f>
        <v>478000</v>
      </c>
      <c r="M298" s="169">
        <f t="shared" si="190"/>
        <v>0</v>
      </c>
      <c r="N298" s="16">
        <f>'БА в тыс. руб.'!I298*1000</f>
        <v>478000</v>
      </c>
      <c r="O298" s="169">
        <f t="shared" si="191"/>
        <v>0</v>
      </c>
      <c r="S298" s="182"/>
      <c r="T298" s="182"/>
      <c r="U298" s="182"/>
    </row>
    <row r="299" spans="1:21" s="109" customFormat="1" ht="25.5">
      <c r="A299" s="34" t="s">
        <v>170</v>
      </c>
      <c r="B299" s="25" t="s">
        <v>29</v>
      </c>
      <c r="C299" s="26" t="s">
        <v>65</v>
      </c>
      <c r="D299" s="26" t="s">
        <v>84</v>
      </c>
      <c r="E299" s="26" t="s">
        <v>236</v>
      </c>
      <c r="F299" s="26" t="s">
        <v>58</v>
      </c>
      <c r="G299" s="27">
        <f t="shared" si="210"/>
        <v>478000</v>
      </c>
      <c r="H299" s="27">
        <f t="shared" si="210"/>
        <v>478000</v>
      </c>
      <c r="I299" s="27">
        <f t="shared" si="210"/>
        <v>478000</v>
      </c>
      <c r="J299" s="16">
        <f>'БА в тыс. руб.'!G299*1000</f>
        <v>478000</v>
      </c>
      <c r="K299" s="169">
        <f t="shared" si="189"/>
        <v>0</v>
      </c>
      <c r="L299" s="16">
        <f>'БА в тыс. руб.'!H299*1000</f>
        <v>478000</v>
      </c>
      <c r="M299" s="169">
        <f t="shared" si="190"/>
        <v>0</v>
      </c>
      <c r="N299" s="16">
        <f>'БА в тыс. руб.'!I299*1000</f>
        <v>478000</v>
      </c>
      <c r="O299" s="169">
        <f t="shared" si="191"/>
        <v>0</v>
      </c>
      <c r="S299" s="182"/>
      <c r="T299" s="182"/>
      <c r="U299" s="182"/>
    </row>
    <row r="300" spans="1:21" s="109" customFormat="1" ht="25.5">
      <c r="A300" s="11" t="s">
        <v>108</v>
      </c>
      <c r="B300" s="25" t="s">
        <v>29</v>
      </c>
      <c r="C300" s="26" t="s">
        <v>65</v>
      </c>
      <c r="D300" s="26" t="s">
        <v>84</v>
      </c>
      <c r="E300" s="26" t="s">
        <v>236</v>
      </c>
      <c r="F300" s="26" t="s">
        <v>116</v>
      </c>
      <c r="G300" s="27">
        <f>G301</f>
        <v>478000</v>
      </c>
      <c r="H300" s="27">
        <f t="shared" si="210"/>
        <v>478000</v>
      </c>
      <c r="I300" s="27">
        <f t="shared" si="210"/>
        <v>478000</v>
      </c>
      <c r="J300" s="16">
        <f>'БА в тыс. руб.'!G300*1000</f>
        <v>478000</v>
      </c>
      <c r="K300" s="169">
        <f t="shared" si="189"/>
        <v>0</v>
      </c>
      <c r="L300" s="16">
        <f>'БА в тыс. руб.'!H300*1000</f>
        <v>478000</v>
      </c>
      <c r="M300" s="169">
        <f t="shared" si="190"/>
        <v>0</v>
      </c>
      <c r="N300" s="16">
        <f>'БА в тыс. руб.'!I300*1000</f>
        <v>478000</v>
      </c>
      <c r="O300" s="169">
        <f t="shared" si="191"/>
        <v>0</v>
      </c>
      <c r="S300" s="182"/>
      <c r="T300" s="182"/>
      <c r="U300" s="182"/>
    </row>
    <row r="301" spans="1:21" s="110" customFormat="1" ht="25.5">
      <c r="A301" s="12" t="s">
        <v>973</v>
      </c>
      <c r="B301" s="25" t="s">
        <v>29</v>
      </c>
      <c r="C301" s="26" t="s">
        <v>65</v>
      </c>
      <c r="D301" s="26" t="s">
        <v>84</v>
      </c>
      <c r="E301" s="26" t="s">
        <v>236</v>
      </c>
      <c r="F301" s="26" t="s">
        <v>1043</v>
      </c>
      <c r="G301" s="27">
        <f t="shared" ref="G301" si="211">J301</f>
        <v>478000</v>
      </c>
      <c r="H301" s="27">
        <f>L301</f>
        <v>478000</v>
      </c>
      <c r="I301" s="27">
        <f>N301</f>
        <v>478000</v>
      </c>
      <c r="J301" s="16">
        <f>'БА в тыс. руб.'!G301*1000</f>
        <v>478000</v>
      </c>
      <c r="K301" s="169">
        <f t="shared" si="189"/>
        <v>0</v>
      </c>
      <c r="L301" s="16">
        <f>'БА в тыс. руб.'!H301*1000</f>
        <v>478000</v>
      </c>
      <c r="M301" s="169">
        <f t="shared" si="190"/>
        <v>0</v>
      </c>
      <c r="N301" s="16">
        <f>'БА в тыс. руб.'!I301*1000</f>
        <v>478000</v>
      </c>
      <c r="O301" s="169">
        <f t="shared" si="191"/>
        <v>0</v>
      </c>
      <c r="S301" s="183"/>
      <c r="T301" s="183"/>
      <c r="U301" s="183"/>
    </row>
    <row r="302" spans="1:21" s="3" customFormat="1" ht="38.25">
      <c r="A302" s="12" t="s">
        <v>752</v>
      </c>
      <c r="B302" s="25" t="s">
        <v>29</v>
      </c>
      <c r="C302" s="35" t="s">
        <v>65</v>
      </c>
      <c r="D302" s="35">
        <v>13</v>
      </c>
      <c r="E302" s="35" t="s">
        <v>249</v>
      </c>
      <c r="F302" s="35" t="s">
        <v>58</v>
      </c>
      <c r="G302" s="38">
        <f>G303</f>
        <v>3000000</v>
      </c>
      <c r="H302" s="38">
        <f t="shared" ref="H302:I303" si="212">H303</f>
        <v>0</v>
      </c>
      <c r="I302" s="38">
        <f t="shared" si="212"/>
        <v>0</v>
      </c>
      <c r="J302" s="16">
        <f>'БА в тыс. руб.'!G302*1000</f>
        <v>3000000</v>
      </c>
      <c r="K302" s="169">
        <f t="shared" si="189"/>
        <v>0</v>
      </c>
      <c r="L302" s="16">
        <f>'БА в тыс. руб.'!H302*1000</f>
        <v>0</v>
      </c>
      <c r="M302" s="169">
        <f t="shared" si="190"/>
        <v>0</v>
      </c>
      <c r="N302" s="16">
        <f>'БА в тыс. руб.'!I302*1000</f>
        <v>0</v>
      </c>
      <c r="O302" s="169">
        <f t="shared" si="191"/>
        <v>0</v>
      </c>
      <c r="S302" s="30"/>
      <c r="T302" s="30"/>
      <c r="U302" s="30"/>
    </row>
    <row r="303" spans="1:21" s="3" customFormat="1">
      <c r="A303" s="11" t="s">
        <v>753</v>
      </c>
      <c r="B303" s="25" t="s">
        <v>29</v>
      </c>
      <c r="C303" s="35" t="s">
        <v>65</v>
      </c>
      <c r="D303" s="35">
        <v>13</v>
      </c>
      <c r="E303" s="35" t="s">
        <v>250</v>
      </c>
      <c r="F303" s="35" t="s">
        <v>58</v>
      </c>
      <c r="G303" s="38">
        <f>G304</f>
        <v>3000000</v>
      </c>
      <c r="H303" s="38">
        <f t="shared" si="212"/>
        <v>0</v>
      </c>
      <c r="I303" s="38">
        <f t="shared" si="212"/>
        <v>0</v>
      </c>
      <c r="J303" s="16">
        <f>'БА в тыс. руб.'!G303*1000</f>
        <v>3000000</v>
      </c>
      <c r="K303" s="169">
        <f t="shared" si="189"/>
        <v>0</v>
      </c>
      <c r="L303" s="16">
        <f>'БА в тыс. руб.'!H303*1000</f>
        <v>0</v>
      </c>
      <c r="M303" s="169">
        <f t="shared" si="190"/>
        <v>0</v>
      </c>
      <c r="N303" s="16">
        <f>'БА в тыс. руб.'!I303*1000</f>
        <v>0</v>
      </c>
      <c r="O303" s="169">
        <f t="shared" si="191"/>
        <v>0</v>
      </c>
      <c r="S303" s="30"/>
      <c r="T303" s="30"/>
      <c r="U303" s="30"/>
    </row>
    <row r="304" spans="1:21" s="3" customFormat="1" ht="25.5">
      <c r="A304" s="31" t="s">
        <v>618</v>
      </c>
      <c r="B304" s="25" t="s">
        <v>29</v>
      </c>
      <c r="C304" s="35" t="s">
        <v>65</v>
      </c>
      <c r="D304" s="35">
        <v>13</v>
      </c>
      <c r="E304" s="35" t="s">
        <v>540</v>
      </c>
      <c r="F304" s="35" t="s">
        <v>58</v>
      </c>
      <c r="G304" s="38">
        <f t="shared" ref="G304:I306" si="213">G305</f>
        <v>3000000</v>
      </c>
      <c r="H304" s="38">
        <f t="shared" si="213"/>
        <v>0</v>
      </c>
      <c r="I304" s="38">
        <f t="shared" si="213"/>
        <v>0</v>
      </c>
      <c r="J304" s="16">
        <f>'БА в тыс. руб.'!G304*1000</f>
        <v>3000000</v>
      </c>
      <c r="K304" s="169">
        <f t="shared" si="189"/>
        <v>0</v>
      </c>
      <c r="L304" s="16">
        <f>'БА в тыс. руб.'!H304*1000</f>
        <v>0</v>
      </c>
      <c r="M304" s="169">
        <f t="shared" si="190"/>
        <v>0</v>
      </c>
      <c r="N304" s="16">
        <f>'БА в тыс. руб.'!I304*1000</f>
        <v>0</v>
      </c>
      <c r="O304" s="169">
        <f t="shared" si="191"/>
        <v>0</v>
      </c>
      <c r="S304" s="30"/>
      <c r="T304" s="30"/>
      <c r="U304" s="30"/>
    </row>
    <row r="305" spans="1:21" s="3" customFormat="1" ht="25.5">
      <c r="A305" s="31" t="s">
        <v>122</v>
      </c>
      <c r="B305" s="25" t="s">
        <v>29</v>
      </c>
      <c r="C305" s="35" t="s">
        <v>65</v>
      </c>
      <c r="D305" s="35">
        <v>13</v>
      </c>
      <c r="E305" s="35" t="s">
        <v>571</v>
      </c>
      <c r="F305" s="35" t="s">
        <v>58</v>
      </c>
      <c r="G305" s="38">
        <f t="shared" si="213"/>
        <v>3000000</v>
      </c>
      <c r="H305" s="38">
        <f t="shared" si="213"/>
        <v>0</v>
      </c>
      <c r="I305" s="38">
        <f t="shared" si="213"/>
        <v>0</v>
      </c>
      <c r="J305" s="16">
        <f>'БА в тыс. руб.'!G305*1000</f>
        <v>3000000</v>
      </c>
      <c r="K305" s="169">
        <f t="shared" si="189"/>
        <v>0</v>
      </c>
      <c r="L305" s="16">
        <f>'БА в тыс. руб.'!H305*1000</f>
        <v>0</v>
      </c>
      <c r="M305" s="169">
        <f t="shared" si="190"/>
        <v>0</v>
      </c>
      <c r="N305" s="16">
        <f>'БА в тыс. руб.'!I305*1000</f>
        <v>0</v>
      </c>
      <c r="O305" s="169">
        <f t="shared" si="191"/>
        <v>0</v>
      </c>
      <c r="S305" s="30"/>
      <c r="T305" s="30"/>
      <c r="U305" s="30"/>
    </row>
    <row r="306" spans="1:21" s="3" customFormat="1" ht="25.5">
      <c r="A306" s="31" t="s">
        <v>108</v>
      </c>
      <c r="B306" s="25" t="s">
        <v>29</v>
      </c>
      <c r="C306" s="35" t="s">
        <v>65</v>
      </c>
      <c r="D306" s="35">
        <v>13</v>
      </c>
      <c r="E306" s="35" t="s">
        <v>571</v>
      </c>
      <c r="F306" s="35" t="s">
        <v>116</v>
      </c>
      <c r="G306" s="27">
        <f>G307</f>
        <v>3000000</v>
      </c>
      <c r="H306" s="27">
        <f t="shared" si="213"/>
        <v>0</v>
      </c>
      <c r="I306" s="27">
        <f t="shared" si="213"/>
        <v>0</v>
      </c>
      <c r="J306" s="16">
        <f>'БА в тыс. руб.'!G306*1000</f>
        <v>3000000</v>
      </c>
      <c r="K306" s="169">
        <f t="shared" si="189"/>
        <v>0</v>
      </c>
      <c r="L306" s="16">
        <f>'БА в тыс. руб.'!H306*1000</f>
        <v>0</v>
      </c>
      <c r="M306" s="169">
        <f t="shared" si="190"/>
        <v>0</v>
      </c>
      <c r="N306" s="16">
        <f>'БА в тыс. руб.'!I306*1000</f>
        <v>0</v>
      </c>
      <c r="O306" s="169">
        <f t="shared" si="191"/>
        <v>0</v>
      </c>
      <c r="S306" s="30"/>
      <c r="T306" s="30"/>
      <c r="U306" s="30"/>
    </row>
    <row r="307" spans="1:21" s="4" customFormat="1" ht="25.5">
      <c r="A307" s="12" t="s">
        <v>973</v>
      </c>
      <c r="B307" s="25" t="s">
        <v>29</v>
      </c>
      <c r="C307" s="35" t="s">
        <v>65</v>
      </c>
      <c r="D307" s="35">
        <v>13</v>
      </c>
      <c r="E307" s="35" t="s">
        <v>571</v>
      </c>
      <c r="F307" s="35" t="s">
        <v>1043</v>
      </c>
      <c r="G307" s="27">
        <f t="shared" ref="G307" si="214">J307</f>
        <v>3000000</v>
      </c>
      <c r="H307" s="27">
        <f>L307</f>
        <v>0</v>
      </c>
      <c r="I307" s="27">
        <f>N307</f>
        <v>0</v>
      </c>
      <c r="J307" s="16">
        <f>'БА в тыс. руб.'!G307*1000</f>
        <v>3000000</v>
      </c>
      <c r="K307" s="169">
        <f t="shared" si="189"/>
        <v>0</v>
      </c>
      <c r="L307" s="16">
        <f>'БА в тыс. руб.'!H307*1000</f>
        <v>0</v>
      </c>
      <c r="M307" s="169">
        <f t="shared" si="190"/>
        <v>0</v>
      </c>
      <c r="N307" s="16">
        <f>'БА в тыс. руб.'!I307*1000</f>
        <v>0</v>
      </c>
      <c r="O307" s="169">
        <f t="shared" si="191"/>
        <v>0</v>
      </c>
      <c r="S307" s="83"/>
      <c r="T307" s="83"/>
      <c r="U307" s="83"/>
    </row>
    <row r="308" spans="1:21" s="109" customFormat="1" ht="25.5">
      <c r="A308" s="11" t="s">
        <v>291</v>
      </c>
      <c r="B308" s="25" t="s">
        <v>29</v>
      </c>
      <c r="C308" s="26" t="s">
        <v>65</v>
      </c>
      <c r="D308" s="26" t="s">
        <v>84</v>
      </c>
      <c r="E308" s="26" t="s">
        <v>292</v>
      </c>
      <c r="F308" s="26" t="s">
        <v>58</v>
      </c>
      <c r="G308" s="27">
        <f>G309</f>
        <v>60888676.5</v>
      </c>
      <c r="H308" s="27">
        <f t="shared" ref="H308:I308" si="215">H309</f>
        <v>60927410</v>
      </c>
      <c r="I308" s="27">
        <f t="shared" si="215"/>
        <v>60927410</v>
      </c>
      <c r="J308" s="16">
        <f>'БА в тыс. руб.'!G308*1000</f>
        <v>60888680</v>
      </c>
      <c r="K308" s="169">
        <f t="shared" si="189"/>
        <v>3.5</v>
      </c>
      <c r="L308" s="16">
        <f>'БА в тыс. руб.'!H308*1000</f>
        <v>60927410</v>
      </c>
      <c r="M308" s="169">
        <f t="shared" si="190"/>
        <v>0</v>
      </c>
      <c r="N308" s="16">
        <f>'БА в тыс. руб.'!I308*1000</f>
        <v>60927410</v>
      </c>
      <c r="O308" s="169">
        <f t="shared" si="191"/>
        <v>0</v>
      </c>
      <c r="S308" s="182"/>
      <c r="T308" s="182"/>
      <c r="U308" s="182"/>
    </row>
    <row r="309" spans="1:21" s="109" customFormat="1" ht="38.25">
      <c r="A309" s="11" t="s">
        <v>581</v>
      </c>
      <c r="B309" s="25" t="s">
        <v>29</v>
      </c>
      <c r="C309" s="26" t="s">
        <v>65</v>
      </c>
      <c r="D309" s="26" t="s">
        <v>84</v>
      </c>
      <c r="E309" s="26" t="s">
        <v>293</v>
      </c>
      <c r="F309" s="26" t="s">
        <v>58</v>
      </c>
      <c r="G309" s="27">
        <f>G319+G310</f>
        <v>60888676.5</v>
      </c>
      <c r="H309" s="27">
        <f t="shared" ref="H309:I309" si="216">H319+H310</f>
        <v>60927410</v>
      </c>
      <c r="I309" s="27">
        <f t="shared" si="216"/>
        <v>60927410</v>
      </c>
      <c r="J309" s="16">
        <f>'БА в тыс. руб.'!G309*1000</f>
        <v>60888680</v>
      </c>
      <c r="K309" s="169">
        <f t="shared" si="189"/>
        <v>3.5</v>
      </c>
      <c r="L309" s="16">
        <f>'БА в тыс. руб.'!H309*1000</f>
        <v>60927410</v>
      </c>
      <c r="M309" s="169">
        <f t="shared" si="190"/>
        <v>0</v>
      </c>
      <c r="N309" s="16">
        <f>'БА в тыс. руб.'!I309*1000</f>
        <v>60927410</v>
      </c>
      <c r="O309" s="169">
        <f t="shared" si="191"/>
        <v>0</v>
      </c>
      <c r="S309" s="182"/>
      <c r="T309" s="182"/>
      <c r="U309" s="182"/>
    </row>
    <row r="310" spans="1:21" s="109" customFormat="1" ht="25.5">
      <c r="A310" s="11" t="s">
        <v>114</v>
      </c>
      <c r="B310" s="25" t="s">
        <v>29</v>
      </c>
      <c r="C310" s="26" t="s">
        <v>65</v>
      </c>
      <c r="D310" s="26" t="s">
        <v>84</v>
      </c>
      <c r="E310" s="26" t="s">
        <v>294</v>
      </c>
      <c r="F310" s="26" t="s">
        <v>58</v>
      </c>
      <c r="G310" s="27">
        <f>G311+G314+G316</f>
        <v>10065106.5</v>
      </c>
      <c r="H310" s="27">
        <f t="shared" ref="H310:I310" si="217">H311+H314+H316</f>
        <v>10103840</v>
      </c>
      <c r="I310" s="27">
        <f t="shared" si="217"/>
        <v>10103840</v>
      </c>
      <c r="J310" s="16">
        <f>'БА в тыс. руб.'!G310*1000</f>
        <v>10065110</v>
      </c>
      <c r="K310" s="169">
        <f t="shared" si="189"/>
        <v>3.5</v>
      </c>
      <c r="L310" s="16">
        <f>'БА в тыс. руб.'!H310*1000</f>
        <v>10103840</v>
      </c>
      <c r="M310" s="169">
        <f t="shared" si="190"/>
        <v>0</v>
      </c>
      <c r="N310" s="16">
        <f>'БА в тыс. руб.'!I310*1000</f>
        <v>10103840</v>
      </c>
      <c r="O310" s="169">
        <f t="shared" si="191"/>
        <v>0</v>
      </c>
      <c r="S310" s="182"/>
      <c r="T310" s="182"/>
      <c r="U310" s="182"/>
    </row>
    <row r="311" spans="1:21" s="109" customFormat="1" ht="25.5">
      <c r="A311" s="12" t="s">
        <v>107</v>
      </c>
      <c r="B311" s="25" t="s">
        <v>29</v>
      </c>
      <c r="C311" s="26" t="s">
        <v>65</v>
      </c>
      <c r="D311" s="26" t="s">
        <v>84</v>
      </c>
      <c r="E311" s="26" t="s">
        <v>294</v>
      </c>
      <c r="F311" s="26" t="s">
        <v>115</v>
      </c>
      <c r="G311" s="27">
        <f>SUM(G312:G313)</f>
        <v>1328030</v>
      </c>
      <c r="H311" s="27">
        <f t="shared" ref="H311:I311" si="218">SUM(H312:H313)</f>
        <v>1328030</v>
      </c>
      <c r="I311" s="27">
        <f t="shared" si="218"/>
        <v>1328030</v>
      </c>
      <c r="J311" s="16">
        <f>'БА в тыс. руб.'!G311*1000</f>
        <v>1328030</v>
      </c>
      <c r="K311" s="169">
        <f t="shared" si="189"/>
        <v>0</v>
      </c>
      <c r="L311" s="16">
        <f>'БА в тыс. руб.'!H311*1000</f>
        <v>1328030</v>
      </c>
      <c r="M311" s="169">
        <f t="shared" si="190"/>
        <v>0</v>
      </c>
      <c r="N311" s="16">
        <f>'БА в тыс. руб.'!I311*1000</f>
        <v>1328030</v>
      </c>
      <c r="O311" s="169">
        <f t="shared" si="191"/>
        <v>0</v>
      </c>
      <c r="S311" s="182"/>
      <c r="T311" s="182"/>
      <c r="U311" s="182"/>
    </row>
    <row r="312" spans="1:21" s="110" customFormat="1" ht="25.5">
      <c r="A312" s="12" t="s">
        <v>937</v>
      </c>
      <c r="B312" s="25" t="s">
        <v>29</v>
      </c>
      <c r="C312" s="26" t="s">
        <v>65</v>
      </c>
      <c r="D312" s="26" t="s">
        <v>84</v>
      </c>
      <c r="E312" s="26" t="s">
        <v>294</v>
      </c>
      <c r="F312" s="26" t="s">
        <v>1059</v>
      </c>
      <c r="G312" s="27">
        <f t="shared" ref="G312:G313" si="219">J312</f>
        <v>1033119.9999999999</v>
      </c>
      <c r="H312" s="27">
        <f t="shared" ref="H312:H313" si="220">L312</f>
        <v>1033119.9999999999</v>
      </c>
      <c r="I312" s="27">
        <f t="shared" ref="I312:I313" si="221">N312</f>
        <v>1033119.9999999999</v>
      </c>
      <c r="J312" s="16">
        <f>'БА в тыс. руб.'!G312*1000</f>
        <v>1033119.9999999999</v>
      </c>
      <c r="K312" s="169">
        <f t="shared" si="189"/>
        <v>0</v>
      </c>
      <c r="L312" s="16">
        <f>'БА в тыс. руб.'!H312*1000</f>
        <v>1033119.9999999999</v>
      </c>
      <c r="M312" s="169">
        <f t="shared" si="190"/>
        <v>0</v>
      </c>
      <c r="N312" s="16">
        <f>'БА в тыс. руб.'!I312*1000</f>
        <v>1033119.9999999999</v>
      </c>
      <c r="O312" s="169">
        <f t="shared" si="191"/>
        <v>0</v>
      </c>
      <c r="S312" s="183"/>
      <c r="T312" s="183"/>
      <c r="U312" s="183"/>
    </row>
    <row r="313" spans="1:21" s="110" customFormat="1" ht="38.25">
      <c r="A313" s="12" t="s">
        <v>939</v>
      </c>
      <c r="B313" s="25" t="s">
        <v>29</v>
      </c>
      <c r="C313" s="26" t="s">
        <v>65</v>
      </c>
      <c r="D313" s="26" t="s">
        <v>84</v>
      </c>
      <c r="E313" s="26" t="s">
        <v>294</v>
      </c>
      <c r="F313" s="26" t="s">
        <v>1060</v>
      </c>
      <c r="G313" s="27">
        <f t="shared" si="219"/>
        <v>294910</v>
      </c>
      <c r="H313" s="27">
        <f t="shared" si="220"/>
        <v>294910</v>
      </c>
      <c r="I313" s="27">
        <f t="shared" si="221"/>
        <v>294910</v>
      </c>
      <c r="J313" s="16">
        <f>'БА в тыс. руб.'!G313*1000</f>
        <v>294910</v>
      </c>
      <c r="K313" s="169">
        <f t="shared" si="189"/>
        <v>0</v>
      </c>
      <c r="L313" s="16">
        <f>'БА в тыс. руб.'!H313*1000</f>
        <v>294910</v>
      </c>
      <c r="M313" s="169">
        <f t="shared" si="190"/>
        <v>0</v>
      </c>
      <c r="N313" s="16">
        <f>'БА в тыс. руб.'!I313*1000</f>
        <v>294910</v>
      </c>
      <c r="O313" s="169">
        <f t="shared" si="191"/>
        <v>0</v>
      </c>
      <c r="S313" s="183"/>
      <c r="T313" s="183"/>
      <c r="U313" s="183"/>
    </row>
    <row r="314" spans="1:21" s="109" customFormat="1" ht="25.5">
      <c r="A314" s="11" t="s">
        <v>108</v>
      </c>
      <c r="B314" s="25" t="s">
        <v>29</v>
      </c>
      <c r="C314" s="26" t="s">
        <v>65</v>
      </c>
      <c r="D314" s="26" t="s">
        <v>84</v>
      </c>
      <c r="E314" s="26" t="s">
        <v>294</v>
      </c>
      <c r="F314" s="26" t="s">
        <v>116</v>
      </c>
      <c r="G314" s="27">
        <f>G315</f>
        <v>8589406.5</v>
      </c>
      <c r="H314" s="27">
        <f t="shared" ref="H314:I314" si="222">H315</f>
        <v>8628140</v>
      </c>
      <c r="I314" s="27">
        <f t="shared" si="222"/>
        <v>8628140</v>
      </c>
      <c r="J314" s="16">
        <f>'БА в тыс. руб.'!G314*1000</f>
        <v>8589410</v>
      </c>
      <c r="K314" s="169">
        <f t="shared" si="189"/>
        <v>3.5</v>
      </c>
      <c r="L314" s="16">
        <f>'БА в тыс. руб.'!H314*1000</f>
        <v>8628140</v>
      </c>
      <c r="M314" s="169">
        <f t="shared" si="190"/>
        <v>0</v>
      </c>
      <c r="N314" s="16">
        <f>'БА в тыс. руб.'!I314*1000</f>
        <v>8628140</v>
      </c>
      <c r="O314" s="169">
        <f t="shared" si="191"/>
        <v>0</v>
      </c>
      <c r="S314" s="182"/>
      <c r="T314" s="182"/>
      <c r="U314" s="182"/>
    </row>
    <row r="315" spans="1:21" s="110" customFormat="1" ht="25.5">
      <c r="A315" s="12" t="s">
        <v>973</v>
      </c>
      <c r="B315" s="25" t="s">
        <v>29</v>
      </c>
      <c r="C315" s="26" t="s">
        <v>65</v>
      </c>
      <c r="D315" s="26" t="s">
        <v>84</v>
      </c>
      <c r="E315" s="26" t="s">
        <v>294</v>
      </c>
      <c r="F315" s="26" t="s">
        <v>1043</v>
      </c>
      <c r="G315" s="27">
        <f>J315-3.5</f>
        <v>8589406.5</v>
      </c>
      <c r="H315" s="27">
        <f>L315</f>
        <v>8628140</v>
      </c>
      <c r="I315" s="27">
        <f>N315</f>
        <v>8628140</v>
      </c>
      <c r="J315" s="16">
        <f>'БА в тыс. руб.'!G315*1000</f>
        <v>8589410</v>
      </c>
      <c r="K315" s="169">
        <f t="shared" si="189"/>
        <v>3.5</v>
      </c>
      <c r="L315" s="16">
        <f>'БА в тыс. руб.'!H315*1000</f>
        <v>8628140</v>
      </c>
      <c r="M315" s="169">
        <f t="shared" si="190"/>
        <v>0</v>
      </c>
      <c r="N315" s="16">
        <f>'БА в тыс. руб.'!I315*1000</f>
        <v>8628140</v>
      </c>
      <c r="O315" s="169">
        <f t="shared" si="191"/>
        <v>0</v>
      </c>
      <c r="S315" s="183"/>
      <c r="T315" s="183"/>
      <c r="U315" s="183"/>
    </row>
    <row r="316" spans="1:21" s="109" customFormat="1" ht="12.75">
      <c r="A316" s="11" t="s">
        <v>97</v>
      </c>
      <c r="B316" s="25" t="s">
        <v>29</v>
      </c>
      <c r="C316" s="26" t="s">
        <v>65</v>
      </c>
      <c r="D316" s="26" t="s">
        <v>84</v>
      </c>
      <c r="E316" s="26" t="s">
        <v>294</v>
      </c>
      <c r="F316" s="26" t="s">
        <v>118</v>
      </c>
      <c r="G316" s="27">
        <f>SUM(G317:G318)</f>
        <v>147670</v>
      </c>
      <c r="H316" s="27">
        <f t="shared" ref="H316:I316" si="223">SUM(H317:H318)</f>
        <v>147670</v>
      </c>
      <c r="I316" s="27">
        <f t="shared" si="223"/>
        <v>147670</v>
      </c>
      <c r="J316" s="16">
        <f>'БА в тыс. руб.'!G316*1000</f>
        <v>147670</v>
      </c>
      <c r="K316" s="169">
        <f t="shared" si="189"/>
        <v>0</v>
      </c>
      <c r="L316" s="16">
        <f>'БА в тыс. руб.'!H316*1000</f>
        <v>147670</v>
      </c>
      <c r="M316" s="169">
        <f t="shared" si="190"/>
        <v>0</v>
      </c>
      <c r="N316" s="16">
        <f>'БА в тыс. руб.'!I316*1000</f>
        <v>147670</v>
      </c>
      <c r="O316" s="169">
        <f t="shared" si="191"/>
        <v>0</v>
      </c>
      <c r="S316" s="182"/>
      <c r="T316" s="182"/>
      <c r="U316" s="182"/>
    </row>
    <row r="317" spans="1:21" s="100" customFormat="1" ht="12.75">
      <c r="A317" s="12" t="s">
        <v>1036</v>
      </c>
      <c r="B317" s="25" t="s">
        <v>29</v>
      </c>
      <c r="C317" s="26" t="s">
        <v>65</v>
      </c>
      <c r="D317" s="26" t="s">
        <v>84</v>
      </c>
      <c r="E317" s="26" t="s">
        <v>294</v>
      </c>
      <c r="F317" s="26" t="s">
        <v>1061</v>
      </c>
      <c r="G317" s="27">
        <f t="shared" ref="G317:G318" si="224">J317</f>
        <v>86550</v>
      </c>
      <c r="H317" s="27">
        <f t="shared" ref="H317:H318" si="225">L317</f>
        <v>86550</v>
      </c>
      <c r="I317" s="27">
        <f t="shared" ref="I317:I318" si="226">N317</f>
        <v>86550</v>
      </c>
      <c r="J317" s="16">
        <f>'БА в тыс. руб.'!G317*1000</f>
        <v>86550</v>
      </c>
      <c r="K317" s="169">
        <f t="shared" si="189"/>
        <v>0</v>
      </c>
      <c r="L317" s="16">
        <f>'БА в тыс. руб.'!H317*1000</f>
        <v>86550</v>
      </c>
      <c r="M317" s="169">
        <f t="shared" si="190"/>
        <v>0</v>
      </c>
      <c r="N317" s="16">
        <f>'БА в тыс. руб.'!I317*1000</f>
        <v>86550</v>
      </c>
      <c r="O317" s="169">
        <f t="shared" si="191"/>
        <v>0</v>
      </c>
      <c r="S317" s="184"/>
      <c r="T317" s="184"/>
      <c r="U317" s="184"/>
    </row>
    <row r="318" spans="1:21" s="100" customFormat="1" ht="12.75">
      <c r="A318" s="12" t="s">
        <v>1037</v>
      </c>
      <c r="B318" s="25" t="s">
        <v>29</v>
      </c>
      <c r="C318" s="26" t="s">
        <v>65</v>
      </c>
      <c r="D318" s="26" t="s">
        <v>84</v>
      </c>
      <c r="E318" s="26" t="s">
        <v>294</v>
      </c>
      <c r="F318" s="26" t="s">
        <v>1062</v>
      </c>
      <c r="G318" s="27">
        <f t="shared" si="224"/>
        <v>61120</v>
      </c>
      <c r="H318" s="27">
        <f t="shared" si="225"/>
        <v>61120</v>
      </c>
      <c r="I318" s="27">
        <f t="shared" si="226"/>
        <v>61120</v>
      </c>
      <c r="J318" s="16">
        <f>'БА в тыс. руб.'!G318*1000</f>
        <v>61120</v>
      </c>
      <c r="K318" s="169">
        <f t="shared" si="189"/>
        <v>0</v>
      </c>
      <c r="L318" s="16">
        <f>'БА в тыс. руб.'!H318*1000</f>
        <v>61120</v>
      </c>
      <c r="M318" s="169">
        <f t="shared" si="190"/>
        <v>0</v>
      </c>
      <c r="N318" s="16">
        <f>'БА в тыс. руб.'!I318*1000</f>
        <v>61120</v>
      </c>
      <c r="O318" s="169">
        <f t="shared" si="191"/>
        <v>0</v>
      </c>
      <c r="S318" s="184"/>
      <c r="T318" s="184"/>
      <c r="U318" s="184"/>
    </row>
    <row r="319" spans="1:21" s="109" customFormat="1" ht="25.5">
      <c r="A319" s="11" t="s">
        <v>126</v>
      </c>
      <c r="B319" s="25" t="s">
        <v>29</v>
      </c>
      <c r="C319" s="26" t="s">
        <v>65</v>
      </c>
      <c r="D319" s="26" t="s">
        <v>84</v>
      </c>
      <c r="E319" s="26" t="s">
        <v>295</v>
      </c>
      <c r="F319" s="26" t="s">
        <v>58</v>
      </c>
      <c r="G319" s="27">
        <f>SUM(G320:G320)</f>
        <v>50823570</v>
      </c>
      <c r="H319" s="27">
        <f>SUM(H320:H320)</f>
        <v>50823570</v>
      </c>
      <c r="I319" s="27">
        <f>SUM(I320:I320)</f>
        <v>50823570</v>
      </c>
      <c r="J319" s="16">
        <f>'БА в тыс. руб.'!G319*1000</f>
        <v>50823570</v>
      </c>
      <c r="K319" s="169">
        <f t="shared" si="189"/>
        <v>0</v>
      </c>
      <c r="L319" s="16">
        <f>'БА в тыс. руб.'!H319*1000</f>
        <v>50823570</v>
      </c>
      <c r="M319" s="169">
        <f t="shared" si="190"/>
        <v>0</v>
      </c>
      <c r="N319" s="16">
        <f>'БА в тыс. руб.'!I319*1000</f>
        <v>50823570</v>
      </c>
      <c r="O319" s="169">
        <f t="shared" si="191"/>
        <v>0</v>
      </c>
      <c r="S319" s="182"/>
      <c r="T319" s="182"/>
      <c r="U319" s="182"/>
    </row>
    <row r="320" spans="1:21" s="109" customFormat="1" ht="25.5">
      <c r="A320" s="11" t="s">
        <v>107</v>
      </c>
      <c r="B320" s="25" t="s">
        <v>29</v>
      </c>
      <c r="C320" s="26" t="s">
        <v>65</v>
      </c>
      <c r="D320" s="26" t="s">
        <v>84</v>
      </c>
      <c r="E320" s="26" t="s">
        <v>295</v>
      </c>
      <c r="F320" s="26" t="s">
        <v>115</v>
      </c>
      <c r="G320" s="27">
        <f>SUM(G321:G322)</f>
        <v>50823570</v>
      </c>
      <c r="H320" s="27">
        <f t="shared" ref="H320:I320" si="227">SUM(H321:H322)</f>
        <v>50823570</v>
      </c>
      <c r="I320" s="27">
        <f t="shared" si="227"/>
        <v>50823570</v>
      </c>
      <c r="J320" s="16">
        <f>'БА в тыс. руб.'!G320*1000</f>
        <v>50823570</v>
      </c>
      <c r="K320" s="169">
        <f t="shared" si="189"/>
        <v>0</v>
      </c>
      <c r="L320" s="16">
        <f>'БА в тыс. руб.'!H320*1000</f>
        <v>50823570</v>
      </c>
      <c r="M320" s="169">
        <f t="shared" si="190"/>
        <v>0</v>
      </c>
      <c r="N320" s="16">
        <f>'БА в тыс. руб.'!I320*1000</f>
        <v>50823570</v>
      </c>
      <c r="O320" s="169">
        <f t="shared" si="191"/>
        <v>0</v>
      </c>
      <c r="S320" s="182"/>
      <c r="T320" s="182"/>
      <c r="U320" s="182"/>
    </row>
    <row r="321" spans="1:21" s="109" customFormat="1" ht="12.75">
      <c r="A321" s="11" t="s">
        <v>936</v>
      </c>
      <c r="B321" s="25" t="s">
        <v>29</v>
      </c>
      <c r="C321" s="26" t="s">
        <v>65</v>
      </c>
      <c r="D321" s="26" t="s">
        <v>84</v>
      </c>
      <c r="E321" s="26" t="s">
        <v>295</v>
      </c>
      <c r="F321" s="26" t="s">
        <v>1063</v>
      </c>
      <c r="G321" s="27">
        <f t="shared" ref="G321:G322" si="228">J321</f>
        <v>39035000</v>
      </c>
      <c r="H321" s="27">
        <f t="shared" ref="H321:H322" si="229">L321</f>
        <v>39035000</v>
      </c>
      <c r="I321" s="27">
        <f t="shared" ref="I321:I322" si="230">N321</f>
        <v>39035000</v>
      </c>
      <c r="J321" s="16">
        <f>'БА в тыс. руб.'!G321*1000</f>
        <v>39035000</v>
      </c>
      <c r="K321" s="169">
        <f t="shared" si="189"/>
        <v>0</v>
      </c>
      <c r="L321" s="16">
        <f>'БА в тыс. руб.'!H321*1000</f>
        <v>39035000</v>
      </c>
      <c r="M321" s="169">
        <f t="shared" si="190"/>
        <v>0</v>
      </c>
      <c r="N321" s="16">
        <f>'БА в тыс. руб.'!I321*1000</f>
        <v>39035000</v>
      </c>
      <c r="O321" s="169">
        <f t="shared" si="191"/>
        <v>0</v>
      </c>
      <c r="S321" s="182"/>
      <c r="T321" s="182"/>
      <c r="U321" s="182"/>
    </row>
    <row r="322" spans="1:21" s="109" customFormat="1" ht="38.25">
      <c r="A322" s="11" t="s">
        <v>939</v>
      </c>
      <c r="B322" s="25" t="s">
        <v>29</v>
      </c>
      <c r="C322" s="26" t="s">
        <v>65</v>
      </c>
      <c r="D322" s="26" t="s">
        <v>84</v>
      </c>
      <c r="E322" s="26" t="s">
        <v>295</v>
      </c>
      <c r="F322" s="26" t="s">
        <v>1060</v>
      </c>
      <c r="G322" s="27">
        <f t="shared" si="228"/>
        <v>11788570</v>
      </c>
      <c r="H322" s="27">
        <f t="shared" si="229"/>
        <v>11788570</v>
      </c>
      <c r="I322" s="27">
        <f t="shared" si="230"/>
        <v>11788570</v>
      </c>
      <c r="J322" s="16">
        <f>'БА в тыс. руб.'!G322*1000</f>
        <v>11788570</v>
      </c>
      <c r="K322" s="169">
        <f t="shared" si="189"/>
        <v>0</v>
      </c>
      <c r="L322" s="16">
        <f>'БА в тыс. руб.'!H322*1000</f>
        <v>11788570</v>
      </c>
      <c r="M322" s="169">
        <f t="shared" si="190"/>
        <v>0</v>
      </c>
      <c r="N322" s="16">
        <f>'БА в тыс. руб.'!I322*1000</f>
        <v>11788570</v>
      </c>
      <c r="O322" s="169">
        <f t="shared" si="191"/>
        <v>0</v>
      </c>
      <c r="S322" s="182"/>
      <c r="T322" s="182"/>
      <c r="U322" s="182"/>
    </row>
    <row r="323" spans="1:21" s="109" customFormat="1" ht="12.75">
      <c r="A323" s="17" t="s">
        <v>35</v>
      </c>
      <c r="B323" s="18" t="s">
        <v>29</v>
      </c>
      <c r="C323" s="19" t="s">
        <v>37</v>
      </c>
      <c r="D323" s="19" t="s">
        <v>51</v>
      </c>
      <c r="E323" s="19" t="s">
        <v>196</v>
      </c>
      <c r="F323" s="19" t="s">
        <v>58</v>
      </c>
      <c r="G323" s="20">
        <f>G324</f>
        <v>11625283.5</v>
      </c>
      <c r="H323" s="20">
        <f>H324</f>
        <v>792000</v>
      </c>
      <c r="I323" s="20">
        <f>I324</f>
        <v>792000</v>
      </c>
      <c r="J323" s="16">
        <f>'БА в тыс. руб.'!G323*1000</f>
        <v>11625280</v>
      </c>
      <c r="K323" s="169">
        <f t="shared" si="189"/>
        <v>-3.5</v>
      </c>
      <c r="L323" s="16">
        <f>'БА в тыс. руб.'!H323*1000</f>
        <v>792000</v>
      </c>
      <c r="M323" s="169">
        <f t="shared" si="190"/>
        <v>0</v>
      </c>
      <c r="N323" s="16">
        <f>'БА в тыс. руб.'!I323*1000</f>
        <v>792000</v>
      </c>
      <c r="O323" s="169">
        <f t="shared" si="191"/>
        <v>0</v>
      </c>
      <c r="S323" s="182"/>
      <c r="T323" s="182"/>
      <c r="U323" s="182"/>
    </row>
    <row r="324" spans="1:21" s="109" customFormat="1" ht="12.75">
      <c r="A324" s="21" t="s">
        <v>73</v>
      </c>
      <c r="B324" s="22" t="s">
        <v>29</v>
      </c>
      <c r="C324" s="23" t="s">
        <v>37</v>
      </c>
      <c r="D324" s="23" t="s">
        <v>40</v>
      </c>
      <c r="E324" s="111" t="s">
        <v>196</v>
      </c>
      <c r="F324" s="111" t="s">
        <v>58</v>
      </c>
      <c r="G324" s="24">
        <f>G325+G331+G337</f>
        <v>11625283.5</v>
      </c>
      <c r="H324" s="24">
        <f t="shared" ref="H324:I324" si="231">H325+H331+H337</f>
        <v>792000</v>
      </c>
      <c r="I324" s="24">
        <f t="shared" si="231"/>
        <v>792000</v>
      </c>
      <c r="J324" s="16">
        <f>'БА в тыс. руб.'!G324*1000</f>
        <v>11625280</v>
      </c>
      <c r="K324" s="169">
        <f t="shared" si="189"/>
        <v>-3.5</v>
      </c>
      <c r="L324" s="16">
        <f>'БА в тыс. руб.'!H324*1000</f>
        <v>792000</v>
      </c>
      <c r="M324" s="169">
        <f t="shared" si="190"/>
        <v>0</v>
      </c>
      <c r="N324" s="16">
        <f>'БА в тыс. руб.'!I324*1000</f>
        <v>792000</v>
      </c>
      <c r="O324" s="169">
        <f t="shared" si="191"/>
        <v>0</v>
      </c>
      <c r="S324" s="182"/>
      <c r="T324" s="182"/>
      <c r="U324" s="182"/>
    </row>
    <row r="325" spans="1:21" s="109" customFormat="1" ht="38.25">
      <c r="A325" s="31" t="s">
        <v>725</v>
      </c>
      <c r="B325" s="25" t="s">
        <v>29</v>
      </c>
      <c r="C325" s="26" t="s">
        <v>37</v>
      </c>
      <c r="D325" s="26" t="s">
        <v>40</v>
      </c>
      <c r="E325" s="26" t="s">
        <v>296</v>
      </c>
      <c r="F325" s="26" t="s">
        <v>58</v>
      </c>
      <c r="G325" s="27">
        <f t="shared" ref="G325:I327" si="232">G326</f>
        <v>200000</v>
      </c>
      <c r="H325" s="27">
        <f t="shared" si="232"/>
        <v>180000</v>
      </c>
      <c r="I325" s="27">
        <f t="shared" si="232"/>
        <v>180000</v>
      </c>
      <c r="J325" s="16">
        <f>'БА в тыс. руб.'!G325*1000</f>
        <v>200000</v>
      </c>
      <c r="K325" s="169">
        <f t="shared" si="189"/>
        <v>0</v>
      </c>
      <c r="L325" s="16">
        <f>'БА в тыс. руб.'!H325*1000</f>
        <v>180000</v>
      </c>
      <c r="M325" s="169">
        <f t="shared" si="190"/>
        <v>0</v>
      </c>
      <c r="N325" s="16">
        <f>'БА в тыс. руб.'!I325*1000</f>
        <v>180000</v>
      </c>
      <c r="O325" s="169">
        <f t="shared" si="191"/>
        <v>0</v>
      </c>
      <c r="S325" s="182"/>
      <c r="T325" s="182"/>
      <c r="U325" s="182"/>
    </row>
    <row r="326" spans="1:21" s="109" customFormat="1" ht="51">
      <c r="A326" s="11" t="s">
        <v>726</v>
      </c>
      <c r="B326" s="25" t="s">
        <v>29</v>
      </c>
      <c r="C326" s="26" t="s">
        <v>37</v>
      </c>
      <c r="D326" s="26" t="s">
        <v>40</v>
      </c>
      <c r="E326" s="26" t="s">
        <v>297</v>
      </c>
      <c r="F326" s="26" t="s">
        <v>58</v>
      </c>
      <c r="G326" s="27">
        <f t="shared" si="232"/>
        <v>200000</v>
      </c>
      <c r="H326" s="27">
        <f t="shared" si="232"/>
        <v>180000</v>
      </c>
      <c r="I326" s="27">
        <f t="shared" si="232"/>
        <v>180000</v>
      </c>
      <c r="J326" s="16">
        <f>'БА в тыс. руб.'!G326*1000</f>
        <v>200000</v>
      </c>
      <c r="K326" s="169">
        <f t="shared" si="189"/>
        <v>0</v>
      </c>
      <c r="L326" s="16">
        <f>'БА в тыс. руб.'!H326*1000</f>
        <v>180000</v>
      </c>
      <c r="M326" s="169">
        <f t="shared" si="190"/>
        <v>0</v>
      </c>
      <c r="N326" s="16">
        <f>'БА в тыс. руб.'!I326*1000</f>
        <v>180000</v>
      </c>
      <c r="O326" s="169">
        <f t="shared" si="191"/>
        <v>0</v>
      </c>
      <c r="S326" s="182"/>
      <c r="T326" s="182"/>
      <c r="U326" s="182"/>
    </row>
    <row r="327" spans="1:21" s="109" customFormat="1" ht="51">
      <c r="A327" s="11" t="s">
        <v>606</v>
      </c>
      <c r="B327" s="25" t="s">
        <v>29</v>
      </c>
      <c r="C327" s="26" t="s">
        <v>37</v>
      </c>
      <c r="D327" s="26" t="s">
        <v>40</v>
      </c>
      <c r="E327" s="26" t="s">
        <v>298</v>
      </c>
      <c r="F327" s="26" t="s">
        <v>58</v>
      </c>
      <c r="G327" s="27">
        <f t="shared" si="232"/>
        <v>200000</v>
      </c>
      <c r="H327" s="27">
        <f t="shared" si="232"/>
        <v>180000</v>
      </c>
      <c r="I327" s="27">
        <f t="shared" si="232"/>
        <v>180000</v>
      </c>
      <c r="J327" s="16">
        <f>'БА в тыс. руб.'!G327*1000</f>
        <v>200000</v>
      </c>
      <c r="K327" s="169">
        <f t="shared" si="189"/>
        <v>0</v>
      </c>
      <c r="L327" s="16">
        <f>'БА в тыс. руб.'!H327*1000</f>
        <v>180000</v>
      </c>
      <c r="M327" s="169">
        <f t="shared" si="190"/>
        <v>0</v>
      </c>
      <c r="N327" s="16">
        <f>'БА в тыс. руб.'!I327*1000</f>
        <v>180000</v>
      </c>
      <c r="O327" s="169">
        <f t="shared" si="191"/>
        <v>0</v>
      </c>
      <c r="S327" s="182"/>
      <c r="T327" s="182"/>
      <c r="U327" s="182"/>
    </row>
    <row r="328" spans="1:21" s="109" customFormat="1" ht="51">
      <c r="A328" s="11" t="s">
        <v>156</v>
      </c>
      <c r="B328" s="25" t="s">
        <v>29</v>
      </c>
      <c r="C328" s="26" t="s">
        <v>37</v>
      </c>
      <c r="D328" s="26" t="s">
        <v>40</v>
      </c>
      <c r="E328" s="26" t="s">
        <v>299</v>
      </c>
      <c r="F328" s="26" t="s">
        <v>58</v>
      </c>
      <c r="G328" s="27">
        <f>G329</f>
        <v>200000</v>
      </c>
      <c r="H328" s="27">
        <f>H329</f>
        <v>180000</v>
      </c>
      <c r="I328" s="27">
        <f>I329</f>
        <v>180000</v>
      </c>
      <c r="J328" s="16">
        <f>'БА в тыс. руб.'!G328*1000</f>
        <v>200000</v>
      </c>
      <c r="K328" s="169">
        <f t="shared" ref="K328:K391" si="233">J328-G328</f>
        <v>0</v>
      </c>
      <c r="L328" s="16">
        <f>'БА в тыс. руб.'!H328*1000</f>
        <v>180000</v>
      </c>
      <c r="M328" s="169">
        <f t="shared" ref="M328:M391" si="234">L328-H328</f>
        <v>0</v>
      </c>
      <c r="N328" s="16">
        <f>'БА в тыс. руб.'!I328*1000</f>
        <v>180000</v>
      </c>
      <c r="O328" s="169">
        <f t="shared" ref="O328:O391" si="235">N328-I328</f>
        <v>0</v>
      </c>
      <c r="S328" s="182"/>
      <c r="T328" s="182"/>
      <c r="U328" s="182"/>
    </row>
    <row r="329" spans="1:21" s="109" customFormat="1" ht="25.5">
      <c r="A329" s="11" t="s">
        <v>108</v>
      </c>
      <c r="B329" s="25" t="s">
        <v>29</v>
      </c>
      <c r="C329" s="26" t="s">
        <v>37</v>
      </c>
      <c r="D329" s="26" t="s">
        <v>40</v>
      </c>
      <c r="E329" s="26" t="s">
        <v>299</v>
      </c>
      <c r="F329" s="26" t="s">
        <v>116</v>
      </c>
      <c r="G329" s="27">
        <f>G330</f>
        <v>200000</v>
      </c>
      <c r="H329" s="27">
        <f t="shared" ref="H329:I329" si="236">H330</f>
        <v>180000</v>
      </c>
      <c r="I329" s="27">
        <f t="shared" si="236"/>
        <v>180000</v>
      </c>
      <c r="J329" s="16">
        <f>'БА в тыс. руб.'!G329*1000</f>
        <v>200000</v>
      </c>
      <c r="K329" s="169">
        <f t="shared" si="233"/>
        <v>0</v>
      </c>
      <c r="L329" s="16">
        <f>'БА в тыс. руб.'!H329*1000</f>
        <v>180000</v>
      </c>
      <c r="M329" s="169">
        <f t="shared" si="234"/>
        <v>0</v>
      </c>
      <c r="N329" s="16">
        <f>'БА в тыс. руб.'!I329*1000</f>
        <v>180000</v>
      </c>
      <c r="O329" s="169">
        <f t="shared" si="235"/>
        <v>0</v>
      </c>
      <c r="S329" s="182"/>
      <c r="T329" s="182"/>
      <c r="U329" s="182"/>
    </row>
    <row r="330" spans="1:21" s="110" customFormat="1" ht="25.5">
      <c r="A330" s="12" t="s">
        <v>973</v>
      </c>
      <c r="B330" s="25" t="s">
        <v>29</v>
      </c>
      <c r="C330" s="26" t="s">
        <v>37</v>
      </c>
      <c r="D330" s="26" t="s">
        <v>40</v>
      </c>
      <c r="E330" s="26" t="s">
        <v>299</v>
      </c>
      <c r="F330" s="26" t="s">
        <v>1043</v>
      </c>
      <c r="G330" s="27">
        <f t="shared" ref="G330" si="237">J330</f>
        <v>200000</v>
      </c>
      <c r="H330" s="27">
        <f>L330</f>
        <v>180000</v>
      </c>
      <c r="I330" s="27">
        <f>N330</f>
        <v>180000</v>
      </c>
      <c r="J330" s="16">
        <f>'БА в тыс. руб.'!G330*1000</f>
        <v>200000</v>
      </c>
      <c r="K330" s="169">
        <f t="shared" si="233"/>
        <v>0</v>
      </c>
      <c r="L330" s="16">
        <f>'БА в тыс. руб.'!H330*1000</f>
        <v>180000</v>
      </c>
      <c r="M330" s="169">
        <f t="shared" si="234"/>
        <v>0</v>
      </c>
      <c r="N330" s="16">
        <f>'БА в тыс. руб.'!I330*1000</f>
        <v>180000</v>
      </c>
      <c r="O330" s="169">
        <f t="shared" si="235"/>
        <v>0</v>
      </c>
      <c r="S330" s="183"/>
      <c r="T330" s="183"/>
      <c r="U330" s="183"/>
    </row>
    <row r="331" spans="1:21" s="109" customFormat="1" ht="38.25">
      <c r="A331" s="12" t="s">
        <v>722</v>
      </c>
      <c r="B331" s="25" t="s">
        <v>29</v>
      </c>
      <c r="C331" s="26" t="s">
        <v>37</v>
      </c>
      <c r="D331" s="26" t="s">
        <v>40</v>
      </c>
      <c r="E331" s="26" t="s">
        <v>300</v>
      </c>
      <c r="F331" s="26" t="s">
        <v>58</v>
      </c>
      <c r="G331" s="27">
        <f t="shared" ref="G331:I335" si="238">G332</f>
        <v>10745283.5</v>
      </c>
      <c r="H331" s="27">
        <f t="shared" si="238"/>
        <v>0</v>
      </c>
      <c r="I331" s="27">
        <f t="shared" si="238"/>
        <v>0</v>
      </c>
      <c r="J331" s="16">
        <f>'БА в тыс. руб.'!G331*1000</f>
        <v>10745280</v>
      </c>
      <c r="K331" s="169">
        <f t="shared" si="233"/>
        <v>-3.5</v>
      </c>
      <c r="L331" s="16">
        <f>'БА в тыс. руб.'!H331*1000</f>
        <v>0</v>
      </c>
      <c r="M331" s="169">
        <f t="shared" si="234"/>
        <v>0</v>
      </c>
      <c r="N331" s="16">
        <f>'БА в тыс. руб.'!I331*1000</f>
        <v>0</v>
      </c>
      <c r="O331" s="169">
        <f t="shared" si="235"/>
        <v>0</v>
      </c>
      <c r="S331" s="182"/>
      <c r="T331" s="182"/>
      <c r="U331" s="182"/>
    </row>
    <row r="332" spans="1:21" s="109" customFormat="1" ht="38.25">
      <c r="A332" s="40" t="s">
        <v>729</v>
      </c>
      <c r="B332" s="25" t="s">
        <v>29</v>
      </c>
      <c r="C332" s="26" t="s">
        <v>37</v>
      </c>
      <c r="D332" s="26" t="s">
        <v>40</v>
      </c>
      <c r="E332" s="26" t="s">
        <v>301</v>
      </c>
      <c r="F332" s="26" t="s">
        <v>58</v>
      </c>
      <c r="G332" s="27">
        <f t="shared" si="238"/>
        <v>10745283.5</v>
      </c>
      <c r="H332" s="27">
        <f t="shared" si="238"/>
        <v>0</v>
      </c>
      <c r="I332" s="27">
        <f t="shared" si="238"/>
        <v>0</v>
      </c>
      <c r="J332" s="16">
        <f>'БА в тыс. руб.'!G332*1000</f>
        <v>10745280</v>
      </c>
      <c r="K332" s="169">
        <f t="shared" si="233"/>
        <v>-3.5</v>
      </c>
      <c r="L332" s="16">
        <f>'БА в тыс. руб.'!H332*1000</f>
        <v>0</v>
      </c>
      <c r="M332" s="169">
        <f t="shared" si="234"/>
        <v>0</v>
      </c>
      <c r="N332" s="16">
        <f>'БА в тыс. руб.'!I332*1000</f>
        <v>0</v>
      </c>
      <c r="O332" s="169">
        <f t="shared" si="235"/>
        <v>0</v>
      </c>
      <c r="S332" s="182"/>
      <c r="T332" s="182"/>
      <c r="U332" s="182"/>
    </row>
    <row r="333" spans="1:21" s="109" customFormat="1" ht="38.25">
      <c r="A333" s="11" t="s">
        <v>644</v>
      </c>
      <c r="B333" s="25" t="s">
        <v>29</v>
      </c>
      <c r="C333" s="26" t="s">
        <v>37</v>
      </c>
      <c r="D333" s="26" t="s">
        <v>40</v>
      </c>
      <c r="E333" s="26" t="s">
        <v>302</v>
      </c>
      <c r="F333" s="26" t="s">
        <v>58</v>
      </c>
      <c r="G333" s="27">
        <f t="shared" si="238"/>
        <v>10745283.5</v>
      </c>
      <c r="H333" s="27">
        <f t="shared" si="238"/>
        <v>0</v>
      </c>
      <c r="I333" s="27">
        <f t="shared" si="238"/>
        <v>0</v>
      </c>
      <c r="J333" s="16">
        <f>'БА в тыс. руб.'!G333*1000</f>
        <v>10745280</v>
      </c>
      <c r="K333" s="169">
        <f t="shared" si="233"/>
        <v>-3.5</v>
      </c>
      <c r="L333" s="16">
        <f>'БА в тыс. руб.'!H333*1000</f>
        <v>0</v>
      </c>
      <c r="M333" s="169">
        <f t="shared" si="234"/>
        <v>0</v>
      </c>
      <c r="N333" s="16">
        <f>'БА в тыс. руб.'!I333*1000</f>
        <v>0</v>
      </c>
      <c r="O333" s="169">
        <f t="shared" si="235"/>
        <v>0</v>
      </c>
      <c r="S333" s="182"/>
      <c r="T333" s="182"/>
      <c r="U333" s="182"/>
    </row>
    <row r="334" spans="1:21" s="109" customFormat="1" ht="25.5">
      <c r="A334" s="11" t="s">
        <v>303</v>
      </c>
      <c r="B334" s="25" t="s">
        <v>29</v>
      </c>
      <c r="C334" s="26" t="s">
        <v>37</v>
      </c>
      <c r="D334" s="26" t="s">
        <v>40</v>
      </c>
      <c r="E334" s="26" t="s">
        <v>304</v>
      </c>
      <c r="F334" s="26" t="s">
        <v>58</v>
      </c>
      <c r="G334" s="27">
        <f t="shared" si="238"/>
        <v>10745283.5</v>
      </c>
      <c r="H334" s="27">
        <f t="shared" si="238"/>
        <v>0</v>
      </c>
      <c r="I334" s="27">
        <f t="shared" si="238"/>
        <v>0</v>
      </c>
      <c r="J334" s="16">
        <f>'БА в тыс. руб.'!G334*1000</f>
        <v>10745280</v>
      </c>
      <c r="K334" s="169">
        <f t="shared" si="233"/>
        <v>-3.5</v>
      </c>
      <c r="L334" s="16">
        <f>'БА в тыс. руб.'!H334*1000</f>
        <v>0</v>
      </c>
      <c r="M334" s="169">
        <f t="shared" si="234"/>
        <v>0</v>
      </c>
      <c r="N334" s="16">
        <f>'БА в тыс. руб.'!I334*1000</f>
        <v>0</v>
      </c>
      <c r="O334" s="169">
        <f t="shared" si="235"/>
        <v>0</v>
      </c>
      <c r="S334" s="182"/>
      <c r="T334" s="182"/>
      <c r="U334" s="182"/>
    </row>
    <row r="335" spans="1:21" s="109" customFormat="1" ht="25.5">
      <c r="A335" s="11" t="s">
        <v>108</v>
      </c>
      <c r="B335" s="25" t="s">
        <v>29</v>
      </c>
      <c r="C335" s="26" t="s">
        <v>37</v>
      </c>
      <c r="D335" s="26" t="s">
        <v>40</v>
      </c>
      <c r="E335" s="26" t="s">
        <v>304</v>
      </c>
      <c r="F335" s="26" t="s">
        <v>116</v>
      </c>
      <c r="G335" s="27">
        <f>G336</f>
        <v>10745283.5</v>
      </c>
      <c r="H335" s="27">
        <f t="shared" si="238"/>
        <v>0</v>
      </c>
      <c r="I335" s="27">
        <f t="shared" si="238"/>
        <v>0</v>
      </c>
      <c r="J335" s="16">
        <f>'БА в тыс. руб.'!G335*1000</f>
        <v>10745280</v>
      </c>
      <c r="K335" s="169">
        <f t="shared" si="233"/>
        <v>-3.5</v>
      </c>
      <c r="L335" s="16">
        <f>'БА в тыс. руб.'!H335*1000</f>
        <v>0</v>
      </c>
      <c r="M335" s="169">
        <f t="shared" si="234"/>
        <v>0</v>
      </c>
      <c r="N335" s="16">
        <f>'БА в тыс. руб.'!I335*1000</f>
        <v>0</v>
      </c>
      <c r="O335" s="169">
        <f t="shared" si="235"/>
        <v>0</v>
      </c>
      <c r="S335" s="182"/>
      <c r="T335" s="182"/>
      <c r="U335" s="182"/>
    </row>
    <row r="336" spans="1:21" s="110" customFormat="1" ht="25.5">
      <c r="A336" s="12" t="s">
        <v>973</v>
      </c>
      <c r="B336" s="25" t="s">
        <v>29</v>
      </c>
      <c r="C336" s="26" t="s">
        <v>37</v>
      </c>
      <c r="D336" s="26" t="s">
        <v>40</v>
      </c>
      <c r="E336" s="26" t="s">
        <v>304</v>
      </c>
      <c r="F336" s="26" t="s">
        <v>1043</v>
      </c>
      <c r="G336" s="27">
        <f>J336+3.5</f>
        <v>10745283.5</v>
      </c>
      <c r="H336" s="27">
        <f>L336</f>
        <v>0</v>
      </c>
      <c r="I336" s="27">
        <f>N336</f>
        <v>0</v>
      </c>
      <c r="J336" s="16">
        <f>'БА в тыс. руб.'!G336*1000</f>
        <v>10745280</v>
      </c>
      <c r="K336" s="169">
        <f t="shared" si="233"/>
        <v>-3.5</v>
      </c>
      <c r="L336" s="16">
        <f>'БА в тыс. руб.'!H336*1000</f>
        <v>0</v>
      </c>
      <c r="M336" s="169">
        <f t="shared" si="234"/>
        <v>0</v>
      </c>
      <c r="N336" s="16">
        <f>'БА в тыс. руб.'!I336*1000</f>
        <v>0</v>
      </c>
      <c r="O336" s="169">
        <f t="shared" si="235"/>
        <v>0</v>
      </c>
      <c r="S336" s="183"/>
      <c r="T336" s="183"/>
      <c r="U336" s="183"/>
    </row>
    <row r="337" spans="1:21" s="109" customFormat="1" ht="38.25">
      <c r="A337" s="13" t="s">
        <v>745</v>
      </c>
      <c r="B337" s="25" t="s">
        <v>29</v>
      </c>
      <c r="C337" s="26" t="s">
        <v>37</v>
      </c>
      <c r="D337" s="26" t="s">
        <v>40</v>
      </c>
      <c r="E337" s="26" t="s">
        <v>280</v>
      </c>
      <c r="F337" s="26" t="s">
        <v>58</v>
      </c>
      <c r="G337" s="27">
        <f t="shared" ref="G337:I339" si="239">G338</f>
        <v>680000</v>
      </c>
      <c r="H337" s="27">
        <f t="shared" si="239"/>
        <v>612000</v>
      </c>
      <c r="I337" s="27">
        <f t="shared" si="239"/>
        <v>612000</v>
      </c>
      <c r="J337" s="16">
        <f>'БА в тыс. руб.'!G337*1000</f>
        <v>680000</v>
      </c>
      <c r="K337" s="169">
        <f t="shared" si="233"/>
        <v>0</v>
      </c>
      <c r="L337" s="16">
        <f>'БА в тыс. руб.'!H337*1000</f>
        <v>612000</v>
      </c>
      <c r="M337" s="169">
        <f t="shared" si="234"/>
        <v>0</v>
      </c>
      <c r="N337" s="16">
        <f>'БА в тыс. руб.'!I337*1000</f>
        <v>612000</v>
      </c>
      <c r="O337" s="169">
        <f t="shared" si="235"/>
        <v>0</v>
      </c>
      <c r="S337" s="182"/>
      <c r="T337" s="182"/>
      <c r="U337" s="182"/>
    </row>
    <row r="338" spans="1:21" s="109" customFormat="1" ht="51">
      <c r="A338" s="13" t="s">
        <v>746</v>
      </c>
      <c r="B338" s="25" t="s">
        <v>29</v>
      </c>
      <c r="C338" s="26" t="s">
        <v>37</v>
      </c>
      <c r="D338" s="26" t="s">
        <v>40</v>
      </c>
      <c r="E338" s="26" t="s">
        <v>281</v>
      </c>
      <c r="F338" s="26" t="s">
        <v>58</v>
      </c>
      <c r="G338" s="27">
        <f t="shared" si="239"/>
        <v>680000</v>
      </c>
      <c r="H338" s="27">
        <f t="shared" si="239"/>
        <v>612000</v>
      </c>
      <c r="I338" s="27">
        <f t="shared" si="239"/>
        <v>612000</v>
      </c>
      <c r="J338" s="16">
        <f>'БА в тыс. руб.'!G338*1000</f>
        <v>680000</v>
      </c>
      <c r="K338" s="169">
        <f t="shared" si="233"/>
        <v>0</v>
      </c>
      <c r="L338" s="16">
        <f>'БА в тыс. руб.'!H338*1000</f>
        <v>612000</v>
      </c>
      <c r="M338" s="169">
        <f t="shared" si="234"/>
        <v>0</v>
      </c>
      <c r="N338" s="16">
        <f>'БА в тыс. руб.'!I338*1000</f>
        <v>612000</v>
      </c>
      <c r="O338" s="169">
        <f t="shared" si="235"/>
        <v>0</v>
      </c>
      <c r="S338" s="182"/>
      <c r="T338" s="182"/>
      <c r="U338" s="182"/>
    </row>
    <row r="339" spans="1:21" s="109" customFormat="1" ht="25.5">
      <c r="A339" s="11" t="s">
        <v>286</v>
      </c>
      <c r="B339" s="25" t="s">
        <v>29</v>
      </c>
      <c r="C339" s="26" t="s">
        <v>37</v>
      </c>
      <c r="D339" s="26" t="s">
        <v>40</v>
      </c>
      <c r="E339" s="26" t="s">
        <v>287</v>
      </c>
      <c r="F339" s="26" t="s">
        <v>58</v>
      </c>
      <c r="G339" s="27">
        <f t="shared" si="239"/>
        <v>680000</v>
      </c>
      <c r="H339" s="27">
        <f t="shared" si="239"/>
        <v>612000</v>
      </c>
      <c r="I339" s="27">
        <f t="shared" si="239"/>
        <v>612000</v>
      </c>
      <c r="J339" s="16">
        <f>'БА в тыс. руб.'!G339*1000</f>
        <v>680000</v>
      </c>
      <c r="K339" s="169">
        <f t="shared" si="233"/>
        <v>0</v>
      </c>
      <c r="L339" s="16">
        <f>'БА в тыс. руб.'!H339*1000</f>
        <v>612000</v>
      </c>
      <c r="M339" s="169">
        <f t="shared" si="234"/>
        <v>0</v>
      </c>
      <c r="N339" s="16">
        <f>'БА в тыс. руб.'!I339*1000</f>
        <v>612000</v>
      </c>
      <c r="O339" s="169">
        <f t="shared" si="235"/>
        <v>0</v>
      </c>
      <c r="S339" s="182"/>
      <c r="T339" s="182"/>
      <c r="U339" s="182"/>
    </row>
    <row r="340" spans="1:21" s="109" customFormat="1" ht="38.25">
      <c r="A340" s="11" t="s">
        <v>878</v>
      </c>
      <c r="B340" s="25" t="s">
        <v>29</v>
      </c>
      <c r="C340" s="26" t="s">
        <v>37</v>
      </c>
      <c r="D340" s="26" t="s">
        <v>40</v>
      </c>
      <c r="E340" s="26" t="s">
        <v>288</v>
      </c>
      <c r="F340" s="26" t="s">
        <v>58</v>
      </c>
      <c r="G340" s="27">
        <f>G341</f>
        <v>680000</v>
      </c>
      <c r="H340" s="27">
        <f>H341</f>
        <v>612000</v>
      </c>
      <c r="I340" s="27">
        <f>I341</f>
        <v>612000</v>
      </c>
      <c r="J340" s="16">
        <f>'БА в тыс. руб.'!G340*1000</f>
        <v>680000</v>
      </c>
      <c r="K340" s="169">
        <f t="shared" si="233"/>
        <v>0</v>
      </c>
      <c r="L340" s="16">
        <f>'БА в тыс. руб.'!H340*1000</f>
        <v>612000</v>
      </c>
      <c r="M340" s="169">
        <f t="shared" si="234"/>
        <v>0</v>
      </c>
      <c r="N340" s="16">
        <f>'БА в тыс. руб.'!I340*1000</f>
        <v>612000</v>
      </c>
      <c r="O340" s="169">
        <f t="shared" si="235"/>
        <v>0</v>
      </c>
      <c r="S340" s="182"/>
      <c r="T340" s="182"/>
      <c r="U340" s="182"/>
    </row>
    <row r="341" spans="1:21" s="109" customFormat="1" ht="25.5">
      <c r="A341" s="11" t="s">
        <v>108</v>
      </c>
      <c r="B341" s="25" t="s">
        <v>29</v>
      </c>
      <c r="C341" s="26" t="s">
        <v>37</v>
      </c>
      <c r="D341" s="26" t="s">
        <v>40</v>
      </c>
      <c r="E341" s="26" t="s">
        <v>288</v>
      </c>
      <c r="F341" s="26" t="s">
        <v>116</v>
      </c>
      <c r="G341" s="27">
        <f>G342</f>
        <v>680000</v>
      </c>
      <c r="H341" s="27">
        <f t="shared" ref="H341:I341" si="240">H342</f>
        <v>612000</v>
      </c>
      <c r="I341" s="27">
        <f t="shared" si="240"/>
        <v>612000</v>
      </c>
      <c r="J341" s="16">
        <f>'БА в тыс. руб.'!G341*1000</f>
        <v>680000</v>
      </c>
      <c r="K341" s="169">
        <f t="shared" si="233"/>
        <v>0</v>
      </c>
      <c r="L341" s="16">
        <f>'БА в тыс. руб.'!H341*1000</f>
        <v>612000</v>
      </c>
      <c r="M341" s="169">
        <f t="shared" si="234"/>
        <v>0</v>
      </c>
      <c r="N341" s="16">
        <f>'БА в тыс. руб.'!I341*1000</f>
        <v>612000</v>
      </c>
      <c r="O341" s="169">
        <f t="shared" si="235"/>
        <v>0</v>
      </c>
      <c r="S341" s="182"/>
      <c r="T341" s="182"/>
      <c r="U341" s="182"/>
    </row>
    <row r="342" spans="1:21" s="110" customFormat="1" ht="25.5">
      <c r="A342" s="12" t="s">
        <v>973</v>
      </c>
      <c r="B342" s="25" t="s">
        <v>29</v>
      </c>
      <c r="C342" s="26" t="s">
        <v>37</v>
      </c>
      <c r="D342" s="26" t="s">
        <v>40</v>
      </c>
      <c r="E342" s="26" t="s">
        <v>288</v>
      </c>
      <c r="F342" s="26" t="s">
        <v>1043</v>
      </c>
      <c r="G342" s="27">
        <f t="shared" ref="G342" si="241">J342</f>
        <v>680000</v>
      </c>
      <c r="H342" s="27">
        <f t="shared" ref="H342" si="242">L342</f>
        <v>612000</v>
      </c>
      <c r="I342" s="27">
        <f t="shared" ref="I342" si="243">N342</f>
        <v>612000</v>
      </c>
      <c r="J342" s="16">
        <f>'БА в тыс. руб.'!G342*1000</f>
        <v>680000</v>
      </c>
      <c r="K342" s="169">
        <f t="shared" si="233"/>
        <v>0</v>
      </c>
      <c r="L342" s="16">
        <f>'БА в тыс. руб.'!H342*1000</f>
        <v>612000</v>
      </c>
      <c r="M342" s="169">
        <f t="shared" si="234"/>
        <v>0</v>
      </c>
      <c r="N342" s="16">
        <f>'БА в тыс. руб.'!I342*1000</f>
        <v>612000</v>
      </c>
      <c r="O342" s="169">
        <f t="shared" si="235"/>
        <v>0</v>
      </c>
      <c r="S342" s="183"/>
      <c r="T342" s="183"/>
      <c r="U342" s="183"/>
    </row>
    <row r="343" spans="1:21" s="99" customFormat="1" ht="12.75">
      <c r="A343" s="79"/>
      <c r="B343" s="92"/>
      <c r="C343" s="70"/>
      <c r="D343" s="70"/>
      <c r="E343" s="70"/>
      <c r="F343" s="70"/>
      <c r="G343" s="27"/>
      <c r="H343" s="27"/>
      <c r="I343" s="27"/>
      <c r="J343" s="16">
        <f>'БА в тыс. руб.'!G343*1000</f>
        <v>0</v>
      </c>
      <c r="K343" s="169">
        <f t="shared" si="233"/>
        <v>0</v>
      </c>
      <c r="L343" s="16">
        <f>'БА в тыс. руб.'!H343*1000</f>
        <v>0</v>
      </c>
      <c r="M343" s="169">
        <f t="shared" si="234"/>
        <v>0</v>
      </c>
      <c r="N343" s="16">
        <f>'БА в тыс. руб.'!I343*1000</f>
        <v>0</v>
      </c>
      <c r="O343" s="169">
        <f t="shared" si="235"/>
        <v>0</v>
      </c>
      <c r="S343" s="185"/>
      <c r="T343" s="185"/>
      <c r="U343" s="185"/>
    </row>
    <row r="344" spans="1:21" s="109" customFormat="1" ht="12.75">
      <c r="A344" s="28" t="s">
        <v>74</v>
      </c>
      <c r="B344" s="14" t="s">
        <v>75</v>
      </c>
      <c r="C344" s="15" t="s">
        <v>51</v>
      </c>
      <c r="D344" s="15" t="s">
        <v>51</v>
      </c>
      <c r="E344" s="15" t="s">
        <v>196</v>
      </c>
      <c r="F344" s="15" t="s">
        <v>58</v>
      </c>
      <c r="G344" s="29">
        <f>G345+G382</f>
        <v>251032280</v>
      </c>
      <c r="H344" s="29">
        <f>H345+H382</f>
        <v>280155520</v>
      </c>
      <c r="I344" s="29">
        <f>I345+I382</f>
        <v>328041520</v>
      </c>
      <c r="J344" s="16">
        <f>'БА в тыс. руб.'!G344*1000</f>
        <v>251032280</v>
      </c>
      <c r="K344" s="169">
        <f t="shared" si="233"/>
        <v>0</v>
      </c>
      <c r="L344" s="16">
        <f>'БА в тыс. руб.'!H344*1000</f>
        <v>280155520</v>
      </c>
      <c r="M344" s="169">
        <f t="shared" si="234"/>
        <v>0</v>
      </c>
      <c r="N344" s="16">
        <f>'БА в тыс. руб.'!I344*1000</f>
        <v>328041520</v>
      </c>
      <c r="O344" s="169">
        <f t="shared" si="235"/>
        <v>0</v>
      </c>
      <c r="S344" s="182"/>
      <c r="T344" s="182"/>
      <c r="U344" s="182"/>
    </row>
    <row r="345" spans="1:21" s="109" customFormat="1" ht="12.75">
      <c r="A345" s="17" t="s">
        <v>64</v>
      </c>
      <c r="B345" s="18" t="s">
        <v>75</v>
      </c>
      <c r="C345" s="19" t="s">
        <v>65</v>
      </c>
      <c r="D345" s="19" t="s">
        <v>51</v>
      </c>
      <c r="E345" s="19" t="s">
        <v>196</v>
      </c>
      <c r="F345" s="19" t="s">
        <v>58</v>
      </c>
      <c r="G345" s="20">
        <f>G346+G363+G369</f>
        <v>86322280</v>
      </c>
      <c r="H345" s="20">
        <f>H346+H363+H369</f>
        <v>80113520</v>
      </c>
      <c r="I345" s="20">
        <f>I346+I363+I369</f>
        <v>86313520</v>
      </c>
      <c r="J345" s="16">
        <f>'БА в тыс. руб.'!G345*1000</f>
        <v>86322280</v>
      </c>
      <c r="K345" s="169">
        <f t="shared" si="233"/>
        <v>0</v>
      </c>
      <c r="L345" s="16">
        <f>'БА в тыс. руб.'!H345*1000</f>
        <v>80113519.999999985</v>
      </c>
      <c r="M345" s="169">
        <f t="shared" si="234"/>
        <v>0</v>
      </c>
      <c r="N345" s="16">
        <f>'БА в тыс. руб.'!I345*1000</f>
        <v>86313519.999999985</v>
      </c>
      <c r="O345" s="169">
        <f t="shared" si="235"/>
        <v>0</v>
      </c>
      <c r="S345" s="182"/>
      <c r="T345" s="182"/>
      <c r="U345" s="182"/>
    </row>
    <row r="346" spans="1:21" s="109" customFormat="1" ht="25.5">
      <c r="A346" s="21" t="s">
        <v>32</v>
      </c>
      <c r="B346" s="22" t="s">
        <v>75</v>
      </c>
      <c r="C346" s="23" t="s">
        <v>65</v>
      </c>
      <c r="D346" s="23" t="s">
        <v>2</v>
      </c>
      <c r="E346" s="23" t="s">
        <v>196</v>
      </c>
      <c r="F346" s="23" t="s">
        <v>58</v>
      </c>
      <c r="G346" s="24">
        <f t="shared" ref="G346:I347" si="244">G347</f>
        <v>45084110</v>
      </c>
      <c r="H346" s="24">
        <f t="shared" si="244"/>
        <v>45088770</v>
      </c>
      <c r="I346" s="24">
        <f t="shared" si="244"/>
        <v>45088770</v>
      </c>
      <c r="J346" s="16">
        <f>'БА в тыс. руб.'!G346*1000</f>
        <v>45084110</v>
      </c>
      <c r="K346" s="169">
        <f t="shared" si="233"/>
        <v>0</v>
      </c>
      <c r="L346" s="16">
        <f>'БА в тыс. руб.'!H346*1000</f>
        <v>45088770</v>
      </c>
      <c r="M346" s="169">
        <f t="shared" si="234"/>
        <v>0</v>
      </c>
      <c r="N346" s="16">
        <f>'БА в тыс. руб.'!I346*1000</f>
        <v>45088770</v>
      </c>
      <c r="O346" s="169">
        <f t="shared" si="235"/>
        <v>0</v>
      </c>
      <c r="S346" s="182"/>
      <c r="T346" s="182"/>
      <c r="U346" s="182"/>
    </row>
    <row r="347" spans="1:21" s="109" customFormat="1" ht="25.5">
      <c r="A347" s="112" t="s">
        <v>128</v>
      </c>
      <c r="B347" s="25" t="s">
        <v>75</v>
      </c>
      <c r="C347" s="26" t="s">
        <v>65</v>
      </c>
      <c r="D347" s="26" t="s">
        <v>2</v>
      </c>
      <c r="E347" s="26" t="s">
        <v>305</v>
      </c>
      <c r="F347" s="26" t="s">
        <v>58</v>
      </c>
      <c r="G347" s="27">
        <f t="shared" si="244"/>
        <v>45084110</v>
      </c>
      <c r="H347" s="27">
        <f t="shared" si="244"/>
        <v>45088770</v>
      </c>
      <c r="I347" s="27">
        <f t="shared" si="244"/>
        <v>45088770</v>
      </c>
      <c r="J347" s="16">
        <f>'БА в тыс. руб.'!G347*1000</f>
        <v>45084110</v>
      </c>
      <c r="K347" s="169">
        <f t="shared" si="233"/>
        <v>0</v>
      </c>
      <c r="L347" s="16">
        <f>'БА в тыс. руб.'!H347*1000</f>
        <v>45088770</v>
      </c>
      <c r="M347" s="169">
        <f t="shared" si="234"/>
        <v>0</v>
      </c>
      <c r="N347" s="16">
        <f>'БА в тыс. руб.'!I347*1000</f>
        <v>45088770</v>
      </c>
      <c r="O347" s="169">
        <f t="shared" si="235"/>
        <v>0</v>
      </c>
      <c r="S347" s="182"/>
      <c r="T347" s="182"/>
      <c r="U347" s="182"/>
    </row>
    <row r="348" spans="1:21" s="109" customFormat="1" ht="25.5">
      <c r="A348" s="112" t="s">
        <v>129</v>
      </c>
      <c r="B348" s="25" t="s">
        <v>75</v>
      </c>
      <c r="C348" s="26" t="s">
        <v>65</v>
      </c>
      <c r="D348" s="26" t="s">
        <v>2</v>
      </c>
      <c r="E348" s="26" t="s">
        <v>306</v>
      </c>
      <c r="F348" s="26" t="s">
        <v>58</v>
      </c>
      <c r="G348" s="27">
        <f>G349+G359</f>
        <v>45084110</v>
      </c>
      <c r="H348" s="27">
        <f>H349+H359</f>
        <v>45088770</v>
      </c>
      <c r="I348" s="27">
        <f>I349+I359</f>
        <v>45088770</v>
      </c>
      <c r="J348" s="16">
        <f>'БА в тыс. руб.'!G348*1000</f>
        <v>45084110</v>
      </c>
      <c r="K348" s="169">
        <f t="shared" si="233"/>
        <v>0</v>
      </c>
      <c r="L348" s="16">
        <f>'БА в тыс. руб.'!H348*1000</f>
        <v>45088770</v>
      </c>
      <c r="M348" s="169">
        <f t="shared" si="234"/>
        <v>0</v>
      </c>
      <c r="N348" s="16">
        <f>'БА в тыс. руб.'!I348*1000</f>
        <v>45088770</v>
      </c>
      <c r="O348" s="169">
        <f t="shared" si="235"/>
        <v>0</v>
      </c>
      <c r="S348" s="182"/>
      <c r="T348" s="182"/>
      <c r="U348" s="182"/>
    </row>
    <row r="349" spans="1:21" s="109" customFormat="1" ht="25.5">
      <c r="A349" s="113" t="s">
        <v>114</v>
      </c>
      <c r="B349" s="25" t="s">
        <v>75</v>
      </c>
      <c r="C349" s="26" t="s">
        <v>65</v>
      </c>
      <c r="D349" s="26" t="s">
        <v>2</v>
      </c>
      <c r="E349" s="26" t="s">
        <v>307</v>
      </c>
      <c r="F349" s="26" t="s">
        <v>58</v>
      </c>
      <c r="G349" s="27">
        <f>G350+G353+G355</f>
        <v>4897580</v>
      </c>
      <c r="H349" s="27">
        <f t="shared" ref="H349:I349" si="245">H350+H353+H355</f>
        <v>4902240</v>
      </c>
      <c r="I349" s="27">
        <f t="shared" si="245"/>
        <v>4902240</v>
      </c>
      <c r="J349" s="16">
        <f>'БА в тыс. руб.'!G349*1000</f>
        <v>4897580.0000000009</v>
      </c>
      <c r="K349" s="169">
        <f t="shared" si="233"/>
        <v>0</v>
      </c>
      <c r="L349" s="16">
        <f>'БА в тыс. руб.'!H349*1000</f>
        <v>4902240.0000000009</v>
      </c>
      <c r="M349" s="169">
        <f t="shared" si="234"/>
        <v>0</v>
      </c>
      <c r="N349" s="16">
        <f>'БА в тыс. руб.'!I349*1000</f>
        <v>4902240.0000000009</v>
      </c>
      <c r="O349" s="169">
        <f t="shared" si="235"/>
        <v>0</v>
      </c>
      <c r="S349" s="182"/>
      <c r="T349" s="182"/>
      <c r="U349" s="182"/>
    </row>
    <row r="350" spans="1:21" s="109" customFormat="1" ht="25.5">
      <c r="A350" s="12" t="s">
        <v>107</v>
      </c>
      <c r="B350" s="25" t="s">
        <v>75</v>
      </c>
      <c r="C350" s="26" t="s">
        <v>65</v>
      </c>
      <c r="D350" s="26" t="s">
        <v>2</v>
      </c>
      <c r="E350" s="26" t="s">
        <v>307</v>
      </c>
      <c r="F350" s="26" t="s">
        <v>115</v>
      </c>
      <c r="G350" s="27">
        <f>SUM(G351:G352)</f>
        <v>1307960</v>
      </c>
      <c r="H350" s="27">
        <f t="shared" ref="H350:I350" si="246">SUM(H351:H352)</f>
        <v>1307960</v>
      </c>
      <c r="I350" s="27">
        <f t="shared" si="246"/>
        <v>1307960</v>
      </c>
      <c r="J350" s="16">
        <f>'БА в тыс. руб.'!G350*1000</f>
        <v>1307960</v>
      </c>
      <c r="K350" s="169">
        <f t="shared" si="233"/>
        <v>0</v>
      </c>
      <c r="L350" s="16">
        <f>'БА в тыс. руб.'!H350*1000</f>
        <v>1307960</v>
      </c>
      <c r="M350" s="169">
        <f t="shared" si="234"/>
        <v>0</v>
      </c>
      <c r="N350" s="16">
        <f>'БА в тыс. руб.'!I350*1000</f>
        <v>1307960</v>
      </c>
      <c r="O350" s="169">
        <f t="shared" si="235"/>
        <v>0</v>
      </c>
      <c r="S350" s="182"/>
      <c r="T350" s="182"/>
      <c r="U350" s="182"/>
    </row>
    <row r="351" spans="1:21" s="110" customFormat="1" ht="25.5">
      <c r="A351" s="12" t="s">
        <v>937</v>
      </c>
      <c r="B351" s="25" t="s">
        <v>75</v>
      </c>
      <c r="C351" s="26" t="s">
        <v>65</v>
      </c>
      <c r="D351" s="26" t="s">
        <v>2</v>
      </c>
      <c r="E351" s="26" t="s">
        <v>307</v>
      </c>
      <c r="F351" s="26" t="s">
        <v>1059</v>
      </c>
      <c r="G351" s="27">
        <f t="shared" ref="G351:G352" si="247">J351</f>
        <v>1032329.9999999999</v>
      </c>
      <c r="H351" s="27">
        <f t="shared" ref="H351:H352" si="248">L351</f>
        <v>1032329.9999999999</v>
      </c>
      <c r="I351" s="27">
        <f t="shared" ref="I351:I352" si="249">N351</f>
        <v>1032329.9999999999</v>
      </c>
      <c r="J351" s="16">
        <f>'БА в тыс. руб.'!G351*1000</f>
        <v>1032329.9999999999</v>
      </c>
      <c r="K351" s="169">
        <f t="shared" si="233"/>
        <v>0</v>
      </c>
      <c r="L351" s="16">
        <f>'БА в тыс. руб.'!H351*1000</f>
        <v>1032329.9999999999</v>
      </c>
      <c r="M351" s="169">
        <f t="shared" si="234"/>
        <v>0</v>
      </c>
      <c r="N351" s="16">
        <f>'БА в тыс. руб.'!I351*1000</f>
        <v>1032329.9999999999</v>
      </c>
      <c r="O351" s="169">
        <f t="shared" si="235"/>
        <v>0</v>
      </c>
      <c r="S351" s="183"/>
      <c r="T351" s="183"/>
      <c r="U351" s="183"/>
    </row>
    <row r="352" spans="1:21" s="110" customFormat="1" ht="38.25">
      <c r="A352" s="12" t="s">
        <v>939</v>
      </c>
      <c r="B352" s="25" t="s">
        <v>75</v>
      </c>
      <c r="C352" s="26" t="s">
        <v>65</v>
      </c>
      <c r="D352" s="26" t="s">
        <v>2</v>
      </c>
      <c r="E352" s="26" t="s">
        <v>307</v>
      </c>
      <c r="F352" s="26" t="s">
        <v>1060</v>
      </c>
      <c r="G352" s="27">
        <f t="shared" si="247"/>
        <v>275630</v>
      </c>
      <c r="H352" s="27">
        <f t="shared" si="248"/>
        <v>275630</v>
      </c>
      <c r="I352" s="27">
        <f t="shared" si="249"/>
        <v>275630</v>
      </c>
      <c r="J352" s="16">
        <f>'БА в тыс. руб.'!G352*1000</f>
        <v>275630</v>
      </c>
      <c r="K352" s="169">
        <f t="shared" si="233"/>
        <v>0</v>
      </c>
      <c r="L352" s="16">
        <f>'БА в тыс. руб.'!H352*1000</f>
        <v>275630</v>
      </c>
      <c r="M352" s="169">
        <f t="shared" si="234"/>
        <v>0</v>
      </c>
      <c r="N352" s="16">
        <f>'БА в тыс. руб.'!I352*1000</f>
        <v>275630</v>
      </c>
      <c r="O352" s="169">
        <f t="shared" si="235"/>
        <v>0</v>
      </c>
      <c r="S352" s="183"/>
      <c r="T352" s="183"/>
      <c r="U352" s="183"/>
    </row>
    <row r="353" spans="1:21" s="109" customFormat="1" ht="25.5">
      <c r="A353" s="11" t="s">
        <v>108</v>
      </c>
      <c r="B353" s="25" t="s">
        <v>75</v>
      </c>
      <c r="C353" s="26" t="s">
        <v>65</v>
      </c>
      <c r="D353" s="26" t="s">
        <v>2</v>
      </c>
      <c r="E353" s="26" t="s">
        <v>307</v>
      </c>
      <c r="F353" s="26" t="s">
        <v>116</v>
      </c>
      <c r="G353" s="27">
        <f>G354</f>
        <v>3529150</v>
      </c>
      <c r="H353" s="27">
        <f t="shared" ref="H353:I353" si="250">H354</f>
        <v>3533810</v>
      </c>
      <c r="I353" s="27">
        <f t="shared" si="250"/>
        <v>3533810</v>
      </c>
      <c r="J353" s="16">
        <f>'БА в тыс. руб.'!G353*1000</f>
        <v>3529150</v>
      </c>
      <c r="K353" s="169">
        <f t="shared" si="233"/>
        <v>0</v>
      </c>
      <c r="L353" s="16">
        <f>'БА в тыс. руб.'!H353*1000</f>
        <v>3533810</v>
      </c>
      <c r="M353" s="169">
        <f t="shared" si="234"/>
        <v>0</v>
      </c>
      <c r="N353" s="16">
        <f>'БА в тыс. руб.'!I353*1000</f>
        <v>3533810</v>
      </c>
      <c r="O353" s="169">
        <f t="shared" si="235"/>
        <v>0</v>
      </c>
      <c r="S353" s="182"/>
      <c r="T353" s="182"/>
      <c r="U353" s="182"/>
    </row>
    <row r="354" spans="1:21" s="110" customFormat="1" ht="25.5">
      <c r="A354" s="12" t="s">
        <v>973</v>
      </c>
      <c r="B354" s="25" t="s">
        <v>75</v>
      </c>
      <c r="C354" s="26" t="s">
        <v>65</v>
      </c>
      <c r="D354" s="26" t="s">
        <v>2</v>
      </c>
      <c r="E354" s="26" t="s">
        <v>307</v>
      </c>
      <c r="F354" s="26" t="s">
        <v>1043</v>
      </c>
      <c r="G354" s="27">
        <f t="shared" ref="G354" si="251">J354</f>
        <v>3529150</v>
      </c>
      <c r="H354" s="27">
        <f>L354</f>
        <v>3533810</v>
      </c>
      <c r="I354" s="27">
        <f>N354</f>
        <v>3533810</v>
      </c>
      <c r="J354" s="16">
        <f>'БА в тыс. руб.'!G354*1000</f>
        <v>3529150</v>
      </c>
      <c r="K354" s="169">
        <f t="shared" si="233"/>
        <v>0</v>
      </c>
      <c r="L354" s="16">
        <f>'БА в тыс. руб.'!H354*1000</f>
        <v>3533810</v>
      </c>
      <c r="M354" s="169">
        <f t="shared" si="234"/>
        <v>0</v>
      </c>
      <c r="N354" s="16">
        <f>'БА в тыс. руб.'!I354*1000</f>
        <v>3533810</v>
      </c>
      <c r="O354" s="169">
        <f t="shared" si="235"/>
        <v>0</v>
      </c>
      <c r="S354" s="183"/>
      <c r="T354" s="183"/>
      <c r="U354" s="183"/>
    </row>
    <row r="355" spans="1:21" s="109" customFormat="1" ht="12.75">
      <c r="A355" s="11" t="s">
        <v>97</v>
      </c>
      <c r="B355" s="25" t="s">
        <v>75</v>
      </c>
      <c r="C355" s="26" t="s">
        <v>65</v>
      </c>
      <c r="D355" s="26" t="s">
        <v>2</v>
      </c>
      <c r="E355" s="26" t="s">
        <v>307</v>
      </c>
      <c r="F355" s="26" t="s">
        <v>118</v>
      </c>
      <c r="G355" s="27">
        <f>SUM(G356:G358)</f>
        <v>60470</v>
      </c>
      <c r="H355" s="27">
        <f t="shared" ref="H355:I355" si="252">SUM(H356:H358)</f>
        <v>60470</v>
      </c>
      <c r="I355" s="27">
        <f t="shared" si="252"/>
        <v>60470</v>
      </c>
      <c r="J355" s="16">
        <f>'БА в тыс. руб.'!G355*1000</f>
        <v>60470</v>
      </c>
      <c r="K355" s="169">
        <f t="shared" si="233"/>
        <v>0</v>
      </c>
      <c r="L355" s="16">
        <f>'БА в тыс. руб.'!H355*1000</f>
        <v>60470</v>
      </c>
      <c r="M355" s="169">
        <f t="shared" si="234"/>
        <v>0</v>
      </c>
      <c r="N355" s="16">
        <f>'БА в тыс. руб.'!I355*1000</f>
        <v>60470</v>
      </c>
      <c r="O355" s="169">
        <f t="shared" si="235"/>
        <v>0</v>
      </c>
      <c r="S355" s="182"/>
      <c r="T355" s="182"/>
      <c r="U355" s="182"/>
    </row>
    <row r="356" spans="1:21" s="109" customFormat="1" ht="12.75">
      <c r="A356" s="11" t="s">
        <v>1036</v>
      </c>
      <c r="B356" s="25" t="s">
        <v>75</v>
      </c>
      <c r="C356" s="26" t="s">
        <v>65</v>
      </c>
      <c r="D356" s="26" t="s">
        <v>2</v>
      </c>
      <c r="E356" s="26" t="s">
        <v>307</v>
      </c>
      <c r="F356" s="26" t="s">
        <v>1061</v>
      </c>
      <c r="G356" s="27">
        <f t="shared" ref="G356:G358" si="253">J356</f>
        <v>2000</v>
      </c>
      <c r="H356" s="27">
        <f t="shared" ref="H356:H358" si="254">L356</f>
        <v>2000</v>
      </c>
      <c r="I356" s="27">
        <f t="shared" ref="I356:I358" si="255">N356</f>
        <v>2000</v>
      </c>
      <c r="J356" s="16">
        <f>'БА в тыс. руб.'!G356*1000</f>
        <v>2000</v>
      </c>
      <c r="K356" s="169">
        <f t="shared" si="233"/>
        <v>0</v>
      </c>
      <c r="L356" s="16">
        <f>'БА в тыс. руб.'!H356*1000</f>
        <v>2000</v>
      </c>
      <c r="M356" s="169">
        <f t="shared" si="234"/>
        <v>0</v>
      </c>
      <c r="N356" s="16">
        <f>'БА в тыс. руб.'!I356*1000</f>
        <v>2000</v>
      </c>
      <c r="O356" s="169">
        <f t="shared" si="235"/>
        <v>0</v>
      </c>
      <c r="S356" s="182"/>
      <c r="T356" s="182"/>
      <c r="U356" s="182"/>
    </row>
    <row r="357" spans="1:21" s="109" customFormat="1" ht="12.75">
      <c r="A357" s="11" t="s">
        <v>1037</v>
      </c>
      <c r="B357" s="25" t="s">
        <v>75</v>
      </c>
      <c r="C357" s="26" t="s">
        <v>65</v>
      </c>
      <c r="D357" s="26" t="s">
        <v>2</v>
      </c>
      <c r="E357" s="26" t="s">
        <v>307</v>
      </c>
      <c r="F357" s="26" t="s">
        <v>1062</v>
      </c>
      <c r="G357" s="27">
        <f t="shared" si="253"/>
        <v>23470</v>
      </c>
      <c r="H357" s="27">
        <f t="shared" si="254"/>
        <v>23470</v>
      </c>
      <c r="I357" s="27">
        <f t="shared" si="255"/>
        <v>23470</v>
      </c>
      <c r="J357" s="16">
        <f>'БА в тыс. руб.'!G357*1000</f>
        <v>23470</v>
      </c>
      <c r="K357" s="169">
        <f t="shared" si="233"/>
        <v>0</v>
      </c>
      <c r="L357" s="16">
        <f>'БА в тыс. руб.'!H357*1000</f>
        <v>23470</v>
      </c>
      <c r="M357" s="169">
        <f t="shared" si="234"/>
        <v>0</v>
      </c>
      <c r="N357" s="16">
        <f>'БА в тыс. руб.'!I357*1000</f>
        <v>23470</v>
      </c>
      <c r="O357" s="169">
        <f t="shared" si="235"/>
        <v>0</v>
      </c>
      <c r="S357" s="182"/>
      <c r="T357" s="182"/>
      <c r="U357" s="182"/>
    </row>
    <row r="358" spans="1:21" s="109" customFormat="1" ht="12.75">
      <c r="A358" s="11" t="s">
        <v>1038</v>
      </c>
      <c r="B358" s="25" t="s">
        <v>75</v>
      </c>
      <c r="C358" s="26" t="s">
        <v>65</v>
      </c>
      <c r="D358" s="26" t="s">
        <v>2</v>
      </c>
      <c r="E358" s="26" t="s">
        <v>307</v>
      </c>
      <c r="F358" s="26" t="s">
        <v>1066</v>
      </c>
      <c r="G358" s="27">
        <f t="shared" si="253"/>
        <v>35000</v>
      </c>
      <c r="H358" s="27">
        <f t="shared" si="254"/>
        <v>35000</v>
      </c>
      <c r="I358" s="27">
        <f t="shared" si="255"/>
        <v>35000</v>
      </c>
      <c r="J358" s="16">
        <f>'БА в тыс. руб.'!G358*1000</f>
        <v>35000</v>
      </c>
      <c r="K358" s="169">
        <f t="shared" si="233"/>
        <v>0</v>
      </c>
      <c r="L358" s="16">
        <f>'БА в тыс. руб.'!H358*1000</f>
        <v>35000</v>
      </c>
      <c r="M358" s="169">
        <f t="shared" si="234"/>
        <v>0</v>
      </c>
      <c r="N358" s="16">
        <f>'БА в тыс. руб.'!I358*1000</f>
        <v>35000</v>
      </c>
      <c r="O358" s="169">
        <f t="shared" si="235"/>
        <v>0</v>
      </c>
      <c r="S358" s="182"/>
      <c r="T358" s="182"/>
      <c r="U358" s="182"/>
    </row>
    <row r="359" spans="1:21" s="109" customFormat="1" ht="25.5">
      <c r="A359" s="74" t="s">
        <v>126</v>
      </c>
      <c r="B359" s="25" t="s">
        <v>75</v>
      </c>
      <c r="C359" s="26" t="s">
        <v>65</v>
      </c>
      <c r="D359" s="26" t="s">
        <v>2</v>
      </c>
      <c r="E359" s="26" t="s">
        <v>308</v>
      </c>
      <c r="F359" s="26" t="s">
        <v>58</v>
      </c>
      <c r="G359" s="27">
        <f>G360</f>
        <v>40186530</v>
      </c>
      <c r="H359" s="27">
        <f>H360</f>
        <v>40186530</v>
      </c>
      <c r="I359" s="27">
        <f>I360</f>
        <v>40186530</v>
      </c>
      <c r="J359" s="16">
        <f>'БА в тыс. руб.'!G359*1000</f>
        <v>40186530</v>
      </c>
      <c r="K359" s="169">
        <f t="shared" si="233"/>
        <v>0</v>
      </c>
      <c r="L359" s="16">
        <f>'БА в тыс. руб.'!H359*1000</f>
        <v>40186530</v>
      </c>
      <c r="M359" s="169">
        <f t="shared" si="234"/>
        <v>0</v>
      </c>
      <c r="N359" s="16">
        <f>'БА в тыс. руб.'!I359*1000</f>
        <v>40186530</v>
      </c>
      <c r="O359" s="169">
        <f t="shared" si="235"/>
        <v>0</v>
      </c>
      <c r="S359" s="182"/>
      <c r="T359" s="182"/>
      <c r="U359" s="182"/>
    </row>
    <row r="360" spans="1:21" s="109" customFormat="1" ht="25.5">
      <c r="A360" s="11" t="s">
        <v>107</v>
      </c>
      <c r="B360" s="25" t="s">
        <v>75</v>
      </c>
      <c r="C360" s="26" t="s">
        <v>65</v>
      </c>
      <c r="D360" s="26" t="s">
        <v>2</v>
      </c>
      <c r="E360" s="26" t="s">
        <v>308</v>
      </c>
      <c r="F360" s="26" t="s">
        <v>115</v>
      </c>
      <c r="G360" s="27">
        <f>SUM(G361:G362)</f>
        <v>40186530</v>
      </c>
      <c r="H360" s="27">
        <f t="shared" ref="H360:I360" si="256">SUM(H361:H362)</f>
        <v>40186530</v>
      </c>
      <c r="I360" s="27">
        <f t="shared" si="256"/>
        <v>40186530</v>
      </c>
      <c r="J360" s="16">
        <f>'БА в тыс. руб.'!G360*1000</f>
        <v>40186530</v>
      </c>
      <c r="K360" s="169">
        <f t="shared" si="233"/>
        <v>0</v>
      </c>
      <c r="L360" s="16">
        <f>'БА в тыс. руб.'!H360*1000</f>
        <v>40186530</v>
      </c>
      <c r="M360" s="169">
        <f t="shared" si="234"/>
        <v>0</v>
      </c>
      <c r="N360" s="16">
        <f>'БА в тыс. руб.'!I360*1000</f>
        <v>40186530</v>
      </c>
      <c r="O360" s="169">
        <f t="shared" si="235"/>
        <v>0</v>
      </c>
      <c r="S360" s="182"/>
      <c r="T360" s="182"/>
      <c r="U360" s="182"/>
    </row>
    <row r="361" spans="1:21" s="109" customFormat="1" ht="12.75">
      <c r="A361" s="11" t="s">
        <v>936</v>
      </c>
      <c r="B361" s="25" t="s">
        <v>75</v>
      </c>
      <c r="C361" s="26" t="s">
        <v>65</v>
      </c>
      <c r="D361" s="26" t="s">
        <v>2</v>
      </c>
      <c r="E361" s="26" t="s">
        <v>308</v>
      </c>
      <c r="F361" s="26" t="s">
        <v>1063</v>
      </c>
      <c r="G361" s="27">
        <f t="shared" ref="G361:G362" si="257">J361</f>
        <v>30865230</v>
      </c>
      <c r="H361" s="27">
        <f t="shared" ref="H361:H362" si="258">L361</f>
        <v>30865230</v>
      </c>
      <c r="I361" s="27">
        <f t="shared" ref="I361:I362" si="259">N361</f>
        <v>30865230</v>
      </c>
      <c r="J361" s="16">
        <f>'БА в тыс. руб.'!G361*1000</f>
        <v>30865230</v>
      </c>
      <c r="K361" s="169">
        <f t="shared" si="233"/>
        <v>0</v>
      </c>
      <c r="L361" s="16">
        <f>'БА в тыс. руб.'!H361*1000</f>
        <v>30865230</v>
      </c>
      <c r="M361" s="169">
        <f t="shared" si="234"/>
        <v>0</v>
      </c>
      <c r="N361" s="16">
        <f>'БА в тыс. руб.'!I361*1000</f>
        <v>30865230</v>
      </c>
      <c r="O361" s="169">
        <f t="shared" si="235"/>
        <v>0</v>
      </c>
      <c r="S361" s="182"/>
      <c r="T361" s="182"/>
      <c r="U361" s="182"/>
    </row>
    <row r="362" spans="1:21" s="109" customFormat="1" ht="38.25">
      <c r="A362" s="11" t="s">
        <v>939</v>
      </c>
      <c r="B362" s="25" t="s">
        <v>75</v>
      </c>
      <c r="C362" s="26" t="s">
        <v>65</v>
      </c>
      <c r="D362" s="26" t="s">
        <v>2</v>
      </c>
      <c r="E362" s="26" t="s">
        <v>308</v>
      </c>
      <c r="F362" s="26" t="s">
        <v>1060</v>
      </c>
      <c r="G362" s="27">
        <f t="shared" si="257"/>
        <v>9321300</v>
      </c>
      <c r="H362" s="27">
        <f t="shared" si="258"/>
        <v>9321300</v>
      </c>
      <c r="I362" s="27">
        <f t="shared" si="259"/>
        <v>9321300</v>
      </c>
      <c r="J362" s="16">
        <f>'БА в тыс. руб.'!G362*1000</f>
        <v>9321300</v>
      </c>
      <c r="K362" s="169">
        <f t="shared" si="233"/>
        <v>0</v>
      </c>
      <c r="L362" s="16">
        <f>'БА в тыс. руб.'!H362*1000</f>
        <v>9321300</v>
      </c>
      <c r="M362" s="169">
        <f t="shared" si="234"/>
        <v>0</v>
      </c>
      <c r="N362" s="16">
        <f>'БА в тыс. руб.'!I362*1000</f>
        <v>9321300</v>
      </c>
      <c r="O362" s="169">
        <f t="shared" si="235"/>
        <v>0</v>
      </c>
      <c r="S362" s="182"/>
      <c r="T362" s="182"/>
      <c r="U362" s="182"/>
    </row>
    <row r="363" spans="1:21" s="109" customFormat="1" ht="12.75">
      <c r="A363" s="21" t="s">
        <v>309</v>
      </c>
      <c r="B363" s="22" t="s">
        <v>75</v>
      </c>
      <c r="C363" s="23" t="s">
        <v>65</v>
      </c>
      <c r="D363" s="23" t="s">
        <v>78</v>
      </c>
      <c r="E363" s="23" t="s">
        <v>196</v>
      </c>
      <c r="F363" s="23" t="s">
        <v>310</v>
      </c>
      <c r="G363" s="24">
        <f t="shared" ref="G363:I367" si="260">G364</f>
        <v>14195040</v>
      </c>
      <c r="H363" s="24">
        <f t="shared" si="260"/>
        <v>12775540</v>
      </c>
      <c r="I363" s="24">
        <f t="shared" si="260"/>
        <v>12775540</v>
      </c>
      <c r="J363" s="16">
        <f>'БА в тыс. руб.'!G363*1000</f>
        <v>14195040</v>
      </c>
      <c r="K363" s="169">
        <f t="shared" si="233"/>
        <v>0</v>
      </c>
      <c r="L363" s="16">
        <f>'БА в тыс. руб.'!H363*1000</f>
        <v>12775540</v>
      </c>
      <c r="M363" s="169">
        <f t="shared" si="234"/>
        <v>0</v>
      </c>
      <c r="N363" s="16">
        <f>'БА в тыс. руб.'!I363*1000</f>
        <v>12775540</v>
      </c>
      <c r="O363" s="169">
        <f t="shared" si="235"/>
        <v>0</v>
      </c>
      <c r="S363" s="182"/>
      <c r="T363" s="182"/>
      <c r="U363" s="182"/>
    </row>
    <row r="364" spans="1:21" s="109" customFormat="1" ht="25.5">
      <c r="A364" s="12" t="s">
        <v>743</v>
      </c>
      <c r="B364" s="25" t="s">
        <v>75</v>
      </c>
      <c r="C364" s="26" t="s">
        <v>65</v>
      </c>
      <c r="D364" s="26" t="s">
        <v>78</v>
      </c>
      <c r="E364" s="26" t="s">
        <v>311</v>
      </c>
      <c r="F364" s="26" t="s">
        <v>310</v>
      </c>
      <c r="G364" s="27">
        <f t="shared" si="260"/>
        <v>14195040</v>
      </c>
      <c r="H364" s="27">
        <f t="shared" si="260"/>
        <v>12775540</v>
      </c>
      <c r="I364" s="27">
        <f t="shared" si="260"/>
        <v>12775540</v>
      </c>
      <c r="J364" s="16">
        <f>'БА в тыс. руб.'!G364*1000</f>
        <v>14195040</v>
      </c>
      <c r="K364" s="169">
        <f t="shared" si="233"/>
        <v>0</v>
      </c>
      <c r="L364" s="16">
        <f>'БА в тыс. руб.'!H364*1000</f>
        <v>12775540</v>
      </c>
      <c r="M364" s="169">
        <f t="shared" si="234"/>
        <v>0</v>
      </c>
      <c r="N364" s="16">
        <f>'БА в тыс. руб.'!I364*1000</f>
        <v>12775540</v>
      </c>
      <c r="O364" s="169">
        <f t="shared" si="235"/>
        <v>0</v>
      </c>
      <c r="S364" s="182"/>
      <c r="T364" s="182"/>
      <c r="U364" s="182"/>
    </row>
    <row r="365" spans="1:21" s="109" customFormat="1" ht="38.25">
      <c r="A365" s="12" t="s">
        <v>744</v>
      </c>
      <c r="B365" s="25" t="s">
        <v>75</v>
      </c>
      <c r="C365" s="26" t="s">
        <v>65</v>
      </c>
      <c r="D365" s="26" t="s">
        <v>78</v>
      </c>
      <c r="E365" s="26" t="s">
        <v>312</v>
      </c>
      <c r="F365" s="26" t="s">
        <v>58</v>
      </c>
      <c r="G365" s="27">
        <f t="shared" si="260"/>
        <v>14195040</v>
      </c>
      <c r="H365" s="27">
        <f t="shared" si="260"/>
        <v>12775540</v>
      </c>
      <c r="I365" s="27">
        <f t="shared" si="260"/>
        <v>12775540</v>
      </c>
      <c r="J365" s="16">
        <f>'БА в тыс. руб.'!G365*1000</f>
        <v>14195040</v>
      </c>
      <c r="K365" s="169">
        <f t="shared" si="233"/>
        <v>0</v>
      </c>
      <c r="L365" s="16">
        <f>'БА в тыс. руб.'!H365*1000</f>
        <v>12775540</v>
      </c>
      <c r="M365" s="169">
        <f t="shared" si="234"/>
        <v>0</v>
      </c>
      <c r="N365" s="16">
        <f>'БА в тыс. руб.'!I365*1000</f>
        <v>12775540</v>
      </c>
      <c r="O365" s="169">
        <f t="shared" si="235"/>
        <v>0</v>
      </c>
      <c r="S365" s="182"/>
      <c r="T365" s="182"/>
      <c r="U365" s="182"/>
    </row>
    <row r="366" spans="1:21" s="109" customFormat="1" ht="25.5">
      <c r="A366" s="12" t="s">
        <v>313</v>
      </c>
      <c r="B366" s="25" t="s">
        <v>75</v>
      </c>
      <c r="C366" s="26" t="s">
        <v>65</v>
      </c>
      <c r="D366" s="26" t="s">
        <v>78</v>
      </c>
      <c r="E366" s="26" t="s">
        <v>568</v>
      </c>
      <c r="F366" s="26" t="s">
        <v>58</v>
      </c>
      <c r="G366" s="27">
        <f t="shared" si="260"/>
        <v>14195040</v>
      </c>
      <c r="H366" s="27">
        <f t="shared" si="260"/>
        <v>12775540</v>
      </c>
      <c r="I366" s="27">
        <f t="shared" si="260"/>
        <v>12775540</v>
      </c>
      <c r="J366" s="16">
        <f>'БА в тыс. руб.'!G366*1000</f>
        <v>14195040</v>
      </c>
      <c r="K366" s="169">
        <f t="shared" si="233"/>
        <v>0</v>
      </c>
      <c r="L366" s="16">
        <f>'БА в тыс. руб.'!H366*1000</f>
        <v>12775540</v>
      </c>
      <c r="M366" s="169">
        <f t="shared" si="234"/>
        <v>0</v>
      </c>
      <c r="N366" s="16">
        <f>'БА в тыс. руб.'!I366*1000</f>
        <v>12775540</v>
      </c>
      <c r="O366" s="169">
        <f t="shared" si="235"/>
        <v>0</v>
      </c>
      <c r="S366" s="182"/>
      <c r="T366" s="182"/>
      <c r="U366" s="182"/>
    </row>
    <row r="367" spans="1:21" s="109" customFormat="1" ht="12.75">
      <c r="A367" s="11" t="s">
        <v>0</v>
      </c>
      <c r="B367" s="25" t="s">
        <v>75</v>
      </c>
      <c r="C367" s="26" t="s">
        <v>65</v>
      </c>
      <c r="D367" s="26" t="s">
        <v>78</v>
      </c>
      <c r="E367" s="26" t="s">
        <v>569</v>
      </c>
      <c r="F367" s="26" t="s">
        <v>58</v>
      </c>
      <c r="G367" s="27">
        <f t="shared" si="260"/>
        <v>14195040</v>
      </c>
      <c r="H367" s="27">
        <f t="shared" si="260"/>
        <v>12775540</v>
      </c>
      <c r="I367" s="27">
        <f t="shared" si="260"/>
        <v>12775540</v>
      </c>
      <c r="J367" s="16">
        <f>'БА в тыс. руб.'!G367*1000</f>
        <v>14195040</v>
      </c>
      <c r="K367" s="169">
        <f t="shared" si="233"/>
        <v>0</v>
      </c>
      <c r="L367" s="16">
        <f>'БА в тыс. руб.'!H367*1000</f>
        <v>12775540</v>
      </c>
      <c r="M367" s="169">
        <f t="shared" si="234"/>
        <v>0</v>
      </c>
      <c r="N367" s="16">
        <f>'БА в тыс. руб.'!I367*1000</f>
        <v>12775540</v>
      </c>
      <c r="O367" s="169">
        <f t="shared" si="235"/>
        <v>0</v>
      </c>
      <c r="S367" s="182"/>
      <c r="T367" s="182"/>
      <c r="U367" s="182"/>
    </row>
    <row r="368" spans="1:21" s="109" customFormat="1" ht="14.45" customHeight="1">
      <c r="A368" s="11" t="s">
        <v>98</v>
      </c>
      <c r="B368" s="25" t="s">
        <v>75</v>
      </c>
      <c r="C368" s="26" t="s">
        <v>65</v>
      </c>
      <c r="D368" s="26" t="s">
        <v>78</v>
      </c>
      <c r="E368" s="26" t="s">
        <v>569</v>
      </c>
      <c r="F368" s="26" t="s">
        <v>102</v>
      </c>
      <c r="G368" s="27">
        <f t="shared" ref="G368" si="261">J368</f>
        <v>14195040</v>
      </c>
      <c r="H368" s="27">
        <f>L368</f>
        <v>12775540</v>
      </c>
      <c r="I368" s="27">
        <f>N368</f>
        <v>12775540</v>
      </c>
      <c r="J368" s="16">
        <f>'БА в тыс. руб.'!G368*1000</f>
        <v>14195040</v>
      </c>
      <c r="K368" s="169">
        <f t="shared" si="233"/>
        <v>0</v>
      </c>
      <c r="L368" s="16">
        <f>'БА в тыс. руб.'!H368*1000</f>
        <v>12775540</v>
      </c>
      <c r="M368" s="169">
        <f t="shared" si="234"/>
        <v>0</v>
      </c>
      <c r="N368" s="16">
        <f>'БА в тыс. руб.'!I368*1000</f>
        <v>12775540</v>
      </c>
      <c r="O368" s="169">
        <f t="shared" si="235"/>
        <v>0</v>
      </c>
      <c r="S368" s="182"/>
      <c r="T368" s="182"/>
      <c r="U368" s="182"/>
    </row>
    <row r="369" spans="1:21" s="109" customFormat="1" ht="12.75">
      <c r="A369" s="21" t="s">
        <v>38</v>
      </c>
      <c r="B369" s="22" t="s">
        <v>75</v>
      </c>
      <c r="C369" s="23" t="s">
        <v>65</v>
      </c>
      <c r="D369" s="23" t="s">
        <v>84</v>
      </c>
      <c r="E369" s="23" t="s">
        <v>196</v>
      </c>
      <c r="F369" s="23" t="s">
        <v>58</v>
      </c>
      <c r="G369" s="24">
        <f>G376+G370</f>
        <v>27043130</v>
      </c>
      <c r="H369" s="24">
        <f>H376+H370</f>
        <v>22249210</v>
      </c>
      <c r="I369" s="24">
        <f>I376+I370</f>
        <v>28449210</v>
      </c>
      <c r="J369" s="16">
        <f>'БА в тыс. руб.'!G369*1000</f>
        <v>27043130</v>
      </c>
      <c r="K369" s="169">
        <f t="shared" si="233"/>
        <v>0</v>
      </c>
      <c r="L369" s="16">
        <f>'БА в тыс. руб.'!H369*1000</f>
        <v>22249210</v>
      </c>
      <c r="M369" s="169">
        <f t="shared" si="234"/>
        <v>0</v>
      </c>
      <c r="N369" s="16">
        <f>'БА в тыс. руб.'!I369*1000</f>
        <v>28449210</v>
      </c>
      <c r="O369" s="169">
        <f t="shared" si="235"/>
        <v>0</v>
      </c>
      <c r="S369" s="182"/>
      <c r="T369" s="182"/>
      <c r="U369" s="182"/>
    </row>
    <row r="370" spans="1:21" s="109" customFormat="1" ht="25.5">
      <c r="A370" s="12" t="s">
        <v>743</v>
      </c>
      <c r="B370" s="25" t="s">
        <v>75</v>
      </c>
      <c r="C370" s="26" t="s">
        <v>65</v>
      </c>
      <c r="D370" s="26" t="s">
        <v>84</v>
      </c>
      <c r="E370" s="26" t="s">
        <v>311</v>
      </c>
      <c r="F370" s="26" t="s">
        <v>58</v>
      </c>
      <c r="G370" s="27">
        <f t="shared" ref="G370:I374" si="262">G371</f>
        <v>8338340</v>
      </c>
      <c r="H370" s="27">
        <f t="shared" si="262"/>
        <v>3544420</v>
      </c>
      <c r="I370" s="27">
        <f t="shared" si="262"/>
        <v>9744420</v>
      </c>
      <c r="J370" s="16">
        <f>'БА в тыс. руб.'!G370*1000</f>
        <v>8338340</v>
      </c>
      <c r="K370" s="169">
        <f t="shared" si="233"/>
        <v>0</v>
      </c>
      <c r="L370" s="16">
        <f>'БА в тыс. руб.'!H370*1000</f>
        <v>3544420</v>
      </c>
      <c r="M370" s="169">
        <f t="shared" si="234"/>
        <v>0</v>
      </c>
      <c r="N370" s="16">
        <f>'БА в тыс. руб.'!I370*1000</f>
        <v>9744420</v>
      </c>
      <c r="O370" s="169">
        <f t="shared" si="235"/>
        <v>0</v>
      </c>
      <c r="S370" s="182"/>
      <c r="T370" s="182"/>
      <c r="U370" s="182"/>
    </row>
    <row r="371" spans="1:21" s="109" customFormat="1" ht="38.25">
      <c r="A371" s="12" t="s">
        <v>744</v>
      </c>
      <c r="B371" s="25" t="s">
        <v>75</v>
      </c>
      <c r="C371" s="26" t="s">
        <v>65</v>
      </c>
      <c r="D371" s="26" t="s">
        <v>84</v>
      </c>
      <c r="E371" s="26" t="s">
        <v>312</v>
      </c>
      <c r="F371" s="26" t="s">
        <v>58</v>
      </c>
      <c r="G371" s="27">
        <f t="shared" si="262"/>
        <v>8338340</v>
      </c>
      <c r="H371" s="27">
        <f t="shared" si="262"/>
        <v>3544420</v>
      </c>
      <c r="I371" s="27">
        <f t="shared" si="262"/>
        <v>9744420</v>
      </c>
      <c r="J371" s="16">
        <f>'БА в тыс. руб.'!G371*1000</f>
        <v>8338340</v>
      </c>
      <c r="K371" s="169">
        <f t="shared" si="233"/>
        <v>0</v>
      </c>
      <c r="L371" s="16">
        <f>'БА в тыс. руб.'!H371*1000</f>
        <v>3544420</v>
      </c>
      <c r="M371" s="169">
        <f t="shared" si="234"/>
        <v>0</v>
      </c>
      <c r="N371" s="16">
        <f>'БА в тыс. руб.'!I371*1000</f>
        <v>9744420</v>
      </c>
      <c r="O371" s="169">
        <f t="shared" si="235"/>
        <v>0</v>
      </c>
      <c r="S371" s="182"/>
      <c r="T371" s="182"/>
      <c r="U371" s="182"/>
    </row>
    <row r="372" spans="1:21" s="109" customFormat="1" ht="51">
      <c r="A372" s="12" t="s">
        <v>315</v>
      </c>
      <c r="B372" s="25" t="s">
        <v>75</v>
      </c>
      <c r="C372" s="26" t="s">
        <v>65</v>
      </c>
      <c r="D372" s="26" t="s">
        <v>84</v>
      </c>
      <c r="E372" s="26" t="s">
        <v>314</v>
      </c>
      <c r="F372" s="26" t="s">
        <v>58</v>
      </c>
      <c r="G372" s="27">
        <f t="shared" si="262"/>
        <v>8338340</v>
      </c>
      <c r="H372" s="27">
        <f t="shared" si="262"/>
        <v>3544420</v>
      </c>
      <c r="I372" s="27">
        <f t="shared" si="262"/>
        <v>9744420</v>
      </c>
      <c r="J372" s="16">
        <f>'БА в тыс. руб.'!G372*1000</f>
        <v>8338340</v>
      </c>
      <c r="K372" s="169">
        <f t="shared" si="233"/>
        <v>0</v>
      </c>
      <c r="L372" s="16">
        <f>'БА в тыс. руб.'!H372*1000</f>
        <v>3544420</v>
      </c>
      <c r="M372" s="169">
        <f t="shared" si="234"/>
        <v>0</v>
      </c>
      <c r="N372" s="16">
        <f>'БА в тыс. руб.'!I372*1000</f>
        <v>9744420</v>
      </c>
      <c r="O372" s="169">
        <f t="shared" si="235"/>
        <v>0</v>
      </c>
      <c r="S372" s="182"/>
      <c r="T372" s="182"/>
      <c r="U372" s="182"/>
    </row>
    <row r="373" spans="1:21" s="109" customFormat="1" ht="25.5">
      <c r="A373" s="11" t="s">
        <v>130</v>
      </c>
      <c r="B373" s="25" t="s">
        <v>75</v>
      </c>
      <c r="C373" s="26" t="s">
        <v>65</v>
      </c>
      <c r="D373" s="26" t="s">
        <v>84</v>
      </c>
      <c r="E373" s="26" t="s">
        <v>570</v>
      </c>
      <c r="F373" s="26" t="s">
        <v>58</v>
      </c>
      <c r="G373" s="27">
        <f t="shared" si="262"/>
        <v>8338340</v>
      </c>
      <c r="H373" s="27">
        <f t="shared" si="262"/>
        <v>3544420</v>
      </c>
      <c r="I373" s="27">
        <f t="shared" si="262"/>
        <v>9744420</v>
      </c>
      <c r="J373" s="16">
        <f>'БА в тыс. руб.'!G373*1000</f>
        <v>8338340</v>
      </c>
      <c r="K373" s="169">
        <f t="shared" si="233"/>
        <v>0</v>
      </c>
      <c r="L373" s="16">
        <f>'БА в тыс. руб.'!H373*1000</f>
        <v>3544420</v>
      </c>
      <c r="M373" s="169">
        <f t="shared" si="234"/>
        <v>0</v>
      </c>
      <c r="N373" s="16">
        <f>'БА в тыс. руб.'!I373*1000</f>
        <v>9744420</v>
      </c>
      <c r="O373" s="169">
        <f t="shared" si="235"/>
        <v>0</v>
      </c>
      <c r="S373" s="182"/>
      <c r="T373" s="182"/>
      <c r="U373" s="182"/>
    </row>
    <row r="374" spans="1:21" s="109" customFormat="1" ht="12.75">
      <c r="A374" s="11" t="s">
        <v>96</v>
      </c>
      <c r="B374" s="25" t="s">
        <v>75</v>
      </c>
      <c r="C374" s="26" t="s">
        <v>65</v>
      </c>
      <c r="D374" s="26" t="s">
        <v>84</v>
      </c>
      <c r="E374" s="26" t="s">
        <v>570</v>
      </c>
      <c r="F374" s="26" t="s">
        <v>131</v>
      </c>
      <c r="G374" s="27">
        <f>G375</f>
        <v>8338340</v>
      </c>
      <c r="H374" s="27">
        <f t="shared" si="262"/>
        <v>3544420</v>
      </c>
      <c r="I374" s="27">
        <f t="shared" si="262"/>
        <v>9744420</v>
      </c>
      <c r="J374" s="16">
        <f>'БА в тыс. руб.'!G374*1000</f>
        <v>8338340</v>
      </c>
      <c r="K374" s="169">
        <f t="shared" si="233"/>
        <v>0</v>
      </c>
      <c r="L374" s="16">
        <f>'БА в тыс. руб.'!H374*1000</f>
        <v>3544420</v>
      </c>
      <c r="M374" s="169">
        <f t="shared" si="234"/>
        <v>0</v>
      </c>
      <c r="N374" s="16">
        <f>'БА в тыс. руб.'!I374*1000</f>
        <v>9744420</v>
      </c>
      <c r="O374" s="169">
        <f t="shared" si="235"/>
        <v>0</v>
      </c>
      <c r="S374" s="182"/>
      <c r="T374" s="182"/>
      <c r="U374" s="182"/>
    </row>
    <row r="375" spans="1:21" s="110" customFormat="1" ht="25.5">
      <c r="A375" s="12" t="s">
        <v>1044</v>
      </c>
      <c r="B375" s="25" t="s">
        <v>75</v>
      </c>
      <c r="C375" s="26" t="s">
        <v>65</v>
      </c>
      <c r="D375" s="26" t="s">
        <v>84</v>
      </c>
      <c r="E375" s="26" t="s">
        <v>570</v>
      </c>
      <c r="F375" s="26" t="s">
        <v>1045</v>
      </c>
      <c r="G375" s="27">
        <f t="shared" ref="G375" si="263">J375</f>
        <v>8338340</v>
      </c>
      <c r="H375" s="27">
        <f>L375</f>
        <v>3544420</v>
      </c>
      <c r="I375" s="27">
        <f>N375</f>
        <v>9744420</v>
      </c>
      <c r="J375" s="16">
        <f>'БА в тыс. руб.'!G375*1000</f>
        <v>8338340</v>
      </c>
      <c r="K375" s="169">
        <f t="shared" si="233"/>
        <v>0</v>
      </c>
      <c r="L375" s="16">
        <f>'БА в тыс. руб.'!H375*1000</f>
        <v>3544420</v>
      </c>
      <c r="M375" s="169">
        <f t="shared" si="234"/>
        <v>0</v>
      </c>
      <c r="N375" s="16">
        <f>'БА в тыс. руб.'!I375*1000</f>
        <v>9744420</v>
      </c>
      <c r="O375" s="169">
        <f t="shared" si="235"/>
        <v>0</v>
      </c>
      <c r="S375" s="183"/>
      <c r="T375" s="183"/>
      <c r="U375" s="183"/>
    </row>
    <row r="376" spans="1:21" s="109" customFormat="1" ht="38.25">
      <c r="A376" s="11" t="s">
        <v>683</v>
      </c>
      <c r="B376" s="25" t="s">
        <v>75</v>
      </c>
      <c r="C376" s="26" t="s">
        <v>65</v>
      </c>
      <c r="D376" s="26" t="s">
        <v>84</v>
      </c>
      <c r="E376" s="26" t="s">
        <v>680</v>
      </c>
      <c r="F376" s="26" t="s">
        <v>58</v>
      </c>
      <c r="G376" s="27">
        <f>G377</f>
        <v>18704790</v>
      </c>
      <c r="H376" s="27">
        <f>H377</f>
        <v>18704790</v>
      </c>
      <c r="I376" s="27">
        <f>I377</f>
        <v>18704790</v>
      </c>
      <c r="J376" s="16">
        <f>'БА в тыс. руб.'!G376*1000</f>
        <v>18704790</v>
      </c>
      <c r="K376" s="169">
        <f t="shared" si="233"/>
        <v>0</v>
      </c>
      <c r="L376" s="16">
        <f>'БА в тыс. руб.'!H376*1000</f>
        <v>18704790</v>
      </c>
      <c r="M376" s="169">
        <f t="shared" si="234"/>
        <v>0</v>
      </c>
      <c r="N376" s="16">
        <f>'БА в тыс. руб.'!I376*1000</f>
        <v>18704790</v>
      </c>
      <c r="O376" s="169">
        <f t="shared" si="235"/>
        <v>0</v>
      </c>
      <c r="S376" s="182"/>
      <c r="T376" s="182"/>
      <c r="U376" s="182"/>
    </row>
    <row r="377" spans="1:21" s="109" customFormat="1" ht="12.75">
      <c r="A377" s="11" t="s">
        <v>684</v>
      </c>
      <c r="B377" s="25" t="s">
        <v>75</v>
      </c>
      <c r="C377" s="26" t="s">
        <v>65</v>
      </c>
      <c r="D377" s="26" t="s">
        <v>84</v>
      </c>
      <c r="E377" s="26" t="s">
        <v>681</v>
      </c>
      <c r="F377" s="26" t="s">
        <v>58</v>
      </c>
      <c r="G377" s="27">
        <f>G378+G380</f>
        <v>18704790</v>
      </c>
      <c r="H377" s="27">
        <f>H378+H380</f>
        <v>18704790</v>
      </c>
      <c r="I377" s="27">
        <f>I378+I380</f>
        <v>18704790</v>
      </c>
      <c r="J377" s="16">
        <f>'БА в тыс. руб.'!G377*1000</f>
        <v>18704790</v>
      </c>
      <c r="K377" s="169">
        <f t="shared" si="233"/>
        <v>0</v>
      </c>
      <c r="L377" s="16">
        <f>'БА в тыс. руб.'!H377*1000</f>
        <v>18704790</v>
      </c>
      <c r="M377" s="169">
        <f t="shared" si="234"/>
        <v>0</v>
      </c>
      <c r="N377" s="16">
        <f>'БА в тыс. руб.'!I377*1000</f>
        <v>18704790</v>
      </c>
      <c r="O377" s="169">
        <f t="shared" si="235"/>
        <v>0</v>
      </c>
      <c r="S377" s="182"/>
      <c r="T377" s="182"/>
      <c r="U377" s="182"/>
    </row>
    <row r="378" spans="1:21" s="109" customFormat="1" ht="25.5">
      <c r="A378" s="11" t="s">
        <v>602</v>
      </c>
      <c r="B378" s="25" t="s">
        <v>75</v>
      </c>
      <c r="C378" s="26" t="s">
        <v>65</v>
      </c>
      <c r="D378" s="26" t="s">
        <v>84</v>
      </c>
      <c r="E378" s="26" t="s">
        <v>685</v>
      </c>
      <c r="F378" s="26" t="s">
        <v>58</v>
      </c>
      <c r="G378" s="27">
        <f>G379</f>
        <v>2000000</v>
      </c>
      <c r="H378" s="27">
        <f>H379</f>
        <v>2000000</v>
      </c>
      <c r="I378" s="27">
        <f>I379</f>
        <v>2000000</v>
      </c>
      <c r="J378" s="16">
        <f>'БА в тыс. руб.'!G378*1000</f>
        <v>2000000</v>
      </c>
      <c r="K378" s="169">
        <f t="shared" si="233"/>
        <v>0</v>
      </c>
      <c r="L378" s="16">
        <f>'БА в тыс. руб.'!H378*1000</f>
        <v>2000000</v>
      </c>
      <c r="M378" s="169">
        <f t="shared" si="234"/>
        <v>0</v>
      </c>
      <c r="N378" s="16">
        <f>'БА в тыс. руб.'!I378*1000</f>
        <v>2000000</v>
      </c>
      <c r="O378" s="169">
        <f t="shared" si="235"/>
        <v>0</v>
      </c>
      <c r="S378" s="182"/>
      <c r="T378" s="182"/>
      <c r="U378" s="182"/>
    </row>
    <row r="379" spans="1:21" s="109" customFormat="1" ht="12.75">
      <c r="A379" s="34" t="s">
        <v>99</v>
      </c>
      <c r="B379" s="25" t="s">
        <v>75</v>
      </c>
      <c r="C379" s="26" t="s">
        <v>65</v>
      </c>
      <c r="D379" s="26" t="s">
        <v>84</v>
      </c>
      <c r="E379" s="26" t="s">
        <v>685</v>
      </c>
      <c r="F379" s="26" t="s">
        <v>105</v>
      </c>
      <c r="G379" s="27">
        <f t="shared" ref="G379" si="264">J379</f>
        <v>2000000</v>
      </c>
      <c r="H379" s="27">
        <f>L379</f>
        <v>2000000</v>
      </c>
      <c r="I379" s="27">
        <f>N379</f>
        <v>2000000</v>
      </c>
      <c r="J379" s="16">
        <f>'БА в тыс. руб.'!G379*1000</f>
        <v>2000000</v>
      </c>
      <c r="K379" s="169">
        <f t="shared" si="233"/>
        <v>0</v>
      </c>
      <c r="L379" s="16">
        <f>'БА в тыс. руб.'!H379*1000</f>
        <v>2000000</v>
      </c>
      <c r="M379" s="169">
        <f t="shared" si="234"/>
        <v>0</v>
      </c>
      <c r="N379" s="16">
        <f>'БА в тыс. руб.'!I379*1000</f>
        <v>2000000</v>
      </c>
      <c r="O379" s="169">
        <f t="shared" si="235"/>
        <v>0</v>
      </c>
      <c r="S379" s="182"/>
      <c r="T379" s="182"/>
      <c r="U379" s="182"/>
    </row>
    <row r="380" spans="1:21" s="109" customFormat="1" ht="89.25">
      <c r="A380" s="115" t="s">
        <v>601</v>
      </c>
      <c r="B380" s="25" t="s">
        <v>75</v>
      </c>
      <c r="C380" s="26" t="s">
        <v>65</v>
      </c>
      <c r="D380" s="26" t="s">
        <v>84</v>
      </c>
      <c r="E380" s="26" t="s">
        <v>686</v>
      </c>
      <c r="F380" s="26" t="s">
        <v>58</v>
      </c>
      <c r="G380" s="27">
        <f>G381</f>
        <v>16704790</v>
      </c>
      <c r="H380" s="27">
        <f>H381</f>
        <v>16704790</v>
      </c>
      <c r="I380" s="27">
        <f>I381</f>
        <v>16704790</v>
      </c>
      <c r="J380" s="16">
        <f>'БА в тыс. руб.'!G380*1000</f>
        <v>16704790</v>
      </c>
      <c r="K380" s="169">
        <f t="shared" si="233"/>
        <v>0</v>
      </c>
      <c r="L380" s="16">
        <f>'БА в тыс. руб.'!H380*1000</f>
        <v>16704790</v>
      </c>
      <c r="M380" s="169">
        <f t="shared" si="234"/>
        <v>0</v>
      </c>
      <c r="N380" s="16">
        <f>'БА в тыс. руб.'!I380*1000</f>
        <v>16704790</v>
      </c>
      <c r="O380" s="169">
        <f t="shared" si="235"/>
        <v>0</v>
      </c>
      <c r="S380" s="182"/>
      <c r="T380" s="182"/>
      <c r="U380" s="182"/>
    </row>
    <row r="381" spans="1:21" s="109" customFormat="1" ht="12.75">
      <c r="A381" s="34" t="s">
        <v>99</v>
      </c>
      <c r="B381" s="25" t="s">
        <v>75</v>
      </c>
      <c r="C381" s="26" t="s">
        <v>65</v>
      </c>
      <c r="D381" s="26" t="s">
        <v>84</v>
      </c>
      <c r="E381" s="26" t="s">
        <v>686</v>
      </c>
      <c r="F381" s="26" t="s">
        <v>105</v>
      </c>
      <c r="G381" s="27">
        <f t="shared" ref="G381" si="265">J381</f>
        <v>16704790</v>
      </c>
      <c r="H381" s="27">
        <f>L381</f>
        <v>16704790</v>
      </c>
      <c r="I381" s="27">
        <f>N381</f>
        <v>16704790</v>
      </c>
      <c r="J381" s="16">
        <f>'БА в тыс. руб.'!G381*1000</f>
        <v>16704790</v>
      </c>
      <c r="K381" s="169">
        <f t="shared" si="233"/>
        <v>0</v>
      </c>
      <c r="L381" s="16">
        <f>'БА в тыс. руб.'!H381*1000</f>
        <v>16704790</v>
      </c>
      <c r="M381" s="169">
        <f t="shared" si="234"/>
        <v>0</v>
      </c>
      <c r="N381" s="16">
        <f>'БА в тыс. руб.'!I381*1000</f>
        <v>16704790</v>
      </c>
      <c r="O381" s="169">
        <f t="shared" si="235"/>
        <v>0</v>
      </c>
      <c r="S381" s="182"/>
      <c r="T381" s="182"/>
      <c r="U381" s="182"/>
    </row>
    <row r="382" spans="1:21" s="109" customFormat="1" ht="12.75">
      <c r="A382" s="17" t="s">
        <v>85</v>
      </c>
      <c r="B382" s="18" t="s">
        <v>75</v>
      </c>
      <c r="C382" s="19" t="s">
        <v>84</v>
      </c>
      <c r="D382" s="19" t="s">
        <v>51</v>
      </c>
      <c r="E382" s="19" t="s">
        <v>196</v>
      </c>
      <c r="F382" s="19" t="s">
        <v>58</v>
      </c>
      <c r="G382" s="20">
        <f t="shared" ref="G382:I387" si="266">G383</f>
        <v>164710000</v>
      </c>
      <c r="H382" s="20">
        <f t="shared" si="266"/>
        <v>200042000</v>
      </c>
      <c r="I382" s="20">
        <f t="shared" si="266"/>
        <v>241728000</v>
      </c>
      <c r="J382" s="16">
        <f>'БА в тыс. руб.'!G382*1000</f>
        <v>164710000</v>
      </c>
      <c r="K382" s="169">
        <f t="shared" si="233"/>
        <v>0</v>
      </c>
      <c r="L382" s="16">
        <f>'БА в тыс. руб.'!H382*1000</f>
        <v>200042000</v>
      </c>
      <c r="M382" s="169">
        <f t="shared" si="234"/>
        <v>0</v>
      </c>
      <c r="N382" s="16">
        <f>'БА в тыс. руб.'!I382*1000</f>
        <v>241728000</v>
      </c>
      <c r="O382" s="169">
        <f t="shared" si="235"/>
        <v>0</v>
      </c>
      <c r="S382" s="182"/>
      <c r="T382" s="182"/>
      <c r="U382" s="182"/>
    </row>
    <row r="383" spans="1:21" s="109" customFormat="1" ht="25.5">
      <c r="A383" s="21" t="s">
        <v>86</v>
      </c>
      <c r="B383" s="22" t="s">
        <v>75</v>
      </c>
      <c r="C383" s="23" t="s">
        <v>84</v>
      </c>
      <c r="D383" s="23" t="s">
        <v>65</v>
      </c>
      <c r="E383" s="23" t="s">
        <v>196</v>
      </c>
      <c r="F383" s="23" t="s">
        <v>58</v>
      </c>
      <c r="G383" s="24">
        <f t="shared" si="266"/>
        <v>164710000</v>
      </c>
      <c r="H383" s="24">
        <f t="shared" si="266"/>
        <v>200042000</v>
      </c>
      <c r="I383" s="24">
        <f t="shared" si="266"/>
        <v>241728000</v>
      </c>
      <c r="J383" s="16">
        <f>'БА в тыс. руб.'!G383*1000</f>
        <v>164710000</v>
      </c>
      <c r="K383" s="169">
        <f t="shared" si="233"/>
        <v>0</v>
      </c>
      <c r="L383" s="16">
        <f>'БА в тыс. руб.'!H383*1000</f>
        <v>200042000</v>
      </c>
      <c r="M383" s="169">
        <f t="shared" si="234"/>
        <v>0</v>
      </c>
      <c r="N383" s="16">
        <f>'БА в тыс. руб.'!I383*1000</f>
        <v>241728000</v>
      </c>
      <c r="O383" s="169">
        <f t="shared" si="235"/>
        <v>0</v>
      </c>
      <c r="S383" s="182"/>
      <c r="T383" s="182"/>
      <c r="U383" s="182"/>
    </row>
    <row r="384" spans="1:21" s="109" customFormat="1" ht="25.5">
      <c r="A384" s="12" t="s">
        <v>743</v>
      </c>
      <c r="B384" s="25" t="s">
        <v>75</v>
      </c>
      <c r="C384" s="26" t="s">
        <v>84</v>
      </c>
      <c r="D384" s="26" t="s">
        <v>65</v>
      </c>
      <c r="E384" s="26" t="s">
        <v>311</v>
      </c>
      <c r="F384" s="26" t="s">
        <v>58</v>
      </c>
      <c r="G384" s="27">
        <f t="shared" si="266"/>
        <v>164710000</v>
      </c>
      <c r="H384" s="27">
        <f t="shared" si="266"/>
        <v>200042000</v>
      </c>
      <c r="I384" s="27">
        <f t="shared" si="266"/>
        <v>241728000</v>
      </c>
      <c r="J384" s="16">
        <f>'БА в тыс. руб.'!G384*1000</f>
        <v>164710000</v>
      </c>
      <c r="K384" s="169">
        <f t="shared" si="233"/>
        <v>0</v>
      </c>
      <c r="L384" s="16">
        <f>'БА в тыс. руб.'!H384*1000</f>
        <v>200042000</v>
      </c>
      <c r="M384" s="169">
        <f t="shared" si="234"/>
        <v>0</v>
      </c>
      <c r="N384" s="16">
        <f>'БА в тыс. руб.'!I384*1000</f>
        <v>241728000</v>
      </c>
      <c r="O384" s="169">
        <f t="shared" si="235"/>
        <v>0</v>
      </c>
      <c r="S384" s="182"/>
      <c r="T384" s="182"/>
      <c r="U384" s="182"/>
    </row>
    <row r="385" spans="1:21" s="109" customFormat="1" ht="38.25">
      <c r="A385" s="12" t="s">
        <v>744</v>
      </c>
      <c r="B385" s="25" t="s">
        <v>75</v>
      </c>
      <c r="C385" s="26" t="s">
        <v>84</v>
      </c>
      <c r="D385" s="26" t="s">
        <v>65</v>
      </c>
      <c r="E385" s="26" t="s">
        <v>312</v>
      </c>
      <c r="F385" s="26" t="s">
        <v>58</v>
      </c>
      <c r="G385" s="27">
        <f t="shared" si="266"/>
        <v>164710000</v>
      </c>
      <c r="H385" s="27">
        <f t="shared" si="266"/>
        <v>200042000</v>
      </c>
      <c r="I385" s="27">
        <f t="shared" si="266"/>
        <v>241728000</v>
      </c>
      <c r="J385" s="16">
        <f>'БА в тыс. руб.'!G385*1000</f>
        <v>164710000</v>
      </c>
      <c r="K385" s="169">
        <f t="shared" si="233"/>
        <v>0</v>
      </c>
      <c r="L385" s="16">
        <f>'БА в тыс. руб.'!H385*1000</f>
        <v>200042000</v>
      </c>
      <c r="M385" s="169">
        <f t="shared" si="234"/>
        <v>0</v>
      </c>
      <c r="N385" s="16">
        <f>'БА в тыс. руб.'!I385*1000</f>
        <v>241728000</v>
      </c>
      <c r="O385" s="169">
        <f t="shared" si="235"/>
        <v>0</v>
      </c>
      <c r="S385" s="182"/>
      <c r="T385" s="182"/>
      <c r="U385" s="182"/>
    </row>
    <row r="386" spans="1:21" s="109" customFormat="1" ht="38.25">
      <c r="A386" s="12" t="s">
        <v>316</v>
      </c>
      <c r="B386" s="25" t="s">
        <v>75</v>
      </c>
      <c r="C386" s="26" t="s">
        <v>84</v>
      </c>
      <c r="D386" s="26" t="s">
        <v>65</v>
      </c>
      <c r="E386" s="26" t="s">
        <v>317</v>
      </c>
      <c r="F386" s="26" t="s">
        <v>58</v>
      </c>
      <c r="G386" s="27">
        <f t="shared" si="266"/>
        <v>164710000</v>
      </c>
      <c r="H386" s="27">
        <f t="shared" si="266"/>
        <v>200042000</v>
      </c>
      <c r="I386" s="27">
        <f t="shared" si="266"/>
        <v>241728000</v>
      </c>
      <c r="J386" s="16">
        <f>'БА в тыс. руб.'!G386*1000</f>
        <v>164710000</v>
      </c>
      <c r="K386" s="169">
        <f t="shared" si="233"/>
        <v>0</v>
      </c>
      <c r="L386" s="16">
        <f>'БА в тыс. руб.'!H386*1000</f>
        <v>200042000</v>
      </c>
      <c r="M386" s="169">
        <f t="shared" si="234"/>
        <v>0</v>
      </c>
      <c r="N386" s="16">
        <f>'БА в тыс. руб.'!I386*1000</f>
        <v>241728000</v>
      </c>
      <c r="O386" s="169">
        <f t="shared" si="235"/>
        <v>0</v>
      </c>
      <c r="S386" s="182"/>
      <c r="T386" s="182"/>
      <c r="U386" s="182"/>
    </row>
    <row r="387" spans="1:21" s="109" customFormat="1" ht="12.75">
      <c r="A387" s="12" t="s">
        <v>95</v>
      </c>
      <c r="B387" s="25" t="s">
        <v>75</v>
      </c>
      <c r="C387" s="26" t="s">
        <v>84</v>
      </c>
      <c r="D387" s="26" t="s">
        <v>65</v>
      </c>
      <c r="E387" s="26" t="s">
        <v>318</v>
      </c>
      <c r="F387" s="26" t="s">
        <v>58</v>
      </c>
      <c r="G387" s="27">
        <f t="shared" si="266"/>
        <v>164710000</v>
      </c>
      <c r="H387" s="27">
        <f t="shared" si="266"/>
        <v>200042000</v>
      </c>
      <c r="I387" s="27">
        <f t="shared" si="266"/>
        <v>241728000</v>
      </c>
      <c r="J387" s="16">
        <f>'БА в тыс. руб.'!G387*1000</f>
        <v>164710000</v>
      </c>
      <c r="K387" s="169">
        <f t="shared" si="233"/>
        <v>0</v>
      </c>
      <c r="L387" s="16">
        <f>'БА в тыс. руб.'!H387*1000</f>
        <v>200042000</v>
      </c>
      <c r="M387" s="169">
        <f t="shared" si="234"/>
        <v>0</v>
      </c>
      <c r="N387" s="16">
        <f>'БА в тыс. руб.'!I387*1000</f>
        <v>241728000</v>
      </c>
      <c r="O387" s="169">
        <f t="shared" si="235"/>
        <v>0</v>
      </c>
      <c r="S387" s="182"/>
      <c r="T387" s="182"/>
      <c r="U387" s="182"/>
    </row>
    <row r="388" spans="1:21" s="109" customFormat="1" ht="12.75">
      <c r="A388" s="12" t="s">
        <v>94</v>
      </c>
      <c r="B388" s="25" t="s">
        <v>75</v>
      </c>
      <c r="C388" s="26" t="s">
        <v>84</v>
      </c>
      <c r="D388" s="26" t="s">
        <v>65</v>
      </c>
      <c r="E388" s="26" t="s">
        <v>318</v>
      </c>
      <c r="F388" s="26" t="s">
        <v>132</v>
      </c>
      <c r="G388" s="27">
        <f t="shared" ref="G388" si="267">J388</f>
        <v>164710000</v>
      </c>
      <c r="H388" s="27">
        <f t="shared" ref="H388" si="268">L388</f>
        <v>200042000</v>
      </c>
      <c r="I388" s="27">
        <f t="shared" ref="I388" si="269">N388</f>
        <v>241728000</v>
      </c>
      <c r="J388" s="16">
        <f>'БА в тыс. руб.'!G388*1000</f>
        <v>164710000</v>
      </c>
      <c r="K388" s="169">
        <f t="shared" si="233"/>
        <v>0</v>
      </c>
      <c r="L388" s="16">
        <f>'БА в тыс. руб.'!H388*1000</f>
        <v>200042000</v>
      </c>
      <c r="M388" s="169">
        <f t="shared" si="234"/>
        <v>0</v>
      </c>
      <c r="N388" s="16">
        <f>'БА в тыс. руб.'!I388*1000</f>
        <v>241728000</v>
      </c>
      <c r="O388" s="169">
        <f t="shared" si="235"/>
        <v>0</v>
      </c>
      <c r="S388" s="182"/>
      <c r="T388" s="182"/>
      <c r="U388" s="182"/>
    </row>
    <row r="389" spans="1:21" s="99" customFormat="1" ht="12.75">
      <c r="A389" s="93"/>
      <c r="B389" s="92"/>
      <c r="C389" s="70"/>
      <c r="D389" s="70"/>
      <c r="E389" s="70"/>
      <c r="F389" s="70"/>
      <c r="G389" s="27"/>
      <c r="H389" s="27"/>
      <c r="I389" s="27"/>
      <c r="J389" s="16">
        <f>'БА в тыс. руб.'!G389*1000</f>
        <v>0</v>
      </c>
      <c r="K389" s="169">
        <f t="shared" si="233"/>
        <v>0</v>
      </c>
      <c r="L389" s="16">
        <f>'БА в тыс. руб.'!H389*1000</f>
        <v>0</v>
      </c>
      <c r="M389" s="169">
        <f t="shared" si="234"/>
        <v>0</v>
      </c>
      <c r="N389" s="16">
        <f>'БА в тыс. руб.'!I389*1000</f>
        <v>0</v>
      </c>
      <c r="O389" s="169">
        <f t="shared" si="235"/>
        <v>0</v>
      </c>
      <c r="S389" s="185"/>
      <c r="T389" s="185"/>
      <c r="U389" s="185"/>
    </row>
    <row r="390" spans="1:21" s="3" customFormat="1" ht="25.5">
      <c r="A390" s="28" t="s">
        <v>87</v>
      </c>
      <c r="B390" s="14" t="s">
        <v>68</v>
      </c>
      <c r="C390" s="15" t="s">
        <v>51</v>
      </c>
      <c r="D390" s="15" t="s">
        <v>51</v>
      </c>
      <c r="E390" s="15" t="s">
        <v>196</v>
      </c>
      <c r="F390" s="15" t="s">
        <v>58</v>
      </c>
      <c r="G390" s="29">
        <f>G391+G422+G414</f>
        <v>32190380</v>
      </c>
      <c r="H390" s="29">
        <f>H391+H422+H414</f>
        <v>31515760</v>
      </c>
      <c r="I390" s="29">
        <f>I391+I422+I414</f>
        <v>31515760</v>
      </c>
      <c r="J390" s="16">
        <f>'БА в тыс. руб.'!G390*1000</f>
        <v>32190380</v>
      </c>
      <c r="K390" s="169">
        <f t="shared" si="233"/>
        <v>0</v>
      </c>
      <c r="L390" s="16">
        <f>'БА в тыс. руб.'!H390*1000</f>
        <v>31515760</v>
      </c>
      <c r="M390" s="169">
        <f t="shared" si="234"/>
        <v>0</v>
      </c>
      <c r="N390" s="16">
        <f>'БА в тыс. руб.'!I390*1000</f>
        <v>31515760</v>
      </c>
      <c r="O390" s="169">
        <f t="shared" si="235"/>
        <v>0</v>
      </c>
      <c r="S390" s="30"/>
      <c r="T390" s="30"/>
      <c r="U390" s="30"/>
    </row>
    <row r="391" spans="1:21" s="116" customFormat="1">
      <c r="A391" s="17" t="s">
        <v>64</v>
      </c>
      <c r="B391" s="18" t="s">
        <v>68</v>
      </c>
      <c r="C391" s="19" t="s">
        <v>65</v>
      </c>
      <c r="D391" s="19" t="s">
        <v>51</v>
      </c>
      <c r="E391" s="19" t="s">
        <v>196</v>
      </c>
      <c r="F391" s="19" t="s">
        <v>58</v>
      </c>
      <c r="G391" s="20">
        <f t="shared" ref="G391:I399" si="270">G392</f>
        <v>28446740</v>
      </c>
      <c r="H391" s="20">
        <f t="shared" si="270"/>
        <v>28278440</v>
      </c>
      <c r="I391" s="20">
        <f t="shared" si="270"/>
        <v>28278440</v>
      </c>
      <c r="J391" s="16">
        <f>'БА в тыс. руб.'!G391*1000</f>
        <v>28446740</v>
      </c>
      <c r="K391" s="169">
        <f t="shared" si="233"/>
        <v>0</v>
      </c>
      <c r="L391" s="16">
        <f>'БА в тыс. руб.'!H391*1000</f>
        <v>28278440</v>
      </c>
      <c r="M391" s="169">
        <f t="shared" si="234"/>
        <v>0</v>
      </c>
      <c r="N391" s="16">
        <f>'БА в тыс. руб.'!I391*1000</f>
        <v>28278440</v>
      </c>
      <c r="O391" s="169">
        <f t="shared" si="235"/>
        <v>0</v>
      </c>
      <c r="S391" s="186"/>
      <c r="T391" s="186"/>
      <c r="U391" s="186"/>
    </row>
    <row r="392" spans="1:21" s="4" customFormat="1">
      <c r="A392" s="21" t="s">
        <v>38</v>
      </c>
      <c r="B392" s="22" t="s">
        <v>68</v>
      </c>
      <c r="C392" s="23" t="s">
        <v>65</v>
      </c>
      <c r="D392" s="23" t="s">
        <v>84</v>
      </c>
      <c r="E392" s="23" t="s">
        <v>196</v>
      </c>
      <c r="F392" s="23" t="s">
        <v>58</v>
      </c>
      <c r="G392" s="24">
        <f>G399+G393</f>
        <v>28446740</v>
      </c>
      <c r="H392" s="24">
        <f t="shared" ref="H392:I392" si="271">H399+H393</f>
        <v>28278440</v>
      </c>
      <c r="I392" s="24">
        <f t="shared" si="271"/>
        <v>28278440</v>
      </c>
      <c r="J392" s="16">
        <f>'БА в тыс. руб.'!G392*1000</f>
        <v>28446740</v>
      </c>
      <c r="K392" s="169">
        <f t="shared" ref="K392:K455" si="272">J392-G392</f>
        <v>0</v>
      </c>
      <c r="L392" s="16">
        <f>'БА в тыс. руб.'!H392*1000</f>
        <v>28278440</v>
      </c>
      <c r="M392" s="169">
        <f t="shared" ref="M392:M455" si="273">L392-H392</f>
        <v>0</v>
      </c>
      <c r="N392" s="16">
        <f>'БА в тыс. руб.'!I392*1000</f>
        <v>28278440</v>
      </c>
      <c r="O392" s="169">
        <f t="shared" ref="O392:O455" si="274">N392-I392</f>
        <v>0</v>
      </c>
      <c r="S392" s="83"/>
      <c r="T392" s="83"/>
      <c r="U392" s="83"/>
    </row>
    <row r="393" spans="1:21" s="3" customFormat="1" ht="38.25">
      <c r="A393" s="11" t="s">
        <v>752</v>
      </c>
      <c r="B393" s="25" t="s">
        <v>68</v>
      </c>
      <c r="C393" s="26" t="s">
        <v>65</v>
      </c>
      <c r="D393" s="26" t="s">
        <v>84</v>
      </c>
      <c r="E393" s="26" t="s">
        <v>249</v>
      </c>
      <c r="F393" s="26" t="s">
        <v>58</v>
      </c>
      <c r="G393" s="27">
        <f t="shared" ref="G393:I397" si="275">G394</f>
        <v>7650</v>
      </c>
      <c r="H393" s="27">
        <f t="shared" si="275"/>
        <v>6890</v>
      </c>
      <c r="I393" s="27">
        <f t="shared" si="275"/>
        <v>6890</v>
      </c>
      <c r="J393" s="16">
        <f>'БА в тыс. руб.'!G393*1000</f>
        <v>7650</v>
      </c>
      <c r="K393" s="169">
        <f t="shared" si="272"/>
        <v>0</v>
      </c>
      <c r="L393" s="16">
        <f>'БА в тыс. руб.'!H393*1000</f>
        <v>6890</v>
      </c>
      <c r="M393" s="169">
        <f t="shared" si="273"/>
        <v>0</v>
      </c>
      <c r="N393" s="16">
        <f>'БА в тыс. руб.'!I393*1000</f>
        <v>6890</v>
      </c>
      <c r="O393" s="169">
        <f t="shared" si="274"/>
        <v>0</v>
      </c>
      <c r="S393" s="30"/>
      <c r="T393" s="30"/>
      <c r="U393" s="30"/>
    </row>
    <row r="394" spans="1:21" s="3" customFormat="1" ht="25.5">
      <c r="A394" s="11" t="s">
        <v>879</v>
      </c>
      <c r="B394" s="25" t="s">
        <v>68</v>
      </c>
      <c r="C394" s="26" t="s">
        <v>65</v>
      </c>
      <c r="D394" s="26" t="s">
        <v>84</v>
      </c>
      <c r="E394" s="26" t="s">
        <v>256</v>
      </c>
      <c r="F394" s="26" t="s">
        <v>58</v>
      </c>
      <c r="G394" s="27">
        <f t="shared" si="275"/>
        <v>7650</v>
      </c>
      <c r="H394" s="27">
        <f t="shared" si="275"/>
        <v>6890</v>
      </c>
      <c r="I394" s="27">
        <f t="shared" si="275"/>
        <v>6890</v>
      </c>
      <c r="J394" s="16">
        <f>'БА в тыс. руб.'!G394*1000</f>
        <v>7650</v>
      </c>
      <c r="K394" s="169">
        <f t="shared" si="272"/>
        <v>0</v>
      </c>
      <c r="L394" s="16">
        <f>'БА в тыс. руб.'!H394*1000</f>
        <v>6890</v>
      </c>
      <c r="M394" s="169">
        <f t="shared" si="273"/>
        <v>0</v>
      </c>
      <c r="N394" s="16">
        <f>'БА в тыс. руб.'!I394*1000</f>
        <v>6890</v>
      </c>
      <c r="O394" s="169">
        <f t="shared" si="274"/>
        <v>0</v>
      </c>
      <c r="S394" s="30"/>
      <c r="T394" s="30"/>
      <c r="U394" s="30"/>
    </row>
    <row r="395" spans="1:21" s="3" customFormat="1" ht="25.5">
      <c r="A395" s="11" t="s">
        <v>616</v>
      </c>
      <c r="B395" s="25" t="s">
        <v>68</v>
      </c>
      <c r="C395" s="26" t="s">
        <v>65</v>
      </c>
      <c r="D395" s="26" t="s">
        <v>84</v>
      </c>
      <c r="E395" s="26" t="s">
        <v>321</v>
      </c>
      <c r="F395" s="26" t="s">
        <v>58</v>
      </c>
      <c r="G395" s="27">
        <f t="shared" si="275"/>
        <v>7650</v>
      </c>
      <c r="H395" s="27">
        <f t="shared" si="275"/>
        <v>6890</v>
      </c>
      <c r="I395" s="27">
        <f t="shared" si="275"/>
        <v>6890</v>
      </c>
      <c r="J395" s="16">
        <f>'БА в тыс. руб.'!G395*1000</f>
        <v>7650</v>
      </c>
      <c r="K395" s="169">
        <f t="shared" si="272"/>
        <v>0</v>
      </c>
      <c r="L395" s="16">
        <f>'БА в тыс. руб.'!H395*1000</f>
        <v>6890</v>
      </c>
      <c r="M395" s="169">
        <f t="shared" si="273"/>
        <v>0</v>
      </c>
      <c r="N395" s="16">
        <f>'БА в тыс. руб.'!I395*1000</f>
        <v>6890</v>
      </c>
      <c r="O395" s="169">
        <f t="shared" si="274"/>
        <v>0</v>
      </c>
      <c r="S395" s="30"/>
      <c r="T395" s="30"/>
      <c r="U395" s="30"/>
    </row>
    <row r="396" spans="1:21" s="3" customFormat="1" ht="25.5">
      <c r="A396" s="11" t="s">
        <v>133</v>
      </c>
      <c r="B396" s="25" t="s">
        <v>68</v>
      </c>
      <c r="C396" s="26" t="s">
        <v>65</v>
      </c>
      <c r="D396" s="26" t="s">
        <v>84</v>
      </c>
      <c r="E396" s="26" t="s">
        <v>322</v>
      </c>
      <c r="F396" s="26" t="s">
        <v>58</v>
      </c>
      <c r="G396" s="27">
        <f t="shared" si="275"/>
        <v>7650</v>
      </c>
      <c r="H396" s="27">
        <f t="shared" si="275"/>
        <v>6890</v>
      </c>
      <c r="I396" s="27">
        <f t="shared" si="275"/>
        <v>6890</v>
      </c>
      <c r="J396" s="16">
        <f>'БА в тыс. руб.'!G396*1000</f>
        <v>7650</v>
      </c>
      <c r="K396" s="169">
        <f t="shared" si="272"/>
        <v>0</v>
      </c>
      <c r="L396" s="16">
        <f>'БА в тыс. руб.'!H396*1000</f>
        <v>6890</v>
      </c>
      <c r="M396" s="169">
        <f t="shared" si="273"/>
        <v>0</v>
      </c>
      <c r="N396" s="16">
        <f>'БА в тыс. руб.'!I396*1000</f>
        <v>6890</v>
      </c>
      <c r="O396" s="169">
        <f t="shared" si="274"/>
        <v>0</v>
      </c>
      <c r="S396" s="30"/>
      <c r="T396" s="30"/>
      <c r="U396" s="30"/>
    </row>
    <row r="397" spans="1:21" s="3" customFormat="1" ht="25.5">
      <c r="A397" s="11" t="s">
        <v>108</v>
      </c>
      <c r="B397" s="25" t="s">
        <v>68</v>
      </c>
      <c r="C397" s="26" t="s">
        <v>65</v>
      </c>
      <c r="D397" s="26" t="s">
        <v>84</v>
      </c>
      <c r="E397" s="26" t="s">
        <v>322</v>
      </c>
      <c r="F397" s="26" t="s">
        <v>116</v>
      </c>
      <c r="G397" s="27">
        <f>G398</f>
        <v>7650</v>
      </c>
      <c r="H397" s="27">
        <f t="shared" si="275"/>
        <v>6890</v>
      </c>
      <c r="I397" s="27">
        <f t="shared" si="275"/>
        <v>6890</v>
      </c>
      <c r="J397" s="16">
        <f>'БА в тыс. руб.'!G397*1000</f>
        <v>7650</v>
      </c>
      <c r="K397" s="169">
        <f t="shared" si="272"/>
        <v>0</v>
      </c>
      <c r="L397" s="16">
        <f>'БА в тыс. руб.'!H397*1000</f>
        <v>6890</v>
      </c>
      <c r="M397" s="169">
        <f t="shared" si="273"/>
        <v>0</v>
      </c>
      <c r="N397" s="16">
        <f>'БА в тыс. руб.'!I397*1000</f>
        <v>6890</v>
      </c>
      <c r="O397" s="169">
        <f t="shared" si="274"/>
        <v>0</v>
      </c>
      <c r="S397" s="30"/>
      <c r="T397" s="30"/>
      <c r="U397" s="30"/>
    </row>
    <row r="398" spans="1:21" s="94" customFormat="1" ht="25.5">
      <c r="A398" s="12" t="s">
        <v>973</v>
      </c>
      <c r="B398" s="25" t="s">
        <v>68</v>
      </c>
      <c r="C398" s="26" t="s">
        <v>65</v>
      </c>
      <c r="D398" s="26" t="s">
        <v>84</v>
      </c>
      <c r="E398" s="26" t="s">
        <v>322</v>
      </c>
      <c r="F398" s="26" t="s">
        <v>1043</v>
      </c>
      <c r="G398" s="27">
        <f t="shared" ref="G398" si="276">J398</f>
        <v>7650</v>
      </c>
      <c r="H398" s="27">
        <f>L398</f>
        <v>6890</v>
      </c>
      <c r="I398" s="27">
        <f>N398</f>
        <v>6890</v>
      </c>
      <c r="J398" s="16">
        <f>'БА в тыс. руб.'!G398*1000</f>
        <v>7650</v>
      </c>
      <c r="K398" s="169">
        <f t="shared" si="272"/>
        <v>0</v>
      </c>
      <c r="L398" s="16">
        <f>'БА в тыс. руб.'!H398*1000</f>
        <v>6890</v>
      </c>
      <c r="M398" s="169">
        <f t="shared" si="273"/>
        <v>0</v>
      </c>
      <c r="N398" s="16">
        <f>'БА в тыс. руб.'!I398*1000</f>
        <v>6890</v>
      </c>
      <c r="O398" s="169">
        <f t="shared" si="274"/>
        <v>0</v>
      </c>
      <c r="S398" s="103"/>
      <c r="T398" s="103"/>
      <c r="U398" s="103"/>
    </row>
    <row r="399" spans="1:21" s="3" customFormat="1" ht="25.5">
      <c r="A399" s="11" t="s">
        <v>582</v>
      </c>
      <c r="B399" s="25" t="s">
        <v>68</v>
      </c>
      <c r="C399" s="26" t="s">
        <v>65</v>
      </c>
      <c r="D399" s="26" t="s">
        <v>84</v>
      </c>
      <c r="E399" s="26" t="s">
        <v>323</v>
      </c>
      <c r="F399" s="26" t="s">
        <v>58</v>
      </c>
      <c r="G399" s="27">
        <f t="shared" si="270"/>
        <v>28439090</v>
      </c>
      <c r="H399" s="27">
        <f t="shared" si="270"/>
        <v>28271550</v>
      </c>
      <c r="I399" s="27">
        <f t="shared" si="270"/>
        <v>28271550</v>
      </c>
      <c r="J399" s="16">
        <f>'БА в тыс. руб.'!G399*1000</f>
        <v>28439090</v>
      </c>
      <c r="K399" s="169">
        <f t="shared" si="272"/>
        <v>0</v>
      </c>
      <c r="L399" s="16">
        <f>'БА в тыс. руб.'!H399*1000</f>
        <v>28271550</v>
      </c>
      <c r="M399" s="169">
        <f t="shared" si="273"/>
        <v>0</v>
      </c>
      <c r="N399" s="16">
        <f>'БА в тыс. руб.'!I399*1000</f>
        <v>28271550</v>
      </c>
      <c r="O399" s="169">
        <f t="shared" si="274"/>
        <v>0</v>
      </c>
      <c r="S399" s="30"/>
      <c r="T399" s="30"/>
      <c r="U399" s="30"/>
    </row>
    <row r="400" spans="1:21" s="3" customFormat="1" ht="38.25">
      <c r="A400" s="11" t="s">
        <v>583</v>
      </c>
      <c r="B400" s="25" t="s">
        <v>68</v>
      </c>
      <c r="C400" s="26" t="s">
        <v>65</v>
      </c>
      <c r="D400" s="26" t="s">
        <v>84</v>
      </c>
      <c r="E400" s="26" t="s">
        <v>324</v>
      </c>
      <c r="F400" s="26" t="s">
        <v>58</v>
      </c>
      <c r="G400" s="27">
        <f>G401+G410</f>
        <v>28439090</v>
      </c>
      <c r="H400" s="27">
        <f>H401+H410</f>
        <v>28271550</v>
      </c>
      <c r="I400" s="27">
        <f>I401+I410</f>
        <v>28271550</v>
      </c>
      <c r="J400" s="16">
        <f>'БА в тыс. руб.'!G400*1000</f>
        <v>28439090</v>
      </c>
      <c r="K400" s="169">
        <f t="shared" si="272"/>
        <v>0</v>
      </c>
      <c r="L400" s="16">
        <f>'БА в тыс. руб.'!H400*1000</f>
        <v>28271550</v>
      </c>
      <c r="M400" s="169">
        <f t="shared" si="273"/>
        <v>0</v>
      </c>
      <c r="N400" s="16">
        <f>'БА в тыс. руб.'!I400*1000</f>
        <v>28271550</v>
      </c>
      <c r="O400" s="169">
        <f t="shared" si="274"/>
        <v>0</v>
      </c>
      <c r="S400" s="30"/>
      <c r="T400" s="30"/>
      <c r="U400" s="30"/>
    </row>
    <row r="401" spans="1:21" s="3" customFormat="1" ht="25.5">
      <c r="A401" s="11" t="s">
        <v>114</v>
      </c>
      <c r="B401" s="25" t="s">
        <v>68</v>
      </c>
      <c r="C401" s="26" t="s">
        <v>65</v>
      </c>
      <c r="D401" s="26" t="s">
        <v>84</v>
      </c>
      <c r="E401" s="26" t="s">
        <v>325</v>
      </c>
      <c r="F401" s="26" t="s">
        <v>58</v>
      </c>
      <c r="G401" s="27">
        <f>G402+G405+G407</f>
        <v>3219050</v>
      </c>
      <c r="H401" s="27">
        <f t="shared" ref="H401:I401" si="277">H402+H405+H407</f>
        <v>3051510</v>
      </c>
      <c r="I401" s="27">
        <f t="shared" si="277"/>
        <v>3051510</v>
      </c>
      <c r="J401" s="16">
        <f>'БА в тыс. руб.'!G401*1000</f>
        <v>3219050</v>
      </c>
      <c r="K401" s="169">
        <f t="shared" si="272"/>
        <v>0</v>
      </c>
      <c r="L401" s="16">
        <f>'БА в тыс. руб.'!H401*1000</f>
        <v>3051509.9999999995</v>
      </c>
      <c r="M401" s="169">
        <f t="shared" si="273"/>
        <v>0</v>
      </c>
      <c r="N401" s="16">
        <f>'БА в тыс. руб.'!I401*1000</f>
        <v>3051509.9999999995</v>
      </c>
      <c r="O401" s="169">
        <f t="shared" si="274"/>
        <v>0</v>
      </c>
      <c r="S401" s="30"/>
      <c r="T401" s="30"/>
      <c r="U401" s="30"/>
    </row>
    <row r="402" spans="1:21" s="3" customFormat="1" ht="25.5">
      <c r="A402" s="11" t="s">
        <v>107</v>
      </c>
      <c r="B402" s="25" t="s">
        <v>68</v>
      </c>
      <c r="C402" s="26" t="s">
        <v>65</v>
      </c>
      <c r="D402" s="26" t="s">
        <v>84</v>
      </c>
      <c r="E402" s="26" t="s">
        <v>325</v>
      </c>
      <c r="F402" s="26" t="s">
        <v>115</v>
      </c>
      <c r="G402" s="27">
        <f>SUM(G403:G404)</f>
        <v>757890</v>
      </c>
      <c r="H402" s="27">
        <f t="shared" ref="H402:I402" si="278">SUM(H403:H404)</f>
        <v>757890</v>
      </c>
      <c r="I402" s="27">
        <f t="shared" si="278"/>
        <v>757890</v>
      </c>
      <c r="J402" s="16">
        <f>'БА в тыс. руб.'!G402*1000</f>
        <v>757890</v>
      </c>
      <c r="K402" s="169">
        <f t="shared" si="272"/>
        <v>0</v>
      </c>
      <c r="L402" s="16">
        <f>'БА в тыс. руб.'!H402*1000</f>
        <v>757890</v>
      </c>
      <c r="M402" s="169">
        <f t="shared" si="273"/>
        <v>0</v>
      </c>
      <c r="N402" s="16">
        <f>'БА в тыс. руб.'!I402*1000</f>
        <v>757890</v>
      </c>
      <c r="O402" s="169">
        <f t="shared" si="274"/>
        <v>0</v>
      </c>
      <c r="S402" s="30"/>
      <c r="T402" s="30"/>
      <c r="U402" s="30"/>
    </row>
    <row r="403" spans="1:21" s="3" customFormat="1" ht="25.5">
      <c r="A403" s="11" t="s">
        <v>937</v>
      </c>
      <c r="B403" s="25" t="s">
        <v>68</v>
      </c>
      <c r="C403" s="26" t="s">
        <v>65</v>
      </c>
      <c r="D403" s="26" t="s">
        <v>84</v>
      </c>
      <c r="E403" s="26" t="s">
        <v>325</v>
      </c>
      <c r="F403" s="26" t="s">
        <v>1059</v>
      </c>
      <c r="G403" s="27">
        <f t="shared" ref="G403:G404" si="279">J403</f>
        <v>585060</v>
      </c>
      <c r="H403" s="27">
        <f t="shared" ref="H403:H404" si="280">L403</f>
        <v>585060</v>
      </c>
      <c r="I403" s="27">
        <f t="shared" ref="I403:I404" si="281">N403</f>
        <v>585060</v>
      </c>
      <c r="J403" s="16">
        <f>'БА в тыс. руб.'!G403*1000</f>
        <v>585060</v>
      </c>
      <c r="K403" s="169">
        <f t="shared" si="272"/>
        <v>0</v>
      </c>
      <c r="L403" s="16">
        <f>'БА в тыс. руб.'!H403*1000</f>
        <v>585060</v>
      </c>
      <c r="M403" s="169">
        <f t="shared" si="273"/>
        <v>0</v>
      </c>
      <c r="N403" s="16">
        <f>'БА в тыс. руб.'!I403*1000</f>
        <v>585060</v>
      </c>
      <c r="O403" s="169">
        <f t="shared" si="274"/>
        <v>0</v>
      </c>
      <c r="S403" s="30"/>
      <c r="T403" s="30"/>
      <c r="U403" s="30"/>
    </row>
    <row r="404" spans="1:21" s="3" customFormat="1" ht="38.25">
      <c r="A404" s="11" t="s">
        <v>939</v>
      </c>
      <c r="B404" s="25" t="s">
        <v>68</v>
      </c>
      <c r="C404" s="26" t="s">
        <v>65</v>
      </c>
      <c r="D404" s="26" t="s">
        <v>84</v>
      </c>
      <c r="E404" s="26" t="s">
        <v>325</v>
      </c>
      <c r="F404" s="26" t="s">
        <v>1060</v>
      </c>
      <c r="G404" s="27">
        <f t="shared" si="279"/>
        <v>172830</v>
      </c>
      <c r="H404" s="27">
        <f t="shared" si="280"/>
        <v>172830</v>
      </c>
      <c r="I404" s="27">
        <f t="shared" si="281"/>
        <v>172830</v>
      </c>
      <c r="J404" s="16">
        <f>'БА в тыс. руб.'!G404*1000</f>
        <v>172830</v>
      </c>
      <c r="K404" s="169">
        <f t="shared" si="272"/>
        <v>0</v>
      </c>
      <c r="L404" s="16">
        <f>'БА в тыс. руб.'!H404*1000</f>
        <v>172830</v>
      </c>
      <c r="M404" s="169">
        <f t="shared" si="273"/>
        <v>0</v>
      </c>
      <c r="N404" s="16">
        <f>'БА в тыс. руб.'!I404*1000</f>
        <v>172830</v>
      </c>
      <c r="O404" s="169">
        <f t="shared" si="274"/>
        <v>0</v>
      </c>
      <c r="S404" s="30"/>
      <c r="T404" s="30"/>
      <c r="U404" s="30"/>
    </row>
    <row r="405" spans="1:21" s="3" customFormat="1" ht="25.5">
      <c r="A405" s="11" t="s">
        <v>108</v>
      </c>
      <c r="B405" s="25" t="s">
        <v>68</v>
      </c>
      <c r="C405" s="26" t="s">
        <v>65</v>
      </c>
      <c r="D405" s="26" t="s">
        <v>84</v>
      </c>
      <c r="E405" s="26" t="s">
        <v>325</v>
      </c>
      <c r="F405" s="26" t="s">
        <v>116</v>
      </c>
      <c r="G405" s="27">
        <f>G406</f>
        <v>2441010</v>
      </c>
      <c r="H405" s="27">
        <f t="shared" ref="H405:I405" si="282">H406</f>
        <v>2273470</v>
      </c>
      <c r="I405" s="27">
        <f t="shared" si="282"/>
        <v>2273470</v>
      </c>
      <c r="J405" s="16">
        <f>'БА в тыс. руб.'!G405*1000</f>
        <v>2441010</v>
      </c>
      <c r="K405" s="169">
        <f t="shared" si="272"/>
        <v>0</v>
      </c>
      <c r="L405" s="16">
        <f>'БА в тыс. руб.'!H405*1000</f>
        <v>2273470</v>
      </c>
      <c r="M405" s="169">
        <f t="shared" si="273"/>
        <v>0</v>
      </c>
      <c r="N405" s="16">
        <f>'БА в тыс. руб.'!I405*1000</f>
        <v>2273470</v>
      </c>
      <c r="O405" s="169">
        <f t="shared" si="274"/>
        <v>0</v>
      </c>
      <c r="S405" s="30"/>
      <c r="T405" s="30"/>
      <c r="U405" s="30"/>
    </row>
    <row r="406" spans="1:21" s="4" customFormat="1" ht="25.5">
      <c r="A406" s="12" t="s">
        <v>973</v>
      </c>
      <c r="B406" s="25" t="s">
        <v>68</v>
      </c>
      <c r="C406" s="26" t="s">
        <v>65</v>
      </c>
      <c r="D406" s="26" t="s">
        <v>84</v>
      </c>
      <c r="E406" s="26" t="s">
        <v>325</v>
      </c>
      <c r="F406" s="26" t="s">
        <v>1043</v>
      </c>
      <c r="G406" s="27">
        <f t="shared" ref="G406" si="283">J406</f>
        <v>2441010</v>
      </c>
      <c r="H406" s="27">
        <f>L406</f>
        <v>2273470</v>
      </c>
      <c r="I406" s="27">
        <f>N406</f>
        <v>2273470</v>
      </c>
      <c r="J406" s="16">
        <f>'БА в тыс. руб.'!G406*1000</f>
        <v>2441010</v>
      </c>
      <c r="K406" s="169">
        <f t="shared" si="272"/>
        <v>0</v>
      </c>
      <c r="L406" s="16">
        <f>'БА в тыс. руб.'!H406*1000</f>
        <v>2273470</v>
      </c>
      <c r="M406" s="169">
        <f t="shared" si="273"/>
        <v>0</v>
      </c>
      <c r="N406" s="16">
        <f>'БА в тыс. руб.'!I406*1000</f>
        <v>2273470</v>
      </c>
      <c r="O406" s="169">
        <f t="shared" si="274"/>
        <v>0</v>
      </c>
      <c r="S406" s="83"/>
      <c r="T406" s="83"/>
      <c r="U406" s="83"/>
    </row>
    <row r="407" spans="1:21" s="3" customFormat="1">
      <c r="A407" s="11" t="s">
        <v>97</v>
      </c>
      <c r="B407" s="25" t="s">
        <v>68</v>
      </c>
      <c r="C407" s="26" t="s">
        <v>65</v>
      </c>
      <c r="D407" s="26" t="s">
        <v>84</v>
      </c>
      <c r="E407" s="26" t="s">
        <v>325</v>
      </c>
      <c r="F407" s="26" t="s">
        <v>118</v>
      </c>
      <c r="G407" s="27">
        <f>SUM(G408:G409)</f>
        <v>20150</v>
      </c>
      <c r="H407" s="27">
        <f t="shared" ref="H407:I407" si="284">SUM(H408:H409)</f>
        <v>20150</v>
      </c>
      <c r="I407" s="27">
        <f t="shared" si="284"/>
        <v>20150</v>
      </c>
      <c r="J407" s="16">
        <f>'БА в тыс. руб.'!G407*1000</f>
        <v>20150</v>
      </c>
      <c r="K407" s="169">
        <f t="shared" si="272"/>
        <v>0</v>
      </c>
      <c r="L407" s="16">
        <f>'БА в тыс. руб.'!H407*1000</f>
        <v>20150</v>
      </c>
      <c r="M407" s="169">
        <f t="shared" si="273"/>
        <v>0</v>
      </c>
      <c r="N407" s="16">
        <f>'БА в тыс. руб.'!I407*1000</f>
        <v>20150</v>
      </c>
      <c r="O407" s="169">
        <f t="shared" si="274"/>
        <v>0</v>
      </c>
      <c r="S407" s="30"/>
      <c r="T407" s="30"/>
      <c r="U407" s="30"/>
    </row>
    <row r="408" spans="1:21" s="4" customFormat="1">
      <c r="A408" s="12" t="s">
        <v>1036</v>
      </c>
      <c r="B408" s="25" t="s">
        <v>68</v>
      </c>
      <c r="C408" s="26" t="s">
        <v>65</v>
      </c>
      <c r="D408" s="26" t="s">
        <v>84</v>
      </c>
      <c r="E408" s="26" t="s">
        <v>325</v>
      </c>
      <c r="F408" s="26" t="s">
        <v>1061</v>
      </c>
      <c r="G408" s="27">
        <f t="shared" ref="G408:G409" si="285">J408</f>
        <v>1500</v>
      </c>
      <c r="H408" s="27">
        <f t="shared" ref="H408:H409" si="286">L408</f>
        <v>1500</v>
      </c>
      <c r="I408" s="27">
        <f t="shared" ref="I408:I409" si="287">N408</f>
        <v>1500</v>
      </c>
      <c r="J408" s="16">
        <f>'БА в тыс. руб.'!G408*1000</f>
        <v>1500</v>
      </c>
      <c r="K408" s="169">
        <f t="shared" si="272"/>
        <v>0</v>
      </c>
      <c r="L408" s="16">
        <f>'БА в тыс. руб.'!H408*1000</f>
        <v>1500</v>
      </c>
      <c r="M408" s="169">
        <f t="shared" si="273"/>
        <v>0</v>
      </c>
      <c r="N408" s="16">
        <f>'БА в тыс. руб.'!I408*1000</f>
        <v>1500</v>
      </c>
      <c r="O408" s="169">
        <f t="shared" si="274"/>
        <v>0</v>
      </c>
      <c r="S408" s="83"/>
      <c r="T408" s="83"/>
      <c r="U408" s="83"/>
    </row>
    <row r="409" spans="1:21" s="4" customFormat="1">
      <c r="A409" s="12" t="s">
        <v>1037</v>
      </c>
      <c r="B409" s="25" t="s">
        <v>68</v>
      </c>
      <c r="C409" s="26" t="s">
        <v>65</v>
      </c>
      <c r="D409" s="26" t="s">
        <v>84</v>
      </c>
      <c r="E409" s="26" t="s">
        <v>325</v>
      </c>
      <c r="F409" s="26" t="s">
        <v>1062</v>
      </c>
      <c r="G409" s="27">
        <f t="shared" si="285"/>
        <v>18650</v>
      </c>
      <c r="H409" s="27">
        <f t="shared" si="286"/>
        <v>18650</v>
      </c>
      <c r="I409" s="27">
        <f t="shared" si="287"/>
        <v>18650</v>
      </c>
      <c r="J409" s="16">
        <f>'БА в тыс. руб.'!G409*1000</f>
        <v>18650</v>
      </c>
      <c r="K409" s="169">
        <f t="shared" si="272"/>
        <v>0</v>
      </c>
      <c r="L409" s="16">
        <f>'БА в тыс. руб.'!H409*1000</f>
        <v>18650</v>
      </c>
      <c r="M409" s="169">
        <f t="shared" si="273"/>
        <v>0</v>
      </c>
      <c r="N409" s="16">
        <f>'БА в тыс. руб.'!I409*1000</f>
        <v>18650</v>
      </c>
      <c r="O409" s="169">
        <f t="shared" si="274"/>
        <v>0</v>
      </c>
      <c r="S409" s="83"/>
      <c r="T409" s="83"/>
      <c r="U409" s="83"/>
    </row>
    <row r="410" spans="1:21" s="3" customFormat="1" ht="25.5">
      <c r="A410" s="11" t="s">
        <v>126</v>
      </c>
      <c r="B410" s="25" t="s">
        <v>68</v>
      </c>
      <c r="C410" s="26" t="s">
        <v>65</v>
      </c>
      <c r="D410" s="26" t="s">
        <v>84</v>
      </c>
      <c r="E410" s="26" t="s">
        <v>326</v>
      </c>
      <c r="F410" s="26" t="s">
        <v>58</v>
      </c>
      <c r="G410" s="27">
        <f>G411</f>
        <v>25220040</v>
      </c>
      <c r="H410" s="27">
        <f>H411</f>
        <v>25220040</v>
      </c>
      <c r="I410" s="27">
        <f>I411</f>
        <v>25220040</v>
      </c>
      <c r="J410" s="16">
        <f>'БА в тыс. руб.'!G410*1000</f>
        <v>25220040</v>
      </c>
      <c r="K410" s="169">
        <f t="shared" si="272"/>
        <v>0</v>
      </c>
      <c r="L410" s="16">
        <f>'БА в тыс. руб.'!H410*1000</f>
        <v>25220040</v>
      </c>
      <c r="M410" s="169">
        <f t="shared" si="273"/>
        <v>0</v>
      </c>
      <c r="N410" s="16">
        <f>'БА в тыс. руб.'!I410*1000</f>
        <v>25220040</v>
      </c>
      <c r="O410" s="169">
        <f t="shared" si="274"/>
        <v>0</v>
      </c>
      <c r="S410" s="30"/>
      <c r="T410" s="30"/>
      <c r="U410" s="30"/>
    </row>
    <row r="411" spans="1:21" s="3" customFormat="1" ht="25.5">
      <c r="A411" s="12" t="s">
        <v>107</v>
      </c>
      <c r="B411" s="25" t="s">
        <v>68</v>
      </c>
      <c r="C411" s="26" t="s">
        <v>65</v>
      </c>
      <c r="D411" s="26" t="s">
        <v>84</v>
      </c>
      <c r="E411" s="26" t="s">
        <v>326</v>
      </c>
      <c r="F411" s="26" t="s">
        <v>115</v>
      </c>
      <c r="G411" s="27">
        <f>SUM(G412:G413)</f>
        <v>25220040</v>
      </c>
      <c r="H411" s="27">
        <f t="shared" ref="H411:I411" si="288">SUM(H412:H413)</f>
        <v>25220040</v>
      </c>
      <c r="I411" s="27">
        <f t="shared" si="288"/>
        <v>25220040</v>
      </c>
      <c r="J411" s="16">
        <f>'БА в тыс. руб.'!G411*1000</f>
        <v>25220040</v>
      </c>
      <c r="K411" s="169">
        <f t="shared" si="272"/>
        <v>0</v>
      </c>
      <c r="L411" s="16">
        <f>'БА в тыс. руб.'!H411*1000</f>
        <v>25220040</v>
      </c>
      <c r="M411" s="169">
        <f t="shared" si="273"/>
        <v>0</v>
      </c>
      <c r="N411" s="16">
        <f>'БА в тыс. руб.'!I411*1000</f>
        <v>25220040</v>
      </c>
      <c r="O411" s="169">
        <f t="shared" si="274"/>
        <v>0</v>
      </c>
      <c r="S411" s="30"/>
      <c r="T411" s="30"/>
      <c r="U411" s="30"/>
    </row>
    <row r="412" spans="1:21" s="4" customFormat="1">
      <c r="A412" s="12" t="s">
        <v>936</v>
      </c>
      <c r="B412" s="25" t="s">
        <v>68</v>
      </c>
      <c r="C412" s="26" t="s">
        <v>65</v>
      </c>
      <c r="D412" s="26" t="s">
        <v>84</v>
      </c>
      <c r="E412" s="26" t="s">
        <v>326</v>
      </c>
      <c r="F412" s="26" t="s">
        <v>1063</v>
      </c>
      <c r="G412" s="27">
        <f t="shared" ref="G412:G413" si="289">J412</f>
        <v>19370230</v>
      </c>
      <c r="H412" s="27">
        <f t="shared" ref="H412:H413" si="290">L412</f>
        <v>19370230</v>
      </c>
      <c r="I412" s="27">
        <f t="shared" ref="I412:I413" si="291">N412</f>
        <v>19370230</v>
      </c>
      <c r="J412" s="16">
        <f>'БА в тыс. руб.'!G412*1000</f>
        <v>19370230</v>
      </c>
      <c r="K412" s="169">
        <f t="shared" si="272"/>
        <v>0</v>
      </c>
      <c r="L412" s="16">
        <f>'БА в тыс. руб.'!H412*1000</f>
        <v>19370230</v>
      </c>
      <c r="M412" s="169">
        <f t="shared" si="273"/>
        <v>0</v>
      </c>
      <c r="N412" s="16">
        <f>'БА в тыс. руб.'!I412*1000</f>
        <v>19370230</v>
      </c>
      <c r="O412" s="169">
        <f t="shared" si="274"/>
        <v>0</v>
      </c>
      <c r="S412" s="83"/>
      <c r="T412" s="83"/>
      <c r="U412" s="83"/>
    </row>
    <row r="413" spans="1:21" s="4" customFormat="1" ht="38.25">
      <c r="A413" s="12" t="s">
        <v>939</v>
      </c>
      <c r="B413" s="25" t="s">
        <v>68</v>
      </c>
      <c r="C413" s="26" t="s">
        <v>65</v>
      </c>
      <c r="D413" s="26" t="s">
        <v>84</v>
      </c>
      <c r="E413" s="26" t="s">
        <v>326</v>
      </c>
      <c r="F413" s="26" t="s">
        <v>1060</v>
      </c>
      <c r="G413" s="27">
        <f t="shared" si="289"/>
        <v>5849810</v>
      </c>
      <c r="H413" s="27">
        <f t="shared" si="290"/>
        <v>5849810</v>
      </c>
      <c r="I413" s="27">
        <f t="shared" si="291"/>
        <v>5849810</v>
      </c>
      <c r="J413" s="16">
        <f>'БА в тыс. руб.'!G413*1000</f>
        <v>5849810</v>
      </c>
      <c r="K413" s="169">
        <f t="shared" si="272"/>
        <v>0</v>
      </c>
      <c r="L413" s="16">
        <f>'БА в тыс. руб.'!H413*1000</f>
        <v>5849810</v>
      </c>
      <c r="M413" s="169">
        <f t="shared" si="273"/>
        <v>0</v>
      </c>
      <c r="N413" s="16">
        <f>'БА в тыс. руб.'!I413*1000</f>
        <v>5849810</v>
      </c>
      <c r="O413" s="169">
        <f t="shared" si="274"/>
        <v>0</v>
      </c>
      <c r="S413" s="83"/>
      <c r="T413" s="83"/>
      <c r="U413" s="83"/>
    </row>
    <row r="414" spans="1:21" s="3" customFormat="1">
      <c r="A414" s="17" t="s">
        <v>499</v>
      </c>
      <c r="B414" s="18" t="s">
        <v>68</v>
      </c>
      <c r="C414" s="19" t="s">
        <v>50</v>
      </c>
      <c r="D414" s="19" t="s">
        <v>51</v>
      </c>
      <c r="E414" s="19" t="s">
        <v>196</v>
      </c>
      <c r="F414" s="19" t="s">
        <v>58</v>
      </c>
      <c r="G414" s="20">
        <f t="shared" ref="G414:I418" si="292">G415</f>
        <v>1096200</v>
      </c>
      <c r="H414" s="20">
        <f t="shared" si="292"/>
        <v>987000</v>
      </c>
      <c r="I414" s="20">
        <f t="shared" si="292"/>
        <v>987000</v>
      </c>
      <c r="J414" s="16">
        <f>'БА в тыс. руб.'!G414*1000</f>
        <v>1096200</v>
      </c>
      <c r="K414" s="169">
        <f t="shared" si="272"/>
        <v>0</v>
      </c>
      <c r="L414" s="16">
        <f>'БА в тыс. руб.'!H414*1000</f>
        <v>987000</v>
      </c>
      <c r="M414" s="169">
        <f t="shared" si="273"/>
        <v>0</v>
      </c>
      <c r="N414" s="16">
        <f>'БА в тыс. руб.'!I414*1000</f>
        <v>987000</v>
      </c>
      <c r="O414" s="169">
        <f t="shared" si="274"/>
        <v>0</v>
      </c>
      <c r="S414" s="30"/>
      <c r="T414" s="30"/>
      <c r="U414" s="30"/>
    </row>
    <row r="415" spans="1:21" s="3" customFormat="1">
      <c r="A415" s="21" t="s">
        <v>27</v>
      </c>
      <c r="B415" s="22" t="s">
        <v>68</v>
      </c>
      <c r="C415" s="23" t="s">
        <v>50</v>
      </c>
      <c r="D415" s="23" t="s">
        <v>65</v>
      </c>
      <c r="E415" s="23" t="s">
        <v>196</v>
      </c>
      <c r="F415" s="23" t="s">
        <v>58</v>
      </c>
      <c r="G415" s="24">
        <f t="shared" si="292"/>
        <v>1096200</v>
      </c>
      <c r="H415" s="24">
        <f t="shared" si="292"/>
        <v>987000</v>
      </c>
      <c r="I415" s="24">
        <f t="shared" si="292"/>
        <v>987000</v>
      </c>
      <c r="J415" s="16">
        <f>'БА в тыс. руб.'!G415*1000</f>
        <v>1096200</v>
      </c>
      <c r="K415" s="169">
        <f t="shared" si="272"/>
        <v>0</v>
      </c>
      <c r="L415" s="16">
        <f>'БА в тыс. руб.'!H415*1000</f>
        <v>987000</v>
      </c>
      <c r="M415" s="169">
        <f t="shared" si="273"/>
        <v>0</v>
      </c>
      <c r="N415" s="16">
        <f>'БА в тыс. руб.'!I415*1000</f>
        <v>987000</v>
      </c>
      <c r="O415" s="169">
        <f t="shared" si="274"/>
        <v>0</v>
      </c>
      <c r="S415" s="30"/>
      <c r="T415" s="30"/>
      <c r="U415" s="30"/>
    </row>
    <row r="416" spans="1:21" s="3" customFormat="1">
      <c r="A416" s="11" t="s">
        <v>739</v>
      </c>
      <c r="B416" s="35" t="s">
        <v>68</v>
      </c>
      <c r="C416" s="36" t="s">
        <v>50</v>
      </c>
      <c r="D416" s="36" t="s">
        <v>65</v>
      </c>
      <c r="E416" s="36" t="s">
        <v>277</v>
      </c>
      <c r="F416" s="36" t="s">
        <v>58</v>
      </c>
      <c r="G416" s="37">
        <f t="shared" si="292"/>
        <v>1096200</v>
      </c>
      <c r="H416" s="37">
        <f t="shared" si="292"/>
        <v>987000</v>
      </c>
      <c r="I416" s="37">
        <f t="shared" si="292"/>
        <v>987000</v>
      </c>
      <c r="J416" s="16">
        <f>'БА в тыс. руб.'!G416*1000</f>
        <v>1096200</v>
      </c>
      <c r="K416" s="169">
        <f t="shared" si="272"/>
        <v>0</v>
      </c>
      <c r="L416" s="16">
        <f>'БА в тыс. руб.'!H416*1000</f>
        <v>987000</v>
      </c>
      <c r="M416" s="169">
        <f t="shared" si="273"/>
        <v>0</v>
      </c>
      <c r="N416" s="16">
        <f>'БА в тыс. руб.'!I416*1000</f>
        <v>987000</v>
      </c>
      <c r="O416" s="169">
        <f t="shared" si="274"/>
        <v>0</v>
      </c>
      <c r="S416" s="30"/>
      <c r="T416" s="30"/>
      <c r="U416" s="30"/>
    </row>
    <row r="417" spans="1:21" s="3" customFormat="1" ht="51">
      <c r="A417" s="11" t="s">
        <v>194</v>
      </c>
      <c r="B417" s="35" t="s">
        <v>68</v>
      </c>
      <c r="C417" s="36" t="s">
        <v>50</v>
      </c>
      <c r="D417" s="36" t="s">
        <v>65</v>
      </c>
      <c r="E417" s="36" t="s">
        <v>278</v>
      </c>
      <c r="F417" s="36" t="s">
        <v>58</v>
      </c>
      <c r="G417" s="37">
        <f t="shared" si="292"/>
        <v>1096200</v>
      </c>
      <c r="H417" s="37">
        <f t="shared" si="292"/>
        <v>987000</v>
      </c>
      <c r="I417" s="37">
        <f t="shared" si="292"/>
        <v>987000</v>
      </c>
      <c r="J417" s="16">
        <f>'БА в тыс. руб.'!G417*1000</f>
        <v>1096200</v>
      </c>
      <c r="K417" s="169">
        <f t="shared" si="272"/>
        <v>0</v>
      </c>
      <c r="L417" s="16">
        <f>'БА в тыс. руб.'!H417*1000</f>
        <v>987000</v>
      </c>
      <c r="M417" s="169">
        <f t="shared" si="273"/>
        <v>0</v>
      </c>
      <c r="N417" s="16">
        <f>'БА в тыс. руб.'!I417*1000</f>
        <v>987000</v>
      </c>
      <c r="O417" s="169">
        <f t="shared" si="274"/>
        <v>0</v>
      </c>
      <c r="S417" s="30"/>
      <c r="T417" s="30"/>
      <c r="U417" s="30"/>
    </row>
    <row r="418" spans="1:21" s="3" customFormat="1" ht="63.75">
      <c r="A418" s="11" t="s">
        <v>605</v>
      </c>
      <c r="B418" s="35" t="s">
        <v>68</v>
      </c>
      <c r="C418" s="36" t="s">
        <v>50</v>
      </c>
      <c r="D418" s="36" t="s">
        <v>65</v>
      </c>
      <c r="E418" s="36" t="s">
        <v>319</v>
      </c>
      <c r="F418" s="36" t="s">
        <v>58</v>
      </c>
      <c r="G418" s="37">
        <f t="shared" si="292"/>
        <v>1096200</v>
      </c>
      <c r="H418" s="37">
        <f t="shared" si="292"/>
        <v>987000</v>
      </c>
      <c r="I418" s="37">
        <f t="shared" si="292"/>
        <v>987000</v>
      </c>
      <c r="J418" s="16">
        <f>'БА в тыс. руб.'!G418*1000</f>
        <v>1096200</v>
      </c>
      <c r="K418" s="169">
        <f t="shared" si="272"/>
        <v>0</v>
      </c>
      <c r="L418" s="16">
        <f>'БА в тыс. руб.'!H418*1000</f>
        <v>987000</v>
      </c>
      <c r="M418" s="169">
        <f t="shared" si="273"/>
        <v>0</v>
      </c>
      <c r="N418" s="16">
        <f>'БА в тыс. руб.'!I418*1000</f>
        <v>987000</v>
      </c>
      <c r="O418" s="169">
        <f t="shared" si="274"/>
        <v>0</v>
      </c>
      <c r="S418" s="30"/>
      <c r="T418" s="30"/>
      <c r="U418" s="30"/>
    </row>
    <row r="419" spans="1:21" s="3" customFormat="1" ht="25.5">
      <c r="A419" s="11" t="s">
        <v>161</v>
      </c>
      <c r="B419" s="35" t="s">
        <v>68</v>
      </c>
      <c r="C419" s="36" t="s">
        <v>50</v>
      </c>
      <c r="D419" s="36" t="s">
        <v>65</v>
      </c>
      <c r="E419" s="36" t="s">
        <v>320</v>
      </c>
      <c r="F419" s="36" t="s">
        <v>58</v>
      </c>
      <c r="G419" s="37">
        <f>G420</f>
        <v>1096200</v>
      </c>
      <c r="H419" s="37">
        <f>H420</f>
        <v>987000</v>
      </c>
      <c r="I419" s="37">
        <f>I420</f>
        <v>987000</v>
      </c>
      <c r="J419" s="16">
        <f>'БА в тыс. руб.'!G419*1000</f>
        <v>1096200</v>
      </c>
      <c r="K419" s="169">
        <f t="shared" si="272"/>
        <v>0</v>
      </c>
      <c r="L419" s="16">
        <f>'БА в тыс. руб.'!H419*1000</f>
        <v>987000</v>
      </c>
      <c r="M419" s="169">
        <f t="shared" si="273"/>
        <v>0</v>
      </c>
      <c r="N419" s="16">
        <f>'БА в тыс. руб.'!I419*1000</f>
        <v>987000</v>
      </c>
      <c r="O419" s="169">
        <f t="shared" si="274"/>
        <v>0</v>
      </c>
      <c r="S419" s="30"/>
      <c r="T419" s="30"/>
      <c r="U419" s="30"/>
    </row>
    <row r="420" spans="1:21" s="3" customFormat="1" ht="25.5">
      <c r="A420" s="11" t="s">
        <v>108</v>
      </c>
      <c r="B420" s="35" t="s">
        <v>68</v>
      </c>
      <c r="C420" s="36" t="s">
        <v>50</v>
      </c>
      <c r="D420" s="36" t="s">
        <v>65</v>
      </c>
      <c r="E420" s="36" t="s">
        <v>320</v>
      </c>
      <c r="F420" s="36" t="s">
        <v>116</v>
      </c>
      <c r="G420" s="27">
        <f>G421</f>
        <v>1096200</v>
      </c>
      <c r="H420" s="27">
        <f t="shared" ref="H420:I420" si="293">H421</f>
        <v>987000</v>
      </c>
      <c r="I420" s="27">
        <f t="shared" si="293"/>
        <v>987000</v>
      </c>
      <c r="J420" s="16">
        <f>'БА в тыс. руб.'!G420*1000</f>
        <v>1096200</v>
      </c>
      <c r="K420" s="169">
        <f t="shared" si="272"/>
        <v>0</v>
      </c>
      <c r="L420" s="16">
        <f>'БА в тыс. руб.'!H420*1000</f>
        <v>987000</v>
      </c>
      <c r="M420" s="169">
        <f t="shared" si="273"/>
        <v>0</v>
      </c>
      <c r="N420" s="16">
        <f>'БА в тыс. руб.'!I420*1000</f>
        <v>987000</v>
      </c>
      <c r="O420" s="169">
        <f t="shared" si="274"/>
        <v>0</v>
      </c>
      <c r="S420" s="30"/>
      <c r="T420" s="30"/>
      <c r="U420" s="30"/>
    </row>
    <row r="421" spans="1:21" s="4" customFormat="1" ht="25.5">
      <c r="A421" s="12" t="s">
        <v>973</v>
      </c>
      <c r="B421" s="35" t="s">
        <v>68</v>
      </c>
      <c r="C421" s="36" t="s">
        <v>50</v>
      </c>
      <c r="D421" s="36" t="s">
        <v>65</v>
      </c>
      <c r="E421" s="36" t="s">
        <v>320</v>
      </c>
      <c r="F421" s="36" t="s">
        <v>1043</v>
      </c>
      <c r="G421" s="27">
        <f t="shared" ref="G421" si="294">J421</f>
        <v>1096200</v>
      </c>
      <c r="H421" s="27">
        <f>L421</f>
        <v>987000</v>
      </c>
      <c r="I421" s="27">
        <f>N421</f>
        <v>987000</v>
      </c>
      <c r="J421" s="16">
        <f>'БА в тыс. руб.'!G421*1000</f>
        <v>1096200</v>
      </c>
      <c r="K421" s="169">
        <f t="shared" si="272"/>
        <v>0</v>
      </c>
      <c r="L421" s="16">
        <f>'БА в тыс. руб.'!H421*1000</f>
        <v>987000</v>
      </c>
      <c r="M421" s="169">
        <f t="shared" si="273"/>
        <v>0</v>
      </c>
      <c r="N421" s="16">
        <f>'БА в тыс. руб.'!I421*1000</f>
        <v>987000</v>
      </c>
      <c r="O421" s="169">
        <f t="shared" si="274"/>
        <v>0</v>
      </c>
      <c r="S421" s="83"/>
      <c r="T421" s="83"/>
      <c r="U421" s="83"/>
    </row>
    <row r="422" spans="1:21" s="116" customFormat="1">
      <c r="A422" s="17" t="s">
        <v>49</v>
      </c>
      <c r="B422" s="18" t="s">
        <v>68</v>
      </c>
      <c r="C422" s="19" t="s">
        <v>14</v>
      </c>
      <c r="D422" s="19" t="s">
        <v>51</v>
      </c>
      <c r="E422" s="19" t="s">
        <v>196</v>
      </c>
      <c r="F422" s="19" t="s">
        <v>58</v>
      </c>
      <c r="G422" s="20">
        <f t="shared" ref="G422:I428" si="295">G423</f>
        <v>2647440</v>
      </c>
      <c r="H422" s="20">
        <f t="shared" si="295"/>
        <v>2250320</v>
      </c>
      <c r="I422" s="20">
        <f t="shared" si="295"/>
        <v>2250320</v>
      </c>
      <c r="J422" s="16">
        <f>'БА в тыс. руб.'!G422*1000</f>
        <v>2647440</v>
      </c>
      <c r="K422" s="169">
        <f t="shared" si="272"/>
        <v>0</v>
      </c>
      <c r="L422" s="16">
        <f>'БА в тыс. руб.'!H422*1000</f>
        <v>2250320</v>
      </c>
      <c r="M422" s="169">
        <f t="shared" si="273"/>
        <v>0</v>
      </c>
      <c r="N422" s="16">
        <f>'БА в тыс. руб.'!I422*1000</f>
        <v>2250320</v>
      </c>
      <c r="O422" s="169">
        <f t="shared" si="274"/>
        <v>0</v>
      </c>
      <c r="S422" s="186"/>
      <c r="T422" s="186"/>
      <c r="U422" s="186"/>
    </row>
    <row r="423" spans="1:21" s="4" customFormat="1">
      <c r="A423" s="21" t="s">
        <v>63</v>
      </c>
      <c r="B423" s="22" t="s">
        <v>68</v>
      </c>
      <c r="C423" s="23" t="s">
        <v>14</v>
      </c>
      <c r="D423" s="23" t="s">
        <v>53</v>
      </c>
      <c r="E423" s="23" t="s">
        <v>196</v>
      </c>
      <c r="F423" s="23" t="s">
        <v>58</v>
      </c>
      <c r="G423" s="24">
        <f t="shared" si="295"/>
        <v>2647440</v>
      </c>
      <c r="H423" s="24">
        <f t="shared" si="295"/>
        <v>2250320</v>
      </c>
      <c r="I423" s="24">
        <f t="shared" si="295"/>
        <v>2250320</v>
      </c>
      <c r="J423" s="16">
        <f>'БА в тыс. руб.'!G423*1000</f>
        <v>2647440</v>
      </c>
      <c r="K423" s="169">
        <f t="shared" si="272"/>
        <v>0</v>
      </c>
      <c r="L423" s="16">
        <f>'БА в тыс. руб.'!H423*1000</f>
        <v>2250320</v>
      </c>
      <c r="M423" s="169">
        <f t="shared" si="273"/>
        <v>0</v>
      </c>
      <c r="N423" s="16">
        <f>'БА в тыс. руб.'!I423*1000</f>
        <v>2250320</v>
      </c>
      <c r="O423" s="169">
        <f t="shared" si="274"/>
        <v>0</v>
      </c>
      <c r="S423" s="83"/>
      <c r="T423" s="83"/>
      <c r="U423" s="83"/>
    </row>
    <row r="424" spans="1:21" s="3" customFormat="1" ht="25.5">
      <c r="A424" s="31" t="s">
        <v>727</v>
      </c>
      <c r="B424" s="25" t="s">
        <v>68</v>
      </c>
      <c r="C424" s="26" t="s">
        <v>14</v>
      </c>
      <c r="D424" s="26" t="s">
        <v>53</v>
      </c>
      <c r="E424" s="26" t="s">
        <v>327</v>
      </c>
      <c r="F424" s="26" t="s">
        <v>58</v>
      </c>
      <c r="G424" s="27">
        <f t="shared" si="295"/>
        <v>2647440</v>
      </c>
      <c r="H424" s="27">
        <f t="shared" si="295"/>
        <v>2250320</v>
      </c>
      <c r="I424" s="27">
        <f t="shared" si="295"/>
        <v>2250320</v>
      </c>
      <c r="J424" s="16">
        <f>'БА в тыс. руб.'!G424*1000</f>
        <v>2647440</v>
      </c>
      <c r="K424" s="169">
        <f t="shared" si="272"/>
        <v>0</v>
      </c>
      <c r="L424" s="16">
        <f>'БА в тыс. руб.'!H424*1000</f>
        <v>2250320</v>
      </c>
      <c r="M424" s="169">
        <f t="shared" si="273"/>
        <v>0</v>
      </c>
      <c r="N424" s="16">
        <f>'БА в тыс. руб.'!I424*1000</f>
        <v>2250320</v>
      </c>
      <c r="O424" s="169">
        <f t="shared" si="274"/>
        <v>0</v>
      </c>
      <c r="S424" s="30"/>
      <c r="T424" s="30"/>
      <c r="U424" s="30"/>
    </row>
    <row r="425" spans="1:21" s="3" customFormat="1" ht="38.25">
      <c r="A425" s="31" t="s">
        <v>842</v>
      </c>
      <c r="B425" s="25" t="s">
        <v>68</v>
      </c>
      <c r="C425" s="26" t="s">
        <v>14</v>
      </c>
      <c r="D425" s="26" t="s">
        <v>53</v>
      </c>
      <c r="E425" s="26" t="s">
        <v>328</v>
      </c>
      <c r="F425" s="26" t="s">
        <v>58</v>
      </c>
      <c r="G425" s="27">
        <f t="shared" si="295"/>
        <v>2647440</v>
      </c>
      <c r="H425" s="27">
        <f t="shared" si="295"/>
        <v>2250320</v>
      </c>
      <c r="I425" s="27">
        <f t="shared" si="295"/>
        <v>2250320</v>
      </c>
      <c r="J425" s="16">
        <f>'БА в тыс. руб.'!G425*1000</f>
        <v>2647440</v>
      </c>
      <c r="K425" s="169">
        <f t="shared" si="272"/>
        <v>0</v>
      </c>
      <c r="L425" s="16">
        <f>'БА в тыс. руб.'!H425*1000</f>
        <v>2250320</v>
      </c>
      <c r="M425" s="169">
        <f t="shared" si="273"/>
        <v>0</v>
      </c>
      <c r="N425" s="16">
        <f>'БА в тыс. руб.'!I425*1000</f>
        <v>2250320</v>
      </c>
      <c r="O425" s="169">
        <f t="shared" si="274"/>
        <v>0</v>
      </c>
      <c r="S425" s="30"/>
      <c r="T425" s="30"/>
      <c r="U425" s="30"/>
    </row>
    <row r="426" spans="1:21" s="3" customFormat="1" ht="38.25">
      <c r="A426" s="11" t="s">
        <v>635</v>
      </c>
      <c r="B426" s="25" t="s">
        <v>68</v>
      </c>
      <c r="C426" s="26" t="s">
        <v>14</v>
      </c>
      <c r="D426" s="26" t="s">
        <v>53</v>
      </c>
      <c r="E426" s="26" t="s">
        <v>560</v>
      </c>
      <c r="F426" s="26" t="s">
        <v>58</v>
      </c>
      <c r="G426" s="27">
        <f t="shared" si="295"/>
        <v>2647440</v>
      </c>
      <c r="H426" s="27">
        <f t="shared" si="295"/>
        <v>2250320</v>
      </c>
      <c r="I426" s="27">
        <f t="shared" si="295"/>
        <v>2250320</v>
      </c>
      <c r="J426" s="16">
        <f>'БА в тыс. руб.'!G426*1000</f>
        <v>2647440</v>
      </c>
      <c r="K426" s="169">
        <f t="shared" si="272"/>
        <v>0</v>
      </c>
      <c r="L426" s="16">
        <f>'БА в тыс. руб.'!H426*1000</f>
        <v>2250320</v>
      </c>
      <c r="M426" s="169">
        <f t="shared" si="273"/>
        <v>0</v>
      </c>
      <c r="N426" s="16">
        <f>'БА в тыс. руб.'!I426*1000</f>
        <v>2250320</v>
      </c>
      <c r="O426" s="169">
        <f t="shared" si="274"/>
        <v>0</v>
      </c>
      <c r="S426" s="30"/>
      <c r="T426" s="30"/>
      <c r="U426" s="30"/>
    </row>
    <row r="427" spans="1:21" s="3" customFormat="1" ht="25.5">
      <c r="A427" s="11" t="s">
        <v>329</v>
      </c>
      <c r="B427" s="25" t="s">
        <v>68</v>
      </c>
      <c r="C427" s="26" t="s">
        <v>14</v>
      </c>
      <c r="D427" s="26" t="s">
        <v>53</v>
      </c>
      <c r="E427" s="26" t="s">
        <v>330</v>
      </c>
      <c r="F427" s="26" t="s">
        <v>58</v>
      </c>
      <c r="G427" s="27">
        <f t="shared" si="295"/>
        <v>2647440</v>
      </c>
      <c r="H427" s="27">
        <f t="shared" si="295"/>
        <v>2250320</v>
      </c>
      <c r="I427" s="27">
        <f t="shared" si="295"/>
        <v>2250320</v>
      </c>
      <c r="J427" s="16">
        <f>'БА в тыс. руб.'!G427*1000</f>
        <v>2647440</v>
      </c>
      <c r="K427" s="169">
        <f t="shared" si="272"/>
        <v>0</v>
      </c>
      <c r="L427" s="16">
        <f>'БА в тыс. руб.'!H427*1000</f>
        <v>2250320</v>
      </c>
      <c r="M427" s="169">
        <f t="shared" si="273"/>
        <v>0</v>
      </c>
      <c r="N427" s="16">
        <f>'БА в тыс. руб.'!I427*1000</f>
        <v>2250320</v>
      </c>
      <c r="O427" s="169">
        <f t="shared" si="274"/>
        <v>0</v>
      </c>
      <c r="S427" s="30"/>
      <c r="T427" s="30"/>
      <c r="U427" s="30"/>
    </row>
    <row r="428" spans="1:21" s="3" customFormat="1" ht="38.25">
      <c r="A428" s="34" t="s">
        <v>561</v>
      </c>
      <c r="B428" s="25" t="s">
        <v>68</v>
      </c>
      <c r="C428" s="26" t="s">
        <v>14</v>
      </c>
      <c r="D428" s="26" t="s">
        <v>53</v>
      </c>
      <c r="E428" s="26" t="s">
        <v>330</v>
      </c>
      <c r="F428" s="26" t="s">
        <v>101</v>
      </c>
      <c r="G428" s="27">
        <f>G429</f>
        <v>2647440</v>
      </c>
      <c r="H428" s="27">
        <f t="shared" si="295"/>
        <v>2250320</v>
      </c>
      <c r="I428" s="27">
        <f t="shared" si="295"/>
        <v>2250320</v>
      </c>
      <c r="J428" s="16">
        <f>'БА в тыс. руб.'!G428*1000</f>
        <v>2647440</v>
      </c>
      <c r="K428" s="169">
        <f t="shared" si="272"/>
        <v>0</v>
      </c>
      <c r="L428" s="16">
        <f>'БА в тыс. руб.'!H428*1000</f>
        <v>2250320</v>
      </c>
      <c r="M428" s="169">
        <f t="shared" si="273"/>
        <v>0</v>
      </c>
      <c r="N428" s="16">
        <f>'БА в тыс. руб.'!I428*1000</f>
        <v>2250320</v>
      </c>
      <c r="O428" s="169">
        <f t="shared" si="274"/>
        <v>0</v>
      </c>
      <c r="S428" s="30"/>
      <c r="T428" s="30"/>
      <c r="U428" s="30"/>
    </row>
    <row r="429" spans="1:21" s="3" customFormat="1" ht="51">
      <c r="A429" s="11" t="s">
        <v>1047</v>
      </c>
      <c r="B429" s="25" t="s">
        <v>68</v>
      </c>
      <c r="C429" s="26" t="s">
        <v>14</v>
      </c>
      <c r="D429" s="26" t="s">
        <v>53</v>
      </c>
      <c r="E429" s="26" t="s">
        <v>330</v>
      </c>
      <c r="F429" s="26" t="s">
        <v>1050</v>
      </c>
      <c r="G429" s="27">
        <f t="shared" ref="G429" si="296">J429</f>
        <v>2647440</v>
      </c>
      <c r="H429" s="27">
        <f t="shared" ref="H429" si="297">L429</f>
        <v>2250320</v>
      </c>
      <c r="I429" s="27">
        <f t="shared" ref="I429" si="298">N429</f>
        <v>2250320</v>
      </c>
      <c r="J429" s="16">
        <f>'БА в тыс. руб.'!G429*1000</f>
        <v>2647440</v>
      </c>
      <c r="K429" s="169">
        <f t="shared" si="272"/>
        <v>0</v>
      </c>
      <c r="L429" s="16">
        <f>'БА в тыс. руб.'!H429*1000</f>
        <v>2250320</v>
      </c>
      <c r="M429" s="169">
        <f t="shared" si="273"/>
        <v>0</v>
      </c>
      <c r="N429" s="16">
        <f>'БА в тыс. руб.'!I429*1000</f>
        <v>2250320</v>
      </c>
      <c r="O429" s="169">
        <f t="shared" si="274"/>
        <v>0</v>
      </c>
      <c r="S429" s="30"/>
      <c r="T429" s="30"/>
      <c r="U429" s="30"/>
    </row>
    <row r="430" spans="1:21" s="71" customFormat="1">
      <c r="A430" s="95"/>
      <c r="B430" s="92"/>
      <c r="C430" s="70"/>
      <c r="D430" s="70"/>
      <c r="E430" s="70"/>
      <c r="F430" s="70"/>
      <c r="G430" s="27"/>
      <c r="H430" s="27"/>
      <c r="I430" s="27"/>
      <c r="J430" s="16">
        <f>'БА в тыс. руб.'!G430*1000</f>
        <v>0</v>
      </c>
      <c r="K430" s="169">
        <f t="shared" si="272"/>
        <v>0</v>
      </c>
      <c r="L430" s="16">
        <f>'БА в тыс. руб.'!H430*1000</f>
        <v>0</v>
      </c>
      <c r="M430" s="169">
        <f t="shared" si="273"/>
        <v>0</v>
      </c>
      <c r="N430" s="16">
        <f>'БА в тыс. руб.'!I430*1000</f>
        <v>0</v>
      </c>
      <c r="O430" s="169">
        <f t="shared" si="274"/>
        <v>0</v>
      </c>
      <c r="S430" s="181"/>
      <c r="T430" s="181"/>
      <c r="U430" s="181"/>
    </row>
    <row r="431" spans="1:21" s="30" customFormat="1">
      <c r="A431" s="28" t="s">
        <v>179</v>
      </c>
      <c r="B431" s="14" t="s">
        <v>69</v>
      </c>
      <c r="C431" s="15" t="s">
        <v>51</v>
      </c>
      <c r="D431" s="15" t="s">
        <v>51</v>
      </c>
      <c r="E431" s="15" t="s">
        <v>196</v>
      </c>
      <c r="F431" s="15" t="s">
        <v>58</v>
      </c>
      <c r="G431" s="29">
        <f>G432+G609</f>
        <v>3399213190</v>
      </c>
      <c r="H431" s="29">
        <f>H432+H609</f>
        <v>3150695480</v>
      </c>
      <c r="I431" s="29">
        <f>I432+I609</f>
        <v>3301215200</v>
      </c>
      <c r="J431" s="16">
        <f>'БА в тыс. руб.'!G431*1000</f>
        <v>3399213190.0000005</v>
      </c>
      <c r="K431" s="169">
        <f t="shared" si="272"/>
        <v>0</v>
      </c>
      <c r="L431" s="16">
        <f>'БА в тыс. руб.'!H431*1000</f>
        <v>3150695480</v>
      </c>
      <c r="M431" s="169">
        <f t="shared" si="273"/>
        <v>0</v>
      </c>
      <c r="N431" s="16">
        <f>'БА в тыс. руб.'!I431*1000</f>
        <v>3301215200</v>
      </c>
      <c r="O431" s="169">
        <f t="shared" si="274"/>
        <v>0</v>
      </c>
    </row>
    <row r="432" spans="1:21" s="30" customFormat="1">
      <c r="A432" s="17" t="s">
        <v>70</v>
      </c>
      <c r="B432" s="18" t="s">
        <v>69</v>
      </c>
      <c r="C432" s="19" t="s">
        <v>71</v>
      </c>
      <c r="D432" s="19" t="s">
        <v>51</v>
      </c>
      <c r="E432" s="19" t="s">
        <v>196</v>
      </c>
      <c r="F432" s="19" t="s">
        <v>58</v>
      </c>
      <c r="G432" s="20">
        <f>G433+G471+G547+G563+G530</f>
        <v>3284741780</v>
      </c>
      <c r="H432" s="20">
        <f>H433+H471+H547+H563+H530</f>
        <v>3036224070</v>
      </c>
      <c r="I432" s="20">
        <f>I433+I471+I547+I563+I530</f>
        <v>3186743790</v>
      </c>
      <c r="J432" s="16">
        <f>'БА в тыс. руб.'!G432*1000</f>
        <v>3284741780.0000005</v>
      </c>
      <c r="K432" s="169">
        <f t="shared" si="272"/>
        <v>0</v>
      </c>
      <c r="L432" s="16">
        <f>'БА в тыс. руб.'!H432*1000</f>
        <v>3036224070</v>
      </c>
      <c r="M432" s="169">
        <f t="shared" si="273"/>
        <v>0</v>
      </c>
      <c r="N432" s="16">
        <f>'БА в тыс. руб.'!I432*1000</f>
        <v>3186743790</v>
      </c>
      <c r="O432" s="169">
        <f t="shared" si="274"/>
        <v>0</v>
      </c>
    </row>
    <row r="433" spans="1:15" s="30" customFormat="1">
      <c r="A433" s="21" t="s">
        <v>72</v>
      </c>
      <c r="B433" s="22" t="s">
        <v>69</v>
      </c>
      <c r="C433" s="23" t="s">
        <v>71</v>
      </c>
      <c r="D433" s="23" t="s">
        <v>65</v>
      </c>
      <c r="E433" s="23" t="s">
        <v>196</v>
      </c>
      <c r="F433" s="23" t="s">
        <v>58</v>
      </c>
      <c r="G433" s="24">
        <f>G434+G457+G465</f>
        <v>1412080490</v>
      </c>
      <c r="H433" s="24">
        <f>H434+H457+H465</f>
        <v>1327658390</v>
      </c>
      <c r="I433" s="24">
        <f>I434+I457+I465</f>
        <v>1391037630</v>
      </c>
      <c r="J433" s="16">
        <f>'БА в тыс. руб.'!G433*1000</f>
        <v>1412080490</v>
      </c>
      <c r="K433" s="169">
        <f t="shared" si="272"/>
        <v>0</v>
      </c>
      <c r="L433" s="16">
        <f>'БА в тыс. руб.'!H433*1000</f>
        <v>1327658389.9999998</v>
      </c>
      <c r="M433" s="169">
        <f t="shared" si="273"/>
        <v>0</v>
      </c>
      <c r="N433" s="16">
        <f>'БА в тыс. руб.'!I433*1000</f>
        <v>1391037629.9999998</v>
      </c>
      <c r="O433" s="169">
        <f t="shared" si="274"/>
        <v>0</v>
      </c>
    </row>
    <row r="434" spans="1:15" s="30" customFormat="1" ht="25.5">
      <c r="A434" s="13" t="s">
        <v>723</v>
      </c>
      <c r="B434" s="25" t="s">
        <v>69</v>
      </c>
      <c r="C434" s="26" t="s">
        <v>71</v>
      </c>
      <c r="D434" s="26" t="s">
        <v>65</v>
      </c>
      <c r="E434" s="26" t="s">
        <v>331</v>
      </c>
      <c r="F434" s="26" t="s">
        <v>58</v>
      </c>
      <c r="G434" s="27">
        <f>G435</f>
        <v>1407820920</v>
      </c>
      <c r="H434" s="27">
        <f>H435</f>
        <v>1318685010</v>
      </c>
      <c r="I434" s="27">
        <f>I435</f>
        <v>1382064250</v>
      </c>
      <c r="J434" s="16">
        <f>'БА в тыс. руб.'!G434*1000</f>
        <v>1407820920</v>
      </c>
      <c r="K434" s="169">
        <f t="shared" si="272"/>
        <v>0</v>
      </c>
      <c r="L434" s="16">
        <f>'БА в тыс. руб.'!H434*1000</f>
        <v>1318685009.9999998</v>
      </c>
      <c r="M434" s="169">
        <f t="shared" si="273"/>
        <v>0</v>
      </c>
      <c r="N434" s="16">
        <f>'БА в тыс. руб.'!I434*1000</f>
        <v>1382064249.9999998</v>
      </c>
      <c r="O434" s="169">
        <f t="shared" si="274"/>
        <v>0</v>
      </c>
    </row>
    <row r="435" spans="1:15" s="30" customFormat="1" ht="25.5">
      <c r="A435" s="13" t="s">
        <v>860</v>
      </c>
      <c r="B435" s="25" t="s">
        <v>69</v>
      </c>
      <c r="C435" s="26" t="s">
        <v>71</v>
      </c>
      <c r="D435" s="26" t="s">
        <v>65</v>
      </c>
      <c r="E435" s="26" t="s">
        <v>332</v>
      </c>
      <c r="F435" s="26" t="s">
        <v>58</v>
      </c>
      <c r="G435" s="27">
        <f>G436+G450</f>
        <v>1407820920</v>
      </c>
      <c r="H435" s="27">
        <f>H436+H450</f>
        <v>1318685010</v>
      </c>
      <c r="I435" s="27">
        <f>I436+I450</f>
        <v>1382064250</v>
      </c>
      <c r="J435" s="16">
        <f>'БА в тыс. руб.'!G435*1000</f>
        <v>1407820920</v>
      </c>
      <c r="K435" s="169">
        <f t="shared" si="272"/>
        <v>0</v>
      </c>
      <c r="L435" s="16">
        <f>'БА в тыс. руб.'!H435*1000</f>
        <v>1318685009.9999998</v>
      </c>
      <c r="M435" s="169">
        <f t="shared" si="273"/>
        <v>0</v>
      </c>
      <c r="N435" s="16">
        <f>'БА в тыс. руб.'!I435*1000</f>
        <v>1382064249.9999998</v>
      </c>
      <c r="O435" s="169">
        <f t="shared" si="274"/>
        <v>0</v>
      </c>
    </row>
    <row r="436" spans="1:15" s="30" customFormat="1" ht="25.5">
      <c r="A436" s="13" t="s">
        <v>607</v>
      </c>
      <c r="B436" s="25" t="s">
        <v>69</v>
      </c>
      <c r="C436" s="26" t="s">
        <v>71</v>
      </c>
      <c r="D436" s="26" t="s">
        <v>65</v>
      </c>
      <c r="E436" s="26" t="s">
        <v>333</v>
      </c>
      <c r="F436" s="26" t="s">
        <v>58</v>
      </c>
      <c r="G436" s="27">
        <f>G437+G443</f>
        <v>1371990880</v>
      </c>
      <c r="H436" s="27">
        <f>H437+H443</f>
        <v>1305154350</v>
      </c>
      <c r="I436" s="27">
        <f>I437+I443</f>
        <v>1368533590</v>
      </c>
      <c r="J436" s="16">
        <f>'БА в тыс. руб.'!G436*1000</f>
        <v>1371990880</v>
      </c>
      <c r="K436" s="169">
        <f t="shared" si="272"/>
        <v>0</v>
      </c>
      <c r="L436" s="16">
        <f>'БА в тыс. руб.'!H436*1000</f>
        <v>1305154349.9999998</v>
      </c>
      <c r="M436" s="169">
        <f t="shared" si="273"/>
        <v>0</v>
      </c>
      <c r="N436" s="16">
        <f>'БА в тыс. руб.'!I436*1000</f>
        <v>1368533589.9999998</v>
      </c>
      <c r="O436" s="169">
        <f t="shared" si="274"/>
        <v>0</v>
      </c>
    </row>
    <row r="437" spans="1:15" s="30" customFormat="1" ht="25.5">
      <c r="A437" s="13" t="s">
        <v>247</v>
      </c>
      <c r="B437" s="25" t="s">
        <v>69</v>
      </c>
      <c r="C437" s="26" t="s">
        <v>71</v>
      </c>
      <c r="D437" s="26" t="s">
        <v>65</v>
      </c>
      <c r="E437" s="26" t="s">
        <v>334</v>
      </c>
      <c r="F437" s="26" t="s">
        <v>58</v>
      </c>
      <c r="G437" s="27">
        <f>G438+G441</f>
        <v>687567610</v>
      </c>
      <c r="H437" s="27">
        <f t="shared" ref="H437:I437" si="299">H438+H441</f>
        <v>691063420</v>
      </c>
      <c r="I437" s="27">
        <f t="shared" si="299"/>
        <v>691063420</v>
      </c>
      <c r="J437" s="16">
        <f>'БА в тыс. руб.'!G437*1000</f>
        <v>687567610</v>
      </c>
      <c r="K437" s="169">
        <f t="shared" si="272"/>
        <v>0</v>
      </c>
      <c r="L437" s="16">
        <f>'БА в тыс. руб.'!H437*1000</f>
        <v>691063419.99999988</v>
      </c>
      <c r="M437" s="169">
        <f t="shared" si="273"/>
        <v>0</v>
      </c>
      <c r="N437" s="16">
        <f>'БА в тыс. руб.'!I437*1000</f>
        <v>691063419.99999988</v>
      </c>
      <c r="O437" s="169">
        <f t="shared" si="274"/>
        <v>0</v>
      </c>
    </row>
    <row r="438" spans="1:15" s="30" customFormat="1">
      <c r="A438" s="13" t="s">
        <v>92</v>
      </c>
      <c r="B438" s="25" t="s">
        <v>69</v>
      </c>
      <c r="C438" s="26" t="s">
        <v>71</v>
      </c>
      <c r="D438" s="26" t="s">
        <v>65</v>
      </c>
      <c r="E438" s="26" t="s">
        <v>334</v>
      </c>
      <c r="F438" s="26" t="s">
        <v>138</v>
      </c>
      <c r="G438" s="27">
        <f>SUM(G439:G440)</f>
        <v>658082260</v>
      </c>
      <c r="H438" s="27">
        <f t="shared" ref="H438:I438" si="300">SUM(H439:H440)</f>
        <v>661578070</v>
      </c>
      <c r="I438" s="27">
        <f t="shared" si="300"/>
        <v>661578070</v>
      </c>
      <c r="J438" s="16">
        <f>'БА в тыс. руб.'!G438*1000</f>
        <v>658082260</v>
      </c>
      <c r="K438" s="169">
        <f t="shared" si="272"/>
        <v>0</v>
      </c>
      <c r="L438" s="16">
        <f>'БА в тыс. руб.'!H438*1000</f>
        <v>661578070</v>
      </c>
      <c r="M438" s="169">
        <f t="shared" si="273"/>
        <v>0</v>
      </c>
      <c r="N438" s="16">
        <f>'БА в тыс. руб.'!I438*1000</f>
        <v>661578070</v>
      </c>
      <c r="O438" s="169">
        <f t="shared" si="274"/>
        <v>0</v>
      </c>
    </row>
    <row r="439" spans="1:15" s="83" customFormat="1" ht="38.25">
      <c r="A439" s="12" t="s">
        <v>1015</v>
      </c>
      <c r="B439" s="25" t="s">
        <v>69</v>
      </c>
      <c r="C439" s="26" t="s">
        <v>71</v>
      </c>
      <c r="D439" s="26" t="s">
        <v>65</v>
      </c>
      <c r="E439" s="26" t="s">
        <v>334</v>
      </c>
      <c r="F439" s="26" t="s">
        <v>67</v>
      </c>
      <c r="G439" s="27">
        <f t="shared" ref="G439:G440" si="301">J439</f>
        <v>654720660</v>
      </c>
      <c r="H439" s="27">
        <f t="shared" ref="H439:H440" si="302">L439</f>
        <v>658216470</v>
      </c>
      <c r="I439" s="27">
        <f t="shared" ref="I439:I440" si="303">N439</f>
        <v>658216470</v>
      </c>
      <c r="J439" s="16">
        <f>'БА в тыс. руб.'!G439*1000</f>
        <v>654720660</v>
      </c>
      <c r="K439" s="169">
        <f t="shared" si="272"/>
        <v>0</v>
      </c>
      <c r="L439" s="16">
        <f>'БА в тыс. руб.'!H439*1000</f>
        <v>658216470</v>
      </c>
      <c r="M439" s="169">
        <f t="shared" si="273"/>
        <v>0</v>
      </c>
      <c r="N439" s="16">
        <f>'БА в тыс. руб.'!I439*1000</f>
        <v>658216470</v>
      </c>
      <c r="O439" s="169">
        <f t="shared" si="274"/>
        <v>0</v>
      </c>
    </row>
    <row r="440" spans="1:15" s="83" customFormat="1">
      <c r="A440" s="12" t="s">
        <v>1016</v>
      </c>
      <c r="B440" s="25" t="s">
        <v>69</v>
      </c>
      <c r="C440" s="26" t="s">
        <v>71</v>
      </c>
      <c r="D440" s="26" t="s">
        <v>65</v>
      </c>
      <c r="E440" s="26" t="s">
        <v>334</v>
      </c>
      <c r="F440" s="26" t="s">
        <v>1046</v>
      </c>
      <c r="G440" s="27">
        <f t="shared" si="301"/>
        <v>3361600</v>
      </c>
      <c r="H440" s="27">
        <f t="shared" si="302"/>
        <v>3361600</v>
      </c>
      <c r="I440" s="27">
        <f t="shared" si="303"/>
        <v>3361600</v>
      </c>
      <c r="J440" s="16">
        <f>'БА в тыс. руб.'!G440*1000</f>
        <v>3361600</v>
      </c>
      <c r="K440" s="169">
        <f t="shared" si="272"/>
        <v>0</v>
      </c>
      <c r="L440" s="16">
        <f>'БА в тыс. руб.'!H440*1000</f>
        <v>3361600</v>
      </c>
      <c r="M440" s="169">
        <f t="shared" si="273"/>
        <v>0</v>
      </c>
      <c r="N440" s="16">
        <f>'БА в тыс. руб.'!I440*1000</f>
        <v>3361600</v>
      </c>
      <c r="O440" s="169">
        <f t="shared" si="274"/>
        <v>0</v>
      </c>
    </row>
    <row r="441" spans="1:15" s="30" customFormat="1">
      <c r="A441" s="13" t="s">
        <v>93</v>
      </c>
      <c r="B441" s="25" t="s">
        <v>69</v>
      </c>
      <c r="C441" s="26" t="s">
        <v>71</v>
      </c>
      <c r="D441" s="26" t="s">
        <v>65</v>
      </c>
      <c r="E441" s="26" t="s">
        <v>334</v>
      </c>
      <c r="F441" s="26" t="s">
        <v>20</v>
      </c>
      <c r="G441" s="27">
        <f>G442</f>
        <v>29485350</v>
      </c>
      <c r="H441" s="27">
        <f t="shared" ref="H441:I441" si="304">H442</f>
        <v>29485350</v>
      </c>
      <c r="I441" s="27">
        <f t="shared" si="304"/>
        <v>29485350</v>
      </c>
      <c r="J441" s="16">
        <f>'БА в тыс. руб.'!G441*1000</f>
        <v>29485350</v>
      </c>
      <c r="K441" s="169">
        <f t="shared" si="272"/>
        <v>0</v>
      </c>
      <c r="L441" s="16">
        <f>'БА в тыс. руб.'!H441*1000</f>
        <v>29485350</v>
      </c>
      <c r="M441" s="169">
        <f t="shared" si="273"/>
        <v>0</v>
      </c>
      <c r="N441" s="16">
        <f>'БА в тыс. руб.'!I441*1000</f>
        <v>29485350</v>
      </c>
      <c r="O441" s="169">
        <f t="shared" si="274"/>
        <v>0</v>
      </c>
    </row>
    <row r="442" spans="1:15" s="83" customFormat="1" ht="38.25">
      <c r="A442" s="12" t="s">
        <v>1018</v>
      </c>
      <c r="B442" s="25" t="s">
        <v>69</v>
      </c>
      <c r="C442" s="26" t="s">
        <v>71</v>
      </c>
      <c r="D442" s="26" t="s">
        <v>65</v>
      </c>
      <c r="E442" s="26" t="s">
        <v>334</v>
      </c>
      <c r="F442" s="26" t="s">
        <v>16</v>
      </c>
      <c r="G442" s="27">
        <f t="shared" ref="G442" si="305">J442</f>
        <v>29485350</v>
      </c>
      <c r="H442" s="27">
        <f>L442</f>
        <v>29485350</v>
      </c>
      <c r="I442" s="27">
        <f>N442</f>
        <v>29485350</v>
      </c>
      <c r="J442" s="16">
        <f>'БА в тыс. руб.'!G442*1000</f>
        <v>29485350</v>
      </c>
      <c r="K442" s="169">
        <f t="shared" si="272"/>
        <v>0</v>
      </c>
      <c r="L442" s="16">
        <f>'БА в тыс. руб.'!H442*1000</f>
        <v>29485350</v>
      </c>
      <c r="M442" s="169">
        <f t="shared" si="273"/>
        <v>0</v>
      </c>
      <c r="N442" s="16">
        <f>'БА в тыс. руб.'!I442*1000</f>
        <v>29485350</v>
      </c>
      <c r="O442" s="169">
        <f t="shared" si="274"/>
        <v>0</v>
      </c>
    </row>
    <row r="443" spans="1:15" s="30" customFormat="1" ht="76.5">
      <c r="A443" s="11" t="s">
        <v>335</v>
      </c>
      <c r="B443" s="25" t="s">
        <v>69</v>
      </c>
      <c r="C443" s="26" t="s">
        <v>71</v>
      </c>
      <c r="D443" s="26" t="s">
        <v>65</v>
      </c>
      <c r="E443" s="26" t="s">
        <v>336</v>
      </c>
      <c r="F443" s="26" t="s">
        <v>58</v>
      </c>
      <c r="G443" s="27">
        <f>G444+G446+G448</f>
        <v>684423270</v>
      </c>
      <c r="H443" s="27">
        <f>H444+H446+H448</f>
        <v>614090930</v>
      </c>
      <c r="I443" s="27">
        <f>I444+I446+I448</f>
        <v>677470169.99999988</v>
      </c>
      <c r="J443" s="16">
        <f>'БА в тыс. руб.'!G443*1000</f>
        <v>684423270</v>
      </c>
      <c r="K443" s="169">
        <f t="shared" si="272"/>
        <v>0</v>
      </c>
      <c r="L443" s="16">
        <f>'БА в тыс. руб.'!H443*1000</f>
        <v>614090929.99999988</v>
      </c>
      <c r="M443" s="169">
        <f t="shared" si="273"/>
        <v>0</v>
      </c>
      <c r="N443" s="16">
        <f>'БА в тыс. руб.'!I443*1000</f>
        <v>677470169.99999988</v>
      </c>
      <c r="O443" s="169">
        <f t="shared" si="274"/>
        <v>0</v>
      </c>
    </row>
    <row r="444" spans="1:15" s="30" customFormat="1">
      <c r="A444" s="13" t="s">
        <v>92</v>
      </c>
      <c r="B444" s="25" t="s">
        <v>69</v>
      </c>
      <c r="C444" s="26" t="s">
        <v>71</v>
      </c>
      <c r="D444" s="26" t="s">
        <v>65</v>
      </c>
      <c r="E444" s="26" t="s">
        <v>336</v>
      </c>
      <c r="F444" s="26" t="s">
        <v>138</v>
      </c>
      <c r="G444" s="27">
        <f>G445</f>
        <v>652243160</v>
      </c>
      <c r="H444" s="27">
        <f t="shared" ref="H444:I444" si="306">H445</f>
        <v>581910820</v>
      </c>
      <c r="I444" s="27">
        <f t="shared" si="306"/>
        <v>645290059.99999988</v>
      </c>
      <c r="J444" s="16">
        <f>'БА в тыс. руб.'!G444*1000</f>
        <v>652243160</v>
      </c>
      <c r="K444" s="169">
        <f t="shared" si="272"/>
        <v>0</v>
      </c>
      <c r="L444" s="16">
        <f>'БА в тыс. руб.'!H444*1000</f>
        <v>581910820</v>
      </c>
      <c r="M444" s="169">
        <f t="shared" si="273"/>
        <v>0</v>
      </c>
      <c r="N444" s="16">
        <f>'БА в тыс. руб.'!I444*1000</f>
        <v>645290059.99999988</v>
      </c>
      <c r="O444" s="169">
        <f t="shared" si="274"/>
        <v>0</v>
      </c>
    </row>
    <row r="445" spans="1:15" s="83" customFormat="1" ht="38.25">
      <c r="A445" s="12" t="s">
        <v>1015</v>
      </c>
      <c r="B445" s="25" t="s">
        <v>69</v>
      </c>
      <c r="C445" s="26" t="s">
        <v>71</v>
      </c>
      <c r="D445" s="26" t="s">
        <v>65</v>
      </c>
      <c r="E445" s="26" t="s">
        <v>336</v>
      </c>
      <c r="F445" s="26" t="s">
        <v>67</v>
      </c>
      <c r="G445" s="27">
        <f t="shared" ref="G445" si="307">J445</f>
        <v>652243160</v>
      </c>
      <c r="H445" s="27">
        <f>L445</f>
        <v>581910820</v>
      </c>
      <c r="I445" s="27">
        <f>N445</f>
        <v>645290059.99999988</v>
      </c>
      <c r="J445" s="16">
        <f>'БА в тыс. руб.'!G445*1000</f>
        <v>652243160</v>
      </c>
      <c r="K445" s="169">
        <f t="shared" si="272"/>
        <v>0</v>
      </c>
      <c r="L445" s="16">
        <f>'БА в тыс. руб.'!H445*1000</f>
        <v>581910820</v>
      </c>
      <c r="M445" s="169">
        <f t="shared" si="273"/>
        <v>0</v>
      </c>
      <c r="N445" s="16">
        <f>'БА в тыс. руб.'!I445*1000</f>
        <v>645290059.99999988</v>
      </c>
      <c r="O445" s="169">
        <f t="shared" si="274"/>
        <v>0</v>
      </c>
    </row>
    <row r="446" spans="1:15" s="30" customFormat="1">
      <c r="A446" s="13" t="s">
        <v>93</v>
      </c>
      <c r="B446" s="25" t="s">
        <v>69</v>
      </c>
      <c r="C446" s="26" t="s">
        <v>71</v>
      </c>
      <c r="D446" s="26" t="s">
        <v>65</v>
      </c>
      <c r="E446" s="26" t="s">
        <v>336</v>
      </c>
      <c r="F446" s="26" t="s">
        <v>20</v>
      </c>
      <c r="G446" s="27">
        <f>G447</f>
        <v>27575850</v>
      </c>
      <c r="H446" s="27">
        <f t="shared" ref="H446:I446" si="308">H447</f>
        <v>27575850</v>
      </c>
      <c r="I446" s="27">
        <f t="shared" si="308"/>
        <v>27575850</v>
      </c>
      <c r="J446" s="16">
        <f>'БА в тыс. руб.'!G446*1000</f>
        <v>27575850</v>
      </c>
      <c r="K446" s="169">
        <f t="shared" si="272"/>
        <v>0</v>
      </c>
      <c r="L446" s="16">
        <f>'БА в тыс. руб.'!H446*1000</f>
        <v>27575850</v>
      </c>
      <c r="M446" s="169">
        <f t="shared" si="273"/>
        <v>0</v>
      </c>
      <c r="N446" s="16">
        <f>'БА в тыс. руб.'!I446*1000</f>
        <v>27575850</v>
      </c>
      <c r="O446" s="169">
        <f t="shared" si="274"/>
        <v>0</v>
      </c>
    </row>
    <row r="447" spans="1:15" s="83" customFormat="1" ht="38.25">
      <c r="A447" s="12" t="s">
        <v>1018</v>
      </c>
      <c r="B447" s="25" t="s">
        <v>69</v>
      </c>
      <c r="C447" s="26" t="s">
        <v>71</v>
      </c>
      <c r="D447" s="26" t="s">
        <v>65</v>
      </c>
      <c r="E447" s="26" t="s">
        <v>336</v>
      </c>
      <c r="F447" s="26" t="s">
        <v>16</v>
      </c>
      <c r="G447" s="27">
        <f t="shared" ref="G447" si="309">J447</f>
        <v>27575850</v>
      </c>
      <c r="H447" s="27">
        <f>L447</f>
        <v>27575850</v>
      </c>
      <c r="I447" s="27">
        <f>N447</f>
        <v>27575850</v>
      </c>
      <c r="J447" s="16">
        <f>'БА в тыс. руб.'!G447*1000</f>
        <v>27575850</v>
      </c>
      <c r="K447" s="169">
        <f t="shared" si="272"/>
        <v>0</v>
      </c>
      <c r="L447" s="16">
        <f>'БА в тыс. руб.'!H447*1000</f>
        <v>27575850</v>
      </c>
      <c r="M447" s="169">
        <f t="shared" si="273"/>
        <v>0</v>
      </c>
      <c r="N447" s="16">
        <f>'БА в тыс. руб.'!I447*1000</f>
        <v>27575850</v>
      </c>
      <c r="O447" s="169">
        <f t="shared" si="274"/>
        <v>0</v>
      </c>
    </row>
    <row r="448" spans="1:15" s="30" customFormat="1" ht="25.5">
      <c r="A448" s="11" t="s">
        <v>111</v>
      </c>
      <c r="B448" s="25" t="s">
        <v>69</v>
      </c>
      <c r="C448" s="26" t="s">
        <v>71</v>
      </c>
      <c r="D448" s="26" t="s">
        <v>65</v>
      </c>
      <c r="E448" s="26" t="s">
        <v>336</v>
      </c>
      <c r="F448" s="26" t="s">
        <v>104</v>
      </c>
      <c r="G448" s="27">
        <f>G449</f>
        <v>4604260</v>
      </c>
      <c r="H448" s="27">
        <f t="shared" ref="H448:I448" si="310">H449</f>
        <v>4604260</v>
      </c>
      <c r="I448" s="27">
        <f t="shared" si="310"/>
        <v>4604260</v>
      </c>
      <c r="J448" s="16">
        <f>'БА в тыс. руб.'!G448*1000</f>
        <v>4604260</v>
      </c>
      <c r="K448" s="169">
        <f t="shared" si="272"/>
        <v>0</v>
      </c>
      <c r="L448" s="16">
        <f>'БА в тыс. руб.'!H448*1000</f>
        <v>4604260</v>
      </c>
      <c r="M448" s="169">
        <f t="shared" si="273"/>
        <v>0</v>
      </c>
      <c r="N448" s="16">
        <f>'БА в тыс. руб.'!I448*1000</f>
        <v>4604260</v>
      </c>
      <c r="O448" s="169">
        <f t="shared" si="274"/>
        <v>0</v>
      </c>
    </row>
    <row r="449" spans="1:15" s="83" customFormat="1" ht="76.5">
      <c r="A449" s="12" t="s">
        <v>1048</v>
      </c>
      <c r="B449" s="25" t="s">
        <v>69</v>
      </c>
      <c r="C449" s="26" t="s">
        <v>71</v>
      </c>
      <c r="D449" s="26" t="s">
        <v>65</v>
      </c>
      <c r="E449" s="26" t="s">
        <v>336</v>
      </c>
      <c r="F449" s="26" t="s">
        <v>1055</v>
      </c>
      <c r="G449" s="27">
        <f t="shared" ref="G449" si="311">J449</f>
        <v>4604260</v>
      </c>
      <c r="H449" s="27">
        <f>L449</f>
        <v>4604260</v>
      </c>
      <c r="I449" s="27">
        <f>N449</f>
        <v>4604260</v>
      </c>
      <c r="J449" s="16">
        <f>'БА в тыс. руб.'!G449*1000</f>
        <v>4604260</v>
      </c>
      <c r="K449" s="169">
        <f t="shared" si="272"/>
        <v>0</v>
      </c>
      <c r="L449" s="16">
        <f>'БА в тыс. руб.'!H449*1000</f>
        <v>4604260</v>
      </c>
      <c r="M449" s="169">
        <f t="shared" si="273"/>
        <v>0</v>
      </c>
      <c r="N449" s="16">
        <f>'БА в тыс. руб.'!I449*1000</f>
        <v>4604260</v>
      </c>
      <c r="O449" s="169">
        <f t="shared" si="274"/>
        <v>0</v>
      </c>
    </row>
    <row r="450" spans="1:15" s="30" customFormat="1" ht="51">
      <c r="A450" s="11" t="s">
        <v>629</v>
      </c>
      <c r="B450" s="25" t="s">
        <v>69</v>
      </c>
      <c r="C450" s="26" t="s">
        <v>71</v>
      </c>
      <c r="D450" s="26" t="s">
        <v>65</v>
      </c>
      <c r="E450" s="26" t="s">
        <v>337</v>
      </c>
      <c r="F450" s="26" t="s">
        <v>58</v>
      </c>
      <c r="G450" s="27">
        <f>G451+G454</f>
        <v>35830040</v>
      </c>
      <c r="H450" s="27">
        <f>H451+H454</f>
        <v>13530660</v>
      </c>
      <c r="I450" s="27">
        <f>I451+I454</f>
        <v>13530660</v>
      </c>
      <c r="J450" s="16">
        <f>'БА в тыс. руб.'!G450*1000</f>
        <v>35830040</v>
      </c>
      <c r="K450" s="169">
        <f t="shared" si="272"/>
        <v>0</v>
      </c>
      <c r="L450" s="16">
        <f>'БА в тыс. руб.'!H450*1000</f>
        <v>13530660</v>
      </c>
      <c r="M450" s="169">
        <f t="shared" si="273"/>
        <v>0</v>
      </c>
      <c r="N450" s="16">
        <f>'БА в тыс. руб.'!I450*1000</f>
        <v>13530660</v>
      </c>
      <c r="O450" s="169">
        <f t="shared" si="274"/>
        <v>0</v>
      </c>
    </row>
    <row r="451" spans="1:15" s="30" customFormat="1" ht="25.5">
      <c r="A451" s="13" t="s">
        <v>247</v>
      </c>
      <c r="B451" s="25" t="s">
        <v>69</v>
      </c>
      <c r="C451" s="26" t="s">
        <v>71</v>
      </c>
      <c r="D451" s="26" t="s">
        <v>65</v>
      </c>
      <c r="E451" s="26" t="s">
        <v>338</v>
      </c>
      <c r="F451" s="26" t="s">
        <v>58</v>
      </c>
      <c r="G451" s="27">
        <f>G452</f>
        <v>35580040</v>
      </c>
      <c r="H451" s="27">
        <f>H452</f>
        <v>13530660</v>
      </c>
      <c r="I451" s="27">
        <f>I452</f>
        <v>13530660</v>
      </c>
      <c r="J451" s="16">
        <f>'БА в тыс. руб.'!G451*1000</f>
        <v>35580040</v>
      </c>
      <c r="K451" s="169">
        <f t="shared" si="272"/>
        <v>0</v>
      </c>
      <c r="L451" s="16">
        <f>'БА в тыс. руб.'!H451*1000</f>
        <v>13530660</v>
      </c>
      <c r="M451" s="169">
        <f t="shared" si="273"/>
        <v>0</v>
      </c>
      <c r="N451" s="16">
        <f>'БА в тыс. руб.'!I451*1000</f>
        <v>13530660</v>
      </c>
      <c r="O451" s="169">
        <f t="shared" si="274"/>
        <v>0</v>
      </c>
    </row>
    <row r="452" spans="1:15" s="30" customFormat="1">
      <c r="A452" s="13" t="s">
        <v>92</v>
      </c>
      <c r="B452" s="25" t="s">
        <v>69</v>
      </c>
      <c r="C452" s="26" t="s">
        <v>71</v>
      </c>
      <c r="D452" s="26" t="s">
        <v>65</v>
      </c>
      <c r="E452" s="26" t="s">
        <v>338</v>
      </c>
      <c r="F452" s="26" t="s">
        <v>138</v>
      </c>
      <c r="G452" s="27">
        <f>G453</f>
        <v>35580040</v>
      </c>
      <c r="H452" s="27">
        <f t="shared" ref="H452:I452" si="312">H453</f>
        <v>13530660</v>
      </c>
      <c r="I452" s="27">
        <f t="shared" si="312"/>
        <v>13530660</v>
      </c>
      <c r="J452" s="16">
        <f>'БА в тыс. руб.'!G452*1000</f>
        <v>35580040</v>
      </c>
      <c r="K452" s="169">
        <f t="shared" si="272"/>
        <v>0</v>
      </c>
      <c r="L452" s="16">
        <f>'БА в тыс. руб.'!H452*1000</f>
        <v>13530660</v>
      </c>
      <c r="M452" s="169">
        <f t="shared" si="273"/>
        <v>0</v>
      </c>
      <c r="N452" s="16">
        <f>'БА в тыс. руб.'!I452*1000</f>
        <v>13530660</v>
      </c>
      <c r="O452" s="169">
        <f t="shared" si="274"/>
        <v>0</v>
      </c>
    </row>
    <row r="453" spans="1:15" s="83" customFormat="1">
      <c r="A453" s="12" t="s">
        <v>1016</v>
      </c>
      <c r="B453" s="25" t="s">
        <v>69</v>
      </c>
      <c r="C453" s="26" t="s">
        <v>71</v>
      </c>
      <c r="D453" s="26" t="s">
        <v>65</v>
      </c>
      <c r="E453" s="26" t="s">
        <v>338</v>
      </c>
      <c r="F453" s="26" t="s">
        <v>1046</v>
      </c>
      <c r="G453" s="27">
        <f t="shared" ref="G453" si="313">J453</f>
        <v>35580040</v>
      </c>
      <c r="H453" s="27">
        <f>L453</f>
        <v>13530660</v>
      </c>
      <c r="I453" s="27">
        <f>N453</f>
        <v>13530660</v>
      </c>
      <c r="J453" s="16">
        <f>'БА в тыс. руб.'!G453*1000</f>
        <v>35580040</v>
      </c>
      <c r="K453" s="169">
        <f t="shared" si="272"/>
        <v>0</v>
      </c>
      <c r="L453" s="16">
        <f>'БА в тыс. руб.'!H453*1000</f>
        <v>13530660</v>
      </c>
      <c r="M453" s="169">
        <f t="shared" si="273"/>
        <v>0</v>
      </c>
      <c r="N453" s="16">
        <f>'БА в тыс. руб.'!I453*1000</f>
        <v>13530660</v>
      </c>
      <c r="O453" s="169">
        <f t="shared" si="274"/>
        <v>0</v>
      </c>
    </row>
    <row r="454" spans="1:15" s="30" customFormat="1" ht="38.25">
      <c r="A454" s="13" t="s">
        <v>702</v>
      </c>
      <c r="B454" s="25" t="s">
        <v>69</v>
      </c>
      <c r="C454" s="26" t="s">
        <v>71</v>
      </c>
      <c r="D454" s="26" t="s">
        <v>65</v>
      </c>
      <c r="E454" s="26" t="s">
        <v>701</v>
      </c>
      <c r="F454" s="26" t="s">
        <v>58</v>
      </c>
      <c r="G454" s="27">
        <f>G455</f>
        <v>250000</v>
      </c>
      <c r="H454" s="27">
        <f>H455</f>
        <v>0</v>
      </c>
      <c r="I454" s="27">
        <f>I455</f>
        <v>0</v>
      </c>
      <c r="J454" s="16">
        <f>'БА в тыс. руб.'!G454*1000</f>
        <v>250000</v>
      </c>
      <c r="K454" s="169">
        <f t="shared" si="272"/>
        <v>0</v>
      </c>
      <c r="L454" s="16">
        <f>'БА в тыс. руб.'!H454*1000</f>
        <v>0</v>
      </c>
      <c r="M454" s="169">
        <f t="shared" si="273"/>
        <v>0</v>
      </c>
      <c r="N454" s="16">
        <f>'БА в тыс. руб.'!I454*1000</f>
        <v>0</v>
      </c>
      <c r="O454" s="169">
        <f t="shared" si="274"/>
        <v>0</v>
      </c>
    </row>
    <row r="455" spans="1:15" s="30" customFormat="1">
      <c r="A455" s="13" t="s">
        <v>92</v>
      </c>
      <c r="B455" s="25" t="s">
        <v>69</v>
      </c>
      <c r="C455" s="26" t="s">
        <v>71</v>
      </c>
      <c r="D455" s="26" t="s">
        <v>65</v>
      </c>
      <c r="E455" s="26" t="s">
        <v>701</v>
      </c>
      <c r="F455" s="26" t="s">
        <v>138</v>
      </c>
      <c r="G455" s="27">
        <f>G456</f>
        <v>250000</v>
      </c>
      <c r="H455" s="27">
        <f t="shared" ref="H455:I455" si="314">H456</f>
        <v>0</v>
      </c>
      <c r="I455" s="27">
        <f t="shared" si="314"/>
        <v>0</v>
      </c>
      <c r="J455" s="16">
        <f>'БА в тыс. руб.'!G455*1000</f>
        <v>250000</v>
      </c>
      <c r="K455" s="169">
        <f t="shared" si="272"/>
        <v>0</v>
      </c>
      <c r="L455" s="16">
        <f>'БА в тыс. руб.'!H455*1000</f>
        <v>0</v>
      </c>
      <c r="M455" s="169">
        <f t="shared" si="273"/>
        <v>0</v>
      </c>
      <c r="N455" s="16">
        <f>'БА в тыс. руб.'!I455*1000</f>
        <v>0</v>
      </c>
      <c r="O455" s="169">
        <f t="shared" si="274"/>
        <v>0</v>
      </c>
    </row>
    <row r="456" spans="1:15" s="83" customFormat="1">
      <c r="A456" s="12" t="s">
        <v>1016</v>
      </c>
      <c r="B456" s="25" t="s">
        <v>69</v>
      </c>
      <c r="C456" s="26" t="s">
        <v>71</v>
      </c>
      <c r="D456" s="26" t="s">
        <v>65</v>
      </c>
      <c r="E456" s="26" t="s">
        <v>701</v>
      </c>
      <c r="F456" s="26" t="s">
        <v>1046</v>
      </c>
      <c r="G456" s="27">
        <f t="shared" ref="G456" si="315">J456</f>
        <v>250000</v>
      </c>
      <c r="H456" s="27">
        <f>L456</f>
        <v>0</v>
      </c>
      <c r="I456" s="27">
        <f>N456</f>
        <v>0</v>
      </c>
      <c r="J456" s="16">
        <f>'БА в тыс. руб.'!G456*1000</f>
        <v>250000</v>
      </c>
      <c r="K456" s="169">
        <f t="shared" ref="K456:K519" si="316">J456-G456</f>
        <v>0</v>
      </c>
      <c r="L456" s="16">
        <f>'БА в тыс. руб.'!H456*1000</f>
        <v>0</v>
      </c>
      <c r="M456" s="169">
        <f t="shared" ref="M456:M519" si="317">L456-H456</f>
        <v>0</v>
      </c>
      <c r="N456" s="16">
        <f>'БА в тыс. руб.'!I456*1000</f>
        <v>0</v>
      </c>
      <c r="O456" s="169">
        <f t="shared" ref="O456:O519" si="318">N456-I456</f>
        <v>0</v>
      </c>
    </row>
    <row r="457" spans="1:15" s="30" customFormat="1" ht="63.75">
      <c r="A457" s="11" t="s">
        <v>756</v>
      </c>
      <c r="B457" s="25" t="s">
        <v>69</v>
      </c>
      <c r="C457" s="26" t="s">
        <v>71</v>
      </c>
      <c r="D457" s="26" t="s">
        <v>65</v>
      </c>
      <c r="E457" s="26" t="s">
        <v>339</v>
      </c>
      <c r="F457" s="26" t="s">
        <v>58</v>
      </c>
      <c r="G457" s="27">
        <f t="shared" ref="G457:I459" si="319">G458</f>
        <v>4259570</v>
      </c>
      <c r="H457" s="27">
        <f t="shared" si="319"/>
        <v>3895640</v>
      </c>
      <c r="I457" s="27">
        <f t="shared" si="319"/>
        <v>3895640</v>
      </c>
      <c r="J457" s="16">
        <f>'БА в тыс. руб.'!G457*1000</f>
        <v>4259570</v>
      </c>
      <c r="K457" s="169">
        <f t="shared" si="316"/>
        <v>0</v>
      </c>
      <c r="L457" s="16">
        <f>'БА в тыс. руб.'!H457*1000</f>
        <v>3895640</v>
      </c>
      <c r="M457" s="169">
        <f t="shared" si="317"/>
        <v>0</v>
      </c>
      <c r="N457" s="16">
        <f>'БА в тыс. руб.'!I457*1000</f>
        <v>3895640</v>
      </c>
      <c r="O457" s="169">
        <f t="shared" si="318"/>
        <v>0</v>
      </c>
    </row>
    <row r="458" spans="1:15" s="30" customFormat="1" ht="25.5">
      <c r="A458" s="11" t="s">
        <v>136</v>
      </c>
      <c r="B458" s="25" t="s">
        <v>69</v>
      </c>
      <c r="C458" s="26" t="s">
        <v>71</v>
      </c>
      <c r="D458" s="26" t="s">
        <v>65</v>
      </c>
      <c r="E458" s="26" t="s">
        <v>340</v>
      </c>
      <c r="F458" s="26" t="s">
        <v>58</v>
      </c>
      <c r="G458" s="27">
        <f t="shared" si="319"/>
        <v>4259570</v>
      </c>
      <c r="H458" s="27">
        <f t="shared" si="319"/>
        <v>3895640</v>
      </c>
      <c r="I458" s="27">
        <f t="shared" si="319"/>
        <v>3895640</v>
      </c>
      <c r="J458" s="16">
        <f>'БА в тыс. руб.'!G458*1000</f>
        <v>4259570</v>
      </c>
      <c r="K458" s="169">
        <f t="shared" si="316"/>
        <v>0</v>
      </c>
      <c r="L458" s="16">
        <f>'БА в тыс. руб.'!H458*1000</f>
        <v>3895640</v>
      </c>
      <c r="M458" s="169">
        <f t="shared" si="317"/>
        <v>0</v>
      </c>
      <c r="N458" s="16">
        <f>'БА в тыс. руб.'!I458*1000</f>
        <v>3895640</v>
      </c>
      <c r="O458" s="169">
        <f t="shared" si="318"/>
        <v>0</v>
      </c>
    </row>
    <row r="459" spans="1:15" s="30" customFormat="1" ht="25.5">
      <c r="A459" s="11" t="s">
        <v>667</v>
      </c>
      <c r="B459" s="25" t="s">
        <v>69</v>
      </c>
      <c r="C459" s="26" t="s">
        <v>71</v>
      </c>
      <c r="D459" s="26" t="s">
        <v>65</v>
      </c>
      <c r="E459" s="26" t="s">
        <v>609</v>
      </c>
      <c r="F459" s="26" t="s">
        <v>58</v>
      </c>
      <c r="G459" s="27">
        <f t="shared" si="319"/>
        <v>4259570</v>
      </c>
      <c r="H459" s="27">
        <f t="shared" si="319"/>
        <v>3895640</v>
      </c>
      <c r="I459" s="27">
        <f t="shared" si="319"/>
        <v>3895640</v>
      </c>
      <c r="J459" s="16">
        <f>'БА в тыс. руб.'!G459*1000</f>
        <v>4259570</v>
      </c>
      <c r="K459" s="169">
        <f t="shared" si="316"/>
        <v>0</v>
      </c>
      <c r="L459" s="16">
        <f>'БА в тыс. руб.'!H459*1000</f>
        <v>3895640</v>
      </c>
      <c r="M459" s="169">
        <f t="shared" si="317"/>
        <v>0</v>
      </c>
      <c r="N459" s="16">
        <f>'БА в тыс. руб.'!I459*1000</f>
        <v>3895640</v>
      </c>
      <c r="O459" s="169">
        <f t="shared" si="318"/>
        <v>0</v>
      </c>
    </row>
    <row r="460" spans="1:15" s="30" customFormat="1" ht="38.25">
      <c r="A460" s="11" t="s">
        <v>177</v>
      </c>
      <c r="B460" s="25" t="s">
        <v>69</v>
      </c>
      <c r="C460" s="26" t="s">
        <v>71</v>
      </c>
      <c r="D460" s="26" t="s">
        <v>65</v>
      </c>
      <c r="E460" s="26" t="s">
        <v>610</v>
      </c>
      <c r="F460" s="26" t="s">
        <v>58</v>
      </c>
      <c r="G460" s="27">
        <f>G461+G463</f>
        <v>4259570</v>
      </c>
      <c r="H460" s="27">
        <f t="shared" ref="H460:I460" si="320">H461+H463</f>
        <v>3895640</v>
      </c>
      <c r="I460" s="27">
        <f t="shared" si="320"/>
        <v>3895640</v>
      </c>
      <c r="J460" s="16">
        <f>'БА в тыс. руб.'!G460*1000</f>
        <v>4259570</v>
      </c>
      <c r="K460" s="169">
        <f t="shared" si="316"/>
        <v>0</v>
      </c>
      <c r="L460" s="16">
        <f>'БА в тыс. руб.'!H460*1000</f>
        <v>3895640</v>
      </c>
      <c r="M460" s="169">
        <f t="shared" si="317"/>
        <v>0</v>
      </c>
      <c r="N460" s="16">
        <f>'БА в тыс. руб.'!I460*1000</f>
        <v>3895640</v>
      </c>
      <c r="O460" s="169">
        <f t="shared" si="318"/>
        <v>0</v>
      </c>
    </row>
    <row r="461" spans="1:15" s="30" customFormat="1">
      <c r="A461" s="13" t="s">
        <v>92</v>
      </c>
      <c r="B461" s="25" t="s">
        <v>69</v>
      </c>
      <c r="C461" s="26" t="s">
        <v>71</v>
      </c>
      <c r="D461" s="26" t="s">
        <v>65</v>
      </c>
      <c r="E461" s="26" t="s">
        <v>610</v>
      </c>
      <c r="F461" s="26" t="s">
        <v>138</v>
      </c>
      <c r="G461" s="27">
        <f>G462</f>
        <v>4161069.9999999995</v>
      </c>
      <c r="H461" s="27">
        <f t="shared" ref="H461:I461" si="321">H462</f>
        <v>3797140</v>
      </c>
      <c r="I461" s="27">
        <f t="shared" si="321"/>
        <v>3797140</v>
      </c>
      <c r="J461" s="16">
        <f>'БА в тыс. руб.'!G461*1000</f>
        <v>4161069.9999999995</v>
      </c>
      <c r="K461" s="169">
        <f t="shared" si="316"/>
        <v>0</v>
      </c>
      <c r="L461" s="16">
        <f>'БА в тыс. руб.'!H461*1000</f>
        <v>3797140</v>
      </c>
      <c r="M461" s="169">
        <f t="shared" si="317"/>
        <v>0</v>
      </c>
      <c r="N461" s="16">
        <f>'БА в тыс. руб.'!I461*1000</f>
        <v>3797140</v>
      </c>
      <c r="O461" s="169">
        <f t="shared" si="318"/>
        <v>0</v>
      </c>
    </row>
    <row r="462" spans="1:15" s="83" customFormat="1">
      <c r="A462" s="12" t="s">
        <v>1016</v>
      </c>
      <c r="B462" s="25" t="s">
        <v>69</v>
      </c>
      <c r="C462" s="26" t="s">
        <v>71</v>
      </c>
      <c r="D462" s="26" t="s">
        <v>65</v>
      </c>
      <c r="E462" s="26" t="s">
        <v>610</v>
      </c>
      <c r="F462" s="26" t="s">
        <v>1046</v>
      </c>
      <c r="G462" s="27">
        <f t="shared" ref="G462" si="322">J462</f>
        <v>4161069.9999999995</v>
      </c>
      <c r="H462" s="27">
        <f>L462</f>
        <v>3797140</v>
      </c>
      <c r="I462" s="27">
        <f>N462</f>
        <v>3797140</v>
      </c>
      <c r="J462" s="16">
        <f>'БА в тыс. руб.'!G462*1000</f>
        <v>4161069.9999999995</v>
      </c>
      <c r="K462" s="169">
        <f t="shared" si="316"/>
        <v>0</v>
      </c>
      <c r="L462" s="16">
        <f>'БА в тыс. руб.'!H462*1000</f>
        <v>3797140</v>
      </c>
      <c r="M462" s="169">
        <f t="shared" si="317"/>
        <v>0</v>
      </c>
      <c r="N462" s="16">
        <f>'БА в тыс. руб.'!I462*1000</f>
        <v>3797140</v>
      </c>
      <c r="O462" s="169">
        <f t="shared" si="318"/>
        <v>0</v>
      </c>
    </row>
    <row r="463" spans="1:15" s="30" customFormat="1">
      <c r="A463" s="13" t="s">
        <v>93</v>
      </c>
      <c r="B463" s="25" t="s">
        <v>69</v>
      </c>
      <c r="C463" s="26" t="s">
        <v>71</v>
      </c>
      <c r="D463" s="26" t="s">
        <v>65</v>
      </c>
      <c r="E463" s="26" t="s">
        <v>610</v>
      </c>
      <c r="F463" s="26" t="s">
        <v>20</v>
      </c>
      <c r="G463" s="27">
        <f>G464</f>
        <v>98500</v>
      </c>
      <c r="H463" s="27">
        <f t="shared" ref="H463:I463" si="323">H464</f>
        <v>98500</v>
      </c>
      <c r="I463" s="27">
        <f t="shared" si="323"/>
        <v>98500</v>
      </c>
      <c r="J463" s="16">
        <f>'БА в тыс. руб.'!G463*1000</f>
        <v>98500</v>
      </c>
      <c r="K463" s="169">
        <f t="shared" si="316"/>
        <v>0</v>
      </c>
      <c r="L463" s="16">
        <f>'БА в тыс. руб.'!H463*1000</f>
        <v>98500</v>
      </c>
      <c r="M463" s="169">
        <f t="shared" si="317"/>
        <v>0</v>
      </c>
      <c r="N463" s="16">
        <f>'БА в тыс. руб.'!I463*1000</f>
        <v>98500</v>
      </c>
      <c r="O463" s="169">
        <f t="shared" si="318"/>
        <v>0</v>
      </c>
    </row>
    <row r="464" spans="1:15" s="83" customFormat="1">
      <c r="A464" s="12" t="s">
        <v>1019</v>
      </c>
      <c r="B464" s="25" t="s">
        <v>69</v>
      </c>
      <c r="C464" s="26" t="s">
        <v>71</v>
      </c>
      <c r="D464" s="26" t="s">
        <v>65</v>
      </c>
      <c r="E464" s="26" t="s">
        <v>610</v>
      </c>
      <c r="F464" s="26" t="s">
        <v>1054</v>
      </c>
      <c r="G464" s="27">
        <f t="shared" ref="G464" si="324">J464</f>
        <v>98500</v>
      </c>
      <c r="H464" s="27">
        <f>L464</f>
        <v>98500</v>
      </c>
      <c r="I464" s="27">
        <f>N464</f>
        <v>98500</v>
      </c>
      <c r="J464" s="16">
        <f>'БА в тыс. руб.'!G464*1000</f>
        <v>98500</v>
      </c>
      <c r="K464" s="169">
        <f t="shared" si="316"/>
        <v>0</v>
      </c>
      <c r="L464" s="16">
        <f>'БА в тыс. руб.'!H464*1000</f>
        <v>98500</v>
      </c>
      <c r="M464" s="169">
        <f t="shared" si="317"/>
        <v>0</v>
      </c>
      <c r="N464" s="16">
        <f>'БА в тыс. руб.'!I464*1000</f>
        <v>98500</v>
      </c>
      <c r="O464" s="169">
        <f t="shared" si="318"/>
        <v>0</v>
      </c>
    </row>
    <row r="465" spans="1:15" s="30" customFormat="1" ht="25.5">
      <c r="A465" s="11" t="s">
        <v>757</v>
      </c>
      <c r="B465" s="25" t="s">
        <v>69</v>
      </c>
      <c r="C465" s="26" t="s">
        <v>71</v>
      </c>
      <c r="D465" s="26" t="s">
        <v>65</v>
      </c>
      <c r="E465" s="26" t="s">
        <v>342</v>
      </c>
      <c r="F465" s="26" t="s">
        <v>58</v>
      </c>
      <c r="G465" s="27">
        <f t="shared" ref="G465:I466" si="325">G466</f>
        <v>0</v>
      </c>
      <c r="H465" s="27">
        <f t="shared" si="325"/>
        <v>5077740</v>
      </c>
      <c r="I465" s="27">
        <f t="shared" si="325"/>
        <v>5077740</v>
      </c>
      <c r="J465" s="16">
        <f>'БА в тыс. руб.'!G465*1000</f>
        <v>0</v>
      </c>
      <c r="K465" s="169">
        <f t="shared" si="316"/>
        <v>0</v>
      </c>
      <c r="L465" s="16">
        <f>'БА в тыс. руб.'!H465*1000</f>
        <v>5077740</v>
      </c>
      <c r="M465" s="169">
        <f t="shared" si="317"/>
        <v>0</v>
      </c>
      <c r="N465" s="16">
        <f>'БА в тыс. руб.'!I465*1000</f>
        <v>5077740</v>
      </c>
      <c r="O465" s="169">
        <f t="shared" si="318"/>
        <v>0</v>
      </c>
    </row>
    <row r="466" spans="1:15" s="30" customFormat="1" ht="38.25">
      <c r="A466" s="34" t="s">
        <v>758</v>
      </c>
      <c r="B466" s="25" t="s">
        <v>69</v>
      </c>
      <c r="C466" s="26" t="s">
        <v>71</v>
      </c>
      <c r="D466" s="26" t="s">
        <v>65</v>
      </c>
      <c r="E466" s="26" t="s">
        <v>343</v>
      </c>
      <c r="F466" s="26" t="s">
        <v>58</v>
      </c>
      <c r="G466" s="27">
        <f t="shared" si="325"/>
        <v>0</v>
      </c>
      <c r="H466" s="27">
        <f t="shared" si="325"/>
        <v>5077740</v>
      </c>
      <c r="I466" s="27">
        <f t="shared" si="325"/>
        <v>5077740</v>
      </c>
      <c r="J466" s="16">
        <f>'БА в тыс. руб.'!G466*1000</f>
        <v>0</v>
      </c>
      <c r="K466" s="169">
        <f t="shared" si="316"/>
        <v>0</v>
      </c>
      <c r="L466" s="16">
        <f>'БА в тыс. руб.'!H466*1000</f>
        <v>5077740</v>
      </c>
      <c r="M466" s="169">
        <f t="shared" si="317"/>
        <v>0</v>
      </c>
      <c r="N466" s="16">
        <f>'БА в тыс. руб.'!I466*1000</f>
        <v>5077740</v>
      </c>
      <c r="O466" s="169">
        <f t="shared" si="318"/>
        <v>0</v>
      </c>
    </row>
    <row r="467" spans="1:15" s="30" customFormat="1" ht="25.5">
      <c r="A467" s="11" t="s">
        <v>344</v>
      </c>
      <c r="B467" s="25" t="s">
        <v>69</v>
      </c>
      <c r="C467" s="26" t="s">
        <v>71</v>
      </c>
      <c r="D467" s="26" t="s">
        <v>65</v>
      </c>
      <c r="E467" s="26" t="s">
        <v>345</v>
      </c>
      <c r="F467" s="26" t="s">
        <v>58</v>
      </c>
      <c r="G467" s="27">
        <f>G469</f>
        <v>0</v>
      </c>
      <c r="H467" s="27">
        <f>H469</f>
        <v>5077740</v>
      </c>
      <c r="I467" s="27">
        <f>I469</f>
        <v>5077740</v>
      </c>
      <c r="J467" s="16">
        <f>'БА в тыс. руб.'!G467*1000</f>
        <v>0</v>
      </c>
      <c r="K467" s="169">
        <f t="shared" si="316"/>
        <v>0</v>
      </c>
      <c r="L467" s="16">
        <f>'БА в тыс. руб.'!H467*1000</f>
        <v>5077740</v>
      </c>
      <c r="M467" s="169">
        <f t="shared" si="317"/>
        <v>0</v>
      </c>
      <c r="N467" s="16">
        <f>'БА в тыс. руб.'!I467*1000</f>
        <v>5077740</v>
      </c>
      <c r="O467" s="169">
        <f t="shared" si="318"/>
        <v>0</v>
      </c>
    </row>
    <row r="468" spans="1:15" s="30" customFormat="1" ht="25.5">
      <c r="A468" s="13" t="s">
        <v>174</v>
      </c>
      <c r="B468" s="25" t="s">
        <v>69</v>
      </c>
      <c r="C468" s="26" t="s">
        <v>71</v>
      </c>
      <c r="D468" s="26" t="s">
        <v>65</v>
      </c>
      <c r="E468" s="26" t="s">
        <v>346</v>
      </c>
      <c r="F468" s="26" t="s">
        <v>58</v>
      </c>
      <c r="G468" s="27">
        <f>G469</f>
        <v>0</v>
      </c>
      <c r="H468" s="27">
        <f>H469</f>
        <v>5077740</v>
      </c>
      <c r="I468" s="27">
        <f>I469</f>
        <v>5077740</v>
      </c>
      <c r="J468" s="16">
        <f>'БА в тыс. руб.'!G468*1000</f>
        <v>0</v>
      </c>
      <c r="K468" s="169">
        <f t="shared" si="316"/>
        <v>0</v>
      </c>
      <c r="L468" s="16">
        <f>'БА в тыс. руб.'!H468*1000</f>
        <v>5077740</v>
      </c>
      <c r="M468" s="169">
        <f t="shared" si="317"/>
        <v>0</v>
      </c>
      <c r="N468" s="16">
        <f>'БА в тыс. руб.'!I468*1000</f>
        <v>5077740</v>
      </c>
      <c r="O468" s="169">
        <f t="shared" si="318"/>
        <v>0</v>
      </c>
    </row>
    <row r="469" spans="1:15" s="30" customFormat="1">
      <c r="A469" s="13" t="s">
        <v>92</v>
      </c>
      <c r="B469" s="25" t="s">
        <v>69</v>
      </c>
      <c r="C469" s="26" t="s">
        <v>71</v>
      </c>
      <c r="D469" s="26" t="s">
        <v>65</v>
      </c>
      <c r="E469" s="26" t="s">
        <v>346</v>
      </c>
      <c r="F469" s="26" t="s">
        <v>138</v>
      </c>
      <c r="G469" s="27">
        <f>G470</f>
        <v>0</v>
      </c>
      <c r="H469" s="27">
        <f t="shared" ref="H469:I469" si="326">H470</f>
        <v>5077740</v>
      </c>
      <c r="I469" s="27">
        <f t="shared" si="326"/>
        <v>5077740</v>
      </c>
      <c r="J469" s="16">
        <f>'БА в тыс. руб.'!G469*1000</f>
        <v>0</v>
      </c>
      <c r="K469" s="169">
        <f t="shared" si="316"/>
        <v>0</v>
      </c>
      <c r="L469" s="16">
        <f>'БА в тыс. руб.'!H469*1000</f>
        <v>5077740</v>
      </c>
      <c r="M469" s="169">
        <f t="shared" si="317"/>
        <v>0</v>
      </c>
      <c r="N469" s="16">
        <f>'БА в тыс. руб.'!I469*1000</f>
        <v>5077740</v>
      </c>
      <c r="O469" s="169">
        <f t="shared" si="318"/>
        <v>0</v>
      </c>
    </row>
    <row r="470" spans="1:15" s="83" customFormat="1">
      <c r="A470" s="12" t="s">
        <v>1016</v>
      </c>
      <c r="B470" s="25" t="s">
        <v>69</v>
      </c>
      <c r="C470" s="26" t="s">
        <v>71</v>
      </c>
      <c r="D470" s="26" t="s">
        <v>65</v>
      </c>
      <c r="E470" s="26" t="s">
        <v>346</v>
      </c>
      <c r="F470" s="26" t="s">
        <v>1046</v>
      </c>
      <c r="G470" s="27">
        <f t="shared" ref="G470" si="327">J470</f>
        <v>0</v>
      </c>
      <c r="H470" s="27">
        <f>L470</f>
        <v>5077740</v>
      </c>
      <c r="I470" s="27">
        <f>N470</f>
        <v>5077740</v>
      </c>
      <c r="J470" s="16">
        <f>'БА в тыс. руб.'!G470*1000</f>
        <v>0</v>
      </c>
      <c r="K470" s="169">
        <f t="shared" si="316"/>
        <v>0</v>
      </c>
      <c r="L470" s="16">
        <f>'БА в тыс. руб.'!H470*1000</f>
        <v>5077740</v>
      </c>
      <c r="M470" s="169">
        <f t="shared" si="317"/>
        <v>0</v>
      </c>
      <c r="N470" s="16">
        <f>'БА в тыс. руб.'!I470*1000</f>
        <v>5077740</v>
      </c>
      <c r="O470" s="169">
        <f t="shared" si="318"/>
        <v>0</v>
      </c>
    </row>
    <row r="471" spans="1:15" s="30" customFormat="1">
      <c r="A471" s="21" t="s">
        <v>61</v>
      </c>
      <c r="B471" s="22" t="s">
        <v>69</v>
      </c>
      <c r="C471" s="23" t="s">
        <v>71</v>
      </c>
      <c r="D471" s="23" t="s">
        <v>66</v>
      </c>
      <c r="E471" s="23" t="s">
        <v>196</v>
      </c>
      <c r="F471" s="23" t="s">
        <v>58</v>
      </c>
      <c r="G471" s="24">
        <f>G472+G505+G516+G524</f>
        <v>1639816010</v>
      </c>
      <c r="H471" s="24">
        <f>H472+H505+H516+H524</f>
        <v>1476120720</v>
      </c>
      <c r="I471" s="24">
        <f>I472+I505+I516+I524</f>
        <v>1563261200</v>
      </c>
      <c r="J471" s="16">
        <f>'БА в тыс. руб.'!G471*1000</f>
        <v>1639816010</v>
      </c>
      <c r="K471" s="169">
        <f t="shared" si="316"/>
        <v>0</v>
      </c>
      <c r="L471" s="16">
        <f>'БА в тыс. руб.'!H471*1000</f>
        <v>1476120720.0000002</v>
      </c>
      <c r="M471" s="169">
        <f t="shared" si="317"/>
        <v>0</v>
      </c>
      <c r="N471" s="16">
        <f>'БА в тыс. руб.'!I471*1000</f>
        <v>1563261200.0000002</v>
      </c>
      <c r="O471" s="169">
        <f t="shared" si="318"/>
        <v>0</v>
      </c>
    </row>
    <row r="472" spans="1:15" s="30" customFormat="1" ht="25.5">
      <c r="A472" s="13" t="s">
        <v>723</v>
      </c>
      <c r="B472" s="25" t="s">
        <v>69</v>
      </c>
      <c r="C472" s="26" t="s">
        <v>71</v>
      </c>
      <c r="D472" s="26" t="s">
        <v>66</v>
      </c>
      <c r="E472" s="26" t="s">
        <v>331</v>
      </c>
      <c r="F472" s="26" t="s">
        <v>58</v>
      </c>
      <c r="G472" s="27">
        <f>G473+G500</f>
        <v>1634402450</v>
      </c>
      <c r="H472" s="27">
        <f>H473+H500</f>
        <v>1471240910</v>
      </c>
      <c r="I472" s="27">
        <f>I473+I500</f>
        <v>1558381390</v>
      </c>
      <c r="J472" s="16">
        <f>'БА в тыс. руб.'!G472*1000</f>
        <v>1634402450</v>
      </c>
      <c r="K472" s="169">
        <f t="shared" si="316"/>
        <v>0</v>
      </c>
      <c r="L472" s="16">
        <f>'БА в тыс. руб.'!H472*1000</f>
        <v>1471240910.0000002</v>
      </c>
      <c r="M472" s="169">
        <f t="shared" si="317"/>
        <v>0</v>
      </c>
      <c r="N472" s="16">
        <f>'БА в тыс. руб.'!I472*1000</f>
        <v>1558381390.0000002</v>
      </c>
      <c r="O472" s="169">
        <f t="shared" si="318"/>
        <v>0</v>
      </c>
    </row>
    <row r="473" spans="1:15" s="30" customFormat="1" ht="25.5">
      <c r="A473" s="13" t="s">
        <v>860</v>
      </c>
      <c r="B473" s="25" t="s">
        <v>69</v>
      </c>
      <c r="C473" s="26" t="s">
        <v>71</v>
      </c>
      <c r="D473" s="26" t="s">
        <v>66</v>
      </c>
      <c r="E473" s="26" t="s">
        <v>332</v>
      </c>
      <c r="F473" s="26" t="s">
        <v>58</v>
      </c>
      <c r="G473" s="27">
        <f>G474+G496</f>
        <v>1630682450</v>
      </c>
      <c r="H473" s="27">
        <f>H474+H496</f>
        <v>1464421290</v>
      </c>
      <c r="I473" s="27">
        <f>I474+I496</f>
        <v>1558381390</v>
      </c>
      <c r="J473" s="16">
        <f>'БА в тыс. руб.'!G473*1000</f>
        <v>1630682450</v>
      </c>
      <c r="K473" s="169">
        <f t="shared" si="316"/>
        <v>0</v>
      </c>
      <c r="L473" s="16">
        <f>'БА в тыс. руб.'!H473*1000</f>
        <v>1464421290</v>
      </c>
      <c r="M473" s="169">
        <f t="shared" si="317"/>
        <v>0</v>
      </c>
      <c r="N473" s="16">
        <f>'БА в тыс. руб.'!I473*1000</f>
        <v>1558381390.0000002</v>
      </c>
      <c r="O473" s="169">
        <f t="shared" si="318"/>
        <v>0</v>
      </c>
    </row>
    <row r="474" spans="1:15" s="30" customFormat="1" ht="38.25">
      <c r="A474" s="13" t="s">
        <v>663</v>
      </c>
      <c r="B474" s="25" t="s">
        <v>69</v>
      </c>
      <c r="C474" s="26" t="s">
        <v>71</v>
      </c>
      <c r="D474" s="26" t="s">
        <v>66</v>
      </c>
      <c r="E474" s="26" t="s">
        <v>347</v>
      </c>
      <c r="F474" s="26" t="s">
        <v>58</v>
      </c>
      <c r="G474" s="27">
        <f>G475+G486</f>
        <v>1619344250</v>
      </c>
      <c r="H474" s="27">
        <f>H475+H486</f>
        <v>1460421290</v>
      </c>
      <c r="I474" s="27">
        <f>I475+I486</f>
        <v>1554381390</v>
      </c>
      <c r="J474" s="16">
        <f>'БА в тыс. руб.'!G474*1000</f>
        <v>1619344250</v>
      </c>
      <c r="K474" s="169">
        <f t="shared" si="316"/>
        <v>0</v>
      </c>
      <c r="L474" s="16">
        <f>'БА в тыс. руб.'!H474*1000</f>
        <v>1460421290</v>
      </c>
      <c r="M474" s="169">
        <f t="shared" si="317"/>
        <v>0</v>
      </c>
      <c r="N474" s="16">
        <f>'БА в тыс. руб.'!I474*1000</f>
        <v>1554381390.0000002</v>
      </c>
      <c r="O474" s="169">
        <f t="shared" si="318"/>
        <v>0</v>
      </c>
    </row>
    <row r="475" spans="1:15" s="30" customFormat="1" ht="25.5">
      <c r="A475" s="13" t="s">
        <v>247</v>
      </c>
      <c r="B475" s="25" t="s">
        <v>69</v>
      </c>
      <c r="C475" s="26" t="s">
        <v>71</v>
      </c>
      <c r="D475" s="26" t="s">
        <v>66</v>
      </c>
      <c r="E475" s="26" t="s">
        <v>348</v>
      </c>
      <c r="F475" s="26" t="s">
        <v>58</v>
      </c>
      <c r="G475" s="27">
        <f>G476+G479+G481+G484</f>
        <v>529533960</v>
      </c>
      <c r="H475" s="27">
        <f>H476+H479+H481+H484</f>
        <v>533711880</v>
      </c>
      <c r="I475" s="27">
        <f>I476+I479+I481+I484</f>
        <v>533711880</v>
      </c>
      <c r="J475" s="16">
        <f>'БА в тыс. руб.'!G475*1000</f>
        <v>529533959.99999994</v>
      </c>
      <c r="K475" s="169">
        <f t="shared" si="316"/>
        <v>0</v>
      </c>
      <c r="L475" s="16">
        <f>'БА в тыс. руб.'!H475*1000</f>
        <v>533711880</v>
      </c>
      <c r="M475" s="169">
        <f t="shared" si="317"/>
        <v>0</v>
      </c>
      <c r="N475" s="16">
        <f>'БА в тыс. руб.'!I475*1000</f>
        <v>533711880</v>
      </c>
      <c r="O475" s="169">
        <f t="shared" si="318"/>
        <v>0</v>
      </c>
    </row>
    <row r="476" spans="1:15" s="30" customFormat="1">
      <c r="A476" s="13" t="s">
        <v>106</v>
      </c>
      <c r="B476" s="25" t="s">
        <v>69</v>
      </c>
      <c r="C476" s="26" t="s">
        <v>71</v>
      </c>
      <c r="D476" s="26" t="s">
        <v>66</v>
      </c>
      <c r="E476" s="26" t="s">
        <v>348</v>
      </c>
      <c r="F476" s="26" t="s">
        <v>121</v>
      </c>
      <c r="G476" s="27">
        <f>SUM(G477:G478)</f>
        <v>1601610</v>
      </c>
      <c r="H476" s="27">
        <f t="shared" ref="H476:I476" si="328">SUM(H477:H478)</f>
        <v>1601610</v>
      </c>
      <c r="I476" s="27">
        <f t="shared" si="328"/>
        <v>1601610</v>
      </c>
      <c r="J476" s="16">
        <f>'БА в тыс. руб.'!G476*1000</f>
        <v>1601610.0000000002</v>
      </c>
      <c r="K476" s="169">
        <f t="shared" si="316"/>
        <v>0</v>
      </c>
      <c r="L476" s="16">
        <f>'БА в тыс. руб.'!H476*1000</f>
        <v>1601610.0000000002</v>
      </c>
      <c r="M476" s="169">
        <f t="shared" si="317"/>
        <v>0</v>
      </c>
      <c r="N476" s="16">
        <f>'БА в тыс. руб.'!I476*1000</f>
        <v>1601610.0000000002</v>
      </c>
      <c r="O476" s="169">
        <f t="shared" si="318"/>
        <v>0</v>
      </c>
    </row>
    <row r="477" spans="1:15" s="83" customFormat="1">
      <c r="A477" s="12" t="s">
        <v>932</v>
      </c>
      <c r="B477" s="25" t="s">
        <v>69</v>
      </c>
      <c r="C477" s="26" t="s">
        <v>71</v>
      </c>
      <c r="D477" s="26" t="s">
        <v>66</v>
      </c>
      <c r="E477" s="26" t="s">
        <v>348</v>
      </c>
      <c r="F477" s="26" t="s">
        <v>1056</v>
      </c>
      <c r="G477" s="27">
        <f t="shared" ref="G477:G478" si="329">J477</f>
        <v>1229440</v>
      </c>
      <c r="H477" s="27">
        <f t="shared" ref="H477:H478" si="330">L477</f>
        <v>1229440</v>
      </c>
      <c r="I477" s="27">
        <f t="shared" ref="I477:I478" si="331">N477</f>
        <v>1229440</v>
      </c>
      <c r="J477" s="16">
        <f>'БА в тыс. руб.'!G477*1000</f>
        <v>1229440</v>
      </c>
      <c r="K477" s="169">
        <f t="shared" si="316"/>
        <v>0</v>
      </c>
      <c r="L477" s="16">
        <f>'БА в тыс. руб.'!H477*1000</f>
        <v>1229440</v>
      </c>
      <c r="M477" s="169">
        <f t="shared" si="317"/>
        <v>0</v>
      </c>
      <c r="N477" s="16">
        <f>'БА в тыс. руб.'!I477*1000</f>
        <v>1229440</v>
      </c>
      <c r="O477" s="169">
        <f t="shared" si="318"/>
        <v>0</v>
      </c>
    </row>
    <row r="478" spans="1:15" s="83" customFormat="1" ht="38.25">
      <c r="A478" s="12" t="s">
        <v>935</v>
      </c>
      <c r="B478" s="25" t="s">
        <v>69</v>
      </c>
      <c r="C478" s="26" t="s">
        <v>71</v>
      </c>
      <c r="D478" s="26" t="s">
        <v>66</v>
      </c>
      <c r="E478" s="26" t="s">
        <v>348</v>
      </c>
      <c r="F478" s="26" t="s">
        <v>1057</v>
      </c>
      <c r="G478" s="27">
        <f t="shared" si="329"/>
        <v>372170</v>
      </c>
      <c r="H478" s="27">
        <f t="shared" si="330"/>
        <v>372170</v>
      </c>
      <c r="I478" s="27">
        <f t="shared" si="331"/>
        <v>372170</v>
      </c>
      <c r="J478" s="16">
        <f>'БА в тыс. руб.'!G478*1000</f>
        <v>372170</v>
      </c>
      <c r="K478" s="169">
        <f t="shared" si="316"/>
        <v>0</v>
      </c>
      <c r="L478" s="16">
        <f>'БА в тыс. руб.'!H478*1000</f>
        <v>372170</v>
      </c>
      <c r="M478" s="169">
        <f t="shared" si="317"/>
        <v>0</v>
      </c>
      <c r="N478" s="16">
        <f>'БА в тыс. руб.'!I478*1000</f>
        <v>372170</v>
      </c>
      <c r="O478" s="169">
        <f t="shared" si="318"/>
        <v>0</v>
      </c>
    </row>
    <row r="479" spans="1:15" s="30" customFormat="1" ht="25.5">
      <c r="A479" s="11" t="s">
        <v>108</v>
      </c>
      <c r="B479" s="25" t="s">
        <v>69</v>
      </c>
      <c r="C479" s="26" t="s">
        <v>71</v>
      </c>
      <c r="D479" s="26" t="s">
        <v>66</v>
      </c>
      <c r="E479" s="26" t="s">
        <v>348</v>
      </c>
      <c r="F479" s="26" t="s">
        <v>116</v>
      </c>
      <c r="G479" s="27">
        <f>G480</f>
        <v>70000</v>
      </c>
      <c r="H479" s="27">
        <f t="shared" ref="H479:I479" si="332">H480</f>
        <v>70000</v>
      </c>
      <c r="I479" s="27">
        <f t="shared" si="332"/>
        <v>70000</v>
      </c>
      <c r="J479" s="16">
        <f>'БА в тыс. руб.'!G479*1000</f>
        <v>70000</v>
      </c>
      <c r="K479" s="169">
        <f t="shared" si="316"/>
        <v>0</v>
      </c>
      <c r="L479" s="16">
        <f>'БА в тыс. руб.'!H479*1000</f>
        <v>70000</v>
      </c>
      <c r="M479" s="169">
        <f t="shared" si="317"/>
        <v>0</v>
      </c>
      <c r="N479" s="16">
        <f>'БА в тыс. руб.'!I479*1000</f>
        <v>70000</v>
      </c>
      <c r="O479" s="169">
        <f t="shared" si="318"/>
        <v>0</v>
      </c>
    </row>
    <row r="480" spans="1:15" s="83" customFormat="1" ht="25.5">
      <c r="A480" s="12" t="s">
        <v>973</v>
      </c>
      <c r="B480" s="25" t="s">
        <v>69</v>
      </c>
      <c r="C480" s="26" t="s">
        <v>71</v>
      </c>
      <c r="D480" s="26" t="s">
        <v>66</v>
      </c>
      <c r="E480" s="26" t="s">
        <v>348</v>
      </c>
      <c r="F480" s="26" t="s">
        <v>1043</v>
      </c>
      <c r="G480" s="27">
        <f t="shared" ref="G480" si="333">J480</f>
        <v>70000</v>
      </c>
      <c r="H480" s="27">
        <f>L480</f>
        <v>70000</v>
      </c>
      <c r="I480" s="27">
        <f>N480</f>
        <v>70000</v>
      </c>
      <c r="J480" s="16">
        <f>'БА в тыс. руб.'!G480*1000</f>
        <v>70000</v>
      </c>
      <c r="K480" s="169">
        <f t="shared" si="316"/>
        <v>0</v>
      </c>
      <c r="L480" s="16">
        <f>'БА в тыс. руб.'!H480*1000</f>
        <v>70000</v>
      </c>
      <c r="M480" s="169">
        <f t="shared" si="317"/>
        <v>0</v>
      </c>
      <c r="N480" s="16">
        <f>'БА в тыс. руб.'!I480*1000</f>
        <v>70000</v>
      </c>
      <c r="O480" s="169">
        <f t="shared" si="318"/>
        <v>0</v>
      </c>
    </row>
    <row r="481" spans="1:15" s="30" customFormat="1">
      <c r="A481" s="13" t="s">
        <v>92</v>
      </c>
      <c r="B481" s="25" t="s">
        <v>69</v>
      </c>
      <c r="C481" s="26" t="s">
        <v>71</v>
      </c>
      <c r="D481" s="26" t="s">
        <v>66</v>
      </c>
      <c r="E481" s="26" t="s">
        <v>348</v>
      </c>
      <c r="F481" s="26" t="s">
        <v>138</v>
      </c>
      <c r="G481" s="27">
        <f>SUM(G482:G483)</f>
        <v>489742480</v>
      </c>
      <c r="H481" s="27">
        <f t="shared" ref="H481:I481" si="334">SUM(H482:H483)</f>
        <v>493920400</v>
      </c>
      <c r="I481" s="27">
        <f t="shared" si="334"/>
        <v>493920400</v>
      </c>
      <c r="J481" s="16">
        <f>'БА в тыс. руб.'!G481*1000</f>
        <v>489742480</v>
      </c>
      <c r="K481" s="169">
        <f t="shared" si="316"/>
        <v>0</v>
      </c>
      <c r="L481" s="16">
        <f>'БА в тыс. руб.'!H481*1000</f>
        <v>493920400</v>
      </c>
      <c r="M481" s="169">
        <f t="shared" si="317"/>
        <v>0</v>
      </c>
      <c r="N481" s="16">
        <f>'БА в тыс. руб.'!I481*1000</f>
        <v>493920400</v>
      </c>
      <c r="O481" s="169">
        <f t="shared" si="318"/>
        <v>0</v>
      </c>
    </row>
    <row r="482" spans="1:15" s="83" customFormat="1" ht="38.25">
      <c r="A482" s="12" t="s">
        <v>1015</v>
      </c>
      <c r="B482" s="25" t="s">
        <v>69</v>
      </c>
      <c r="C482" s="26" t="s">
        <v>71</v>
      </c>
      <c r="D482" s="26" t="s">
        <v>66</v>
      </c>
      <c r="E482" s="26" t="s">
        <v>348</v>
      </c>
      <c r="F482" s="26" t="s">
        <v>67</v>
      </c>
      <c r="G482" s="27">
        <f t="shared" ref="G482:G483" si="335">J482</f>
        <v>485744730</v>
      </c>
      <c r="H482" s="27">
        <f t="shared" ref="H482:H483" si="336">L482</f>
        <v>489922650</v>
      </c>
      <c r="I482" s="27">
        <f t="shared" ref="I482:I483" si="337">N482</f>
        <v>489922650</v>
      </c>
      <c r="J482" s="16">
        <f>'БА в тыс. руб.'!G482*1000</f>
        <v>485744730</v>
      </c>
      <c r="K482" s="169">
        <f t="shared" si="316"/>
        <v>0</v>
      </c>
      <c r="L482" s="16">
        <f>'БА в тыс. руб.'!H482*1000</f>
        <v>489922650</v>
      </c>
      <c r="M482" s="169">
        <f t="shared" si="317"/>
        <v>0</v>
      </c>
      <c r="N482" s="16">
        <f>'БА в тыс. руб.'!I482*1000</f>
        <v>489922650</v>
      </c>
      <c r="O482" s="169">
        <f t="shared" si="318"/>
        <v>0</v>
      </c>
    </row>
    <row r="483" spans="1:15" s="83" customFormat="1">
      <c r="A483" s="12" t="s">
        <v>1016</v>
      </c>
      <c r="B483" s="25" t="s">
        <v>69</v>
      </c>
      <c r="C483" s="26" t="s">
        <v>71</v>
      </c>
      <c r="D483" s="26" t="s">
        <v>66</v>
      </c>
      <c r="E483" s="26" t="s">
        <v>348</v>
      </c>
      <c r="F483" s="26" t="s">
        <v>1046</v>
      </c>
      <c r="G483" s="27">
        <f t="shared" si="335"/>
        <v>3997750</v>
      </c>
      <c r="H483" s="27">
        <f t="shared" si="336"/>
        <v>3997750</v>
      </c>
      <c r="I483" s="27">
        <f t="shared" si="337"/>
        <v>3997750</v>
      </c>
      <c r="J483" s="16">
        <f>'БА в тыс. руб.'!G483*1000</f>
        <v>3997750</v>
      </c>
      <c r="K483" s="169">
        <f t="shared" si="316"/>
        <v>0</v>
      </c>
      <c r="L483" s="16">
        <f>'БА в тыс. руб.'!H483*1000</f>
        <v>3997750</v>
      </c>
      <c r="M483" s="169">
        <f t="shared" si="317"/>
        <v>0</v>
      </c>
      <c r="N483" s="16">
        <f>'БА в тыс. руб.'!I483*1000</f>
        <v>3997750</v>
      </c>
      <c r="O483" s="169">
        <f t="shared" si="318"/>
        <v>0</v>
      </c>
    </row>
    <row r="484" spans="1:15" s="30" customFormat="1">
      <c r="A484" s="13" t="s">
        <v>93</v>
      </c>
      <c r="B484" s="25" t="s">
        <v>69</v>
      </c>
      <c r="C484" s="26" t="s">
        <v>71</v>
      </c>
      <c r="D484" s="26" t="s">
        <v>66</v>
      </c>
      <c r="E484" s="26" t="s">
        <v>348</v>
      </c>
      <c r="F484" s="26" t="s">
        <v>20</v>
      </c>
      <c r="G484" s="27">
        <f>G485</f>
        <v>38119870</v>
      </c>
      <c r="H484" s="27">
        <f t="shared" ref="H484:I484" si="338">H485</f>
        <v>38119870</v>
      </c>
      <c r="I484" s="27">
        <f t="shared" si="338"/>
        <v>38119870</v>
      </c>
      <c r="J484" s="16">
        <f>'БА в тыс. руб.'!G484*1000</f>
        <v>38119870</v>
      </c>
      <c r="K484" s="169">
        <f t="shared" si="316"/>
        <v>0</v>
      </c>
      <c r="L484" s="16">
        <f>'БА в тыс. руб.'!H484*1000</f>
        <v>38119870</v>
      </c>
      <c r="M484" s="169">
        <f t="shared" si="317"/>
        <v>0</v>
      </c>
      <c r="N484" s="16">
        <f>'БА в тыс. руб.'!I484*1000</f>
        <v>38119870</v>
      </c>
      <c r="O484" s="169">
        <f t="shared" si="318"/>
        <v>0</v>
      </c>
    </row>
    <row r="485" spans="1:15" s="83" customFormat="1" ht="38.25">
      <c r="A485" s="12" t="s">
        <v>1018</v>
      </c>
      <c r="B485" s="25" t="s">
        <v>69</v>
      </c>
      <c r="C485" s="26" t="s">
        <v>71</v>
      </c>
      <c r="D485" s="26" t="s">
        <v>66</v>
      </c>
      <c r="E485" s="26" t="s">
        <v>348</v>
      </c>
      <c r="F485" s="26" t="s">
        <v>16</v>
      </c>
      <c r="G485" s="27">
        <f t="shared" ref="G485" si="339">J485</f>
        <v>38119870</v>
      </c>
      <c r="H485" s="27">
        <f>L485</f>
        <v>38119870</v>
      </c>
      <c r="I485" s="27">
        <f>N485</f>
        <v>38119870</v>
      </c>
      <c r="J485" s="16">
        <f>'БА в тыс. руб.'!G485*1000</f>
        <v>38119870</v>
      </c>
      <c r="K485" s="169">
        <f t="shared" si="316"/>
        <v>0</v>
      </c>
      <c r="L485" s="16">
        <f>'БА в тыс. руб.'!H485*1000</f>
        <v>38119870</v>
      </c>
      <c r="M485" s="169">
        <f t="shared" si="317"/>
        <v>0</v>
      </c>
      <c r="N485" s="16">
        <f>'БА в тыс. руб.'!I485*1000</f>
        <v>38119870</v>
      </c>
      <c r="O485" s="169">
        <f t="shared" si="318"/>
        <v>0</v>
      </c>
    </row>
    <row r="486" spans="1:15" s="30" customFormat="1" ht="114.75">
      <c r="A486" s="12" t="s">
        <v>349</v>
      </c>
      <c r="B486" s="25" t="s">
        <v>69</v>
      </c>
      <c r="C486" s="26" t="s">
        <v>71</v>
      </c>
      <c r="D486" s="26" t="s">
        <v>66</v>
      </c>
      <c r="E486" s="26" t="s">
        <v>350</v>
      </c>
      <c r="F486" s="26" t="s">
        <v>58</v>
      </c>
      <c r="G486" s="27">
        <f>G487+G490+G492+G494</f>
        <v>1089810290</v>
      </c>
      <c r="H486" s="27">
        <f>H487+H490+H492+H494</f>
        <v>926709410</v>
      </c>
      <c r="I486" s="27">
        <f>I487+I490+I492+I494</f>
        <v>1020669510</v>
      </c>
      <c r="J486" s="16">
        <f>'БА в тыс. руб.'!G486*1000</f>
        <v>1089810290</v>
      </c>
      <c r="K486" s="169">
        <f t="shared" si="316"/>
        <v>0</v>
      </c>
      <c r="L486" s="16">
        <f>'БА в тыс. руб.'!H486*1000</f>
        <v>926709410</v>
      </c>
      <c r="M486" s="169">
        <f t="shared" si="317"/>
        <v>0</v>
      </c>
      <c r="N486" s="16">
        <f>'БА в тыс. руб.'!I486*1000</f>
        <v>1020669510</v>
      </c>
      <c r="O486" s="169">
        <f t="shared" si="318"/>
        <v>0</v>
      </c>
    </row>
    <row r="487" spans="1:15" s="30" customFormat="1">
      <c r="A487" s="12" t="s">
        <v>106</v>
      </c>
      <c r="B487" s="25" t="s">
        <v>69</v>
      </c>
      <c r="C487" s="26" t="s">
        <v>71</v>
      </c>
      <c r="D487" s="26" t="s">
        <v>66</v>
      </c>
      <c r="E487" s="26" t="s">
        <v>350</v>
      </c>
      <c r="F487" s="26" t="s">
        <v>121</v>
      </c>
      <c r="G487" s="27">
        <f>SUM(G488:G489)</f>
        <v>11605660</v>
      </c>
      <c r="H487" s="27">
        <f t="shared" ref="H487:I487" si="340">SUM(H488:H489)</f>
        <v>11605660</v>
      </c>
      <c r="I487" s="27">
        <f t="shared" si="340"/>
        <v>11605660</v>
      </c>
      <c r="J487" s="16">
        <f>'БА в тыс. руб.'!G487*1000</f>
        <v>11605660</v>
      </c>
      <c r="K487" s="169">
        <f t="shared" si="316"/>
        <v>0</v>
      </c>
      <c r="L487" s="16">
        <f>'БА в тыс. руб.'!H487*1000</f>
        <v>11605660</v>
      </c>
      <c r="M487" s="169">
        <f t="shared" si="317"/>
        <v>0</v>
      </c>
      <c r="N487" s="16">
        <f>'БА в тыс. руб.'!I487*1000</f>
        <v>11605660</v>
      </c>
      <c r="O487" s="169">
        <f t="shared" si="318"/>
        <v>0</v>
      </c>
    </row>
    <row r="488" spans="1:15" s="83" customFormat="1">
      <c r="A488" s="12" t="s">
        <v>932</v>
      </c>
      <c r="B488" s="25" t="s">
        <v>69</v>
      </c>
      <c r="C488" s="26" t="s">
        <v>71</v>
      </c>
      <c r="D488" s="26" t="s">
        <v>66</v>
      </c>
      <c r="E488" s="26" t="s">
        <v>350</v>
      </c>
      <c r="F488" s="26" t="s">
        <v>1056</v>
      </c>
      <c r="G488" s="27">
        <f t="shared" ref="G488:G489" si="341">J488</f>
        <v>8913720</v>
      </c>
      <c r="H488" s="27">
        <f t="shared" ref="H488:H489" si="342">L488</f>
        <v>8913720</v>
      </c>
      <c r="I488" s="27">
        <f t="shared" ref="I488:I489" si="343">N488</f>
        <v>8913720</v>
      </c>
      <c r="J488" s="16">
        <f>'БА в тыс. руб.'!G488*1000</f>
        <v>8913720</v>
      </c>
      <c r="K488" s="169">
        <f t="shared" si="316"/>
        <v>0</v>
      </c>
      <c r="L488" s="16">
        <f>'БА в тыс. руб.'!H488*1000</f>
        <v>8913720</v>
      </c>
      <c r="M488" s="169">
        <f t="shared" si="317"/>
        <v>0</v>
      </c>
      <c r="N488" s="16">
        <f>'БА в тыс. руб.'!I488*1000</f>
        <v>8913720</v>
      </c>
      <c r="O488" s="169">
        <f t="shared" si="318"/>
        <v>0</v>
      </c>
    </row>
    <row r="489" spans="1:15" s="83" customFormat="1" ht="38.25">
      <c r="A489" s="12" t="s">
        <v>935</v>
      </c>
      <c r="B489" s="25" t="s">
        <v>69</v>
      </c>
      <c r="C489" s="26" t="s">
        <v>71</v>
      </c>
      <c r="D489" s="26" t="s">
        <v>66</v>
      </c>
      <c r="E489" s="26" t="s">
        <v>350</v>
      </c>
      <c r="F489" s="26" t="s">
        <v>1057</v>
      </c>
      <c r="G489" s="27">
        <f t="shared" si="341"/>
        <v>2691940</v>
      </c>
      <c r="H489" s="27">
        <f t="shared" si="342"/>
        <v>2691940</v>
      </c>
      <c r="I489" s="27">
        <f t="shared" si="343"/>
        <v>2691940</v>
      </c>
      <c r="J489" s="16">
        <f>'БА в тыс. руб.'!G489*1000</f>
        <v>2691940</v>
      </c>
      <c r="K489" s="169">
        <f t="shared" si="316"/>
        <v>0</v>
      </c>
      <c r="L489" s="16">
        <f>'БА в тыс. руб.'!H489*1000</f>
        <v>2691940</v>
      </c>
      <c r="M489" s="169">
        <f t="shared" si="317"/>
        <v>0</v>
      </c>
      <c r="N489" s="16">
        <f>'БА в тыс. руб.'!I489*1000</f>
        <v>2691940</v>
      </c>
      <c r="O489" s="169">
        <f t="shared" si="318"/>
        <v>0</v>
      </c>
    </row>
    <row r="490" spans="1:15" s="30" customFormat="1">
      <c r="A490" s="13" t="s">
        <v>92</v>
      </c>
      <c r="B490" s="25" t="s">
        <v>69</v>
      </c>
      <c r="C490" s="26" t="s">
        <v>71</v>
      </c>
      <c r="D490" s="26" t="s">
        <v>66</v>
      </c>
      <c r="E490" s="26" t="s">
        <v>350</v>
      </c>
      <c r="F490" s="26" t="s">
        <v>138</v>
      </c>
      <c r="G490" s="27">
        <f>G491</f>
        <v>975154190</v>
      </c>
      <c r="H490" s="27">
        <f t="shared" ref="H490:I490" si="344">H491</f>
        <v>812053310</v>
      </c>
      <c r="I490" s="27">
        <f t="shared" si="344"/>
        <v>906013410</v>
      </c>
      <c r="J490" s="16">
        <f>'БА в тыс. руб.'!G490*1000</f>
        <v>975154190</v>
      </c>
      <c r="K490" s="169">
        <f t="shared" si="316"/>
        <v>0</v>
      </c>
      <c r="L490" s="16">
        <f>'БА в тыс. руб.'!H490*1000</f>
        <v>812053310</v>
      </c>
      <c r="M490" s="169">
        <f t="shared" si="317"/>
        <v>0</v>
      </c>
      <c r="N490" s="16">
        <f>'БА в тыс. руб.'!I490*1000</f>
        <v>906013410</v>
      </c>
      <c r="O490" s="169">
        <f t="shared" si="318"/>
        <v>0</v>
      </c>
    </row>
    <row r="491" spans="1:15" s="83" customFormat="1" ht="38.25">
      <c r="A491" s="12" t="s">
        <v>1015</v>
      </c>
      <c r="B491" s="25" t="s">
        <v>69</v>
      </c>
      <c r="C491" s="26" t="s">
        <v>71</v>
      </c>
      <c r="D491" s="26" t="s">
        <v>66</v>
      </c>
      <c r="E491" s="26" t="s">
        <v>350</v>
      </c>
      <c r="F491" s="26" t="s">
        <v>67</v>
      </c>
      <c r="G491" s="27">
        <f t="shared" ref="G491" si="345">J491</f>
        <v>975154190</v>
      </c>
      <c r="H491" s="27">
        <f>L491</f>
        <v>812053310</v>
      </c>
      <c r="I491" s="27">
        <f>N491</f>
        <v>906013410</v>
      </c>
      <c r="J491" s="16">
        <f>'БА в тыс. руб.'!G491*1000</f>
        <v>975154190</v>
      </c>
      <c r="K491" s="169">
        <f t="shared" si="316"/>
        <v>0</v>
      </c>
      <c r="L491" s="16">
        <f>'БА в тыс. руб.'!H491*1000</f>
        <v>812053310</v>
      </c>
      <c r="M491" s="169">
        <f t="shared" si="317"/>
        <v>0</v>
      </c>
      <c r="N491" s="16">
        <f>'БА в тыс. руб.'!I491*1000</f>
        <v>906013410</v>
      </c>
      <c r="O491" s="169">
        <f t="shared" si="318"/>
        <v>0</v>
      </c>
    </row>
    <row r="492" spans="1:15" s="30" customFormat="1">
      <c r="A492" s="13" t="s">
        <v>93</v>
      </c>
      <c r="B492" s="25" t="s">
        <v>69</v>
      </c>
      <c r="C492" s="26" t="s">
        <v>71</v>
      </c>
      <c r="D492" s="26" t="s">
        <v>66</v>
      </c>
      <c r="E492" s="26" t="s">
        <v>350</v>
      </c>
      <c r="F492" s="26" t="s">
        <v>20</v>
      </c>
      <c r="G492" s="27">
        <f>G493</f>
        <v>98318600</v>
      </c>
      <c r="H492" s="27">
        <f t="shared" ref="H492:I492" si="346">H493</f>
        <v>98318600</v>
      </c>
      <c r="I492" s="27">
        <f t="shared" si="346"/>
        <v>98318600</v>
      </c>
      <c r="J492" s="16">
        <f>'БА в тыс. руб.'!G492*1000</f>
        <v>98318600</v>
      </c>
      <c r="K492" s="169">
        <f t="shared" si="316"/>
        <v>0</v>
      </c>
      <c r="L492" s="16">
        <f>'БА в тыс. руб.'!H492*1000</f>
        <v>98318600</v>
      </c>
      <c r="M492" s="169">
        <f t="shared" si="317"/>
        <v>0</v>
      </c>
      <c r="N492" s="16">
        <f>'БА в тыс. руб.'!I492*1000</f>
        <v>98318600</v>
      </c>
      <c r="O492" s="169">
        <f t="shared" si="318"/>
        <v>0</v>
      </c>
    </row>
    <row r="493" spans="1:15" s="83" customFormat="1" ht="38.25">
      <c r="A493" s="12" t="s">
        <v>1018</v>
      </c>
      <c r="B493" s="25" t="s">
        <v>69</v>
      </c>
      <c r="C493" s="26" t="s">
        <v>71</v>
      </c>
      <c r="D493" s="26" t="s">
        <v>66</v>
      </c>
      <c r="E493" s="26" t="s">
        <v>350</v>
      </c>
      <c r="F493" s="26" t="s">
        <v>16</v>
      </c>
      <c r="G493" s="27">
        <f t="shared" ref="G493" si="347">J493</f>
        <v>98318600</v>
      </c>
      <c r="H493" s="27">
        <f>L493</f>
        <v>98318600</v>
      </c>
      <c r="I493" s="27">
        <f>N493</f>
        <v>98318600</v>
      </c>
      <c r="J493" s="16">
        <f>'БА в тыс. руб.'!G493*1000</f>
        <v>98318600</v>
      </c>
      <c r="K493" s="169">
        <f t="shared" si="316"/>
        <v>0</v>
      </c>
      <c r="L493" s="16">
        <f>'БА в тыс. руб.'!H493*1000</f>
        <v>98318600</v>
      </c>
      <c r="M493" s="169">
        <f t="shared" si="317"/>
        <v>0</v>
      </c>
      <c r="N493" s="16">
        <f>'БА в тыс. руб.'!I493*1000</f>
        <v>98318600</v>
      </c>
      <c r="O493" s="169">
        <f t="shared" si="318"/>
        <v>0</v>
      </c>
    </row>
    <row r="494" spans="1:15" s="30" customFormat="1" ht="25.5">
      <c r="A494" s="11" t="s">
        <v>111</v>
      </c>
      <c r="B494" s="25" t="s">
        <v>69</v>
      </c>
      <c r="C494" s="26" t="s">
        <v>71</v>
      </c>
      <c r="D494" s="26" t="s">
        <v>66</v>
      </c>
      <c r="E494" s="26" t="s">
        <v>350</v>
      </c>
      <c r="F494" s="26" t="s">
        <v>104</v>
      </c>
      <c r="G494" s="27">
        <f>G495</f>
        <v>4731840</v>
      </c>
      <c r="H494" s="27">
        <f t="shared" ref="H494:I494" si="348">H495</f>
        <v>4731840</v>
      </c>
      <c r="I494" s="27">
        <f t="shared" si="348"/>
        <v>4731840</v>
      </c>
      <c r="J494" s="16">
        <f>'БА в тыс. руб.'!G494*1000</f>
        <v>4731840</v>
      </c>
      <c r="K494" s="169">
        <f t="shared" si="316"/>
        <v>0</v>
      </c>
      <c r="L494" s="16">
        <f>'БА в тыс. руб.'!H494*1000</f>
        <v>4731840</v>
      </c>
      <c r="M494" s="169">
        <f t="shared" si="317"/>
        <v>0</v>
      </c>
      <c r="N494" s="16">
        <f>'БА в тыс. руб.'!I494*1000</f>
        <v>4731840</v>
      </c>
      <c r="O494" s="169">
        <f t="shared" si="318"/>
        <v>0</v>
      </c>
    </row>
    <row r="495" spans="1:15" s="83" customFormat="1" ht="76.5">
      <c r="A495" s="12" t="s">
        <v>1048</v>
      </c>
      <c r="B495" s="25" t="s">
        <v>69</v>
      </c>
      <c r="C495" s="26" t="s">
        <v>71</v>
      </c>
      <c r="D495" s="26" t="s">
        <v>66</v>
      </c>
      <c r="E495" s="26" t="s">
        <v>350</v>
      </c>
      <c r="F495" s="26" t="s">
        <v>1055</v>
      </c>
      <c r="G495" s="27">
        <f t="shared" ref="G495" si="349">J495</f>
        <v>4731840</v>
      </c>
      <c r="H495" s="27">
        <f>L495</f>
        <v>4731840</v>
      </c>
      <c r="I495" s="27">
        <f>N495</f>
        <v>4731840</v>
      </c>
      <c r="J495" s="16">
        <f>'БА в тыс. руб.'!G495*1000</f>
        <v>4731840</v>
      </c>
      <c r="K495" s="169">
        <f t="shared" si="316"/>
        <v>0</v>
      </c>
      <c r="L495" s="16">
        <f>'БА в тыс. руб.'!H495*1000</f>
        <v>4731840</v>
      </c>
      <c r="M495" s="169">
        <f t="shared" si="317"/>
        <v>0</v>
      </c>
      <c r="N495" s="16">
        <f>'БА в тыс. руб.'!I495*1000</f>
        <v>4731840</v>
      </c>
      <c r="O495" s="169">
        <f t="shared" si="318"/>
        <v>0</v>
      </c>
    </row>
    <row r="496" spans="1:15" s="30" customFormat="1" ht="51">
      <c r="A496" s="11" t="s">
        <v>629</v>
      </c>
      <c r="B496" s="25" t="s">
        <v>69</v>
      </c>
      <c r="C496" s="26" t="s">
        <v>71</v>
      </c>
      <c r="D496" s="26" t="s">
        <v>66</v>
      </c>
      <c r="E496" s="26" t="s">
        <v>337</v>
      </c>
      <c r="F496" s="26" t="s">
        <v>58</v>
      </c>
      <c r="G496" s="27">
        <f t="shared" ref="G496:I498" si="350">G497</f>
        <v>11338200</v>
      </c>
      <c r="H496" s="27">
        <f t="shared" si="350"/>
        <v>4000000</v>
      </c>
      <c r="I496" s="27">
        <f t="shared" si="350"/>
        <v>4000000</v>
      </c>
      <c r="J496" s="16">
        <f>'БА в тыс. руб.'!G496*1000</f>
        <v>11338200</v>
      </c>
      <c r="K496" s="169">
        <f t="shared" si="316"/>
        <v>0</v>
      </c>
      <c r="L496" s="16">
        <f>'БА в тыс. руб.'!H496*1000</f>
        <v>4000000</v>
      </c>
      <c r="M496" s="169">
        <f t="shared" si="317"/>
        <v>0</v>
      </c>
      <c r="N496" s="16">
        <f>'БА в тыс. руб.'!I496*1000</f>
        <v>4000000</v>
      </c>
      <c r="O496" s="169">
        <f t="shared" si="318"/>
        <v>0</v>
      </c>
    </row>
    <row r="497" spans="1:15" s="30" customFormat="1" ht="25.5">
      <c r="A497" s="13" t="s">
        <v>247</v>
      </c>
      <c r="B497" s="25" t="s">
        <v>69</v>
      </c>
      <c r="C497" s="26" t="s">
        <v>71</v>
      </c>
      <c r="D497" s="26" t="s">
        <v>66</v>
      </c>
      <c r="E497" s="26" t="s">
        <v>338</v>
      </c>
      <c r="F497" s="26" t="s">
        <v>58</v>
      </c>
      <c r="G497" s="27">
        <f t="shared" si="350"/>
        <v>11338200</v>
      </c>
      <c r="H497" s="27">
        <f t="shared" si="350"/>
        <v>4000000</v>
      </c>
      <c r="I497" s="27">
        <f t="shared" si="350"/>
        <v>4000000</v>
      </c>
      <c r="J497" s="16">
        <f>'БА в тыс. руб.'!G497*1000</f>
        <v>11338200</v>
      </c>
      <c r="K497" s="169">
        <f t="shared" si="316"/>
        <v>0</v>
      </c>
      <c r="L497" s="16">
        <f>'БА в тыс. руб.'!H497*1000</f>
        <v>4000000</v>
      </c>
      <c r="M497" s="169">
        <f t="shared" si="317"/>
        <v>0</v>
      </c>
      <c r="N497" s="16">
        <f>'БА в тыс. руб.'!I497*1000</f>
        <v>4000000</v>
      </c>
      <c r="O497" s="169">
        <f t="shared" si="318"/>
        <v>0</v>
      </c>
    </row>
    <row r="498" spans="1:15" s="30" customFormat="1">
      <c r="A498" s="13" t="s">
        <v>92</v>
      </c>
      <c r="B498" s="25" t="s">
        <v>69</v>
      </c>
      <c r="C498" s="26" t="s">
        <v>71</v>
      </c>
      <c r="D498" s="26" t="s">
        <v>66</v>
      </c>
      <c r="E498" s="26" t="s">
        <v>338</v>
      </c>
      <c r="F498" s="26" t="s">
        <v>138</v>
      </c>
      <c r="G498" s="27">
        <f>G499</f>
        <v>11338200</v>
      </c>
      <c r="H498" s="27">
        <f t="shared" si="350"/>
        <v>4000000</v>
      </c>
      <c r="I498" s="27">
        <f t="shared" si="350"/>
        <v>4000000</v>
      </c>
      <c r="J498" s="16">
        <f>'БА в тыс. руб.'!G498*1000</f>
        <v>11338200</v>
      </c>
      <c r="K498" s="169">
        <f t="shared" si="316"/>
        <v>0</v>
      </c>
      <c r="L498" s="16">
        <f>'БА в тыс. руб.'!H498*1000</f>
        <v>4000000</v>
      </c>
      <c r="M498" s="169">
        <f t="shared" si="317"/>
        <v>0</v>
      </c>
      <c r="N498" s="16">
        <f>'БА в тыс. руб.'!I498*1000</f>
        <v>4000000</v>
      </c>
      <c r="O498" s="169">
        <f t="shared" si="318"/>
        <v>0</v>
      </c>
    </row>
    <row r="499" spans="1:15" s="83" customFormat="1">
      <c r="A499" s="12" t="s">
        <v>1016</v>
      </c>
      <c r="B499" s="25" t="s">
        <v>69</v>
      </c>
      <c r="C499" s="26" t="s">
        <v>71</v>
      </c>
      <c r="D499" s="26" t="s">
        <v>66</v>
      </c>
      <c r="E499" s="26" t="s">
        <v>338</v>
      </c>
      <c r="F499" s="26" t="s">
        <v>1046</v>
      </c>
      <c r="G499" s="27">
        <f t="shared" ref="G499" si="351">J499</f>
        <v>11338200</v>
      </c>
      <c r="H499" s="27">
        <f>L499</f>
        <v>4000000</v>
      </c>
      <c r="I499" s="27">
        <f>N499</f>
        <v>4000000</v>
      </c>
      <c r="J499" s="16">
        <f>'БА в тыс. руб.'!G499*1000</f>
        <v>11338200</v>
      </c>
      <c r="K499" s="169">
        <f t="shared" si="316"/>
        <v>0</v>
      </c>
      <c r="L499" s="16">
        <f>'БА в тыс. руб.'!H499*1000</f>
        <v>4000000</v>
      </c>
      <c r="M499" s="169">
        <f t="shared" si="317"/>
        <v>0</v>
      </c>
      <c r="N499" s="16">
        <f>'БА в тыс. руб.'!I499*1000</f>
        <v>4000000</v>
      </c>
      <c r="O499" s="169">
        <f t="shared" si="318"/>
        <v>0</v>
      </c>
    </row>
    <row r="500" spans="1:15" s="30" customFormat="1" ht="25.5">
      <c r="A500" s="13" t="s">
        <v>724</v>
      </c>
      <c r="B500" s="25" t="s">
        <v>69</v>
      </c>
      <c r="C500" s="26" t="s">
        <v>71</v>
      </c>
      <c r="D500" s="26" t="s">
        <v>66</v>
      </c>
      <c r="E500" s="26" t="s">
        <v>562</v>
      </c>
      <c r="F500" s="26" t="s">
        <v>58</v>
      </c>
      <c r="G500" s="27">
        <f>G501</f>
        <v>3720000</v>
      </c>
      <c r="H500" s="27">
        <f t="shared" ref="H500:I503" si="352">H501</f>
        <v>6819620</v>
      </c>
      <c r="I500" s="27">
        <f t="shared" si="352"/>
        <v>0</v>
      </c>
      <c r="J500" s="16">
        <f>'БА в тыс. руб.'!G500*1000</f>
        <v>3720000</v>
      </c>
      <c r="K500" s="169">
        <f t="shared" si="316"/>
        <v>0</v>
      </c>
      <c r="L500" s="16">
        <f>'БА в тыс. руб.'!H500*1000</f>
        <v>6819620</v>
      </c>
      <c r="M500" s="169">
        <f t="shared" si="317"/>
        <v>0</v>
      </c>
      <c r="N500" s="16">
        <f>'БА в тыс. руб.'!I500*1000</f>
        <v>0</v>
      </c>
      <c r="O500" s="169">
        <f t="shared" si="318"/>
        <v>0</v>
      </c>
    </row>
    <row r="501" spans="1:15" s="30" customFormat="1" ht="38.25">
      <c r="A501" s="13" t="s">
        <v>642</v>
      </c>
      <c r="B501" s="25" t="s">
        <v>69</v>
      </c>
      <c r="C501" s="26" t="s">
        <v>71</v>
      </c>
      <c r="D501" s="26" t="s">
        <v>66</v>
      </c>
      <c r="E501" s="26" t="s">
        <v>563</v>
      </c>
      <c r="F501" s="26" t="s">
        <v>58</v>
      </c>
      <c r="G501" s="27">
        <f>G502</f>
        <v>3720000</v>
      </c>
      <c r="H501" s="27">
        <f t="shared" si="352"/>
        <v>6819620</v>
      </c>
      <c r="I501" s="27">
        <f t="shared" si="352"/>
        <v>0</v>
      </c>
      <c r="J501" s="16">
        <f>'БА в тыс. руб.'!G501*1000</f>
        <v>3720000</v>
      </c>
      <c r="K501" s="169">
        <f t="shared" si="316"/>
        <v>0</v>
      </c>
      <c r="L501" s="16">
        <f>'БА в тыс. руб.'!H501*1000</f>
        <v>6819620</v>
      </c>
      <c r="M501" s="169">
        <f t="shared" si="317"/>
        <v>0</v>
      </c>
      <c r="N501" s="16">
        <f>'БА в тыс. руб.'!I501*1000</f>
        <v>0</v>
      </c>
      <c r="O501" s="169">
        <f t="shared" si="318"/>
        <v>0</v>
      </c>
    </row>
    <row r="502" spans="1:15" s="30" customFormat="1" ht="38.25">
      <c r="A502" s="13" t="s">
        <v>154</v>
      </c>
      <c r="B502" s="25" t="s">
        <v>69</v>
      </c>
      <c r="C502" s="26" t="s">
        <v>71</v>
      </c>
      <c r="D502" s="26" t="s">
        <v>66</v>
      </c>
      <c r="E502" s="26" t="s">
        <v>564</v>
      </c>
      <c r="F502" s="26" t="s">
        <v>58</v>
      </c>
      <c r="G502" s="27">
        <f>G503</f>
        <v>3720000</v>
      </c>
      <c r="H502" s="27">
        <f t="shared" si="352"/>
        <v>6819620</v>
      </c>
      <c r="I502" s="27">
        <f t="shared" si="352"/>
        <v>0</v>
      </c>
      <c r="J502" s="16">
        <f>'БА в тыс. руб.'!G502*1000</f>
        <v>3720000</v>
      </c>
      <c r="K502" s="169">
        <f t="shared" si="316"/>
        <v>0</v>
      </c>
      <c r="L502" s="16">
        <f>'БА в тыс. руб.'!H502*1000</f>
        <v>6819620</v>
      </c>
      <c r="M502" s="169">
        <f t="shared" si="317"/>
        <v>0</v>
      </c>
      <c r="N502" s="16">
        <f>'БА в тыс. руб.'!I502*1000</f>
        <v>0</v>
      </c>
      <c r="O502" s="169">
        <f t="shared" si="318"/>
        <v>0</v>
      </c>
    </row>
    <row r="503" spans="1:15" s="30" customFormat="1" ht="89.25">
      <c r="A503" s="13" t="s">
        <v>868</v>
      </c>
      <c r="B503" s="25" t="s">
        <v>69</v>
      </c>
      <c r="C503" s="26" t="s">
        <v>71</v>
      </c>
      <c r="D503" s="26" t="s">
        <v>66</v>
      </c>
      <c r="E503" s="26" t="s">
        <v>564</v>
      </c>
      <c r="F503" s="26" t="s">
        <v>848</v>
      </c>
      <c r="G503" s="27">
        <f>G504</f>
        <v>3720000</v>
      </c>
      <c r="H503" s="27">
        <f t="shared" si="352"/>
        <v>6819620</v>
      </c>
      <c r="I503" s="27">
        <f t="shared" si="352"/>
        <v>0</v>
      </c>
      <c r="J503" s="16">
        <f>'БА в тыс. руб.'!G503*1000</f>
        <v>3720000</v>
      </c>
      <c r="K503" s="169">
        <f t="shared" si="316"/>
        <v>0</v>
      </c>
      <c r="L503" s="16">
        <f>'БА в тыс. руб.'!H503*1000</f>
        <v>6819620</v>
      </c>
      <c r="M503" s="169">
        <f t="shared" si="317"/>
        <v>0</v>
      </c>
      <c r="N503" s="16">
        <f>'БА в тыс. руб.'!I503*1000</f>
        <v>0</v>
      </c>
      <c r="O503" s="169">
        <f t="shared" si="318"/>
        <v>0</v>
      </c>
    </row>
    <row r="504" spans="1:15" s="83" customFormat="1" ht="38.25">
      <c r="A504" s="12" t="s">
        <v>999</v>
      </c>
      <c r="B504" s="25" t="s">
        <v>69</v>
      </c>
      <c r="C504" s="26" t="s">
        <v>71</v>
      </c>
      <c r="D504" s="26" t="s">
        <v>66</v>
      </c>
      <c r="E504" s="26" t="s">
        <v>564</v>
      </c>
      <c r="F504" s="26" t="s">
        <v>1058</v>
      </c>
      <c r="G504" s="27">
        <f t="shared" ref="G504" si="353">J504</f>
        <v>3720000</v>
      </c>
      <c r="H504" s="27">
        <f>L504</f>
        <v>6819620</v>
      </c>
      <c r="I504" s="27">
        <f>N504</f>
        <v>0</v>
      </c>
      <c r="J504" s="16">
        <f>'БА в тыс. руб.'!G504*1000</f>
        <v>3720000</v>
      </c>
      <c r="K504" s="169">
        <f t="shared" si="316"/>
        <v>0</v>
      </c>
      <c r="L504" s="16">
        <f>'БА в тыс. руб.'!H504*1000</f>
        <v>6819620</v>
      </c>
      <c r="M504" s="169">
        <f t="shared" si="317"/>
        <v>0</v>
      </c>
      <c r="N504" s="16">
        <f>'БА в тыс. руб.'!I504*1000</f>
        <v>0</v>
      </c>
      <c r="O504" s="169">
        <f t="shared" si="318"/>
        <v>0</v>
      </c>
    </row>
    <row r="505" spans="1:15" s="30" customFormat="1" ht="38.25">
      <c r="A505" s="12" t="s">
        <v>752</v>
      </c>
      <c r="B505" s="25" t="s">
        <v>69</v>
      </c>
      <c r="C505" s="26" t="s">
        <v>71</v>
      </c>
      <c r="D505" s="26" t="s">
        <v>66</v>
      </c>
      <c r="E505" s="26" t="s">
        <v>249</v>
      </c>
      <c r="F505" s="26" t="s">
        <v>58</v>
      </c>
      <c r="G505" s="27">
        <f>G506+G511</f>
        <v>2235500</v>
      </c>
      <c r="H505" s="27">
        <f>H506+H511</f>
        <v>2011950</v>
      </c>
      <c r="I505" s="27">
        <f>I506+I511</f>
        <v>2011950</v>
      </c>
      <c r="J505" s="16">
        <f>'БА в тыс. руб.'!G505*1000</f>
        <v>2235500</v>
      </c>
      <c r="K505" s="169">
        <f t="shared" si="316"/>
        <v>0</v>
      </c>
      <c r="L505" s="16">
        <f>'БА в тыс. руб.'!H505*1000</f>
        <v>2011950</v>
      </c>
      <c r="M505" s="169">
        <f t="shared" si="317"/>
        <v>0</v>
      </c>
      <c r="N505" s="16">
        <f>'БА в тыс. руб.'!I505*1000</f>
        <v>2011950</v>
      </c>
      <c r="O505" s="169">
        <f t="shared" si="318"/>
        <v>0</v>
      </c>
    </row>
    <row r="506" spans="1:15" s="30" customFormat="1">
      <c r="A506" s="12" t="s">
        <v>754</v>
      </c>
      <c r="B506" s="25" t="s">
        <v>69</v>
      </c>
      <c r="C506" s="26" t="s">
        <v>71</v>
      </c>
      <c r="D506" s="26" t="s">
        <v>66</v>
      </c>
      <c r="E506" s="26" t="s">
        <v>251</v>
      </c>
      <c r="F506" s="26" t="s">
        <v>58</v>
      </c>
      <c r="G506" s="27">
        <f t="shared" ref="G506:I509" si="354">G507</f>
        <v>263500</v>
      </c>
      <c r="H506" s="27">
        <f t="shared" si="354"/>
        <v>237150</v>
      </c>
      <c r="I506" s="27">
        <f t="shared" si="354"/>
        <v>237150</v>
      </c>
      <c r="J506" s="16">
        <f>'БА в тыс. руб.'!G506*1000</f>
        <v>263500</v>
      </c>
      <c r="K506" s="169">
        <f t="shared" si="316"/>
        <v>0</v>
      </c>
      <c r="L506" s="16">
        <f>'БА в тыс. руб.'!H506*1000</f>
        <v>237150</v>
      </c>
      <c r="M506" s="169">
        <f t="shared" si="317"/>
        <v>0</v>
      </c>
      <c r="N506" s="16">
        <f>'БА в тыс. руб.'!I506*1000</f>
        <v>237150</v>
      </c>
      <c r="O506" s="169">
        <f t="shared" si="318"/>
        <v>0</v>
      </c>
    </row>
    <row r="507" spans="1:15" s="30" customFormat="1" ht="38.25">
      <c r="A507" s="12" t="s">
        <v>611</v>
      </c>
      <c r="B507" s="25" t="s">
        <v>69</v>
      </c>
      <c r="C507" s="26" t="s">
        <v>71</v>
      </c>
      <c r="D507" s="26" t="s">
        <v>66</v>
      </c>
      <c r="E507" s="26" t="s">
        <v>252</v>
      </c>
      <c r="F507" s="26" t="s">
        <v>58</v>
      </c>
      <c r="G507" s="27">
        <f t="shared" si="354"/>
        <v>263500</v>
      </c>
      <c r="H507" s="27">
        <f t="shared" si="354"/>
        <v>237150</v>
      </c>
      <c r="I507" s="27">
        <f t="shared" si="354"/>
        <v>237150</v>
      </c>
      <c r="J507" s="16">
        <f>'БА в тыс. руб.'!G507*1000</f>
        <v>263500</v>
      </c>
      <c r="K507" s="169">
        <f t="shared" si="316"/>
        <v>0</v>
      </c>
      <c r="L507" s="16">
        <f>'БА в тыс. руб.'!H507*1000</f>
        <v>237150</v>
      </c>
      <c r="M507" s="169">
        <f t="shared" si="317"/>
        <v>0</v>
      </c>
      <c r="N507" s="16">
        <f>'БА в тыс. руб.'!I507*1000</f>
        <v>237150</v>
      </c>
      <c r="O507" s="169">
        <f t="shared" si="318"/>
        <v>0</v>
      </c>
    </row>
    <row r="508" spans="1:15" s="30" customFormat="1" ht="51">
      <c r="A508" s="34" t="s">
        <v>873</v>
      </c>
      <c r="B508" s="25" t="s">
        <v>69</v>
      </c>
      <c r="C508" s="26" t="s">
        <v>71</v>
      </c>
      <c r="D508" s="26" t="s">
        <v>66</v>
      </c>
      <c r="E508" s="26" t="s">
        <v>253</v>
      </c>
      <c r="F508" s="26" t="s">
        <v>58</v>
      </c>
      <c r="G508" s="27">
        <f t="shared" si="354"/>
        <v>263500</v>
      </c>
      <c r="H508" s="27">
        <f t="shared" si="354"/>
        <v>237150</v>
      </c>
      <c r="I508" s="27">
        <f t="shared" si="354"/>
        <v>237150</v>
      </c>
      <c r="J508" s="16">
        <f>'БА в тыс. руб.'!G508*1000</f>
        <v>263500</v>
      </c>
      <c r="K508" s="169">
        <f t="shared" si="316"/>
        <v>0</v>
      </c>
      <c r="L508" s="16">
        <f>'БА в тыс. руб.'!H508*1000</f>
        <v>237150</v>
      </c>
      <c r="M508" s="169">
        <f t="shared" si="317"/>
        <v>0</v>
      </c>
      <c r="N508" s="16">
        <f>'БА в тыс. руб.'!I508*1000</f>
        <v>237150</v>
      </c>
      <c r="O508" s="169">
        <f t="shared" si="318"/>
        <v>0</v>
      </c>
    </row>
    <row r="509" spans="1:15" s="30" customFormat="1">
      <c r="A509" s="13" t="s">
        <v>92</v>
      </c>
      <c r="B509" s="25" t="s">
        <v>69</v>
      </c>
      <c r="C509" s="26" t="s">
        <v>71</v>
      </c>
      <c r="D509" s="26" t="s">
        <v>66</v>
      </c>
      <c r="E509" s="26" t="s">
        <v>253</v>
      </c>
      <c r="F509" s="26" t="s">
        <v>138</v>
      </c>
      <c r="G509" s="27">
        <f>G510</f>
        <v>263500</v>
      </c>
      <c r="H509" s="27">
        <f t="shared" si="354"/>
        <v>237150</v>
      </c>
      <c r="I509" s="27">
        <f t="shared" si="354"/>
        <v>237150</v>
      </c>
      <c r="J509" s="16">
        <f>'БА в тыс. руб.'!G509*1000</f>
        <v>263500</v>
      </c>
      <c r="K509" s="169">
        <f t="shared" si="316"/>
        <v>0</v>
      </c>
      <c r="L509" s="16">
        <f>'БА в тыс. руб.'!H509*1000</f>
        <v>237150</v>
      </c>
      <c r="M509" s="169">
        <f t="shared" si="317"/>
        <v>0</v>
      </c>
      <c r="N509" s="16">
        <f>'БА в тыс. руб.'!I509*1000</f>
        <v>237150</v>
      </c>
      <c r="O509" s="169">
        <f t="shared" si="318"/>
        <v>0</v>
      </c>
    </row>
    <row r="510" spans="1:15" s="83" customFormat="1">
      <c r="A510" s="12" t="s">
        <v>1016</v>
      </c>
      <c r="B510" s="25" t="s">
        <v>69</v>
      </c>
      <c r="C510" s="26" t="s">
        <v>71</v>
      </c>
      <c r="D510" s="26" t="s">
        <v>66</v>
      </c>
      <c r="E510" s="26" t="s">
        <v>253</v>
      </c>
      <c r="F510" s="26" t="s">
        <v>1046</v>
      </c>
      <c r="G510" s="27">
        <f t="shared" ref="G510" si="355">J510</f>
        <v>263500</v>
      </c>
      <c r="H510" s="27">
        <f>L510</f>
        <v>237150</v>
      </c>
      <c r="I510" s="27">
        <f>N510</f>
        <v>237150</v>
      </c>
      <c r="J510" s="16">
        <f>'БА в тыс. руб.'!G510*1000</f>
        <v>263500</v>
      </c>
      <c r="K510" s="169">
        <f t="shared" si="316"/>
        <v>0</v>
      </c>
      <c r="L510" s="16">
        <f>'БА в тыс. руб.'!H510*1000</f>
        <v>237150</v>
      </c>
      <c r="M510" s="169">
        <f t="shared" si="317"/>
        <v>0</v>
      </c>
      <c r="N510" s="16">
        <f>'БА в тыс. руб.'!I510*1000</f>
        <v>237150</v>
      </c>
      <c r="O510" s="169">
        <f t="shared" si="318"/>
        <v>0</v>
      </c>
    </row>
    <row r="511" spans="1:15" s="30" customFormat="1" ht="25.5">
      <c r="A511" s="11" t="s">
        <v>755</v>
      </c>
      <c r="B511" s="25" t="s">
        <v>69</v>
      </c>
      <c r="C511" s="26" t="s">
        <v>71</v>
      </c>
      <c r="D511" s="26" t="s">
        <v>66</v>
      </c>
      <c r="E511" s="26" t="s">
        <v>256</v>
      </c>
      <c r="F511" s="26" t="s">
        <v>58</v>
      </c>
      <c r="G511" s="27">
        <f t="shared" ref="G511:I514" si="356">G512</f>
        <v>1972000</v>
      </c>
      <c r="H511" s="27">
        <f t="shared" si="356"/>
        <v>1774800</v>
      </c>
      <c r="I511" s="27">
        <f t="shared" si="356"/>
        <v>1774800</v>
      </c>
      <c r="J511" s="16">
        <f>'БА в тыс. руб.'!G511*1000</f>
        <v>1972000</v>
      </c>
      <c r="K511" s="169">
        <f t="shared" si="316"/>
        <v>0</v>
      </c>
      <c r="L511" s="16">
        <f>'БА в тыс. руб.'!H511*1000</f>
        <v>1774800</v>
      </c>
      <c r="M511" s="169">
        <f t="shared" si="317"/>
        <v>0</v>
      </c>
      <c r="N511" s="16">
        <f>'БА в тыс. руб.'!I511*1000</f>
        <v>1774800</v>
      </c>
      <c r="O511" s="169">
        <f t="shared" si="318"/>
        <v>0</v>
      </c>
    </row>
    <row r="512" spans="1:15" s="30" customFormat="1" ht="25.5">
      <c r="A512" s="11" t="s">
        <v>616</v>
      </c>
      <c r="B512" s="25" t="s">
        <v>69</v>
      </c>
      <c r="C512" s="26" t="s">
        <v>71</v>
      </c>
      <c r="D512" s="26" t="s">
        <v>66</v>
      </c>
      <c r="E512" s="26" t="s">
        <v>321</v>
      </c>
      <c r="F512" s="26" t="s">
        <v>58</v>
      </c>
      <c r="G512" s="27">
        <f t="shared" si="356"/>
        <v>1972000</v>
      </c>
      <c r="H512" s="27">
        <f t="shared" si="356"/>
        <v>1774800</v>
      </c>
      <c r="I512" s="27">
        <f t="shared" si="356"/>
        <v>1774800</v>
      </c>
      <c r="J512" s="16">
        <f>'БА в тыс. руб.'!G512*1000</f>
        <v>1972000</v>
      </c>
      <c r="K512" s="169">
        <f t="shared" si="316"/>
        <v>0</v>
      </c>
      <c r="L512" s="16">
        <f>'БА в тыс. руб.'!H512*1000</f>
        <v>1774800</v>
      </c>
      <c r="M512" s="169">
        <f t="shared" si="317"/>
        <v>0</v>
      </c>
      <c r="N512" s="16">
        <f>'БА в тыс. руб.'!I512*1000</f>
        <v>1774800</v>
      </c>
      <c r="O512" s="169">
        <f t="shared" si="318"/>
        <v>0</v>
      </c>
    </row>
    <row r="513" spans="1:15" s="30" customFormat="1" ht="25.5">
      <c r="A513" s="11" t="s">
        <v>133</v>
      </c>
      <c r="B513" s="25" t="s">
        <v>69</v>
      </c>
      <c r="C513" s="26" t="s">
        <v>71</v>
      </c>
      <c r="D513" s="26" t="s">
        <v>66</v>
      </c>
      <c r="E513" s="26" t="s">
        <v>322</v>
      </c>
      <c r="F513" s="26" t="s">
        <v>58</v>
      </c>
      <c r="G513" s="27">
        <f t="shared" si="356"/>
        <v>1972000</v>
      </c>
      <c r="H513" s="27">
        <f t="shared" si="356"/>
        <v>1774800</v>
      </c>
      <c r="I513" s="27">
        <f t="shared" si="356"/>
        <v>1774800</v>
      </c>
      <c r="J513" s="16">
        <f>'БА в тыс. руб.'!G513*1000</f>
        <v>1972000</v>
      </c>
      <c r="K513" s="169">
        <f t="shared" si="316"/>
        <v>0</v>
      </c>
      <c r="L513" s="16">
        <f>'БА в тыс. руб.'!H513*1000</f>
        <v>1774800</v>
      </c>
      <c r="M513" s="169">
        <f t="shared" si="317"/>
        <v>0</v>
      </c>
      <c r="N513" s="16">
        <f>'БА в тыс. руб.'!I513*1000</f>
        <v>1774800</v>
      </c>
      <c r="O513" s="169">
        <f t="shared" si="318"/>
        <v>0</v>
      </c>
    </row>
    <row r="514" spans="1:15" s="30" customFormat="1">
      <c r="A514" s="13" t="s">
        <v>92</v>
      </c>
      <c r="B514" s="25" t="s">
        <v>69</v>
      </c>
      <c r="C514" s="26" t="s">
        <v>71</v>
      </c>
      <c r="D514" s="26" t="s">
        <v>66</v>
      </c>
      <c r="E514" s="26" t="s">
        <v>322</v>
      </c>
      <c r="F514" s="26" t="s">
        <v>138</v>
      </c>
      <c r="G514" s="27">
        <f>G515</f>
        <v>1972000</v>
      </c>
      <c r="H514" s="27">
        <f t="shared" si="356"/>
        <v>1774800</v>
      </c>
      <c r="I514" s="27">
        <f t="shared" si="356"/>
        <v>1774800</v>
      </c>
      <c r="J514" s="16">
        <f>'БА в тыс. руб.'!G514*1000</f>
        <v>1972000</v>
      </c>
      <c r="K514" s="169">
        <f t="shared" si="316"/>
        <v>0</v>
      </c>
      <c r="L514" s="16">
        <f>'БА в тыс. руб.'!H514*1000</f>
        <v>1774800</v>
      </c>
      <c r="M514" s="169">
        <f t="shared" si="317"/>
        <v>0</v>
      </c>
      <c r="N514" s="16">
        <f>'БА в тыс. руб.'!I514*1000</f>
        <v>1774800</v>
      </c>
      <c r="O514" s="169">
        <f t="shared" si="318"/>
        <v>0</v>
      </c>
    </row>
    <row r="515" spans="1:15" s="83" customFormat="1">
      <c r="A515" s="12" t="s">
        <v>1016</v>
      </c>
      <c r="B515" s="25" t="s">
        <v>69</v>
      </c>
      <c r="C515" s="26" t="s">
        <v>71</v>
      </c>
      <c r="D515" s="26" t="s">
        <v>66</v>
      </c>
      <c r="E515" s="26" t="s">
        <v>322</v>
      </c>
      <c r="F515" s="26" t="s">
        <v>1046</v>
      </c>
      <c r="G515" s="27">
        <f t="shared" ref="G515" si="357">J515</f>
        <v>1972000</v>
      </c>
      <c r="H515" s="27">
        <f>L515</f>
        <v>1774800</v>
      </c>
      <c r="I515" s="27">
        <f>N515</f>
        <v>1774800</v>
      </c>
      <c r="J515" s="16">
        <f>'БА в тыс. руб.'!G515*1000</f>
        <v>1972000</v>
      </c>
      <c r="K515" s="169">
        <f t="shared" si="316"/>
        <v>0</v>
      </c>
      <c r="L515" s="16">
        <f>'БА в тыс. руб.'!H515*1000</f>
        <v>1774800</v>
      </c>
      <c r="M515" s="169">
        <f t="shared" si="317"/>
        <v>0</v>
      </c>
      <c r="N515" s="16">
        <f>'БА в тыс. руб.'!I515*1000</f>
        <v>1774800</v>
      </c>
      <c r="O515" s="169">
        <f t="shared" si="318"/>
        <v>0</v>
      </c>
    </row>
    <row r="516" spans="1:15" s="30" customFormat="1" ht="63.75">
      <c r="A516" s="11" t="s">
        <v>756</v>
      </c>
      <c r="B516" s="25" t="s">
        <v>69</v>
      </c>
      <c r="C516" s="26" t="s">
        <v>71</v>
      </c>
      <c r="D516" s="26" t="s">
        <v>66</v>
      </c>
      <c r="E516" s="26" t="s">
        <v>339</v>
      </c>
      <c r="F516" s="26" t="s">
        <v>58</v>
      </c>
      <c r="G516" s="27">
        <f t="shared" ref="G516:I518" si="358">G517</f>
        <v>3076060</v>
      </c>
      <c r="H516" s="27">
        <f t="shared" si="358"/>
        <v>2776060</v>
      </c>
      <c r="I516" s="27">
        <f t="shared" si="358"/>
        <v>2776060</v>
      </c>
      <c r="J516" s="16">
        <f>'БА в тыс. руб.'!G516*1000</f>
        <v>3076060</v>
      </c>
      <c r="K516" s="169">
        <f t="shared" si="316"/>
        <v>0</v>
      </c>
      <c r="L516" s="16">
        <f>'БА в тыс. руб.'!H516*1000</f>
        <v>2776060</v>
      </c>
      <c r="M516" s="169">
        <f t="shared" si="317"/>
        <v>0</v>
      </c>
      <c r="N516" s="16">
        <f>'БА в тыс. руб.'!I516*1000</f>
        <v>2776060</v>
      </c>
      <c r="O516" s="169">
        <f t="shared" si="318"/>
        <v>0</v>
      </c>
    </row>
    <row r="517" spans="1:15" s="30" customFormat="1" ht="25.5">
      <c r="A517" s="11" t="s">
        <v>136</v>
      </c>
      <c r="B517" s="25" t="s">
        <v>69</v>
      </c>
      <c r="C517" s="26" t="s">
        <v>71</v>
      </c>
      <c r="D517" s="26" t="s">
        <v>66</v>
      </c>
      <c r="E517" s="26" t="s">
        <v>340</v>
      </c>
      <c r="F517" s="26" t="s">
        <v>58</v>
      </c>
      <c r="G517" s="27">
        <f t="shared" si="358"/>
        <v>3076060</v>
      </c>
      <c r="H517" s="27">
        <f t="shared" si="358"/>
        <v>2776060</v>
      </c>
      <c r="I517" s="27">
        <f t="shared" si="358"/>
        <v>2776060</v>
      </c>
      <c r="J517" s="16">
        <f>'БА в тыс. руб.'!G517*1000</f>
        <v>3076060</v>
      </c>
      <c r="K517" s="169">
        <f t="shared" si="316"/>
        <v>0</v>
      </c>
      <c r="L517" s="16">
        <f>'БА в тыс. руб.'!H517*1000</f>
        <v>2776060</v>
      </c>
      <c r="M517" s="169">
        <f t="shared" si="317"/>
        <v>0</v>
      </c>
      <c r="N517" s="16">
        <f>'БА в тыс. руб.'!I517*1000</f>
        <v>2776060</v>
      </c>
      <c r="O517" s="169">
        <f t="shared" si="318"/>
        <v>0</v>
      </c>
    </row>
    <row r="518" spans="1:15" s="30" customFormat="1" ht="25.5">
      <c r="A518" s="11" t="s">
        <v>667</v>
      </c>
      <c r="B518" s="25" t="s">
        <v>69</v>
      </c>
      <c r="C518" s="26" t="s">
        <v>71</v>
      </c>
      <c r="D518" s="26" t="s">
        <v>66</v>
      </c>
      <c r="E518" s="26" t="s">
        <v>609</v>
      </c>
      <c r="F518" s="26" t="s">
        <v>58</v>
      </c>
      <c r="G518" s="27">
        <f t="shared" si="358"/>
        <v>3076060</v>
      </c>
      <c r="H518" s="27">
        <f t="shared" si="358"/>
        <v>2776060</v>
      </c>
      <c r="I518" s="27">
        <f t="shared" si="358"/>
        <v>2776060</v>
      </c>
      <c r="J518" s="16">
        <f>'БА в тыс. руб.'!G518*1000</f>
        <v>3076060</v>
      </c>
      <c r="K518" s="169">
        <f t="shared" si="316"/>
        <v>0</v>
      </c>
      <c r="L518" s="16">
        <f>'БА в тыс. руб.'!H518*1000</f>
        <v>2776060</v>
      </c>
      <c r="M518" s="169">
        <f t="shared" si="317"/>
        <v>0</v>
      </c>
      <c r="N518" s="16">
        <f>'БА в тыс. руб.'!I518*1000</f>
        <v>2776060</v>
      </c>
      <c r="O518" s="169">
        <f t="shared" si="318"/>
        <v>0</v>
      </c>
    </row>
    <row r="519" spans="1:15" s="30" customFormat="1" ht="38.25">
      <c r="A519" s="11" t="s">
        <v>177</v>
      </c>
      <c r="B519" s="25" t="s">
        <v>69</v>
      </c>
      <c r="C519" s="26" t="s">
        <v>71</v>
      </c>
      <c r="D519" s="26" t="s">
        <v>66</v>
      </c>
      <c r="E519" s="26" t="s">
        <v>610</v>
      </c>
      <c r="F519" s="26" t="s">
        <v>58</v>
      </c>
      <c r="G519" s="27">
        <f>G520+G522</f>
        <v>3076060</v>
      </c>
      <c r="H519" s="27">
        <f>H520+H522</f>
        <v>2776060</v>
      </c>
      <c r="I519" s="27">
        <f>I520+I522</f>
        <v>2776060</v>
      </c>
      <c r="J519" s="16">
        <f>'БА в тыс. руб.'!G519*1000</f>
        <v>3076060</v>
      </c>
      <c r="K519" s="169">
        <f t="shared" si="316"/>
        <v>0</v>
      </c>
      <c r="L519" s="16">
        <f>'БА в тыс. руб.'!H519*1000</f>
        <v>2776060</v>
      </c>
      <c r="M519" s="169">
        <f t="shared" si="317"/>
        <v>0</v>
      </c>
      <c r="N519" s="16">
        <f>'БА в тыс. руб.'!I519*1000</f>
        <v>2776060</v>
      </c>
      <c r="O519" s="169">
        <f t="shared" si="318"/>
        <v>0</v>
      </c>
    </row>
    <row r="520" spans="1:15" s="30" customFormat="1">
      <c r="A520" s="13" t="s">
        <v>92</v>
      </c>
      <c r="B520" s="25" t="s">
        <v>69</v>
      </c>
      <c r="C520" s="26" t="s">
        <v>71</v>
      </c>
      <c r="D520" s="26" t="s">
        <v>66</v>
      </c>
      <c r="E520" s="26" t="s">
        <v>610</v>
      </c>
      <c r="F520" s="26" t="s">
        <v>138</v>
      </c>
      <c r="G520" s="27">
        <f>G521</f>
        <v>2927360</v>
      </c>
      <c r="H520" s="27">
        <f t="shared" ref="H520:I520" si="359">H521</f>
        <v>2627360</v>
      </c>
      <c r="I520" s="27">
        <f t="shared" si="359"/>
        <v>2627360</v>
      </c>
      <c r="J520" s="16">
        <f>'БА в тыс. руб.'!G520*1000</f>
        <v>2927360</v>
      </c>
      <c r="K520" s="169">
        <f t="shared" ref="K520:K583" si="360">J520-G520</f>
        <v>0</v>
      </c>
      <c r="L520" s="16">
        <f>'БА в тыс. руб.'!H520*1000</f>
        <v>2627360</v>
      </c>
      <c r="M520" s="169">
        <f t="shared" ref="M520:M583" si="361">L520-H520</f>
        <v>0</v>
      </c>
      <c r="N520" s="16">
        <f>'БА в тыс. руб.'!I520*1000</f>
        <v>2627360</v>
      </c>
      <c r="O520" s="169">
        <f t="shared" ref="O520:O583" si="362">N520-I520</f>
        <v>0</v>
      </c>
    </row>
    <row r="521" spans="1:15" s="83" customFormat="1">
      <c r="A521" s="12" t="s">
        <v>1016</v>
      </c>
      <c r="B521" s="25" t="s">
        <v>69</v>
      </c>
      <c r="C521" s="26" t="s">
        <v>71</v>
      </c>
      <c r="D521" s="26" t="s">
        <v>66</v>
      </c>
      <c r="E521" s="26" t="s">
        <v>610</v>
      </c>
      <c r="F521" s="26" t="s">
        <v>1046</v>
      </c>
      <c r="G521" s="27">
        <f t="shared" ref="G521" si="363">J521</f>
        <v>2927360</v>
      </c>
      <c r="H521" s="27">
        <f>L521</f>
        <v>2627360</v>
      </c>
      <c r="I521" s="27">
        <f>N521</f>
        <v>2627360</v>
      </c>
      <c r="J521" s="16">
        <f>'БА в тыс. руб.'!G521*1000</f>
        <v>2927360</v>
      </c>
      <c r="K521" s="169">
        <f t="shared" si="360"/>
        <v>0</v>
      </c>
      <c r="L521" s="16">
        <f>'БА в тыс. руб.'!H521*1000</f>
        <v>2627360</v>
      </c>
      <c r="M521" s="169">
        <f t="shared" si="361"/>
        <v>0</v>
      </c>
      <c r="N521" s="16">
        <f>'БА в тыс. руб.'!I521*1000</f>
        <v>2627360</v>
      </c>
      <c r="O521" s="169">
        <f t="shared" si="362"/>
        <v>0</v>
      </c>
    </row>
    <row r="522" spans="1:15" s="30" customFormat="1">
      <c r="A522" s="13" t="s">
        <v>93</v>
      </c>
      <c r="B522" s="25" t="s">
        <v>69</v>
      </c>
      <c r="C522" s="26" t="s">
        <v>71</v>
      </c>
      <c r="D522" s="26" t="s">
        <v>66</v>
      </c>
      <c r="E522" s="26" t="s">
        <v>610</v>
      </c>
      <c r="F522" s="26" t="s">
        <v>20</v>
      </c>
      <c r="G522" s="27">
        <f>G523</f>
        <v>148700</v>
      </c>
      <c r="H522" s="27">
        <f t="shared" ref="H522:I522" si="364">H523</f>
        <v>148700</v>
      </c>
      <c r="I522" s="27">
        <f t="shared" si="364"/>
        <v>148700</v>
      </c>
      <c r="J522" s="16">
        <f>'БА в тыс. руб.'!G522*1000</f>
        <v>148700</v>
      </c>
      <c r="K522" s="169">
        <f t="shared" si="360"/>
        <v>0</v>
      </c>
      <c r="L522" s="16">
        <f>'БА в тыс. руб.'!H522*1000</f>
        <v>148700</v>
      </c>
      <c r="M522" s="169">
        <f t="shared" si="361"/>
        <v>0</v>
      </c>
      <c r="N522" s="16">
        <f>'БА в тыс. руб.'!I522*1000</f>
        <v>148700</v>
      </c>
      <c r="O522" s="169">
        <f t="shared" si="362"/>
        <v>0</v>
      </c>
    </row>
    <row r="523" spans="1:15" s="83" customFormat="1">
      <c r="A523" s="12" t="s">
        <v>1019</v>
      </c>
      <c r="B523" s="25" t="s">
        <v>69</v>
      </c>
      <c r="C523" s="26" t="s">
        <v>71</v>
      </c>
      <c r="D523" s="26" t="s">
        <v>66</v>
      </c>
      <c r="E523" s="26" t="s">
        <v>610</v>
      </c>
      <c r="F523" s="26" t="s">
        <v>1054</v>
      </c>
      <c r="G523" s="27">
        <f t="shared" ref="G523" si="365">J523</f>
        <v>148700</v>
      </c>
      <c r="H523" s="27">
        <f>L523</f>
        <v>148700</v>
      </c>
      <c r="I523" s="27">
        <f>N523</f>
        <v>148700</v>
      </c>
      <c r="J523" s="16">
        <f>'БА в тыс. руб.'!G523*1000</f>
        <v>148700</v>
      </c>
      <c r="K523" s="169">
        <f t="shared" si="360"/>
        <v>0</v>
      </c>
      <c r="L523" s="16">
        <f>'БА в тыс. руб.'!H523*1000</f>
        <v>148700</v>
      </c>
      <c r="M523" s="169">
        <f t="shared" si="361"/>
        <v>0</v>
      </c>
      <c r="N523" s="16">
        <f>'БА в тыс. руб.'!I523*1000</f>
        <v>148700</v>
      </c>
      <c r="O523" s="169">
        <f t="shared" si="362"/>
        <v>0</v>
      </c>
    </row>
    <row r="524" spans="1:15" s="30" customFormat="1" ht="25.5">
      <c r="A524" s="13" t="s">
        <v>759</v>
      </c>
      <c r="B524" s="25" t="s">
        <v>69</v>
      </c>
      <c r="C524" s="26" t="s">
        <v>71</v>
      </c>
      <c r="D524" s="26" t="s">
        <v>66</v>
      </c>
      <c r="E524" s="26" t="s">
        <v>259</v>
      </c>
      <c r="F524" s="26" t="s">
        <v>58</v>
      </c>
      <c r="G524" s="27">
        <f t="shared" ref="G524:I528" si="366">G525</f>
        <v>102000</v>
      </c>
      <c r="H524" s="27">
        <f t="shared" si="366"/>
        <v>91800</v>
      </c>
      <c r="I524" s="27">
        <f t="shared" si="366"/>
        <v>91800</v>
      </c>
      <c r="J524" s="16">
        <f>'БА в тыс. руб.'!G524*1000</f>
        <v>102000</v>
      </c>
      <c r="K524" s="169">
        <f t="shared" si="360"/>
        <v>0</v>
      </c>
      <c r="L524" s="16">
        <f>'БА в тыс. руб.'!H524*1000</f>
        <v>91800</v>
      </c>
      <c r="M524" s="169">
        <f t="shared" si="361"/>
        <v>0</v>
      </c>
      <c r="N524" s="16">
        <f>'БА в тыс. руб.'!I524*1000</f>
        <v>91800</v>
      </c>
      <c r="O524" s="169">
        <f t="shared" si="362"/>
        <v>0</v>
      </c>
    </row>
    <row r="525" spans="1:15" s="30" customFormat="1" ht="25.5">
      <c r="A525" s="13" t="s">
        <v>760</v>
      </c>
      <c r="B525" s="25" t="s">
        <v>69</v>
      </c>
      <c r="C525" s="26" t="s">
        <v>71</v>
      </c>
      <c r="D525" s="26" t="s">
        <v>66</v>
      </c>
      <c r="E525" s="26" t="s">
        <v>260</v>
      </c>
      <c r="F525" s="26" t="s">
        <v>58</v>
      </c>
      <c r="G525" s="27">
        <f t="shared" si="366"/>
        <v>102000</v>
      </c>
      <c r="H525" s="27">
        <f t="shared" si="366"/>
        <v>91800</v>
      </c>
      <c r="I525" s="27">
        <f t="shared" si="366"/>
        <v>91800</v>
      </c>
      <c r="J525" s="16">
        <f>'БА в тыс. руб.'!G525*1000</f>
        <v>102000</v>
      </c>
      <c r="K525" s="169">
        <f t="shared" si="360"/>
        <v>0</v>
      </c>
      <c r="L525" s="16">
        <f>'БА в тыс. руб.'!H525*1000</f>
        <v>91800</v>
      </c>
      <c r="M525" s="169">
        <f t="shared" si="361"/>
        <v>0</v>
      </c>
      <c r="N525" s="16">
        <f>'БА в тыс. руб.'!I525*1000</f>
        <v>91800</v>
      </c>
      <c r="O525" s="169">
        <f t="shared" si="362"/>
        <v>0</v>
      </c>
    </row>
    <row r="526" spans="1:15" s="30" customFormat="1" ht="51">
      <c r="A526" s="11" t="s">
        <v>784</v>
      </c>
      <c r="B526" s="25" t="s">
        <v>69</v>
      </c>
      <c r="C526" s="26" t="s">
        <v>71</v>
      </c>
      <c r="D526" s="26" t="s">
        <v>66</v>
      </c>
      <c r="E526" s="26" t="s">
        <v>785</v>
      </c>
      <c r="F526" s="26" t="s">
        <v>58</v>
      </c>
      <c r="G526" s="27">
        <f t="shared" si="366"/>
        <v>102000</v>
      </c>
      <c r="H526" s="27">
        <f t="shared" si="366"/>
        <v>91800</v>
      </c>
      <c r="I526" s="27">
        <f t="shared" si="366"/>
        <v>91800</v>
      </c>
      <c r="J526" s="16">
        <f>'БА в тыс. руб.'!G526*1000</f>
        <v>102000</v>
      </c>
      <c r="K526" s="169">
        <f t="shared" si="360"/>
        <v>0</v>
      </c>
      <c r="L526" s="16">
        <f>'БА в тыс. руб.'!H526*1000</f>
        <v>91800</v>
      </c>
      <c r="M526" s="169">
        <f t="shared" si="361"/>
        <v>0</v>
      </c>
      <c r="N526" s="16">
        <f>'БА в тыс. руб.'!I526*1000</f>
        <v>91800</v>
      </c>
      <c r="O526" s="169">
        <f t="shared" si="362"/>
        <v>0</v>
      </c>
    </row>
    <row r="527" spans="1:15" s="30" customFormat="1" ht="25.5">
      <c r="A527" s="11" t="s">
        <v>786</v>
      </c>
      <c r="B527" s="25" t="s">
        <v>69</v>
      </c>
      <c r="C527" s="26" t="s">
        <v>71</v>
      </c>
      <c r="D527" s="26" t="s">
        <v>66</v>
      </c>
      <c r="E527" s="26" t="s">
        <v>787</v>
      </c>
      <c r="F527" s="26" t="s">
        <v>58</v>
      </c>
      <c r="G527" s="27">
        <f t="shared" si="366"/>
        <v>102000</v>
      </c>
      <c r="H527" s="27">
        <f t="shared" si="366"/>
        <v>91800</v>
      </c>
      <c r="I527" s="27">
        <f t="shared" si="366"/>
        <v>91800</v>
      </c>
      <c r="J527" s="16">
        <f>'БА в тыс. руб.'!G527*1000</f>
        <v>102000</v>
      </c>
      <c r="K527" s="169">
        <f t="shared" si="360"/>
        <v>0</v>
      </c>
      <c r="L527" s="16">
        <f>'БА в тыс. руб.'!H527*1000</f>
        <v>91800</v>
      </c>
      <c r="M527" s="169">
        <f t="shared" si="361"/>
        <v>0</v>
      </c>
      <c r="N527" s="16">
        <f>'БА в тыс. руб.'!I527*1000</f>
        <v>91800</v>
      </c>
      <c r="O527" s="169">
        <f t="shared" si="362"/>
        <v>0</v>
      </c>
    </row>
    <row r="528" spans="1:15" s="30" customFormat="1">
      <c r="A528" s="13" t="s">
        <v>92</v>
      </c>
      <c r="B528" s="25" t="s">
        <v>69</v>
      </c>
      <c r="C528" s="26" t="s">
        <v>71</v>
      </c>
      <c r="D528" s="26" t="s">
        <v>66</v>
      </c>
      <c r="E528" s="26" t="s">
        <v>787</v>
      </c>
      <c r="F528" s="26" t="s">
        <v>138</v>
      </c>
      <c r="G528" s="27">
        <f>G529</f>
        <v>102000</v>
      </c>
      <c r="H528" s="27">
        <f t="shared" si="366"/>
        <v>91800</v>
      </c>
      <c r="I528" s="27">
        <f t="shared" si="366"/>
        <v>91800</v>
      </c>
      <c r="J528" s="16">
        <f>'БА в тыс. руб.'!G528*1000</f>
        <v>102000</v>
      </c>
      <c r="K528" s="169">
        <f t="shared" si="360"/>
        <v>0</v>
      </c>
      <c r="L528" s="16">
        <f>'БА в тыс. руб.'!H528*1000</f>
        <v>91800</v>
      </c>
      <c r="M528" s="169">
        <f t="shared" si="361"/>
        <v>0</v>
      </c>
      <c r="N528" s="16">
        <f>'БА в тыс. руб.'!I528*1000</f>
        <v>91800</v>
      </c>
      <c r="O528" s="169">
        <f t="shared" si="362"/>
        <v>0</v>
      </c>
    </row>
    <row r="529" spans="1:15" s="83" customFormat="1">
      <c r="A529" s="12" t="s">
        <v>1016</v>
      </c>
      <c r="B529" s="25" t="s">
        <v>69</v>
      </c>
      <c r="C529" s="26" t="s">
        <v>71</v>
      </c>
      <c r="D529" s="26" t="s">
        <v>66</v>
      </c>
      <c r="E529" s="26" t="s">
        <v>787</v>
      </c>
      <c r="F529" s="26" t="s">
        <v>1046</v>
      </c>
      <c r="G529" s="27">
        <f t="shared" ref="G529" si="367">J529</f>
        <v>102000</v>
      </c>
      <c r="H529" s="27">
        <f>L529</f>
        <v>91800</v>
      </c>
      <c r="I529" s="27">
        <f>N529</f>
        <v>91800</v>
      </c>
      <c r="J529" s="16">
        <f>'БА в тыс. руб.'!G529*1000</f>
        <v>102000</v>
      </c>
      <c r="K529" s="169">
        <f t="shared" si="360"/>
        <v>0</v>
      </c>
      <c r="L529" s="16">
        <f>'БА в тыс. руб.'!H529*1000</f>
        <v>91800</v>
      </c>
      <c r="M529" s="169">
        <f t="shared" si="361"/>
        <v>0</v>
      </c>
      <c r="N529" s="16">
        <f>'БА в тыс. руб.'!I529*1000</f>
        <v>91800</v>
      </c>
      <c r="O529" s="169">
        <f t="shared" si="362"/>
        <v>0</v>
      </c>
    </row>
    <row r="530" spans="1:15" s="30" customFormat="1">
      <c r="A530" s="21" t="s">
        <v>779</v>
      </c>
      <c r="B530" s="22" t="s">
        <v>69</v>
      </c>
      <c r="C530" s="23" t="s">
        <v>71</v>
      </c>
      <c r="D530" s="23" t="s">
        <v>53</v>
      </c>
      <c r="E530" s="23" t="s">
        <v>196</v>
      </c>
      <c r="F530" s="23" t="s">
        <v>58</v>
      </c>
      <c r="G530" s="24">
        <f>G531+G539</f>
        <v>163705890</v>
      </c>
      <c r="H530" s="24">
        <f>H531+H539</f>
        <v>163923570</v>
      </c>
      <c r="I530" s="24">
        <f>I531+I539</f>
        <v>163923570</v>
      </c>
      <c r="J530" s="16">
        <f>'БА в тыс. руб.'!G530*1000</f>
        <v>163705890</v>
      </c>
      <c r="K530" s="169">
        <f t="shared" si="360"/>
        <v>0</v>
      </c>
      <c r="L530" s="16">
        <f>'БА в тыс. руб.'!H530*1000</f>
        <v>163923570</v>
      </c>
      <c r="M530" s="169">
        <f t="shared" si="361"/>
        <v>0</v>
      </c>
      <c r="N530" s="16">
        <f>'БА в тыс. руб.'!I530*1000</f>
        <v>163923570</v>
      </c>
      <c r="O530" s="169">
        <f t="shared" si="362"/>
        <v>0</v>
      </c>
    </row>
    <row r="531" spans="1:15" s="30" customFormat="1" ht="25.5">
      <c r="A531" s="13" t="s">
        <v>723</v>
      </c>
      <c r="B531" s="25" t="s">
        <v>69</v>
      </c>
      <c r="C531" s="26" t="s">
        <v>71</v>
      </c>
      <c r="D531" s="26" t="s">
        <v>53</v>
      </c>
      <c r="E531" s="26" t="s">
        <v>331</v>
      </c>
      <c r="F531" s="26" t="s">
        <v>58</v>
      </c>
      <c r="G531" s="27">
        <f>G532</f>
        <v>163360390</v>
      </c>
      <c r="H531" s="27">
        <f t="shared" ref="H531:I533" si="368">H532</f>
        <v>163621070</v>
      </c>
      <c r="I531" s="27">
        <f t="shared" si="368"/>
        <v>163621070</v>
      </c>
      <c r="J531" s="16">
        <f>'БА в тыс. руб.'!G531*1000</f>
        <v>163360390</v>
      </c>
      <c r="K531" s="169">
        <f t="shared" si="360"/>
        <v>0</v>
      </c>
      <c r="L531" s="16">
        <f>'БА в тыс. руб.'!H531*1000</f>
        <v>163621070</v>
      </c>
      <c r="M531" s="169">
        <f t="shared" si="361"/>
        <v>0</v>
      </c>
      <c r="N531" s="16">
        <f>'БА в тыс. руб.'!I531*1000</f>
        <v>163621070</v>
      </c>
      <c r="O531" s="169">
        <f t="shared" si="362"/>
        <v>0</v>
      </c>
    </row>
    <row r="532" spans="1:15" s="30" customFormat="1" ht="25.5">
      <c r="A532" s="13" t="s">
        <v>860</v>
      </c>
      <c r="B532" s="25" t="s">
        <v>69</v>
      </c>
      <c r="C532" s="26" t="s">
        <v>71</v>
      </c>
      <c r="D532" s="26" t="s">
        <v>53</v>
      </c>
      <c r="E532" s="26" t="s">
        <v>332</v>
      </c>
      <c r="F532" s="26" t="s">
        <v>58</v>
      </c>
      <c r="G532" s="27">
        <f>G533</f>
        <v>163360390</v>
      </c>
      <c r="H532" s="27">
        <f t="shared" si="368"/>
        <v>163621070</v>
      </c>
      <c r="I532" s="27">
        <f t="shared" si="368"/>
        <v>163621070</v>
      </c>
      <c r="J532" s="16">
        <f>'БА в тыс. руб.'!G532*1000</f>
        <v>163360390</v>
      </c>
      <c r="K532" s="169">
        <f t="shared" si="360"/>
        <v>0</v>
      </c>
      <c r="L532" s="16">
        <f>'БА в тыс. руб.'!H532*1000</f>
        <v>163621070</v>
      </c>
      <c r="M532" s="169">
        <f t="shared" si="361"/>
        <v>0</v>
      </c>
      <c r="N532" s="16">
        <f>'БА в тыс. руб.'!I532*1000</f>
        <v>163621070</v>
      </c>
      <c r="O532" s="169">
        <f t="shared" si="362"/>
        <v>0</v>
      </c>
    </row>
    <row r="533" spans="1:15" s="30" customFormat="1" ht="38.25">
      <c r="A533" s="34" t="s">
        <v>630</v>
      </c>
      <c r="B533" s="35" t="s">
        <v>69</v>
      </c>
      <c r="C533" s="36" t="s">
        <v>71</v>
      </c>
      <c r="D533" s="36" t="s">
        <v>53</v>
      </c>
      <c r="E533" s="36" t="s">
        <v>351</v>
      </c>
      <c r="F533" s="36" t="s">
        <v>58</v>
      </c>
      <c r="G533" s="37">
        <f>G534</f>
        <v>163360390</v>
      </c>
      <c r="H533" s="37">
        <f t="shared" si="368"/>
        <v>163621070</v>
      </c>
      <c r="I533" s="37">
        <f t="shared" si="368"/>
        <v>163621070</v>
      </c>
      <c r="J533" s="16">
        <f>'БА в тыс. руб.'!G533*1000</f>
        <v>163360390</v>
      </c>
      <c r="K533" s="169">
        <f t="shared" si="360"/>
        <v>0</v>
      </c>
      <c r="L533" s="16">
        <f>'БА в тыс. руб.'!H533*1000</f>
        <v>163621070</v>
      </c>
      <c r="M533" s="169">
        <f t="shared" si="361"/>
        <v>0</v>
      </c>
      <c r="N533" s="16">
        <f>'БА в тыс. руб.'!I533*1000</f>
        <v>163621070</v>
      </c>
      <c r="O533" s="169">
        <f t="shared" si="362"/>
        <v>0</v>
      </c>
    </row>
    <row r="534" spans="1:15" s="30" customFormat="1" ht="25.5">
      <c r="A534" s="40" t="s">
        <v>247</v>
      </c>
      <c r="B534" s="35" t="s">
        <v>69</v>
      </c>
      <c r="C534" s="36" t="s">
        <v>71</v>
      </c>
      <c r="D534" s="36" t="s">
        <v>53</v>
      </c>
      <c r="E534" s="36" t="s">
        <v>352</v>
      </c>
      <c r="F534" s="36" t="s">
        <v>58</v>
      </c>
      <c r="G534" s="37">
        <f>G535+G537</f>
        <v>163360390</v>
      </c>
      <c r="H534" s="37">
        <f t="shared" ref="H534:I534" si="369">H535+H537</f>
        <v>163621070</v>
      </c>
      <c r="I534" s="37">
        <f t="shared" si="369"/>
        <v>163621070</v>
      </c>
      <c r="J534" s="16">
        <f>'БА в тыс. руб.'!G534*1000</f>
        <v>163360390</v>
      </c>
      <c r="K534" s="169">
        <f t="shared" si="360"/>
        <v>0</v>
      </c>
      <c r="L534" s="16">
        <f>'БА в тыс. руб.'!H534*1000</f>
        <v>163621070</v>
      </c>
      <c r="M534" s="169">
        <f t="shared" si="361"/>
        <v>0</v>
      </c>
      <c r="N534" s="16">
        <f>'БА в тыс. руб.'!I534*1000</f>
        <v>163621070</v>
      </c>
      <c r="O534" s="169">
        <f t="shared" si="362"/>
        <v>0</v>
      </c>
    </row>
    <row r="535" spans="1:15" s="30" customFormat="1">
      <c r="A535" s="40" t="s">
        <v>92</v>
      </c>
      <c r="B535" s="35" t="s">
        <v>69</v>
      </c>
      <c r="C535" s="36" t="s">
        <v>71</v>
      </c>
      <c r="D535" s="36" t="s">
        <v>53</v>
      </c>
      <c r="E535" s="36" t="s">
        <v>352</v>
      </c>
      <c r="F535" s="36" t="s">
        <v>138</v>
      </c>
      <c r="G535" s="27">
        <f>G536</f>
        <v>145597390</v>
      </c>
      <c r="H535" s="27">
        <f t="shared" ref="H535:I535" si="370">H536</f>
        <v>145858070</v>
      </c>
      <c r="I535" s="27">
        <f t="shared" si="370"/>
        <v>145858070</v>
      </c>
      <c r="J535" s="16">
        <f>'БА в тыс. руб.'!G535*1000</f>
        <v>145597390</v>
      </c>
      <c r="K535" s="169">
        <f t="shared" si="360"/>
        <v>0</v>
      </c>
      <c r="L535" s="16">
        <f>'БА в тыс. руб.'!H535*1000</f>
        <v>145858070</v>
      </c>
      <c r="M535" s="169">
        <f t="shared" si="361"/>
        <v>0</v>
      </c>
      <c r="N535" s="16">
        <f>'БА в тыс. руб.'!I535*1000</f>
        <v>145858070</v>
      </c>
      <c r="O535" s="169">
        <f t="shared" si="362"/>
        <v>0</v>
      </c>
    </row>
    <row r="536" spans="1:15" s="83" customFormat="1" ht="38.25">
      <c r="A536" s="12" t="s">
        <v>1015</v>
      </c>
      <c r="B536" s="35" t="s">
        <v>69</v>
      </c>
      <c r="C536" s="36" t="s">
        <v>71</v>
      </c>
      <c r="D536" s="36" t="s">
        <v>53</v>
      </c>
      <c r="E536" s="36" t="s">
        <v>352</v>
      </c>
      <c r="F536" s="36" t="s">
        <v>67</v>
      </c>
      <c r="G536" s="27">
        <f t="shared" ref="G536" si="371">J536</f>
        <v>145597390</v>
      </c>
      <c r="H536" s="27">
        <f>L536</f>
        <v>145858070</v>
      </c>
      <c r="I536" s="27">
        <f>N536</f>
        <v>145858070</v>
      </c>
      <c r="J536" s="16">
        <f>'БА в тыс. руб.'!G536*1000</f>
        <v>145597390</v>
      </c>
      <c r="K536" s="169">
        <f t="shared" si="360"/>
        <v>0</v>
      </c>
      <c r="L536" s="16">
        <f>'БА в тыс. руб.'!H536*1000</f>
        <v>145858070</v>
      </c>
      <c r="M536" s="169">
        <f t="shared" si="361"/>
        <v>0</v>
      </c>
      <c r="N536" s="16">
        <f>'БА в тыс. руб.'!I536*1000</f>
        <v>145858070</v>
      </c>
      <c r="O536" s="169">
        <f t="shared" si="362"/>
        <v>0</v>
      </c>
    </row>
    <row r="537" spans="1:15" s="30" customFormat="1">
      <c r="A537" s="40" t="s">
        <v>93</v>
      </c>
      <c r="B537" s="35" t="s">
        <v>69</v>
      </c>
      <c r="C537" s="36" t="s">
        <v>71</v>
      </c>
      <c r="D537" s="36" t="s">
        <v>53</v>
      </c>
      <c r="E537" s="36" t="s">
        <v>352</v>
      </c>
      <c r="F537" s="36" t="s">
        <v>20</v>
      </c>
      <c r="G537" s="27">
        <f>G538</f>
        <v>17763000</v>
      </c>
      <c r="H537" s="27">
        <f t="shared" ref="H537:I537" si="372">H538</f>
        <v>17763000</v>
      </c>
      <c r="I537" s="27">
        <f t="shared" si="372"/>
        <v>17763000</v>
      </c>
      <c r="J537" s="16">
        <f>'БА в тыс. руб.'!G537*1000</f>
        <v>17763000</v>
      </c>
      <c r="K537" s="169">
        <f t="shared" si="360"/>
        <v>0</v>
      </c>
      <c r="L537" s="16">
        <f>'БА в тыс. руб.'!H537*1000</f>
        <v>17763000</v>
      </c>
      <c r="M537" s="169">
        <f t="shared" si="361"/>
        <v>0</v>
      </c>
      <c r="N537" s="16">
        <f>'БА в тыс. руб.'!I537*1000</f>
        <v>17763000</v>
      </c>
      <c r="O537" s="169">
        <f t="shared" si="362"/>
        <v>0</v>
      </c>
    </row>
    <row r="538" spans="1:15" s="83" customFormat="1" ht="38.25">
      <c r="A538" s="12" t="s">
        <v>1018</v>
      </c>
      <c r="B538" s="35" t="s">
        <v>69</v>
      </c>
      <c r="C538" s="36" t="s">
        <v>71</v>
      </c>
      <c r="D538" s="36" t="s">
        <v>53</v>
      </c>
      <c r="E538" s="36" t="s">
        <v>352</v>
      </c>
      <c r="F538" s="36" t="s">
        <v>16</v>
      </c>
      <c r="G538" s="27">
        <f t="shared" ref="G538" si="373">J538</f>
        <v>17763000</v>
      </c>
      <c r="H538" s="27">
        <f>L538</f>
        <v>17763000</v>
      </c>
      <c r="I538" s="27">
        <f>N538</f>
        <v>17763000</v>
      </c>
      <c r="J538" s="16">
        <f>'БА в тыс. руб.'!G538*1000</f>
        <v>17763000</v>
      </c>
      <c r="K538" s="169">
        <f t="shared" si="360"/>
        <v>0</v>
      </c>
      <c r="L538" s="16">
        <f>'БА в тыс. руб.'!H538*1000</f>
        <v>17763000</v>
      </c>
      <c r="M538" s="169">
        <f t="shared" si="361"/>
        <v>0</v>
      </c>
      <c r="N538" s="16">
        <f>'БА в тыс. руб.'!I538*1000</f>
        <v>17763000</v>
      </c>
      <c r="O538" s="169">
        <f t="shared" si="362"/>
        <v>0</v>
      </c>
    </row>
    <row r="539" spans="1:15" s="30" customFormat="1" ht="63.75">
      <c r="A539" s="11" t="s">
        <v>756</v>
      </c>
      <c r="B539" s="25" t="s">
        <v>69</v>
      </c>
      <c r="C539" s="36" t="s">
        <v>71</v>
      </c>
      <c r="D539" s="36" t="s">
        <v>53</v>
      </c>
      <c r="E539" s="26" t="s">
        <v>339</v>
      </c>
      <c r="F539" s="26" t="s">
        <v>58</v>
      </c>
      <c r="G539" s="27">
        <f t="shared" ref="G539:I541" si="374">G540</f>
        <v>345500</v>
      </c>
      <c r="H539" s="27">
        <f t="shared" si="374"/>
        <v>302500</v>
      </c>
      <c r="I539" s="27">
        <f t="shared" si="374"/>
        <v>302500</v>
      </c>
      <c r="J539" s="16">
        <f>'БА в тыс. руб.'!G539*1000</f>
        <v>345500</v>
      </c>
      <c r="K539" s="169">
        <f t="shared" si="360"/>
        <v>0</v>
      </c>
      <c r="L539" s="16">
        <f>'БА в тыс. руб.'!H539*1000</f>
        <v>302500</v>
      </c>
      <c r="M539" s="169">
        <f t="shared" si="361"/>
        <v>0</v>
      </c>
      <c r="N539" s="16">
        <f>'БА в тыс. руб.'!I539*1000</f>
        <v>302500</v>
      </c>
      <c r="O539" s="169">
        <f t="shared" si="362"/>
        <v>0</v>
      </c>
    </row>
    <row r="540" spans="1:15" s="30" customFormat="1" ht="25.5">
      <c r="A540" s="11" t="s">
        <v>136</v>
      </c>
      <c r="B540" s="25" t="s">
        <v>69</v>
      </c>
      <c r="C540" s="36" t="s">
        <v>71</v>
      </c>
      <c r="D540" s="36" t="s">
        <v>53</v>
      </c>
      <c r="E540" s="26" t="s">
        <v>340</v>
      </c>
      <c r="F540" s="26" t="s">
        <v>58</v>
      </c>
      <c r="G540" s="27">
        <f t="shared" si="374"/>
        <v>345500</v>
      </c>
      <c r="H540" s="27">
        <f t="shared" si="374"/>
        <v>302500</v>
      </c>
      <c r="I540" s="27">
        <f t="shared" si="374"/>
        <v>302500</v>
      </c>
      <c r="J540" s="16">
        <f>'БА в тыс. руб.'!G540*1000</f>
        <v>345500</v>
      </c>
      <c r="K540" s="169">
        <f t="shared" si="360"/>
        <v>0</v>
      </c>
      <c r="L540" s="16">
        <f>'БА в тыс. руб.'!H540*1000</f>
        <v>302500</v>
      </c>
      <c r="M540" s="169">
        <f t="shared" si="361"/>
        <v>0</v>
      </c>
      <c r="N540" s="16">
        <f>'БА в тыс. руб.'!I540*1000</f>
        <v>302500</v>
      </c>
      <c r="O540" s="169">
        <f t="shared" si="362"/>
        <v>0</v>
      </c>
    </row>
    <row r="541" spans="1:15" s="30" customFormat="1" ht="25.5">
      <c r="A541" s="11" t="s">
        <v>667</v>
      </c>
      <c r="B541" s="25" t="s">
        <v>69</v>
      </c>
      <c r="C541" s="36" t="s">
        <v>71</v>
      </c>
      <c r="D541" s="36" t="s">
        <v>53</v>
      </c>
      <c r="E541" s="26" t="s">
        <v>609</v>
      </c>
      <c r="F541" s="26" t="s">
        <v>58</v>
      </c>
      <c r="G541" s="27">
        <f t="shared" si="374"/>
        <v>345500</v>
      </c>
      <c r="H541" s="27">
        <f t="shared" si="374"/>
        <v>302500</v>
      </c>
      <c r="I541" s="27">
        <f t="shared" si="374"/>
        <v>302500</v>
      </c>
      <c r="J541" s="16">
        <f>'БА в тыс. руб.'!G541*1000</f>
        <v>345500</v>
      </c>
      <c r="K541" s="169">
        <f t="shared" si="360"/>
        <v>0</v>
      </c>
      <c r="L541" s="16">
        <f>'БА в тыс. руб.'!H541*1000</f>
        <v>302500</v>
      </c>
      <c r="M541" s="169">
        <f t="shared" si="361"/>
        <v>0</v>
      </c>
      <c r="N541" s="16">
        <f>'БА в тыс. руб.'!I541*1000</f>
        <v>302500</v>
      </c>
      <c r="O541" s="169">
        <f t="shared" si="362"/>
        <v>0</v>
      </c>
    </row>
    <row r="542" spans="1:15" s="30" customFormat="1" ht="38.25">
      <c r="A542" s="11" t="s">
        <v>177</v>
      </c>
      <c r="B542" s="25" t="s">
        <v>69</v>
      </c>
      <c r="C542" s="36" t="s">
        <v>71</v>
      </c>
      <c r="D542" s="36" t="s">
        <v>53</v>
      </c>
      <c r="E542" s="26" t="s">
        <v>610</v>
      </c>
      <c r="F542" s="26" t="s">
        <v>58</v>
      </c>
      <c r="G542" s="27">
        <f>G543+G545</f>
        <v>345500</v>
      </c>
      <c r="H542" s="27">
        <f t="shared" ref="H542:I542" si="375">H543+H545</f>
        <v>302500</v>
      </c>
      <c r="I542" s="27">
        <f t="shared" si="375"/>
        <v>302500</v>
      </c>
      <c r="J542" s="16">
        <f>'БА в тыс. руб.'!G542*1000</f>
        <v>345500</v>
      </c>
      <c r="K542" s="169">
        <f t="shared" si="360"/>
        <v>0</v>
      </c>
      <c r="L542" s="16">
        <f>'БА в тыс. руб.'!H542*1000</f>
        <v>302500</v>
      </c>
      <c r="M542" s="169">
        <f t="shared" si="361"/>
        <v>0</v>
      </c>
      <c r="N542" s="16">
        <f>'БА в тыс. руб.'!I542*1000</f>
        <v>302500</v>
      </c>
      <c r="O542" s="169">
        <f t="shared" si="362"/>
        <v>0</v>
      </c>
    </row>
    <row r="543" spans="1:15" s="30" customFormat="1">
      <c r="A543" s="40" t="s">
        <v>92</v>
      </c>
      <c r="B543" s="25" t="s">
        <v>69</v>
      </c>
      <c r="C543" s="36" t="s">
        <v>71</v>
      </c>
      <c r="D543" s="36" t="s">
        <v>53</v>
      </c>
      <c r="E543" s="26" t="s">
        <v>610</v>
      </c>
      <c r="F543" s="26" t="s">
        <v>138</v>
      </c>
      <c r="G543" s="27">
        <f>G544</f>
        <v>286900</v>
      </c>
      <c r="H543" s="27">
        <f t="shared" ref="H543:I543" si="376">H544</f>
        <v>243900</v>
      </c>
      <c r="I543" s="27">
        <f t="shared" si="376"/>
        <v>243900</v>
      </c>
      <c r="J543" s="16">
        <f>'БА в тыс. руб.'!G543*1000</f>
        <v>286900</v>
      </c>
      <c r="K543" s="169">
        <f t="shared" si="360"/>
        <v>0</v>
      </c>
      <c r="L543" s="16">
        <f>'БА в тыс. руб.'!H543*1000</f>
        <v>243900</v>
      </c>
      <c r="M543" s="169">
        <f t="shared" si="361"/>
        <v>0</v>
      </c>
      <c r="N543" s="16">
        <f>'БА в тыс. руб.'!I543*1000</f>
        <v>243900</v>
      </c>
      <c r="O543" s="169">
        <f t="shared" si="362"/>
        <v>0</v>
      </c>
    </row>
    <row r="544" spans="1:15" s="83" customFormat="1">
      <c r="A544" s="12" t="s">
        <v>1016</v>
      </c>
      <c r="B544" s="25" t="s">
        <v>69</v>
      </c>
      <c r="C544" s="36" t="s">
        <v>71</v>
      </c>
      <c r="D544" s="36" t="s">
        <v>53</v>
      </c>
      <c r="E544" s="26" t="s">
        <v>610</v>
      </c>
      <c r="F544" s="26" t="s">
        <v>1046</v>
      </c>
      <c r="G544" s="27">
        <f t="shared" ref="G544" si="377">J544</f>
        <v>286900</v>
      </c>
      <c r="H544" s="27">
        <f>L544</f>
        <v>243900</v>
      </c>
      <c r="I544" s="27">
        <f>N544</f>
        <v>243900</v>
      </c>
      <c r="J544" s="16">
        <f>'БА в тыс. руб.'!G544*1000</f>
        <v>286900</v>
      </c>
      <c r="K544" s="169">
        <f t="shared" si="360"/>
        <v>0</v>
      </c>
      <c r="L544" s="16">
        <f>'БА в тыс. руб.'!H544*1000</f>
        <v>243900</v>
      </c>
      <c r="M544" s="169">
        <f t="shared" si="361"/>
        <v>0</v>
      </c>
      <c r="N544" s="16">
        <f>'БА в тыс. руб.'!I544*1000</f>
        <v>243900</v>
      </c>
      <c r="O544" s="169">
        <f t="shared" si="362"/>
        <v>0</v>
      </c>
    </row>
    <row r="545" spans="1:15" s="30" customFormat="1">
      <c r="A545" s="13" t="s">
        <v>93</v>
      </c>
      <c r="B545" s="25" t="s">
        <v>69</v>
      </c>
      <c r="C545" s="36" t="s">
        <v>71</v>
      </c>
      <c r="D545" s="36" t="s">
        <v>53</v>
      </c>
      <c r="E545" s="26" t="s">
        <v>610</v>
      </c>
      <c r="F545" s="26" t="s">
        <v>20</v>
      </c>
      <c r="G545" s="27">
        <f>G546</f>
        <v>58600</v>
      </c>
      <c r="H545" s="27">
        <f t="shared" ref="H545:I545" si="378">H546</f>
        <v>58600</v>
      </c>
      <c r="I545" s="27">
        <f t="shared" si="378"/>
        <v>58600</v>
      </c>
      <c r="J545" s="16">
        <f>'БА в тыс. руб.'!G545*1000</f>
        <v>58600</v>
      </c>
      <c r="K545" s="169">
        <f t="shared" si="360"/>
        <v>0</v>
      </c>
      <c r="L545" s="16">
        <f>'БА в тыс. руб.'!H545*1000</f>
        <v>58600</v>
      </c>
      <c r="M545" s="169">
        <f t="shared" si="361"/>
        <v>0</v>
      </c>
      <c r="N545" s="16">
        <f>'БА в тыс. руб.'!I545*1000</f>
        <v>58600</v>
      </c>
      <c r="O545" s="169">
        <f t="shared" si="362"/>
        <v>0</v>
      </c>
    </row>
    <row r="546" spans="1:15" s="83" customFormat="1">
      <c r="A546" s="12" t="s">
        <v>1019</v>
      </c>
      <c r="B546" s="25" t="s">
        <v>69</v>
      </c>
      <c r="C546" s="36" t="s">
        <v>71</v>
      </c>
      <c r="D546" s="36" t="s">
        <v>53</v>
      </c>
      <c r="E546" s="26" t="s">
        <v>610</v>
      </c>
      <c r="F546" s="26" t="s">
        <v>1054</v>
      </c>
      <c r="G546" s="27">
        <f t="shared" ref="G546" si="379">J546</f>
        <v>58600</v>
      </c>
      <c r="H546" s="27">
        <f>L546</f>
        <v>58600</v>
      </c>
      <c r="I546" s="27">
        <f>N546</f>
        <v>58600</v>
      </c>
      <c r="J546" s="16">
        <f>'БА в тыс. руб.'!G546*1000</f>
        <v>58600</v>
      </c>
      <c r="K546" s="169">
        <f t="shared" si="360"/>
        <v>0</v>
      </c>
      <c r="L546" s="16">
        <f>'БА в тыс. руб.'!H546*1000</f>
        <v>58600</v>
      </c>
      <c r="M546" s="169">
        <f t="shared" si="361"/>
        <v>0</v>
      </c>
      <c r="N546" s="16">
        <f>'БА в тыс. руб.'!I546*1000</f>
        <v>58600</v>
      </c>
      <c r="O546" s="169">
        <f t="shared" si="362"/>
        <v>0</v>
      </c>
    </row>
    <row r="547" spans="1:15" s="30" customFormat="1">
      <c r="A547" s="21" t="s">
        <v>783</v>
      </c>
      <c r="B547" s="22" t="s">
        <v>69</v>
      </c>
      <c r="C547" s="23" t="s">
        <v>71</v>
      </c>
      <c r="D547" s="23" t="s">
        <v>71</v>
      </c>
      <c r="E547" s="23" t="s">
        <v>196</v>
      </c>
      <c r="F547" s="23" t="s">
        <v>58</v>
      </c>
      <c r="G547" s="24">
        <f>G548+G557</f>
        <v>24969220</v>
      </c>
      <c r="H547" s="24">
        <f>H548+H557</f>
        <v>24921810</v>
      </c>
      <c r="I547" s="24">
        <f>I548+I557</f>
        <v>24921810</v>
      </c>
      <c r="J547" s="16">
        <f>'БА в тыс. руб.'!G547*1000</f>
        <v>24969219.999999996</v>
      </c>
      <c r="K547" s="169">
        <f t="shared" si="360"/>
        <v>0</v>
      </c>
      <c r="L547" s="16">
        <f>'БА в тыс. руб.'!H547*1000</f>
        <v>24921810</v>
      </c>
      <c r="M547" s="169">
        <f t="shared" si="361"/>
        <v>0</v>
      </c>
      <c r="N547" s="16">
        <f>'БА в тыс. руб.'!I547*1000</f>
        <v>24921810</v>
      </c>
      <c r="O547" s="169">
        <f t="shared" si="362"/>
        <v>0</v>
      </c>
    </row>
    <row r="548" spans="1:15" s="30" customFormat="1" ht="25.5">
      <c r="A548" s="13" t="s">
        <v>723</v>
      </c>
      <c r="B548" s="25" t="s">
        <v>69</v>
      </c>
      <c r="C548" s="26" t="s">
        <v>71</v>
      </c>
      <c r="D548" s="26" t="s">
        <v>71</v>
      </c>
      <c r="E548" s="26" t="s">
        <v>331</v>
      </c>
      <c r="F548" s="26" t="s">
        <v>58</v>
      </c>
      <c r="G548" s="27">
        <f t="shared" ref="G548:I549" si="380">G549</f>
        <v>24854020</v>
      </c>
      <c r="H548" s="27">
        <f t="shared" si="380"/>
        <v>24876610</v>
      </c>
      <c r="I548" s="27">
        <f t="shared" si="380"/>
        <v>24876610</v>
      </c>
      <c r="J548" s="16">
        <f>'БА в тыс. руб.'!G548*1000</f>
        <v>24854019.999999996</v>
      </c>
      <c r="K548" s="169">
        <f t="shared" si="360"/>
        <v>0</v>
      </c>
      <c r="L548" s="16">
        <f>'БА в тыс. руб.'!H548*1000</f>
        <v>24876610</v>
      </c>
      <c r="M548" s="169">
        <f t="shared" si="361"/>
        <v>0</v>
      </c>
      <c r="N548" s="16">
        <f>'БА в тыс. руб.'!I548*1000</f>
        <v>24876610</v>
      </c>
      <c r="O548" s="169">
        <f t="shared" si="362"/>
        <v>0</v>
      </c>
    </row>
    <row r="549" spans="1:15" s="30" customFormat="1" ht="25.5">
      <c r="A549" s="13" t="s">
        <v>860</v>
      </c>
      <c r="B549" s="25" t="s">
        <v>69</v>
      </c>
      <c r="C549" s="26" t="s">
        <v>71</v>
      </c>
      <c r="D549" s="26" t="s">
        <v>71</v>
      </c>
      <c r="E549" s="26" t="s">
        <v>332</v>
      </c>
      <c r="F549" s="26" t="s">
        <v>58</v>
      </c>
      <c r="G549" s="27">
        <f t="shared" si="380"/>
        <v>24854020</v>
      </c>
      <c r="H549" s="27">
        <f t="shared" si="380"/>
        <v>24876610</v>
      </c>
      <c r="I549" s="27">
        <f t="shared" si="380"/>
        <v>24876610</v>
      </c>
      <c r="J549" s="16">
        <f>'БА в тыс. руб.'!G549*1000</f>
        <v>24854019.999999996</v>
      </c>
      <c r="K549" s="169">
        <f t="shared" si="360"/>
        <v>0</v>
      </c>
      <c r="L549" s="16">
        <f>'БА в тыс. руб.'!H549*1000</f>
        <v>24876610</v>
      </c>
      <c r="M549" s="169">
        <f t="shared" si="361"/>
        <v>0</v>
      </c>
      <c r="N549" s="16">
        <f>'БА в тыс. руб.'!I549*1000</f>
        <v>24876610</v>
      </c>
      <c r="O549" s="169">
        <f t="shared" si="362"/>
        <v>0</v>
      </c>
    </row>
    <row r="550" spans="1:15" s="30" customFormat="1" ht="25.5">
      <c r="A550" s="13" t="s">
        <v>631</v>
      </c>
      <c r="B550" s="25" t="s">
        <v>69</v>
      </c>
      <c r="C550" s="26" t="s">
        <v>71</v>
      </c>
      <c r="D550" s="26" t="s">
        <v>71</v>
      </c>
      <c r="E550" s="26" t="s">
        <v>353</v>
      </c>
      <c r="F550" s="26" t="s">
        <v>58</v>
      </c>
      <c r="G550" s="27">
        <f>G551+G554</f>
        <v>24854020</v>
      </c>
      <c r="H550" s="27">
        <f>H551+H554</f>
        <v>24876610</v>
      </c>
      <c r="I550" s="27">
        <f>I551+I554</f>
        <v>24876610</v>
      </c>
      <c r="J550" s="16">
        <f>'БА в тыс. руб.'!G550*1000</f>
        <v>24854019.999999996</v>
      </c>
      <c r="K550" s="169">
        <f t="shared" si="360"/>
        <v>0</v>
      </c>
      <c r="L550" s="16">
        <f>'БА в тыс. руб.'!H550*1000</f>
        <v>24876610</v>
      </c>
      <c r="M550" s="169">
        <f t="shared" si="361"/>
        <v>0</v>
      </c>
      <c r="N550" s="16">
        <f>'БА в тыс. руб.'!I550*1000</f>
        <v>24876610</v>
      </c>
      <c r="O550" s="169">
        <f t="shared" si="362"/>
        <v>0</v>
      </c>
    </row>
    <row r="551" spans="1:15" s="30" customFormat="1" ht="25.5">
      <c r="A551" s="13" t="s">
        <v>247</v>
      </c>
      <c r="B551" s="25" t="s">
        <v>69</v>
      </c>
      <c r="C551" s="26" t="s">
        <v>71</v>
      </c>
      <c r="D551" s="26" t="s">
        <v>71</v>
      </c>
      <c r="E551" s="26" t="s">
        <v>354</v>
      </c>
      <c r="F551" s="26" t="s">
        <v>58</v>
      </c>
      <c r="G551" s="27">
        <f>G552</f>
        <v>6986650</v>
      </c>
      <c r="H551" s="27">
        <f>H552</f>
        <v>7009240</v>
      </c>
      <c r="I551" s="27">
        <f>I552</f>
        <v>7009240</v>
      </c>
      <c r="J551" s="16">
        <f>'БА в тыс. руб.'!G551*1000</f>
        <v>6986650</v>
      </c>
      <c r="K551" s="169">
        <f t="shared" si="360"/>
        <v>0</v>
      </c>
      <c r="L551" s="16">
        <f>'БА в тыс. руб.'!H551*1000</f>
        <v>7009240</v>
      </c>
      <c r="M551" s="169">
        <f t="shared" si="361"/>
        <v>0</v>
      </c>
      <c r="N551" s="16">
        <f>'БА в тыс. руб.'!I551*1000</f>
        <v>7009240</v>
      </c>
      <c r="O551" s="169">
        <f t="shared" si="362"/>
        <v>0</v>
      </c>
    </row>
    <row r="552" spans="1:15" s="30" customFormat="1">
      <c r="A552" s="13" t="s">
        <v>93</v>
      </c>
      <c r="B552" s="25" t="s">
        <v>69</v>
      </c>
      <c r="C552" s="26" t="s">
        <v>71</v>
      </c>
      <c r="D552" s="26" t="s">
        <v>71</v>
      </c>
      <c r="E552" s="26" t="s">
        <v>354</v>
      </c>
      <c r="F552" s="26" t="s">
        <v>20</v>
      </c>
      <c r="G552" s="27">
        <f>G553</f>
        <v>6986650</v>
      </c>
      <c r="H552" s="27">
        <f t="shared" ref="H552:I552" si="381">H553</f>
        <v>7009240</v>
      </c>
      <c r="I552" s="27">
        <f t="shared" si="381"/>
        <v>7009240</v>
      </c>
      <c r="J552" s="16">
        <f>'БА в тыс. руб.'!G552*1000</f>
        <v>6986650</v>
      </c>
      <c r="K552" s="169">
        <f t="shared" si="360"/>
        <v>0</v>
      </c>
      <c r="L552" s="16">
        <f>'БА в тыс. руб.'!H552*1000</f>
        <v>7009240</v>
      </c>
      <c r="M552" s="169">
        <f t="shared" si="361"/>
        <v>0</v>
      </c>
      <c r="N552" s="16">
        <f>'БА в тыс. руб.'!I552*1000</f>
        <v>7009240</v>
      </c>
      <c r="O552" s="169">
        <f t="shared" si="362"/>
        <v>0</v>
      </c>
    </row>
    <row r="553" spans="1:15" s="83" customFormat="1" ht="38.25">
      <c r="A553" s="12" t="s">
        <v>1018</v>
      </c>
      <c r="B553" s="25" t="s">
        <v>69</v>
      </c>
      <c r="C553" s="26" t="s">
        <v>71</v>
      </c>
      <c r="D553" s="26" t="s">
        <v>71</v>
      </c>
      <c r="E553" s="26" t="s">
        <v>354</v>
      </c>
      <c r="F553" s="26" t="s">
        <v>16</v>
      </c>
      <c r="G553" s="27">
        <f t="shared" ref="G553" si="382">J553</f>
        <v>6986650</v>
      </c>
      <c r="H553" s="27">
        <f>L553</f>
        <v>7009240</v>
      </c>
      <c r="I553" s="27">
        <f>N553</f>
        <v>7009240</v>
      </c>
      <c r="J553" s="16">
        <f>'БА в тыс. руб.'!G553*1000</f>
        <v>6986650</v>
      </c>
      <c r="K553" s="169">
        <f t="shared" si="360"/>
        <v>0</v>
      </c>
      <c r="L553" s="16">
        <f>'БА в тыс. руб.'!H553*1000</f>
        <v>7009240</v>
      </c>
      <c r="M553" s="169">
        <f t="shared" si="361"/>
        <v>0</v>
      </c>
      <c r="N553" s="16">
        <f>'БА в тыс. руб.'!I553*1000</f>
        <v>7009240</v>
      </c>
      <c r="O553" s="169">
        <f t="shared" si="362"/>
        <v>0</v>
      </c>
    </row>
    <row r="554" spans="1:15" s="30" customFormat="1">
      <c r="A554" s="11" t="s">
        <v>355</v>
      </c>
      <c r="B554" s="25" t="s">
        <v>69</v>
      </c>
      <c r="C554" s="26" t="s">
        <v>71</v>
      </c>
      <c r="D554" s="26" t="s">
        <v>71</v>
      </c>
      <c r="E554" s="26" t="s">
        <v>356</v>
      </c>
      <c r="F554" s="26" t="s">
        <v>58</v>
      </c>
      <c r="G554" s="27">
        <f>G555</f>
        <v>17867370</v>
      </c>
      <c r="H554" s="27">
        <f>H555</f>
        <v>17867370</v>
      </c>
      <c r="I554" s="27">
        <f>I555</f>
        <v>17867370</v>
      </c>
      <c r="J554" s="16">
        <f>'БА в тыс. руб.'!G554*1000</f>
        <v>17867370</v>
      </c>
      <c r="K554" s="169">
        <f t="shared" si="360"/>
        <v>0</v>
      </c>
      <c r="L554" s="16">
        <f>'БА в тыс. руб.'!H554*1000</f>
        <v>17867370</v>
      </c>
      <c r="M554" s="169">
        <f t="shared" si="361"/>
        <v>0</v>
      </c>
      <c r="N554" s="16">
        <f>'БА в тыс. руб.'!I554*1000</f>
        <v>17867370</v>
      </c>
      <c r="O554" s="169">
        <f t="shared" si="362"/>
        <v>0</v>
      </c>
    </row>
    <row r="555" spans="1:15" s="30" customFormat="1">
      <c r="A555" s="13" t="s">
        <v>92</v>
      </c>
      <c r="B555" s="25" t="s">
        <v>69</v>
      </c>
      <c r="C555" s="26" t="s">
        <v>71</v>
      </c>
      <c r="D555" s="26" t="s">
        <v>71</v>
      </c>
      <c r="E555" s="26" t="s">
        <v>356</v>
      </c>
      <c r="F555" s="26" t="s">
        <v>138</v>
      </c>
      <c r="G555" s="27">
        <f>G556</f>
        <v>17867370</v>
      </c>
      <c r="H555" s="27">
        <f t="shared" ref="H555:I555" si="383">H556</f>
        <v>17867370</v>
      </c>
      <c r="I555" s="27">
        <f t="shared" si="383"/>
        <v>17867370</v>
      </c>
      <c r="J555" s="16">
        <f>'БА в тыс. руб.'!G555*1000</f>
        <v>17867370</v>
      </c>
      <c r="K555" s="169">
        <f t="shared" si="360"/>
        <v>0</v>
      </c>
      <c r="L555" s="16">
        <f>'БА в тыс. руб.'!H555*1000</f>
        <v>17867370</v>
      </c>
      <c r="M555" s="169">
        <f t="shared" si="361"/>
        <v>0</v>
      </c>
      <c r="N555" s="16">
        <f>'БА в тыс. руб.'!I555*1000</f>
        <v>17867370</v>
      </c>
      <c r="O555" s="169">
        <f t="shared" si="362"/>
        <v>0</v>
      </c>
    </row>
    <row r="556" spans="1:15" s="83" customFormat="1">
      <c r="A556" s="12" t="s">
        <v>1016</v>
      </c>
      <c r="B556" s="25" t="s">
        <v>69</v>
      </c>
      <c r="C556" s="26" t="s">
        <v>71</v>
      </c>
      <c r="D556" s="26" t="s">
        <v>71</v>
      </c>
      <c r="E556" s="26" t="s">
        <v>356</v>
      </c>
      <c r="F556" s="26" t="s">
        <v>1046</v>
      </c>
      <c r="G556" s="27">
        <f t="shared" ref="G556" si="384">J556</f>
        <v>17867370</v>
      </c>
      <c r="H556" s="27">
        <f>L556</f>
        <v>17867370</v>
      </c>
      <c r="I556" s="27">
        <f>N556</f>
        <v>17867370</v>
      </c>
      <c r="J556" s="16">
        <f>'БА в тыс. руб.'!G556*1000</f>
        <v>17867370</v>
      </c>
      <c r="K556" s="169">
        <f t="shared" si="360"/>
        <v>0</v>
      </c>
      <c r="L556" s="16">
        <f>'БА в тыс. руб.'!H556*1000</f>
        <v>17867370</v>
      </c>
      <c r="M556" s="169">
        <f t="shared" si="361"/>
        <v>0</v>
      </c>
      <c r="N556" s="16">
        <f>'БА в тыс. руб.'!I556*1000</f>
        <v>17867370</v>
      </c>
      <c r="O556" s="169">
        <f t="shared" si="362"/>
        <v>0</v>
      </c>
    </row>
    <row r="557" spans="1:15" s="30" customFormat="1" ht="63.75">
      <c r="A557" s="11" t="s">
        <v>756</v>
      </c>
      <c r="B557" s="25" t="s">
        <v>69</v>
      </c>
      <c r="C557" s="26" t="s">
        <v>71</v>
      </c>
      <c r="D557" s="26" t="s">
        <v>71</v>
      </c>
      <c r="E557" s="26" t="s">
        <v>339</v>
      </c>
      <c r="F557" s="26" t="s">
        <v>58</v>
      </c>
      <c r="G557" s="27">
        <f t="shared" ref="G557:I561" si="385">G558</f>
        <v>115200</v>
      </c>
      <c r="H557" s="27">
        <f t="shared" si="385"/>
        <v>45200</v>
      </c>
      <c r="I557" s="27">
        <f t="shared" si="385"/>
        <v>45200</v>
      </c>
      <c r="J557" s="16">
        <f>'БА в тыс. руб.'!G557*1000</f>
        <v>115200</v>
      </c>
      <c r="K557" s="169">
        <f t="shared" si="360"/>
        <v>0</v>
      </c>
      <c r="L557" s="16">
        <f>'БА в тыс. руб.'!H557*1000</f>
        <v>45200</v>
      </c>
      <c r="M557" s="169">
        <f t="shared" si="361"/>
        <v>0</v>
      </c>
      <c r="N557" s="16">
        <f>'БА в тыс. руб.'!I557*1000</f>
        <v>45200</v>
      </c>
      <c r="O557" s="169">
        <f t="shared" si="362"/>
        <v>0</v>
      </c>
    </row>
    <row r="558" spans="1:15" s="30" customFormat="1" ht="25.5">
      <c r="A558" s="11" t="s">
        <v>136</v>
      </c>
      <c r="B558" s="25" t="s">
        <v>69</v>
      </c>
      <c r="C558" s="26" t="s">
        <v>71</v>
      </c>
      <c r="D558" s="26" t="s">
        <v>71</v>
      </c>
      <c r="E558" s="26" t="s">
        <v>340</v>
      </c>
      <c r="F558" s="26" t="s">
        <v>58</v>
      </c>
      <c r="G558" s="27">
        <f t="shared" si="385"/>
        <v>115200</v>
      </c>
      <c r="H558" s="27">
        <f t="shared" si="385"/>
        <v>45200</v>
      </c>
      <c r="I558" s="27">
        <f t="shared" si="385"/>
        <v>45200</v>
      </c>
      <c r="J558" s="16">
        <f>'БА в тыс. руб.'!G558*1000</f>
        <v>115200</v>
      </c>
      <c r="K558" s="169">
        <f t="shared" si="360"/>
        <v>0</v>
      </c>
      <c r="L558" s="16">
        <f>'БА в тыс. руб.'!H558*1000</f>
        <v>45200</v>
      </c>
      <c r="M558" s="169">
        <f t="shared" si="361"/>
        <v>0</v>
      </c>
      <c r="N558" s="16">
        <f>'БА в тыс. руб.'!I558*1000</f>
        <v>45200</v>
      </c>
      <c r="O558" s="169">
        <f t="shared" si="362"/>
        <v>0</v>
      </c>
    </row>
    <row r="559" spans="1:15" s="30" customFormat="1" ht="25.5">
      <c r="A559" s="11" t="s">
        <v>667</v>
      </c>
      <c r="B559" s="25" t="s">
        <v>69</v>
      </c>
      <c r="C559" s="26" t="s">
        <v>71</v>
      </c>
      <c r="D559" s="26" t="s">
        <v>71</v>
      </c>
      <c r="E559" s="26" t="s">
        <v>609</v>
      </c>
      <c r="F559" s="26" t="s">
        <v>58</v>
      </c>
      <c r="G559" s="27">
        <f t="shared" si="385"/>
        <v>115200</v>
      </c>
      <c r="H559" s="27">
        <f t="shared" si="385"/>
        <v>45200</v>
      </c>
      <c r="I559" s="27">
        <f t="shared" si="385"/>
        <v>45200</v>
      </c>
      <c r="J559" s="16">
        <f>'БА в тыс. руб.'!G559*1000</f>
        <v>115200</v>
      </c>
      <c r="K559" s="169">
        <f t="shared" si="360"/>
        <v>0</v>
      </c>
      <c r="L559" s="16">
        <f>'БА в тыс. руб.'!H559*1000</f>
        <v>45200</v>
      </c>
      <c r="M559" s="169">
        <f t="shared" si="361"/>
        <v>0</v>
      </c>
      <c r="N559" s="16">
        <f>'БА в тыс. руб.'!I559*1000</f>
        <v>45200</v>
      </c>
      <c r="O559" s="169">
        <f t="shared" si="362"/>
        <v>0</v>
      </c>
    </row>
    <row r="560" spans="1:15" s="30" customFormat="1" ht="38.25">
      <c r="A560" s="11" t="s">
        <v>177</v>
      </c>
      <c r="B560" s="25" t="s">
        <v>69</v>
      </c>
      <c r="C560" s="26" t="s">
        <v>71</v>
      </c>
      <c r="D560" s="26" t="s">
        <v>71</v>
      </c>
      <c r="E560" s="26" t="s">
        <v>610</v>
      </c>
      <c r="F560" s="26" t="s">
        <v>58</v>
      </c>
      <c r="G560" s="27">
        <f t="shared" si="385"/>
        <v>115200</v>
      </c>
      <c r="H560" s="27">
        <f t="shared" si="385"/>
        <v>45200</v>
      </c>
      <c r="I560" s="27">
        <f t="shared" si="385"/>
        <v>45200</v>
      </c>
      <c r="J560" s="16">
        <f>'БА в тыс. руб.'!G560*1000</f>
        <v>115200</v>
      </c>
      <c r="K560" s="169">
        <f t="shared" si="360"/>
        <v>0</v>
      </c>
      <c r="L560" s="16">
        <f>'БА в тыс. руб.'!H560*1000</f>
        <v>45200</v>
      </c>
      <c r="M560" s="169">
        <f t="shared" si="361"/>
        <v>0</v>
      </c>
      <c r="N560" s="16">
        <f>'БА в тыс. руб.'!I560*1000</f>
        <v>45200</v>
      </c>
      <c r="O560" s="169">
        <f t="shared" si="362"/>
        <v>0</v>
      </c>
    </row>
    <row r="561" spans="1:15" s="30" customFormat="1">
      <c r="A561" s="13" t="s">
        <v>93</v>
      </c>
      <c r="B561" s="25" t="s">
        <v>69</v>
      </c>
      <c r="C561" s="26" t="s">
        <v>71</v>
      </c>
      <c r="D561" s="26" t="s">
        <v>71</v>
      </c>
      <c r="E561" s="26" t="s">
        <v>610</v>
      </c>
      <c r="F561" s="26" t="s">
        <v>20</v>
      </c>
      <c r="G561" s="27">
        <f>G562</f>
        <v>115200</v>
      </c>
      <c r="H561" s="27">
        <f t="shared" si="385"/>
        <v>45200</v>
      </c>
      <c r="I561" s="27">
        <f t="shared" si="385"/>
        <v>45200</v>
      </c>
      <c r="J561" s="16">
        <f>'БА в тыс. руб.'!G561*1000</f>
        <v>115200</v>
      </c>
      <c r="K561" s="169">
        <f t="shared" si="360"/>
        <v>0</v>
      </c>
      <c r="L561" s="16">
        <f>'БА в тыс. руб.'!H561*1000</f>
        <v>45200</v>
      </c>
      <c r="M561" s="169">
        <f t="shared" si="361"/>
        <v>0</v>
      </c>
      <c r="N561" s="16">
        <f>'БА в тыс. руб.'!I561*1000</f>
        <v>45200</v>
      </c>
      <c r="O561" s="169">
        <f t="shared" si="362"/>
        <v>0</v>
      </c>
    </row>
    <row r="562" spans="1:15" s="83" customFormat="1">
      <c r="A562" s="12" t="s">
        <v>1019</v>
      </c>
      <c r="B562" s="25" t="s">
        <v>69</v>
      </c>
      <c r="C562" s="26" t="s">
        <v>71</v>
      </c>
      <c r="D562" s="26" t="s">
        <v>71</v>
      </c>
      <c r="E562" s="26" t="s">
        <v>610</v>
      </c>
      <c r="F562" s="26" t="s">
        <v>1054</v>
      </c>
      <c r="G562" s="27">
        <f t="shared" ref="G562" si="386">J562</f>
        <v>115200</v>
      </c>
      <c r="H562" s="27">
        <f>L562</f>
        <v>45200</v>
      </c>
      <c r="I562" s="27">
        <f>N562</f>
        <v>45200</v>
      </c>
      <c r="J562" s="16">
        <f>'БА в тыс. руб.'!G562*1000</f>
        <v>115200</v>
      </c>
      <c r="K562" s="169">
        <f t="shared" si="360"/>
        <v>0</v>
      </c>
      <c r="L562" s="16">
        <f>'БА в тыс. руб.'!H562*1000</f>
        <v>45200</v>
      </c>
      <c r="M562" s="169">
        <f t="shared" si="361"/>
        <v>0</v>
      </c>
      <c r="N562" s="16">
        <f>'БА в тыс. руб.'!I562*1000</f>
        <v>45200</v>
      </c>
      <c r="O562" s="169">
        <f t="shared" si="362"/>
        <v>0</v>
      </c>
    </row>
    <row r="563" spans="1:15" s="30" customFormat="1">
      <c r="A563" s="21" t="s">
        <v>24</v>
      </c>
      <c r="B563" s="22" t="s">
        <v>69</v>
      </c>
      <c r="C563" s="23" t="s">
        <v>71</v>
      </c>
      <c r="D563" s="23" t="s">
        <v>25</v>
      </c>
      <c r="E563" s="23" t="s">
        <v>196</v>
      </c>
      <c r="F563" s="23" t="s">
        <v>58</v>
      </c>
      <c r="G563" s="24">
        <f>G564+G582+G588</f>
        <v>44170170</v>
      </c>
      <c r="H563" s="24">
        <f>H564+H582+H588</f>
        <v>43599580</v>
      </c>
      <c r="I563" s="24">
        <f>I564+I582+I588</f>
        <v>43599580</v>
      </c>
      <c r="J563" s="16">
        <f>'БА в тыс. руб.'!G563*1000</f>
        <v>44170170</v>
      </c>
      <c r="K563" s="169">
        <f t="shared" si="360"/>
        <v>0</v>
      </c>
      <c r="L563" s="16">
        <f>'БА в тыс. руб.'!H563*1000</f>
        <v>43599580</v>
      </c>
      <c r="M563" s="169">
        <f t="shared" si="361"/>
        <v>0</v>
      </c>
      <c r="N563" s="16">
        <f>'БА в тыс. руб.'!I563*1000</f>
        <v>43599580</v>
      </c>
      <c r="O563" s="169">
        <f t="shared" si="362"/>
        <v>0</v>
      </c>
    </row>
    <row r="564" spans="1:15" s="30" customFormat="1" ht="25.5">
      <c r="A564" s="13" t="s">
        <v>723</v>
      </c>
      <c r="B564" s="25" t="s">
        <v>69</v>
      </c>
      <c r="C564" s="26" t="s">
        <v>71</v>
      </c>
      <c r="D564" s="26" t="s">
        <v>25</v>
      </c>
      <c r="E564" s="26" t="s">
        <v>331</v>
      </c>
      <c r="F564" s="26" t="s">
        <v>58</v>
      </c>
      <c r="G564" s="27">
        <f>G565</f>
        <v>18420000</v>
      </c>
      <c r="H564" s="27">
        <f>H565</f>
        <v>17843770</v>
      </c>
      <c r="I564" s="27">
        <f>I565</f>
        <v>17843770</v>
      </c>
      <c r="J564" s="16">
        <f>'БА в тыс. руб.'!G564*1000</f>
        <v>18420000</v>
      </c>
      <c r="K564" s="169">
        <f t="shared" si="360"/>
        <v>0</v>
      </c>
      <c r="L564" s="16">
        <f>'БА в тыс. руб.'!H564*1000</f>
        <v>17843770</v>
      </c>
      <c r="M564" s="169">
        <f t="shared" si="361"/>
        <v>0</v>
      </c>
      <c r="N564" s="16">
        <f>'БА в тыс. руб.'!I564*1000</f>
        <v>17843770</v>
      </c>
      <c r="O564" s="169">
        <f t="shared" si="362"/>
        <v>0</v>
      </c>
    </row>
    <row r="565" spans="1:15" s="30" customFormat="1" ht="25.5">
      <c r="A565" s="13" t="s">
        <v>860</v>
      </c>
      <c r="B565" s="25" t="s">
        <v>69</v>
      </c>
      <c r="C565" s="26" t="s">
        <v>71</v>
      </c>
      <c r="D565" s="26" t="s">
        <v>25</v>
      </c>
      <c r="E565" s="26" t="s">
        <v>332</v>
      </c>
      <c r="F565" s="26" t="s">
        <v>58</v>
      </c>
      <c r="G565" s="27">
        <f>G566+G570+G578</f>
        <v>18420000</v>
      </c>
      <c r="H565" s="27">
        <f>H566+H570+H578</f>
        <v>17843770</v>
      </c>
      <c r="I565" s="27">
        <f>I566+I570+I578</f>
        <v>17843770</v>
      </c>
      <c r="J565" s="16">
        <f>'БА в тыс. руб.'!G565*1000</f>
        <v>18420000</v>
      </c>
      <c r="K565" s="169">
        <f t="shared" si="360"/>
        <v>0</v>
      </c>
      <c r="L565" s="16">
        <f>'БА в тыс. руб.'!H565*1000</f>
        <v>17843770</v>
      </c>
      <c r="M565" s="169">
        <f t="shared" si="361"/>
        <v>0</v>
      </c>
      <c r="N565" s="16">
        <f>'БА в тыс. руб.'!I565*1000</f>
        <v>17843770</v>
      </c>
      <c r="O565" s="169">
        <f t="shared" si="362"/>
        <v>0</v>
      </c>
    </row>
    <row r="566" spans="1:15" s="30" customFormat="1" ht="38.25">
      <c r="A566" s="34" t="s">
        <v>630</v>
      </c>
      <c r="B566" s="35" t="s">
        <v>69</v>
      </c>
      <c r="C566" s="36" t="s">
        <v>71</v>
      </c>
      <c r="D566" s="36" t="s">
        <v>25</v>
      </c>
      <c r="E566" s="36" t="s">
        <v>351</v>
      </c>
      <c r="F566" s="36" t="s">
        <v>58</v>
      </c>
      <c r="G566" s="37">
        <f>G567</f>
        <v>6745360</v>
      </c>
      <c r="H566" s="37">
        <f t="shared" ref="H566:I566" si="387">H567</f>
        <v>6769130</v>
      </c>
      <c r="I566" s="37">
        <f t="shared" si="387"/>
        <v>6769130</v>
      </c>
      <c r="J566" s="16">
        <f>'БА в тыс. руб.'!G566*1000</f>
        <v>6745360</v>
      </c>
      <c r="K566" s="169">
        <f t="shared" si="360"/>
        <v>0</v>
      </c>
      <c r="L566" s="16">
        <f>'БА в тыс. руб.'!H566*1000</f>
        <v>6769130</v>
      </c>
      <c r="M566" s="169">
        <f t="shared" si="361"/>
        <v>0</v>
      </c>
      <c r="N566" s="16">
        <f>'БА в тыс. руб.'!I566*1000</f>
        <v>6769130</v>
      </c>
      <c r="O566" s="169">
        <f t="shared" si="362"/>
        <v>0</v>
      </c>
    </row>
    <row r="567" spans="1:15" s="30" customFormat="1" ht="25.5">
      <c r="A567" s="40" t="s">
        <v>247</v>
      </c>
      <c r="B567" s="35" t="s">
        <v>69</v>
      </c>
      <c r="C567" s="36" t="s">
        <v>71</v>
      </c>
      <c r="D567" s="36" t="s">
        <v>25</v>
      </c>
      <c r="E567" s="36" t="s">
        <v>352</v>
      </c>
      <c r="F567" s="36" t="s">
        <v>58</v>
      </c>
      <c r="G567" s="37">
        <f>G568</f>
        <v>6745360</v>
      </c>
      <c r="H567" s="37">
        <f>H568</f>
        <v>6769130</v>
      </c>
      <c r="I567" s="37">
        <f>I568</f>
        <v>6769130</v>
      </c>
      <c r="J567" s="16">
        <f>'БА в тыс. руб.'!G567*1000</f>
        <v>6745360</v>
      </c>
      <c r="K567" s="169">
        <f t="shared" si="360"/>
        <v>0</v>
      </c>
      <c r="L567" s="16">
        <f>'БА в тыс. руб.'!H567*1000</f>
        <v>6769130</v>
      </c>
      <c r="M567" s="169">
        <f t="shared" si="361"/>
        <v>0</v>
      </c>
      <c r="N567" s="16">
        <f>'БА в тыс. руб.'!I567*1000</f>
        <v>6769130</v>
      </c>
      <c r="O567" s="169">
        <f t="shared" si="362"/>
        <v>0</v>
      </c>
    </row>
    <row r="568" spans="1:15" s="30" customFormat="1">
      <c r="A568" s="40" t="s">
        <v>92</v>
      </c>
      <c r="B568" s="35" t="s">
        <v>69</v>
      </c>
      <c r="C568" s="36" t="s">
        <v>71</v>
      </c>
      <c r="D568" s="36" t="s">
        <v>25</v>
      </c>
      <c r="E568" s="36" t="s">
        <v>352</v>
      </c>
      <c r="F568" s="36" t="s">
        <v>138</v>
      </c>
      <c r="G568" s="27">
        <f>G569</f>
        <v>6745360</v>
      </c>
      <c r="H568" s="27">
        <f t="shared" ref="H568:I568" si="388">H569</f>
        <v>6769130</v>
      </c>
      <c r="I568" s="27">
        <f t="shared" si="388"/>
        <v>6769130</v>
      </c>
      <c r="J568" s="16">
        <f>'БА в тыс. руб.'!G568*1000</f>
        <v>6745360</v>
      </c>
      <c r="K568" s="169">
        <f t="shared" si="360"/>
        <v>0</v>
      </c>
      <c r="L568" s="16">
        <f>'БА в тыс. руб.'!H568*1000</f>
        <v>6769130</v>
      </c>
      <c r="M568" s="169">
        <f t="shared" si="361"/>
        <v>0</v>
      </c>
      <c r="N568" s="16">
        <f>'БА в тыс. руб.'!I568*1000</f>
        <v>6769130</v>
      </c>
      <c r="O568" s="169">
        <f t="shared" si="362"/>
        <v>0</v>
      </c>
    </row>
    <row r="569" spans="1:15" s="83" customFormat="1" ht="38.25">
      <c r="A569" s="12" t="s">
        <v>1015</v>
      </c>
      <c r="B569" s="35" t="s">
        <v>69</v>
      </c>
      <c r="C569" s="36" t="s">
        <v>71</v>
      </c>
      <c r="D569" s="36" t="s">
        <v>25</v>
      </c>
      <c r="E569" s="36" t="s">
        <v>352</v>
      </c>
      <c r="F569" s="36" t="s">
        <v>67</v>
      </c>
      <c r="G569" s="27">
        <f t="shared" ref="G569" si="389">J569</f>
        <v>6745360</v>
      </c>
      <c r="H569" s="27">
        <f>L569</f>
        <v>6769130</v>
      </c>
      <c r="I569" s="27">
        <f>N569</f>
        <v>6769130</v>
      </c>
      <c r="J569" s="16">
        <f>'БА в тыс. руб.'!G569*1000</f>
        <v>6745360</v>
      </c>
      <c r="K569" s="169">
        <f t="shared" si="360"/>
        <v>0</v>
      </c>
      <c r="L569" s="16">
        <f>'БА в тыс. руб.'!H569*1000</f>
        <v>6769130</v>
      </c>
      <c r="M569" s="169">
        <f t="shared" si="361"/>
        <v>0</v>
      </c>
      <c r="N569" s="16">
        <f>'БА в тыс. руб.'!I569*1000</f>
        <v>6769130</v>
      </c>
      <c r="O569" s="169">
        <f t="shared" si="362"/>
        <v>0</v>
      </c>
    </row>
    <row r="570" spans="1:15" s="30" customFormat="1" ht="38.25">
      <c r="A570" s="13" t="s">
        <v>633</v>
      </c>
      <c r="B570" s="25" t="s">
        <v>69</v>
      </c>
      <c r="C570" s="26" t="s">
        <v>71</v>
      </c>
      <c r="D570" s="26" t="s">
        <v>25</v>
      </c>
      <c r="E570" s="26" t="s">
        <v>357</v>
      </c>
      <c r="F570" s="26" t="s">
        <v>58</v>
      </c>
      <c r="G570" s="27">
        <f>G571</f>
        <v>4728790</v>
      </c>
      <c r="H570" s="27">
        <f>H571</f>
        <v>4128790</v>
      </c>
      <c r="I570" s="27">
        <f>I571</f>
        <v>4128790</v>
      </c>
      <c r="J570" s="16">
        <f>'БА в тыс. руб.'!G570*1000</f>
        <v>4728790</v>
      </c>
      <c r="K570" s="169">
        <f t="shared" si="360"/>
        <v>0</v>
      </c>
      <c r="L570" s="16">
        <f>'БА в тыс. руб.'!H570*1000</f>
        <v>4128790</v>
      </c>
      <c r="M570" s="169">
        <f t="shared" si="361"/>
        <v>0</v>
      </c>
      <c r="N570" s="16">
        <f>'БА в тыс. руб.'!I570*1000</f>
        <v>4128790</v>
      </c>
      <c r="O570" s="169">
        <f t="shared" si="362"/>
        <v>0</v>
      </c>
    </row>
    <row r="571" spans="1:15" s="30" customFormat="1">
      <c r="A571" s="13" t="s">
        <v>139</v>
      </c>
      <c r="B571" s="25" t="s">
        <v>69</v>
      </c>
      <c r="C571" s="26" t="s">
        <v>71</v>
      </c>
      <c r="D571" s="26" t="s">
        <v>25</v>
      </c>
      <c r="E571" s="26" t="s">
        <v>632</v>
      </c>
      <c r="F571" s="26" t="s">
        <v>58</v>
      </c>
      <c r="G571" s="27">
        <f>G572+G574+G576</f>
        <v>4728790</v>
      </c>
      <c r="H571" s="27">
        <f>H572+H574+H576</f>
        <v>4128790</v>
      </c>
      <c r="I571" s="27">
        <f>I572+I574+I576</f>
        <v>4128790</v>
      </c>
      <c r="J571" s="16">
        <f>'БА в тыс. руб.'!G571*1000</f>
        <v>4728790</v>
      </c>
      <c r="K571" s="169">
        <f t="shared" si="360"/>
        <v>0</v>
      </c>
      <c r="L571" s="16">
        <f>'БА в тыс. руб.'!H571*1000</f>
        <v>4128790</v>
      </c>
      <c r="M571" s="169">
        <f t="shared" si="361"/>
        <v>0</v>
      </c>
      <c r="N571" s="16">
        <f>'БА в тыс. руб.'!I571*1000</f>
        <v>4128790</v>
      </c>
      <c r="O571" s="169">
        <f t="shared" si="362"/>
        <v>0</v>
      </c>
    </row>
    <row r="572" spans="1:15" s="30" customFormat="1" ht="25.5">
      <c r="A572" s="11" t="s">
        <v>108</v>
      </c>
      <c r="B572" s="25" t="s">
        <v>69</v>
      </c>
      <c r="C572" s="26" t="s">
        <v>71</v>
      </c>
      <c r="D572" s="26" t="s">
        <v>25</v>
      </c>
      <c r="E572" s="26" t="s">
        <v>632</v>
      </c>
      <c r="F572" s="26" t="s">
        <v>116</v>
      </c>
      <c r="G572" s="27">
        <f>G573</f>
        <v>200000</v>
      </c>
      <c r="H572" s="27">
        <f t="shared" ref="H572:I572" si="390">H573</f>
        <v>200000</v>
      </c>
      <c r="I572" s="27">
        <f t="shared" si="390"/>
        <v>200000</v>
      </c>
      <c r="J572" s="16">
        <f>'БА в тыс. руб.'!G572*1000</f>
        <v>200000</v>
      </c>
      <c r="K572" s="169">
        <f t="shared" si="360"/>
        <v>0</v>
      </c>
      <c r="L572" s="16">
        <f>'БА в тыс. руб.'!H572*1000</f>
        <v>200000</v>
      </c>
      <c r="M572" s="169">
        <f t="shared" si="361"/>
        <v>0</v>
      </c>
      <c r="N572" s="16">
        <f>'БА в тыс. руб.'!I572*1000</f>
        <v>200000</v>
      </c>
      <c r="O572" s="169">
        <f t="shared" si="362"/>
        <v>0</v>
      </c>
    </row>
    <row r="573" spans="1:15" s="83" customFormat="1" ht="25.5">
      <c r="A573" s="12" t="s">
        <v>973</v>
      </c>
      <c r="B573" s="25" t="s">
        <v>69</v>
      </c>
      <c r="C573" s="26" t="s">
        <v>71</v>
      </c>
      <c r="D573" s="26" t="s">
        <v>25</v>
      </c>
      <c r="E573" s="26" t="s">
        <v>632</v>
      </c>
      <c r="F573" s="26" t="s">
        <v>1043</v>
      </c>
      <c r="G573" s="27">
        <f t="shared" ref="G573" si="391">J573</f>
        <v>200000</v>
      </c>
      <c r="H573" s="27">
        <f>L573</f>
        <v>200000</v>
      </c>
      <c r="I573" s="27">
        <f>N573</f>
        <v>200000</v>
      </c>
      <c r="J573" s="16">
        <f>'БА в тыс. руб.'!G573*1000</f>
        <v>200000</v>
      </c>
      <c r="K573" s="169">
        <f t="shared" si="360"/>
        <v>0</v>
      </c>
      <c r="L573" s="16">
        <f>'БА в тыс. руб.'!H573*1000</f>
        <v>200000</v>
      </c>
      <c r="M573" s="169">
        <f t="shared" si="361"/>
        <v>0</v>
      </c>
      <c r="N573" s="16">
        <f>'БА в тыс. руб.'!I573*1000</f>
        <v>200000</v>
      </c>
      <c r="O573" s="169">
        <f t="shared" si="362"/>
        <v>0</v>
      </c>
    </row>
    <row r="574" spans="1:15" s="30" customFormat="1">
      <c r="A574" s="13" t="s">
        <v>92</v>
      </c>
      <c r="B574" s="25" t="s">
        <v>69</v>
      </c>
      <c r="C574" s="26" t="s">
        <v>71</v>
      </c>
      <c r="D574" s="26" t="s">
        <v>25</v>
      </c>
      <c r="E574" s="26" t="s">
        <v>632</v>
      </c>
      <c r="F574" s="26" t="s">
        <v>138</v>
      </c>
      <c r="G574" s="27">
        <f>G575</f>
        <v>4183500</v>
      </c>
      <c r="H574" s="27">
        <f t="shared" ref="H574:I574" si="392">H575</f>
        <v>3583500</v>
      </c>
      <c r="I574" s="27">
        <f t="shared" si="392"/>
        <v>3583500</v>
      </c>
      <c r="J574" s="16">
        <f>'БА в тыс. руб.'!G574*1000</f>
        <v>4183500</v>
      </c>
      <c r="K574" s="169">
        <f t="shared" si="360"/>
        <v>0</v>
      </c>
      <c r="L574" s="16">
        <f>'БА в тыс. руб.'!H574*1000</f>
        <v>3583500</v>
      </c>
      <c r="M574" s="169">
        <f t="shared" si="361"/>
        <v>0</v>
      </c>
      <c r="N574" s="16">
        <f>'БА в тыс. руб.'!I574*1000</f>
        <v>3583500</v>
      </c>
      <c r="O574" s="169">
        <f t="shared" si="362"/>
        <v>0</v>
      </c>
    </row>
    <row r="575" spans="1:15" s="83" customFormat="1">
      <c r="A575" s="12" t="s">
        <v>1016</v>
      </c>
      <c r="B575" s="25" t="s">
        <v>69</v>
      </c>
      <c r="C575" s="26" t="s">
        <v>71</v>
      </c>
      <c r="D575" s="26" t="s">
        <v>25</v>
      </c>
      <c r="E575" s="26" t="s">
        <v>632</v>
      </c>
      <c r="F575" s="26" t="s">
        <v>1046</v>
      </c>
      <c r="G575" s="27">
        <f t="shared" ref="G575" si="393">J575</f>
        <v>4183500</v>
      </c>
      <c r="H575" s="27">
        <f>L575</f>
        <v>3583500</v>
      </c>
      <c r="I575" s="27">
        <f>N575</f>
        <v>3583500</v>
      </c>
      <c r="J575" s="16">
        <f>'БА в тыс. руб.'!G575*1000</f>
        <v>4183500</v>
      </c>
      <c r="K575" s="169">
        <f t="shared" si="360"/>
        <v>0</v>
      </c>
      <c r="L575" s="16">
        <f>'БА в тыс. руб.'!H575*1000</f>
        <v>3583500</v>
      </c>
      <c r="M575" s="169">
        <f t="shared" si="361"/>
        <v>0</v>
      </c>
      <c r="N575" s="16">
        <f>'БА в тыс. руб.'!I575*1000</f>
        <v>3583500</v>
      </c>
      <c r="O575" s="169">
        <f t="shared" si="362"/>
        <v>0</v>
      </c>
    </row>
    <row r="576" spans="1:15" s="30" customFormat="1">
      <c r="A576" s="13" t="s">
        <v>93</v>
      </c>
      <c r="B576" s="25" t="s">
        <v>69</v>
      </c>
      <c r="C576" s="26" t="s">
        <v>71</v>
      </c>
      <c r="D576" s="26" t="s">
        <v>25</v>
      </c>
      <c r="E576" s="26" t="s">
        <v>632</v>
      </c>
      <c r="F576" s="26" t="s">
        <v>20</v>
      </c>
      <c r="G576" s="27">
        <f>G577</f>
        <v>345290</v>
      </c>
      <c r="H576" s="27">
        <f t="shared" ref="H576:I576" si="394">H577</f>
        <v>345290</v>
      </c>
      <c r="I576" s="27">
        <f t="shared" si="394"/>
        <v>345290</v>
      </c>
      <c r="J576" s="16">
        <f>'БА в тыс. руб.'!G576*1000</f>
        <v>345290</v>
      </c>
      <c r="K576" s="169">
        <f t="shared" si="360"/>
        <v>0</v>
      </c>
      <c r="L576" s="16">
        <f>'БА в тыс. руб.'!H576*1000</f>
        <v>345290</v>
      </c>
      <c r="M576" s="169">
        <f t="shared" si="361"/>
        <v>0</v>
      </c>
      <c r="N576" s="16">
        <f>'БА в тыс. руб.'!I576*1000</f>
        <v>345290</v>
      </c>
      <c r="O576" s="169">
        <f t="shared" si="362"/>
        <v>0</v>
      </c>
    </row>
    <row r="577" spans="1:15" s="83" customFormat="1">
      <c r="A577" s="12" t="s">
        <v>1019</v>
      </c>
      <c r="B577" s="25" t="s">
        <v>69</v>
      </c>
      <c r="C577" s="26" t="s">
        <v>71</v>
      </c>
      <c r="D577" s="26" t="s">
        <v>25</v>
      </c>
      <c r="E577" s="26" t="s">
        <v>632</v>
      </c>
      <c r="F577" s="26" t="s">
        <v>1054</v>
      </c>
      <c r="G577" s="27">
        <f t="shared" ref="G577" si="395">J577</f>
        <v>345290</v>
      </c>
      <c r="H577" s="27">
        <f>L577</f>
        <v>345290</v>
      </c>
      <c r="I577" s="27">
        <f>N577</f>
        <v>345290</v>
      </c>
      <c r="J577" s="16">
        <f>'БА в тыс. руб.'!G577*1000</f>
        <v>345290</v>
      </c>
      <c r="K577" s="169">
        <f t="shared" si="360"/>
        <v>0</v>
      </c>
      <c r="L577" s="16">
        <f>'БА в тыс. руб.'!H577*1000</f>
        <v>345290</v>
      </c>
      <c r="M577" s="169">
        <f t="shared" si="361"/>
        <v>0</v>
      </c>
      <c r="N577" s="16">
        <f>'БА в тыс. руб.'!I577*1000</f>
        <v>345290</v>
      </c>
      <c r="O577" s="169">
        <f t="shared" si="362"/>
        <v>0</v>
      </c>
    </row>
    <row r="578" spans="1:15" s="30" customFormat="1" ht="25.5">
      <c r="A578" s="34" t="s">
        <v>674</v>
      </c>
      <c r="B578" s="35" t="s">
        <v>69</v>
      </c>
      <c r="C578" s="36" t="s">
        <v>71</v>
      </c>
      <c r="D578" s="36" t="s">
        <v>25</v>
      </c>
      <c r="E578" s="36" t="s">
        <v>665</v>
      </c>
      <c r="F578" s="36" t="s">
        <v>58</v>
      </c>
      <c r="G578" s="37">
        <f>G579</f>
        <v>6945850</v>
      </c>
      <c r="H578" s="37">
        <f t="shared" ref="H578:I578" si="396">H579</f>
        <v>6945850</v>
      </c>
      <c r="I578" s="37">
        <f t="shared" si="396"/>
        <v>6945850</v>
      </c>
      <c r="J578" s="16">
        <f>'БА в тыс. руб.'!G578*1000</f>
        <v>6945850</v>
      </c>
      <c r="K578" s="169">
        <f t="shared" si="360"/>
        <v>0</v>
      </c>
      <c r="L578" s="16">
        <f>'БА в тыс. руб.'!H578*1000</f>
        <v>6945850</v>
      </c>
      <c r="M578" s="169">
        <f t="shared" si="361"/>
        <v>0</v>
      </c>
      <c r="N578" s="16">
        <f>'БА в тыс. руб.'!I578*1000</f>
        <v>6945850</v>
      </c>
      <c r="O578" s="169">
        <f t="shared" si="362"/>
        <v>0</v>
      </c>
    </row>
    <row r="579" spans="1:15" s="30" customFormat="1" ht="25.5">
      <c r="A579" s="40" t="s">
        <v>247</v>
      </c>
      <c r="B579" s="35" t="s">
        <v>69</v>
      </c>
      <c r="C579" s="36" t="s">
        <v>71</v>
      </c>
      <c r="D579" s="36" t="s">
        <v>25</v>
      </c>
      <c r="E579" s="36" t="s">
        <v>666</v>
      </c>
      <c r="F579" s="36" t="s">
        <v>58</v>
      </c>
      <c r="G579" s="37">
        <f>SUM(G580:G580)</f>
        <v>6945850</v>
      </c>
      <c r="H579" s="37">
        <f>SUM(H580:H580)</f>
        <v>6945850</v>
      </c>
      <c r="I579" s="37">
        <f>SUM(I580:I580)</f>
        <v>6945850</v>
      </c>
      <c r="J579" s="16">
        <f>'БА в тыс. руб.'!G579*1000</f>
        <v>6945850</v>
      </c>
      <c r="K579" s="169">
        <f t="shared" si="360"/>
        <v>0</v>
      </c>
      <c r="L579" s="16">
        <f>'БА в тыс. руб.'!H579*1000</f>
        <v>6945850</v>
      </c>
      <c r="M579" s="169">
        <f t="shared" si="361"/>
        <v>0</v>
      </c>
      <c r="N579" s="16">
        <f>'БА в тыс. руб.'!I579*1000</f>
        <v>6945850</v>
      </c>
      <c r="O579" s="169">
        <f t="shared" si="362"/>
        <v>0</v>
      </c>
    </row>
    <row r="580" spans="1:15" s="30" customFormat="1">
      <c r="A580" s="40" t="s">
        <v>92</v>
      </c>
      <c r="B580" s="35" t="s">
        <v>69</v>
      </c>
      <c r="C580" s="36" t="s">
        <v>71</v>
      </c>
      <c r="D580" s="36" t="s">
        <v>25</v>
      </c>
      <c r="E580" s="36" t="s">
        <v>666</v>
      </c>
      <c r="F580" s="36" t="s">
        <v>138</v>
      </c>
      <c r="G580" s="27">
        <f>G581</f>
        <v>6945850</v>
      </c>
      <c r="H580" s="27">
        <f t="shared" ref="H580:I580" si="397">H581</f>
        <v>6945850</v>
      </c>
      <c r="I580" s="27">
        <f t="shared" si="397"/>
        <v>6945850</v>
      </c>
      <c r="J580" s="16">
        <f>'БА в тыс. руб.'!G580*1000</f>
        <v>6945850</v>
      </c>
      <c r="K580" s="169">
        <f t="shared" si="360"/>
        <v>0</v>
      </c>
      <c r="L580" s="16">
        <f>'БА в тыс. руб.'!H580*1000</f>
        <v>6945850</v>
      </c>
      <c r="M580" s="169">
        <f t="shared" si="361"/>
        <v>0</v>
      </c>
      <c r="N580" s="16">
        <f>'БА в тыс. руб.'!I580*1000</f>
        <v>6945850</v>
      </c>
      <c r="O580" s="169">
        <f t="shared" si="362"/>
        <v>0</v>
      </c>
    </row>
    <row r="581" spans="1:15" s="83" customFormat="1" ht="38.25">
      <c r="A581" s="12" t="s">
        <v>1015</v>
      </c>
      <c r="B581" s="35" t="s">
        <v>69</v>
      </c>
      <c r="C581" s="36" t="s">
        <v>71</v>
      </c>
      <c r="D581" s="36" t="s">
        <v>25</v>
      </c>
      <c r="E581" s="36" t="s">
        <v>666</v>
      </c>
      <c r="F581" s="36" t="s">
        <v>67</v>
      </c>
      <c r="G581" s="27">
        <f t="shared" ref="G581" si="398">J581</f>
        <v>6945850</v>
      </c>
      <c r="H581" s="27">
        <f>L581</f>
        <v>6945850</v>
      </c>
      <c r="I581" s="27">
        <f>N581</f>
        <v>6945850</v>
      </c>
      <c r="J581" s="16">
        <f>'БА в тыс. руб.'!G581*1000</f>
        <v>6945850</v>
      </c>
      <c r="K581" s="169">
        <f t="shared" si="360"/>
        <v>0</v>
      </c>
      <c r="L581" s="16">
        <f>'БА в тыс. руб.'!H581*1000</f>
        <v>6945850</v>
      </c>
      <c r="M581" s="169">
        <f t="shared" si="361"/>
        <v>0</v>
      </c>
      <c r="N581" s="16">
        <f>'БА в тыс. руб.'!I581*1000</f>
        <v>6945850</v>
      </c>
      <c r="O581" s="169">
        <f t="shared" si="362"/>
        <v>0</v>
      </c>
    </row>
    <row r="582" spans="1:15" s="30" customFormat="1" ht="63.75">
      <c r="A582" s="11" t="s">
        <v>756</v>
      </c>
      <c r="B582" s="25" t="s">
        <v>69</v>
      </c>
      <c r="C582" s="26" t="s">
        <v>71</v>
      </c>
      <c r="D582" s="26" t="s">
        <v>25</v>
      </c>
      <c r="E582" s="26" t="s">
        <v>339</v>
      </c>
      <c r="F582" s="26" t="s">
        <v>58</v>
      </c>
      <c r="G582" s="27">
        <f t="shared" ref="G582:I586" si="399">G583</f>
        <v>73000</v>
      </c>
      <c r="H582" s="27">
        <f t="shared" si="399"/>
        <v>63000</v>
      </c>
      <c r="I582" s="27">
        <f t="shared" si="399"/>
        <v>63000</v>
      </c>
      <c r="J582" s="16">
        <f>'БА в тыс. руб.'!G582*1000</f>
        <v>73000</v>
      </c>
      <c r="K582" s="169">
        <f t="shared" si="360"/>
        <v>0</v>
      </c>
      <c r="L582" s="16">
        <f>'БА в тыс. руб.'!H582*1000</f>
        <v>63000</v>
      </c>
      <c r="M582" s="169">
        <f t="shared" si="361"/>
        <v>0</v>
      </c>
      <c r="N582" s="16">
        <f>'БА в тыс. руб.'!I582*1000</f>
        <v>63000</v>
      </c>
      <c r="O582" s="169">
        <f t="shared" si="362"/>
        <v>0</v>
      </c>
    </row>
    <row r="583" spans="1:15" s="30" customFormat="1" ht="25.5">
      <c r="A583" s="11" t="s">
        <v>136</v>
      </c>
      <c r="B583" s="25" t="s">
        <v>69</v>
      </c>
      <c r="C583" s="26" t="s">
        <v>71</v>
      </c>
      <c r="D583" s="26" t="s">
        <v>25</v>
      </c>
      <c r="E583" s="26" t="s">
        <v>340</v>
      </c>
      <c r="F583" s="26" t="s">
        <v>58</v>
      </c>
      <c r="G583" s="27">
        <f t="shared" si="399"/>
        <v>73000</v>
      </c>
      <c r="H583" s="27">
        <f t="shared" si="399"/>
        <v>63000</v>
      </c>
      <c r="I583" s="27">
        <f t="shared" si="399"/>
        <v>63000</v>
      </c>
      <c r="J583" s="16">
        <f>'БА в тыс. руб.'!G583*1000</f>
        <v>73000</v>
      </c>
      <c r="K583" s="169">
        <f t="shared" si="360"/>
        <v>0</v>
      </c>
      <c r="L583" s="16">
        <f>'БА в тыс. руб.'!H583*1000</f>
        <v>63000</v>
      </c>
      <c r="M583" s="169">
        <f t="shared" si="361"/>
        <v>0</v>
      </c>
      <c r="N583" s="16">
        <f>'БА в тыс. руб.'!I583*1000</f>
        <v>63000</v>
      </c>
      <c r="O583" s="169">
        <f t="shared" si="362"/>
        <v>0</v>
      </c>
    </row>
    <row r="584" spans="1:15" s="30" customFormat="1" ht="25.5">
      <c r="A584" s="11" t="s">
        <v>667</v>
      </c>
      <c r="B584" s="25" t="s">
        <v>69</v>
      </c>
      <c r="C584" s="26" t="s">
        <v>71</v>
      </c>
      <c r="D584" s="26" t="s">
        <v>25</v>
      </c>
      <c r="E584" s="26" t="s">
        <v>609</v>
      </c>
      <c r="F584" s="26" t="s">
        <v>58</v>
      </c>
      <c r="G584" s="27">
        <f t="shared" si="399"/>
        <v>73000</v>
      </c>
      <c r="H584" s="27">
        <f t="shared" si="399"/>
        <v>63000</v>
      </c>
      <c r="I584" s="27">
        <f t="shared" si="399"/>
        <v>63000</v>
      </c>
      <c r="J584" s="16">
        <f>'БА в тыс. руб.'!G584*1000</f>
        <v>73000</v>
      </c>
      <c r="K584" s="169">
        <f t="shared" ref="K584:K647" si="400">J584-G584</f>
        <v>0</v>
      </c>
      <c r="L584" s="16">
        <f>'БА в тыс. руб.'!H584*1000</f>
        <v>63000</v>
      </c>
      <c r="M584" s="169">
        <f t="shared" ref="M584:M647" si="401">L584-H584</f>
        <v>0</v>
      </c>
      <c r="N584" s="16">
        <f>'БА в тыс. руб.'!I584*1000</f>
        <v>63000</v>
      </c>
      <c r="O584" s="169">
        <f t="shared" ref="O584:O647" si="402">N584-I584</f>
        <v>0</v>
      </c>
    </row>
    <row r="585" spans="1:15" s="30" customFormat="1" ht="38.25">
      <c r="A585" s="11" t="s">
        <v>177</v>
      </c>
      <c r="B585" s="25" t="s">
        <v>69</v>
      </c>
      <c r="C585" s="26" t="s">
        <v>71</v>
      </c>
      <c r="D585" s="26" t="s">
        <v>25</v>
      </c>
      <c r="E585" s="26" t="s">
        <v>610</v>
      </c>
      <c r="F585" s="26" t="s">
        <v>58</v>
      </c>
      <c r="G585" s="27">
        <f t="shared" si="399"/>
        <v>73000</v>
      </c>
      <c r="H585" s="27">
        <f t="shared" si="399"/>
        <v>63000</v>
      </c>
      <c r="I585" s="27">
        <f t="shared" si="399"/>
        <v>63000</v>
      </c>
      <c r="J585" s="16">
        <f>'БА в тыс. руб.'!G585*1000</f>
        <v>73000</v>
      </c>
      <c r="K585" s="169">
        <f t="shared" si="400"/>
        <v>0</v>
      </c>
      <c r="L585" s="16">
        <f>'БА в тыс. руб.'!H585*1000</f>
        <v>63000</v>
      </c>
      <c r="M585" s="169">
        <f t="shared" si="401"/>
        <v>0</v>
      </c>
      <c r="N585" s="16">
        <f>'БА в тыс. руб.'!I585*1000</f>
        <v>63000</v>
      </c>
      <c r="O585" s="169">
        <f t="shared" si="402"/>
        <v>0</v>
      </c>
    </row>
    <row r="586" spans="1:15" s="30" customFormat="1">
      <c r="A586" s="13" t="s">
        <v>92</v>
      </c>
      <c r="B586" s="25" t="s">
        <v>69</v>
      </c>
      <c r="C586" s="26" t="s">
        <v>71</v>
      </c>
      <c r="D586" s="26" t="s">
        <v>25</v>
      </c>
      <c r="E586" s="26" t="s">
        <v>610</v>
      </c>
      <c r="F586" s="26" t="s">
        <v>138</v>
      </c>
      <c r="G586" s="27">
        <f>G587</f>
        <v>73000</v>
      </c>
      <c r="H586" s="27">
        <f t="shared" si="399"/>
        <v>63000</v>
      </c>
      <c r="I586" s="27">
        <f t="shared" si="399"/>
        <v>63000</v>
      </c>
      <c r="J586" s="16">
        <f>'БА в тыс. руб.'!G586*1000</f>
        <v>73000</v>
      </c>
      <c r="K586" s="169">
        <f t="shared" si="400"/>
        <v>0</v>
      </c>
      <c r="L586" s="16">
        <f>'БА в тыс. руб.'!H586*1000</f>
        <v>63000</v>
      </c>
      <c r="M586" s="169">
        <f t="shared" si="401"/>
        <v>0</v>
      </c>
      <c r="N586" s="16">
        <f>'БА в тыс. руб.'!I586*1000</f>
        <v>63000</v>
      </c>
      <c r="O586" s="169">
        <f t="shared" si="402"/>
        <v>0</v>
      </c>
    </row>
    <row r="587" spans="1:15" s="83" customFormat="1">
      <c r="A587" s="12" t="s">
        <v>1016</v>
      </c>
      <c r="B587" s="25" t="s">
        <v>69</v>
      </c>
      <c r="C587" s="26" t="s">
        <v>71</v>
      </c>
      <c r="D587" s="26" t="s">
        <v>25</v>
      </c>
      <c r="E587" s="26" t="s">
        <v>610</v>
      </c>
      <c r="F587" s="26" t="s">
        <v>1046</v>
      </c>
      <c r="G587" s="27">
        <f t="shared" ref="G587" si="403">J587</f>
        <v>73000</v>
      </c>
      <c r="H587" s="27">
        <f>L587</f>
        <v>63000</v>
      </c>
      <c r="I587" s="27">
        <f>N587</f>
        <v>63000</v>
      </c>
      <c r="J587" s="16">
        <f>'БА в тыс. руб.'!G587*1000</f>
        <v>73000</v>
      </c>
      <c r="K587" s="169">
        <f t="shared" si="400"/>
        <v>0</v>
      </c>
      <c r="L587" s="16">
        <f>'БА в тыс. руб.'!H587*1000</f>
        <v>63000</v>
      </c>
      <c r="M587" s="169">
        <f t="shared" si="401"/>
        <v>0</v>
      </c>
      <c r="N587" s="16">
        <f>'БА в тыс. руб.'!I587*1000</f>
        <v>63000</v>
      </c>
      <c r="O587" s="169">
        <f t="shared" si="402"/>
        <v>0</v>
      </c>
    </row>
    <row r="588" spans="1:15" s="30" customFormat="1" ht="25.5">
      <c r="A588" s="11" t="s">
        <v>183</v>
      </c>
      <c r="B588" s="25" t="s">
        <v>69</v>
      </c>
      <c r="C588" s="26" t="s">
        <v>71</v>
      </c>
      <c r="D588" s="26" t="s">
        <v>25</v>
      </c>
      <c r="E588" s="26" t="s">
        <v>358</v>
      </c>
      <c r="F588" s="26" t="s">
        <v>58</v>
      </c>
      <c r="G588" s="27">
        <f>G589</f>
        <v>25677170</v>
      </c>
      <c r="H588" s="27">
        <f>H589</f>
        <v>25692810</v>
      </c>
      <c r="I588" s="27">
        <f>I589</f>
        <v>25692810</v>
      </c>
      <c r="J588" s="16">
        <f>'БА в тыс. руб.'!G588*1000</f>
        <v>25677170</v>
      </c>
      <c r="K588" s="169">
        <f t="shared" si="400"/>
        <v>0</v>
      </c>
      <c r="L588" s="16">
        <f>'БА в тыс. руб.'!H588*1000</f>
        <v>25692810.000000004</v>
      </c>
      <c r="M588" s="169">
        <f t="shared" si="401"/>
        <v>0</v>
      </c>
      <c r="N588" s="16">
        <f>'БА в тыс. руб.'!I588*1000</f>
        <v>25692810.000000004</v>
      </c>
      <c r="O588" s="169">
        <f t="shared" si="402"/>
        <v>0</v>
      </c>
    </row>
    <row r="589" spans="1:15" s="30" customFormat="1" ht="25.5">
      <c r="A589" s="11" t="s">
        <v>184</v>
      </c>
      <c r="B589" s="25" t="s">
        <v>69</v>
      </c>
      <c r="C589" s="26" t="s">
        <v>71</v>
      </c>
      <c r="D589" s="26" t="s">
        <v>25</v>
      </c>
      <c r="E589" s="26" t="s">
        <v>359</v>
      </c>
      <c r="F589" s="26" t="s">
        <v>58</v>
      </c>
      <c r="G589" s="27">
        <f>G590+G599+G603</f>
        <v>25677170</v>
      </c>
      <c r="H589" s="27">
        <f>H590+H599+H603</f>
        <v>25692810</v>
      </c>
      <c r="I589" s="27">
        <f>I590+I599+I603</f>
        <v>25692810</v>
      </c>
      <c r="J589" s="16">
        <f>'БА в тыс. руб.'!G589*1000</f>
        <v>25677170</v>
      </c>
      <c r="K589" s="169">
        <f t="shared" si="400"/>
        <v>0</v>
      </c>
      <c r="L589" s="16">
        <f>'БА в тыс. руб.'!H589*1000</f>
        <v>25692810.000000004</v>
      </c>
      <c r="M589" s="169">
        <f t="shared" si="401"/>
        <v>0</v>
      </c>
      <c r="N589" s="16">
        <f>'БА в тыс. руб.'!I589*1000</f>
        <v>25692810.000000004</v>
      </c>
      <c r="O589" s="169">
        <f t="shared" si="402"/>
        <v>0</v>
      </c>
    </row>
    <row r="590" spans="1:15" s="30" customFormat="1" ht="25.5">
      <c r="A590" s="11" t="s">
        <v>114</v>
      </c>
      <c r="B590" s="25" t="s">
        <v>69</v>
      </c>
      <c r="C590" s="26" t="s">
        <v>71</v>
      </c>
      <c r="D590" s="26" t="s">
        <v>25</v>
      </c>
      <c r="E590" s="26" t="s">
        <v>360</v>
      </c>
      <c r="F590" s="26" t="s">
        <v>58</v>
      </c>
      <c r="G590" s="27">
        <f>G591+G594+G596</f>
        <v>2408170</v>
      </c>
      <c r="H590" s="27">
        <f t="shared" ref="H590:I590" si="404">H591+H594+H596</f>
        <v>2423810</v>
      </c>
      <c r="I590" s="27">
        <f t="shared" si="404"/>
        <v>2423810</v>
      </c>
      <c r="J590" s="16">
        <f>'БА в тыс. руб.'!G590*1000</f>
        <v>2408169.9999999995</v>
      </c>
      <c r="K590" s="169">
        <f t="shared" si="400"/>
        <v>0</v>
      </c>
      <c r="L590" s="16">
        <f>'БА в тыс. руб.'!H590*1000</f>
        <v>2423810</v>
      </c>
      <c r="M590" s="169">
        <f t="shared" si="401"/>
        <v>0</v>
      </c>
      <c r="N590" s="16">
        <f>'БА в тыс. руб.'!I590*1000</f>
        <v>2423810</v>
      </c>
      <c r="O590" s="169">
        <f t="shared" si="402"/>
        <v>0</v>
      </c>
    </row>
    <row r="591" spans="1:15" s="30" customFormat="1" ht="25.5">
      <c r="A591" s="11" t="s">
        <v>362</v>
      </c>
      <c r="B591" s="25" t="s">
        <v>69</v>
      </c>
      <c r="C591" s="26" t="s">
        <v>71</v>
      </c>
      <c r="D591" s="26" t="s">
        <v>25</v>
      </c>
      <c r="E591" s="26" t="s">
        <v>360</v>
      </c>
      <c r="F591" s="26" t="s">
        <v>115</v>
      </c>
      <c r="G591" s="27">
        <f>SUM(G592:G593)</f>
        <v>680160</v>
      </c>
      <c r="H591" s="27">
        <f t="shared" ref="H591:I591" si="405">SUM(H592:H593)</f>
        <v>680160</v>
      </c>
      <c r="I591" s="27">
        <f t="shared" si="405"/>
        <v>680160</v>
      </c>
      <c r="J591" s="16">
        <f>'БА в тыс. руб.'!G591*1000</f>
        <v>680160</v>
      </c>
      <c r="K591" s="169">
        <f t="shared" si="400"/>
        <v>0</v>
      </c>
      <c r="L591" s="16">
        <f>'БА в тыс. руб.'!H591*1000</f>
        <v>680160</v>
      </c>
      <c r="M591" s="169">
        <f t="shared" si="401"/>
        <v>0</v>
      </c>
      <c r="N591" s="16">
        <f>'БА в тыс. руб.'!I591*1000</f>
        <v>680160</v>
      </c>
      <c r="O591" s="169">
        <f t="shared" si="402"/>
        <v>0</v>
      </c>
    </row>
    <row r="592" spans="1:15" s="83" customFormat="1" ht="25.5">
      <c r="A592" s="12" t="s">
        <v>937</v>
      </c>
      <c r="B592" s="25" t="s">
        <v>69</v>
      </c>
      <c r="C592" s="26" t="s">
        <v>71</v>
      </c>
      <c r="D592" s="26" t="s">
        <v>25</v>
      </c>
      <c r="E592" s="26" t="s">
        <v>360</v>
      </c>
      <c r="F592" s="26" t="s">
        <v>1059</v>
      </c>
      <c r="G592" s="27">
        <f t="shared" ref="G592:G593" si="406">J592</f>
        <v>522400</v>
      </c>
      <c r="H592" s="27">
        <f t="shared" ref="H592:H593" si="407">L592</f>
        <v>522400</v>
      </c>
      <c r="I592" s="27">
        <f t="shared" ref="I592:I593" si="408">N592</f>
        <v>522400</v>
      </c>
      <c r="J592" s="16">
        <f>'БА в тыс. руб.'!G592*1000</f>
        <v>522400</v>
      </c>
      <c r="K592" s="169">
        <f t="shared" si="400"/>
        <v>0</v>
      </c>
      <c r="L592" s="16">
        <f>'БА в тыс. руб.'!H592*1000</f>
        <v>522400</v>
      </c>
      <c r="M592" s="169">
        <f t="shared" si="401"/>
        <v>0</v>
      </c>
      <c r="N592" s="16">
        <f>'БА в тыс. руб.'!I592*1000</f>
        <v>522400</v>
      </c>
      <c r="O592" s="169">
        <f t="shared" si="402"/>
        <v>0</v>
      </c>
    </row>
    <row r="593" spans="1:15" s="83" customFormat="1" ht="38.25">
      <c r="A593" s="12" t="s">
        <v>939</v>
      </c>
      <c r="B593" s="25" t="s">
        <v>69</v>
      </c>
      <c r="C593" s="26" t="s">
        <v>71</v>
      </c>
      <c r="D593" s="26" t="s">
        <v>25</v>
      </c>
      <c r="E593" s="26" t="s">
        <v>360</v>
      </c>
      <c r="F593" s="26" t="s">
        <v>1060</v>
      </c>
      <c r="G593" s="27">
        <f t="shared" si="406"/>
        <v>157760</v>
      </c>
      <c r="H593" s="27">
        <f t="shared" si="407"/>
        <v>157760</v>
      </c>
      <c r="I593" s="27">
        <f t="shared" si="408"/>
        <v>157760</v>
      </c>
      <c r="J593" s="16">
        <f>'БА в тыс. руб.'!G593*1000</f>
        <v>157760</v>
      </c>
      <c r="K593" s="169">
        <f t="shared" si="400"/>
        <v>0</v>
      </c>
      <c r="L593" s="16">
        <f>'БА в тыс. руб.'!H593*1000</f>
        <v>157760</v>
      </c>
      <c r="M593" s="169">
        <f t="shared" si="401"/>
        <v>0</v>
      </c>
      <c r="N593" s="16">
        <f>'БА в тыс. руб.'!I593*1000</f>
        <v>157760</v>
      </c>
      <c r="O593" s="169">
        <f t="shared" si="402"/>
        <v>0</v>
      </c>
    </row>
    <row r="594" spans="1:15" s="30" customFormat="1" ht="25.5">
      <c r="A594" s="11" t="s">
        <v>108</v>
      </c>
      <c r="B594" s="25" t="s">
        <v>69</v>
      </c>
      <c r="C594" s="26" t="s">
        <v>71</v>
      </c>
      <c r="D594" s="26" t="s">
        <v>25</v>
      </c>
      <c r="E594" s="26" t="s">
        <v>360</v>
      </c>
      <c r="F594" s="26" t="s">
        <v>116</v>
      </c>
      <c r="G594" s="27">
        <f>G595</f>
        <v>1685870</v>
      </c>
      <c r="H594" s="27">
        <f t="shared" ref="H594:I594" si="409">H595</f>
        <v>1701510</v>
      </c>
      <c r="I594" s="27">
        <f t="shared" si="409"/>
        <v>1701510</v>
      </c>
      <c r="J594" s="16">
        <f>'БА в тыс. руб.'!G594*1000</f>
        <v>1685870</v>
      </c>
      <c r="K594" s="169">
        <f t="shared" si="400"/>
        <v>0</v>
      </c>
      <c r="L594" s="16">
        <f>'БА в тыс. руб.'!H594*1000</f>
        <v>1701510</v>
      </c>
      <c r="M594" s="169">
        <f t="shared" si="401"/>
        <v>0</v>
      </c>
      <c r="N594" s="16">
        <f>'БА в тыс. руб.'!I594*1000</f>
        <v>1701510</v>
      </c>
      <c r="O594" s="169">
        <f t="shared" si="402"/>
        <v>0</v>
      </c>
    </row>
    <row r="595" spans="1:15" s="83" customFormat="1" ht="25.5">
      <c r="A595" s="12" t="s">
        <v>973</v>
      </c>
      <c r="B595" s="25" t="s">
        <v>69</v>
      </c>
      <c r="C595" s="26" t="s">
        <v>71</v>
      </c>
      <c r="D595" s="26" t="s">
        <v>25</v>
      </c>
      <c r="E595" s="26" t="s">
        <v>360</v>
      </c>
      <c r="F595" s="26" t="s">
        <v>1043</v>
      </c>
      <c r="G595" s="27">
        <f t="shared" ref="G595" si="410">J595</f>
        <v>1685870</v>
      </c>
      <c r="H595" s="27">
        <f>L595</f>
        <v>1701510</v>
      </c>
      <c r="I595" s="27">
        <f>N595</f>
        <v>1701510</v>
      </c>
      <c r="J595" s="16">
        <f>'БА в тыс. руб.'!G595*1000</f>
        <v>1685870</v>
      </c>
      <c r="K595" s="169">
        <f t="shared" si="400"/>
        <v>0</v>
      </c>
      <c r="L595" s="16">
        <f>'БА в тыс. руб.'!H595*1000</f>
        <v>1701510</v>
      </c>
      <c r="M595" s="169">
        <f t="shared" si="401"/>
        <v>0</v>
      </c>
      <c r="N595" s="16">
        <f>'БА в тыс. руб.'!I595*1000</f>
        <v>1701510</v>
      </c>
      <c r="O595" s="169">
        <f t="shared" si="402"/>
        <v>0</v>
      </c>
    </row>
    <row r="596" spans="1:15" s="30" customFormat="1">
      <c r="A596" s="11" t="s">
        <v>97</v>
      </c>
      <c r="B596" s="25" t="s">
        <v>69</v>
      </c>
      <c r="C596" s="26" t="s">
        <v>71</v>
      </c>
      <c r="D596" s="26" t="s">
        <v>25</v>
      </c>
      <c r="E596" s="26" t="s">
        <v>360</v>
      </c>
      <c r="F596" s="26" t="s">
        <v>118</v>
      </c>
      <c r="G596" s="27">
        <f>SUM(G597:G598)</f>
        <v>42140</v>
      </c>
      <c r="H596" s="27">
        <f t="shared" ref="H596:I596" si="411">SUM(H597:H598)</f>
        <v>42140</v>
      </c>
      <c r="I596" s="27">
        <f t="shared" si="411"/>
        <v>42140</v>
      </c>
      <c r="J596" s="16">
        <f>'БА в тыс. руб.'!G596*1000</f>
        <v>42140</v>
      </c>
      <c r="K596" s="169">
        <f t="shared" si="400"/>
        <v>0</v>
      </c>
      <c r="L596" s="16">
        <f>'БА в тыс. руб.'!H596*1000</f>
        <v>42140</v>
      </c>
      <c r="M596" s="169">
        <f t="shared" si="401"/>
        <v>0</v>
      </c>
      <c r="N596" s="16">
        <f>'БА в тыс. руб.'!I596*1000</f>
        <v>42140</v>
      </c>
      <c r="O596" s="169">
        <f t="shared" si="402"/>
        <v>0</v>
      </c>
    </row>
    <row r="597" spans="1:15" s="83" customFormat="1">
      <c r="A597" s="12" t="s">
        <v>1036</v>
      </c>
      <c r="B597" s="25" t="s">
        <v>69</v>
      </c>
      <c r="C597" s="26" t="s">
        <v>71</v>
      </c>
      <c r="D597" s="26" t="s">
        <v>25</v>
      </c>
      <c r="E597" s="26" t="s">
        <v>360</v>
      </c>
      <c r="F597" s="26" t="s">
        <v>1061</v>
      </c>
      <c r="G597" s="27">
        <f t="shared" ref="G597:G598" si="412">J597</f>
        <v>40240</v>
      </c>
      <c r="H597" s="27">
        <f t="shared" ref="H597:H598" si="413">L597</f>
        <v>40240</v>
      </c>
      <c r="I597" s="27">
        <f t="shared" ref="I597:I598" si="414">N597</f>
        <v>40240</v>
      </c>
      <c r="J597" s="16">
        <f>'БА в тыс. руб.'!G597*1000</f>
        <v>40240</v>
      </c>
      <c r="K597" s="169">
        <f t="shared" si="400"/>
        <v>0</v>
      </c>
      <c r="L597" s="16">
        <f>'БА в тыс. руб.'!H597*1000</f>
        <v>40240</v>
      </c>
      <c r="M597" s="169">
        <f t="shared" si="401"/>
        <v>0</v>
      </c>
      <c r="N597" s="16">
        <f>'БА в тыс. руб.'!I597*1000</f>
        <v>40240</v>
      </c>
      <c r="O597" s="169">
        <f t="shared" si="402"/>
        <v>0</v>
      </c>
    </row>
    <row r="598" spans="1:15" s="83" customFormat="1">
      <c r="A598" s="12" t="s">
        <v>1037</v>
      </c>
      <c r="B598" s="25" t="s">
        <v>69</v>
      </c>
      <c r="C598" s="26" t="s">
        <v>71</v>
      </c>
      <c r="D598" s="26" t="s">
        <v>25</v>
      </c>
      <c r="E598" s="26" t="s">
        <v>360</v>
      </c>
      <c r="F598" s="26" t="s">
        <v>1062</v>
      </c>
      <c r="G598" s="27">
        <f t="shared" si="412"/>
        <v>1900</v>
      </c>
      <c r="H598" s="27">
        <f t="shared" si="413"/>
        <v>1900</v>
      </c>
      <c r="I598" s="27">
        <f t="shared" si="414"/>
        <v>1900</v>
      </c>
      <c r="J598" s="16">
        <f>'БА в тыс. руб.'!G598*1000</f>
        <v>1900</v>
      </c>
      <c r="K598" s="169">
        <f t="shared" si="400"/>
        <v>0</v>
      </c>
      <c r="L598" s="16">
        <f>'БА в тыс. руб.'!H598*1000</f>
        <v>1900</v>
      </c>
      <c r="M598" s="169">
        <f t="shared" si="401"/>
        <v>0</v>
      </c>
      <c r="N598" s="16">
        <f>'БА в тыс. руб.'!I598*1000</f>
        <v>1900</v>
      </c>
      <c r="O598" s="169">
        <f t="shared" si="402"/>
        <v>0</v>
      </c>
    </row>
    <row r="599" spans="1:15" s="30" customFormat="1" ht="25.5">
      <c r="A599" s="11" t="s">
        <v>126</v>
      </c>
      <c r="B599" s="25" t="s">
        <v>69</v>
      </c>
      <c r="C599" s="26" t="s">
        <v>71</v>
      </c>
      <c r="D599" s="26" t="s">
        <v>25</v>
      </c>
      <c r="E599" s="26" t="s">
        <v>361</v>
      </c>
      <c r="F599" s="26" t="s">
        <v>58</v>
      </c>
      <c r="G599" s="27">
        <f>G600</f>
        <v>21297580</v>
      </c>
      <c r="H599" s="27">
        <f>H600</f>
        <v>21297580</v>
      </c>
      <c r="I599" s="27">
        <f>I600</f>
        <v>21297580</v>
      </c>
      <c r="J599" s="16">
        <f>'БА в тыс. руб.'!G599*1000</f>
        <v>21297580</v>
      </c>
      <c r="K599" s="169">
        <f t="shared" si="400"/>
        <v>0</v>
      </c>
      <c r="L599" s="16">
        <f>'БА в тыс. руб.'!H599*1000</f>
        <v>21297580</v>
      </c>
      <c r="M599" s="169">
        <f t="shared" si="401"/>
        <v>0</v>
      </c>
      <c r="N599" s="16">
        <f>'БА в тыс. руб.'!I599*1000</f>
        <v>21297580</v>
      </c>
      <c r="O599" s="169">
        <f t="shared" si="402"/>
        <v>0</v>
      </c>
    </row>
    <row r="600" spans="1:15" s="30" customFormat="1" ht="25.5">
      <c r="A600" s="11" t="s">
        <v>362</v>
      </c>
      <c r="B600" s="25" t="s">
        <v>69</v>
      </c>
      <c r="C600" s="26" t="s">
        <v>71</v>
      </c>
      <c r="D600" s="26" t="s">
        <v>25</v>
      </c>
      <c r="E600" s="26" t="s">
        <v>361</v>
      </c>
      <c r="F600" s="26" t="s">
        <v>115</v>
      </c>
      <c r="G600" s="27">
        <f>SUM(G601:G602)</f>
        <v>21297580</v>
      </c>
      <c r="H600" s="27">
        <f t="shared" ref="H600:I600" si="415">SUM(H601:H602)</f>
        <v>21297580</v>
      </c>
      <c r="I600" s="27">
        <f t="shared" si="415"/>
        <v>21297580</v>
      </c>
      <c r="J600" s="16">
        <f>'БА в тыс. руб.'!G600*1000</f>
        <v>21297580</v>
      </c>
      <c r="K600" s="169">
        <f t="shared" si="400"/>
        <v>0</v>
      </c>
      <c r="L600" s="16">
        <f>'БА в тыс. руб.'!H600*1000</f>
        <v>21297580</v>
      </c>
      <c r="M600" s="169">
        <f t="shared" si="401"/>
        <v>0</v>
      </c>
      <c r="N600" s="16">
        <f>'БА в тыс. руб.'!I600*1000</f>
        <v>21297580</v>
      </c>
      <c r="O600" s="169">
        <f t="shared" si="402"/>
        <v>0</v>
      </c>
    </row>
    <row r="601" spans="1:15" s="83" customFormat="1">
      <c r="A601" s="12" t="s">
        <v>936</v>
      </c>
      <c r="B601" s="25" t="s">
        <v>69</v>
      </c>
      <c r="C601" s="26" t="s">
        <v>71</v>
      </c>
      <c r="D601" s="26" t="s">
        <v>25</v>
      </c>
      <c r="E601" s="26" t="s">
        <v>361</v>
      </c>
      <c r="F601" s="26" t="s">
        <v>1063</v>
      </c>
      <c r="G601" s="27">
        <f t="shared" ref="G601:G602" si="416">J601</f>
        <v>16357590</v>
      </c>
      <c r="H601" s="27">
        <f t="shared" ref="H601:H602" si="417">L601</f>
        <v>16357590</v>
      </c>
      <c r="I601" s="27">
        <f t="shared" ref="I601:I602" si="418">N601</f>
        <v>16357590</v>
      </c>
      <c r="J601" s="16">
        <f>'БА в тыс. руб.'!G601*1000</f>
        <v>16357590</v>
      </c>
      <c r="K601" s="169">
        <f t="shared" si="400"/>
        <v>0</v>
      </c>
      <c r="L601" s="16">
        <f>'БА в тыс. руб.'!H601*1000</f>
        <v>16357590</v>
      </c>
      <c r="M601" s="169">
        <f t="shared" si="401"/>
        <v>0</v>
      </c>
      <c r="N601" s="16">
        <f>'БА в тыс. руб.'!I601*1000</f>
        <v>16357590</v>
      </c>
      <c r="O601" s="169">
        <f t="shared" si="402"/>
        <v>0</v>
      </c>
    </row>
    <row r="602" spans="1:15" s="83" customFormat="1" ht="38.25">
      <c r="A602" s="12" t="s">
        <v>939</v>
      </c>
      <c r="B602" s="25" t="s">
        <v>69</v>
      </c>
      <c r="C602" s="26" t="s">
        <v>71</v>
      </c>
      <c r="D602" s="26" t="s">
        <v>25</v>
      </c>
      <c r="E602" s="26" t="s">
        <v>361</v>
      </c>
      <c r="F602" s="26" t="s">
        <v>1060</v>
      </c>
      <c r="G602" s="27">
        <f t="shared" si="416"/>
        <v>4939990</v>
      </c>
      <c r="H602" s="27">
        <f t="shared" si="417"/>
        <v>4939990</v>
      </c>
      <c r="I602" s="27">
        <f t="shared" si="418"/>
        <v>4939990</v>
      </c>
      <c r="J602" s="16">
        <f>'БА в тыс. руб.'!G602*1000</f>
        <v>4939990</v>
      </c>
      <c r="K602" s="169">
        <f t="shared" si="400"/>
        <v>0</v>
      </c>
      <c r="L602" s="16">
        <f>'БА в тыс. руб.'!H602*1000</f>
        <v>4939990</v>
      </c>
      <c r="M602" s="169">
        <f t="shared" si="401"/>
        <v>0</v>
      </c>
      <c r="N602" s="16">
        <f>'БА в тыс. руб.'!I602*1000</f>
        <v>4939990</v>
      </c>
      <c r="O602" s="169">
        <f t="shared" si="402"/>
        <v>0</v>
      </c>
    </row>
    <row r="603" spans="1:15" s="30" customFormat="1" ht="51">
      <c r="A603" s="11" t="s">
        <v>598</v>
      </c>
      <c r="B603" s="25" t="s">
        <v>69</v>
      </c>
      <c r="C603" s="26" t="s">
        <v>71</v>
      </c>
      <c r="D603" s="26" t="s">
        <v>25</v>
      </c>
      <c r="E603" s="26" t="s">
        <v>363</v>
      </c>
      <c r="F603" s="26" t="s">
        <v>58</v>
      </c>
      <c r="G603" s="27">
        <f>G604</f>
        <v>1971420</v>
      </c>
      <c r="H603" s="27">
        <f>H604</f>
        <v>1971420</v>
      </c>
      <c r="I603" s="27">
        <f>I604</f>
        <v>1971420</v>
      </c>
      <c r="J603" s="16">
        <f>'БА в тыс. руб.'!G603*1000</f>
        <v>1971420</v>
      </c>
      <c r="K603" s="169">
        <f t="shared" si="400"/>
        <v>0</v>
      </c>
      <c r="L603" s="16">
        <f>'БА в тыс. руб.'!H603*1000</f>
        <v>1971420</v>
      </c>
      <c r="M603" s="169">
        <f t="shared" si="401"/>
        <v>0</v>
      </c>
      <c r="N603" s="16">
        <f>'БА в тыс. руб.'!I603*1000</f>
        <v>1971420</v>
      </c>
      <c r="O603" s="169">
        <f t="shared" si="402"/>
        <v>0</v>
      </c>
    </row>
    <row r="604" spans="1:15" s="30" customFormat="1" ht="25.5">
      <c r="A604" s="11" t="s">
        <v>362</v>
      </c>
      <c r="B604" s="25" t="s">
        <v>69</v>
      </c>
      <c r="C604" s="26" t="s">
        <v>71</v>
      </c>
      <c r="D604" s="26" t="s">
        <v>25</v>
      </c>
      <c r="E604" s="26" t="s">
        <v>363</v>
      </c>
      <c r="F604" s="26" t="s">
        <v>115</v>
      </c>
      <c r="G604" s="27">
        <f>SUM(G605:G607)</f>
        <v>1971420</v>
      </c>
      <c r="H604" s="27">
        <f t="shared" ref="H604:I604" si="419">SUM(H605:H607)</f>
        <v>1971420</v>
      </c>
      <c r="I604" s="27">
        <f t="shared" si="419"/>
        <v>1971420</v>
      </c>
      <c r="J604" s="16">
        <f>'БА в тыс. руб.'!G604*1000</f>
        <v>1971420</v>
      </c>
      <c r="K604" s="169">
        <f t="shared" si="400"/>
        <v>0</v>
      </c>
      <c r="L604" s="16">
        <f>'БА в тыс. руб.'!H604*1000</f>
        <v>1971420</v>
      </c>
      <c r="M604" s="169">
        <f t="shared" si="401"/>
        <v>0</v>
      </c>
      <c r="N604" s="16">
        <f>'БА в тыс. руб.'!I604*1000</f>
        <v>1971420</v>
      </c>
      <c r="O604" s="169">
        <f t="shared" si="402"/>
        <v>0</v>
      </c>
    </row>
    <row r="605" spans="1:15" s="83" customFormat="1">
      <c r="A605" s="12" t="s">
        <v>936</v>
      </c>
      <c r="B605" s="25" t="s">
        <v>69</v>
      </c>
      <c r="C605" s="26" t="s">
        <v>71</v>
      </c>
      <c r="D605" s="26" t="s">
        <v>25</v>
      </c>
      <c r="E605" s="26" t="s">
        <v>363</v>
      </c>
      <c r="F605" s="26" t="s">
        <v>1063</v>
      </c>
      <c r="G605" s="27">
        <f t="shared" ref="G605:G607" si="420">J605</f>
        <v>1449860</v>
      </c>
      <c r="H605" s="27">
        <f t="shared" ref="H605:H607" si="421">L605</f>
        <v>1449860</v>
      </c>
      <c r="I605" s="27">
        <f t="shared" ref="I605:I607" si="422">N605</f>
        <v>1449860</v>
      </c>
      <c r="J605" s="16">
        <f>'БА в тыс. руб.'!G605*1000</f>
        <v>1449860</v>
      </c>
      <c r="K605" s="169">
        <f t="shared" si="400"/>
        <v>0</v>
      </c>
      <c r="L605" s="16">
        <f>'БА в тыс. руб.'!H605*1000</f>
        <v>1449860</v>
      </c>
      <c r="M605" s="169">
        <f t="shared" si="401"/>
        <v>0</v>
      </c>
      <c r="N605" s="16">
        <f>'БА в тыс. руб.'!I605*1000</f>
        <v>1449860</v>
      </c>
      <c r="O605" s="169">
        <f t="shared" si="402"/>
        <v>0</v>
      </c>
    </row>
    <row r="606" spans="1:15" s="83" customFormat="1" ht="25.5">
      <c r="A606" s="12" t="s">
        <v>937</v>
      </c>
      <c r="B606" s="25" t="s">
        <v>69</v>
      </c>
      <c r="C606" s="26" t="s">
        <v>71</v>
      </c>
      <c r="D606" s="26" t="s">
        <v>25</v>
      </c>
      <c r="E606" s="26" t="s">
        <v>363</v>
      </c>
      <c r="F606" s="26" t="s">
        <v>1059</v>
      </c>
      <c r="G606" s="27">
        <f t="shared" si="420"/>
        <v>64430.000000000007</v>
      </c>
      <c r="H606" s="27">
        <f t="shared" si="421"/>
        <v>64430.000000000007</v>
      </c>
      <c r="I606" s="27">
        <f t="shared" si="422"/>
        <v>64430.000000000007</v>
      </c>
      <c r="J606" s="16">
        <f>'БА в тыс. руб.'!G606*1000</f>
        <v>64430.000000000007</v>
      </c>
      <c r="K606" s="169"/>
      <c r="L606" s="16">
        <f>'БА в тыс. руб.'!H606*1000</f>
        <v>64430.000000000007</v>
      </c>
      <c r="M606" s="169"/>
      <c r="N606" s="16">
        <f>'БА в тыс. руб.'!I606*1000</f>
        <v>64430.000000000007</v>
      </c>
      <c r="O606" s="169"/>
    </row>
    <row r="607" spans="1:15" s="83" customFormat="1" ht="38.25">
      <c r="A607" s="12" t="s">
        <v>939</v>
      </c>
      <c r="B607" s="25" t="s">
        <v>69</v>
      </c>
      <c r="C607" s="26" t="s">
        <v>71</v>
      </c>
      <c r="D607" s="26" t="s">
        <v>25</v>
      </c>
      <c r="E607" s="26" t="s">
        <v>363</v>
      </c>
      <c r="F607" s="26" t="s">
        <v>1060</v>
      </c>
      <c r="G607" s="27">
        <f t="shared" si="420"/>
        <v>457130</v>
      </c>
      <c r="H607" s="27">
        <f t="shared" si="421"/>
        <v>457130</v>
      </c>
      <c r="I607" s="27">
        <f t="shared" si="422"/>
        <v>457130</v>
      </c>
      <c r="J607" s="16">
        <f>'БА в тыс. руб.'!G607*1000</f>
        <v>457130</v>
      </c>
      <c r="K607" s="169">
        <f t="shared" si="400"/>
        <v>0</v>
      </c>
      <c r="L607" s="16">
        <f>'БА в тыс. руб.'!H607*1000</f>
        <v>457130</v>
      </c>
      <c r="M607" s="169">
        <f t="shared" si="401"/>
        <v>0</v>
      </c>
      <c r="N607" s="16">
        <f>'БА в тыс. руб.'!I607*1000</f>
        <v>457130</v>
      </c>
      <c r="O607" s="169">
        <f t="shared" si="402"/>
        <v>0</v>
      </c>
    </row>
    <row r="608" spans="1:15" s="30" customFormat="1">
      <c r="A608" s="17" t="s">
        <v>49</v>
      </c>
      <c r="B608" s="18" t="s">
        <v>69</v>
      </c>
      <c r="C608" s="19" t="s">
        <v>14</v>
      </c>
      <c r="D608" s="19" t="s">
        <v>51</v>
      </c>
      <c r="E608" s="19" t="s">
        <v>196</v>
      </c>
      <c r="F608" s="19" t="s">
        <v>58</v>
      </c>
      <c r="G608" s="20">
        <f t="shared" ref="G608:I610" si="423">G609</f>
        <v>114471410</v>
      </c>
      <c r="H608" s="20">
        <f t="shared" si="423"/>
        <v>114471410</v>
      </c>
      <c r="I608" s="20">
        <f t="shared" si="423"/>
        <v>114471410</v>
      </c>
      <c r="J608" s="16">
        <f>'БА в тыс. руб.'!G608*1000</f>
        <v>114471410</v>
      </c>
      <c r="K608" s="169">
        <f t="shared" si="400"/>
        <v>0</v>
      </c>
      <c r="L608" s="16">
        <f>'БА в тыс. руб.'!H608*1000</f>
        <v>114471410</v>
      </c>
      <c r="M608" s="169">
        <f t="shared" si="401"/>
        <v>0</v>
      </c>
      <c r="N608" s="16">
        <f>'БА в тыс. руб.'!I608*1000</f>
        <v>114471410</v>
      </c>
      <c r="O608" s="169">
        <f t="shared" si="402"/>
        <v>0</v>
      </c>
    </row>
    <row r="609" spans="1:15" s="30" customFormat="1">
      <c r="A609" s="21" t="s">
        <v>22</v>
      </c>
      <c r="B609" s="22" t="s">
        <v>69</v>
      </c>
      <c r="C609" s="23" t="s">
        <v>14</v>
      </c>
      <c r="D609" s="23" t="s">
        <v>37</v>
      </c>
      <c r="E609" s="23" t="s">
        <v>196</v>
      </c>
      <c r="F609" s="23" t="s">
        <v>58</v>
      </c>
      <c r="G609" s="24">
        <f t="shared" si="423"/>
        <v>114471410</v>
      </c>
      <c r="H609" s="24">
        <f t="shared" si="423"/>
        <v>114471410</v>
      </c>
      <c r="I609" s="24">
        <f t="shared" si="423"/>
        <v>114471410</v>
      </c>
      <c r="J609" s="16">
        <f>'БА в тыс. руб.'!G609*1000</f>
        <v>114471410</v>
      </c>
      <c r="K609" s="169">
        <f t="shared" si="400"/>
        <v>0</v>
      </c>
      <c r="L609" s="16">
        <f>'БА в тыс. руб.'!H609*1000</f>
        <v>114471410</v>
      </c>
      <c r="M609" s="169">
        <f t="shared" si="401"/>
        <v>0</v>
      </c>
      <c r="N609" s="16">
        <f>'БА в тыс. руб.'!I609*1000</f>
        <v>114471410</v>
      </c>
      <c r="O609" s="169">
        <f t="shared" si="402"/>
        <v>0</v>
      </c>
    </row>
    <row r="610" spans="1:15" s="30" customFormat="1" ht="25.5">
      <c r="A610" s="13" t="s">
        <v>723</v>
      </c>
      <c r="B610" s="25" t="s">
        <v>69</v>
      </c>
      <c r="C610" s="26" t="s">
        <v>14</v>
      </c>
      <c r="D610" s="26" t="s">
        <v>37</v>
      </c>
      <c r="E610" s="26" t="s">
        <v>331</v>
      </c>
      <c r="F610" s="26" t="s">
        <v>58</v>
      </c>
      <c r="G610" s="27">
        <f t="shared" si="423"/>
        <v>114471410</v>
      </c>
      <c r="H610" s="27">
        <f t="shared" si="423"/>
        <v>114471410</v>
      </c>
      <c r="I610" s="27">
        <f t="shared" si="423"/>
        <v>114471410</v>
      </c>
      <c r="J610" s="16">
        <f>'БА в тыс. руб.'!G610*1000</f>
        <v>114471410</v>
      </c>
      <c r="K610" s="169">
        <f t="shared" si="400"/>
        <v>0</v>
      </c>
      <c r="L610" s="16">
        <f>'БА в тыс. руб.'!H610*1000</f>
        <v>114471410</v>
      </c>
      <c r="M610" s="169">
        <f t="shared" si="401"/>
        <v>0</v>
      </c>
      <c r="N610" s="16">
        <f>'БА в тыс. руб.'!I610*1000</f>
        <v>114471410</v>
      </c>
      <c r="O610" s="169">
        <f t="shared" si="402"/>
        <v>0</v>
      </c>
    </row>
    <row r="611" spans="1:15" s="30" customFormat="1" ht="25.5">
      <c r="A611" s="13" t="s">
        <v>860</v>
      </c>
      <c r="B611" s="25" t="s">
        <v>69</v>
      </c>
      <c r="C611" s="26" t="s">
        <v>14</v>
      </c>
      <c r="D611" s="26" t="s">
        <v>37</v>
      </c>
      <c r="E611" s="26" t="s">
        <v>332</v>
      </c>
      <c r="F611" s="26" t="s">
        <v>58</v>
      </c>
      <c r="G611" s="27">
        <f>G612+G618</f>
        <v>114471410</v>
      </c>
      <c r="H611" s="27">
        <f>H612+H618</f>
        <v>114471410</v>
      </c>
      <c r="I611" s="27">
        <f>I612+I618</f>
        <v>114471410</v>
      </c>
      <c r="J611" s="16">
        <f>'БА в тыс. руб.'!G611*1000</f>
        <v>114471410</v>
      </c>
      <c r="K611" s="169">
        <f t="shared" si="400"/>
        <v>0</v>
      </c>
      <c r="L611" s="16">
        <f>'БА в тыс. руб.'!H611*1000</f>
        <v>114471410</v>
      </c>
      <c r="M611" s="169">
        <f t="shared" si="401"/>
        <v>0</v>
      </c>
      <c r="N611" s="16">
        <f>'БА в тыс. руб.'!I611*1000</f>
        <v>114471410</v>
      </c>
      <c r="O611" s="169">
        <f t="shared" si="402"/>
        <v>0</v>
      </c>
    </row>
    <row r="612" spans="1:15" s="30" customFormat="1" ht="25.5">
      <c r="A612" s="13" t="s">
        <v>607</v>
      </c>
      <c r="B612" s="25" t="s">
        <v>69</v>
      </c>
      <c r="C612" s="26" t="s">
        <v>14</v>
      </c>
      <c r="D612" s="26" t="s">
        <v>37</v>
      </c>
      <c r="E612" s="26" t="s">
        <v>333</v>
      </c>
      <c r="F612" s="26" t="s">
        <v>58</v>
      </c>
      <c r="G612" s="27">
        <f>G613</f>
        <v>80815450</v>
      </c>
      <c r="H612" s="27">
        <f>H613</f>
        <v>80815450</v>
      </c>
      <c r="I612" s="27">
        <f>I613</f>
        <v>80815450</v>
      </c>
      <c r="J612" s="16">
        <f>'БА в тыс. руб.'!G612*1000</f>
        <v>80815450</v>
      </c>
      <c r="K612" s="169">
        <f t="shared" si="400"/>
        <v>0</v>
      </c>
      <c r="L612" s="16">
        <f>'БА в тыс. руб.'!H612*1000</f>
        <v>80815450</v>
      </c>
      <c r="M612" s="169">
        <f t="shared" si="401"/>
        <v>0</v>
      </c>
      <c r="N612" s="16">
        <f>'БА в тыс. руб.'!I612*1000</f>
        <v>80815450</v>
      </c>
      <c r="O612" s="169">
        <f t="shared" si="402"/>
        <v>0</v>
      </c>
    </row>
    <row r="613" spans="1:15" s="30" customFormat="1" ht="51">
      <c r="A613" s="13" t="s">
        <v>364</v>
      </c>
      <c r="B613" s="25" t="s">
        <v>69</v>
      </c>
      <c r="C613" s="26" t="s">
        <v>14</v>
      </c>
      <c r="D613" s="26" t="s">
        <v>37</v>
      </c>
      <c r="E613" s="26" t="s">
        <v>365</v>
      </c>
      <c r="F613" s="26" t="s">
        <v>58</v>
      </c>
      <c r="G613" s="27">
        <f>G614+G616</f>
        <v>80815450</v>
      </c>
      <c r="H613" s="27">
        <f t="shared" ref="H613:I613" si="424">H614+H616</f>
        <v>80815450</v>
      </c>
      <c r="I613" s="27">
        <f t="shared" si="424"/>
        <v>80815450</v>
      </c>
      <c r="J613" s="16">
        <f>'БА в тыс. руб.'!G613*1000</f>
        <v>80815450</v>
      </c>
      <c r="K613" s="169">
        <f t="shared" si="400"/>
        <v>0</v>
      </c>
      <c r="L613" s="16">
        <f>'БА в тыс. руб.'!H613*1000</f>
        <v>80815450</v>
      </c>
      <c r="M613" s="169">
        <f t="shared" si="401"/>
        <v>0</v>
      </c>
      <c r="N613" s="16">
        <f>'БА в тыс. руб.'!I613*1000</f>
        <v>80815450</v>
      </c>
      <c r="O613" s="169">
        <f t="shared" si="402"/>
        <v>0</v>
      </c>
    </row>
    <row r="614" spans="1:15" s="30" customFormat="1" ht="25.5">
      <c r="A614" s="11" t="s">
        <v>108</v>
      </c>
      <c r="B614" s="25" t="s">
        <v>69</v>
      </c>
      <c r="C614" s="26" t="s">
        <v>14</v>
      </c>
      <c r="D614" s="26" t="s">
        <v>37</v>
      </c>
      <c r="E614" s="26" t="s">
        <v>365</v>
      </c>
      <c r="F614" s="26" t="s">
        <v>116</v>
      </c>
      <c r="G614" s="27">
        <f>G615</f>
        <v>1212230</v>
      </c>
      <c r="H614" s="27">
        <f t="shared" ref="H614:I614" si="425">H615</f>
        <v>1212230</v>
      </c>
      <c r="I614" s="27">
        <f t="shared" si="425"/>
        <v>1212230</v>
      </c>
      <c r="J614" s="16">
        <f>'БА в тыс. руб.'!G614*1000</f>
        <v>1212230</v>
      </c>
      <c r="K614" s="169">
        <f t="shared" si="400"/>
        <v>0</v>
      </c>
      <c r="L614" s="16">
        <f>'БА в тыс. руб.'!H614*1000</f>
        <v>1212230</v>
      </c>
      <c r="M614" s="169">
        <f t="shared" si="401"/>
        <v>0</v>
      </c>
      <c r="N614" s="16">
        <f>'БА в тыс. руб.'!I614*1000</f>
        <v>1212230</v>
      </c>
      <c r="O614" s="169">
        <f t="shared" si="402"/>
        <v>0</v>
      </c>
    </row>
    <row r="615" spans="1:15" s="83" customFormat="1" ht="25.5">
      <c r="A615" s="12" t="s">
        <v>973</v>
      </c>
      <c r="B615" s="25" t="s">
        <v>69</v>
      </c>
      <c r="C615" s="26" t="s">
        <v>14</v>
      </c>
      <c r="D615" s="26" t="s">
        <v>37</v>
      </c>
      <c r="E615" s="26" t="s">
        <v>365</v>
      </c>
      <c r="F615" s="26" t="s">
        <v>1043</v>
      </c>
      <c r="G615" s="27">
        <f t="shared" ref="G615" si="426">J615</f>
        <v>1212230</v>
      </c>
      <c r="H615" s="27">
        <f>L615</f>
        <v>1212230</v>
      </c>
      <c r="I615" s="27">
        <f>N615</f>
        <v>1212230</v>
      </c>
      <c r="J615" s="16">
        <f>'БА в тыс. руб.'!G615*1000</f>
        <v>1212230</v>
      </c>
      <c r="K615" s="169">
        <f t="shared" si="400"/>
        <v>0</v>
      </c>
      <c r="L615" s="16">
        <f>'БА в тыс. руб.'!H615*1000</f>
        <v>1212230</v>
      </c>
      <c r="M615" s="169">
        <f t="shared" si="401"/>
        <v>0</v>
      </c>
      <c r="N615" s="16">
        <f>'БА в тыс. руб.'!I615*1000</f>
        <v>1212230</v>
      </c>
      <c r="O615" s="169">
        <f t="shared" si="402"/>
        <v>0</v>
      </c>
    </row>
    <row r="616" spans="1:15" s="30" customFormat="1">
      <c r="A616" s="13" t="s">
        <v>109</v>
      </c>
      <c r="B616" s="25" t="s">
        <v>69</v>
      </c>
      <c r="C616" s="26" t="s">
        <v>14</v>
      </c>
      <c r="D616" s="26" t="s">
        <v>37</v>
      </c>
      <c r="E616" s="26" t="s">
        <v>365</v>
      </c>
      <c r="F616" s="26" t="s">
        <v>134</v>
      </c>
      <c r="G616" s="27">
        <f>G617</f>
        <v>79603220</v>
      </c>
      <c r="H616" s="27">
        <f t="shared" ref="H616:I616" si="427">H617</f>
        <v>79603220</v>
      </c>
      <c r="I616" s="27">
        <f t="shared" si="427"/>
        <v>79603220</v>
      </c>
      <c r="J616" s="16">
        <f>'БА в тыс. руб.'!G616*1000</f>
        <v>79603220</v>
      </c>
      <c r="K616" s="169">
        <f t="shared" si="400"/>
        <v>0</v>
      </c>
      <c r="L616" s="16">
        <f>'БА в тыс. руб.'!H616*1000</f>
        <v>79603220</v>
      </c>
      <c r="M616" s="169">
        <f t="shared" si="401"/>
        <v>0</v>
      </c>
      <c r="N616" s="16">
        <f>'БА в тыс. руб.'!I616*1000</f>
        <v>79603220</v>
      </c>
      <c r="O616" s="169">
        <f t="shared" si="402"/>
        <v>0</v>
      </c>
    </row>
    <row r="617" spans="1:15" s="83" customFormat="1" ht="25.5">
      <c r="A617" s="12" t="s">
        <v>978</v>
      </c>
      <c r="B617" s="25" t="s">
        <v>69</v>
      </c>
      <c r="C617" s="26" t="s">
        <v>14</v>
      </c>
      <c r="D617" s="26" t="s">
        <v>37</v>
      </c>
      <c r="E617" s="26" t="s">
        <v>365</v>
      </c>
      <c r="F617" s="26" t="s">
        <v>1064</v>
      </c>
      <c r="G617" s="27">
        <f t="shared" ref="G617" si="428">J617</f>
        <v>79603220</v>
      </c>
      <c r="H617" s="27">
        <f>L617</f>
        <v>79603220</v>
      </c>
      <c r="I617" s="27">
        <f>N617</f>
        <v>79603220</v>
      </c>
      <c r="J617" s="16">
        <f>'БА в тыс. руб.'!G617*1000</f>
        <v>79603220</v>
      </c>
      <c r="K617" s="169">
        <f t="shared" si="400"/>
        <v>0</v>
      </c>
      <c r="L617" s="16">
        <f>'БА в тыс. руб.'!H617*1000</f>
        <v>79603220</v>
      </c>
      <c r="M617" s="169">
        <f t="shared" si="401"/>
        <v>0</v>
      </c>
      <c r="N617" s="16">
        <f>'БА в тыс. руб.'!I617*1000</f>
        <v>79603220</v>
      </c>
      <c r="O617" s="169">
        <f t="shared" si="402"/>
        <v>0</v>
      </c>
    </row>
    <row r="618" spans="1:15" s="30" customFormat="1" ht="25.5">
      <c r="A618" s="13" t="s">
        <v>584</v>
      </c>
      <c r="B618" s="25" t="s">
        <v>69</v>
      </c>
      <c r="C618" s="26" t="s">
        <v>14</v>
      </c>
      <c r="D618" s="26" t="s">
        <v>37</v>
      </c>
      <c r="E618" s="26" t="s">
        <v>366</v>
      </c>
      <c r="F618" s="26" t="s">
        <v>58</v>
      </c>
      <c r="G618" s="27">
        <f>G619+G622+G625+G628</f>
        <v>33655960</v>
      </c>
      <c r="H618" s="27">
        <f>H619+H622+H625+H628</f>
        <v>33655960</v>
      </c>
      <c r="I618" s="27">
        <f>I619+I622+I625+I628</f>
        <v>33655960</v>
      </c>
      <c r="J618" s="16">
        <f>'БА в тыс. руб.'!G618*1000</f>
        <v>33655960.000000007</v>
      </c>
      <c r="K618" s="169">
        <f t="shared" si="400"/>
        <v>0</v>
      </c>
      <c r="L618" s="16">
        <f>'БА в тыс. руб.'!H618*1000</f>
        <v>33655960.000000007</v>
      </c>
      <c r="M618" s="169">
        <f t="shared" si="401"/>
        <v>0</v>
      </c>
      <c r="N618" s="16">
        <f>'БА в тыс. руб.'!I618*1000</f>
        <v>33655960.000000007</v>
      </c>
      <c r="O618" s="169">
        <f t="shared" si="402"/>
        <v>0</v>
      </c>
    </row>
    <row r="619" spans="1:15" s="30" customFormat="1" ht="25.5">
      <c r="A619" s="13" t="s">
        <v>367</v>
      </c>
      <c r="B619" s="25" t="s">
        <v>69</v>
      </c>
      <c r="C619" s="26" t="s">
        <v>14</v>
      </c>
      <c r="D619" s="26" t="s">
        <v>37</v>
      </c>
      <c r="E619" s="26" t="s">
        <v>788</v>
      </c>
      <c r="F619" s="26" t="s">
        <v>58</v>
      </c>
      <c r="G619" s="27">
        <f>G620</f>
        <v>19526720</v>
      </c>
      <c r="H619" s="27">
        <f>H620</f>
        <v>19526720</v>
      </c>
      <c r="I619" s="27">
        <f>I620</f>
        <v>19526720</v>
      </c>
      <c r="J619" s="16">
        <f>'БА в тыс. руб.'!G619*1000</f>
        <v>19526720</v>
      </c>
      <c r="K619" s="169">
        <f t="shared" si="400"/>
        <v>0</v>
      </c>
      <c r="L619" s="16">
        <f>'БА в тыс. руб.'!H619*1000</f>
        <v>19526720</v>
      </c>
      <c r="M619" s="169">
        <f t="shared" si="401"/>
        <v>0</v>
      </c>
      <c r="N619" s="16">
        <f>'БА в тыс. руб.'!I619*1000</f>
        <v>19526720</v>
      </c>
      <c r="O619" s="169">
        <f t="shared" si="402"/>
        <v>0</v>
      </c>
    </row>
    <row r="620" spans="1:15" s="30" customFormat="1" ht="25.5">
      <c r="A620" s="13" t="s">
        <v>110</v>
      </c>
      <c r="B620" s="25" t="s">
        <v>69</v>
      </c>
      <c r="C620" s="26" t="s">
        <v>14</v>
      </c>
      <c r="D620" s="26" t="s">
        <v>37</v>
      </c>
      <c r="E620" s="26" t="s">
        <v>788</v>
      </c>
      <c r="F620" s="26" t="s">
        <v>117</v>
      </c>
      <c r="G620" s="27">
        <f>G621</f>
        <v>19526720</v>
      </c>
      <c r="H620" s="27">
        <f t="shared" ref="H620:I620" si="429">H621</f>
        <v>19526720</v>
      </c>
      <c r="I620" s="27">
        <f t="shared" si="429"/>
        <v>19526720</v>
      </c>
      <c r="J620" s="16">
        <f>'БА в тыс. руб.'!G620*1000</f>
        <v>19526720</v>
      </c>
      <c r="K620" s="169">
        <f t="shared" si="400"/>
        <v>0</v>
      </c>
      <c r="L620" s="16">
        <f>'БА в тыс. руб.'!H620*1000</f>
        <v>19526720</v>
      </c>
      <c r="M620" s="169">
        <f t="shared" si="401"/>
        <v>0</v>
      </c>
      <c r="N620" s="16">
        <f>'БА в тыс. руб.'!I620*1000</f>
        <v>19526720</v>
      </c>
      <c r="O620" s="169">
        <f t="shared" si="402"/>
        <v>0</v>
      </c>
    </row>
    <row r="621" spans="1:15" s="83" customFormat="1" ht="25.5">
      <c r="A621" s="12" t="s">
        <v>981</v>
      </c>
      <c r="B621" s="25" t="s">
        <v>69</v>
      </c>
      <c r="C621" s="26" t="s">
        <v>14</v>
      </c>
      <c r="D621" s="26" t="s">
        <v>37</v>
      </c>
      <c r="E621" s="26" t="s">
        <v>788</v>
      </c>
      <c r="F621" s="26" t="s">
        <v>1065</v>
      </c>
      <c r="G621" s="27">
        <f t="shared" ref="G621" si="430">J621</f>
        <v>19526720</v>
      </c>
      <c r="H621" s="27">
        <f>L621</f>
        <v>19526720</v>
      </c>
      <c r="I621" s="27">
        <f>N621</f>
        <v>19526720</v>
      </c>
      <c r="J621" s="16">
        <f>'БА в тыс. руб.'!G621*1000</f>
        <v>19526720</v>
      </c>
      <c r="K621" s="169">
        <f t="shared" si="400"/>
        <v>0</v>
      </c>
      <c r="L621" s="16">
        <f>'БА в тыс. руб.'!H621*1000</f>
        <v>19526720</v>
      </c>
      <c r="M621" s="169">
        <f t="shared" si="401"/>
        <v>0</v>
      </c>
      <c r="N621" s="16">
        <f>'БА в тыс. руб.'!I621*1000</f>
        <v>19526720</v>
      </c>
      <c r="O621" s="169">
        <f t="shared" si="402"/>
        <v>0</v>
      </c>
    </row>
    <row r="622" spans="1:15" s="30" customFormat="1" ht="51">
      <c r="A622" s="11" t="s">
        <v>594</v>
      </c>
      <c r="B622" s="25" t="s">
        <v>69</v>
      </c>
      <c r="C622" s="26" t="s">
        <v>14</v>
      </c>
      <c r="D622" s="26" t="s">
        <v>37</v>
      </c>
      <c r="E622" s="26" t="s">
        <v>789</v>
      </c>
      <c r="F622" s="26" t="s">
        <v>58</v>
      </c>
      <c r="G622" s="27">
        <f>G623</f>
        <v>1543310</v>
      </c>
      <c r="H622" s="27">
        <f>H623</f>
        <v>1543310</v>
      </c>
      <c r="I622" s="27">
        <f>I623</f>
        <v>1543310</v>
      </c>
      <c r="J622" s="16">
        <f>'БА в тыс. руб.'!G622*1000</f>
        <v>1543310</v>
      </c>
      <c r="K622" s="169">
        <f t="shared" si="400"/>
        <v>0</v>
      </c>
      <c r="L622" s="16">
        <f>'БА в тыс. руб.'!H622*1000</f>
        <v>1543310</v>
      </c>
      <c r="M622" s="169">
        <f t="shared" si="401"/>
        <v>0</v>
      </c>
      <c r="N622" s="16">
        <f>'БА в тыс. руб.'!I622*1000</f>
        <v>1543310</v>
      </c>
      <c r="O622" s="169">
        <f t="shared" si="402"/>
        <v>0</v>
      </c>
    </row>
    <row r="623" spans="1:15" s="30" customFormat="1" ht="25.5">
      <c r="A623" s="13" t="s">
        <v>110</v>
      </c>
      <c r="B623" s="25" t="s">
        <v>69</v>
      </c>
      <c r="C623" s="26" t="s">
        <v>14</v>
      </c>
      <c r="D623" s="26" t="s">
        <v>37</v>
      </c>
      <c r="E623" s="26" t="s">
        <v>789</v>
      </c>
      <c r="F623" s="26" t="s">
        <v>117</v>
      </c>
      <c r="G623" s="27">
        <f>G624</f>
        <v>1543310</v>
      </c>
      <c r="H623" s="27">
        <f t="shared" ref="H623:I623" si="431">H624</f>
        <v>1543310</v>
      </c>
      <c r="I623" s="27">
        <f t="shared" si="431"/>
        <v>1543310</v>
      </c>
      <c r="J623" s="16">
        <f>'БА в тыс. руб.'!G623*1000</f>
        <v>1543310</v>
      </c>
      <c r="K623" s="169">
        <f t="shared" si="400"/>
        <v>0</v>
      </c>
      <c r="L623" s="16">
        <f>'БА в тыс. руб.'!H623*1000</f>
        <v>1543310</v>
      </c>
      <c r="M623" s="169">
        <f t="shared" si="401"/>
        <v>0</v>
      </c>
      <c r="N623" s="16">
        <f>'БА в тыс. руб.'!I623*1000</f>
        <v>1543310</v>
      </c>
      <c r="O623" s="169">
        <f t="shared" si="402"/>
        <v>0</v>
      </c>
    </row>
    <row r="624" spans="1:15" s="83" customFormat="1" ht="25.5">
      <c r="A624" s="12" t="s">
        <v>981</v>
      </c>
      <c r="B624" s="25" t="s">
        <v>69</v>
      </c>
      <c r="C624" s="26" t="s">
        <v>14</v>
      </c>
      <c r="D624" s="26" t="s">
        <v>37</v>
      </c>
      <c r="E624" s="26" t="s">
        <v>789</v>
      </c>
      <c r="F624" s="26" t="s">
        <v>1065</v>
      </c>
      <c r="G624" s="27">
        <f t="shared" ref="G624" si="432">J624</f>
        <v>1543310</v>
      </c>
      <c r="H624" s="27">
        <f>L624</f>
        <v>1543310</v>
      </c>
      <c r="I624" s="27">
        <f>N624</f>
        <v>1543310</v>
      </c>
      <c r="J624" s="16">
        <f>'БА в тыс. руб.'!G624*1000</f>
        <v>1543310</v>
      </c>
      <c r="K624" s="169">
        <f t="shared" si="400"/>
        <v>0</v>
      </c>
      <c r="L624" s="16">
        <f>'БА в тыс. руб.'!H624*1000</f>
        <v>1543310</v>
      </c>
      <c r="M624" s="169">
        <f t="shared" si="401"/>
        <v>0</v>
      </c>
      <c r="N624" s="16">
        <f>'БА в тыс. руб.'!I624*1000</f>
        <v>1543310</v>
      </c>
      <c r="O624" s="169">
        <f t="shared" si="402"/>
        <v>0</v>
      </c>
    </row>
    <row r="625" spans="1:21" s="30" customFormat="1" ht="38.25">
      <c r="A625" s="11" t="s">
        <v>368</v>
      </c>
      <c r="B625" s="25" t="s">
        <v>69</v>
      </c>
      <c r="C625" s="26" t="s">
        <v>14</v>
      </c>
      <c r="D625" s="26" t="s">
        <v>37</v>
      </c>
      <c r="E625" s="26" t="s">
        <v>790</v>
      </c>
      <c r="F625" s="26" t="s">
        <v>58</v>
      </c>
      <c r="G625" s="27">
        <f>G626</f>
        <v>8310930</v>
      </c>
      <c r="H625" s="27">
        <f>H626</f>
        <v>8310930</v>
      </c>
      <c r="I625" s="27">
        <f>I626</f>
        <v>8310930</v>
      </c>
      <c r="J625" s="16">
        <f>'БА в тыс. руб.'!G625*1000</f>
        <v>8310930</v>
      </c>
      <c r="K625" s="169">
        <f t="shared" si="400"/>
        <v>0</v>
      </c>
      <c r="L625" s="16">
        <f>'БА в тыс. руб.'!H625*1000</f>
        <v>8310930</v>
      </c>
      <c r="M625" s="169">
        <f t="shared" si="401"/>
        <v>0</v>
      </c>
      <c r="N625" s="16">
        <f>'БА в тыс. руб.'!I625*1000</f>
        <v>8310930</v>
      </c>
      <c r="O625" s="169">
        <f t="shared" si="402"/>
        <v>0</v>
      </c>
    </row>
    <row r="626" spans="1:21" s="30" customFormat="1" ht="25.5">
      <c r="A626" s="13" t="s">
        <v>110</v>
      </c>
      <c r="B626" s="25" t="s">
        <v>69</v>
      </c>
      <c r="C626" s="26" t="s">
        <v>14</v>
      </c>
      <c r="D626" s="26" t="s">
        <v>37</v>
      </c>
      <c r="E626" s="26" t="s">
        <v>790</v>
      </c>
      <c r="F626" s="26" t="s">
        <v>117</v>
      </c>
      <c r="G626" s="27">
        <f>G627</f>
        <v>8310930</v>
      </c>
      <c r="H626" s="27">
        <f t="shared" ref="H626:I626" si="433">H627</f>
        <v>8310930</v>
      </c>
      <c r="I626" s="27">
        <f t="shared" si="433"/>
        <v>8310930</v>
      </c>
      <c r="J626" s="16">
        <f>'БА в тыс. руб.'!G626*1000</f>
        <v>8310930</v>
      </c>
      <c r="K626" s="169">
        <f t="shared" si="400"/>
        <v>0</v>
      </c>
      <c r="L626" s="16">
        <f>'БА в тыс. руб.'!H626*1000</f>
        <v>8310930</v>
      </c>
      <c r="M626" s="169">
        <f t="shared" si="401"/>
        <v>0</v>
      </c>
      <c r="N626" s="16">
        <f>'БА в тыс. руб.'!I626*1000</f>
        <v>8310930</v>
      </c>
      <c r="O626" s="169">
        <f t="shared" si="402"/>
        <v>0</v>
      </c>
    </row>
    <row r="627" spans="1:21" s="83" customFormat="1" ht="25.5">
      <c r="A627" s="12" t="s">
        <v>981</v>
      </c>
      <c r="B627" s="25" t="s">
        <v>69</v>
      </c>
      <c r="C627" s="26" t="s">
        <v>14</v>
      </c>
      <c r="D627" s="26" t="s">
        <v>37</v>
      </c>
      <c r="E627" s="26" t="s">
        <v>790</v>
      </c>
      <c r="F627" s="26" t="s">
        <v>1065</v>
      </c>
      <c r="G627" s="27">
        <f t="shared" ref="G627" si="434">J627</f>
        <v>8310930</v>
      </c>
      <c r="H627" s="27">
        <f>L627</f>
        <v>8310930</v>
      </c>
      <c r="I627" s="27">
        <f>N627</f>
        <v>8310930</v>
      </c>
      <c r="J627" s="16">
        <f>'БА в тыс. руб.'!G627*1000</f>
        <v>8310930</v>
      </c>
      <c r="K627" s="169">
        <f t="shared" si="400"/>
        <v>0</v>
      </c>
      <c r="L627" s="16">
        <f>'БА в тыс. руб.'!H627*1000</f>
        <v>8310930</v>
      </c>
      <c r="M627" s="169">
        <f t="shared" si="401"/>
        <v>0</v>
      </c>
      <c r="N627" s="16">
        <f>'БА в тыс. руб.'!I627*1000</f>
        <v>8310930</v>
      </c>
      <c r="O627" s="169">
        <f t="shared" si="402"/>
        <v>0</v>
      </c>
    </row>
    <row r="628" spans="1:21" s="30" customFormat="1">
      <c r="A628" s="11" t="s">
        <v>369</v>
      </c>
      <c r="B628" s="25" t="s">
        <v>69</v>
      </c>
      <c r="C628" s="26" t="s">
        <v>14</v>
      </c>
      <c r="D628" s="26" t="s">
        <v>37</v>
      </c>
      <c r="E628" s="26" t="s">
        <v>791</v>
      </c>
      <c r="F628" s="26" t="s">
        <v>58</v>
      </c>
      <c r="G628" s="27">
        <f>G629</f>
        <v>4275000</v>
      </c>
      <c r="H628" s="27">
        <f>H629</f>
        <v>4275000</v>
      </c>
      <c r="I628" s="27">
        <f>I629</f>
        <v>4275000</v>
      </c>
      <c r="J628" s="16">
        <f>'БА в тыс. руб.'!G628*1000</f>
        <v>4275000</v>
      </c>
      <c r="K628" s="169">
        <f t="shared" si="400"/>
        <v>0</v>
      </c>
      <c r="L628" s="16">
        <f>'БА в тыс. руб.'!H628*1000</f>
        <v>4275000</v>
      </c>
      <c r="M628" s="169">
        <f t="shared" si="401"/>
        <v>0</v>
      </c>
      <c r="N628" s="16">
        <f>'БА в тыс. руб.'!I628*1000</f>
        <v>4275000</v>
      </c>
      <c r="O628" s="169">
        <f t="shared" si="402"/>
        <v>0</v>
      </c>
    </row>
    <row r="629" spans="1:21" s="30" customFormat="1" ht="25.5">
      <c r="A629" s="13" t="s">
        <v>110</v>
      </c>
      <c r="B629" s="25" t="s">
        <v>69</v>
      </c>
      <c r="C629" s="26" t="s">
        <v>14</v>
      </c>
      <c r="D629" s="26" t="s">
        <v>37</v>
      </c>
      <c r="E629" s="26" t="s">
        <v>791</v>
      </c>
      <c r="F629" s="26" t="s">
        <v>117</v>
      </c>
      <c r="G629" s="27">
        <f>G630</f>
        <v>4275000</v>
      </c>
      <c r="H629" s="27">
        <f t="shared" ref="H629:I629" si="435">H630</f>
        <v>4275000</v>
      </c>
      <c r="I629" s="27">
        <f t="shared" si="435"/>
        <v>4275000</v>
      </c>
      <c r="J629" s="16">
        <f>'БА в тыс. руб.'!G629*1000</f>
        <v>4275000</v>
      </c>
      <c r="K629" s="169">
        <f t="shared" si="400"/>
        <v>0</v>
      </c>
      <c r="L629" s="16">
        <f>'БА в тыс. руб.'!H629*1000</f>
        <v>4275000</v>
      </c>
      <c r="M629" s="169">
        <f t="shared" si="401"/>
        <v>0</v>
      </c>
      <c r="N629" s="16">
        <f>'БА в тыс. руб.'!I629*1000</f>
        <v>4275000</v>
      </c>
      <c r="O629" s="169">
        <f t="shared" si="402"/>
        <v>0</v>
      </c>
    </row>
    <row r="630" spans="1:21" s="83" customFormat="1" ht="25.5">
      <c r="A630" s="12" t="s">
        <v>981</v>
      </c>
      <c r="B630" s="25" t="s">
        <v>69</v>
      </c>
      <c r="C630" s="26" t="s">
        <v>14</v>
      </c>
      <c r="D630" s="26" t="s">
        <v>37</v>
      </c>
      <c r="E630" s="26" t="s">
        <v>791</v>
      </c>
      <c r="F630" s="26" t="s">
        <v>1065</v>
      </c>
      <c r="G630" s="27">
        <f t="shared" ref="G630" si="436">J630</f>
        <v>4275000</v>
      </c>
      <c r="H630" s="27">
        <f t="shared" ref="H630" si="437">L630</f>
        <v>4275000</v>
      </c>
      <c r="I630" s="27">
        <f t="shared" ref="I630" si="438">N630</f>
        <v>4275000</v>
      </c>
      <c r="J630" s="16">
        <f>'БА в тыс. руб.'!G630*1000</f>
        <v>4275000</v>
      </c>
      <c r="K630" s="169">
        <f t="shared" si="400"/>
        <v>0</v>
      </c>
      <c r="L630" s="16">
        <f>'БА в тыс. руб.'!H630*1000</f>
        <v>4275000</v>
      </c>
      <c r="M630" s="169">
        <f t="shared" si="401"/>
        <v>0</v>
      </c>
      <c r="N630" s="16">
        <f>'БА в тыс. руб.'!I630*1000</f>
        <v>4275000</v>
      </c>
      <c r="O630" s="169">
        <f t="shared" si="402"/>
        <v>0</v>
      </c>
    </row>
    <row r="631" spans="1:21" s="30" customFormat="1">
      <c r="A631" s="13"/>
      <c r="B631" s="25"/>
      <c r="C631" s="26"/>
      <c r="D631" s="26"/>
      <c r="E631" s="26"/>
      <c r="F631" s="26"/>
      <c r="G631" s="27"/>
      <c r="H631" s="27"/>
      <c r="I631" s="27"/>
      <c r="J631" s="16">
        <f>'БА в тыс. руб.'!G631*1000</f>
        <v>0</v>
      </c>
      <c r="K631" s="169">
        <f t="shared" si="400"/>
        <v>0</v>
      </c>
      <c r="L631" s="16">
        <f>'БА в тыс. руб.'!H631*1000</f>
        <v>0</v>
      </c>
      <c r="M631" s="169">
        <f t="shared" si="401"/>
        <v>0</v>
      </c>
      <c r="N631" s="16">
        <f>'БА в тыс. руб.'!I631*1000</f>
        <v>0</v>
      </c>
      <c r="O631" s="169">
        <f t="shared" si="402"/>
        <v>0</v>
      </c>
    </row>
    <row r="632" spans="1:21" s="3" customFormat="1" ht="25.5">
      <c r="A632" s="28" t="s">
        <v>687</v>
      </c>
      <c r="B632" s="14" t="s">
        <v>26</v>
      </c>
      <c r="C632" s="15" t="s">
        <v>51</v>
      </c>
      <c r="D632" s="15" t="s">
        <v>51</v>
      </c>
      <c r="E632" s="15" t="s">
        <v>196</v>
      </c>
      <c r="F632" s="15" t="s">
        <v>58</v>
      </c>
      <c r="G632" s="29">
        <f>G633+G645+G731</f>
        <v>386298700</v>
      </c>
      <c r="H632" s="29">
        <f>H633+H645+H731</f>
        <v>292915810</v>
      </c>
      <c r="I632" s="29">
        <f>I633+I645+I731</f>
        <v>292915810</v>
      </c>
      <c r="J632" s="16">
        <f>'БА в тыс. руб.'!G632*1000</f>
        <v>386298699.99999994</v>
      </c>
      <c r="K632" s="169">
        <f t="shared" si="400"/>
        <v>0</v>
      </c>
      <c r="L632" s="16">
        <f>'БА в тыс. руб.'!H632*1000</f>
        <v>292915809.99999994</v>
      </c>
      <c r="M632" s="169">
        <f t="shared" si="401"/>
        <v>0</v>
      </c>
      <c r="N632" s="16">
        <f>'БА в тыс. руб.'!I632*1000</f>
        <v>292915810</v>
      </c>
      <c r="O632" s="169">
        <f t="shared" si="402"/>
        <v>0</v>
      </c>
      <c r="S632" s="30"/>
      <c r="T632" s="30"/>
      <c r="U632" s="30"/>
    </row>
    <row r="633" spans="1:21" s="3" customFormat="1">
      <c r="A633" s="17" t="s">
        <v>64</v>
      </c>
      <c r="B633" s="18" t="s">
        <v>26</v>
      </c>
      <c r="C633" s="19" t="s">
        <v>65</v>
      </c>
      <c r="D633" s="19" t="s">
        <v>51</v>
      </c>
      <c r="E633" s="19" t="s">
        <v>196</v>
      </c>
      <c r="F633" s="19" t="s">
        <v>58</v>
      </c>
      <c r="G633" s="20">
        <f t="shared" ref="G633:I636" si="439">G634</f>
        <v>1386700</v>
      </c>
      <c r="H633" s="20">
        <f t="shared" si="439"/>
        <v>1386700</v>
      </c>
      <c r="I633" s="20">
        <f t="shared" si="439"/>
        <v>1386700</v>
      </c>
      <c r="J633" s="16">
        <f>'БА в тыс. руб.'!G633*1000</f>
        <v>1386700</v>
      </c>
      <c r="K633" s="169">
        <f t="shared" si="400"/>
        <v>0</v>
      </c>
      <c r="L633" s="16">
        <f>'БА в тыс. руб.'!H633*1000</f>
        <v>1386700</v>
      </c>
      <c r="M633" s="169">
        <f t="shared" si="401"/>
        <v>0</v>
      </c>
      <c r="N633" s="16">
        <f>'БА в тыс. руб.'!I633*1000</f>
        <v>1386700</v>
      </c>
      <c r="O633" s="169">
        <f t="shared" si="402"/>
        <v>0</v>
      </c>
      <c r="S633" s="30"/>
      <c r="T633" s="30"/>
      <c r="U633" s="30"/>
    </row>
    <row r="634" spans="1:21" s="3" customFormat="1">
      <c r="A634" s="21" t="s">
        <v>38</v>
      </c>
      <c r="B634" s="22" t="s">
        <v>26</v>
      </c>
      <c r="C634" s="23" t="s">
        <v>65</v>
      </c>
      <c r="D634" s="23" t="s">
        <v>84</v>
      </c>
      <c r="E634" s="23" t="s">
        <v>196</v>
      </c>
      <c r="F634" s="23" t="s">
        <v>58</v>
      </c>
      <c r="G634" s="24">
        <f t="shared" si="439"/>
        <v>1386700</v>
      </c>
      <c r="H634" s="24">
        <f t="shared" si="439"/>
        <v>1386700</v>
      </c>
      <c r="I634" s="24">
        <f t="shared" si="439"/>
        <v>1386700</v>
      </c>
      <c r="J634" s="16">
        <f>'БА в тыс. руб.'!G634*1000</f>
        <v>1386700</v>
      </c>
      <c r="K634" s="169">
        <f t="shared" si="400"/>
        <v>0</v>
      </c>
      <c r="L634" s="16">
        <f>'БА в тыс. руб.'!H634*1000</f>
        <v>1386700</v>
      </c>
      <c r="M634" s="169">
        <f t="shared" si="401"/>
        <v>0</v>
      </c>
      <c r="N634" s="16">
        <f>'БА в тыс. руб.'!I634*1000</f>
        <v>1386700</v>
      </c>
      <c r="O634" s="169">
        <f t="shared" si="402"/>
        <v>0</v>
      </c>
      <c r="S634" s="30"/>
      <c r="T634" s="30"/>
      <c r="U634" s="30"/>
    </row>
    <row r="635" spans="1:21" s="3" customFormat="1" ht="38.25">
      <c r="A635" s="11" t="s">
        <v>683</v>
      </c>
      <c r="B635" s="25" t="s">
        <v>26</v>
      </c>
      <c r="C635" s="26" t="s">
        <v>65</v>
      </c>
      <c r="D635" s="26" t="s">
        <v>84</v>
      </c>
      <c r="E635" s="26" t="s">
        <v>680</v>
      </c>
      <c r="F635" s="26" t="s">
        <v>58</v>
      </c>
      <c r="G635" s="27">
        <f t="shared" si="439"/>
        <v>1386700</v>
      </c>
      <c r="H635" s="27">
        <f t="shared" si="439"/>
        <v>1386700</v>
      </c>
      <c r="I635" s="27">
        <f t="shared" si="439"/>
        <v>1386700</v>
      </c>
      <c r="J635" s="16">
        <f>'БА в тыс. руб.'!G635*1000</f>
        <v>1386700</v>
      </c>
      <c r="K635" s="169">
        <f t="shared" si="400"/>
        <v>0</v>
      </c>
      <c r="L635" s="16">
        <f>'БА в тыс. руб.'!H635*1000</f>
        <v>1386700</v>
      </c>
      <c r="M635" s="169">
        <f t="shared" si="401"/>
        <v>0</v>
      </c>
      <c r="N635" s="16">
        <f>'БА в тыс. руб.'!I635*1000</f>
        <v>1386700</v>
      </c>
      <c r="O635" s="169">
        <f t="shared" si="402"/>
        <v>0</v>
      </c>
      <c r="S635" s="30"/>
      <c r="T635" s="30"/>
      <c r="U635" s="30"/>
    </row>
    <row r="636" spans="1:21" s="3" customFormat="1">
      <c r="A636" s="11" t="s">
        <v>684</v>
      </c>
      <c r="B636" s="25" t="s">
        <v>26</v>
      </c>
      <c r="C636" s="26" t="s">
        <v>65</v>
      </c>
      <c r="D636" s="26" t="s">
        <v>84</v>
      </c>
      <c r="E636" s="26" t="s">
        <v>681</v>
      </c>
      <c r="F636" s="26" t="s">
        <v>58</v>
      </c>
      <c r="G636" s="27">
        <f t="shared" si="439"/>
        <v>1386700</v>
      </c>
      <c r="H636" s="27">
        <f t="shared" si="439"/>
        <v>1386700</v>
      </c>
      <c r="I636" s="27">
        <f t="shared" si="439"/>
        <v>1386700</v>
      </c>
      <c r="J636" s="16">
        <f>'БА в тыс. руб.'!G636*1000</f>
        <v>1386700</v>
      </c>
      <c r="K636" s="169">
        <f t="shared" si="400"/>
        <v>0</v>
      </c>
      <c r="L636" s="16">
        <f>'БА в тыс. руб.'!H636*1000</f>
        <v>1386700</v>
      </c>
      <c r="M636" s="169">
        <f t="shared" si="401"/>
        <v>0</v>
      </c>
      <c r="N636" s="16">
        <f>'БА в тыс. руб.'!I636*1000</f>
        <v>1386700</v>
      </c>
      <c r="O636" s="169">
        <f t="shared" si="402"/>
        <v>0</v>
      </c>
      <c r="S636" s="30"/>
      <c r="T636" s="30"/>
      <c r="U636" s="30"/>
    </row>
    <row r="637" spans="1:21" s="3" customFormat="1" ht="25.5">
      <c r="A637" s="11" t="s">
        <v>123</v>
      </c>
      <c r="B637" s="25" t="s">
        <v>26</v>
      </c>
      <c r="C637" s="26" t="s">
        <v>65</v>
      </c>
      <c r="D637" s="26" t="s">
        <v>84</v>
      </c>
      <c r="E637" s="26" t="s">
        <v>688</v>
      </c>
      <c r="F637" s="26" t="s">
        <v>58</v>
      </c>
      <c r="G637" s="27">
        <f>G638+G640+G641+G643</f>
        <v>1386700</v>
      </c>
      <c r="H637" s="27">
        <f t="shared" ref="H637:I637" si="440">H638+H640+H641+H643</f>
        <v>1386700</v>
      </c>
      <c r="I637" s="27">
        <f t="shared" si="440"/>
        <v>1386700</v>
      </c>
      <c r="J637" s="16">
        <f>'БА в тыс. руб.'!G637*1000</f>
        <v>1386700</v>
      </c>
      <c r="K637" s="169">
        <f t="shared" si="400"/>
        <v>0</v>
      </c>
      <c r="L637" s="16">
        <f>'БА в тыс. руб.'!H637*1000</f>
        <v>1386700</v>
      </c>
      <c r="M637" s="169">
        <f t="shared" si="401"/>
        <v>0</v>
      </c>
      <c r="N637" s="16">
        <f>'БА в тыс. руб.'!I637*1000</f>
        <v>1386700</v>
      </c>
      <c r="O637" s="169">
        <f t="shared" si="402"/>
        <v>0</v>
      </c>
      <c r="S637" s="30"/>
      <c r="T637" s="30"/>
      <c r="U637" s="30"/>
    </row>
    <row r="638" spans="1:21" s="3" customFormat="1" ht="25.5">
      <c r="A638" s="11" t="s">
        <v>108</v>
      </c>
      <c r="B638" s="25" t="s">
        <v>26</v>
      </c>
      <c r="C638" s="26" t="s">
        <v>65</v>
      </c>
      <c r="D638" s="26" t="s">
        <v>84</v>
      </c>
      <c r="E638" s="26" t="s">
        <v>688</v>
      </c>
      <c r="F638" s="26" t="s">
        <v>116</v>
      </c>
      <c r="G638" s="27">
        <f>G639</f>
        <v>1058300</v>
      </c>
      <c r="H638" s="27">
        <f t="shared" ref="H638:I638" si="441">H639</f>
        <v>1058300</v>
      </c>
      <c r="I638" s="27">
        <f t="shared" si="441"/>
        <v>1058300</v>
      </c>
      <c r="J638" s="16">
        <f>'БА в тыс. руб.'!G638*1000</f>
        <v>1058300</v>
      </c>
      <c r="K638" s="169">
        <f t="shared" si="400"/>
        <v>0</v>
      </c>
      <c r="L638" s="16">
        <f>'БА в тыс. руб.'!H638*1000</f>
        <v>1058300</v>
      </c>
      <c r="M638" s="169">
        <f t="shared" si="401"/>
        <v>0</v>
      </c>
      <c r="N638" s="16">
        <f>'БА в тыс. руб.'!I638*1000</f>
        <v>1058300</v>
      </c>
      <c r="O638" s="169">
        <f t="shared" si="402"/>
        <v>0</v>
      </c>
      <c r="S638" s="30"/>
      <c r="T638" s="30"/>
      <c r="U638" s="30"/>
    </row>
    <row r="639" spans="1:21" s="4" customFormat="1" ht="25.5">
      <c r="A639" s="12" t="s">
        <v>973</v>
      </c>
      <c r="B639" s="25" t="s">
        <v>26</v>
      </c>
      <c r="C639" s="26" t="s">
        <v>65</v>
      </c>
      <c r="D639" s="26" t="s">
        <v>84</v>
      </c>
      <c r="E639" s="26" t="s">
        <v>688</v>
      </c>
      <c r="F639" s="26" t="s">
        <v>1043</v>
      </c>
      <c r="G639" s="27">
        <f t="shared" ref="G639:G640" si="442">J639</f>
        <v>1058300</v>
      </c>
      <c r="H639" s="27">
        <f t="shared" ref="H639:H640" si="443">L639</f>
        <v>1058300</v>
      </c>
      <c r="I639" s="27">
        <f t="shared" ref="I639:I640" si="444">N639</f>
        <v>1058300</v>
      </c>
      <c r="J639" s="16">
        <f>'БА в тыс. руб.'!G639*1000</f>
        <v>1058300</v>
      </c>
      <c r="K639" s="169">
        <f t="shared" si="400"/>
        <v>0</v>
      </c>
      <c r="L639" s="16">
        <f>'БА в тыс. руб.'!H639*1000</f>
        <v>1058300</v>
      </c>
      <c r="M639" s="169">
        <f t="shared" si="401"/>
        <v>0</v>
      </c>
      <c r="N639" s="16">
        <f>'БА в тыс. руб.'!I639*1000</f>
        <v>1058300</v>
      </c>
      <c r="O639" s="169">
        <f t="shared" si="402"/>
        <v>0</v>
      </c>
      <c r="S639" s="83"/>
      <c r="T639" s="83"/>
      <c r="U639" s="83"/>
    </row>
    <row r="640" spans="1:21" s="3" customFormat="1">
      <c r="A640" s="11" t="s">
        <v>91</v>
      </c>
      <c r="B640" s="25" t="s">
        <v>26</v>
      </c>
      <c r="C640" s="26" t="s">
        <v>65</v>
      </c>
      <c r="D640" s="26" t="s">
        <v>84</v>
      </c>
      <c r="E640" s="26" t="s">
        <v>688</v>
      </c>
      <c r="F640" s="26" t="s">
        <v>100</v>
      </c>
      <c r="G640" s="27">
        <f t="shared" si="442"/>
        <v>26400</v>
      </c>
      <c r="H640" s="27">
        <f t="shared" si="443"/>
        <v>26400</v>
      </c>
      <c r="I640" s="27">
        <f t="shared" si="444"/>
        <v>26400</v>
      </c>
      <c r="J640" s="16">
        <f>'БА в тыс. руб.'!G640*1000</f>
        <v>26400</v>
      </c>
      <c r="K640" s="169">
        <f t="shared" si="400"/>
        <v>0</v>
      </c>
      <c r="L640" s="16">
        <f>'БА в тыс. руб.'!H640*1000</f>
        <v>26400</v>
      </c>
      <c r="M640" s="169">
        <f t="shared" si="401"/>
        <v>0</v>
      </c>
      <c r="N640" s="16">
        <f>'БА в тыс. руб.'!I640*1000</f>
        <v>26400</v>
      </c>
      <c r="O640" s="169">
        <f t="shared" si="402"/>
        <v>0</v>
      </c>
      <c r="S640" s="30"/>
      <c r="T640" s="30"/>
      <c r="U640" s="30"/>
    </row>
    <row r="641" spans="1:21" s="3" customFormat="1" ht="16.149999999999999" customHeight="1">
      <c r="A641" s="11" t="s">
        <v>97</v>
      </c>
      <c r="B641" s="25" t="s">
        <v>26</v>
      </c>
      <c r="C641" s="26" t="s">
        <v>65</v>
      </c>
      <c r="D641" s="26" t="s">
        <v>84</v>
      </c>
      <c r="E641" s="26" t="s">
        <v>688</v>
      </c>
      <c r="F641" s="26" t="s">
        <v>118</v>
      </c>
      <c r="G641" s="27">
        <f>G642</f>
        <v>42000</v>
      </c>
      <c r="H641" s="27">
        <f t="shared" ref="H641:I641" si="445">H642</f>
        <v>42000</v>
      </c>
      <c r="I641" s="27">
        <f t="shared" si="445"/>
        <v>42000</v>
      </c>
      <c r="J641" s="16">
        <f>'БА в тыс. руб.'!G641*1000</f>
        <v>42000</v>
      </c>
      <c r="K641" s="169">
        <f t="shared" si="400"/>
        <v>0</v>
      </c>
      <c r="L641" s="16">
        <f>'БА в тыс. руб.'!H641*1000</f>
        <v>42000</v>
      </c>
      <c r="M641" s="169">
        <f t="shared" si="401"/>
        <v>0</v>
      </c>
      <c r="N641" s="16">
        <f>'БА в тыс. руб.'!I641*1000</f>
        <v>42000</v>
      </c>
      <c r="O641" s="169">
        <f t="shared" si="402"/>
        <v>0</v>
      </c>
      <c r="S641" s="30"/>
      <c r="T641" s="30"/>
      <c r="U641" s="30"/>
    </row>
    <row r="642" spans="1:21" s="4" customFormat="1" ht="16.149999999999999" customHeight="1">
      <c r="A642" s="12" t="s">
        <v>1038</v>
      </c>
      <c r="B642" s="25" t="s">
        <v>26</v>
      </c>
      <c r="C642" s="26" t="s">
        <v>65</v>
      </c>
      <c r="D642" s="26" t="s">
        <v>84</v>
      </c>
      <c r="E642" s="26" t="s">
        <v>688</v>
      </c>
      <c r="F642" s="26" t="s">
        <v>1066</v>
      </c>
      <c r="G642" s="27">
        <f t="shared" ref="G642" si="446">J642</f>
        <v>42000</v>
      </c>
      <c r="H642" s="27">
        <f>L642</f>
        <v>42000</v>
      </c>
      <c r="I642" s="27">
        <f>N642</f>
        <v>42000</v>
      </c>
      <c r="J642" s="16">
        <f>'БА в тыс. руб.'!G642*1000</f>
        <v>42000</v>
      </c>
      <c r="K642" s="169">
        <f t="shared" si="400"/>
        <v>0</v>
      </c>
      <c r="L642" s="16">
        <f>'БА в тыс. руб.'!H642*1000</f>
        <v>42000</v>
      </c>
      <c r="M642" s="169">
        <f t="shared" si="401"/>
        <v>0</v>
      </c>
      <c r="N642" s="16">
        <f>'БА в тыс. руб.'!I642*1000</f>
        <v>42000</v>
      </c>
      <c r="O642" s="169">
        <f t="shared" si="402"/>
        <v>0</v>
      </c>
      <c r="S642" s="83"/>
      <c r="T642" s="83"/>
      <c r="U642" s="83"/>
    </row>
    <row r="643" spans="1:21" s="3" customFormat="1" ht="25.5">
      <c r="A643" s="11" t="s">
        <v>704</v>
      </c>
      <c r="B643" s="25" t="s">
        <v>26</v>
      </c>
      <c r="C643" s="26" t="s">
        <v>65</v>
      </c>
      <c r="D643" s="26" t="s">
        <v>84</v>
      </c>
      <c r="E643" s="26" t="s">
        <v>688</v>
      </c>
      <c r="F643" s="26" t="s">
        <v>703</v>
      </c>
      <c r="G643" s="27">
        <f>G644</f>
        <v>260000</v>
      </c>
      <c r="H643" s="27">
        <f t="shared" ref="H643:I643" si="447">H644</f>
        <v>260000</v>
      </c>
      <c r="I643" s="27">
        <f t="shared" si="447"/>
        <v>260000</v>
      </c>
      <c r="J643" s="16">
        <f>'БА в тыс. руб.'!G643*1000</f>
        <v>260000</v>
      </c>
      <c r="K643" s="169">
        <f t="shared" si="400"/>
        <v>0</v>
      </c>
      <c r="L643" s="16">
        <f>'БА в тыс. руб.'!H643*1000</f>
        <v>260000</v>
      </c>
      <c r="M643" s="169">
        <f t="shared" si="401"/>
        <v>0</v>
      </c>
      <c r="N643" s="16">
        <f>'БА в тыс. руб.'!I643*1000</f>
        <v>260000</v>
      </c>
      <c r="O643" s="169">
        <f t="shared" si="402"/>
        <v>0</v>
      </c>
      <c r="S643" s="30"/>
      <c r="T643" s="30"/>
      <c r="U643" s="30"/>
    </row>
    <row r="644" spans="1:21" s="4" customFormat="1">
      <c r="A644" s="12" t="s">
        <v>1041</v>
      </c>
      <c r="B644" s="25" t="s">
        <v>26</v>
      </c>
      <c r="C644" s="26" t="s">
        <v>65</v>
      </c>
      <c r="D644" s="26" t="s">
        <v>84</v>
      </c>
      <c r="E644" s="26" t="s">
        <v>688</v>
      </c>
      <c r="F644" s="26" t="s">
        <v>1067</v>
      </c>
      <c r="G644" s="27">
        <f t="shared" ref="G644" si="448">J644</f>
        <v>260000</v>
      </c>
      <c r="H644" s="27">
        <f>L644</f>
        <v>260000</v>
      </c>
      <c r="I644" s="27">
        <f>N644</f>
        <v>260000</v>
      </c>
      <c r="J644" s="16">
        <f>'БА в тыс. руб.'!G644*1000</f>
        <v>260000</v>
      </c>
      <c r="K644" s="169">
        <f t="shared" si="400"/>
        <v>0</v>
      </c>
      <c r="L644" s="16">
        <f>'БА в тыс. руб.'!H644*1000</f>
        <v>260000</v>
      </c>
      <c r="M644" s="169">
        <f t="shared" si="401"/>
        <v>0</v>
      </c>
      <c r="N644" s="16">
        <f>'БА в тыс. руб.'!I644*1000</f>
        <v>260000</v>
      </c>
      <c r="O644" s="169">
        <f t="shared" si="402"/>
        <v>0</v>
      </c>
      <c r="S644" s="83"/>
      <c r="T644" s="83"/>
      <c r="U644" s="83"/>
    </row>
    <row r="645" spans="1:21" s="3" customFormat="1">
      <c r="A645" s="17" t="s">
        <v>70</v>
      </c>
      <c r="B645" s="18" t="s">
        <v>26</v>
      </c>
      <c r="C645" s="19" t="s">
        <v>71</v>
      </c>
      <c r="D645" s="19" t="s">
        <v>51</v>
      </c>
      <c r="E645" s="19" t="s">
        <v>196</v>
      </c>
      <c r="F645" s="19" t="s">
        <v>58</v>
      </c>
      <c r="G645" s="20">
        <f>G646+G694</f>
        <v>129982080</v>
      </c>
      <c r="H645" s="20">
        <f>H646+H694</f>
        <v>126813010</v>
      </c>
      <c r="I645" s="20">
        <f>I646+I694</f>
        <v>129408970</v>
      </c>
      <c r="J645" s="16">
        <f>'БА в тыс. руб.'!G645*1000</f>
        <v>129982080</v>
      </c>
      <c r="K645" s="169">
        <f t="shared" si="400"/>
        <v>0</v>
      </c>
      <c r="L645" s="16">
        <f>'БА в тыс. руб.'!H645*1000</f>
        <v>126813010</v>
      </c>
      <c r="M645" s="169">
        <f t="shared" si="401"/>
        <v>0</v>
      </c>
      <c r="N645" s="16">
        <f>'БА в тыс. руб.'!I645*1000</f>
        <v>129408970</v>
      </c>
      <c r="O645" s="169">
        <f t="shared" si="402"/>
        <v>0</v>
      </c>
      <c r="S645" s="30"/>
      <c r="T645" s="30"/>
      <c r="U645" s="30"/>
    </row>
    <row r="646" spans="1:21" s="3" customFormat="1">
      <c r="A646" s="21" t="s">
        <v>779</v>
      </c>
      <c r="B646" s="22" t="s">
        <v>26</v>
      </c>
      <c r="C646" s="23" t="s">
        <v>71</v>
      </c>
      <c r="D646" s="23" t="s">
        <v>53</v>
      </c>
      <c r="E646" s="23" t="s">
        <v>196</v>
      </c>
      <c r="F646" s="23" t="s">
        <v>58</v>
      </c>
      <c r="G646" s="24">
        <f>G647+G680+G688</f>
        <v>122975570</v>
      </c>
      <c r="H646" s="24">
        <f>H647+H680+H688</f>
        <v>120235310</v>
      </c>
      <c r="I646" s="24">
        <f>I647+I680+I688</f>
        <v>122831270</v>
      </c>
      <c r="J646" s="16">
        <f>'БА в тыс. руб.'!G646*1000</f>
        <v>122975570</v>
      </c>
      <c r="K646" s="169">
        <f t="shared" si="400"/>
        <v>0</v>
      </c>
      <c r="L646" s="16">
        <f>'БА в тыс. руб.'!H646*1000</f>
        <v>120235310</v>
      </c>
      <c r="M646" s="169">
        <f t="shared" si="401"/>
        <v>0</v>
      </c>
      <c r="N646" s="16">
        <f>'БА в тыс. руб.'!I646*1000</f>
        <v>122831270</v>
      </c>
      <c r="O646" s="169">
        <f t="shared" si="402"/>
        <v>0</v>
      </c>
      <c r="S646" s="30"/>
      <c r="T646" s="30"/>
      <c r="U646" s="30"/>
    </row>
    <row r="647" spans="1:21" s="3" customFormat="1">
      <c r="A647" s="11" t="s">
        <v>739</v>
      </c>
      <c r="B647" s="25" t="s">
        <v>26</v>
      </c>
      <c r="C647" s="26" t="s">
        <v>71</v>
      </c>
      <c r="D647" s="26" t="s">
        <v>53</v>
      </c>
      <c r="E647" s="26" t="s">
        <v>277</v>
      </c>
      <c r="F647" s="26" t="s">
        <v>58</v>
      </c>
      <c r="G647" s="27">
        <f>G648+G655</f>
        <v>121587130</v>
      </c>
      <c r="H647" s="27">
        <f>H648+H655</f>
        <v>118946430</v>
      </c>
      <c r="I647" s="27">
        <f>I648+I655</f>
        <v>121542390</v>
      </c>
      <c r="J647" s="16">
        <f>'БА в тыс. руб.'!G647*1000</f>
        <v>121587130</v>
      </c>
      <c r="K647" s="169">
        <f t="shared" si="400"/>
        <v>0</v>
      </c>
      <c r="L647" s="16">
        <f>'БА в тыс. руб.'!H647*1000</f>
        <v>118946430</v>
      </c>
      <c r="M647" s="169">
        <f t="shared" si="401"/>
        <v>0</v>
      </c>
      <c r="N647" s="16">
        <f>'БА в тыс. руб.'!I647*1000</f>
        <v>121542390</v>
      </c>
      <c r="O647" s="169">
        <f t="shared" si="402"/>
        <v>0</v>
      </c>
      <c r="S647" s="30"/>
      <c r="T647" s="30"/>
      <c r="U647" s="30"/>
    </row>
    <row r="648" spans="1:21" s="3" customFormat="1" ht="51">
      <c r="A648" s="11" t="s">
        <v>191</v>
      </c>
      <c r="B648" s="25" t="s">
        <v>26</v>
      </c>
      <c r="C648" s="26" t="s">
        <v>71</v>
      </c>
      <c r="D648" s="26" t="s">
        <v>53</v>
      </c>
      <c r="E648" s="26" t="s">
        <v>278</v>
      </c>
      <c r="F648" s="26" t="s">
        <v>58</v>
      </c>
      <c r="G648" s="27">
        <f t="shared" ref="G648:I649" si="449">G649</f>
        <v>412000</v>
      </c>
      <c r="H648" s="27">
        <f t="shared" si="449"/>
        <v>412000</v>
      </c>
      <c r="I648" s="27">
        <f t="shared" si="449"/>
        <v>412000</v>
      </c>
      <c r="J648" s="16">
        <f>'БА в тыс. руб.'!G648*1000</f>
        <v>412000</v>
      </c>
      <c r="K648" s="169">
        <f t="shared" ref="K648:K711" si="450">J648-G648</f>
        <v>0</v>
      </c>
      <c r="L648" s="16">
        <f>'БА в тыс. руб.'!H648*1000</f>
        <v>412000</v>
      </c>
      <c r="M648" s="169">
        <f t="shared" ref="M648:M711" si="451">L648-H648</f>
        <v>0</v>
      </c>
      <c r="N648" s="16">
        <f>'БА в тыс. руб.'!I648*1000</f>
        <v>412000</v>
      </c>
      <c r="O648" s="169">
        <f t="shared" ref="O648:O711" si="452">N648-I648</f>
        <v>0</v>
      </c>
      <c r="S648" s="30"/>
      <c r="T648" s="30"/>
      <c r="U648" s="30"/>
    </row>
    <row r="649" spans="1:21" s="3" customFormat="1" ht="63.75">
      <c r="A649" s="11" t="s">
        <v>605</v>
      </c>
      <c r="B649" s="25" t="s">
        <v>26</v>
      </c>
      <c r="C649" s="26" t="s">
        <v>71</v>
      </c>
      <c r="D649" s="26" t="s">
        <v>53</v>
      </c>
      <c r="E649" s="26" t="s">
        <v>279</v>
      </c>
      <c r="F649" s="26" t="s">
        <v>58</v>
      </c>
      <c r="G649" s="27">
        <f t="shared" si="449"/>
        <v>412000</v>
      </c>
      <c r="H649" s="27">
        <f t="shared" si="449"/>
        <v>412000</v>
      </c>
      <c r="I649" s="27">
        <f t="shared" si="449"/>
        <v>412000</v>
      </c>
      <c r="J649" s="16">
        <f>'БА в тыс. руб.'!G649*1000</f>
        <v>412000</v>
      </c>
      <c r="K649" s="169">
        <f t="shared" si="450"/>
        <v>0</v>
      </c>
      <c r="L649" s="16">
        <f>'БА в тыс. руб.'!H649*1000</f>
        <v>412000</v>
      </c>
      <c r="M649" s="169">
        <f t="shared" si="451"/>
        <v>0</v>
      </c>
      <c r="N649" s="16">
        <f>'БА в тыс. руб.'!I649*1000</f>
        <v>412000</v>
      </c>
      <c r="O649" s="169">
        <f t="shared" si="452"/>
        <v>0</v>
      </c>
      <c r="S649" s="30"/>
      <c r="T649" s="30"/>
      <c r="U649" s="30"/>
    </row>
    <row r="650" spans="1:21" s="3" customFormat="1" ht="25.5">
      <c r="A650" s="11" t="s">
        <v>161</v>
      </c>
      <c r="B650" s="25" t="s">
        <v>26</v>
      </c>
      <c r="C650" s="26" t="s">
        <v>71</v>
      </c>
      <c r="D650" s="26" t="s">
        <v>53</v>
      </c>
      <c r="E650" s="26" t="s">
        <v>320</v>
      </c>
      <c r="F650" s="26" t="s">
        <v>58</v>
      </c>
      <c r="G650" s="27">
        <f>G651+G653</f>
        <v>412000</v>
      </c>
      <c r="H650" s="27">
        <f>H651+H653</f>
        <v>412000</v>
      </c>
      <c r="I650" s="27">
        <f>I651+I653</f>
        <v>412000</v>
      </c>
      <c r="J650" s="16">
        <f>'БА в тыс. руб.'!G650*1000</f>
        <v>412000</v>
      </c>
      <c r="K650" s="169">
        <f t="shared" si="450"/>
        <v>0</v>
      </c>
      <c r="L650" s="16">
        <f>'БА в тыс. руб.'!H650*1000</f>
        <v>412000</v>
      </c>
      <c r="M650" s="169">
        <f t="shared" si="451"/>
        <v>0</v>
      </c>
      <c r="N650" s="16">
        <f>'БА в тыс. руб.'!I650*1000</f>
        <v>412000</v>
      </c>
      <c r="O650" s="169">
        <f t="shared" si="452"/>
        <v>0</v>
      </c>
      <c r="S650" s="30"/>
      <c r="T650" s="30"/>
      <c r="U650" s="30"/>
    </row>
    <row r="651" spans="1:21" s="3" customFormat="1">
      <c r="A651" s="13" t="s">
        <v>92</v>
      </c>
      <c r="B651" s="25" t="s">
        <v>26</v>
      </c>
      <c r="C651" s="26" t="s">
        <v>71</v>
      </c>
      <c r="D651" s="26" t="s">
        <v>53</v>
      </c>
      <c r="E651" s="26" t="s">
        <v>320</v>
      </c>
      <c r="F651" s="26" t="s">
        <v>138</v>
      </c>
      <c r="G651" s="27">
        <f>G652</f>
        <v>347000</v>
      </c>
      <c r="H651" s="27">
        <f t="shared" ref="H651:I651" si="453">H652</f>
        <v>347000</v>
      </c>
      <c r="I651" s="27">
        <f t="shared" si="453"/>
        <v>347000</v>
      </c>
      <c r="J651" s="16">
        <f>'БА в тыс. руб.'!G651*1000</f>
        <v>347000</v>
      </c>
      <c r="K651" s="169">
        <f t="shared" si="450"/>
        <v>0</v>
      </c>
      <c r="L651" s="16">
        <f>'БА в тыс. руб.'!H651*1000</f>
        <v>347000</v>
      </c>
      <c r="M651" s="169">
        <f t="shared" si="451"/>
        <v>0</v>
      </c>
      <c r="N651" s="16">
        <f>'БА в тыс. руб.'!I651*1000</f>
        <v>347000</v>
      </c>
      <c r="O651" s="169">
        <f t="shared" si="452"/>
        <v>0</v>
      </c>
      <c r="S651" s="30"/>
      <c r="T651" s="30"/>
      <c r="U651" s="30"/>
    </row>
    <row r="652" spans="1:21" s="4" customFormat="1" ht="38.25">
      <c r="A652" s="12" t="s">
        <v>1015</v>
      </c>
      <c r="B652" s="25" t="s">
        <v>26</v>
      </c>
      <c r="C652" s="26" t="s">
        <v>71</v>
      </c>
      <c r="D652" s="26" t="s">
        <v>53</v>
      </c>
      <c r="E652" s="26" t="s">
        <v>320</v>
      </c>
      <c r="F652" s="26" t="s">
        <v>67</v>
      </c>
      <c r="G652" s="27">
        <f t="shared" ref="G652" si="454">J652</f>
        <v>347000</v>
      </c>
      <c r="H652" s="27">
        <f>L652</f>
        <v>347000</v>
      </c>
      <c r="I652" s="27">
        <f>N652</f>
        <v>347000</v>
      </c>
      <c r="J652" s="16">
        <f>'БА в тыс. руб.'!G652*1000</f>
        <v>347000</v>
      </c>
      <c r="K652" s="169">
        <f t="shared" si="450"/>
        <v>0</v>
      </c>
      <c r="L652" s="16">
        <f>'БА в тыс. руб.'!H652*1000</f>
        <v>347000</v>
      </c>
      <c r="M652" s="169">
        <f t="shared" si="451"/>
        <v>0</v>
      </c>
      <c r="N652" s="16">
        <f>'БА в тыс. руб.'!I652*1000</f>
        <v>347000</v>
      </c>
      <c r="O652" s="169">
        <f t="shared" si="452"/>
        <v>0</v>
      </c>
      <c r="S652" s="83"/>
      <c r="T652" s="83"/>
      <c r="U652" s="83"/>
    </row>
    <row r="653" spans="1:21" s="3" customFormat="1">
      <c r="A653" s="40" t="s">
        <v>93</v>
      </c>
      <c r="B653" s="25" t="s">
        <v>26</v>
      </c>
      <c r="C653" s="26" t="s">
        <v>71</v>
      </c>
      <c r="D653" s="26" t="s">
        <v>53</v>
      </c>
      <c r="E653" s="26" t="s">
        <v>320</v>
      </c>
      <c r="F653" s="26" t="s">
        <v>20</v>
      </c>
      <c r="G653" s="27">
        <f>G654</f>
        <v>65000</v>
      </c>
      <c r="H653" s="27">
        <f t="shared" ref="H653:I653" si="455">H654</f>
        <v>65000</v>
      </c>
      <c r="I653" s="27">
        <f t="shared" si="455"/>
        <v>65000</v>
      </c>
      <c r="J653" s="16">
        <f>'БА в тыс. руб.'!G653*1000</f>
        <v>65000</v>
      </c>
      <c r="K653" s="169">
        <f t="shared" si="450"/>
        <v>0</v>
      </c>
      <c r="L653" s="16">
        <f>'БА в тыс. руб.'!H653*1000</f>
        <v>65000</v>
      </c>
      <c r="M653" s="169">
        <f t="shared" si="451"/>
        <v>0</v>
      </c>
      <c r="N653" s="16">
        <f>'БА в тыс. руб.'!I653*1000</f>
        <v>65000</v>
      </c>
      <c r="O653" s="169">
        <f t="shared" si="452"/>
        <v>0</v>
      </c>
      <c r="S653" s="30"/>
      <c r="T653" s="30"/>
      <c r="U653" s="30"/>
    </row>
    <row r="654" spans="1:21" s="4" customFormat="1" ht="38.25">
      <c r="A654" s="12" t="s">
        <v>1018</v>
      </c>
      <c r="B654" s="25" t="s">
        <v>26</v>
      </c>
      <c r="C654" s="26" t="s">
        <v>71</v>
      </c>
      <c r="D654" s="26" t="s">
        <v>53</v>
      </c>
      <c r="E654" s="26" t="s">
        <v>320</v>
      </c>
      <c r="F654" s="26" t="s">
        <v>16</v>
      </c>
      <c r="G654" s="27">
        <f t="shared" ref="G654" si="456">J654</f>
        <v>65000</v>
      </c>
      <c r="H654" s="27">
        <f>L654</f>
        <v>65000</v>
      </c>
      <c r="I654" s="27">
        <f>N654</f>
        <v>65000</v>
      </c>
      <c r="J654" s="16">
        <f>'БА в тыс. руб.'!G654*1000</f>
        <v>65000</v>
      </c>
      <c r="K654" s="169">
        <f t="shared" si="450"/>
        <v>0</v>
      </c>
      <c r="L654" s="16">
        <f>'БА в тыс. руб.'!H654*1000</f>
        <v>65000</v>
      </c>
      <c r="M654" s="169">
        <f t="shared" si="451"/>
        <v>0</v>
      </c>
      <c r="N654" s="16">
        <f>'БА в тыс. руб.'!I654*1000</f>
        <v>65000</v>
      </c>
      <c r="O654" s="169">
        <f t="shared" si="452"/>
        <v>0</v>
      </c>
      <c r="S654" s="83"/>
      <c r="T654" s="83"/>
      <c r="U654" s="83"/>
    </row>
    <row r="655" spans="1:21" s="3" customFormat="1">
      <c r="A655" s="11" t="s">
        <v>140</v>
      </c>
      <c r="B655" s="25" t="s">
        <v>26</v>
      </c>
      <c r="C655" s="26" t="s">
        <v>71</v>
      </c>
      <c r="D655" s="26" t="s">
        <v>53</v>
      </c>
      <c r="E655" s="26" t="s">
        <v>372</v>
      </c>
      <c r="F655" s="26" t="s">
        <v>58</v>
      </c>
      <c r="G655" s="27">
        <f>G656+G662+G666+G670+G676</f>
        <v>121175130</v>
      </c>
      <c r="H655" s="27">
        <f>H656+H662+H666+H670+H676</f>
        <v>118534430</v>
      </c>
      <c r="I655" s="27">
        <f>I656+I662+I666+I670+I676</f>
        <v>121130390</v>
      </c>
      <c r="J655" s="16">
        <f>'БА в тыс. руб.'!G655*1000</f>
        <v>121175130</v>
      </c>
      <c r="K655" s="169">
        <f t="shared" si="450"/>
        <v>0</v>
      </c>
      <c r="L655" s="16">
        <f>'БА в тыс. руб.'!H655*1000</f>
        <v>118534430</v>
      </c>
      <c r="M655" s="169">
        <f t="shared" si="451"/>
        <v>0</v>
      </c>
      <c r="N655" s="16">
        <f>'БА в тыс. руб.'!I655*1000</f>
        <v>121130390</v>
      </c>
      <c r="O655" s="169">
        <f t="shared" si="452"/>
        <v>0</v>
      </c>
      <c r="S655" s="30"/>
      <c r="T655" s="30"/>
      <c r="U655" s="30"/>
    </row>
    <row r="656" spans="1:21" s="3" customFormat="1" ht="38.25">
      <c r="A656" s="11" t="s">
        <v>780</v>
      </c>
      <c r="B656" s="25" t="s">
        <v>26</v>
      </c>
      <c r="C656" s="26" t="s">
        <v>71</v>
      </c>
      <c r="D656" s="26" t="s">
        <v>53</v>
      </c>
      <c r="E656" s="26" t="s">
        <v>373</v>
      </c>
      <c r="F656" s="26" t="s">
        <v>58</v>
      </c>
      <c r="G656" s="27">
        <f>G657</f>
        <v>117785180</v>
      </c>
      <c r="H656" s="27">
        <f t="shared" ref="H656:I656" si="457">H657</f>
        <v>118166030</v>
      </c>
      <c r="I656" s="27">
        <f t="shared" si="457"/>
        <v>118166030</v>
      </c>
      <c r="J656" s="16">
        <f>'БА в тыс. руб.'!G656*1000</f>
        <v>117785180.00000001</v>
      </c>
      <c r="K656" s="169">
        <f t="shared" si="450"/>
        <v>0</v>
      </c>
      <c r="L656" s="16">
        <f>'БА в тыс. руб.'!H656*1000</f>
        <v>118166030</v>
      </c>
      <c r="M656" s="169">
        <f t="shared" si="451"/>
        <v>0</v>
      </c>
      <c r="N656" s="16">
        <f>'БА в тыс. руб.'!I656*1000</f>
        <v>118166030</v>
      </c>
      <c r="O656" s="169">
        <f t="shared" si="452"/>
        <v>0</v>
      </c>
      <c r="S656" s="30"/>
      <c r="T656" s="30"/>
      <c r="U656" s="30"/>
    </row>
    <row r="657" spans="1:21" s="3" customFormat="1" ht="25.5">
      <c r="A657" s="11" t="s">
        <v>247</v>
      </c>
      <c r="B657" s="25" t="s">
        <v>26</v>
      </c>
      <c r="C657" s="26" t="s">
        <v>71</v>
      </c>
      <c r="D657" s="26" t="s">
        <v>53</v>
      </c>
      <c r="E657" s="26" t="s">
        <v>374</v>
      </c>
      <c r="F657" s="26" t="s">
        <v>58</v>
      </c>
      <c r="G657" s="27">
        <f>G658+G660</f>
        <v>117785180</v>
      </c>
      <c r="H657" s="27">
        <f t="shared" ref="H657:I657" si="458">H658+H660</f>
        <v>118166030</v>
      </c>
      <c r="I657" s="27">
        <f t="shared" si="458"/>
        <v>118166030</v>
      </c>
      <c r="J657" s="16">
        <f>'БА в тыс. руб.'!G657*1000</f>
        <v>117785180.00000001</v>
      </c>
      <c r="K657" s="169">
        <f t="shared" si="450"/>
        <v>0</v>
      </c>
      <c r="L657" s="16">
        <f>'БА в тыс. руб.'!H657*1000</f>
        <v>118166030</v>
      </c>
      <c r="M657" s="169">
        <f t="shared" si="451"/>
        <v>0</v>
      </c>
      <c r="N657" s="16">
        <f>'БА в тыс. руб.'!I657*1000</f>
        <v>118166030</v>
      </c>
      <c r="O657" s="169">
        <f t="shared" si="452"/>
        <v>0</v>
      </c>
      <c r="S657" s="30"/>
      <c r="T657" s="30"/>
      <c r="U657" s="30"/>
    </row>
    <row r="658" spans="1:21" s="3" customFormat="1">
      <c r="A658" s="13" t="s">
        <v>92</v>
      </c>
      <c r="B658" s="25" t="s">
        <v>26</v>
      </c>
      <c r="C658" s="26" t="s">
        <v>71</v>
      </c>
      <c r="D658" s="26" t="s">
        <v>53</v>
      </c>
      <c r="E658" s="26" t="s">
        <v>374</v>
      </c>
      <c r="F658" s="26" t="s">
        <v>138</v>
      </c>
      <c r="G658" s="27">
        <f>G659</f>
        <v>104835600</v>
      </c>
      <c r="H658" s="27">
        <f t="shared" ref="H658:I658" si="459">H659</f>
        <v>104835600</v>
      </c>
      <c r="I658" s="27">
        <f t="shared" si="459"/>
        <v>104835600</v>
      </c>
      <c r="J658" s="16">
        <f>'БА в тыс. руб.'!G658*1000</f>
        <v>104835600</v>
      </c>
      <c r="K658" s="169">
        <f t="shared" si="450"/>
        <v>0</v>
      </c>
      <c r="L658" s="16">
        <f>'БА в тыс. руб.'!H658*1000</f>
        <v>104835600</v>
      </c>
      <c r="M658" s="169">
        <f t="shared" si="451"/>
        <v>0</v>
      </c>
      <c r="N658" s="16">
        <f>'БА в тыс. руб.'!I658*1000</f>
        <v>104835600</v>
      </c>
      <c r="O658" s="169">
        <f t="shared" si="452"/>
        <v>0</v>
      </c>
      <c r="S658" s="30"/>
      <c r="T658" s="30"/>
      <c r="U658" s="30"/>
    </row>
    <row r="659" spans="1:21" s="4" customFormat="1" ht="38.25">
      <c r="A659" s="12" t="s">
        <v>1015</v>
      </c>
      <c r="B659" s="25" t="s">
        <v>26</v>
      </c>
      <c r="C659" s="26" t="s">
        <v>71</v>
      </c>
      <c r="D659" s="26" t="s">
        <v>53</v>
      </c>
      <c r="E659" s="26" t="s">
        <v>374</v>
      </c>
      <c r="F659" s="26" t="s">
        <v>67</v>
      </c>
      <c r="G659" s="27">
        <f t="shared" ref="G659" si="460">J659</f>
        <v>104835600</v>
      </c>
      <c r="H659" s="27">
        <f>L659</f>
        <v>104835600</v>
      </c>
      <c r="I659" s="27">
        <f>N659</f>
        <v>104835600</v>
      </c>
      <c r="J659" s="16">
        <f>'БА в тыс. руб.'!G659*1000</f>
        <v>104835600</v>
      </c>
      <c r="K659" s="169">
        <f t="shared" si="450"/>
        <v>0</v>
      </c>
      <c r="L659" s="16">
        <f>'БА в тыс. руб.'!H659*1000</f>
        <v>104835600</v>
      </c>
      <c r="M659" s="169">
        <f t="shared" si="451"/>
        <v>0</v>
      </c>
      <c r="N659" s="16">
        <f>'БА в тыс. руб.'!I659*1000</f>
        <v>104835600</v>
      </c>
      <c r="O659" s="169">
        <f t="shared" si="452"/>
        <v>0</v>
      </c>
      <c r="S659" s="83"/>
      <c r="T659" s="83"/>
      <c r="U659" s="83"/>
    </row>
    <row r="660" spans="1:21" s="30" customFormat="1">
      <c r="A660" s="13" t="s">
        <v>93</v>
      </c>
      <c r="B660" s="25" t="s">
        <v>26</v>
      </c>
      <c r="C660" s="26" t="s">
        <v>71</v>
      </c>
      <c r="D660" s="26" t="s">
        <v>53</v>
      </c>
      <c r="E660" s="26" t="s">
        <v>374</v>
      </c>
      <c r="F660" s="26" t="s">
        <v>20</v>
      </c>
      <c r="G660" s="27">
        <f>G661</f>
        <v>12949580</v>
      </c>
      <c r="H660" s="27">
        <f t="shared" ref="H660:I660" si="461">H661</f>
        <v>13330430</v>
      </c>
      <c r="I660" s="27">
        <f t="shared" si="461"/>
        <v>13330430</v>
      </c>
      <c r="J660" s="16">
        <f>'БА в тыс. руб.'!G660*1000</f>
        <v>12949580</v>
      </c>
      <c r="K660" s="169">
        <f t="shared" si="450"/>
        <v>0</v>
      </c>
      <c r="L660" s="16">
        <f>'БА в тыс. руб.'!H660*1000</f>
        <v>13330430</v>
      </c>
      <c r="M660" s="169">
        <f t="shared" si="451"/>
        <v>0</v>
      </c>
      <c r="N660" s="16">
        <f>'БА в тыс. руб.'!I660*1000</f>
        <v>13330430</v>
      </c>
      <c r="O660" s="169">
        <f t="shared" si="452"/>
        <v>0</v>
      </c>
    </row>
    <row r="661" spans="1:21" s="83" customFormat="1" ht="38.25">
      <c r="A661" s="12" t="s">
        <v>1018</v>
      </c>
      <c r="B661" s="25" t="s">
        <v>26</v>
      </c>
      <c r="C661" s="26" t="s">
        <v>71</v>
      </c>
      <c r="D661" s="26" t="s">
        <v>53</v>
      </c>
      <c r="E661" s="26" t="s">
        <v>374</v>
      </c>
      <c r="F661" s="26" t="s">
        <v>16</v>
      </c>
      <c r="G661" s="27">
        <f t="shared" ref="G661" si="462">J661</f>
        <v>12949580</v>
      </c>
      <c r="H661" s="27">
        <f>L661</f>
        <v>13330430</v>
      </c>
      <c r="I661" s="27">
        <f>N661</f>
        <v>13330430</v>
      </c>
      <c r="J661" s="16">
        <f>'БА в тыс. руб.'!G661*1000</f>
        <v>12949580</v>
      </c>
      <c r="K661" s="169">
        <f t="shared" si="450"/>
        <v>0</v>
      </c>
      <c r="L661" s="16">
        <f>'БА в тыс. руб.'!H661*1000</f>
        <v>13330430</v>
      </c>
      <c r="M661" s="169">
        <f t="shared" si="451"/>
        <v>0</v>
      </c>
      <c r="N661" s="16">
        <f>'БА в тыс. руб.'!I661*1000</f>
        <v>13330430</v>
      </c>
      <c r="O661" s="169">
        <f t="shared" si="452"/>
        <v>0</v>
      </c>
    </row>
    <row r="662" spans="1:21" s="3" customFormat="1" ht="38.25">
      <c r="A662" s="11" t="s">
        <v>621</v>
      </c>
      <c r="B662" s="25" t="s">
        <v>26</v>
      </c>
      <c r="C662" s="26" t="s">
        <v>71</v>
      </c>
      <c r="D662" s="26" t="s">
        <v>53</v>
      </c>
      <c r="E662" s="26" t="s">
        <v>375</v>
      </c>
      <c r="F662" s="26" t="s">
        <v>58</v>
      </c>
      <c r="G662" s="27">
        <f t="shared" ref="G662:I664" si="463">G663</f>
        <v>0</v>
      </c>
      <c r="H662" s="27">
        <f t="shared" si="463"/>
        <v>0</v>
      </c>
      <c r="I662" s="27">
        <f t="shared" si="463"/>
        <v>2595960</v>
      </c>
      <c r="J662" s="16">
        <f>'БА в тыс. руб.'!G662*1000</f>
        <v>0</v>
      </c>
      <c r="K662" s="169">
        <f t="shared" si="450"/>
        <v>0</v>
      </c>
      <c r="L662" s="16">
        <f>'БА в тыс. руб.'!H662*1000</f>
        <v>0</v>
      </c>
      <c r="M662" s="169">
        <f t="shared" si="451"/>
        <v>0</v>
      </c>
      <c r="N662" s="16">
        <f>'БА в тыс. руб.'!I662*1000</f>
        <v>2595960</v>
      </c>
      <c r="O662" s="169">
        <f t="shared" si="452"/>
        <v>0</v>
      </c>
      <c r="S662" s="30"/>
      <c r="T662" s="30"/>
      <c r="U662" s="30"/>
    </row>
    <row r="663" spans="1:21" s="3" customFormat="1" ht="25.5">
      <c r="A663" s="11" t="s">
        <v>162</v>
      </c>
      <c r="B663" s="25" t="s">
        <v>26</v>
      </c>
      <c r="C663" s="26" t="s">
        <v>71</v>
      </c>
      <c r="D663" s="26" t="s">
        <v>53</v>
      </c>
      <c r="E663" s="26" t="s">
        <v>376</v>
      </c>
      <c r="F663" s="26" t="s">
        <v>58</v>
      </c>
      <c r="G663" s="27">
        <f t="shared" si="463"/>
        <v>0</v>
      </c>
      <c r="H663" s="27">
        <f t="shared" si="463"/>
        <v>0</v>
      </c>
      <c r="I663" s="27">
        <f t="shared" si="463"/>
        <v>2595960</v>
      </c>
      <c r="J663" s="16">
        <f>'БА в тыс. руб.'!G663*1000</f>
        <v>0</v>
      </c>
      <c r="K663" s="169">
        <f t="shared" si="450"/>
        <v>0</v>
      </c>
      <c r="L663" s="16">
        <f>'БА в тыс. руб.'!H663*1000</f>
        <v>0</v>
      </c>
      <c r="M663" s="169">
        <f t="shared" si="451"/>
        <v>0</v>
      </c>
      <c r="N663" s="16">
        <f>'БА в тыс. руб.'!I663*1000</f>
        <v>2595960</v>
      </c>
      <c r="O663" s="169">
        <f t="shared" si="452"/>
        <v>0</v>
      </c>
      <c r="S663" s="30"/>
      <c r="T663" s="30"/>
      <c r="U663" s="30"/>
    </row>
    <row r="664" spans="1:21" s="3" customFormat="1">
      <c r="A664" s="13" t="s">
        <v>92</v>
      </c>
      <c r="B664" s="25" t="s">
        <v>26</v>
      </c>
      <c r="C664" s="26" t="s">
        <v>71</v>
      </c>
      <c r="D664" s="26" t="s">
        <v>53</v>
      </c>
      <c r="E664" s="26" t="s">
        <v>376</v>
      </c>
      <c r="F664" s="26" t="s">
        <v>138</v>
      </c>
      <c r="G664" s="27">
        <f>G665</f>
        <v>0</v>
      </c>
      <c r="H664" s="27">
        <f t="shared" si="463"/>
        <v>0</v>
      </c>
      <c r="I664" s="27">
        <f t="shared" si="463"/>
        <v>2595960</v>
      </c>
      <c r="J664" s="16">
        <f>'БА в тыс. руб.'!G664*1000</f>
        <v>0</v>
      </c>
      <c r="K664" s="169">
        <f t="shared" si="450"/>
        <v>0</v>
      </c>
      <c r="L664" s="16">
        <f>'БА в тыс. руб.'!H664*1000</f>
        <v>0</v>
      </c>
      <c r="M664" s="169">
        <f t="shared" si="451"/>
        <v>0</v>
      </c>
      <c r="N664" s="16">
        <f>'БА в тыс. руб.'!I664*1000</f>
        <v>2595960</v>
      </c>
      <c r="O664" s="169">
        <f t="shared" si="452"/>
        <v>0</v>
      </c>
      <c r="S664" s="30"/>
      <c r="T664" s="30"/>
      <c r="U664" s="30"/>
    </row>
    <row r="665" spans="1:21" s="3" customFormat="1">
      <c r="A665" s="11" t="s">
        <v>1016</v>
      </c>
      <c r="B665" s="25" t="s">
        <v>26</v>
      </c>
      <c r="C665" s="26" t="s">
        <v>71</v>
      </c>
      <c r="D665" s="26" t="s">
        <v>53</v>
      </c>
      <c r="E665" s="26" t="s">
        <v>376</v>
      </c>
      <c r="F665" s="26" t="s">
        <v>1046</v>
      </c>
      <c r="G665" s="27">
        <f t="shared" ref="G665" si="464">J665</f>
        <v>0</v>
      </c>
      <c r="H665" s="27">
        <f>L665</f>
        <v>0</v>
      </c>
      <c r="I665" s="27">
        <f>N665</f>
        <v>2595960</v>
      </c>
      <c r="J665" s="16">
        <f>'БА в тыс. руб.'!G665*1000</f>
        <v>0</v>
      </c>
      <c r="K665" s="169">
        <f t="shared" si="450"/>
        <v>0</v>
      </c>
      <c r="L665" s="16">
        <f>'БА в тыс. руб.'!H665*1000</f>
        <v>0</v>
      </c>
      <c r="M665" s="169">
        <f t="shared" si="451"/>
        <v>0</v>
      </c>
      <c r="N665" s="16">
        <f>'БА в тыс. руб.'!I665*1000</f>
        <v>2595960</v>
      </c>
      <c r="O665" s="169">
        <f t="shared" si="452"/>
        <v>0</v>
      </c>
      <c r="S665" s="30"/>
      <c r="T665" s="30"/>
      <c r="U665" s="30"/>
    </row>
    <row r="666" spans="1:21" s="3" customFormat="1" ht="89.25">
      <c r="A666" s="13" t="s">
        <v>850</v>
      </c>
      <c r="B666" s="25" t="s">
        <v>26</v>
      </c>
      <c r="C666" s="26" t="s">
        <v>71</v>
      </c>
      <c r="D666" s="26" t="s">
        <v>53</v>
      </c>
      <c r="E666" s="26" t="s">
        <v>622</v>
      </c>
      <c r="F666" s="26" t="s">
        <v>58</v>
      </c>
      <c r="G666" s="27">
        <f t="shared" ref="G666:I668" si="465">G667</f>
        <v>150000</v>
      </c>
      <c r="H666" s="27">
        <f t="shared" si="465"/>
        <v>150000</v>
      </c>
      <c r="I666" s="27">
        <f t="shared" si="465"/>
        <v>150000</v>
      </c>
      <c r="J666" s="16">
        <f>'БА в тыс. руб.'!G666*1000</f>
        <v>150000</v>
      </c>
      <c r="K666" s="169">
        <f t="shared" si="450"/>
        <v>0</v>
      </c>
      <c r="L666" s="16">
        <f>'БА в тыс. руб.'!H666*1000</f>
        <v>150000</v>
      </c>
      <c r="M666" s="169">
        <f t="shared" si="451"/>
        <v>0</v>
      </c>
      <c r="N666" s="16">
        <f>'БА в тыс. руб.'!I666*1000</f>
        <v>150000</v>
      </c>
      <c r="O666" s="169">
        <f t="shared" si="452"/>
        <v>0</v>
      </c>
      <c r="S666" s="30"/>
      <c r="T666" s="30"/>
      <c r="U666" s="30"/>
    </row>
    <row r="667" spans="1:21" s="3" customFormat="1" ht="76.5">
      <c r="A667" s="11" t="s">
        <v>853</v>
      </c>
      <c r="B667" s="25" t="s">
        <v>26</v>
      </c>
      <c r="C667" s="26" t="s">
        <v>71</v>
      </c>
      <c r="D667" s="26" t="s">
        <v>53</v>
      </c>
      <c r="E667" s="26" t="s">
        <v>623</v>
      </c>
      <c r="F667" s="26" t="s">
        <v>58</v>
      </c>
      <c r="G667" s="27">
        <f t="shared" si="465"/>
        <v>150000</v>
      </c>
      <c r="H667" s="27">
        <f t="shared" si="465"/>
        <v>150000</v>
      </c>
      <c r="I667" s="27">
        <f t="shared" si="465"/>
        <v>150000</v>
      </c>
      <c r="J667" s="16">
        <f>'БА в тыс. руб.'!G667*1000</f>
        <v>150000</v>
      </c>
      <c r="K667" s="169">
        <f t="shared" si="450"/>
        <v>0</v>
      </c>
      <c r="L667" s="16">
        <f>'БА в тыс. руб.'!H667*1000</f>
        <v>150000</v>
      </c>
      <c r="M667" s="169">
        <f t="shared" si="451"/>
        <v>0</v>
      </c>
      <c r="N667" s="16">
        <f>'БА в тыс. руб.'!I667*1000</f>
        <v>150000</v>
      </c>
      <c r="O667" s="169">
        <f t="shared" si="452"/>
        <v>0</v>
      </c>
      <c r="S667" s="30"/>
      <c r="T667" s="30"/>
      <c r="U667" s="30"/>
    </row>
    <row r="668" spans="1:21" s="3" customFormat="1">
      <c r="A668" s="13" t="s">
        <v>92</v>
      </c>
      <c r="B668" s="25" t="s">
        <v>26</v>
      </c>
      <c r="C668" s="26" t="s">
        <v>71</v>
      </c>
      <c r="D668" s="26" t="s">
        <v>53</v>
      </c>
      <c r="E668" s="26" t="s">
        <v>623</v>
      </c>
      <c r="F668" s="26" t="s">
        <v>138</v>
      </c>
      <c r="G668" s="27">
        <f>G669</f>
        <v>150000</v>
      </c>
      <c r="H668" s="27">
        <f t="shared" si="465"/>
        <v>150000</v>
      </c>
      <c r="I668" s="27">
        <f t="shared" si="465"/>
        <v>150000</v>
      </c>
      <c r="J668" s="16">
        <f>'БА в тыс. руб.'!G668*1000</f>
        <v>150000</v>
      </c>
      <c r="K668" s="169">
        <f t="shared" si="450"/>
        <v>0</v>
      </c>
      <c r="L668" s="16">
        <f>'БА в тыс. руб.'!H668*1000</f>
        <v>150000</v>
      </c>
      <c r="M668" s="169">
        <f t="shared" si="451"/>
        <v>0</v>
      </c>
      <c r="N668" s="16">
        <f>'БА в тыс. руб.'!I668*1000</f>
        <v>150000</v>
      </c>
      <c r="O668" s="169">
        <f t="shared" si="452"/>
        <v>0</v>
      </c>
      <c r="S668" s="30"/>
      <c r="T668" s="30"/>
      <c r="U668" s="30"/>
    </row>
    <row r="669" spans="1:21" s="4" customFormat="1">
      <c r="A669" s="11" t="s">
        <v>1016</v>
      </c>
      <c r="B669" s="25" t="s">
        <v>26</v>
      </c>
      <c r="C669" s="26" t="s">
        <v>71</v>
      </c>
      <c r="D669" s="26" t="s">
        <v>53</v>
      </c>
      <c r="E669" s="26" t="s">
        <v>623</v>
      </c>
      <c r="F669" s="26" t="s">
        <v>1046</v>
      </c>
      <c r="G669" s="27">
        <f t="shared" ref="G669" si="466">J669</f>
        <v>150000</v>
      </c>
      <c r="H669" s="27">
        <f>L669</f>
        <v>150000</v>
      </c>
      <c r="I669" s="27">
        <f>N669</f>
        <v>150000</v>
      </c>
      <c r="J669" s="16">
        <f>'БА в тыс. руб.'!G669*1000</f>
        <v>150000</v>
      </c>
      <c r="K669" s="169">
        <f t="shared" si="450"/>
        <v>0</v>
      </c>
      <c r="L669" s="16">
        <f>'БА в тыс. руб.'!H669*1000</f>
        <v>150000</v>
      </c>
      <c r="M669" s="169">
        <f t="shared" si="451"/>
        <v>0</v>
      </c>
      <c r="N669" s="16">
        <f>'БА в тыс. руб.'!I669*1000</f>
        <v>150000</v>
      </c>
      <c r="O669" s="169">
        <f t="shared" si="452"/>
        <v>0</v>
      </c>
      <c r="S669" s="83"/>
      <c r="T669" s="83"/>
      <c r="U669" s="83"/>
    </row>
    <row r="670" spans="1:21" s="3" customFormat="1" ht="38.25">
      <c r="A670" s="13" t="s">
        <v>854</v>
      </c>
      <c r="B670" s="25" t="s">
        <v>26</v>
      </c>
      <c r="C670" s="26" t="s">
        <v>71</v>
      </c>
      <c r="D670" s="26" t="s">
        <v>53</v>
      </c>
      <c r="E670" s="26" t="s">
        <v>624</v>
      </c>
      <c r="F670" s="26" t="s">
        <v>58</v>
      </c>
      <c r="G670" s="27">
        <f>G671</f>
        <v>300000</v>
      </c>
      <c r="H670" s="27">
        <f>H671</f>
        <v>218400</v>
      </c>
      <c r="I670" s="27">
        <f>I671</f>
        <v>218400</v>
      </c>
      <c r="J670" s="16">
        <f>'БА в тыс. руб.'!G670*1000</f>
        <v>300000</v>
      </c>
      <c r="K670" s="169">
        <f t="shared" si="450"/>
        <v>0</v>
      </c>
      <c r="L670" s="16">
        <f>'БА в тыс. руб.'!H670*1000</f>
        <v>218400</v>
      </c>
      <c r="M670" s="169">
        <f t="shared" si="451"/>
        <v>0</v>
      </c>
      <c r="N670" s="16">
        <f>'БА в тыс. руб.'!I670*1000</f>
        <v>218400</v>
      </c>
      <c r="O670" s="169">
        <f t="shared" si="452"/>
        <v>0</v>
      </c>
      <c r="S670" s="30"/>
      <c r="T670" s="30"/>
      <c r="U670" s="30"/>
    </row>
    <row r="671" spans="1:21" s="3" customFormat="1" ht="38.25">
      <c r="A671" s="13" t="s">
        <v>855</v>
      </c>
      <c r="B671" s="25" t="s">
        <v>26</v>
      </c>
      <c r="C671" s="26" t="s">
        <v>71</v>
      </c>
      <c r="D671" s="26" t="s">
        <v>53</v>
      </c>
      <c r="E671" s="26" t="s">
        <v>690</v>
      </c>
      <c r="F671" s="26" t="s">
        <v>58</v>
      </c>
      <c r="G671" s="27">
        <f>G672+G674</f>
        <v>300000</v>
      </c>
      <c r="H671" s="27">
        <f t="shared" ref="H671:I671" si="467">H672+H674</f>
        <v>218400</v>
      </c>
      <c r="I671" s="27">
        <f t="shared" si="467"/>
        <v>218400</v>
      </c>
      <c r="J671" s="16">
        <f>'БА в тыс. руб.'!G671*1000</f>
        <v>300000</v>
      </c>
      <c r="K671" s="169">
        <f t="shared" si="450"/>
        <v>0</v>
      </c>
      <c r="L671" s="16">
        <f>'БА в тыс. руб.'!H671*1000</f>
        <v>218400</v>
      </c>
      <c r="M671" s="169">
        <f t="shared" si="451"/>
        <v>0</v>
      </c>
      <c r="N671" s="16">
        <f>'БА в тыс. руб.'!I671*1000</f>
        <v>218400</v>
      </c>
      <c r="O671" s="169">
        <f t="shared" si="452"/>
        <v>0</v>
      </c>
      <c r="S671" s="30"/>
      <c r="T671" s="30"/>
      <c r="U671" s="30"/>
    </row>
    <row r="672" spans="1:21" s="3" customFormat="1">
      <c r="A672" s="13" t="s">
        <v>92</v>
      </c>
      <c r="B672" s="25" t="s">
        <v>26</v>
      </c>
      <c r="C672" s="26" t="s">
        <v>71</v>
      </c>
      <c r="D672" s="26" t="s">
        <v>53</v>
      </c>
      <c r="E672" s="26" t="s">
        <v>690</v>
      </c>
      <c r="F672" s="26" t="s">
        <v>138</v>
      </c>
      <c r="G672" s="27">
        <f>G673</f>
        <v>225000</v>
      </c>
      <c r="H672" s="27">
        <f t="shared" ref="H672:I672" si="468">H673</f>
        <v>163800</v>
      </c>
      <c r="I672" s="27">
        <f t="shared" si="468"/>
        <v>163800</v>
      </c>
      <c r="J672" s="16">
        <f>'БА в тыс. руб.'!G672*1000</f>
        <v>225000</v>
      </c>
      <c r="K672" s="169">
        <f t="shared" si="450"/>
        <v>0</v>
      </c>
      <c r="L672" s="16">
        <f>'БА в тыс. руб.'!H672*1000</f>
        <v>163800</v>
      </c>
      <c r="M672" s="169">
        <f t="shared" si="451"/>
        <v>0</v>
      </c>
      <c r="N672" s="16">
        <f>'БА в тыс. руб.'!I672*1000</f>
        <v>163800</v>
      </c>
      <c r="O672" s="169">
        <f t="shared" si="452"/>
        <v>0</v>
      </c>
      <c r="S672" s="30"/>
      <c r="T672" s="30"/>
      <c r="U672" s="30"/>
    </row>
    <row r="673" spans="1:21" s="4" customFormat="1">
      <c r="A673" s="11" t="s">
        <v>1016</v>
      </c>
      <c r="B673" s="25" t="s">
        <v>26</v>
      </c>
      <c r="C673" s="26" t="s">
        <v>71</v>
      </c>
      <c r="D673" s="26" t="s">
        <v>53</v>
      </c>
      <c r="E673" s="26" t="s">
        <v>690</v>
      </c>
      <c r="F673" s="26" t="s">
        <v>1046</v>
      </c>
      <c r="G673" s="27">
        <f t="shared" ref="G673" si="469">J673</f>
        <v>225000</v>
      </c>
      <c r="H673" s="27">
        <f>L673</f>
        <v>163800</v>
      </c>
      <c r="I673" s="27">
        <f>N673</f>
        <v>163800</v>
      </c>
      <c r="J673" s="16">
        <f>'БА в тыс. руб.'!G673*1000</f>
        <v>225000</v>
      </c>
      <c r="K673" s="169">
        <f t="shared" si="450"/>
        <v>0</v>
      </c>
      <c r="L673" s="16">
        <f>'БА в тыс. руб.'!H673*1000</f>
        <v>163800</v>
      </c>
      <c r="M673" s="169">
        <f t="shared" si="451"/>
        <v>0</v>
      </c>
      <c r="N673" s="16">
        <f>'БА в тыс. руб.'!I673*1000</f>
        <v>163800</v>
      </c>
      <c r="O673" s="169">
        <f t="shared" si="452"/>
        <v>0</v>
      </c>
      <c r="S673" s="83"/>
      <c r="T673" s="83"/>
      <c r="U673" s="83"/>
    </row>
    <row r="674" spans="1:21" s="3" customFormat="1">
      <c r="A674" s="13" t="s">
        <v>93</v>
      </c>
      <c r="B674" s="25" t="s">
        <v>26</v>
      </c>
      <c r="C674" s="26" t="s">
        <v>71</v>
      </c>
      <c r="D674" s="26" t="s">
        <v>53</v>
      </c>
      <c r="E674" s="26" t="s">
        <v>690</v>
      </c>
      <c r="F674" s="26" t="s">
        <v>20</v>
      </c>
      <c r="G674" s="27">
        <f>G675</f>
        <v>75000</v>
      </c>
      <c r="H674" s="27">
        <f t="shared" ref="H674:I674" si="470">H675</f>
        <v>54600</v>
      </c>
      <c r="I674" s="27">
        <f t="shared" si="470"/>
        <v>54600</v>
      </c>
      <c r="J674" s="16">
        <f>'БА в тыс. руб.'!G674*1000</f>
        <v>75000</v>
      </c>
      <c r="K674" s="169">
        <f t="shared" si="450"/>
        <v>0</v>
      </c>
      <c r="L674" s="16">
        <f>'БА в тыс. руб.'!H674*1000</f>
        <v>54600</v>
      </c>
      <c r="M674" s="169">
        <f t="shared" si="451"/>
        <v>0</v>
      </c>
      <c r="N674" s="16">
        <f>'БА в тыс. руб.'!I674*1000</f>
        <v>54600</v>
      </c>
      <c r="O674" s="169">
        <f t="shared" si="452"/>
        <v>0</v>
      </c>
      <c r="S674" s="30"/>
      <c r="T674" s="30"/>
      <c r="U674" s="30"/>
    </row>
    <row r="675" spans="1:21" s="4" customFormat="1">
      <c r="A675" s="12" t="s">
        <v>1019</v>
      </c>
      <c r="B675" s="25" t="s">
        <v>26</v>
      </c>
      <c r="C675" s="26" t="s">
        <v>71</v>
      </c>
      <c r="D675" s="26" t="s">
        <v>53</v>
      </c>
      <c r="E675" s="26" t="s">
        <v>690</v>
      </c>
      <c r="F675" s="26" t="s">
        <v>1054</v>
      </c>
      <c r="G675" s="27">
        <f t="shared" ref="G675" si="471">J675</f>
        <v>75000</v>
      </c>
      <c r="H675" s="27">
        <f>L675</f>
        <v>54600</v>
      </c>
      <c r="I675" s="27">
        <f>N675</f>
        <v>54600</v>
      </c>
      <c r="J675" s="16">
        <f>'БА в тыс. руб.'!G675*1000</f>
        <v>75000</v>
      </c>
      <c r="K675" s="169">
        <f t="shared" si="450"/>
        <v>0</v>
      </c>
      <c r="L675" s="16">
        <f>'БА в тыс. руб.'!H675*1000</f>
        <v>54600</v>
      </c>
      <c r="M675" s="169">
        <f t="shared" si="451"/>
        <v>0</v>
      </c>
      <c r="N675" s="16">
        <f>'БА в тыс. руб.'!I675*1000</f>
        <v>54600</v>
      </c>
      <c r="O675" s="169">
        <f t="shared" si="452"/>
        <v>0</v>
      </c>
      <c r="S675" s="83"/>
      <c r="T675" s="83"/>
      <c r="U675" s="83"/>
    </row>
    <row r="676" spans="1:21" s="3" customFormat="1" ht="51">
      <c r="A676" s="13" t="s">
        <v>856</v>
      </c>
      <c r="B676" s="25" t="s">
        <v>26</v>
      </c>
      <c r="C676" s="26" t="s">
        <v>71</v>
      </c>
      <c r="D676" s="26" t="s">
        <v>53</v>
      </c>
      <c r="E676" s="26" t="s">
        <v>781</v>
      </c>
      <c r="F676" s="26" t="s">
        <v>58</v>
      </c>
      <c r="G676" s="27">
        <f>G677</f>
        <v>2939950</v>
      </c>
      <c r="H676" s="27">
        <f t="shared" ref="H676:I678" si="472">H677</f>
        <v>0</v>
      </c>
      <c r="I676" s="27">
        <f t="shared" si="472"/>
        <v>0</v>
      </c>
      <c r="J676" s="16">
        <f>'БА в тыс. руб.'!G676*1000</f>
        <v>2939950</v>
      </c>
      <c r="K676" s="169">
        <f t="shared" si="450"/>
        <v>0</v>
      </c>
      <c r="L676" s="16">
        <f>'БА в тыс. руб.'!H676*1000</f>
        <v>0</v>
      </c>
      <c r="M676" s="169">
        <f t="shared" si="451"/>
        <v>0</v>
      </c>
      <c r="N676" s="16">
        <f>'БА в тыс. руб.'!I676*1000</f>
        <v>0</v>
      </c>
      <c r="O676" s="169">
        <f t="shared" si="452"/>
        <v>0</v>
      </c>
      <c r="S676" s="30"/>
      <c r="T676" s="30"/>
      <c r="U676" s="30"/>
    </row>
    <row r="677" spans="1:21" s="3" customFormat="1" ht="76.5">
      <c r="A677" s="13" t="s">
        <v>888</v>
      </c>
      <c r="B677" s="25" t="s">
        <v>26</v>
      </c>
      <c r="C677" s="26" t="s">
        <v>71</v>
      </c>
      <c r="D677" s="26" t="s">
        <v>53</v>
      </c>
      <c r="E677" s="26" t="s">
        <v>782</v>
      </c>
      <c r="F677" s="26" t="s">
        <v>58</v>
      </c>
      <c r="G677" s="27">
        <f>G678</f>
        <v>2939950</v>
      </c>
      <c r="H677" s="27">
        <f t="shared" si="472"/>
        <v>0</v>
      </c>
      <c r="I677" s="27">
        <f t="shared" si="472"/>
        <v>0</v>
      </c>
      <c r="J677" s="16">
        <f>'БА в тыс. руб.'!G677*1000</f>
        <v>2939950</v>
      </c>
      <c r="K677" s="169">
        <f t="shared" si="450"/>
        <v>0</v>
      </c>
      <c r="L677" s="16">
        <f>'БА в тыс. руб.'!H677*1000</f>
        <v>0</v>
      </c>
      <c r="M677" s="169">
        <f t="shared" si="451"/>
        <v>0</v>
      </c>
      <c r="N677" s="16">
        <f>'БА в тыс. руб.'!I677*1000</f>
        <v>0</v>
      </c>
      <c r="O677" s="169">
        <f t="shared" si="452"/>
        <v>0</v>
      </c>
      <c r="S677" s="30"/>
      <c r="T677" s="30"/>
      <c r="U677" s="30"/>
    </row>
    <row r="678" spans="1:21" s="3" customFormat="1">
      <c r="A678" s="13" t="s">
        <v>93</v>
      </c>
      <c r="B678" s="25" t="s">
        <v>26</v>
      </c>
      <c r="C678" s="26" t="s">
        <v>71</v>
      </c>
      <c r="D678" s="26" t="s">
        <v>53</v>
      </c>
      <c r="E678" s="26" t="s">
        <v>782</v>
      </c>
      <c r="F678" s="26" t="s">
        <v>20</v>
      </c>
      <c r="G678" s="27">
        <f>G679</f>
        <v>2939950</v>
      </c>
      <c r="H678" s="27">
        <f t="shared" si="472"/>
        <v>0</v>
      </c>
      <c r="I678" s="27">
        <f t="shared" si="472"/>
        <v>0</v>
      </c>
      <c r="J678" s="16">
        <f>'БА в тыс. руб.'!G678*1000</f>
        <v>2939950</v>
      </c>
      <c r="K678" s="169">
        <f t="shared" si="450"/>
        <v>0</v>
      </c>
      <c r="L678" s="16">
        <f>'БА в тыс. руб.'!H678*1000</f>
        <v>0</v>
      </c>
      <c r="M678" s="169">
        <f t="shared" si="451"/>
        <v>0</v>
      </c>
      <c r="N678" s="16">
        <f>'БА в тыс. руб.'!I678*1000</f>
        <v>0</v>
      </c>
      <c r="O678" s="169">
        <f t="shared" si="452"/>
        <v>0</v>
      </c>
      <c r="S678" s="30"/>
      <c r="T678" s="30"/>
      <c r="U678" s="30"/>
    </row>
    <row r="679" spans="1:21" s="4" customFormat="1">
      <c r="A679" s="12" t="s">
        <v>1019</v>
      </c>
      <c r="B679" s="25" t="s">
        <v>26</v>
      </c>
      <c r="C679" s="26" t="s">
        <v>71</v>
      </c>
      <c r="D679" s="26" t="s">
        <v>53</v>
      </c>
      <c r="E679" s="26" t="s">
        <v>782</v>
      </c>
      <c r="F679" s="26" t="s">
        <v>1054</v>
      </c>
      <c r="G679" s="27">
        <f t="shared" ref="G679" si="473">J679</f>
        <v>2939950</v>
      </c>
      <c r="H679" s="27">
        <f>L679</f>
        <v>0</v>
      </c>
      <c r="I679" s="27">
        <f>N679</f>
        <v>0</v>
      </c>
      <c r="J679" s="16">
        <f>'БА в тыс. руб.'!G679*1000</f>
        <v>2939950</v>
      </c>
      <c r="K679" s="169">
        <f t="shared" si="450"/>
        <v>0</v>
      </c>
      <c r="L679" s="16">
        <f>'БА в тыс. руб.'!H679*1000</f>
        <v>0</v>
      </c>
      <c r="M679" s="169">
        <f t="shared" si="451"/>
        <v>0</v>
      </c>
      <c r="N679" s="16">
        <f>'БА в тыс. руб.'!I679*1000</f>
        <v>0</v>
      </c>
      <c r="O679" s="169">
        <f t="shared" si="452"/>
        <v>0</v>
      </c>
      <c r="S679" s="83"/>
      <c r="T679" s="83"/>
      <c r="U679" s="83"/>
    </row>
    <row r="680" spans="1:21" s="3" customFormat="1" ht="63.75">
      <c r="A680" s="11" t="s">
        <v>756</v>
      </c>
      <c r="B680" s="25" t="s">
        <v>26</v>
      </c>
      <c r="C680" s="26" t="s">
        <v>71</v>
      </c>
      <c r="D680" s="26" t="s">
        <v>53</v>
      </c>
      <c r="E680" s="26" t="s">
        <v>339</v>
      </c>
      <c r="F680" s="26" t="s">
        <v>58</v>
      </c>
      <c r="G680" s="27">
        <f t="shared" ref="G680:I682" si="474">G681</f>
        <v>392800</v>
      </c>
      <c r="H680" s="27">
        <f t="shared" si="474"/>
        <v>392800</v>
      </c>
      <c r="I680" s="27">
        <f t="shared" si="474"/>
        <v>392800</v>
      </c>
      <c r="J680" s="16">
        <f>'БА в тыс. руб.'!G680*1000</f>
        <v>392800</v>
      </c>
      <c r="K680" s="169">
        <f t="shared" si="450"/>
        <v>0</v>
      </c>
      <c r="L680" s="16">
        <f>'БА в тыс. руб.'!H680*1000</f>
        <v>392800</v>
      </c>
      <c r="M680" s="169">
        <f t="shared" si="451"/>
        <v>0</v>
      </c>
      <c r="N680" s="16">
        <f>'БА в тыс. руб.'!I680*1000</f>
        <v>392800</v>
      </c>
      <c r="O680" s="169">
        <f t="shared" si="452"/>
        <v>0</v>
      </c>
      <c r="S680" s="30"/>
      <c r="T680" s="30"/>
      <c r="U680" s="30"/>
    </row>
    <row r="681" spans="1:21" s="3" customFormat="1" ht="25.5">
      <c r="A681" s="11" t="s">
        <v>136</v>
      </c>
      <c r="B681" s="25" t="s">
        <v>26</v>
      </c>
      <c r="C681" s="26" t="s">
        <v>71</v>
      </c>
      <c r="D681" s="26" t="s">
        <v>53</v>
      </c>
      <c r="E681" s="26" t="s">
        <v>340</v>
      </c>
      <c r="F681" s="26" t="s">
        <v>58</v>
      </c>
      <c r="G681" s="27">
        <f t="shared" si="474"/>
        <v>392800</v>
      </c>
      <c r="H681" s="27">
        <f t="shared" si="474"/>
        <v>392800</v>
      </c>
      <c r="I681" s="27">
        <f t="shared" si="474"/>
        <v>392800</v>
      </c>
      <c r="J681" s="16">
        <f>'БА в тыс. руб.'!G681*1000</f>
        <v>392800</v>
      </c>
      <c r="K681" s="169">
        <f t="shared" si="450"/>
        <v>0</v>
      </c>
      <c r="L681" s="16">
        <f>'БА в тыс. руб.'!H681*1000</f>
        <v>392800</v>
      </c>
      <c r="M681" s="169">
        <f t="shared" si="451"/>
        <v>0</v>
      </c>
      <c r="N681" s="16">
        <f>'БА в тыс. руб.'!I681*1000</f>
        <v>392800</v>
      </c>
      <c r="O681" s="169">
        <f t="shared" si="452"/>
        <v>0</v>
      </c>
      <c r="S681" s="30"/>
      <c r="T681" s="30"/>
      <c r="U681" s="30"/>
    </row>
    <row r="682" spans="1:21" s="3" customFormat="1" ht="25.5">
      <c r="A682" s="11" t="s">
        <v>667</v>
      </c>
      <c r="B682" s="25" t="s">
        <v>26</v>
      </c>
      <c r="C682" s="26" t="s">
        <v>71</v>
      </c>
      <c r="D682" s="26" t="s">
        <v>53</v>
      </c>
      <c r="E682" s="26" t="s">
        <v>609</v>
      </c>
      <c r="F682" s="26" t="s">
        <v>58</v>
      </c>
      <c r="G682" s="27">
        <f t="shared" si="474"/>
        <v>392800</v>
      </c>
      <c r="H682" s="27">
        <f t="shared" si="474"/>
        <v>392800</v>
      </c>
      <c r="I682" s="27">
        <f t="shared" si="474"/>
        <v>392800</v>
      </c>
      <c r="J682" s="16">
        <f>'БА в тыс. руб.'!G682*1000</f>
        <v>392800</v>
      </c>
      <c r="K682" s="169">
        <f t="shared" si="450"/>
        <v>0</v>
      </c>
      <c r="L682" s="16">
        <f>'БА в тыс. руб.'!H682*1000</f>
        <v>392800</v>
      </c>
      <c r="M682" s="169">
        <f t="shared" si="451"/>
        <v>0</v>
      </c>
      <c r="N682" s="16">
        <f>'БА в тыс. руб.'!I682*1000</f>
        <v>392800</v>
      </c>
      <c r="O682" s="169">
        <f t="shared" si="452"/>
        <v>0</v>
      </c>
      <c r="S682" s="30"/>
      <c r="T682" s="30"/>
      <c r="U682" s="30"/>
    </row>
    <row r="683" spans="1:21" s="3" customFormat="1" ht="38.25">
      <c r="A683" s="11" t="s">
        <v>177</v>
      </c>
      <c r="B683" s="25" t="s">
        <v>26</v>
      </c>
      <c r="C683" s="26" t="s">
        <v>71</v>
      </c>
      <c r="D683" s="26" t="s">
        <v>53</v>
      </c>
      <c r="E683" s="26" t="s">
        <v>610</v>
      </c>
      <c r="F683" s="26" t="s">
        <v>58</v>
      </c>
      <c r="G683" s="27">
        <f>G684+G686</f>
        <v>392800</v>
      </c>
      <c r="H683" s="27">
        <f t="shared" ref="H683:I683" si="475">H684+H686</f>
        <v>392800</v>
      </c>
      <c r="I683" s="27">
        <f t="shared" si="475"/>
        <v>392800</v>
      </c>
      <c r="J683" s="16">
        <f>'БА в тыс. руб.'!G683*1000</f>
        <v>392800</v>
      </c>
      <c r="K683" s="169">
        <f t="shared" si="450"/>
        <v>0</v>
      </c>
      <c r="L683" s="16">
        <f>'БА в тыс. руб.'!H683*1000</f>
        <v>392800</v>
      </c>
      <c r="M683" s="169">
        <f t="shared" si="451"/>
        <v>0</v>
      </c>
      <c r="N683" s="16">
        <f>'БА в тыс. руб.'!I683*1000</f>
        <v>392800</v>
      </c>
      <c r="O683" s="169">
        <f t="shared" si="452"/>
        <v>0</v>
      </c>
      <c r="S683" s="30"/>
      <c r="T683" s="30"/>
      <c r="U683" s="30"/>
    </row>
    <row r="684" spans="1:21" s="3" customFormat="1">
      <c r="A684" s="13" t="s">
        <v>92</v>
      </c>
      <c r="B684" s="25" t="s">
        <v>26</v>
      </c>
      <c r="C684" s="26" t="s">
        <v>71</v>
      </c>
      <c r="D684" s="26" t="s">
        <v>53</v>
      </c>
      <c r="E684" s="26" t="s">
        <v>610</v>
      </c>
      <c r="F684" s="26" t="s">
        <v>138</v>
      </c>
      <c r="G684" s="27">
        <f>G685</f>
        <v>344800</v>
      </c>
      <c r="H684" s="27">
        <f t="shared" ref="H684:I684" si="476">H685</f>
        <v>344800</v>
      </c>
      <c r="I684" s="27">
        <f t="shared" si="476"/>
        <v>344800</v>
      </c>
      <c r="J684" s="16">
        <f>'БА в тыс. руб.'!G684*1000</f>
        <v>344800</v>
      </c>
      <c r="K684" s="169">
        <f t="shared" si="450"/>
        <v>0</v>
      </c>
      <c r="L684" s="16">
        <f>'БА в тыс. руб.'!H684*1000</f>
        <v>344800</v>
      </c>
      <c r="M684" s="169">
        <f t="shared" si="451"/>
        <v>0</v>
      </c>
      <c r="N684" s="16">
        <f>'БА в тыс. руб.'!I684*1000</f>
        <v>344800</v>
      </c>
      <c r="O684" s="169">
        <f t="shared" si="452"/>
        <v>0</v>
      </c>
      <c r="S684" s="30"/>
      <c r="T684" s="30"/>
      <c r="U684" s="30"/>
    </row>
    <row r="685" spans="1:21" s="4" customFormat="1">
      <c r="A685" s="12" t="s">
        <v>1016</v>
      </c>
      <c r="B685" s="25" t="s">
        <v>26</v>
      </c>
      <c r="C685" s="26" t="s">
        <v>71</v>
      </c>
      <c r="D685" s="26" t="s">
        <v>53</v>
      </c>
      <c r="E685" s="26" t="s">
        <v>610</v>
      </c>
      <c r="F685" s="26" t="s">
        <v>1046</v>
      </c>
      <c r="G685" s="27">
        <f t="shared" ref="G685" si="477">J685</f>
        <v>344800</v>
      </c>
      <c r="H685" s="27">
        <f>L685</f>
        <v>344800</v>
      </c>
      <c r="I685" s="27">
        <f>N685</f>
        <v>344800</v>
      </c>
      <c r="J685" s="16">
        <f>'БА в тыс. руб.'!G685*1000</f>
        <v>344800</v>
      </c>
      <c r="K685" s="169">
        <f t="shared" si="450"/>
        <v>0</v>
      </c>
      <c r="L685" s="16">
        <f>'БА в тыс. руб.'!H685*1000</f>
        <v>344800</v>
      </c>
      <c r="M685" s="169">
        <f t="shared" si="451"/>
        <v>0</v>
      </c>
      <c r="N685" s="16">
        <f>'БА в тыс. руб.'!I685*1000</f>
        <v>344800</v>
      </c>
      <c r="O685" s="169">
        <f t="shared" si="452"/>
        <v>0</v>
      </c>
      <c r="S685" s="83"/>
      <c r="T685" s="83"/>
      <c r="U685" s="83"/>
    </row>
    <row r="686" spans="1:21" s="30" customFormat="1">
      <c r="A686" s="13" t="s">
        <v>93</v>
      </c>
      <c r="B686" s="25" t="s">
        <v>26</v>
      </c>
      <c r="C686" s="26" t="s">
        <v>71</v>
      </c>
      <c r="D686" s="26" t="s">
        <v>53</v>
      </c>
      <c r="E686" s="26" t="s">
        <v>610</v>
      </c>
      <c r="F686" s="26" t="s">
        <v>20</v>
      </c>
      <c r="G686" s="27">
        <f>G687</f>
        <v>48000</v>
      </c>
      <c r="H686" s="27">
        <f t="shared" ref="H686:I686" si="478">H687</f>
        <v>48000</v>
      </c>
      <c r="I686" s="27">
        <f t="shared" si="478"/>
        <v>48000</v>
      </c>
      <c r="J686" s="16">
        <f>'БА в тыс. руб.'!G686*1000</f>
        <v>48000</v>
      </c>
      <c r="K686" s="169">
        <f t="shared" si="450"/>
        <v>0</v>
      </c>
      <c r="L686" s="16">
        <f>'БА в тыс. руб.'!H686*1000</f>
        <v>48000</v>
      </c>
      <c r="M686" s="169">
        <f t="shared" si="451"/>
        <v>0</v>
      </c>
      <c r="N686" s="16">
        <f>'БА в тыс. руб.'!I686*1000</f>
        <v>48000</v>
      </c>
      <c r="O686" s="169">
        <f t="shared" si="452"/>
        <v>0</v>
      </c>
    </row>
    <row r="687" spans="1:21" s="83" customFormat="1">
      <c r="A687" s="12" t="s">
        <v>1019</v>
      </c>
      <c r="B687" s="25" t="s">
        <v>26</v>
      </c>
      <c r="C687" s="26" t="s">
        <v>71</v>
      </c>
      <c r="D687" s="26" t="s">
        <v>53</v>
      </c>
      <c r="E687" s="26" t="s">
        <v>610</v>
      </c>
      <c r="F687" s="26" t="s">
        <v>1054</v>
      </c>
      <c r="G687" s="27">
        <f t="shared" ref="G687" si="479">J687</f>
        <v>48000</v>
      </c>
      <c r="H687" s="27">
        <f>L687</f>
        <v>48000</v>
      </c>
      <c r="I687" s="27">
        <f>N687</f>
        <v>48000</v>
      </c>
      <c r="J687" s="16">
        <f>'БА в тыс. руб.'!G687*1000</f>
        <v>48000</v>
      </c>
      <c r="K687" s="169">
        <f t="shared" si="450"/>
        <v>0</v>
      </c>
      <c r="L687" s="16">
        <f>'БА в тыс. руб.'!H687*1000</f>
        <v>48000</v>
      </c>
      <c r="M687" s="169">
        <f t="shared" si="451"/>
        <v>0</v>
      </c>
      <c r="N687" s="16">
        <f>'БА в тыс. руб.'!I687*1000</f>
        <v>48000</v>
      </c>
      <c r="O687" s="169">
        <f t="shared" si="452"/>
        <v>0</v>
      </c>
    </row>
    <row r="688" spans="1:21" s="30" customFormat="1" ht="25.5">
      <c r="A688" s="11" t="s">
        <v>757</v>
      </c>
      <c r="B688" s="25" t="s">
        <v>26</v>
      </c>
      <c r="C688" s="26" t="s">
        <v>71</v>
      </c>
      <c r="D688" s="26" t="s">
        <v>53</v>
      </c>
      <c r="E688" s="26" t="s">
        <v>342</v>
      </c>
      <c r="F688" s="26" t="s">
        <v>58</v>
      </c>
      <c r="G688" s="27">
        <f t="shared" ref="G688:I692" si="480">G689</f>
        <v>995640</v>
      </c>
      <c r="H688" s="27">
        <f t="shared" si="480"/>
        <v>896080</v>
      </c>
      <c r="I688" s="27">
        <f t="shared" si="480"/>
        <v>896080</v>
      </c>
      <c r="J688" s="16">
        <f>'БА в тыс. руб.'!G688*1000</f>
        <v>995640</v>
      </c>
      <c r="K688" s="169">
        <f t="shared" si="450"/>
        <v>0</v>
      </c>
      <c r="L688" s="16">
        <f>'БА в тыс. руб.'!H688*1000</f>
        <v>896080</v>
      </c>
      <c r="M688" s="169">
        <f t="shared" si="451"/>
        <v>0</v>
      </c>
      <c r="N688" s="16">
        <f>'БА в тыс. руб.'!I688*1000</f>
        <v>896080</v>
      </c>
      <c r="O688" s="169">
        <f t="shared" si="452"/>
        <v>0</v>
      </c>
    </row>
    <row r="689" spans="1:15" s="30" customFormat="1" ht="38.25">
      <c r="A689" s="34" t="s">
        <v>758</v>
      </c>
      <c r="B689" s="25" t="s">
        <v>26</v>
      </c>
      <c r="C689" s="26" t="s">
        <v>71</v>
      </c>
      <c r="D689" s="26" t="s">
        <v>53</v>
      </c>
      <c r="E689" s="26" t="s">
        <v>343</v>
      </c>
      <c r="F689" s="26" t="s">
        <v>58</v>
      </c>
      <c r="G689" s="27">
        <f t="shared" si="480"/>
        <v>995640</v>
      </c>
      <c r="H689" s="27">
        <f t="shared" si="480"/>
        <v>896080</v>
      </c>
      <c r="I689" s="27">
        <f t="shared" si="480"/>
        <v>896080</v>
      </c>
      <c r="J689" s="16">
        <f>'БА в тыс. руб.'!G689*1000</f>
        <v>995640</v>
      </c>
      <c r="K689" s="169">
        <f t="shared" si="450"/>
        <v>0</v>
      </c>
      <c r="L689" s="16">
        <f>'БА в тыс. руб.'!H689*1000</f>
        <v>896080</v>
      </c>
      <c r="M689" s="169">
        <f t="shared" si="451"/>
        <v>0</v>
      </c>
      <c r="N689" s="16">
        <f>'БА в тыс. руб.'!I689*1000</f>
        <v>896080</v>
      </c>
      <c r="O689" s="169">
        <f t="shared" si="452"/>
        <v>0</v>
      </c>
    </row>
    <row r="690" spans="1:15" s="30" customFormat="1" ht="25.5">
      <c r="A690" s="11" t="s">
        <v>344</v>
      </c>
      <c r="B690" s="25" t="s">
        <v>26</v>
      </c>
      <c r="C690" s="26" t="s">
        <v>71</v>
      </c>
      <c r="D690" s="26" t="s">
        <v>53</v>
      </c>
      <c r="E690" s="26" t="s">
        <v>345</v>
      </c>
      <c r="F690" s="26" t="s">
        <v>58</v>
      </c>
      <c r="G690" s="27">
        <f t="shared" si="480"/>
        <v>995640</v>
      </c>
      <c r="H690" s="27">
        <f t="shared" si="480"/>
        <v>896080</v>
      </c>
      <c r="I690" s="27">
        <f t="shared" si="480"/>
        <v>896080</v>
      </c>
      <c r="J690" s="16">
        <f>'БА в тыс. руб.'!G690*1000</f>
        <v>995640</v>
      </c>
      <c r="K690" s="169">
        <f t="shared" si="450"/>
        <v>0</v>
      </c>
      <c r="L690" s="16">
        <f>'БА в тыс. руб.'!H690*1000</f>
        <v>896080</v>
      </c>
      <c r="M690" s="169">
        <f t="shared" si="451"/>
        <v>0</v>
      </c>
      <c r="N690" s="16">
        <f>'БА в тыс. руб.'!I690*1000</f>
        <v>896080</v>
      </c>
      <c r="O690" s="169">
        <f t="shared" si="452"/>
        <v>0</v>
      </c>
    </row>
    <row r="691" spans="1:15" s="30" customFormat="1" ht="25.5">
      <c r="A691" s="11" t="s">
        <v>174</v>
      </c>
      <c r="B691" s="25" t="s">
        <v>26</v>
      </c>
      <c r="C691" s="26" t="s">
        <v>71</v>
      </c>
      <c r="D691" s="26" t="s">
        <v>53</v>
      </c>
      <c r="E691" s="26" t="s">
        <v>346</v>
      </c>
      <c r="F691" s="26" t="s">
        <v>58</v>
      </c>
      <c r="G691" s="27">
        <f t="shared" si="480"/>
        <v>995640</v>
      </c>
      <c r="H691" s="27">
        <f t="shared" si="480"/>
        <v>896080</v>
      </c>
      <c r="I691" s="27">
        <f t="shared" si="480"/>
        <v>896080</v>
      </c>
      <c r="J691" s="16">
        <f>'БА в тыс. руб.'!G691*1000</f>
        <v>995640</v>
      </c>
      <c r="K691" s="169">
        <f t="shared" si="450"/>
        <v>0</v>
      </c>
      <c r="L691" s="16">
        <f>'БА в тыс. руб.'!H691*1000</f>
        <v>896080</v>
      </c>
      <c r="M691" s="169">
        <f t="shared" si="451"/>
        <v>0</v>
      </c>
      <c r="N691" s="16">
        <f>'БА в тыс. руб.'!I691*1000</f>
        <v>896080</v>
      </c>
      <c r="O691" s="169">
        <f t="shared" si="452"/>
        <v>0</v>
      </c>
    </row>
    <row r="692" spans="1:15" s="30" customFormat="1">
      <c r="A692" s="13" t="s">
        <v>93</v>
      </c>
      <c r="B692" s="25" t="s">
        <v>26</v>
      </c>
      <c r="C692" s="26" t="s">
        <v>71</v>
      </c>
      <c r="D692" s="26" t="s">
        <v>53</v>
      </c>
      <c r="E692" s="26" t="s">
        <v>346</v>
      </c>
      <c r="F692" s="26" t="s">
        <v>20</v>
      </c>
      <c r="G692" s="27">
        <f>G693</f>
        <v>995640</v>
      </c>
      <c r="H692" s="27">
        <f t="shared" si="480"/>
        <v>896080</v>
      </c>
      <c r="I692" s="27">
        <f t="shared" si="480"/>
        <v>896080</v>
      </c>
      <c r="J692" s="16">
        <f>'БА в тыс. руб.'!G692*1000</f>
        <v>995640</v>
      </c>
      <c r="K692" s="169">
        <f t="shared" si="450"/>
        <v>0</v>
      </c>
      <c r="L692" s="16">
        <f>'БА в тыс. руб.'!H692*1000</f>
        <v>896080</v>
      </c>
      <c r="M692" s="169">
        <f t="shared" si="451"/>
        <v>0</v>
      </c>
      <c r="N692" s="16">
        <f>'БА в тыс. руб.'!I692*1000</f>
        <v>896080</v>
      </c>
      <c r="O692" s="169">
        <f t="shared" si="452"/>
        <v>0</v>
      </c>
    </row>
    <row r="693" spans="1:15" s="83" customFormat="1">
      <c r="A693" s="12" t="s">
        <v>1019</v>
      </c>
      <c r="B693" s="25" t="s">
        <v>26</v>
      </c>
      <c r="C693" s="26" t="s">
        <v>71</v>
      </c>
      <c r="D693" s="26" t="s">
        <v>53</v>
      </c>
      <c r="E693" s="26" t="s">
        <v>346</v>
      </c>
      <c r="F693" s="26" t="s">
        <v>1054</v>
      </c>
      <c r="G693" s="27">
        <f t="shared" ref="G693" si="481">J693</f>
        <v>995640</v>
      </c>
      <c r="H693" s="27">
        <f>L693</f>
        <v>896080</v>
      </c>
      <c r="I693" s="27">
        <f>N693</f>
        <v>896080</v>
      </c>
      <c r="J693" s="16">
        <f>'БА в тыс. руб.'!G693*1000</f>
        <v>995640</v>
      </c>
      <c r="K693" s="169">
        <f t="shared" si="450"/>
        <v>0</v>
      </c>
      <c r="L693" s="16">
        <f>'БА в тыс. руб.'!H693*1000</f>
        <v>896080</v>
      </c>
      <c r="M693" s="169">
        <f t="shared" si="451"/>
        <v>0</v>
      </c>
      <c r="N693" s="16">
        <f>'БА в тыс. руб.'!I693*1000</f>
        <v>896080</v>
      </c>
      <c r="O693" s="169">
        <f t="shared" si="452"/>
        <v>0</v>
      </c>
    </row>
    <row r="694" spans="1:15" s="30" customFormat="1">
      <c r="A694" s="21" t="s">
        <v>783</v>
      </c>
      <c r="B694" s="22" t="s">
        <v>26</v>
      </c>
      <c r="C694" s="23" t="s">
        <v>71</v>
      </c>
      <c r="D694" s="23" t="s">
        <v>71</v>
      </c>
      <c r="E694" s="23" t="s">
        <v>196</v>
      </c>
      <c r="F694" s="23" t="s">
        <v>58</v>
      </c>
      <c r="G694" s="24">
        <f>G701+G695</f>
        <v>7006510</v>
      </c>
      <c r="H694" s="24">
        <f>H701+H695</f>
        <v>6577700</v>
      </c>
      <c r="I694" s="24">
        <f>I701+I695</f>
        <v>6577700</v>
      </c>
      <c r="J694" s="16">
        <f>'БА в тыс. руб.'!G694*1000</f>
        <v>7006510</v>
      </c>
      <c r="K694" s="169">
        <f t="shared" si="450"/>
        <v>0</v>
      </c>
      <c r="L694" s="16">
        <f>'БА в тыс. руб.'!H694*1000</f>
        <v>6577700</v>
      </c>
      <c r="M694" s="169">
        <f t="shared" si="451"/>
        <v>0</v>
      </c>
      <c r="N694" s="16">
        <f>'БА в тыс. руб.'!I694*1000</f>
        <v>6577700</v>
      </c>
      <c r="O694" s="169">
        <f t="shared" si="452"/>
        <v>0</v>
      </c>
    </row>
    <row r="695" spans="1:15" s="30" customFormat="1" ht="38.25">
      <c r="A695" s="12" t="s">
        <v>722</v>
      </c>
      <c r="B695" s="25" t="s">
        <v>26</v>
      </c>
      <c r="C695" s="26" t="s">
        <v>71</v>
      </c>
      <c r="D695" s="26" t="s">
        <v>71</v>
      </c>
      <c r="E695" s="26" t="s">
        <v>300</v>
      </c>
      <c r="F695" s="26" t="s">
        <v>58</v>
      </c>
      <c r="G695" s="27">
        <f t="shared" ref="G695:I699" si="482">G696</f>
        <v>212500</v>
      </c>
      <c r="H695" s="27">
        <f t="shared" si="482"/>
        <v>187500</v>
      </c>
      <c r="I695" s="27">
        <f t="shared" si="482"/>
        <v>187500</v>
      </c>
      <c r="J695" s="16">
        <f>'БА в тыс. руб.'!G695*1000</f>
        <v>212500</v>
      </c>
      <c r="K695" s="169">
        <f t="shared" si="450"/>
        <v>0</v>
      </c>
      <c r="L695" s="16">
        <f>'БА в тыс. руб.'!H695*1000</f>
        <v>187500</v>
      </c>
      <c r="M695" s="169">
        <f t="shared" si="451"/>
        <v>0</v>
      </c>
      <c r="N695" s="16">
        <f>'БА в тыс. руб.'!I695*1000</f>
        <v>187500</v>
      </c>
      <c r="O695" s="169">
        <f t="shared" si="452"/>
        <v>0</v>
      </c>
    </row>
    <row r="696" spans="1:15" s="30" customFormat="1">
      <c r="A696" s="12" t="s">
        <v>142</v>
      </c>
      <c r="B696" s="25" t="s">
        <v>26</v>
      </c>
      <c r="C696" s="26" t="s">
        <v>71</v>
      </c>
      <c r="D696" s="26" t="s">
        <v>71</v>
      </c>
      <c r="E696" s="26" t="s">
        <v>453</v>
      </c>
      <c r="F696" s="26" t="s">
        <v>58</v>
      </c>
      <c r="G696" s="27">
        <f t="shared" si="482"/>
        <v>212500</v>
      </c>
      <c r="H696" s="27">
        <f t="shared" si="482"/>
        <v>187500</v>
      </c>
      <c r="I696" s="27">
        <f t="shared" si="482"/>
        <v>187500</v>
      </c>
      <c r="J696" s="16">
        <f>'БА в тыс. руб.'!G696*1000</f>
        <v>212500</v>
      </c>
      <c r="K696" s="169">
        <f t="shared" si="450"/>
        <v>0</v>
      </c>
      <c r="L696" s="16">
        <f>'БА в тыс. руб.'!H696*1000</f>
        <v>187500</v>
      </c>
      <c r="M696" s="169">
        <f t="shared" si="451"/>
        <v>0</v>
      </c>
      <c r="N696" s="16">
        <f>'БА в тыс. руб.'!I696*1000</f>
        <v>187500</v>
      </c>
      <c r="O696" s="169">
        <f t="shared" si="452"/>
        <v>0</v>
      </c>
    </row>
    <row r="697" spans="1:15" s="30" customFormat="1" ht="25.5">
      <c r="A697" s="12" t="s">
        <v>454</v>
      </c>
      <c r="B697" s="25" t="s">
        <v>26</v>
      </c>
      <c r="C697" s="26" t="s">
        <v>71</v>
      </c>
      <c r="D697" s="26" t="s">
        <v>71</v>
      </c>
      <c r="E697" s="26" t="s">
        <v>645</v>
      </c>
      <c r="F697" s="26" t="s">
        <v>58</v>
      </c>
      <c r="G697" s="27">
        <f t="shared" si="482"/>
        <v>212500</v>
      </c>
      <c r="H697" s="27">
        <f t="shared" si="482"/>
        <v>187500</v>
      </c>
      <c r="I697" s="27">
        <f t="shared" si="482"/>
        <v>187500</v>
      </c>
      <c r="J697" s="16">
        <f>'БА в тыс. руб.'!G697*1000</f>
        <v>212500</v>
      </c>
      <c r="K697" s="169">
        <f t="shared" si="450"/>
        <v>0</v>
      </c>
      <c r="L697" s="16">
        <f>'БА в тыс. руб.'!H697*1000</f>
        <v>187500</v>
      </c>
      <c r="M697" s="169">
        <f t="shared" si="451"/>
        <v>0</v>
      </c>
      <c r="N697" s="16">
        <f>'БА в тыс. руб.'!I697*1000</f>
        <v>187500</v>
      </c>
      <c r="O697" s="169">
        <f t="shared" si="452"/>
        <v>0</v>
      </c>
    </row>
    <row r="698" spans="1:15" s="30" customFormat="1" ht="25.5">
      <c r="A698" s="12" t="s">
        <v>158</v>
      </c>
      <c r="B698" s="25" t="s">
        <v>26</v>
      </c>
      <c r="C698" s="26" t="s">
        <v>71</v>
      </c>
      <c r="D698" s="26" t="s">
        <v>71</v>
      </c>
      <c r="E698" s="26" t="s">
        <v>646</v>
      </c>
      <c r="F698" s="26" t="s">
        <v>58</v>
      </c>
      <c r="G698" s="27">
        <f t="shared" si="482"/>
        <v>212500</v>
      </c>
      <c r="H698" s="27">
        <f t="shared" si="482"/>
        <v>187500</v>
      </c>
      <c r="I698" s="27">
        <f t="shared" si="482"/>
        <v>187500</v>
      </c>
      <c r="J698" s="16">
        <f>'БА в тыс. руб.'!G698*1000</f>
        <v>212500</v>
      </c>
      <c r="K698" s="169">
        <f t="shared" si="450"/>
        <v>0</v>
      </c>
      <c r="L698" s="16">
        <f>'БА в тыс. руб.'!H698*1000</f>
        <v>187500</v>
      </c>
      <c r="M698" s="169">
        <f t="shared" si="451"/>
        <v>0</v>
      </c>
      <c r="N698" s="16">
        <f>'БА в тыс. руб.'!I698*1000</f>
        <v>187500</v>
      </c>
      <c r="O698" s="169">
        <f t="shared" si="452"/>
        <v>0</v>
      </c>
    </row>
    <row r="699" spans="1:15" s="30" customFormat="1" ht="25.5">
      <c r="A699" s="11" t="s">
        <v>108</v>
      </c>
      <c r="B699" s="25" t="s">
        <v>26</v>
      </c>
      <c r="C699" s="26" t="s">
        <v>71</v>
      </c>
      <c r="D699" s="26" t="s">
        <v>71</v>
      </c>
      <c r="E699" s="26" t="s">
        <v>646</v>
      </c>
      <c r="F699" s="26" t="s">
        <v>116</v>
      </c>
      <c r="G699" s="27">
        <f>G700</f>
        <v>212500</v>
      </c>
      <c r="H699" s="27">
        <f t="shared" si="482"/>
        <v>187500</v>
      </c>
      <c r="I699" s="27">
        <f t="shared" si="482"/>
        <v>187500</v>
      </c>
      <c r="J699" s="16">
        <f>'БА в тыс. руб.'!G699*1000</f>
        <v>212500</v>
      </c>
      <c r="K699" s="169">
        <f t="shared" si="450"/>
        <v>0</v>
      </c>
      <c r="L699" s="16">
        <f>'БА в тыс. руб.'!H699*1000</f>
        <v>187500</v>
      </c>
      <c r="M699" s="169">
        <f t="shared" si="451"/>
        <v>0</v>
      </c>
      <c r="N699" s="16">
        <f>'БА в тыс. руб.'!I699*1000</f>
        <v>187500</v>
      </c>
      <c r="O699" s="169">
        <f t="shared" si="452"/>
        <v>0</v>
      </c>
    </row>
    <row r="700" spans="1:15" s="83" customFormat="1" ht="25.5">
      <c r="A700" s="12" t="s">
        <v>973</v>
      </c>
      <c r="B700" s="25" t="s">
        <v>26</v>
      </c>
      <c r="C700" s="26" t="s">
        <v>71</v>
      </c>
      <c r="D700" s="26" t="s">
        <v>71</v>
      </c>
      <c r="E700" s="26" t="s">
        <v>646</v>
      </c>
      <c r="F700" s="26" t="s">
        <v>1043</v>
      </c>
      <c r="G700" s="27">
        <f t="shared" ref="G700" si="483">J700</f>
        <v>212500</v>
      </c>
      <c r="H700" s="27">
        <f>L700</f>
        <v>187500</v>
      </c>
      <c r="I700" s="27">
        <f>N700</f>
        <v>187500</v>
      </c>
      <c r="J700" s="16">
        <f>'БА в тыс. руб.'!G700*1000</f>
        <v>212500</v>
      </c>
      <c r="K700" s="169">
        <f t="shared" si="450"/>
        <v>0</v>
      </c>
      <c r="L700" s="16">
        <f>'БА в тыс. руб.'!H700*1000</f>
        <v>187500</v>
      </c>
      <c r="M700" s="169">
        <f t="shared" si="451"/>
        <v>0</v>
      </c>
      <c r="N700" s="16">
        <f>'БА в тыс. руб.'!I700*1000</f>
        <v>187500</v>
      </c>
      <c r="O700" s="169">
        <f t="shared" si="452"/>
        <v>0</v>
      </c>
    </row>
    <row r="701" spans="1:15" s="30" customFormat="1">
      <c r="A701" s="74" t="s">
        <v>741</v>
      </c>
      <c r="B701" s="25" t="s">
        <v>26</v>
      </c>
      <c r="C701" s="26" t="s">
        <v>71</v>
      </c>
      <c r="D701" s="26" t="s">
        <v>71</v>
      </c>
      <c r="E701" s="26" t="s">
        <v>456</v>
      </c>
      <c r="F701" s="26" t="s">
        <v>58</v>
      </c>
      <c r="G701" s="27">
        <f>G702</f>
        <v>6794010</v>
      </c>
      <c r="H701" s="27">
        <f>H702</f>
        <v>6390200</v>
      </c>
      <c r="I701" s="27">
        <f>I702</f>
        <v>6390200</v>
      </c>
      <c r="J701" s="16">
        <f>'БА в тыс. руб.'!G701*1000</f>
        <v>6794010</v>
      </c>
      <c r="K701" s="169">
        <f t="shared" si="450"/>
        <v>0</v>
      </c>
      <c r="L701" s="16">
        <f>'БА в тыс. руб.'!H701*1000</f>
        <v>6390200</v>
      </c>
      <c r="M701" s="169">
        <f t="shared" si="451"/>
        <v>0</v>
      </c>
      <c r="N701" s="16">
        <f>'БА в тыс. руб.'!I701*1000</f>
        <v>6390200</v>
      </c>
      <c r="O701" s="169">
        <f t="shared" si="452"/>
        <v>0</v>
      </c>
    </row>
    <row r="702" spans="1:15" s="30" customFormat="1" ht="25.5">
      <c r="A702" s="74" t="s">
        <v>742</v>
      </c>
      <c r="B702" s="25" t="s">
        <v>26</v>
      </c>
      <c r="C702" s="26" t="s">
        <v>71</v>
      </c>
      <c r="D702" s="26" t="s">
        <v>71</v>
      </c>
      <c r="E702" s="26" t="s">
        <v>457</v>
      </c>
      <c r="F702" s="26" t="s">
        <v>58</v>
      </c>
      <c r="G702" s="27">
        <f>G703+G707+G715+G719+G723+G727</f>
        <v>6794010</v>
      </c>
      <c r="H702" s="27">
        <f>H703+H707+H715+H719+H723+H727</f>
        <v>6390200</v>
      </c>
      <c r="I702" s="27">
        <f>I703+I707+I715+I719+I723+I727</f>
        <v>6390200</v>
      </c>
      <c r="J702" s="16">
        <f>'БА в тыс. руб.'!G702*1000</f>
        <v>6794010</v>
      </c>
      <c r="K702" s="169">
        <f t="shared" si="450"/>
        <v>0</v>
      </c>
      <c r="L702" s="16">
        <f>'БА в тыс. руб.'!H702*1000</f>
        <v>6390200</v>
      </c>
      <c r="M702" s="169">
        <f t="shared" si="451"/>
        <v>0</v>
      </c>
      <c r="N702" s="16">
        <f>'БА в тыс. руб.'!I702*1000</f>
        <v>6390200</v>
      </c>
      <c r="O702" s="169">
        <f t="shared" si="452"/>
        <v>0</v>
      </c>
    </row>
    <row r="703" spans="1:15" s="30" customFormat="1" ht="25.5">
      <c r="A703" s="12" t="s">
        <v>458</v>
      </c>
      <c r="B703" s="25" t="s">
        <v>26</v>
      </c>
      <c r="C703" s="26" t="s">
        <v>71</v>
      </c>
      <c r="D703" s="26" t="s">
        <v>71</v>
      </c>
      <c r="E703" s="26" t="s">
        <v>459</v>
      </c>
      <c r="F703" s="26" t="s">
        <v>58</v>
      </c>
      <c r="G703" s="27">
        <f t="shared" ref="G703:I705" si="484">G704</f>
        <v>779000</v>
      </c>
      <c r="H703" s="27">
        <f t="shared" si="484"/>
        <v>779000</v>
      </c>
      <c r="I703" s="27">
        <f t="shared" si="484"/>
        <v>779000</v>
      </c>
      <c r="J703" s="16">
        <f>'БА в тыс. руб.'!G703*1000</f>
        <v>779000</v>
      </c>
      <c r="K703" s="169">
        <f t="shared" si="450"/>
        <v>0</v>
      </c>
      <c r="L703" s="16">
        <f>'БА в тыс. руб.'!H703*1000</f>
        <v>779000</v>
      </c>
      <c r="M703" s="169">
        <f t="shared" si="451"/>
        <v>0</v>
      </c>
      <c r="N703" s="16">
        <f>'БА в тыс. руб.'!I703*1000</f>
        <v>779000</v>
      </c>
      <c r="O703" s="169">
        <f t="shared" si="452"/>
        <v>0</v>
      </c>
    </row>
    <row r="704" spans="1:15" s="30" customFormat="1" ht="38.25">
      <c r="A704" s="11" t="s">
        <v>164</v>
      </c>
      <c r="B704" s="25" t="s">
        <v>26</v>
      </c>
      <c r="C704" s="26" t="s">
        <v>71</v>
      </c>
      <c r="D704" s="26" t="s">
        <v>71</v>
      </c>
      <c r="E704" s="26" t="s">
        <v>460</v>
      </c>
      <c r="F704" s="26" t="s">
        <v>58</v>
      </c>
      <c r="G704" s="27">
        <f t="shared" si="484"/>
        <v>779000</v>
      </c>
      <c r="H704" s="27">
        <f t="shared" si="484"/>
        <v>779000</v>
      </c>
      <c r="I704" s="27">
        <f t="shared" si="484"/>
        <v>779000</v>
      </c>
      <c r="J704" s="16">
        <f>'БА в тыс. руб.'!G704*1000</f>
        <v>779000</v>
      </c>
      <c r="K704" s="169">
        <f t="shared" si="450"/>
        <v>0</v>
      </c>
      <c r="L704" s="16">
        <f>'БА в тыс. руб.'!H704*1000</f>
        <v>779000</v>
      </c>
      <c r="M704" s="169">
        <f t="shared" si="451"/>
        <v>0</v>
      </c>
      <c r="N704" s="16">
        <f>'БА в тыс. руб.'!I704*1000</f>
        <v>779000</v>
      </c>
      <c r="O704" s="169">
        <f t="shared" si="452"/>
        <v>0</v>
      </c>
    </row>
    <row r="705" spans="1:15" s="30" customFormat="1">
      <c r="A705" s="13" t="s">
        <v>92</v>
      </c>
      <c r="B705" s="25" t="s">
        <v>26</v>
      </c>
      <c r="C705" s="26" t="s">
        <v>71</v>
      </c>
      <c r="D705" s="26" t="s">
        <v>71</v>
      </c>
      <c r="E705" s="26" t="s">
        <v>460</v>
      </c>
      <c r="F705" s="26" t="s">
        <v>138</v>
      </c>
      <c r="G705" s="27">
        <f>G706</f>
        <v>779000</v>
      </c>
      <c r="H705" s="27">
        <f t="shared" si="484"/>
        <v>779000</v>
      </c>
      <c r="I705" s="27">
        <f t="shared" si="484"/>
        <v>779000</v>
      </c>
      <c r="J705" s="16">
        <f>'БА в тыс. руб.'!G705*1000</f>
        <v>779000</v>
      </c>
      <c r="K705" s="169">
        <f t="shared" si="450"/>
        <v>0</v>
      </c>
      <c r="L705" s="16">
        <f>'БА в тыс. руб.'!H705*1000</f>
        <v>779000</v>
      </c>
      <c r="M705" s="169">
        <f t="shared" si="451"/>
        <v>0</v>
      </c>
      <c r="N705" s="16">
        <f>'БА в тыс. руб.'!I705*1000</f>
        <v>779000</v>
      </c>
      <c r="O705" s="169">
        <f t="shared" si="452"/>
        <v>0</v>
      </c>
    </row>
    <row r="706" spans="1:15" s="83" customFormat="1" ht="38.25">
      <c r="A706" s="12" t="s">
        <v>1015</v>
      </c>
      <c r="B706" s="25" t="s">
        <v>26</v>
      </c>
      <c r="C706" s="26" t="s">
        <v>71</v>
      </c>
      <c r="D706" s="26" t="s">
        <v>71</v>
      </c>
      <c r="E706" s="26" t="s">
        <v>460</v>
      </c>
      <c r="F706" s="26" t="s">
        <v>67</v>
      </c>
      <c r="G706" s="27">
        <f t="shared" ref="G706" si="485">J706</f>
        <v>779000</v>
      </c>
      <c r="H706" s="27">
        <f>L706</f>
        <v>779000</v>
      </c>
      <c r="I706" s="27">
        <f>N706</f>
        <v>779000</v>
      </c>
      <c r="J706" s="16">
        <f>'БА в тыс. руб.'!G706*1000</f>
        <v>779000</v>
      </c>
      <c r="K706" s="169">
        <f t="shared" si="450"/>
        <v>0</v>
      </c>
      <c r="L706" s="16">
        <f>'БА в тыс. руб.'!H706*1000</f>
        <v>779000</v>
      </c>
      <c r="M706" s="169">
        <f t="shared" si="451"/>
        <v>0</v>
      </c>
      <c r="N706" s="16">
        <f>'БА в тыс. руб.'!I706*1000</f>
        <v>779000</v>
      </c>
      <c r="O706" s="169">
        <f t="shared" si="452"/>
        <v>0</v>
      </c>
    </row>
    <row r="707" spans="1:15" s="30" customFormat="1" ht="38.25">
      <c r="A707" s="12" t="s">
        <v>461</v>
      </c>
      <c r="B707" s="25" t="s">
        <v>26</v>
      </c>
      <c r="C707" s="26" t="s">
        <v>71</v>
      </c>
      <c r="D707" s="26" t="s">
        <v>71</v>
      </c>
      <c r="E707" s="26" t="s">
        <v>567</v>
      </c>
      <c r="F707" s="26" t="s">
        <v>58</v>
      </c>
      <c r="G707" s="27">
        <f>G708</f>
        <v>2340000</v>
      </c>
      <c r="H707" s="27">
        <f t="shared" ref="H707:I707" si="486">H708</f>
        <v>2340000</v>
      </c>
      <c r="I707" s="27">
        <f t="shared" si="486"/>
        <v>2340000</v>
      </c>
      <c r="J707" s="16">
        <f>'БА в тыс. руб.'!G707*1000</f>
        <v>2340000</v>
      </c>
      <c r="K707" s="169">
        <f t="shared" si="450"/>
        <v>0</v>
      </c>
      <c r="L707" s="16">
        <f>'БА в тыс. руб.'!H707*1000</f>
        <v>2340000</v>
      </c>
      <c r="M707" s="169">
        <f t="shared" si="451"/>
        <v>0</v>
      </c>
      <c r="N707" s="16">
        <f>'БА в тыс. руб.'!I707*1000</f>
        <v>2340000</v>
      </c>
      <c r="O707" s="169">
        <f t="shared" si="452"/>
        <v>0</v>
      </c>
    </row>
    <row r="708" spans="1:15" s="30" customFormat="1" ht="38.25">
      <c r="A708" s="11" t="s">
        <v>164</v>
      </c>
      <c r="B708" s="25" t="s">
        <v>26</v>
      </c>
      <c r="C708" s="26" t="s">
        <v>71</v>
      </c>
      <c r="D708" s="26" t="s">
        <v>71</v>
      </c>
      <c r="E708" s="26" t="s">
        <v>462</v>
      </c>
      <c r="F708" s="26" t="s">
        <v>58</v>
      </c>
      <c r="G708" s="27">
        <f>G709+G713+G712+G711</f>
        <v>2340000</v>
      </c>
      <c r="H708" s="27">
        <f>H709+H713+H712+H711</f>
        <v>2340000</v>
      </c>
      <c r="I708" s="27">
        <f>I709+I713+I712+I711</f>
        <v>2340000</v>
      </c>
      <c r="J708" s="16">
        <f>'БА в тыс. руб.'!G708*1000</f>
        <v>2340000</v>
      </c>
      <c r="K708" s="169">
        <f t="shared" si="450"/>
        <v>0</v>
      </c>
      <c r="L708" s="16">
        <f>'БА в тыс. руб.'!H708*1000</f>
        <v>2340000</v>
      </c>
      <c r="M708" s="169">
        <f t="shared" si="451"/>
        <v>0</v>
      </c>
      <c r="N708" s="16">
        <f>'БА в тыс. руб.'!I708*1000</f>
        <v>2340000</v>
      </c>
      <c r="O708" s="169">
        <f t="shared" si="452"/>
        <v>0</v>
      </c>
    </row>
    <row r="709" spans="1:15" s="30" customFormat="1" ht="25.5">
      <c r="A709" s="11" t="s">
        <v>108</v>
      </c>
      <c r="B709" s="25" t="s">
        <v>26</v>
      </c>
      <c r="C709" s="26" t="s">
        <v>71</v>
      </c>
      <c r="D709" s="26" t="s">
        <v>71</v>
      </c>
      <c r="E709" s="26" t="s">
        <v>462</v>
      </c>
      <c r="F709" s="26" t="s">
        <v>116</v>
      </c>
      <c r="G709" s="27">
        <f>G710</f>
        <v>549500</v>
      </c>
      <c r="H709" s="27">
        <f t="shared" ref="H709:I709" si="487">H710</f>
        <v>549500</v>
      </c>
      <c r="I709" s="27">
        <f t="shared" si="487"/>
        <v>549500</v>
      </c>
      <c r="J709" s="16">
        <f>'БА в тыс. руб.'!G709*1000</f>
        <v>549500</v>
      </c>
      <c r="K709" s="169">
        <f t="shared" si="450"/>
        <v>0</v>
      </c>
      <c r="L709" s="16">
        <f>'БА в тыс. руб.'!H709*1000</f>
        <v>549500</v>
      </c>
      <c r="M709" s="169">
        <f t="shared" si="451"/>
        <v>0</v>
      </c>
      <c r="N709" s="16">
        <f>'БА в тыс. руб.'!I709*1000</f>
        <v>549500</v>
      </c>
      <c r="O709" s="169">
        <f t="shared" si="452"/>
        <v>0</v>
      </c>
    </row>
    <row r="710" spans="1:15" s="83" customFormat="1" ht="25.5">
      <c r="A710" s="12" t="s">
        <v>973</v>
      </c>
      <c r="B710" s="25" t="s">
        <v>26</v>
      </c>
      <c r="C710" s="26" t="s">
        <v>71</v>
      </c>
      <c r="D710" s="26" t="s">
        <v>71</v>
      </c>
      <c r="E710" s="26" t="s">
        <v>462</v>
      </c>
      <c r="F710" s="26" t="s">
        <v>1043</v>
      </c>
      <c r="G710" s="27">
        <f t="shared" ref="G710:G712" si="488">J710</f>
        <v>549500</v>
      </c>
      <c r="H710" s="27">
        <f t="shared" ref="H710:H712" si="489">L710</f>
        <v>549500</v>
      </c>
      <c r="I710" s="27">
        <f t="shared" ref="I710:I712" si="490">N710</f>
        <v>549500</v>
      </c>
      <c r="J710" s="16">
        <f>'БА в тыс. руб.'!G710*1000</f>
        <v>549500</v>
      </c>
      <c r="K710" s="169">
        <f t="shared" si="450"/>
        <v>0</v>
      </c>
      <c r="L710" s="16">
        <f>'БА в тыс. руб.'!H710*1000</f>
        <v>549500</v>
      </c>
      <c r="M710" s="169">
        <f t="shared" si="451"/>
        <v>0</v>
      </c>
      <c r="N710" s="16">
        <f>'БА в тыс. руб.'!I710*1000</f>
        <v>549500</v>
      </c>
      <c r="O710" s="169">
        <f t="shared" si="452"/>
        <v>0</v>
      </c>
    </row>
    <row r="711" spans="1:15" s="30" customFormat="1">
      <c r="A711" s="11" t="s">
        <v>89</v>
      </c>
      <c r="B711" s="25" t="s">
        <v>26</v>
      </c>
      <c r="C711" s="26" t="s">
        <v>71</v>
      </c>
      <c r="D711" s="26" t="s">
        <v>71</v>
      </c>
      <c r="E711" s="26" t="s">
        <v>462</v>
      </c>
      <c r="F711" s="26" t="s">
        <v>182</v>
      </c>
      <c r="G711" s="27">
        <f t="shared" si="488"/>
        <v>600500</v>
      </c>
      <c r="H711" s="27">
        <f t="shared" si="489"/>
        <v>600500</v>
      </c>
      <c r="I711" s="27">
        <f t="shared" si="490"/>
        <v>600500</v>
      </c>
      <c r="J711" s="16">
        <f>'БА в тыс. руб.'!G711*1000</f>
        <v>600500</v>
      </c>
      <c r="K711" s="169">
        <f t="shared" si="450"/>
        <v>0</v>
      </c>
      <c r="L711" s="16">
        <f>'БА в тыс. руб.'!H711*1000</f>
        <v>600500</v>
      </c>
      <c r="M711" s="169">
        <f t="shared" si="451"/>
        <v>0</v>
      </c>
      <c r="N711" s="16">
        <f>'БА в тыс. руб.'!I711*1000</f>
        <v>600500</v>
      </c>
      <c r="O711" s="169">
        <f t="shared" si="452"/>
        <v>0</v>
      </c>
    </row>
    <row r="712" spans="1:15" s="30" customFormat="1">
      <c r="A712" s="11" t="s">
        <v>90</v>
      </c>
      <c r="B712" s="25" t="s">
        <v>26</v>
      </c>
      <c r="C712" s="26" t="s">
        <v>71</v>
      </c>
      <c r="D712" s="26" t="s">
        <v>71</v>
      </c>
      <c r="E712" s="26" t="s">
        <v>462</v>
      </c>
      <c r="F712" s="26" t="s">
        <v>181</v>
      </c>
      <c r="G712" s="27">
        <f t="shared" si="488"/>
        <v>60000</v>
      </c>
      <c r="H712" s="27">
        <f t="shared" si="489"/>
        <v>60000</v>
      </c>
      <c r="I712" s="27">
        <f t="shared" si="490"/>
        <v>60000</v>
      </c>
      <c r="J712" s="16">
        <f>'БА в тыс. руб.'!G712*1000</f>
        <v>60000</v>
      </c>
      <c r="K712" s="169">
        <f t="shared" ref="K712:K775" si="491">J712-G712</f>
        <v>0</v>
      </c>
      <c r="L712" s="16">
        <f>'БА в тыс. руб.'!H712*1000</f>
        <v>60000</v>
      </c>
      <c r="M712" s="169">
        <f t="shared" ref="M712:M775" si="492">L712-H712</f>
        <v>0</v>
      </c>
      <c r="N712" s="16">
        <f>'БА в тыс. руб.'!I712*1000</f>
        <v>60000</v>
      </c>
      <c r="O712" s="169">
        <f t="shared" ref="O712:O775" si="493">N712-I712</f>
        <v>0</v>
      </c>
    </row>
    <row r="713" spans="1:15" s="30" customFormat="1">
      <c r="A713" s="13" t="s">
        <v>92</v>
      </c>
      <c r="B713" s="25" t="s">
        <v>26</v>
      </c>
      <c r="C713" s="26" t="s">
        <v>71</v>
      </c>
      <c r="D713" s="26" t="s">
        <v>71</v>
      </c>
      <c r="E713" s="26" t="s">
        <v>462</v>
      </c>
      <c r="F713" s="26" t="s">
        <v>138</v>
      </c>
      <c r="G713" s="27">
        <f>G714</f>
        <v>1130000</v>
      </c>
      <c r="H713" s="27">
        <f t="shared" ref="H713:I713" si="494">H714</f>
        <v>1130000</v>
      </c>
      <c r="I713" s="27">
        <f t="shared" si="494"/>
        <v>1130000</v>
      </c>
      <c r="J713" s="16">
        <f>'БА в тыс. руб.'!G713*1000</f>
        <v>1130000</v>
      </c>
      <c r="K713" s="169">
        <f t="shared" si="491"/>
        <v>0</v>
      </c>
      <c r="L713" s="16">
        <f>'БА в тыс. руб.'!H713*1000</f>
        <v>1130000</v>
      </c>
      <c r="M713" s="169">
        <f t="shared" si="492"/>
        <v>0</v>
      </c>
      <c r="N713" s="16">
        <f>'БА в тыс. руб.'!I713*1000</f>
        <v>1130000</v>
      </c>
      <c r="O713" s="169">
        <f t="shared" si="493"/>
        <v>0</v>
      </c>
    </row>
    <row r="714" spans="1:15" s="83" customFormat="1" ht="38.25">
      <c r="A714" s="12" t="s">
        <v>1015</v>
      </c>
      <c r="B714" s="25" t="s">
        <v>26</v>
      </c>
      <c r="C714" s="26" t="s">
        <v>71</v>
      </c>
      <c r="D714" s="26" t="s">
        <v>71</v>
      </c>
      <c r="E714" s="26" t="s">
        <v>462</v>
      </c>
      <c r="F714" s="26" t="s">
        <v>67</v>
      </c>
      <c r="G714" s="27">
        <f t="shared" ref="G714" si="495">J714</f>
        <v>1130000</v>
      </c>
      <c r="H714" s="27">
        <f>L714</f>
        <v>1130000</v>
      </c>
      <c r="I714" s="27">
        <f>N714</f>
        <v>1130000</v>
      </c>
      <c r="J714" s="16">
        <f>'БА в тыс. руб.'!G714*1000</f>
        <v>1130000</v>
      </c>
      <c r="K714" s="169">
        <f t="shared" si="491"/>
        <v>0</v>
      </c>
      <c r="L714" s="16">
        <f>'БА в тыс. руб.'!H714*1000</f>
        <v>1130000</v>
      </c>
      <c r="M714" s="169">
        <f t="shared" si="492"/>
        <v>0</v>
      </c>
      <c r="N714" s="16">
        <f>'БА в тыс. руб.'!I714*1000</f>
        <v>1130000</v>
      </c>
      <c r="O714" s="169">
        <f t="shared" si="493"/>
        <v>0</v>
      </c>
    </row>
    <row r="715" spans="1:15" s="30" customFormat="1" ht="25.5">
      <c r="A715" s="12" t="s">
        <v>463</v>
      </c>
      <c r="B715" s="25" t="s">
        <v>26</v>
      </c>
      <c r="C715" s="26" t="s">
        <v>71</v>
      </c>
      <c r="D715" s="26" t="s">
        <v>71</v>
      </c>
      <c r="E715" s="26" t="s">
        <v>464</v>
      </c>
      <c r="F715" s="26" t="s">
        <v>58</v>
      </c>
      <c r="G715" s="27">
        <f t="shared" ref="G715:I717" si="496">G716</f>
        <v>180000</v>
      </c>
      <c r="H715" s="27">
        <f t="shared" si="496"/>
        <v>180000</v>
      </c>
      <c r="I715" s="27">
        <f t="shared" si="496"/>
        <v>180000</v>
      </c>
      <c r="J715" s="16">
        <f>'БА в тыс. руб.'!G715*1000</f>
        <v>180000</v>
      </c>
      <c r="K715" s="169">
        <f t="shared" si="491"/>
        <v>0</v>
      </c>
      <c r="L715" s="16">
        <f>'БА в тыс. руб.'!H715*1000</f>
        <v>180000</v>
      </c>
      <c r="M715" s="169">
        <f t="shared" si="492"/>
        <v>0</v>
      </c>
      <c r="N715" s="16">
        <f>'БА в тыс. руб.'!I715*1000</f>
        <v>180000</v>
      </c>
      <c r="O715" s="169">
        <f t="shared" si="493"/>
        <v>0</v>
      </c>
    </row>
    <row r="716" spans="1:15" s="30" customFormat="1" ht="38.25">
      <c r="A716" s="11" t="s">
        <v>164</v>
      </c>
      <c r="B716" s="25" t="s">
        <v>26</v>
      </c>
      <c r="C716" s="26" t="s">
        <v>71</v>
      </c>
      <c r="D716" s="26" t="s">
        <v>71</v>
      </c>
      <c r="E716" s="26" t="s">
        <v>465</v>
      </c>
      <c r="F716" s="26" t="s">
        <v>58</v>
      </c>
      <c r="G716" s="27">
        <f t="shared" si="496"/>
        <v>180000</v>
      </c>
      <c r="H716" s="27">
        <f t="shared" si="496"/>
        <v>180000</v>
      </c>
      <c r="I716" s="27">
        <f t="shared" si="496"/>
        <v>180000</v>
      </c>
      <c r="J716" s="16">
        <f>'БА в тыс. руб.'!G716*1000</f>
        <v>180000</v>
      </c>
      <c r="K716" s="169">
        <f t="shared" si="491"/>
        <v>0</v>
      </c>
      <c r="L716" s="16">
        <f>'БА в тыс. руб.'!H716*1000</f>
        <v>180000</v>
      </c>
      <c r="M716" s="169">
        <f t="shared" si="492"/>
        <v>0</v>
      </c>
      <c r="N716" s="16">
        <f>'БА в тыс. руб.'!I716*1000</f>
        <v>180000</v>
      </c>
      <c r="O716" s="169">
        <f t="shared" si="493"/>
        <v>0</v>
      </c>
    </row>
    <row r="717" spans="1:15" s="30" customFormat="1">
      <c r="A717" s="13" t="s">
        <v>92</v>
      </c>
      <c r="B717" s="25" t="s">
        <v>26</v>
      </c>
      <c r="C717" s="26" t="s">
        <v>71</v>
      </c>
      <c r="D717" s="26" t="s">
        <v>71</v>
      </c>
      <c r="E717" s="26" t="s">
        <v>465</v>
      </c>
      <c r="F717" s="26" t="s">
        <v>138</v>
      </c>
      <c r="G717" s="27">
        <f>G718</f>
        <v>180000</v>
      </c>
      <c r="H717" s="27">
        <f t="shared" si="496"/>
        <v>180000</v>
      </c>
      <c r="I717" s="27">
        <f t="shared" si="496"/>
        <v>180000</v>
      </c>
      <c r="J717" s="16">
        <f>'БА в тыс. руб.'!G717*1000</f>
        <v>180000</v>
      </c>
      <c r="K717" s="169">
        <f t="shared" si="491"/>
        <v>0</v>
      </c>
      <c r="L717" s="16">
        <f>'БА в тыс. руб.'!H717*1000</f>
        <v>180000</v>
      </c>
      <c r="M717" s="169">
        <f t="shared" si="492"/>
        <v>0</v>
      </c>
      <c r="N717" s="16">
        <f>'БА в тыс. руб.'!I717*1000</f>
        <v>180000</v>
      </c>
      <c r="O717" s="169">
        <f t="shared" si="493"/>
        <v>0</v>
      </c>
    </row>
    <row r="718" spans="1:15" s="83" customFormat="1" ht="38.25">
      <c r="A718" s="12" t="s">
        <v>1015</v>
      </c>
      <c r="B718" s="25" t="s">
        <v>26</v>
      </c>
      <c r="C718" s="26" t="s">
        <v>71</v>
      </c>
      <c r="D718" s="26" t="s">
        <v>71</v>
      </c>
      <c r="E718" s="26" t="s">
        <v>465</v>
      </c>
      <c r="F718" s="26" t="s">
        <v>67</v>
      </c>
      <c r="G718" s="27">
        <f t="shared" ref="G718" si="497">J718</f>
        <v>180000</v>
      </c>
      <c r="H718" s="27">
        <f>L718</f>
        <v>180000</v>
      </c>
      <c r="I718" s="27">
        <f>N718</f>
        <v>180000</v>
      </c>
      <c r="J718" s="16">
        <f>'БА в тыс. руб.'!G718*1000</f>
        <v>180000</v>
      </c>
      <c r="K718" s="169">
        <f t="shared" si="491"/>
        <v>0</v>
      </c>
      <c r="L718" s="16">
        <f>'БА в тыс. руб.'!H718*1000</f>
        <v>180000</v>
      </c>
      <c r="M718" s="169">
        <f t="shared" si="492"/>
        <v>0</v>
      </c>
      <c r="N718" s="16">
        <f>'БА в тыс. руб.'!I718*1000</f>
        <v>180000</v>
      </c>
      <c r="O718" s="169">
        <f t="shared" si="493"/>
        <v>0</v>
      </c>
    </row>
    <row r="719" spans="1:15" s="30" customFormat="1" ht="38.25">
      <c r="A719" s="12" t="s">
        <v>466</v>
      </c>
      <c r="B719" s="25" t="s">
        <v>26</v>
      </c>
      <c r="C719" s="26" t="s">
        <v>71</v>
      </c>
      <c r="D719" s="26" t="s">
        <v>71</v>
      </c>
      <c r="E719" s="26" t="s">
        <v>467</v>
      </c>
      <c r="F719" s="26" t="s">
        <v>58</v>
      </c>
      <c r="G719" s="27">
        <f t="shared" ref="G719:I721" si="498">G720</f>
        <v>310000</v>
      </c>
      <c r="H719" s="27">
        <f t="shared" si="498"/>
        <v>310000</v>
      </c>
      <c r="I719" s="27">
        <f t="shared" si="498"/>
        <v>310000</v>
      </c>
      <c r="J719" s="16">
        <f>'БА в тыс. руб.'!G719*1000</f>
        <v>310000</v>
      </c>
      <c r="K719" s="169">
        <f t="shared" si="491"/>
        <v>0</v>
      </c>
      <c r="L719" s="16">
        <f>'БА в тыс. руб.'!H719*1000</f>
        <v>310000</v>
      </c>
      <c r="M719" s="169">
        <f t="shared" si="492"/>
        <v>0</v>
      </c>
      <c r="N719" s="16">
        <f>'БА в тыс. руб.'!I719*1000</f>
        <v>310000</v>
      </c>
      <c r="O719" s="169">
        <f t="shared" si="493"/>
        <v>0</v>
      </c>
    </row>
    <row r="720" spans="1:15" s="30" customFormat="1" ht="38.25">
      <c r="A720" s="11" t="s">
        <v>164</v>
      </c>
      <c r="B720" s="25" t="s">
        <v>26</v>
      </c>
      <c r="C720" s="26" t="s">
        <v>71</v>
      </c>
      <c r="D720" s="26" t="s">
        <v>71</v>
      </c>
      <c r="E720" s="26" t="s">
        <v>468</v>
      </c>
      <c r="F720" s="26" t="s">
        <v>58</v>
      </c>
      <c r="G720" s="27">
        <f t="shared" si="498"/>
        <v>310000</v>
      </c>
      <c r="H720" s="27">
        <f t="shared" si="498"/>
        <v>310000</v>
      </c>
      <c r="I720" s="27">
        <f t="shared" si="498"/>
        <v>310000</v>
      </c>
      <c r="J720" s="16">
        <f>'БА в тыс. руб.'!G720*1000</f>
        <v>310000</v>
      </c>
      <c r="K720" s="169">
        <f t="shared" si="491"/>
        <v>0</v>
      </c>
      <c r="L720" s="16">
        <f>'БА в тыс. руб.'!H720*1000</f>
        <v>310000</v>
      </c>
      <c r="M720" s="169">
        <f t="shared" si="492"/>
        <v>0</v>
      </c>
      <c r="N720" s="16">
        <f>'БА в тыс. руб.'!I720*1000</f>
        <v>310000</v>
      </c>
      <c r="O720" s="169">
        <f t="shared" si="493"/>
        <v>0</v>
      </c>
    </row>
    <row r="721" spans="1:21" s="30" customFormat="1">
      <c r="A721" s="13" t="s">
        <v>92</v>
      </c>
      <c r="B721" s="25" t="s">
        <v>26</v>
      </c>
      <c r="C721" s="26" t="s">
        <v>71</v>
      </c>
      <c r="D721" s="26" t="s">
        <v>71</v>
      </c>
      <c r="E721" s="26" t="s">
        <v>468</v>
      </c>
      <c r="F721" s="26" t="s">
        <v>138</v>
      </c>
      <c r="G721" s="27">
        <f>G722</f>
        <v>310000</v>
      </c>
      <c r="H721" s="27">
        <f t="shared" si="498"/>
        <v>310000</v>
      </c>
      <c r="I721" s="27">
        <f t="shared" si="498"/>
        <v>310000</v>
      </c>
      <c r="J721" s="16">
        <f>'БА в тыс. руб.'!G721*1000</f>
        <v>310000</v>
      </c>
      <c r="K721" s="169">
        <f t="shared" si="491"/>
        <v>0</v>
      </c>
      <c r="L721" s="16">
        <f>'БА в тыс. руб.'!H721*1000</f>
        <v>310000</v>
      </c>
      <c r="M721" s="169">
        <f t="shared" si="492"/>
        <v>0</v>
      </c>
      <c r="N721" s="16">
        <f>'БА в тыс. руб.'!I721*1000</f>
        <v>310000</v>
      </c>
      <c r="O721" s="169">
        <f t="shared" si="493"/>
        <v>0</v>
      </c>
    </row>
    <row r="722" spans="1:21" s="83" customFormat="1" ht="38.25">
      <c r="A722" s="12" t="s">
        <v>1015</v>
      </c>
      <c r="B722" s="25" t="s">
        <v>26</v>
      </c>
      <c r="C722" s="26" t="s">
        <v>71</v>
      </c>
      <c r="D722" s="26" t="s">
        <v>71</v>
      </c>
      <c r="E722" s="26" t="s">
        <v>468</v>
      </c>
      <c r="F722" s="26" t="s">
        <v>67</v>
      </c>
      <c r="G722" s="27">
        <f t="shared" ref="G722" si="499">J722</f>
        <v>310000</v>
      </c>
      <c r="H722" s="27">
        <f>L722</f>
        <v>310000</v>
      </c>
      <c r="I722" s="27">
        <f>N722</f>
        <v>310000</v>
      </c>
      <c r="J722" s="16">
        <f>'БА в тыс. руб.'!G722*1000</f>
        <v>310000</v>
      </c>
      <c r="K722" s="169">
        <f t="shared" si="491"/>
        <v>0</v>
      </c>
      <c r="L722" s="16">
        <f>'БА в тыс. руб.'!H722*1000</f>
        <v>310000</v>
      </c>
      <c r="M722" s="169">
        <f t="shared" si="492"/>
        <v>0</v>
      </c>
      <c r="N722" s="16">
        <f>'БА в тыс. руб.'!I722*1000</f>
        <v>310000</v>
      </c>
      <c r="O722" s="169">
        <f t="shared" si="493"/>
        <v>0</v>
      </c>
    </row>
    <row r="723" spans="1:21" s="30" customFormat="1" ht="38.25">
      <c r="A723" s="12" t="s">
        <v>469</v>
      </c>
      <c r="B723" s="25" t="s">
        <v>26</v>
      </c>
      <c r="C723" s="26" t="s">
        <v>71</v>
      </c>
      <c r="D723" s="26" t="s">
        <v>71</v>
      </c>
      <c r="E723" s="26" t="s">
        <v>470</v>
      </c>
      <c r="F723" s="26" t="s">
        <v>58</v>
      </c>
      <c r="G723" s="27">
        <f t="shared" ref="G723:I725" si="500">G724</f>
        <v>429350</v>
      </c>
      <c r="H723" s="27">
        <f t="shared" si="500"/>
        <v>25540</v>
      </c>
      <c r="I723" s="27">
        <f t="shared" si="500"/>
        <v>25540</v>
      </c>
      <c r="J723" s="16">
        <f>'БА в тыс. руб.'!G723*1000</f>
        <v>429350</v>
      </c>
      <c r="K723" s="169">
        <f t="shared" si="491"/>
        <v>0</v>
      </c>
      <c r="L723" s="16">
        <f>'БА в тыс. руб.'!H723*1000</f>
        <v>25540</v>
      </c>
      <c r="M723" s="169">
        <f t="shared" si="492"/>
        <v>0</v>
      </c>
      <c r="N723" s="16">
        <f>'БА в тыс. руб.'!I723*1000</f>
        <v>25540</v>
      </c>
      <c r="O723" s="169">
        <f t="shared" si="493"/>
        <v>0</v>
      </c>
    </row>
    <row r="724" spans="1:21" s="30" customFormat="1" ht="38.25">
      <c r="A724" s="11" t="s">
        <v>164</v>
      </c>
      <c r="B724" s="25" t="s">
        <v>26</v>
      </c>
      <c r="C724" s="26" t="s">
        <v>71</v>
      </c>
      <c r="D724" s="26" t="s">
        <v>71</v>
      </c>
      <c r="E724" s="26" t="s">
        <v>471</v>
      </c>
      <c r="F724" s="26" t="s">
        <v>58</v>
      </c>
      <c r="G724" s="27">
        <f t="shared" si="500"/>
        <v>429350</v>
      </c>
      <c r="H724" s="27">
        <f t="shared" si="500"/>
        <v>25540</v>
      </c>
      <c r="I724" s="27">
        <f t="shared" si="500"/>
        <v>25540</v>
      </c>
      <c r="J724" s="16">
        <f>'БА в тыс. руб.'!G724*1000</f>
        <v>429350</v>
      </c>
      <c r="K724" s="169">
        <f t="shared" si="491"/>
        <v>0</v>
      </c>
      <c r="L724" s="16">
        <f>'БА в тыс. руб.'!H724*1000</f>
        <v>25540</v>
      </c>
      <c r="M724" s="169">
        <f t="shared" si="492"/>
        <v>0</v>
      </c>
      <c r="N724" s="16">
        <f>'БА в тыс. руб.'!I724*1000</f>
        <v>25540</v>
      </c>
      <c r="O724" s="169">
        <f t="shared" si="493"/>
        <v>0</v>
      </c>
    </row>
    <row r="725" spans="1:21" s="30" customFormat="1">
      <c r="A725" s="13" t="s">
        <v>92</v>
      </c>
      <c r="B725" s="25" t="s">
        <v>26</v>
      </c>
      <c r="C725" s="26" t="s">
        <v>71</v>
      </c>
      <c r="D725" s="26" t="s">
        <v>71</v>
      </c>
      <c r="E725" s="26" t="s">
        <v>471</v>
      </c>
      <c r="F725" s="26" t="s">
        <v>138</v>
      </c>
      <c r="G725" s="27">
        <f>G726</f>
        <v>429350</v>
      </c>
      <c r="H725" s="27">
        <f t="shared" si="500"/>
        <v>25540</v>
      </c>
      <c r="I725" s="27">
        <f t="shared" si="500"/>
        <v>25540</v>
      </c>
      <c r="J725" s="16">
        <f>'БА в тыс. руб.'!G725*1000</f>
        <v>429350</v>
      </c>
      <c r="K725" s="169">
        <f t="shared" si="491"/>
        <v>0</v>
      </c>
      <c r="L725" s="16">
        <f>'БА в тыс. руб.'!H725*1000</f>
        <v>25540</v>
      </c>
      <c r="M725" s="169">
        <f t="shared" si="492"/>
        <v>0</v>
      </c>
      <c r="N725" s="16">
        <f>'БА в тыс. руб.'!I725*1000</f>
        <v>25540</v>
      </c>
      <c r="O725" s="169">
        <f t="shared" si="493"/>
        <v>0</v>
      </c>
    </row>
    <row r="726" spans="1:21" s="83" customFormat="1" ht="38.25">
      <c r="A726" s="12" t="s">
        <v>1015</v>
      </c>
      <c r="B726" s="25" t="s">
        <v>26</v>
      </c>
      <c r="C726" s="26" t="s">
        <v>71</v>
      </c>
      <c r="D726" s="26" t="s">
        <v>71</v>
      </c>
      <c r="E726" s="26" t="s">
        <v>471</v>
      </c>
      <c r="F726" s="26" t="s">
        <v>67</v>
      </c>
      <c r="G726" s="27">
        <f t="shared" ref="G726" si="501">J726</f>
        <v>429350</v>
      </c>
      <c r="H726" s="27">
        <f>L726</f>
        <v>25540</v>
      </c>
      <c r="I726" s="27">
        <f>N726</f>
        <v>25540</v>
      </c>
      <c r="J726" s="16">
        <f>'БА в тыс. руб.'!G726*1000</f>
        <v>429350</v>
      </c>
      <c r="K726" s="169">
        <f t="shared" si="491"/>
        <v>0</v>
      </c>
      <c r="L726" s="16">
        <f>'БА в тыс. руб.'!H726*1000</f>
        <v>25540</v>
      </c>
      <c r="M726" s="169">
        <f t="shared" si="492"/>
        <v>0</v>
      </c>
      <c r="N726" s="16">
        <f>'БА в тыс. руб.'!I726*1000</f>
        <v>25540</v>
      </c>
      <c r="O726" s="169">
        <f t="shared" si="493"/>
        <v>0</v>
      </c>
    </row>
    <row r="727" spans="1:21" s="30" customFormat="1" ht="25.5">
      <c r="A727" s="12" t="s">
        <v>472</v>
      </c>
      <c r="B727" s="25" t="s">
        <v>26</v>
      </c>
      <c r="C727" s="26" t="s">
        <v>71</v>
      </c>
      <c r="D727" s="26" t="s">
        <v>71</v>
      </c>
      <c r="E727" s="26" t="s">
        <v>473</v>
      </c>
      <c r="F727" s="26" t="s">
        <v>58</v>
      </c>
      <c r="G727" s="27">
        <f t="shared" ref="G727:I729" si="502">G728</f>
        <v>2755660</v>
      </c>
      <c r="H727" s="27">
        <f t="shared" si="502"/>
        <v>2755660</v>
      </c>
      <c r="I727" s="27">
        <f t="shared" si="502"/>
        <v>2755660</v>
      </c>
      <c r="J727" s="16">
        <f>'БА в тыс. руб.'!G727*1000</f>
        <v>2755660</v>
      </c>
      <c r="K727" s="169">
        <f t="shared" si="491"/>
        <v>0</v>
      </c>
      <c r="L727" s="16">
        <f>'БА в тыс. руб.'!H727*1000</f>
        <v>2755660</v>
      </c>
      <c r="M727" s="169">
        <f t="shared" si="492"/>
        <v>0</v>
      </c>
      <c r="N727" s="16">
        <f>'БА в тыс. руб.'!I727*1000</f>
        <v>2755660</v>
      </c>
      <c r="O727" s="169">
        <f t="shared" si="493"/>
        <v>0</v>
      </c>
    </row>
    <row r="728" spans="1:21" s="30" customFormat="1" ht="25.5">
      <c r="A728" s="39" t="s">
        <v>247</v>
      </c>
      <c r="B728" s="25" t="s">
        <v>26</v>
      </c>
      <c r="C728" s="26" t="s">
        <v>71</v>
      </c>
      <c r="D728" s="26" t="s">
        <v>71</v>
      </c>
      <c r="E728" s="26" t="s">
        <v>474</v>
      </c>
      <c r="F728" s="26" t="s">
        <v>58</v>
      </c>
      <c r="G728" s="27">
        <f t="shared" si="502"/>
        <v>2755660</v>
      </c>
      <c r="H728" s="27">
        <f t="shared" si="502"/>
        <v>2755660</v>
      </c>
      <c r="I728" s="27">
        <f t="shared" si="502"/>
        <v>2755660</v>
      </c>
      <c r="J728" s="16">
        <f>'БА в тыс. руб.'!G728*1000</f>
        <v>2755660</v>
      </c>
      <c r="K728" s="169">
        <f t="shared" si="491"/>
        <v>0</v>
      </c>
      <c r="L728" s="16">
        <f>'БА в тыс. руб.'!H728*1000</f>
        <v>2755660</v>
      </c>
      <c r="M728" s="169">
        <f t="shared" si="492"/>
        <v>0</v>
      </c>
      <c r="N728" s="16">
        <f>'БА в тыс. руб.'!I728*1000</f>
        <v>2755660</v>
      </c>
      <c r="O728" s="169">
        <f t="shared" si="493"/>
        <v>0</v>
      </c>
    </row>
    <row r="729" spans="1:21" s="30" customFormat="1">
      <c r="A729" s="13" t="s">
        <v>92</v>
      </c>
      <c r="B729" s="25" t="s">
        <v>26</v>
      </c>
      <c r="C729" s="26" t="s">
        <v>71</v>
      </c>
      <c r="D729" s="26" t="s">
        <v>71</v>
      </c>
      <c r="E729" s="26" t="s">
        <v>474</v>
      </c>
      <c r="F729" s="26" t="s">
        <v>138</v>
      </c>
      <c r="G729" s="27">
        <f>G730</f>
        <v>2755660</v>
      </c>
      <c r="H729" s="27">
        <f t="shared" si="502"/>
        <v>2755660</v>
      </c>
      <c r="I729" s="27">
        <f t="shared" si="502"/>
        <v>2755660</v>
      </c>
      <c r="J729" s="16">
        <f>'БА в тыс. руб.'!G729*1000</f>
        <v>2755660</v>
      </c>
      <c r="K729" s="169">
        <f t="shared" si="491"/>
        <v>0</v>
      </c>
      <c r="L729" s="16">
        <f>'БА в тыс. руб.'!H729*1000</f>
        <v>2755660</v>
      </c>
      <c r="M729" s="169">
        <f t="shared" si="492"/>
        <v>0</v>
      </c>
      <c r="N729" s="16">
        <f>'БА в тыс. руб.'!I729*1000</f>
        <v>2755660</v>
      </c>
      <c r="O729" s="169">
        <f t="shared" si="493"/>
        <v>0</v>
      </c>
    </row>
    <row r="730" spans="1:21" s="83" customFormat="1" ht="38.25">
      <c r="A730" s="12" t="s">
        <v>1015</v>
      </c>
      <c r="B730" s="25" t="s">
        <v>26</v>
      </c>
      <c r="C730" s="26" t="s">
        <v>71</v>
      </c>
      <c r="D730" s="26" t="s">
        <v>71</v>
      </c>
      <c r="E730" s="26" t="s">
        <v>474</v>
      </c>
      <c r="F730" s="26" t="s">
        <v>67</v>
      </c>
      <c r="G730" s="27">
        <f t="shared" ref="G730" si="503">J730</f>
        <v>2755660</v>
      </c>
      <c r="H730" s="27">
        <f>L730</f>
        <v>2755660</v>
      </c>
      <c r="I730" s="27">
        <f>N730</f>
        <v>2755660</v>
      </c>
      <c r="J730" s="16">
        <f>'БА в тыс. руб.'!G730*1000</f>
        <v>2755660</v>
      </c>
      <c r="K730" s="169">
        <f t="shared" si="491"/>
        <v>0</v>
      </c>
      <c r="L730" s="16">
        <f>'БА в тыс. руб.'!H730*1000</f>
        <v>2755660</v>
      </c>
      <c r="M730" s="169">
        <f t="shared" si="492"/>
        <v>0</v>
      </c>
      <c r="N730" s="16">
        <f>'БА в тыс. руб.'!I730*1000</f>
        <v>2755660</v>
      </c>
      <c r="O730" s="169">
        <f t="shared" si="493"/>
        <v>0</v>
      </c>
    </row>
    <row r="731" spans="1:21" s="3" customFormat="1">
      <c r="A731" s="17" t="s">
        <v>83</v>
      </c>
      <c r="B731" s="18" t="s">
        <v>26</v>
      </c>
      <c r="C731" s="19" t="s">
        <v>50</v>
      </c>
      <c r="D731" s="19" t="s">
        <v>51</v>
      </c>
      <c r="E731" s="19" t="s">
        <v>196</v>
      </c>
      <c r="F731" s="19" t="s">
        <v>58</v>
      </c>
      <c r="G731" s="20">
        <f>G732+G793</f>
        <v>254929920</v>
      </c>
      <c r="H731" s="20">
        <f>H732+H793</f>
        <v>164716100</v>
      </c>
      <c r="I731" s="20">
        <f>I732+I793</f>
        <v>162120140</v>
      </c>
      <c r="J731" s="16">
        <f>'БА в тыс. руб.'!G731*1000</f>
        <v>254929919.99999997</v>
      </c>
      <c r="K731" s="169">
        <f t="shared" si="491"/>
        <v>0</v>
      </c>
      <c r="L731" s="16">
        <f>'БА в тыс. руб.'!H731*1000</f>
        <v>164716099.99999997</v>
      </c>
      <c r="M731" s="169">
        <f t="shared" si="492"/>
        <v>0</v>
      </c>
      <c r="N731" s="16">
        <f>'БА в тыс. руб.'!I731*1000</f>
        <v>162120139.99999997</v>
      </c>
      <c r="O731" s="169">
        <f t="shared" si="493"/>
        <v>0</v>
      </c>
      <c r="S731" s="30"/>
      <c r="T731" s="30"/>
      <c r="U731" s="30"/>
    </row>
    <row r="732" spans="1:21" s="3" customFormat="1">
      <c r="A732" s="21" t="s">
        <v>27</v>
      </c>
      <c r="B732" s="22" t="s">
        <v>26</v>
      </c>
      <c r="C732" s="23" t="s">
        <v>50</v>
      </c>
      <c r="D732" s="23" t="s">
        <v>65</v>
      </c>
      <c r="E732" s="23" t="s">
        <v>196</v>
      </c>
      <c r="F732" s="23" t="s">
        <v>58</v>
      </c>
      <c r="G732" s="24">
        <f>G733+G787+G781</f>
        <v>241327480</v>
      </c>
      <c r="H732" s="24">
        <f>H733+H787+H781</f>
        <v>151105640</v>
      </c>
      <c r="I732" s="24">
        <f>I733+I787+I781</f>
        <v>148509680</v>
      </c>
      <c r="J732" s="16">
        <f>'БА в тыс. руб.'!G732*1000</f>
        <v>241327479.99999997</v>
      </c>
      <c r="K732" s="169">
        <f t="shared" si="491"/>
        <v>0</v>
      </c>
      <c r="L732" s="16">
        <f>'БА в тыс. руб.'!H732*1000</f>
        <v>151105639.99999997</v>
      </c>
      <c r="M732" s="169">
        <f t="shared" si="492"/>
        <v>0</v>
      </c>
      <c r="N732" s="16">
        <f>'БА в тыс. руб.'!I732*1000</f>
        <v>148509680</v>
      </c>
      <c r="O732" s="169">
        <f t="shared" si="493"/>
        <v>0</v>
      </c>
      <c r="S732" s="30"/>
      <c r="T732" s="30"/>
      <c r="U732" s="30"/>
    </row>
    <row r="733" spans="1:21" s="3" customFormat="1">
      <c r="A733" s="11" t="s">
        <v>739</v>
      </c>
      <c r="B733" s="25" t="s">
        <v>26</v>
      </c>
      <c r="C733" s="26" t="s">
        <v>50</v>
      </c>
      <c r="D733" s="26" t="s">
        <v>65</v>
      </c>
      <c r="E733" s="26" t="s">
        <v>277</v>
      </c>
      <c r="F733" s="26" t="s">
        <v>58</v>
      </c>
      <c r="G733" s="27">
        <f>G734+G741</f>
        <v>240590120</v>
      </c>
      <c r="H733" s="27">
        <f>H734+H741</f>
        <v>150481290</v>
      </c>
      <c r="I733" s="27">
        <f>I734+I741</f>
        <v>147885330</v>
      </c>
      <c r="J733" s="16">
        <f>'БА в тыс. руб.'!G733*1000</f>
        <v>240590120</v>
      </c>
      <c r="K733" s="169">
        <f t="shared" si="491"/>
        <v>0</v>
      </c>
      <c r="L733" s="16">
        <f>'БА в тыс. руб.'!H733*1000</f>
        <v>150481289.99999997</v>
      </c>
      <c r="M733" s="169">
        <f t="shared" si="492"/>
        <v>0</v>
      </c>
      <c r="N733" s="16">
        <f>'БА в тыс. руб.'!I733*1000</f>
        <v>147885330</v>
      </c>
      <c r="O733" s="169">
        <f t="shared" si="493"/>
        <v>0</v>
      </c>
      <c r="S733" s="30"/>
      <c r="T733" s="30"/>
      <c r="U733" s="30"/>
    </row>
    <row r="734" spans="1:21" s="3" customFormat="1" ht="51">
      <c r="A734" s="11" t="s">
        <v>191</v>
      </c>
      <c r="B734" s="25" t="s">
        <v>26</v>
      </c>
      <c r="C734" s="26" t="s">
        <v>50</v>
      </c>
      <c r="D734" s="26" t="s">
        <v>65</v>
      </c>
      <c r="E734" s="26" t="s">
        <v>278</v>
      </c>
      <c r="F734" s="26" t="s">
        <v>58</v>
      </c>
      <c r="G734" s="27">
        <f t="shared" ref="G734:I735" si="504">G735</f>
        <v>5593500</v>
      </c>
      <c r="H734" s="27">
        <f t="shared" si="504"/>
        <v>4973000</v>
      </c>
      <c r="I734" s="27">
        <f t="shared" si="504"/>
        <v>4973000</v>
      </c>
      <c r="J734" s="16">
        <f>'БА в тыс. руб.'!G734*1000</f>
        <v>5593500</v>
      </c>
      <c r="K734" s="169">
        <f t="shared" si="491"/>
        <v>0</v>
      </c>
      <c r="L734" s="16">
        <f>'БА в тыс. руб.'!H734*1000</f>
        <v>4973000</v>
      </c>
      <c r="M734" s="169">
        <f t="shared" si="492"/>
        <v>0</v>
      </c>
      <c r="N734" s="16">
        <f>'БА в тыс. руб.'!I734*1000</f>
        <v>4973000</v>
      </c>
      <c r="O734" s="169">
        <f t="shared" si="493"/>
        <v>0</v>
      </c>
      <c r="S734" s="30"/>
      <c r="T734" s="30"/>
      <c r="U734" s="30"/>
    </row>
    <row r="735" spans="1:21" s="3" customFormat="1" ht="63.75">
      <c r="A735" s="11" t="s">
        <v>605</v>
      </c>
      <c r="B735" s="25" t="s">
        <v>26</v>
      </c>
      <c r="C735" s="26" t="s">
        <v>50</v>
      </c>
      <c r="D735" s="26" t="s">
        <v>65</v>
      </c>
      <c r="E735" s="26" t="s">
        <v>279</v>
      </c>
      <c r="F735" s="26" t="s">
        <v>58</v>
      </c>
      <c r="G735" s="27">
        <f t="shared" si="504"/>
        <v>5593500</v>
      </c>
      <c r="H735" s="27">
        <f t="shared" si="504"/>
        <v>4973000</v>
      </c>
      <c r="I735" s="27">
        <f t="shared" si="504"/>
        <v>4973000</v>
      </c>
      <c r="J735" s="16">
        <f>'БА в тыс. руб.'!G735*1000</f>
        <v>5593500</v>
      </c>
      <c r="K735" s="169">
        <f t="shared" si="491"/>
        <v>0</v>
      </c>
      <c r="L735" s="16">
        <f>'БА в тыс. руб.'!H735*1000</f>
        <v>4973000</v>
      </c>
      <c r="M735" s="169">
        <f t="shared" si="492"/>
        <v>0</v>
      </c>
      <c r="N735" s="16">
        <f>'БА в тыс. руб.'!I735*1000</f>
        <v>4973000</v>
      </c>
      <c r="O735" s="169">
        <f t="shared" si="493"/>
        <v>0</v>
      </c>
      <c r="S735" s="30"/>
      <c r="T735" s="30"/>
      <c r="U735" s="30"/>
    </row>
    <row r="736" spans="1:21" s="3" customFormat="1" ht="25.5">
      <c r="A736" s="11" t="s">
        <v>161</v>
      </c>
      <c r="B736" s="25" t="s">
        <v>26</v>
      </c>
      <c r="C736" s="26" t="s">
        <v>50</v>
      </c>
      <c r="D736" s="26" t="s">
        <v>65</v>
      </c>
      <c r="E736" s="26" t="s">
        <v>320</v>
      </c>
      <c r="F736" s="26" t="s">
        <v>58</v>
      </c>
      <c r="G736" s="27">
        <f>G737+G739</f>
        <v>5593500</v>
      </c>
      <c r="H736" s="27">
        <f>H737+H739</f>
        <v>4973000</v>
      </c>
      <c r="I736" s="27">
        <f>I737+I739</f>
        <v>4973000</v>
      </c>
      <c r="J736" s="16">
        <f>'БА в тыс. руб.'!G736*1000</f>
        <v>5593500</v>
      </c>
      <c r="K736" s="169">
        <f t="shared" si="491"/>
        <v>0</v>
      </c>
      <c r="L736" s="16">
        <f>'БА в тыс. руб.'!H736*1000</f>
        <v>4973000</v>
      </c>
      <c r="M736" s="169">
        <f t="shared" si="492"/>
        <v>0</v>
      </c>
      <c r="N736" s="16">
        <f>'БА в тыс. руб.'!I736*1000</f>
        <v>4973000</v>
      </c>
      <c r="O736" s="169">
        <f t="shared" si="493"/>
        <v>0</v>
      </c>
      <c r="S736" s="30"/>
      <c r="T736" s="30"/>
      <c r="U736" s="30"/>
    </row>
    <row r="737" spans="1:21" s="3" customFormat="1">
      <c r="A737" s="13" t="s">
        <v>92</v>
      </c>
      <c r="B737" s="25" t="s">
        <v>26</v>
      </c>
      <c r="C737" s="26" t="s">
        <v>50</v>
      </c>
      <c r="D737" s="26" t="s">
        <v>65</v>
      </c>
      <c r="E737" s="26" t="s">
        <v>320</v>
      </c>
      <c r="F737" s="26" t="s">
        <v>138</v>
      </c>
      <c r="G737" s="27">
        <f>G738</f>
        <v>3642500</v>
      </c>
      <c r="H737" s="27">
        <f t="shared" ref="H737:I737" si="505">H738</f>
        <v>3642500</v>
      </c>
      <c r="I737" s="27">
        <f t="shared" si="505"/>
        <v>3642500</v>
      </c>
      <c r="J737" s="16">
        <f>'БА в тыс. руб.'!G737*1000</f>
        <v>3642500</v>
      </c>
      <c r="K737" s="169">
        <f t="shared" si="491"/>
        <v>0</v>
      </c>
      <c r="L737" s="16">
        <f>'БА в тыс. руб.'!H737*1000</f>
        <v>3642500</v>
      </c>
      <c r="M737" s="169">
        <f t="shared" si="492"/>
        <v>0</v>
      </c>
      <c r="N737" s="16">
        <f>'БА в тыс. руб.'!I737*1000</f>
        <v>3642500</v>
      </c>
      <c r="O737" s="169">
        <f t="shared" si="493"/>
        <v>0</v>
      </c>
      <c r="S737" s="30"/>
      <c r="T737" s="30"/>
      <c r="U737" s="30"/>
    </row>
    <row r="738" spans="1:21" s="4" customFormat="1" ht="38.25">
      <c r="A738" s="12" t="s">
        <v>1015</v>
      </c>
      <c r="B738" s="25" t="s">
        <v>26</v>
      </c>
      <c r="C738" s="26" t="s">
        <v>50</v>
      </c>
      <c r="D738" s="26" t="s">
        <v>65</v>
      </c>
      <c r="E738" s="26" t="s">
        <v>320</v>
      </c>
      <c r="F738" s="26" t="s">
        <v>67</v>
      </c>
      <c r="G738" s="27">
        <f t="shared" ref="G738" si="506">J738</f>
        <v>3642500</v>
      </c>
      <c r="H738" s="27">
        <f>L738</f>
        <v>3642500</v>
      </c>
      <c r="I738" s="27">
        <f>N738</f>
        <v>3642500</v>
      </c>
      <c r="J738" s="16">
        <f>'БА в тыс. руб.'!G738*1000</f>
        <v>3642500</v>
      </c>
      <c r="K738" s="169">
        <f t="shared" si="491"/>
        <v>0</v>
      </c>
      <c r="L738" s="16">
        <f>'БА в тыс. руб.'!H738*1000</f>
        <v>3642500</v>
      </c>
      <c r="M738" s="169">
        <f t="shared" si="492"/>
        <v>0</v>
      </c>
      <c r="N738" s="16">
        <f>'БА в тыс. руб.'!I738*1000</f>
        <v>3642500</v>
      </c>
      <c r="O738" s="169">
        <f t="shared" si="493"/>
        <v>0</v>
      </c>
      <c r="S738" s="83"/>
      <c r="T738" s="83"/>
      <c r="U738" s="83"/>
    </row>
    <row r="739" spans="1:21" s="3" customFormat="1">
      <c r="A739" s="13" t="s">
        <v>93</v>
      </c>
      <c r="B739" s="25" t="s">
        <v>26</v>
      </c>
      <c r="C739" s="26" t="s">
        <v>50</v>
      </c>
      <c r="D739" s="26" t="s">
        <v>65</v>
      </c>
      <c r="E739" s="26" t="s">
        <v>320</v>
      </c>
      <c r="F739" s="26" t="s">
        <v>20</v>
      </c>
      <c r="G739" s="27">
        <f>G740</f>
        <v>1951000</v>
      </c>
      <c r="H739" s="27">
        <f t="shared" ref="H739:I739" si="507">H740</f>
        <v>1330500</v>
      </c>
      <c r="I739" s="27">
        <f t="shared" si="507"/>
        <v>1330500</v>
      </c>
      <c r="J739" s="16">
        <f>'БА в тыс. руб.'!G739*1000</f>
        <v>1951000</v>
      </c>
      <c r="K739" s="169">
        <f t="shared" si="491"/>
        <v>0</v>
      </c>
      <c r="L739" s="16">
        <f>'БА в тыс. руб.'!H739*1000</f>
        <v>1330500</v>
      </c>
      <c r="M739" s="169">
        <f t="shared" si="492"/>
        <v>0</v>
      </c>
      <c r="N739" s="16">
        <f>'БА в тыс. руб.'!I739*1000</f>
        <v>1330500</v>
      </c>
      <c r="O739" s="169">
        <f t="shared" si="493"/>
        <v>0</v>
      </c>
      <c r="S739" s="30"/>
      <c r="T739" s="30"/>
      <c r="U739" s="30"/>
    </row>
    <row r="740" spans="1:21" s="4" customFormat="1" ht="38.25">
      <c r="A740" s="12" t="s">
        <v>1018</v>
      </c>
      <c r="B740" s="25" t="s">
        <v>26</v>
      </c>
      <c r="C740" s="26" t="s">
        <v>50</v>
      </c>
      <c r="D740" s="26" t="s">
        <v>65</v>
      </c>
      <c r="E740" s="26" t="s">
        <v>320</v>
      </c>
      <c r="F740" s="26" t="s">
        <v>16</v>
      </c>
      <c r="G740" s="27">
        <f t="shared" ref="G740" si="508">J740</f>
        <v>1951000</v>
      </c>
      <c r="H740" s="27">
        <f>L740</f>
        <v>1330500</v>
      </c>
      <c r="I740" s="27">
        <f>N740</f>
        <v>1330500</v>
      </c>
      <c r="J740" s="16">
        <f>'БА в тыс. руб.'!G740*1000</f>
        <v>1951000</v>
      </c>
      <c r="K740" s="169">
        <f t="shared" si="491"/>
        <v>0</v>
      </c>
      <c r="L740" s="16">
        <f>'БА в тыс. руб.'!H740*1000</f>
        <v>1330500</v>
      </c>
      <c r="M740" s="169">
        <f t="shared" si="492"/>
        <v>0</v>
      </c>
      <c r="N740" s="16">
        <f>'БА в тыс. руб.'!I740*1000</f>
        <v>1330500</v>
      </c>
      <c r="O740" s="169">
        <f t="shared" si="493"/>
        <v>0</v>
      </c>
      <c r="S740" s="83"/>
      <c r="T740" s="83"/>
      <c r="U740" s="83"/>
    </row>
    <row r="741" spans="1:21" s="3" customFormat="1">
      <c r="A741" s="11" t="s">
        <v>140</v>
      </c>
      <c r="B741" s="25" t="s">
        <v>26</v>
      </c>
      <c r="C741" s="26" t="s">
        <v>50</v>
      </c>
      <c r="D741" s="26" t="s">
        <v>65</v>
      </c>
      <c r="E741" s="26" t="s">
        <v>372</v>
      </c>
      <c r="F741" s="26" t="s">
        <v>58</v>
      </c>
      <c r="G741" s="27">
        <f>G742+G748+G752+G759+G769+G773+G765+G777</f>
        <v>234996620</v>
      </c>
      <c r="H741" s="27">
        <f>H742+H748+H752+H759+H769+H773+H765+H777</f>
        <v>145508290</v>
      </c>
      <c r="I741" s="27">
        <f>I742+I748+I752+I759+I769+I773+I765+I777</f>
        <v>142912330</v>
      </c>
      <c r="J741" s="16">
        <f>'БА в тыс. руб.'!G741*1000</f>
        <v>234996620</v>
      </c>
      <c r="K741" s="169">
        <f t="shared" si="491"/>
        <v>0</v>
      </c>
      <c r="L741" s="16">
        <f>'БА в тыс. руб.'!H741*1000</f>
        <v>145508289.99999997</v>
      </c>
      <c r="M741" s="169">
        <f t="shared" si="492"/>
        <v>0</v>
      </c>
      <c r="N741" s="16">
        <f>'БА в тыс. руб.'!I741*1000</f>
        <v>142912330</v>
      </c>
      <c r="O741" s="169">
        <f t="shared" si="493"/>
        <v>0</v>
      </c>
      <c r="S741" s="30"/>
      <c r="T741" s="30"/>
      <c r="U741" s="30"/>
    </row>
    <row r="742" spans="1:21" s="3" customFormat="1" ht="25.5">
      <c r="A742" s="11" t="s">
        <v>377</v>
      </c>
      <c r="B742" s="25" t="s">
        <v>26</v>
      </c>
      <c r="C742" s="26" t="s">
        <v>50</v>
      </c>
      <c r="D742" s="26" t="s">
        <v>65</v>
      </c>
      <c r="E742" s="26" t="s">
        <v>378</v>
      </c>
      <c r="F742" s="26" t="s">
        <v>58</v>
      </c>
      <c r="G742" s="27">
        <f>G743</f>
        <v>49690560</v>
      </c>
      <c r="H742" s="27">
        <f>H743</f>
        <v>50566200</v>
      </c>
      <c r="I742" s="27">
        <f>I743</f>
        <v>50566200</v>
      </c>
      <c r="J742" s="16">
        <f>'БА в тыс. руб.'!G742*1000</f>
        <v>49690560</v>
      </c>
      <c r="K742" s="169">
        <f t="shared" si="491"/>
        <v>0</v>
      </c>
      <c r="L742" s="16">
        <f>'БА в тыс. руб.'!H742*1000</f>
        <v>50566200</v>
      </c>
      <c r="M742" s="169">
        <f t="shared" si="492"/>
        <v>0</v>
      </c>
      <c r="N742" s="16">
        <f>'БА в тыс. руб.'!I742*1000</f>
        <v>50566200</v>
      </c>
      <c r="O742" s="169">
        <f t="shared" si="493"/>
        <v>0</v>
      </c>
      <c r="S742" s="30"/>
      <c r="T742" s="30"/>
      <c r="U742" s="30"/>
    </row>
    <row r="743" spans="1:21" s="3" customFormat="1" ht="25.5">
      <c r="A743" s="11" t="s">
        <v>247</v>
      </c>
      <c r="B743" s="25" t="s">
        <v>26</v>
      </c>
      <c r="C743" s="26" t="s">
        <v>50</v>
      </c>
      <c r="D743" s="26" t="s">
        <v>65</v>
      </c>
      <c r="E743" s="26" t="s">
        <v>379</v>
      </c>
      <c r="F743" s="26" t="s">
        <v>58</v>
      </c>
      <c r="G743" s="27">
        <f>G744+G746</f>
        <v>49690560</v>
      </c>
      <c r="H743" s="27">
        <f>H744+H746</f>
        <v>50566200</v>
      </c>
      <c r="I743" s="27">
        <f>I744+I746</f>
        <v>50566200</v>
      </c>
      <c r="J743" s="16">
        <f>'БА в тыс. руб.'!G743*1000</f>
        <v>49690560</v>
      </c>
      <c r="K743" s="169">
        <f t="shared" si="491"/>
        <v>0</v>
      </c>
      <c r="L743" s="16">
        <f>'БА в тыс. руб.'!H743*1000</f>
        <v>50566200</v>
      </c>
      <c r="M743" s="169">
        <f t="shared" si="492"/>
        <v>0</v>
      </c>
      <c r="N743" s="16">
        <f>'БА в тыс. руб.'!I743*1000</f>
        <v>50566200</v>
      </c>
      <c r="O743" s="169">
        <f t="shared" si="493"/>
        <v>0</v>
      </c>
      <c r="S743" s="30"/>
      <c r="T743" s="30"/>
      <c r="U743" s="30"/>
    </row>
    <row r="744" spans="1:21" s="3" customFormat="1">
      <c r="A744" s="13" t="s">
        <v>92</v>
      </c>
      <c r="B744" s="25" t="s">
        <v>26</v>
      </c>
      <c r="C744" s="26" t="s">
        <v>50</v>
      </c>
      <c r="D744" s="26" t="s">
        <v>65</v>
      </c>
      <c r="E744" s="26" t="s">
        <v>379</v>
      </c>
      <c r="F744" s="26" t="s">
        <v>138</v>
      </c>
      <c r="G744" s="27">
        <f>G745</f>
        <v>32804000</v>
      </c>
      <c r="H744" s="27">
        <f t="shared" ref="H744:I744" si="509">H745</f>
        <v>32804000</v>
      </c>
      <c r="I744" s="27">
        <f t="shared" si="509"/>
        <v>32804000</v>
      </c>
      <c r="J744" s="16">
        <f>'БА в тыс. руб.'!G744*1000</f>
        <v>32804000</v>
      </c>
      <c r="K744" s="169">
        <f t="shared" si="491"/>
        <v>0</v>
      </c>
      <c r="L744" s="16">
        <f>'БА в тыс. руб.'!H744*1000</f>
        <v>32804000</v>
      </c>
      <c r="M744" s="169">
        <f t="shared" si="492"/>
        <v>0</v>
      </c>
      <c r="N744" s="16">
        <f>'БА в тыс. руб.'!I744*1000</f>
        <v>32804000</v>
      </c>
      <c r="O744" s="169">
        <f t="shared" si="493"/>
        <v>0</v>
      </c>
      <c r="S744" s="30"/>
      <c r="T744" s="30"/>
      <c r="U744" s="30"/>
    </row>
    <row r="745" spans="1:21" s="4" customFormat="1" ht="38.25">
      <c r="A745" s="12" t="s">
        <v>1015</v>
      </c>
      <c r="B745" s="25" t="s">
        <v>26</v>
      </c>
      <c r="C745" s="26" t="s">
        <v>50</v>
      </c>
      <c r="D745" s="26" t="s">
        <v>65</v>
      </c>
      <c r="E745" s="26" t="s">
        <v>379</v>
      </c>
      <c r="F745" s="26" t="s">
        <v>67</v>
      </c>
      <c r="G745" s="27">
        <f t="shared" ref="G745" si="510">J745</f>
        <v>32804000</v>
      </c>
      <c r="H745" s="27">
        <f>L745</f>
        <v>32804000</v>
      </c>
      <c r="I745" s="27">
        <f>N745</f>
        <v>32804000</v>
      </c>
      <c r="J745" s="16">
        <f>'БА в тыс. руб.'!G745*1000</f>
        <v>32804000</v>
      </c>
      <c r="K745" s="169">
        <f t="shared" si="491"/>
        <v>0</v>
      </c>
      <c r="L745" s="16">
        <f>'БА в тыс. руб.'!H745*1000</f>
        <v>32804000</v>
      </c>
      <c r="M745" s="169">
        <f t="shared" si="492"/>
        <v>0</v>
      </c>
      <c r="N745" s="16">
        <f>'БА в тыс. руб.'!I745*1000</f>
        <v>32804000</v>
      </c>
      <c r="O745" s="169">
        <f t="shared" si="493"/>
        <v>0</v>
      </c>
      <c r="S745" s="83"/>
      <c r="T745" s="83"/>
      <c r="U745" s="83"/>
    </row>
    <row r="746" spans="1:21" s="3" customFormat="1">
      <c r="A746" s="13" t="s">
        <v>93</v>
      </c>
      <c r="B746" s="25" t="s">
        <v>26</v>
      </c>
      <c r="C746" s="26" t="s">
        <v>50</v>
      </c>
      <c r="D746" s="26" t="s">
        <v>65</v>
      </c>
      <c r="E746" s="26" t="s">
        <v>379</v>
      </c>
      <c r="F746" s="26" t="s">
        <v>20</v>
      </c>
      <c r="G746" s="27">
        <f>G747</f>
        <v>16886560</v>
      </c>
      <c r="H746" s="27">
        <f t="shared" ref="H746:I746" si="511">H747</f>
        <v>17762200</v>
      </c>
      <c r="I746" s="27">
        <f t="shared" si="511"/>
        <v>17762200</v>
      </c>
      <c r="J746" s="16">
        <f>'БА в тыс. руб.'!G746*1000</f>
        <v>16886560</v>
      </c>
      <c r="K746" s="169">
        <f t="shared" si="491"/>
        <v>0</v>
      </c>
      <c r="L746" s="16">
        <f>'БА в тыс. руб.'!H746*1000</f>
        <v>17762200</v>
      </c>
      <c r="M746" s="169">
        <f t="shared" si="492"/>
        <v>0</v>
      </c>
      <c r="N746" s="16">
        <f>'БА в тыс. руб.'!I746*1000</f>
        <v>17762200</v>
      </c>
      <c r="O746" s="169">
        <f t="shared" si="493"/>
        <v>0</v>
      </c>
      <c r="S746" s="30"/>
      <c r="T746" s="30"/>
      <c r="U746" s="30"/>
    </row>
    <row r="747" spans="1:21" s="4" customFormat="1" ht="38.25">
      <c r="A747" s="12" t="s">
        <v>1018</v>
      </c>
      <c r="B747" s="25" t="s">
        <v>26</v>
      </c>
      <c r="C747" s="26" t="s">
        <v>50</v>
      </c>
      <c r="D747" s="26" t="s">
        <v>65</v>
      </c>
      <c r="E747" s="26" t="s">
        <v>379</v>
      </c>
      <c r="F747" s="26" t="s">
        <v>16</v>
      </c>
      <c r="G747" s="27">
        <f t="shared" ref="G747" si="512">J747</f>
        <v>16886560</v>
      </c>
      <c r="H747" s="27">
        <f>L747</f>
        <v>17762200</v>
      </c>
      <c r="I747" s="27">
        <f>N747</f>
        <v>17762200</v>
      </c>
      <c r="J747" s="16">
        <f>'БА в тыс. руб.'!G747*1000</f>
        <v>16886560</v>
      </c>
      <c r="K747" s="169">
        <f t="shared" si="491"/>
        <v>0</v>
      </c>
      <c r="L747" s="16">
        <f>'БА в тыс. руб.'!H747*1000</f>
        <v>17762200</v>
      </c>
      <c r="M747" s="169">
        <f t="shared" si="492"/>
        <v>0</v>
      </c>
      <c r="N747" s="16">
        <f>'БА в тыс. руб.'!I747*1000</f>
        <v>17762200</v>
      </c>
      <c r="O747" s="169">
        <f t="shared" si="493"/>
        <v>0</v>
      </c>
      <c r="S747" s="83"/>
      <c r="T747" s="83"/>
      <c r="U747" s="83"/>
    </row>
    <row r="748" spans="1:21" s="3" customFormat="1" ht="25.5">
      <c r="A748" s="11" t="s">
        <v>380</v>
      </c>
      <c r="B748" s="25" t="s">
        <v>26</v>
      </c>
      <c r="C748" s="26" t="s">
        <v>50</v>
      </c>
      <c r="D748" s="26" t="s">
        <v>65</v>
      </c>
      <c r="E748" s="26" t="s">
        <v>381</v>
      </c>
      <c r="F748" s="26" t="s">
        <v>58</v>
      </c>
      <c r="G748" s="27">
        <f t="shared" ref="G748:I750" si="513">G749</f>
        <v>3081380</v>
      </c>
      <c r="H748" s="27">
        <f t="shared" si="513"/>
        <v>3102840</v>
      </c>
      <c r="I748" s="27">
        <f t="shared" si="513"/>
        <v>3102840</v>
      </c>
      <c r="J748" s="16">
        <f>'БА в тыс. руб.'!G748*1000</f>
        <v>3081380</v>
      </c>
      <c r="K748" s="169">
        <f t="shared" si="491"/>
        <v>0</v>
      </c>
      <c r="L748" s="16">
        <f>'БА в тыс. руб.'!H748*1000</f>
        <v>3102840</v>
      </c>
      <c r="M748" s="169">
        <f t="shared" si="492"/>
        <v>0</v>
      </c>
      <c r="N748" s="16">
        <f>'БА в тыс. руб.'!I748*1000</f>
        <v>3102840</v>
      </c>
      <c r="O748" s="169">
        <f t="shared" si="493"/>
        <v>0</v>
      </c>
      <c r="S748" s="30"/>
      <c r="T748" s="30"/>
      <c r="U748" s="30"/>
    </row>
    <row r="749" spans="1:21" s="3" customFormat="1" ht="25.5">
      <c r="A749" s="11" t="s">
        <v>247</v>
      </c>
      <c r="B749" s="25" t="s">
        <v>26</v>
      </c>
      <c r="C749" s="26" t="s">
        <v>50</v>
      </c>
      <c r="D749" s="26" t="s">
        <v>65</v>
      </c>
      <c r="E749" s="26" t="s">
        <v>382</v>
      </c>
      <c r="F749" s="26" t="s">
        <v>58</v>
      </c>
      <c r="G749" s="27">
        <f t="shared" si="513"/>
        <v>3081380</v>
      </c>
      <c r="H749" s="27">
        <f t="shared" si="513"/>
        <v>3102840</v>
      </c>
      <c r="I749" s="27">
        <f t="shared" si="513"/>
        <v>3102840</v>
      </c>
      <c r="J749" s="16">
        <f>'БА в тыс. руб.'!G749*1000</f>
        <v>3081380</v>
      </c>
      <c r="K749" s="169">
        <f t="shared" si="491"/>
        <v>0</v>
      </c>
      <c r="L749" s="16">
        <f>'БА в тыс. руб.'!H749*1000</f>
        <v>3102840</v>
      </c>
      <c r="M749" s="169">
        <f t="shared" si="492"/>
        <v>0</v>
      </c>
      <c r="N749" s="16">
        <f>'БА в тыс. руб.'!I749*1000</f>
        <v>3102840</v>
      </c>
      <c r="O749" s="169">
        <f t="shared" si="493"/>
        <v>0</v>
      </c>
      <c r="S749" s="30"/>
      <c r="T749" s="30"/>
      <c r="U749" s="30"/>
    </row>
    <row r="750" spans="1:21" s="3" customFormat="1">
      <c r="A750" s="13" t="s">
        <v>92</v>
      </c>
      <c r="B750" s="25" t="s">
        <v>26</v>
      </c>
      <c r="C750" s="26" t="s">
        <v>50</v>
      </c>
      <c r="D750" s="26" t="s">
        <v>65</v>
      </c>
      <c r="E750" s="26" t="s">
        <v>382</v>
      </c>
      <c r="F750" s="26" t="s">
        <v>138</v>
      </c>
      <c r="G750" s="27">
        <f>G751</f>
        <v>3081380</v>
      </c>
      <c r="H750" s="27">
        <f t="shared" si="513"/>
        <v>3102840</v>
      </c>
      <c r="I750" s="27">
        <f t="shared" si="513"/>
        <v>3102840</v>
      </c>
      <c r="J750" s="16">
        <f>'БА в тыс. руб.'!G750*1000</f>
        <v>3081380</v>
      </c>
      <c r="K750" s="169">
        <f t="shared" si="491"/>
        <v>0</v>
      </c>
      <c r="L750" s="16">
        <f>'БА в тыс. руб.'!H750*1000</f>
        <v>3102840</v>
      </c>
      <c r="M750" s="169">
        <f t="shared" si="492"/>
        <v>0</v>
      </c>
      <c r="N750" s="16">
        <f>'БА в тыс. руб.'!I750*1000</f>
        <v>3102840</v>
      </c>
      <c r="O750" s="169">
        <f t="shared" si="493"/>
        <v>0</v>
      </c>
      <c r="S750" s="30"/>
      <c r="T750" s="30"/>
      <c r="U750" s="30"/>
    </row>
    <row r="751" spans="1:21" s="4" customFormat="1" ht="38.25">
      <c r="A751" s="12" t="s">
        <v>1015</v>
      </c>
      <c r="B751" s="25" t="s">
        <v>26</v>
      </c>
      <c r="C751" s="26" t="s">
        <v>50</v>
      </c>
      <c r="D751" s="26" t="s">
        <v>65</v>
      </c>
      <c r="E751" s="26" t="s">
        <v>382</v>
      </c>
      <c r="F751" s="26" t="s">
        <v>67</v>
      </c>
      <c r="G751" s="27">
        <f t="shared" ref="G751" si="514">J751</f>
        <v>3081380</v>
      </c>
      <c r="H751" s="27">
        <f>L751</f>
        <v>3102840</v>
      </c>
      <c r="I751" s="27">
        <f>N751</f>
        <v>3102840</v>
      </c>
      <c r="J751" s="16">
        <f>'БА в тыс. руб.'!G751*1000</f>
        <v>3081380</v>
      </c>
      <c r="K751" s="169">
        <f t="shared" si="491"/>
        <v>0</v>
      </c>
      <c r="L751" s="16">
        <f>'БА в тыс. руб.'!H751*1000</f>
        <v>3102840</v>
      </c>
      <c r="M751" s="169">
        <f t="shared" si="492"/>
        <v>0</v>
      </c>
      <c r="N751" s="16">
        <f>'БА в тыс. руб.'!I751*1000</f>
        <v>3102840</v>
      </c>
      <c r="O751" s="169">
        <f t="shared" si="493"/>
        <v>0</v>
      </c>
      <c r="S751" s="83"/>
      <c r="T751" s="83"/>
      <c r="U751" s="83"/>
    </row>
    <row r="752" spans="1:21" s="3" customFormat="1" ht="38.25">
      <c r="A752" s="11" t="s">
        <v>383</v>
      </c>
      <c r="B752" s="25" t="s">
        <v>26</v>
      </c>
      <c r="C752" s="26" t="s">
        <v>50</v>
      </c>
      <c r="D752" s="26" t="s">
        <v>65</v>
      </c>
      <c r="E752" s="26" t="s">
        <v>384</v>
      </c>
      <c r="F752" s="26" t="s">
        <v>58</v>
      </c>
      <c r="G752" s="27">
        <f>G753+G756</f>
        <v>39368700</v>
      </c>
      <c r="H752" s="27">
        <f>H753+H756</f>
        <v>39490990</v>
      </c>
      <c r="I752" s="27">
        <f>I753+I756</f>
        <v>39490990</v>
      </c>
      <c r="J752" s="16">
        <f>'БА в тыс. руб.'!G752*1000</f>
        <v>39368700</v>
      </c>
      <c r="K752" s="169">
        <f t="shared" si="491"/>
        <v>0</v>
      </c>
      <c r="L752" s="16">
        <f>'БА в тыс. руб.'!H752*1000</f>
        <v>39490990</v>
      </c>
      <c r="M752" s="169">
        <f t="shared" si="492"/>
        <v>0</v>
      </c>
      <c r="N752" s="16">
        <f>'БА в тыс. руб.'!I752*1000</f>
        <v>39490990</v>
      </c>
      <c r="O752" s="169">
        <f t="shared" si="493"/>
        <v>0</v>
      </c>
      <c r="S752" s="30"/>
      <c r="T752" s="30"/>
      <c r="U752" s="30"/>
    </row>
    <row r="753" spans="1:21" s="3" customFormat="1" ht="25.5">
      <c r="A753" s="11" t="s">
        <v>247</v>
      </c>
      <c r="B753" s="25" t="s">
        <v>26</v>
      </c>
      <c r="C753" s="26" t="s">
        <v>50</v>
      </c>
      <c r="D753" s="26" t="s">
        <v>65</v>
      </c>
      <c r="E753" s="26" t="s">
        <v>385</v>
      </c>
      <c r="F753" s="26" t="s">
        <v>58</v>
      </c>
      <c r="G753" s="27">
        <f>G754</f>
        <v>38768700</v>
      </c>
      <c r="H753" s="27">
        <f>H754</f>
        <v>38890990</v>
      </c>
      <c r="I753" s="27">
        <f>I754</f>
        <v>38890990</v>
      </c>
      <c r="J753" s="16">
        <f>'БА в тыс. руб.'!G753*1000</f>
        <v>38768700</v>
      </c>
      <c r="K753" s="169">
        <f t="shared" si="491"/>
        <v>0</v>
      </c>
      <c r="L753" s="16">
        <f>'БА в тыс. руб.'!H753*1000</f>
        <v>38890990</v>
      </c>
      <c r="M753" s="169">
        <f t="shared" si="492"/>
        <v>0</v>
      </c>
      <c r="N753" s="16">
        <f>'БА в тыс. руб.'!I753*1000</f>
        <v>38890990</v>
      </c>
      <c r="O753" s="169">
        <f t="shared" si="493"/>
        <v>0</v>
      </c>
      <c r="S753" s="30"/>
      <c r="T753" s="30"/>
      <c r="U753" s="30"/>
    </row>
    <row r="754" spans="1:21" s="3" customFormat="1">
      <c r="A754" s="13" t="s">
        <v>92</v>
      </c>
      <c r="B754" s="25" t="s">
        <v>26</v>
      </c>
      <c r="C754" s="26" t="s">
        <v>50</v>
      </c>
      <c r="D754" s="26" t="s">
        <v>65</v>
      </c>
      <c r="E754" s="26" t="s">
        <v>385</v>
      </c>
      <c r="F754" s="26" t="s">
        <v>138</v>
      </c>
      <c r="G754" s="27">
        <f>G755</f>
        <v>38768700</v>
      </c>
      <c r="H754" s="27">
        <f t="shared" ref="H754:I754" si="515">H755</f>
        <v>38890990</v>
      </c>
      <c r="I754" s="27">
        <f t="shared" si="515"/>
        <v>38890990</v>
      </c>
      <c r="J754" s="16">
        <f>'БА в тыс. руб.'!G754*1000</f>
        <v>38768700</v>
      </c>
      <c r="K754" s="169">
        <f t="shared" si="491"/>
        <v>0</v>
      </c>
      <c r="L754" s="16">
        <f>'БА в тыс. руб.'!H754*1000</f>
        <v>38890990</v>
      </c>
      <c r="M754" s="169">
        <f t="shared" si="492"/>
        <v>0</v>
      </c>
      <c r="N754" s="16">
        <f>'БА в тыс. руб.'!I754*1000</f>
        <v>38890990</v>
      </c>
      <c r="O754" s="169">
        <f t="shared" si="493"/>
        <v>0</v>
      </c>
      <c r="S754" s="30"/>
      <c r="T754" s="30"/>
      <c r="U754" s="30"/>
    </row>
    <row r="755" spans="1:21" s="4" customFormat="1" ht="38.25">
      <c r="A755" s="12" t="s">
        <v>1015</v>
      </c>
      <c r="B755" s="25" t="s">
        <v>26</v>
      </c>
      <c r="C755" s="26" t="s">
        <v>50</v>
      </c>
      <c r="D755" s="26" t="s">
        <v>65</v>
      </c>
      <c r="E755" s="26" t="s">
        <v>385</v>
      </c>
      <c r="F755" s="26" t="s">
        <v>67</v>
      </c>
      <c r="G755" s="27">
        <f t="shared" ref="G755" si="516">J755</f>
        <v>38768700</v>
      </c>
      <c r="H755" s="27">
        <f>L755</f>
        <v>38890990</v>
      </c>
      <c r="I755" s="27">
        <f>N755</f>
        <v>38890990</v>
      </c>
      <c r="J755" s="16">
        <f>'БА в тыс. руб.'!G755*1000</f>
        <v>38768700</v>
      </c>
      <c r="K755" s="169">
        <f t="shared" si="491"/>
        <v>0</v>
      </c>
      <c r="L755" s="16">
        <f>'БА в тыс. руб.'!H755*1000</f>
        <v>38890990</v>
      </c>
      <c r="M755" s="169">
        <f t="shared" si="492"/>
        <v>0</v>
      </c>
      <c r="N755" s="16">
        <f>'БА в тыс. руб.'!I755*1000</f>
        <v>38890990</v>
      </c>
      <c r="O755" s="169">
        <f t="shared" si="493"/>
        <v>0</v>
      </c>
      <c r="S755" s="83"/>
      <c r="T755" s="83"/>
      <c r="U755" s="83"/>
    </row>
    <row r="756" spans="1:21" s="3" customFormat="1" ht="25.5">
      <c r="A756" s="13" t="s">
        <v>919</v>
      </c>
      <c r="B756" s="25" t="s">
        <v>26</v>
      </c>
      <c r="C756" s="26" t="s">
        <v>50</v>
      </c>
      <c r="D756" s="26" t="s">
        <v>65</v>
      </c>
      <c r="E756" s="26" t="s">
        <v>918</v>
      </c>
      <c r="F756" s="26" t="s">
        <v>58</v>
      </c>
      <c r="G756" s="27">
        <f>G757</f>
        <v>600000</v>
      </c>
      <c r="H756" s="27">
        <f t="shared" ref="H756:I757" si="517">H757</f>
        <v>600000</v>
      </c>
      <c r="I756" s="27">
        <f t="shared" si="517"/>
        <v>600000</v>
      </c>
      <c r="J756" s="16">
        <f>'БА в тыс. руб.'!G756*1000</f>
        <v>600000</v>
      </c>
      <c r="K756" s="169">
        <f t="shared" si="491"/>
        <v>0</v>
      </c>
      <c r="L756" s="16">
        <f>'БА в тыс. руб.'!H756*1000</f>
        <v>600000</v>
      </c>
      <c r="M756" s="169">
        <f t="shared" si="492"/>
        <v>0</v>
      </c>
      <c r="N756" s="16">
        <f>'БА в тыс. руб.'!I756*1000</f>
        <v>600000</v>
      </c>
      <c r="O756" s="169">
        <f t="shared" si="493"/>
        <v>0</v>
      </c>
      <c r="S756" s="30"/>
      <c r="T756" s="30"/>
      <c r="U756" s="30"/>
    </row>
    <row r="757" spans="1:21" s="3" customFormat="1">
      <c r="A757" s="13" t="s">
        <v>92</v>
      </c>
      <c r="B757" s="25" t="s">
        <v>26</v>
      </c>
      <c r="C757" s="26" t="s">
        <v>50</v>
      </c>
      <c r="D757" s="26" t="s">
        <v>65</v>
      </c>
      <c r="E757" s="26" t="s">
        <v>918</v>
      </c>
      <c r="F757" s="26" t="s">
        <v>138</v>
      </c>
      <c r="G757" s="27">
        <f>G758</f>
        <v>600000</v>
      </c>
      <c r="H757" s="27">
        <f t="shared" si="517"/>
        <v>600000</v>
      </c>
      <c r="I757" s="27">
        <f t="shared" si="517"/>
        <v>600000</v>
      </c>
      <c r="J757" s="16">
        <f>'БА в тыс. руб.'!G757*1000</f>
        <v>600000</v>
      </c>
      <c r="K757" s="169">
        <f t="shared" si="491"/>
        <v>0</v>
      </c>
      <c r="L757" s="16">
        <f>'БА в тыс. руб.'!H757*1000</f>
        <v>600000</v>
      </c>
      <c r="M757" s="169">
        <f t="shared" si="492"/>
        <v>0</v>
      </c>
      <c r="N757" s="16">
        <f>'БА в тыс. руб.'!I757*1000</f>
        <v>600000</v>
      </c>
      <c r="O757" s="169">
        <f t="shared" si="493"/>
        <v>0</v>
      </c>
      <c r="S757" s="30"/>
      <c r="T757" s="30"/>
      <c r="U757" s="30"/>
    </row>
    <row r="758" spans="1:21" s="4" customFormat="1" ht="38.25">
      <c r="A758" s="12" t="s">
        <v>1015</v>
      </c>
      <c r="B758" s="25" t="s">
        <v>26</v>
      </c>
      <c r="C758" s="26" t="s">
        <v>50</v>
      </c>
      <c r="D758" s="26" t="s">
        <v>65</v>
      </c>
      <c r="E758" s="26" t="s">
        <v>918</v>
      </c>
      <c r="F758" s="26" t="s">
        <v>67</v>
      </c>
      <c r="G758" s="27">
        <f t="shared" ref="G758" si="518">J758</f>
        <v>600000</v>
      </c>
      <c r="H758" s="27">
        <f>L758</f>
        <v>600000</v>
      </c>
      <c r="I758" s="27">
        <f>N758</f>
        <v>600000</v>
      </c>
      <c r="J758" s="16">
        <f>'БА в тыс. руб.'!G758*1000</f>
        <v>600000</v>
      </c>
      <c r="K758" s="169">
        <f t="shared" si="491"/>
        <v>0</v>
      </c>
      <c r="L758" s="16">
        <f>'БА в тыс. руб.'!H758*1000</f>
        <v>600000</v>
      </c>
      <c r="M758" s="169">
        <f t="shared" si="492"/>
        <v>0</v>
      </c>
      <c r="N758" s="16">
        <f>'БА в тыс. руб.'!I758*1000</f>
        <v>600000</v>
      </c>
      <c r="O758" s="169">
        <f t="shared" si="493"/>
        <v>0</v>
      </c>
      <c r="S758" s="83"/>
      <c r="T758" s="83"/>
      <c r="U758" s="83"/>
    </row>
    <row r="759" spans="1:21" s="3" customFormat="1" ht="38.25">
      <c r="A759" s="11" t="s">
        <v>386</v>
      </c>
      <c r="B759" s="25" t="s">
        <v>26</v>
      </c>
      <c r="C759" s="26" t="s">
        <v>50</v>
      </c>
      <c r="D759" s="26" t="s">
        <v>65</v>
      </c>
      <c r="E759" s="26" t="s">
        <v>387</v>
      </c>
      <c r="F759" s="26" t="s">
        <v>58</v>
      </c>
      <c r="G759" s="27">
        <f>G760</f>
        <v>48765980</v>
      </c>
      <c r="H759" s="27">
        <f>H760</f>
        <v>48784700</v>
      </c>
      <c r="I759" s="27">
        <f>I760</f>
        <v>48784700</v>
      </c>
      <c r="J759" s="16">
        <f>'БА в тыс. руб.'!G759*1000</f>
        <v>48765979.999999993</v>
      </c>
      <c r="K759" s="169">
        <f t="shared" si="491"/>
        <v>0</v>
      </c>
      <c r="L759" s="16">
        <f>'БА в тыс. руб.'!H759*1000</f>
        <v>48784700</v>
      </c>
      <c r="M759" s="169">
        <f t="shared" si="492"/>
        <v>0</v>
      </c>
      <c r="N759" s="16">
        <f>'БА в тыс. руб.'!I759*1000</f>
        <v>48784700</v>
      </c>
      <c r="O759" s="169">
        <f t="shared" si="493"/>
        <v>0</v>
      </c>
      <c r="S759" s="30"/>
      <c r="T759" s="30"/>
      <c r="U759" s="30"/>
    </row>
    <row r="760" spans="1:21" s="3" customFormat="1" ht="25.5">
      <c r="A760" s="11" t="s">
        <v>247</v>
      </c>
      <c r="B760" s="25" t="s">
        <v>26</v>
      </c>
      <c r="C760" s="26" t="s">
        <v>50</v>
      </c>
      <c r="D760" s="26" t="s">
        <v>65</v>
      </c>
      <c r="E760" s="26" t="s">
        <v>388</v>
      </c>
      <c r="F760" s="26" t="s">
        <v>58</v>
      </c>
      <c r="G760" s="27">
        <f>G761+G763</f>
        <v>48765980</v>
      </c>
      <c r="H760" s="27">
        <f t="shared" ref="H760:I760" si="519">H761+H763</f>
        <v>48784700</v>
      </c>
      <c r="I760" s="27">
        <f t="shared" si="519"/>
        <v>48784700</v>
      </c>
      <c r="J760" s="16">
        <f>'БА в тыс. руб.'!G760*1000</f>
        <v>48765979.999999993</v>
      </c>
      <c r="K760" s="169">
        <f t="shared" si="491"/>
        <v>0</v>
      </c>
      <c r="L760" s="16">
        <f>'БА в тыс. руб.'!H760*1000</f>
        <v>48784700</v>
      </c>
      <c r="M760" s="169">
        <f t="shared" si="492"/>
        <v>0</v>
      </c>
      <c r="N760" s="16">
        <f>'БА в тыс. руб.'!I760*1000</f>
        <v>48784700</v>
      </c>
      <c r="O760" s="169">
        <f t="shared" si="493"/>
        <v>0</v>
      </c>
      <c r="S760" s="30"/>
      <c r="T760" s="30"/>
      <c r="U760" s="30"/>
    </row>
    <row r="761" spans="1:21" s="3" customFormat="1">
      <c r="A761" s="13" t="s">
        <v>92</v>
      </c>
      <c r="B761" s="25" t="s">
        <v>26</v>
      </c>
      <c r="C761" s="26" t="s">
        <v>50</v>
      </c>
      <c r="D761" s="26" t="s">
        <v>65</v>
      </c>
      <c r="E761" s="26" t="s">
        <v>388</v>
      </c>
      <c r="F761" s="26" t="s">
        <v>138</v>
      </c>
      <c r="G761" s="27">
        <f>G762</f>
        <v>40597320</v>
      </c>
      <c r="H761" s="27">
        <f t="shared" ref="H761:I761" si="520">H762</f>
        <v>40616040</v>
      </c>
      <c r="I761" s="27">
        <f t="shared" si="520"/>
        <v>40616040</v>
      </c>
      <c r="J761" s="16">
        <f>'БА в тыс. руб.'!G761*1000</f>
        <v>40597320</v>
      </c>
      <c r="K761" s="169">
        <f t="shared" si="491"/>
        <v>0</v>
      </c>
      <c r="L761" s="16">
        <f>'БА в тыс. руб.'!H761*1000</f>
        <v>40616040</v>
      </c>
      <c r="M761" s="169">
        <f t="shared" si="492"/>
        <v>0</v>
      </c>
      <c r="N761" s="16">
        <f>'БА в тыс. руб.'!I761*1000</f>
        <v>40616040</v>
      </c>
      <c r="O761" s="169">
        <f t="shared" si="493"/>
        <v>0</v>
      </c>
      <c r="S761" s="30"/>
      <c r="T761" s="30"/>
      <c r="U761" s="30"/>
    </row>
    <row r="762" spans="1:21" s="4" customFormat="1" ht="38.25">
      <c r="A762" s="12" t="s">
        <v>1015</v>
      </c>
      <c r="B762" s="25" t="s">
        <v>26</v>
      </c>
      <c r="C762" s="26" t="s">
        <v>50</v>
      </c>
      <c r="D762" s="26" t="s">
        <v>65</v>
      </c>
      <c r="E762" s="26" t="s">
        <v>388</v>
      </c>
      <c r="F762" s="26" t="s">
        <v>67</v>
      </c>
      <c r="G762" s="27">
        <f t="shared" ref="G762" si="521">J762</f>
        <v>40597320</v>
      </c>
      <c r="H762" s="27">
        <f>L762</f>
        <v>40616040</v>
      </c>
      <c r="I762" s="27">
        <f>N762</f>
        <v>40616040</v>
      </c>
      <c r="J762" s="16">
        <f>'БА в тыс. руб.'!G762*1000</f>
        <v>40597320</v>
      </c>
      <c r="K762" s="169">
        <f t="shared" si="491"/>
        <v>0</v>
      </c>
      <c r="L762" s="16">
        <f>'БА в тыс. руб.'!H762*1000</f>
        <v>40616040</v>
      </c>
      <c r="M762" s="169">
        <f t="shared" si="492"/>
        <v>0</v>
      </c>
      <c r="N762" s="16">
        <f>'БА в тыс. руб.'!I762*1000</f>
        <v>40616040</v>
      </c>
      <c r="O762" s="169">
        <f t="shared" si="493"/>
        <v>0</v>
      </c>
      <c r="S762" s="83"/>
      <c r="T762" s="83"/>
      <c r="U762" s="83"/>
    </row>
    <row r="763" spans="1:21" s="3" customFormat="1">
      <c r="A763" s="13" t="s">
        <v>93</v>
      </c>
      <c r="B763" s="25" t="s">
        <v>26</v>
      </c>
      <c r="C763" s="26" t="s">
        <v>50</v>
      </c>
      <c r="D763" s="26" t="s">
        <v>65</v>
      </c>
      <c r="E763" s="26" t="s">
        <v>388</v>
      </c>
      <c r="F763" s="26" t="s">
        <v>20</v>
      </c>
      <c r="G763" s="27">
        <f>G764</f>
        <v>8168660</v>
      </c>
      <c r="H763" s="27">
        <f t="shared" ref="H763:I763" si="522">H764</f>
        <v>8168660</v>
      </c>
      <c r="I763" s="27">
        <f t="shared" si="522"/>
        <v>8168660</v>
      </c>
      <c r="J763" s="16">
        <f>'БА в тыс. руб.'!G763*1000</f>
        <v>8168660</v>
      </c>
      <c r="K763" s="169">
        <f t="shared" si="491"/>
        <v>0</v>
      </c>
      <c r="L763" s="16">
        <f>'БА в тыс. руб.'!H763*1000</f>
        <v>8168660</v>
      </c>
      <c r="M763" s="169">
        <f t="shared" si="492"/>
        <v>0</v>
      </c>
      <c r="N763" s="16">
        <f>'БА в тыс. руб.'!I763*1000</f>
        <v>8168660</v>
      </c>
      <c r="O763" s="169">
        <f t="shared" si="493"/>
        <v>0</v>
      </c>
      <c r="S763" s="30"/>
      <c r="T763" s="30"/>
      <c r="U763" s="30"/>
    </row>
    <row r="764" spans="1:21" s="4" customFormat="1" ht="38.25">
      <c r="A764" s="12" t="s">
        <v>1018</v>
      </c>
      <c r="B764" s="25" t="s">
        <v>26</v>
      </c>
      <c r="C764" s="26" t="s">
        <v>50</v>
      </c>
      <c r="D764" s="26" t="s">
        <v>65</v>
      </c>
      <c r="E764" s="26" t="s">
        <v>388</v>
      </c>
      <c r="F764" s="26" t="s">
        <v>16</v>
      </c>
      <c r="G764" s="27">
        <f t="shared" ref="G764" si="523">J764</f>
        <v>8168660</v>
      </c>
      <c r="H764" s="27">
        <f>L764</f>
        <v>8168660</v>
      </c>
      <c r="I764" s="27">
        <f>N764</f>
        <v>8168660</v>
      </c>
      <c r="J764" s="16">
        <f>'БА в тыс. руб.'!G764*1000</f>
        <v>8168660</v>
      </c>
      <c r="K764" s="169">
        <f t="shared" si="491"/>
        <v>0</v>
      </c>
      <c r="L764" s="16">
        <f>'БА в тыс. руб.'!H764*1000</f>
        <v>8168660</v>
      </c>
      <c r="M764" s="169">
        <f t="shared" si="492"/>
        <v>0</v>
      </c>
      <c r="N764" s="16">
        <f>'БА в тыс. руб.'!I764*1000</f>
        <v>8168660</v>
      </c>
      <c r="O764" s="169">
        <f t="shared" si="493"/>
        <v>0</v>
      </c>
      <c r="S764" s="83"/>
      <c r="T764" s="83"/>
      <c r="U764" s="83"/>
    </row>
    <row r="765" spans="1:21" s="3" customFormat="1" ht="38.25">
      <c r="A765" s="11" t="s">
        <v>621</v>
      </c>
      <c r="B765" s="25" t="s">
        <v>26</v>
      </c>
      <c r="C765" s="26" t="s">
        <v>50</v>
      </c>
      <c r="D765" s="26" t="s">
        <v>65</v>
      </c>
      <c r="E765" s="26" t="s">
        <v>375</v>
      </c>
      <c r="F765" s="26" t="s">
        <v>58</v>
      </c>
      <c r="G765" s="27">
        <f t="shared" ref="G765:I767" si="524">G766</f>
        <v>0</v>
      </c>
      <c r="H765" s="27">
        <f t="shared" si="524"/>
        <v>2595960</v>
      </c>
      <c r="I765" s="27">
        <f t="shared" si="524"/>
        <v>0</v>
      </c>
      <c r="J765" s="16">
        <f>'БА в тыс. руб.'!G765*1000</f>
        <v>0</v>
      </c>
      <c r="K765" s="169">
        <f t="shared" si="491"/>
        <v>0</v>
      </c>
      <c r="L765" s="16">
        <f>'БА в тыс. руб.'!H765*1000</f>
        <v>2595960</v>
      </c>
      <c r="M765" s="169">
        <f t="shared" si="492"/>
        <v>0</v>
      </c>
      <c r="N765" s="16">
        <f>'БА в тыс. руб.'!I765*1000</f>
        <v>0</v>
      </c>
      <c r="O765" s="169">
        <f t="shared" si="493"/>
        <v>0</v>
      </c>
      <c r="S765" s="30"/>
      <c r="T765" s="30"/>
      <c r="U765" s="30"/>
    </row>
    <row r="766" spans="1:21" s="3" customFormat="1" ht="25.5">
      <c r="A766" s="11" t="s">
        <v>162</v>
      </c>
      <c r="B766" s="25" t="s">
        <v>26</v>
      </c>
      <c r="C766" s="26" t="s">
        <v>50</v>
      </c>
      <c r="D766" s="26" t="s">
        <v>65</v>
      </c>
      <c r="E766" s="26" t="s">
        <v>376</v>
      </c>
      <c r="F766" s="26" t="s">
        <v>58</v>
      </c>
      <c r="G766" s="27">
        <f t="shared" si="524"/>
        <v>0</v>
      </c>
      <c r="H766" s="27">
        <f t="shared" si="524"/>
        <v>2595960</v>
      </c>
      <c r="I766" s="27">
        <f t="shared" si="524"/>
        <v>0</v>
      </c>
      <c r="J766" s="16">
        <f>'БА в тыс. руб.'!G766*1000</f>
        <v>0</v>
      </c>
      <c r="K766" s="169">
        <f t="shared" si="491"/>
        <v>0</v>
      </c>
      <c r="L766" s="16">
        <f>'БА в тыс. руб.'!H766*1000</f>
        <v>2595960</v>
      </c>
      <c r="M766" s="169">
        <f t="shared" si="492"/>
        <v>0</v>
      </c>
      <c r="N766" s="16">
        <f>'БА в тыс. руб.'!I766*1000</f>
        <v>0</v>
      </c>
      <c r="O766" s="169">
        <f t="shared" si="493"/>
        <v>0</v>
      </c>
      <c r="S766" s="30"/>
      <c r="T766" s="30"/>
      <c r="U766" s="30"/>
    </row>
    <row r="767" spans="1:21" s="3" customFormat="1">
      <c r="A767" s="13" t="s">
        <v>92</v>
      </c>
      <c r="B767" s="25" t="s">
        <v>26</v>
      </c>
      <c r="C767" s="26" t="s">
        <v>50</v>
      </c>
      <c r="D767" s="26" t="s">
        <v>65</v>
      </c>
      <c r="E767" s="26" t="s">
        <v>376</v>
      </c>
      <c r="F767" s="26" t="s">
        <v>138</v>
      </c>
      <c r="G767" s="27">
        <f>G768</f>
        <v>0</v>
      </c>
      <c r="H767" s="27">
        <f t="shared" si="524"/>
        <v>2595960</v>
      </c>
      <c r="I767" s="27">
        <f t="shared" si="524"/>
        <v>0</v>
      </c>
      <c r="J767" s="16">
        <f>'БА в тыс. руб.'!G767*1000</f>
        <v>0</v>
      </c>
      <c r="K767" s="169">
        <f t="shared" si="491"/>
        <v>0</v>
      </c>
      <c r="L767" s="16">
        <f>'БА в тыс. руб.'!H767*1000</f>
        <v>2595960</v>
      </c>
      <c r="M767" s="169">
        <f t="shared" si="492"/>
        <v>0</v>
      </c>
      <c r="N767" s="16">
        <f>'БА в тыс. руб.'!I767*1000</f>
        <v>0</v>
      </c>
      <c r="O767" s="169">
        <f t="shared" si="493"/>
        <v>0</v>
      </c>
      <c r="S767" s="30"/>
      <c r="T767" s="30"/>
      <c r="U767" s="30"/>
    </row>
    <row r="768" spans="1:21" s="4" customFormat="1">
      <c r="A768" s="12" t="s">
        <v>1016</v>
      </c>
      <c r="B768" s="25" t="s">
        <v>26</v>
      </c>
      <c r="C768" s="26" t="s">
        <v>50</v>
      </c>
      <c r="D768" s="26" t="s">
        <v>65</v>
      </c>
      <c r="E768" s="26" t="s">
        <v>376</v>
      </c>
      <c r="F768" s="26" t="s">
        <v>1046</v>
      </c>
      <c r="G768" s="27">
        <f t="shared" ref="G768" si="525">J768</f>
        <v>0</v>
      </c>
      <c r="H768" s="27">
        <f>L768</f>
        <v>2595960</v>
      </c>
      <c r="I768" s="27">
        <f>N768</f>
        <v>0</v>
      </c>
      <c r="J768" s="16">
        <f>'БА в тыс. руб.'!G768*1000</f>
        <v>0</v>
      </c>
      <c r="K768" s="169">
        <f t="shared" si="491"/>
        <v>0</v>
      </c>
      <c r="L768" s="16">
        <f>'БА в тыс. руб.'!H768*1000</f>
        <v>2595960</v>
      </c>
      <c r="M768" s="169">
        <f t="shared" si="492"/>
        <v>0</v>
      </c>
      <c r="N768" s="16">
        <f>'БА в тыс. руб.'!I768*1000</f>
        <v>0</v>
      </c>
      <c r="O768" s="169">
        <f t="shared" si="493"/>
        <v>0</v>
      </c>
      <c r="S768" s="83"/>
      <c r="T768" s="83"/>
      <c r="U768" s="83"/>
    </row>
    <row r="769" spans="1:21" s="3" customFormat="1" ht="89.25">
      <c r="A769" s="13" t="s">
        <v>850</v>
      </c>
      <c r="B769" s="25" t="s">
        <v>26</v>
      </c>
      <c r="C769" s="26" t="s">
        <v>50</v>
      </c>
      <c r="D769" s="26" t="s">
        <v>65</v>
      </c>
      <c r="E769" s="26" t="s">
        <v>622</v>
      </c>
      <c r="F769" s="26" t="s">
        <v>58</v>
      </c>
      <c r="G769" s="27">
        <f t="shared" ref="G769:I771" si="526">G770</f>
        <v>150000</v>
      </c>
      <c r="H769" s="27">
        <f t="shared" si="526"/>
        <v>150000</v>
      </c>
      <c r="I769" s="27">
        <f t="shared" si="526"/>
        <v>150000</v>
      </c>
      <c r="J769" s="16">
        <f>'БА в тыс. руб.'!G769*1000</f>
        <v>150000</v>
      </c>
      <c r="K769" s="169">
        <f t="shared" si="491"/>
        <v>0</v>
      </c>
      <c r="L769" s="16">
        <f>'БА в тыс. руб.'!H769*1000</f>
        <v>150000</v>
      </c>
      <c r="M769" s="169">
        <f t="shared" si="492"/>
        <v>0</v>
      </c>
      <c r="N769" s="16">
        <f>'БА в тыс. руб.'!I769*1000</f>
        <v>150000</v>
      </c>
      <c r="O769" s="169">
        <f t="shared" si="493"/>
        <v>0</v>
      </c>
      <c r="S769" s="30"/>
      <c r="T769" s="30"/>
      <c r="U769" s="30"/>
    </row>
    <row r="770" spans="1:21" s="3" customFormat="1" ht="76.5">
      <c r="A770" s="11" t="s">
        <v>853</v>
      </c>
      <c r="B770" s="25" t="s">
        <v>26</v>
      </c>
      <c r="C770" s="26" t="s">
        <v>50</v>
      </c>
      <c r="D770" s="26" t="s">
        <v>65</v>
      </c>
      <c r="E770" s="26" t="s">
        <v>623</v>
      </c>
      <c r="F770" s="26" t="s">
        <v>58</v>
      </c>
      <c r="G770" s="27">
        <f t="shared" si="526"/>
        <v>150000</v>
      </c>
      <c r="H770" s="27">
        <f t="shared" si="526"/>
        <v>150000</v>
      </c>
      <c r="I770" s="27">
        <f t="shared" si="526"/>
        <v>150000</v>
      </c>
      <c r="J770" s="16">
        <f>'БА в тыс. руб.'!G770*1000</f>
        <v>150000</v>
      </c>
      <c r="K770" s="169">
        <f t="shared" si="491"/>
        <v>0</v>
      </c>
      <c r="L770" s="16">
        <f>'БА в тыс. руб.'!H770*1000</f>
        <v>150000</v>
      </c>
      <c r="M770" s="169">
        <f t="shared" si="492"/>
        <v>0</v>
      </c>
      <c r="N770" s="16">
        <f>'БА в тыс. руб.'!I770*1000</f>
        <v>150000</v>
      </c>
      <c r="O770" s="169">
        <f t="shared" si="493"/>
        <v>0</v>
      </c>
      <c r="S770" s="30"/>
      <c r="T770" s="30"/>
      <c r="U770" s="30"/>
    </row>
    <row r="771" spans="1:21" s="3" customFormat="1">
      <c r="A771" s="13" t="s">
        <v>92</v>
      </c>
      <c r="B771" s="25" t="s">
        <v>26</v>
      </c>
      <c r="C771" s="26" t="s">
        <v>50</v>
      </c>
      <c r="D771" s="26" t="s">
        <v>65</v>
      </c>
      <c r="E771" s="26" t="s">
        <v>623</v>
      </c>
      <c r="F771" s="26" t="s">
        <v>138</v>
      </c>
      <c r="G771" s="27">
        <f>G772</f>
        <v>150000</v>
      </c>
      <c r="H771" s="27">
        <f t="shared" si="526"/>
        <v>150000</v>
      </c>
      <c r="I771" s="27">
        <f t="shared" si="526"/>
        <v>150000</v>
      </c>
      <c r="J771" s="16">
        <f>'БА в тыс. руб.'!G771*1000</f>
        <v>150000</v>
      </c>
      <c r="K771" s="169">
        <f t="shared" si="491"/>
        <v>0</v>
      </c>
      <c r="L771" s="16">
        <f>'БА в тыс. руб.'!H771*1000</f>
        <v>150000</v>
      </c>
      <c r="M771" s="169">
        <f t="shared" si="492"/>
        <v>0</v>
      </c>
      <c r="N771" s="16">
        <f>'БА в тыс. руб.'!I771*1000</f>
        <v>150000</v>
      </c>
      <c r="O771" s="169">
        <f t="shared" si="493"/>
        <v>0</v>
      </c>
      <c r="S771" s="30"/>
      <c r="T771" s="30"/>
      <c r="U771" s="30"/>
    </row>
    <row r="772" spans="1:21" s="4" customFormat="1">
      <c r="A772" s="12" t="s">
        <v>1016</v>
      </c>
      <c r="B772" s="25" t="s">
        <v>26</v>
      </c>
      <c r="C772" s="26" t="s">
        <v>50</v>
      </c>
      <c r="D772" s="26" t="s">
        <v>65</v>
      </c>
      <c r="E772" s="26" t="s">
        <v>623</v>
      </c>
      <c r="F772" s="26" t="s">
        <v>1046</v>
      </c>
      <c r="G772" s="27">
        <f t="shared" ref="G772" si="527">J772</f>
        <v>150000</v>
      </c>
      <c r="H772" s="27">
        <f>L772</f>
        <v>150000</v>
      </c>
      <c r="I772" s="27">
        <f>N772</f>
        <v>150000</v>
      </c>
      <c r="J772" s="16">
        <f>'БА в тыс. руб.'!G772*1000</f>
        <v>150000</v>
      </c>
      <c r="K772" s="169">
        <f t="shared" si="491"/>
        <v>0</v>
      </c>
      <c r="L772" s="16">
        <f>'БА в тыс. руб.'!H772*1000</f>
        <v>150000</v>
      </c>
      <c r="M772" s="169">
        <f t="shared" si="492"/>
        <v>0</v>
      </c>
      <c r="N772" s="16">
        <f>'БА в тыс. руб.'!I772*1000</f>
        <v>150000</v>
      </c>
      <c r="O772" s="169">
        <f t="shared" si="493"/>
        <v>0</v>
      </c>
      <c r="S772" s="83"/>
      <c r="T772" s="83"/>
      <c r="U772" s="83"/>
    </row>
    <row r="773" spans="1:21" s="3" customFormat="1" ht="38.25">
      <c r="A773" s="13" t="s">
        <v>854</v>
      </c>
      <c r="B773" s="25" t="s">
        <v>26</v>
      </c>
      <c r="C773" s="26" t="s">
        <v>50</v>
      </c>
      <c r="D773" s="26" t="s">
        <v>65</v>
      </c>
      <c r="E773" s="26" t="s">
        <v>624</v>
      </c>
      <c r="F773" s="26" t="s">
        <v>58</v>
      </c>
      <c r="G773" s="27">
        <f t="shared" ref="G773:I775" si="528">G774</f>
        <v>940000</v>
      </c>
      <c r="H773" s="27">
        <f t="shared" si="528"/>
        <v>817600</v>
      </c>
      <c r="I773" s="27">
        <f t="shared" si="528"/>
        <v>817600</v>
      </c>
      <c r="J773" s="16">
        <f>'БА в тыс. руб.'!G773*1000</f>
        <v>940000</v>
      </c>
      <c r="K773" s="169">
        <f t="shared" si="491"/>
        <v>0</v>
      </c>
      <c r="L773" s="16">
        <f>'БА в тыс. руб.'!H773*1000</f>
        <v>817600</v>
      </c>
      <c r="M773" s="169">
        <f t="shared" si="492"/>
        <v>0</v>
      </c>
      <c r="N773" s="16">
        <f>'БА в тыс. руб.'!I773*1000</f>
        <v>817600</v>
      </c>
      <c r="O773" s="169">
        <f t="shared" si="493"/>
        <v>0</v>
      </c>
      <c r="S773" s="30"/>
      <c r="T773" s="30"/>
      <c r="U773" s="30"/>
    </row>
    <row r="774" spans="1:21" s="3" customFormat="1" ht="38.25">
      <c r="A774" s="13" t="s">
        <v>855</v>
      </c>
      <c r="B774" s="25" t="s">
        <v>26</v>
      </c>
      <c r="C774" s="26" t="s">
        <v>50</v>
      </c>
      <c r="D774" s="26" t="s">
        <v>65</v>
      </c>
      <c r="E774" s="26" t="s">
        <v>690</v>
      </c>
      <c r="F774" s="26" t="s">
        <v>58</v>
      </c>
      <c r="G774" s="27">
        <f t="shared" si="528"/>
        <v>940000</v>
      </c>
      <c r="H774" s="27">
        <f t="shared" si="528"/>
        <v>817600</v>
      </c>
      <c r="I774" s="27">
        <f t="shared" si="528"/>
        <v>817600</v>
      </c>
      <c r="J774" s="16">
        <f>'БА в тыс. руб.'!G774*1000</f>
        <v>940000</v>
      </c>
      <c r="K774" s="169">
        <f t="shared" si="491"/>
        <v>0</v>
      </c>
      <c r="L774" s="16">
        <f>'БА в тыс. руб.'!H774*1000</f>
        <v>817600</v>
      </c>
      <c r="M774" s="169">
        <f t="shared" si="492"/>
        <v>0</v>
      </c>
      <c r="N774" s="16">
        <f>'БА в тыс. руб.'!I774*1000</f>
        <v>817600</v>
      </c>
      <c r="O774" s="169">
        <f t="shared" si="493"/>
        <v>0</v>
      </c>
      <c r="S774" s="30"/>
      <c r="T774" s="30"/>
      <c r="U774" s="30"/>
    </row>
    <row r="775" spans="1:21" s="3" customFormat="1">
      <c r="A775" s="13" t="s">
        <v>92</v>
      </c>
      <c r="B775" s="25" t="s">
        <v>26</v>
      </c>
      <c r="C775" s="26" t="s">
        <v>50</v>
      </c>
      <c r="D775" s="26" t="s">
        <v>65</v>
      </c>
      <c r="E775" s="26" t="s">
        <v>690</v>
      </c>
      <c r="F775" s="26" t="s">
        <v>138</v>
      </c>
      <c r="G775" s="27">
        <f>G776</f>
        <v>940000</v>
      </c>
      <c r="H775" s="27">
        <f t="shared" si="528"/>
        <v>817600</v>
      </c>
      <c r="I775" s="27">
        <f t="shared" si="528"/>
        <v>817600</v>
      </c>
      <c r="J775" s="16">
        <f>'БА в тыс. руб.'!G775*1000</f>
        <v>940000</v>
      </c>
      <c r="K775" s="169">
        <f t="shared" si="491"/>
        <v>0</v>
      </c>
      <c r="L775" s="16">
        <f>'БА в тыс. руб.'!H775*1000</f>
        <v>817600</v>
      </c>
      <c r="M775" s="169">
        <f t="shared" si="492"/>
        <v>0</v>
      </c>
      <c r="N775" s="16">
        <f>'БА в тыс. руб.'!I775*1000</f>
        <v>817600</v>
      </c>
      <c r="O775" s="169">
        <f t="shared" si="493"/>
        <v>0</v>
      </c>
      <c r="S775" s="30"/>
      <c r="T775" s="30"/>
      <c r="U775" s="30"/>
    </row>
    <row r="776" spans="1:21" s="4" customFormat="1">
      <c r="A776" s="12" t="s">
        <v>1016</v>
      </c>
      <c r="B776" s="25" t="s">
        <v>26</v>
      </c>
      <c r="C776" s="26" t="s">
        <v>50</v>
      </c>
      <c r="D776" s="26" t="s">
        <v>65</v>
      </c>
      <c r="E776" s="26" t="s">
        <v>690</v>
      </c>
      <c r="F776" s="26" t="s">
        <v>1046</v>
      </c>
      <c r="G776" s="27">
        <f t="shared" ref="G776" si="529">J776</f>
        <v>940000</v>
      </c>
      <c r="H776" s="27">
        <f>L776</f>
        <v>817600</v>
      </c>
      <c r="I776" s="27">
        <f>N776</f>
        <v>817600</v>
      </c>
      <c r="J776" s="16">
        <f>'БА в тыс. руб.'!G776*1000</f>
        <v>940000</v>
      </c>
      <c r="K776" s="169">
        <f t="shared" ref="K776:K839" si="530">J776-G776</f>
        <v>0</v>
      </c>
      <c r="L776" s="16">
        <f>'БА в тыс. руб.'!H776*1000</f>
        <v>817600</v>
      </c>
      <c r="M776" s="169">
        <f t="shared" ref="M776:M839" si="531">L776-H776</f>
        <v>0</v>
      </c>
      <c r="N776" s="16">
        <f>'БА в тыс. руб.'!I776*1000</f>
        <v>817600</v>
      </c>
      <c r="O776" s="169">
        <f t="shared" ref="O776:O839" si="532">N776-I776</f>
        <v>0</v>
      </c>
      <c r="S776" s="83"/>
      <c r="T776" s="83"/>
      <c r="U776" s="83"/>
    </row>
    <row r="777" spans="1:21" s="3" customFormat="1" ht="51">
      <c r="A777" s="13" t="s">
        <v>715</v>
      </c>
      <c r="B777" s="25" t="s">
        <v>26</v>
      </c>
      <c r="C777" s="26" t="s">
        <v>50</v>
      </c>
      <c r="D777" s="26" t="s">
        <v>65</v>
      </c>
      <c r="E777" s="26" t="s">
        <v>714</v>
      </c>
      <c r="F777" s="26" t="s">
        <v>58</v>
      </c>
      <c r="G777" s="27">
        <f t="shared" ref="G777:I779" si="533">G778</f>
        <v>93000000</v>
      </c>
      <c r="H777" s="27">
        <f t="shared" si="533"/>
        <v>0</v>
      </c>
      <c r="I777" s="27">
        <f t="shared" si="533"/>
        <v>0</v>
      </c>
      <c r="J777" s="16">
        <f>'БА в тыс. руб.'!G777*1000</f>
        <v>93000000</v>
      </c>
      <c r="K777" s="169">
        <f t="shared" si="530"/>
        <v>0</v>
      </c>
      <c r="L777" s="16">
        <f>'БА в тыс. руб.'!H777*1000</f>
        <v>0</v>
      </c>
      <c r="M777" s="169">
        <f t="shared" si="531"/>
        <v>0</v>
      </c>
      <c r="N777" s="16">
        <f>'БА в тыс. руб.'!I777*1000</f>
        <v>0</v>
      </c>
      <c r="O777" s="169">
        <f t="shared" si="532"/>
        <v>0</v>
      </c>
      <c r="S777" s="30"/>
      <c r="T777" s="30"/>
      <c r="U777" s="30"/>
    </row>
    <row r="778" spans="1:21" s="3" customFormat="1" ht="38.25">
      <c r="A778" s="13" t="s">
        <v>717</v>
      </c>
      <c r="B778" s="25" t="s">
        <v>26</v>
      </c>
      <c r="C778" s="26" t="s">
        <v>50</v>
      </c>
      <c r="D778" s="26" t="s">
        <v>65</v>
      </c>
      <c r="E778" s="26" t="s">
        <v>716</v>
      </c>
      <c r="F778" s="26" t="s">
        <v>58</v>
      </c>
      <c r="G778" s="27">
        <f t="shared" si="533"/>
        <v>93000000</v>
      </c>
      <c r="H778" s="27">
        <f t="shared" si="533"/>
        <v>0</v>
      </c>
      <c r="I778" s="27">
        <f t="shared" si="533"/>
        <v>0</v>
      </c>
      <c r="J778" s="16">
        <f>'БА в тыс. руб.'!G778*1000</f>
        <v>93000000</v>
      </c>
      <c r="K778" s="169">
        <f t="shared" si="530"/>
        <v>0</v>
      </c>
      <c r="L778" s="16">
        <f>'БА в тыс. руб.'!H778*1000</f>
        <v>0</v>
      </c>
      <c r="M778" s="169">
        <f t="shared" si="531"/>
        <v>0</v>
      </c>
      <c r="N778" s="16">
        <f>'БА в тыс. руб.'!I778*1000</f>
        <v>0</v>
      </c>
      <c r="O778" s="169">
        <f t="shared" si="532"/>
        <v>0</v>
      </c>
      <c r="S778" s="30"/>
      <c r="T778" s="30"/>
      <c r="U778" s="30"/>
    </row>
    <row r="779" spans="1:21" s="3" customFormat="1" ht="25.5">
      <c r="A779" s="13" t="s">
        <v>111</v>
      </c>
      <c r="B779" s="25" t="s">
        <v>26</v>
      </c>
      <c r="C779" s="26" t="s">
        <v>50</v>
      </c>
      <c r="D779" s="26" t="s">
        <v>65</v>
      </c>
      <c r="E779" s="26" t="s">
        <v>716</v>
      </c>
      <c r="F779" s="26" t="s">
        <v>104</v>
      </c>
      <c r="G779" s="27">
        <f>G780</f>
        <v>93000000</v>
      </c>
      <c r="H779" s="27">
        <f t="shared" si="533"/>
        <v>0</v>
      </c>
      <c r="I779" s="27">
        <f t="shared" si="533"/>
        <v>0</v>
      </c>
      <c r="J779" s="16">
        <f>'БА в тыс. руб.'!G779*1000</f>
        <v>93000000</v>
      </c>
      <c r="K779" s="169">
        <f t="shared" si="530"/>
        <v>0</v>
      </c>
      <c r="L779" s="16">
        <f>'БА в тыс. руб.'!H779*1000</f>
        <v>0</v>
      </c>
      <c r="M779" s="169">
        <f t="shared" si="531"/>
        <v>0</v>
      </c>
      <c r="N779" s="16">
        <f>'БА в тыс. руб.'!I779*1000</f>
        <v>0</v>
      </c>
      <c r="O779" s="169">
        <f t="shared" si="532"/>
        <v>0</v>
      </c>
      <c r="S779" s="30"/>
      <c r="T779" s="30"/>
      <c r="U779" s="30"/>
    </row>
    <row r="780" spans="1:21" s="4" customFormat="1" ht="76.5">
      <c r="A780" s="12" t="s">
        <v>1048</v>
      </c>
      <c r="B780" s="25" t="s">
        <v>26</v>
      </c>
      <c r="C780" s="26" t="s">
        <v>50</v>
      </c>
      <c r="D780" s="26" t="s">
        <v>65</v>
      </c>
      <c r="E780" s="26" t="s">
        <v>716</v>
      </c>
      <c r="F780" s="26" t="s">
        <v>1055</v>
      </c>
      <c r="G780" s="27">
        <f t="shared" ref="G780" si="534">J780</f>
        <v>93000000</v>
      </c>
      <c r="H780" s="27">
        <f>L780</f>
        <v>0</v>
      </c>
      <c r="I780" s="27">
        <f>N780</f>
        <v>0</v>
      </c>
      <c r="J780" s="16">
        <f>'БА в тыс. руб.'!G780*1000</f>
        <v>93000000</v>
      </c>
      <c r="K780" s="169">
        <f t="shared" si="530"/>
        <v>0</v>
      </c>
      <c r="L780" s="16">
        <f>'БА в тыс. руб.'!H780*1000</f>
        <v>0</v>
      </c>
      <c r="M780" s="169">
        <f t="shared" si="531"/>
        <v>0</v>
      </c>
      <c r="N780" s="16">
        <f>'БА в тыс. руб.'!I780*1000</f>
        <v>0</v>
      </c>
      <c r="O780" s="169">
        <f t="shared" si="532"/>
        <v>0</v>
      </c>
      <c r="S780" s="83"/>
      <c r="T780" s="83"/>
      <c r="U780" s="83"/>
    </row>
    <row r="781" spans="1:21" s="3" customFormat="1" ht="38.25">
      <c r="A781" s="12" t="s">
        <v>752</v>
      </c>
      <c r="B781" s="25" t="s">
        <v>26</v>
      </c>
      <c r="C781" s="26" t="s">
        <v>50</v>
      </c>
      <c r="D781" s="26" t="s">
        <v>65</v>
      </c>
      <c r="E781" s="35" t="s">
        <v>249</v>
      </c>
      <c r="F781" s="35" t="s">
        <v>58</v>
      </c>
      <c r="G781" s="38">
        <f>G782</f>
        <v>85000</v>
      </c>
      <c r="H781" s="38">
        <f t="shared" ref="H781:I782" si="535">H782</f>
        <v>76500</v>
      </c>
      <c r="I781" s="38">
        <f t="shared" si="535"/>
        <v>76500</v>
      </c>
      <c r="J781" s="16">
        <f>'БА в тыс. руб.'!G781*1000</f>
        <v>85000</v>
      </c>
      <c r="K781" s="169">
        <f t="shared" si="530"/>
        <v>0</v>
      </c>
      <c r="L781" s="16">
        <f>'БА в тыс. руб.'!H781*1000</f>
        <v>76500</v>
      </c>
      <c r="M781" s="169">
        <f t="shared" si="531"/>
        <v>0</v>
      </c>
      <c r="N781" s="16">
        <f>'БА в тыс. руб.'!I781*1000</f>
        <v>76500</v>
      </c>
      <c r="O781" s="169">
        <f t="shared" si="532"/>
        <v>0</v>
      </c>
      <c r="S781" s="30"/>
      <c r="T781" s="30"/>
      <c r="U781" s="30"/>
    </row>
    <row r="782" spans="1:21" s="3" customFormat="1">
      <c r="A782" s="11" t="s">
        <v>753</v>
      </c>
      <c r="B782" s="25" t="s">
        <v>26</v>
      </c>
      <c r="C782" s="26" t="s">
        <v>50</v>
      </c>
      <c r="D782" s="26" t="s">
        <v>65</v>
      </c>
      <c r="E782" s="35" t="s">
        <v>250</v>
      </c>
      <c r="F782" s="35" t="s">
        <v>58</v>
      </c>
      <c r="G782" s="38">
        <f>G783</f>
        <v>85000</v>
      </c>
      <c r="H782" s="38">
        <f t="shared" si="535"/>
        <v>76500</v>
      </c>
      <c r="I782" s="38">
        <f t="shared" si="535"/>
        <v>76500</v>
      </c>
      <c r="J782" s="16">
        <f>'БА в тыс. руб.'!G782*1000</f>
        <v>85000</v>
      </c>
      <c r="K782" s="169">
        <f t="shared" si="530"/>
        <v>0</v>
      </c>
      <c r="L782" s="16">
        <f>'БА в тыс. руб.'!H782*1000</f>
        <v>76500</v>
      </c>
      <c r="M782" s="169">
        <f t="shared" si="531"/>
        <v>0</v>
      </c>
      <c r="N782" s="16">
        <f>'БА в тыс. руб.'!I782*1000</f>
        <v>76500</v>
      </c>
      <c r="O782" s="169">
        <f t="shared" si="532"/>
        <v>0</v>
      </c>
      <c r="S782" s="30"/>
      <c r="T782" s="30"/>
      <c r="U782" s="30"/>
    </row>
    <row r="783" spans="1:21" s="3" customFormat="1" ht="38.25">
      <c r="A783" s="34" t="s">
        <v>880</v>
      </c>
      <c r="B783" s="25" t="s">
        <v>26</v>
      </c>
      <c r="C783" s="26" t="s">
        <v>50</v>
      </c>
      <c r="D783" s="26" t="s">
        <v>65</v>
      </c>
      <c r="E783" s="35" t="s">
        <v>538</v>
      </c>
      <c r="F783" s="35" t="s">
        <v>58</v>
      </c>
      <c r="G783" s="38">
        <f>G784</f>
        <v>85000</v>
      </c>
      <c r="H783" s="38">
        <f>H784</f>
        <v>76500</v>
      </c>
      <c r="I783" s="38">
        <f>I784</f>
        <v>76500</v>
      </c>
      <c r="J783" s="16">
        <f>'БА в тыс. руб.'!G783*1000</f>
        <v>85000</v>
      </c>
      <c r="K783" s="169">
        <f t="shared" si="530"/>
        <v>0</v>
      </c>
      <c r="L783" s="16">
        <f>'БА в тыс. руб.'!H783*1000</f>
        <v>76500</v>
      </c>
      <c r="M783" s="169">
        <f t="shared" si="531"/>
        <v>0</v>
      </c>
      <c r="N783" s="16">
        <f>'БА в тыс. руб.'!I783*1000</f>
        <v>76500</v>
      </c>
      <c r="O783" s="169">
        <f t="shared" si="532"/>
        <v>0</v>
      </c>
      <c r="S783" s="30"/>
      <c r="T783" s="30"/>
      <c r="U783" s="30"/>
    </row>
    <row r="784" spans="1:21" s="3" customFormat="1" ht="25.5">
      <c r="A784" s="34" t="s">
        <v>122</v>
      </c>
      <c r="B784" s="25" t="s">
        <v>26</v>
      </c>
      <c r="C784" s="26" t="s">
        <v>50</v>
      </c>
      <c r="D784" s="26" t="s">
        <v>65</v>
      </c>
      <c r="E784" s="35" t="s">
        <v>539</v>
      </c>
      <c r="F784" s="35" t="s">
        <v>58</v>
      </c>
      <c r="G784" s="38">
        <f>SUM(G785:G785)</f>
        <v>85000</v>
      </c>
      <c r="H784" s="38">
        <f>SUM(H785:H785)</f>
        <v>76500</v>
      </c>
      <c r="I784" s="38">
        <f>SUM(I785:I785)</f>
        <v>76500</v>
      </c>
      <c r="J784" s="16">
        <f>'БА в тыс. руб.'!G784*1000</f>
        <v>85000</v>
      </c>
      <c r="K784" s="169">
        <f t="shared" si="530"/>
        <v>0</v>
      </c>
      <c r="L784" s="16">
        <f>'БА в тыс. руб.'!H784*1000</f>
        <v>76500</v>
      </c>
      <c r="M784" s="169">
        <f t="shared" si="531"/>
        <v>0</v>
      </c>
      <c r="N784" s="16">
        <f>'БА в тыс. руб.'!I784*1000</f>
        <v>76500</v>
      </c>
      <c r="O784" s="169">
        <f t="shared" si="532"/>
        <v>0</v>
      </c>
      <c r="S784" s="30"/>
      <c r="T784" s="30"/>
      <c r="U784" s="30"/>
    </row>
    <row r="785" spans="1:21" s="3" customFormat="1">
      <c r="A785" s="13" t="s">
        <v>92</v>
      </c>
      <c r="B785" s="25" t="s">
        <v>26</v>
      </c>
      <c r="C785" s="26" t="s">
        <v>50</v>
      </c>
      <c r="D785" s="26" t="s">
        <v>65</v>
      </c>
      <c r="E785" s="35" t="s">
        <v>539</v>
      </c>
      <c r="F785" s="35" t="s">
        <v>138</v>
      </c>
      <c r="G785" s="27">
        <f>G786</f>
        <v>85000</v>
      </c>
      <c r="H785" s="27">
        <f t="shared" ref="H785:I785" si="536">H786</f>
        <v>76500</v>
      </c>
      <c r="I785" s="27">
        <f t="shared" si="536"/>
        <v>76500</v>
      </c>
      <c r="J785" s="16">
        <f>'БА в тыс. руб.'!G785*1000</f>
        <v>85000</v>
      </c>
      <c r="K785" s="169">
        <f t="shared" si="530"/>
        <v>0</v>
      </c>
      <c r="L785" s="16">
        <f>'БА в тыс. руб.'!H785*1000</f>
        <v>76500</v>
      </c>
      <c r="M785" s="169">
        <f t="shared" si="531"/>
        <v>0</v>
      </c>
      <c r="N785" s="16">
        <f>'БА в тыс. руб.'!I785*1000</f>
        <v>76500</v>
      </c>
      <c r="O785" s="169">
        <f t="shared" si="532"/>
        <v>0</v>
      </c>
      <c r="S785" s="30"/>
      <c r="T785" s="30"/>
      <c r="U785" s="30"/>
    </row>
    <row r="786" spans="1:21" s="4" customFormat="1">
      <c r="A786" s="12" t="s">
        <v>1016</v>
      </c>
      <c r="B786" s="25" t="s">
        <v>26</v>
      </c>
      <c r="C786" s="26" t="s">
        <v>50</v>
      </c>
      <c r="D786" s="26" t="s">
        <v>65</v>
      </c>
      <c r="E786" s="35" t="s">
        <v>539</v>
      </c>
      <c r="F786" s="35" t="s">
        <v>1046</v>
      </c>
      <c r="G786" s="27">
        <f t="shared" ref="G786" si="537">J786</f>
        <v>85000</v>
      </c>
      <c r="H786" s="27">
        <f>L786</f>
        <v>76500</v>
      </c>
      <c r="I786" s="27">
        <f>N786</f>
        <v>76500</v>
      </c>
      <c r="J786" s="16">
        <f>'БА в тыс. руб.'!G786*1000</f>
        <v>85000</v>
      </c>
      <c r="K786" s="169">
        <f t="shared" si="530"/>
        <v>0</v>
      </c>
      <c r="L786" s="16">
        <f>'БА в тыс. руб.'!H786*1000</f>
        <v>76500</v>
      </c>
      <c r="M786" s="169">
        <f t="shared" si="531"/>
        <v>0</v>
      </c>
      <c r="N786" s="16">
        <f>'БА в тыс. руб.'!I786*1000</f>
        <v>76500</v>
      </c>
      <c r="O786" s="169">
        <f t="shared" si="532"/>
        <v>0</v>
      </c>
      <c r="S786" s="83"/>
      <c r="T786" s="83"/>
      <c r="U786" s="83"/>
    </row>
    <row r="787" spans="1:21" s="3" customFormat="1" ht="63.75">
      <c r="A787" s="11" t="s">
        <v>756</v>
      </c>
      <c r="B787" s="25" t="s">
        <v>26</v>
      </c>
      <c r="C787" s="26" t="s">
        <v>50</v>
      </c>
      <c r="D787" s="26" t="s">
        <v>65</v>
      </c>
      <c r="E787" s="26" t="s">
        <v>339</v>
      </c>
      <c r="F787" s="26" t="s">
        <v>58</v>
      </c>
      <c r="G787" s="27">
        <f t="shared" ref="G787:I791" si="538">G788</f>
        <v>652360</v>
      </c>
      <c r="H787" s="27">
        <f t="shared" si="538"/>
        <v>547850</v>
      </c>
      <c r="I787" s="27">
        <f t="shared" si="538"/>
        <v>547850</v>
      </c>
      <c r="J787" s="16">
        <f>'БА в тыс. руб.'!G787*1000</f>
        <v>652360</v>
      </c>
      <c r="K787" s="169">
        <f t="shared" si="530"/>
        <v>0</v>
      </c>
      <c r="L787" s="16">
        <f>'БА в тыс. руб.'!H787*1000</f>
        <v>547850</v>
      </c>
      <c r="M787" s="169">
        <f t="shared" si="531"/>
        <v>0</v>
      </c>
      <c r="N787" s="16">
        <f>'БА в тыс. руб.'!I787*1000</f>
        <v>547850</v>
      </c>
      <c r="O787" s="169">
        <f t="shared" si="532"/>
        <v>0</v>
      </c>
      <c r="S787" s="30"/>
      <c r="T787" s="30"/>
      <c r="U787" s="30"/>
    </row>
    <row r="788" spans="1:21" s="3" customFormat="1" ht="25.5">
      <c r="A788" s="11" t="s">
        <v>136</v>
      </c>
      <c r="B788" s="25" t="s">
        <v>26</v>
      </c>
      <c r="C788" s="26" t="s">
        <v>50</v>
      </c>
      <c r="D788" s="26" t="s">
        <v>65</v>
      </c>
      <c r="E788" s="26" t="s">
        <v>340</v>
      </c>
      <c r="F788" s="26" t="s">
        <v>58</v>
      </c>
      <c r="G788" s="27">
        <f t="shared" si="538"/>
        <v>652360</v>
      </c>
      <c r="H788" s="27">
        <f t="shared" si="538"/>
        <v>547850</v>
      </c>
      <c r="I788" s="27">
        <f t="shared" si="538"/>
        <v>547850</v>
      </c>
      <c r="J788" s="16">
        <f>'БА в тыс. руб.'!G788*1000</f>
        <v>652360</v>
      </c>
      <c r="K788" s="169">
        <f t="shared" si="530"/>
        <v>0</v>
      </c>
      <c r="L788" s="16">
        <f>'БА в тыс. руб.'!H788*1000</f>
        <v>547850</v>
      </c>
      <c r="M788" s="169">
        <f t="shared" si="531"/>
        <v>0</v>
      </c>
      <c r="N788" s="16">
        <f>'БА в тыс. руб.'!I788*1000</f>
        <v>547850</v>
      </c>
      <c r="O788" s="169">
        <f t="shared" si="532"/>
        <v>0</v>
      </c>
      <c r="S788" s="30"/>
      <c r="T788" s="30"/>
      <c r="U788" s="30"/>
    </row>
    <row r="789" spans="1:21" s="3" customFormat="1" ht="25.5">
      <c r="A789" s="11" t="s">
        <v>667</v>
      </c>
      <c r="B789" s="25" t="s">
        <v>26</v>
      </c>
      <c r="C789" s="26" t="s">
        <v>50</v>
      </c>
      <c r="D789" s="26" t="s">
        <v>65</v>
      </c>
      <c r="E789" s="26" t="s">
        <v>609</v>
      </c>
      <c r="F789" s="26" t="s">
        <v>58</v>
      </c>
      <c r="G789" s="27">
        <f t="shared" si="538"/>
        <v>652360</v>
      </c>
      <c r="H789" s="27">
        <f t="shared" si="538"/>
        <v>547850</v>
      </c>
      <c r="I789" s="27">
        <f t="shared" si="538"/>
        <v>547850</v>
      </c>
      <c r="J789" s="16">
        <f>'БА в тыс. руб.'!G789*1000</f>
        <v>652360</v>
      </c>
      <c r="K789" s="169">
        <f t="shared" si="530"/>
        <v>0</v>
      </c>
      <c r="L789" s="16">
        <f>'БА в тыс. руб.'!H789*1000</f>
        <v>547850</v>
      </c>
      <c r="M789" s="169">
        <f t="shared" si="531"/>
        <v>0</v>
      </c>
      <c r="N789" s="16">
        <f>'БА в тыс. руб.'!I789*1000</f>
        <v>547850</v>
      </c>
      <c r="O789" s="169">
        <f t="shared" si="532"/>
        <v>0</v>
      </c>
      <c r="S789" s="30"/>
      <c r="T789" s="30"/>
      <c r="U789" s="30"/>
    </row>
    <row r="790" spans="1:21" s="3" customFormat="1" ht="38.25">
      <c r="A790" s="11" t="s">
        <v>177</v>
      </c>
      <c r="B790" s="25" t="s">
        <v>26</v>
      </c>
      <c r="C790" s="26" t="s">
        <v>50</v>
      </c>
      <c r="D790" s="26" t="s">
        <v>65</v>
      </c>
      <c r="E790" s="26" t="s">
        <v>610</v>
      </c>
      <c r="F790" s="26" t="s">
        <v>58</v>
      </c>
      <c r="G790" s="27">
        <f t="shared" si="538"/>
        <v>652360</v>
      </c>
      <c r="H790" s="27">
        <f t="shared" si="538"/>
        <v>547850</v>
      </c>
      <c r="I790" s="27">
        <f t="shared" si="538"/>
        <v>547850</v>
      </c>
      <c r="J790" s="16">
        <f>'БА в тыс. руб.'!G790*1000</f>
        <v>652360</v>
      </c>
      <c r="K790" s="169">
        <f t="shared" si="530"/>
        <v>0</v>
      </c>
      <c r="L790" s="16">
        <f>'БА в тыс. руб.'!H790*1000</f>
        <v>547850</v>
      </c>
      <c r="M790" s="169">
        <f t="shared" si="531"/>
        <v>0</v>
      </c>
      <c r="N790" s="16">
        <f>'БА в тыс. руб.'!I790*1000</f>
        <v>547850</v>
      </c>
      <c r="O790" s="169">
        <f t="shared" si="532"/>
        <v>0</v>
      </c>
      <c r="S790" s="30"/>
      <c r="T790" s="30"/>
      <c r="U790" s="30"/>
    </row>
    <row r="791" spans="1:21" s="3" customFormat="1">
      <c r="A791" s="13" t="s">
        <v>92</v>
      </c>
      <c r="B791" s="25" t="s">
        <v>26</v>
      </c>
      <c r="C791" s="26" t="s">
        <v>50</v>
      </c>
      <c r="D791" s="26" t="s">
        <v>65</v>
      </c>
      <c r="E791" s="26" t="s">
        <v>610</v>
      </c>
      <c r="F791" s="26" t="s">
        <v>138</v>
      </c>
      <c r="G791" s="27">
        <f>G792</f>
        <v>652360</v>
      </c>
      <c r="H791" s="27">
        <f t="shared" si="538"/>
        <v>547850</v>
      </c>
      <c r="I791" s="27">
        <f t="shared" si="538"/>
        <v>547850</v>
      </c>
      <c r="J791" s="16">
        <f>'БА в тыс. руб.'!G791*1000</f>
        <v>652360</v>
      </c>
      <c r="K791" s="169">
        <f t="shared" si="530"/>
        <v>0</v>
      </c>
      <c r="L791" s="16">
        <f>'БА в тыс. руб.'!H791*1000</f>
        <v>547850</v>
      </c>
      <c r="M791" s="169">
        <f t="shared" si="531"/>
        <v>0</v>
      </c>
      <c r="N791" s="16">
        <f>'БА в тыс. руб.'!I791*1000</f>
        <v>547850</v>
      </c>
      <c r="O791" s="169">
        <f t="shared" si="532"/>
        <v>0</v>
      </c>
      <c r="S791" s="30"/>
      <c r="T791" s="30"/>
      <c r="U791" s="30"/>
    </row>
    <row r="792" spans="1:21" s="4" customFormat="1">
      <c r="A792" s="12" t="s">
        <v>1016</v>
      </c>
      <c r="B792" s="25" t="s">
        <v>26</v>
      </c>
      <c r="C792" s="26" t="s">
        <v>50</v>
      </c>
      <c r="D792" s="26" t="s">
        <v>65</v>
      </c>
      <c r="E792" s="26" t="s">
        <v>610</v>
      </c>
      <c r="F792" s="26" t="s">
        <v>1046</v>
      </c>
      <c r="G792" s="27">
        <f t="shared" ref="G792" si="539">J792</f>
        <v>652360</v>
      </c>
      <c r="H792" s="27">
        <f>L792</f>
        <v>547850</v>
      </c>
      <c r="I792" s="27">
        <f>N792</f>
        <v>547850</v>
      </c>
      <c r="J792" s="16">
        <f>'БА в тыс. руб.'!G792*1000</f>
        <v>652360</v>
      </c>
      <c r="K792" s="169">
        <f t="shared" si="530"/>
        <v>0</v>
      </c>
      <c r="L792" s="16">
        <f>'БА в тыс. руб.'!H792*1000</f>
        <v>547850</v>
      </c>
      <c r="M792" s="169">
        <f t="shared" si="531"/>
        <v>0</v>
      </c>
      <c r="N792" s="16">
        <f>'БА в тыс. руб.'!I792*1000</f>
        <v>547850</v>
      </c>
      <c r="O792" s="169">
        <f t="shared" si="532"/>
        <v>0</v>
      </c>
      <c r="S792" s="83"/>
      <c r="T792" s="83"/>
      <c r="U792" s="83"/>
    </row>
    <row r="793" spans="1:21" s="3" customFormat="1">
      <c r="A793" s="21" t="s">
        <v>676</v>
      </c>
      <c r="B793" s="22" t="s">
        <v>26</v>
      </c>
      <c r="C793" s="23" t="s">
        <v>50</v>
      </c>
      <c r="D793" s="23" t="s">
        <v>37</v>
      </c>
      <c r="E793" s="23" t="s">
        <v>196</v>
      </c>
      <c r="F793" s="23" t="s">
        <v>58</v>
      </c>
      <c r="G793" s="24">
        <f>G794</f>
        <v>13602440</v>
      </c>
      <c r="H793" s="24">
        <f>H794</f>
        <v>13610460</v>
      </c>
      <c r="I793" s="24">
        <f>I794</f>
        <v>13610460</v>
      </c>
      <c r="J793" s="16">
        <f>'БА в тыс. руб.'!G793*1000</f>
        <v>13602439.999999998</v>
      </c>
      <c r="K793" s="169">
        <f t="shared" si="530"/>
        <v>0</v>
      </c>
      <c r="L793" s="16">
        <f>'БА в тыс. руб.'!H793*1000</f>
        <v>13610460</v>
      </c>
      <c r="M793" s="169">
        <f t="shared" si="531"/>
        <v>0</v>
      </c>
      <c r="N793" s="16">
        <f>'БА в тыс. руб.'!I793*1000</f>
        <v>13610460</v>
      </c>
      <c r="O793" s="169">
        <f t="shared" si="532"/>
        <v>0</v>
      </c>
      <c r="S793" s="30"/>
      <c r="T793" s="30"/>
      <c r="U793" s="30"/>
    </row>
    <row r="794" spans="1:21" s="3" customFormat="1" ht="25.5">
      <c r="A794" s="11" t="s">
        <v>695</v>
      </c>
      <c r="B794" s="25" t="s">
        <v>26</v>
      </c>
      <c r="C794" s="26" t="s">
        <v>50</v>
      </c>
      <c r="D794" s="26" t="s">
        <v>37</v>
      </c>
      <c r="E794" s="26" t="s">
        <v>370</v>
      </c>
      <c r="F794" s="26" t="s">
        <v>58</v>
      </c>
      <c r="G794" s="27">
        <f>G795+G809</f>
        <v>13602440</v>
      </c>
      <c r="H794" s="27">
        <f>H795+H809</f>
        <v>13610460</v>
      </c>
      <c r="I794" s="27">
        <f>I795+I809</f>
        <v>13610460</v>
      </c>
      <c r="J794" s="16">
        <f>'БА в тыс. руб.'!G794*1000</f>
        <v>13602439.999999998</v>
      </c>
      <c r="K794" s="169">
        <f t="shared" si="530"/>
        <v>0</v>
      </c>
      <c r="L794" s="16">
        <f>'БА в тыс. руб.'!H794*1000</f>
        <v>13610460</v>
      </c>
      <c r="M794" s="169">
        <f t="shared" si="531"/>
        <v>0</v>
      </c>
      <c r="N794" s="16">
        <f>'БА в тыс. руб.'!I794*1000</f>
        <v>13610460</v>
      </c>
      <c r="O794" s="169">
        <f t="shared" si="532"/>
        <v>0</v>
      </c>
      <c r="S794" s="30"/>
      <c r="T794" s="30"/>
      <c r="U794" s="30"/>
    </row>
    <row r="795" spans="1:21" s="3" customFormat="1" ht="38.25">
      <c r="A795" s="11" t="s">
        <v>696</v>
      </c>
      <c r="B795" s="25" t="s">
        <v>26</v>
      </c>
      <c r="C795" s="26" t="s">
        <v>50</v>
      </c>
      <c r="D795" s="26" t="s">
        <v>37</v>
      </c>
      <c r="E795" s="26" t="s">
        <v>389</v>
      </c>
      <c r="F795" s="26" t="s">
        <v>58</v>
      </c>
      <c r="G795" s="27">
        <f>G796+G805</f>
        <v>13442440</v>
      </c>
      <c r="H795" s="27">
        <f>H796+H805</f>
        <v>13450460</v>
      </c>
      <c r="I795" s="27">
        <f>I796+I805</f>
        <v>13450460</v>
      </c>
      <c r="J795" s="16">
        <f>'БА в тыс. руб.'!G795*1000</f>
        <v>13442439.999999998</v>
      </c>
      <c r="K795" s="169">
        <f t="shared" si="530"/>
        <v>0</v>
      </c>
      <c r="L795" s="16">
        <f>'БА в тыс. руб.'!H795*1000</f>
        <v>13450460</v>
      </c>
      <c r="M795" s="169">
        <f t="shared" si="531"/>
        <v>0</v>
      </c>
      <c r="N795" s="16">
        <f>'БА в тыс. руб.'!I795*1000</f>
        <v>13450460</v>
      </c>
      <c r="O795" s="169">
        <f t="shared" si="532"/>
        <v>0</v>
      </c>
      <c r="S795" s="30"/>
      <c r="T795" s="30"/>
      <c r="U795" s="30"/>
    </row>
    <row r="796" spans="1:21" s="3" customFormat="1" ht="25.5">
      <c r="A796" s="11" t="s">
        <v>114</v>
      </c>
      <c r="B796" s="25" t="s">
        <v>26</v>
      </c>
      <c r="C796" s="26" t="s">
        <v>50</v>
      </c>
      <c r="D796" s="26" t="s">
        <v>37</v>
      </c>
      <c r="E796" s="26" t="s">
        <v>390</v>
      </c>
      <c r="F796" s="26" t="s">
        <v>58</v>
      </c>
      <c r="G796" s="27">
        <f>G797+G800+G802</f>
        <v>1472320</v>
      </c>
      <c r="H796" s="27">
        <f t="shared" ref="H796:I796" si="540">H797+H800+H802</f>
        <v>1480340</v>
      </c>
      <c r="I796" s="27">
        <f t="shared" si="540"/>
        <v>1480340</v>
      </c>
      <c r="J796" s="16">
        <f>'БА в тыс. руб.'!G796*1000</f>
        <v>1472320</v>
      </c>
      <c r="K796" s="169">
        <f t="shared" si="530"/>
        <v>0</v>
      </c>
      <c r="L796" s="16">
        <f>'БА в тыс. руб.'!H796*1000</f>
        <v>1480340</v>
      </c>
      <c r="M796" s="169">
        <f t="shared" si="531"/>
        <v>0</v>
      </c>
      <c r="N796" s="16">
        <f>'БА в тыс. руб.'!I796*1000</f>
        <v>1480340</v>
      </c>
      <c r="O796" s="169">
        <f t="shared" si="532"/>
        <v>0</v>
      </c>
      <c r="S796" s="30"/>
      <c r="T796" s="30"/>
      <c r="U796" s="30"/>
    </row>
    <row r="797" spans="1:21" s="3" customFormat="1" ht="25.5">
      <c r="A797" s="12" t="s">
        <v>107</v>
      </c>
      <c r="B797" s="25" t="s">
        <v>26</v>
      </c>
      <c r="C797" s="26" t="s">
        <v>50</v>
      </c>
      <c r="D797" s="26" t="s">
        <v>37</v>
      </c>
      <c r="E797" s="26" t="s">
        <v>390</v>
      </c>
      <c r="F797" s="26" t="s">
        <v>115</v>
      </c>
      <c r="G797" s="27">
        <f>SUM(G798:G799)</f>
        <v>357330</v>
      </c>
      <c r="H797" s="27">
        <f t="shared" ref="H797:I797" si="541">SUM(H798:H799)</f>
        <v>357330</v>
      </c>
      <c r="I797" s="27">
        <f t="shared" si="541"/>
        <v>357330</v>
      </c>
      <c r="J797" s="16">
        <f>'БА в тыс. руб.'!G797*1000</f>
        <v>357330</v>
      </c>
      <c r="K797" s="169">
        <f t="shared" si="530"/>
        <v>0</v>
      </c>
      <c r="L797" s="16">
        <f>'БА в тыс. руб.'!H797*1000</f>
        <v>357330</v>
      </c>
      <c r="M797" s="169">
        <f t="shared" si="531"/>
        <v>0</v>
      </c>
      <c r="N797" s="16">
        <f>'БА в тыс. руб.'!I797*1000</f>
        <v>357330</v>
      </c>
      <c r="O797" s="169">
        <f t="shared" si="532"/>
        <v>0</v>
      </c>
      <c r="S797" s="30"/>
      <c r="T797" s="30"/>
      <c r="U797" s="30"/>
    </row>
    <row r="798" spans="1:21" s="4" customFormat="1" ht="25.5">
      <c r="A798" s="12" t="s">
        <v>937</v>
      </c>
      <c r="B798" s="25" t="s">
        <v>26</v>
      </c>
      <c r="C798" s="26" t="s">
        <v>50</v>
      </c>
      <c r="D798" s="26" t="s">
        <v>37</v>
      </c>
      <c r="E798" s="26" t="s">
        <v>390</v>
      </c>
      <c r="F798" s="26" t="s">
        <v>1059</v>
      </c>
      <c r="G798" s="27">
        <f t="shared" ref="G798:G799" si="542">J798</f>
        <v>274450</v>
      </c>
      <c r="H798" s="27">
        <f t="shared" ref="H798:H799" si="543">L798</f>
        <v>274450</v>
      </c>
      <c r="I798" s="27">
        <f t="shared" ref="I798:I799" si="544">N798</f>
        <v>274450</v>
      </c>
      <c r="J798" s="16">
        <f>'БА в тыс. руб.'!G798*1000</f>
        <v>274450</v>
      </c>
      <c r="K798" s="169">
        <f t="shared" si="530"/>
        <v>0</v>
      </c>
      <c r="L798" s="16">
        <f>'БА в тыс. руб.'!H798*1000</f>
        <v>274450</v>
      </c>
      <c r="M798" s="169">
        <f t="shared" si="531"/>
        <v>0</v>
      </c>
      <c r="N798" s="16">
        <f>'БА в тыс. руб.'!I798*1000</f>
        <v>274450</v>
      </c>
      <c r="O798" s="169">
        <f t="shared" si="532"/>
        <v>0</v>
      </c>
      <c r="S798" s="83"/>
      <c r="T798" s="83"/>
      <c r="U798" s="83"/>
    </row>
    <row r="799" spans="1:21" s="4" customFormat="1" ht="38.25">
      <c r="A799" s="12" t="s">
        <v>939</v>
      </c>
      <c r="B799" s="25" t="s">
        <v>26</v>
      </c>
      <c r="C799" s="26" t="s">
        <v>50</v>
      </c>
      <c r="D799" s="26" t="s">
        <v>37</v>
      </c>
      <c r="E799" s="26" t="s">
        <v>390</v>
      </c>
      <c r="F799" s="26" t="s">
        <v>1060</v>
      </c>
      <c r="G799" s="27">
        <f t="shared" si="542"/>
        <v>82880</v>
      </c>
      <c r="H799" s="27">
        <f t="shared" si="543"/>
        <v>82880</v>
      </c>
      <c r="I799" s="27">
        <f t="shared" si="544"/>
        <v>82880</v>
      </c>
      <c r="J799" s="16">
        <f>'БА в тыс. руб.'!G799*1000</f>
        <v>82880</v>
      </c>
      <c r="K799" s="169">
        <f t="shared" si="530"/>
        <v>0</v>
      </c>
      <c r="L799" s="16">
        <f>'БА в тыс. руб.'!H799*1000</f>
        <v>82880</v>
      </c>
      <c r="M799" s="169">
        <f t="shared" si="531"/>
        <v>0</v>
      </c>
      <c r="N799" s="16">
        <f>'БА в тыс. руб.'!I799*1000</f>
        <v>82880</v>
      </c>
      <c r="O799" s="169">
        <f t="shared" si="532"/>
        <v>0</v>
      </c>
      <c r="S799" s="83"/>
      <c r="T799" s="83"/>
      <c r="U799" s="83"/>
    </row>
    <row r="800" spans="1:21" s="3" customFormat="1" ht="25.5">
      <c r="A800" s="11" t="s">
        <v>108</v>
      </c>
      <c r="B800" s="25" t="s">
        <v>26</v>
      </c>
      <c r="C800" s="26" t="s">
        <v>50</v>
      </c>
      <c r="D800" s="26" t="s">
        <v>37</v>
      </c>
      <c r="E800" s="26" t="s">
        <v>390</v>
      </c>
      <c r="F800" s="26" t="s">
        <v>116</v>
      </c>
      <c r="G800" s="27">
        <f>G801</f>
        <v>933790</v>
      </c>
      <c r="H800" s="27">
        <f t="shared" ref="H800:I800" si="545">H801</f>
        <v>941810</v>
      </c>
      <c r="I800" s="27">
        <f t="shared" si="545"/>
        <v>941810</v>
      </c>
      <c r="J800" s="16">
        <f>'БА в тыс. руб.'!G800*1000</f>
        <v>933790</v>
      </c>
      <c r="K800" s="169">
        <f t="shared" si="530"/>
        <v>0</v>
      </c>
      <c r="L800" s="16">
        <f>'БА в тыс. руб.'!H800*1000</f>
        <v>941810</v>
      </c>
      <c r="M800" s="169">
        <f t="shared" si="531"/>
        <v>0</v>
      </c>
      <c r="N800" s="16">
        <f>'БА в тыс. руб.'!I800*1000</f>
        <v>941810</v>
      </c>
      <c r="O800" s="169">
        <f t="shared" si="532"/>
        <v>0</v>
      </c>
      <c r="S800" s="30"/>
      <c r="T800" s="30"/>
      <c r="U800" s="30"/>
    </row>
    <row r="801" spans="1:21" s="4" customFormat="1" ht="25.5">
      <c r="A801" s="12" t="s">
        <v>973</v>
      </c>
      <c r="B801" s="25" t="s">
        <v>26</v>
      </c>
      <c r="C801" s="26" t="s">
        <v>50</v>
      </c>
      <c r="D801" s="26" t="s">
        <v>37</v>
      </c>
      <c r="E801" s="26" t="s">
        <v>390</v>
      </c>
      <c r="F801" s="26" t="s">
        <v>1043</v>
      </c>
      <c r="G801" s="27">
        <f t="shared" ref="G801" si="546">J801</f>
        <v>933790</v>
      </c>
      <c r="H801" s="27">
        <f>L801</f>
        <v>941810</v>
      </c>
      <c r="I801" s="27">
        <f>N801</f>
        <v>941810</v>
      </c>
      <c r="J801" s="16">
        <f>'БА в тыс. руб.'!G801*1000</f>
        <v>933790</v>
      </c>
      <c r="K801" s="169">
        <f t="shared" si="530"/>
        <v>0</v>
      </c>
      <c r="L801" s="16">
        <f>'БА в тыс. руб.'!H801*1000</f>
        <v>941810</v>
      </c>
      <c r="M801" s="169">
        <f t="shared" si="531"/>
        <v>0</v>
      </c>
      <c r="N801" s="16">
        <f>'БА в тыс. руб.'!I801*1000</f>
        <v>941810</v>
      </c>
      <c r="O801" s="169">
        <f t="shared" si="532"/>
        <v>0</v>
      </c>
      <c r="S801" s="83"/>
      <c r="T801" s="83"/>
      <c r="U801" s="83"/>
    </row>
    <row r="802" spans="1:21" s="3" customFormat="1">
      <c r="A802" s="11" t="s">
        <v>97</v>
      </c>
      <c r="B802" s="25" t="s">
        <v>26</v>
      </c>
      <c r="C802" s="26" t="s">
        <v>50</v>
      </c>
      <c r="D802" s="26" t="s">
        <v>37</v>
      </c>
      <c r="E802" s="26" t="s">
        <v>390</v>
      </c>
      <c r="F802" s="26" t="s">
        <v>118</v>
      </c>
      <c r="G802" s="27">
        <f>SUM(G803:G804)</f>
        <v>181200</v>
      </c>
      <c r="H802" s="27">
        <f t="shared" ref="H802:I802" si="547">SUM(H803:H804)</f>
        <v>181200</v>
      </c>
      <c r="I802" s="27">
        <f t="shared" si="547"/>
        <v>181200</v>
      </c>
      <c r="J802" s="16">
        <f>'БА в тыс. руб.'!G802*1000</f>
        <v>181200</v>
      </c>
      <c r="K802" s="169">
        <f t="shared" si="530"/>
        <v>0</v>
      </c>
      <c r="L802" s="16">
        <f>'БА в тыс. руб.'!H802*1000</f>
        <v>181200</v>
      </c>
      <c r="M802" s="169">
        <f t="shared" si="531"/>
        <v>0</v>
      </c>
      <c r="N802" s="16">
        <f>'БА в тыс. руб.'!I802*1000</f>
        <v>181200</v>
      </c>
      <c r="O802" s="169">
        <f t="shared" si="532"/>
        <v>0</v>
      </c>
      <c r="S802" s="30"/>
      <c r="T802" s="30"/>
      <c r="U802" s="30"/>
    </row>
    <row r="803" spans="1:21" s="4" customFormat="1">
      <c r="A803" s="12" t="s">
        <v>1036</v>
      </c>
      <c r="B803" s="25" t="s">
        <v>26</v>
      </c>
      <c r="C803" s="26" t="s">
        <v>50</v>
      </c>
      <c r="D803" s="26" t="s">
        <v>37</v>
      </c>
      <c r="E803" s="26" t="s">
        <v>390</v>
      </c>
      <c r="F803" s="26" t="s">
        <v>1061</v>
      </c>
      <c r="G803" s="27">
        <f t="shared" ref="G803:G804" si="548">J803</f>
        <v>174200</v>
      </c>
      <c r="H803" s="27">
        <f t="shared" ref="H803:H804" si="549">L803</f>
        <v>174200</v>
      </c>
      <c r="I803" s="27">
        <f t="shared" ref="I803:I804" si="550">N803</f>
        <v>174200</v>
      </c>
      <c r="J803" s="16">
        <f>'БА в тыс. руб.'!G803*1000</f>
        <v>174200</v>
      </c>
      <c r="K803" s="169">
        <f t="shared" si="530"/>
        <v>0</v>
      </c>
      <c r="L803" s="16">
        <f>'БА в тыс. руб.'!H803*1000</f>
        <v>174200</v>
      </c>
      <c r="M803" s="169">
        <f t="shared" si="531"/>
        <v>0</v>
      </c>
      <c r="N803" s="16">
        <f>'БА в тыс. руб.'!I803*1000</f>
        <v>174200</v>
      </c>
      <c r="O803" s="169">
        <f t="shared" si="532"/>
        <v>0</v>
      </c>
      <c r="S803" s="83"/>
      <c r="T803" s="83"/>
      <c r="U803" s="83"/>
    </row>
    <row r="804" spans="1:21" s="4" customFormat="1">
      <c r="A804" s="12" t="s">
        <v>1037</v>
      </c>
      <c r="B804" s="25" t="s">
        <v>26</v>
      </c>
      <c r="C804" s="26" t="s">
        <v>50</v>
      </c>
      <c r="D804" s="26" t="s">
        <v>37</v>
      </c>
      <c r="E804" s="26" t="s">
        <v>390</v>
      </c>
      <c r="F804" s="26" t="s">
        <v>1062</v>
      </c>
      <c r="G804" s="27">
        <f t="shared" si="548"/>
        <v>7000</v>
      </c>
      <c r="H804" s="27">
        <f t="shared" si="549"/>
        <v>7000</v>
      </c>
      <c r="I804" s="27">
        <f t="shared" si="550"/>
        <v>7000</v>
      </c>
      <c r="J804" s="16">
        <f>'БА в тыс. руб.'!G804*1000</f>
        <v>7000</v>
      </c>
      <c r="K804" s="169">
        <f t="shared" si="530"/>
        <v>0</v>
      </c>
      <c r="L804" s="16">
        <f>'БА в тыс. руб.'!H804*1000</f>
        <v>7000</v>
      </c>
      <c r="M804" s="169">
        <f t="shared" si="531"/>
        <v>0</v>
      </c>
      <c r="N804" s="16">
        <f>'БА в тыс. руб.'!I804*1000</f>
        <v>7000</v>
      </c>
      <c r="O804" s="169">
        <f t="shared" si="532"/>
        <v>0</v>
      </c>
      <c r="S804" s="83"/>
      <c r="T804" s="83"/>
      <c r="U804" s="83"/>
    </row>
    <row r="805" spans="1:21" s="3" customFormat="1" ht="25.5">
      <c r="A805" s="11" t="s">
        <v>126</v>
      </c>
      <c r="B805" s="25" t="s">
        <v>26</v>
      </c>
      <c r="C805" s="26" t="s">
        <v>50</v>
      </c>
      <c r="D805" s="26" t="s">
        <v>37</v>
      </c>
      <c r="E805" s="26" t="s">
        <v>391</v>
      </c>
      <c r="F805" s="26" t="s">
        <v>58</v>
      </c>
      <c r="G805" s="27">
        <f>G806</f>
        <v>11970120</v>
      </c>
      <c r="H805" s="27">
        <f>H806</f>
        <v>11970120</v>
      </c>
      <c r="I805" s="27">
        <f>I806</f>
        <v>11970120</v>
      </c>
      <c r="J805" s="16">
        <f>'БА в тыс. руб.'!G805*1000</f>
        <v>11970119.999999998</v>
      </c>
      <c r="K805" s="169">
        <f t="shared" si="530"/>
        <v>0</v>
      </c>
      <c r="L805" s="16">
        <f>'БА в тыс. руб.'!H805*1000</f>
        <v>11970119.999999998</v>
      </c>
      <c r="M805" s="169">
        <f t="shared" si="531"/>
        <v>0</v>
      </c>
      <c r="N805" s="16">
        <f>'БА в тыс. руб.'!I805*1000</f>
        <v>11970119.999999998</v>
      </c>
      <c r="O805" s="169">
        <f t="shared" si="532"/>
        <v>0</v>
      </c>
      <c r="S805" s="30"/>
      <c r="T805" s="30"/>
      <c r="U805" s="30"/>
    </row>
    <row r="806" spans="1:21" s="3" customFormat="1" ht="25.5">
      <c r="A806" s="12" t="s">
        <v>107</v>
      </c>
      <c r="B806" s="25" t="s">
        <v>26</v>
      </c>
      <c r="C806" s="26" t="s">
        <v>50</v>
      </c>
      <c r="D806" s="26" t="s">
        <v>37</v>
      </c>
      <c r="E806" s="26" t="s">
        <v>391</v>
      </c>
      <c r="F806" s="26" t="s">
        <v>115</v>
      </c>
      <c r="G806" s="27">
        <f>SUM(G807:G808)</f>
        <v>11970120</v>
      </c>
      <c r="H806" s="27">
        <f t="shared" ref="H806:I806" si="551">SUM(H807:H808)</f>
        <v>11970120</v>
      </c>
      <c r="I806" s="27">
        <f t="shared" si="551"/>
        <v>11970120</v>
      </c>
      <c r="J806" s="16">
        <f>'БА в тыс. руб.'!G806*1000</f>
        <v>11970119.999999998</v>
      </c>
      <c r="K806" s="169">
        <f t="shared" si="530"/>
        <v>0</v>
      </c>
      <c r="L806" s="16">
        <f>'БА в тыс. руб.'!H806*1000</f>
        <v>11970119.999999998</v>
      </c>
      <c r="M806" s="169">
        <f t="shared" si="531"/>
        <v>0</v>
      </c>
      <c r="N806" s="16">
        <f>'БА в тыс. руб.'!I806*1000</f>
        <v>11970119.999999998</v>
      </c>
      <c r="O806" s="169">
        <f t="shared" si="532"/>
        <v>0</v>
      </c>
      <c r="S806" s="30"/>
      <c r="T806" s="30"/>
      <c r="U806" s="30"/>
    </row>
    <row r="807" spans="1:21" s="4" customFormat="1">
      <c r="A807" s="12" t="s">
        <v>936</v>
      </c>
      <c r="B807" s="25" t="s">
        <v>26</v>
      </c>
      <c r="C807" s="26" t="s">
        <v>50</v>
      </c>
      <c r="D807" s="26" t="s">
        <v>37</v>
      </c>
      <c r="E807" s="26" t="s">
        <v>391</v>
      </c>
      <c r="F807" s="26" t="s">
        <v>1063</v>
      </c>
      <c r="G807" s="27">
        <f t="shared" ref="G807:G808" si="552">J807</f>
        <v>9193640</v>
      </c>
      <c r="H807" s="27">
        <f t="shared" ref="H807:H808" si="553">L807</f>
        <v>9193640</v>
      </c>
      <c r="I807" s="27">
        <f t="shared" ref="I807:I808" si="554">N807</f>
        <v>9193640</v>
      </c>
      <c r="J807" s="16">
        <f>'БА в тыс. руб.'!G807*1000</f>
        <v>9193640</v>
      </c>
      <c r="K807" s="169">
        <f t="shared" si="530"/>
        <v>0</v>
      </c>
      <c r="L807" s="16">
        <f>'БА в тыс. руб.'!H807*1000</f>
        <v>9193640</v>
      </c>
      <c r="M807" s="169">
        <f t="shared" si="531"/>
        <v>0</v>
      </c>
      <c r="N807" s="16">
        <f>'БА в тыс. руб.'!I807*1000</f>
        <v>9193640</v>
      </c>
      <c r="O807" s="169">
        <f t="shared" si="532"/>
        <v>0</v>
      </c>
      <c r="S807" s="83"/>
      <c r="T807" s="83"/>
      <c r="U807" s="83"/>
    </row>
    <row r="808" spans="1:21" s="4" customFormat="1" ht="38.25">
      <c r="A808" s="12" t="s">
        <v>939</v>
      </c>
      <c r="B808" s="25" t="s">
        <v>26</v>
      </c>
      <c r="C808" s="26" t="s">
        <v>50</v>
      </c>
      <c r="D808" s="26" t="s">
        <v>37</v>
      </c>
      <c r="E808" s="26" t="s">
        <v>391</v>
      </c>
      <c r="F808" s="26" t="s">
        <v>1060</v>
      </c>
      <c r="G808" s="27">
        <f t="shared" si="552"/>
        <v>2776480</v>
      </c>
      <c r="H808" s="27">
        <f t="shared" si="553"/>
        <v>2776480</v>
      </c>
      <c r="I808" s="27">
        <f t="shared" si="554"/>
        <v>2776480</v>
      </c>
      <c r="J808" s="16">
        <f>'БА в тыс. руб.'!G808*1000</f>
        <v>2776480</v>
      </c>
      <c r="K808" s="169">
        <f t="shared" si="530"/>
        <v>0</v>
      </c>
      <c r="L808" s="16">
        <f>'БА в тыс. руб.'!H808*1000</f>
        <v>2776480</v>
      </c>
      <c r="M808" s="169">
        <f t="shared" si="531"/>
        <v>0</v>
      </c>
      <c r="N808" s="16">
        <f>'БА в тыс. руб.'!I808*1000</f>
        <v>2776480</v>
      </c>
      <c r="O808" s="169">
        <f t="shared" si="532"/>
        <v>0</v>
      </c>
      <c r="S808" s="83"/>
      <c r="T808" s="83"/>
      <c r="U808" s="83"/>
    </row>
    <row r="809" spans="1:21" s="3" customFormat="1">
      <c r="A809" s="12" t="s">
        <v>175</v>
      </c>
      <c r="B809" s="25" t="s">
        <v>26</v>
      </c>
      <c r="C809" s="26" t="s">
        <v>50</v>
      </c>
      <c r="D809" s="26" t="s">
        <v>37</v>
      </c>
      <c r="E809" s="26" t="s">
        <v>371</v>
      </c>
      <c r="F809" s="26" t="s">
        <v>58</v>
      </c>
      <c r="G809" s="27">
        <f t="shared" ref="G809:I811" si="555">G810</f>
        <v>160000</v>
      </c>
      <c r="H809" s="27">
        <f t="shared" si="555"/>
        <v>160000</v>
      </c>
      <c r="I809" s="27">
        <f t="shared" si="555"/>
        <v>160000</v>
      </c>
      <c r="J809" s="16">
        <f>'БА в тыс. руб.'!G809*1000</f>
        <v>160000</v>
      </c>
      <c r="K809" s="169">
        <f t="shared" si="530"/>
        <v>0</v>
      </c>
      <c r="L809" s="16">
        <f>'БА в тыс. руб.'!H809*1000</f>
        <v>160000</v>
      </c>
      <c r="M809" s="169">
        <f t="shared" si="531"/>
        <v>0</v>
      </c>
      <c r="N809" s="16">
        <f>'БА в тыс. руб.'!I809*1000</f>
        <v>160000</v>
      </c>
      <c r="O809" s="169">
        <f t="shared" si="532"/>
        <v>0</v>
      </c>
      <c r="S809" s="30"/>
      <c r="T809" s="30"/>
      <c r="U809" s="30"/>
    </row>
    <row r="810" spans="1:21" s="3" customFormat="1" ht="38.25">
      <c r="A810" s="11" t="s">
        <v>697</v>
      </c>
      <c r="B810" s="25" t="s">
        <v>26</v>
      </c>
      <c r="C810" s="26" t="s">
        <v>50</v>
      </c>
      <c r="D810" s="26" t="s">
        <v>37</v>
      </c>
      <c r="E810" s="26" t="s">
        <v>689</v>
      </c>
      <c r="F810" s="26" t="s">
        <v>58</v>
      </c>
      <c r="G810" s="27">
        <f t="shared" si="555"/>
        <v>160000</v>
      </c>
      <c r="H810" s="27">
        <f t="shared" si="555"/>
        <v>160000</v>
      </c>
      <c r="I810" s="27">
        <f t="shared" si="555"/>
        <v>160000</v>
      </c>
      <c r="J810" s="16">
        <f>'БА в тыс. руб.'!G810*1000</f>
        <v>160000</v>
      </c>
      <c r="K810" s="169">
        <f t="shared" si="530"/>
        <v>0</v>
      </c>
      <c r="L810" s="16">
        <f>'БА в тыс. руб.'!H810*1000</f>
        <v>160000</v>
      </c>
      <c r="M810" s="169">
        <f t="shared" si="531"/>
        <v>0</v>
      </c>
      <c r="N810" s="16">
        <f>'БА в тыс. руб.'!I810*1000</f>
        <v>160000</v>
      </c>
      <c r="O810" s="169">
        <f t="shared" si="532"/>
        <v>0</v>
      </c>
      <c r="S810" s="30"/>
      <c r="T810" s="30"/>
      <c r="U810" s="30"/>
    </row>
    <row r="811" spans="1:21" s="3" customFormat="1" ht="25.5">
      <c r="A811" s="11" t="s">
        <v>108</v>
      </c>
      <c r="B811" s="25" t="s">
        <v>26</v>
      </c>
      <c r="C811" s="26" t="s">
        <v>50</v>
      </c>
      <c r="D811" s="26" t="s">
        <v>37</v>
      </c>
      <c r="E811" s="26" t="s">
        <v>689</v>
      </c>
      <c r="F811" s="26" t="s">
        <v>116</v>
      </c>
      <c r="G811" s="27">
        <f>G812</f>
        <v>160000</v>
      </c>
      <c r="H811" s="27">
        <f t="shared" si="555"/>
        <v>160000</v>
      </c>
      <c r="I811" s="27">
        <f t="shared" si="555"/>
        <v>160000</v>
      </c>
      <c r="J811" s="16">
        <f>'БА в тыс. руб.'!G811*1000</f>
        <v>160000</v>
      </c>
      <c r="K811" s="169">
        <f t="shared" si="530"/>
        <v>0</v>
      </c>
      <c r="L811" s="16">
        <f>'БА в тыс. руб.'!H811*1000</f>
        <v>160000</v>
      </c>
      <c r="M811" s="169">
        <f t="shared" si="531"/>
        <v>0</v>
      </c>
      <c r="N811" s="16">
        <f>'БА в тыс. руб.'!I811*1000</f>
        <v>160000</v>
      </c>
      <c r="O811" s="169">
        <f t="shared" si="532"/>
        <v>0</v>
      </c>
      <c r="S811" s="30"/>
      <c r="T811" s="30"/>
      <c r="U811" s="30"/>
    </row>
    <row r="812" spans="1:21" s="4" customFormat="1" ht="25.5">
      <c r="A812" s="12" t="s">
        <v>973</v>
      </c>
      <c r="B812" s="25" t="s">
        <v>26</v>
      </c>
      <c r="C812" s="26" t="s">
        <v>50</v>
      </c>
      <c r="D812" s="26" t="s">
        <v>37</v>
      </c>
      <c r="E812" s="26" t="s">
        <v>689</v>
      </c>
      <c r="F812" s="26" t="s">
        <v>1043</v>
      </c>
      <c r="G812" s="27">
        <f t="shared" ref="G812" si="556">J812</f>
        <v>160000</v>
      </c>
      <c r="H812" s="27">
        <f t="shared" ref="H812" si="557">L812</f>
        <v>160000</v>
      </c>
      <c r="I812" s="27">
        <f t="shared" ref="I812" si="558">N812</f>
        <v>160000</v>
      </c>
      <c r="J812" s="16">
        <f>'БА в тыс. руб.'!G812*1000</f>
        <v>160000</v>
      </c>
      <c r="K812" s="169">
        <f t="shared" si="530"/>
        <v>0</v>
      </c>
      <c r="L812" s="16">
        <f>'БА в тыс. руб.'!H812*1000</f>
        <v>160000</v>
      </c>
      <c r="M812" s="169">
        <f t="shared" si="531"/>
        <v>0</v>
      </c>
      <c r="N812" s="16">
        <f>'БА в тыс. руб.'!I812*1000</f>
        <v>160000</v>
      </c>
      <c r="O812" s="169">
        <f t="shared" si="532"/>
        <v>0</v>
      </c>
      <c r="S812" s="83"/>
      <c r="T812" s="83"/>
      <c r="U812" s="83"/>
    </row>
    <row r="813" spans="1:21" s="3" customFormat="1">
      <c r="A813" s="11"/>
      <c r="B813" s="25"/>
      <c r="C813" s="26"/>
      <c r="D813" s="26"/>
      <c r="E813" s="26"/>
      <c r="F813" s="26"/>
      <c r="G813" s="27"/>
      <c r="H813" s="27"/>
      <c r="I813" s="27"/>
      <c r="J813" s="16">
        <f>'БА в тыс. руб.'!G813*1000</f>
        <v>0</v>
      </c>
      <c r="K813" s="169">
        <f t="shared" si="530"/>
        <v>0</v>
      </c>
      <c r="L813" s="16">
        <f>'БА в тыс. руб.'!H813*1000</f>
        <v>0</v>
      </c>
      <c r="M813" s="169">
        <f t="shared" si="531"/>
        <v>0</v>
      </c>
      <c r="N813" s="16">
        <f>'БА в тыс. руб.'!I813*1000</f>
        <v>0</v>
      </c>
      <c r="O813" s="169">
        <f t="shared" si="532"/>
        <v>0</v>
      </c>
      <c r="S813" s="30"/>
      <c r="T813" s="30"/>
      <c r="U813" s="30"/>
    </row>
    <row r="814" spans="1:21" s="68" customFormat="1" ht="25.5">
      <c r="A814" s="28" t="s">
        <v>178</v>
      </c>
      <c r="B814" s="14" t="s">
        <v>62</v>
      </c>
      <c r="C814" s="15" t="s">
        <v>51</v>
      </c>
      <c r="D814" s="15" t="s">
        <v>51</v>
      </c>
      <c r="E814" s="15" t="s">
        <v>196</v>
      </c>
      <c r="F814" s="15" t="s">
        <v>58</v>
      </c>
      <c r="G814" s="117">
        <f>G823+G815</f>
        <v>1789669020</v>
      </c>
      <c r="H814" s="117">
        <f t="shared" ref="H814:I814" si="559">H823+H815</f>
        <v>1645296270</v>
      </c>
      <c r="I814" s="117">
        <f t="shared" si="559"/>
        <v>1801648700</v>
      </c>
      <c r="J814" s="16">
        <f>'БА в тыс. руб.'!G814*1000</f>
        <v>1789669020.0000005</v>
      </c>
      <c r="K814" s="169">
        <f t="shared" si="530"/>
        <v>0</v>
      </c>
      <c r="L814" s="16">
        <f>'БА в тыс. руб.'!H814*1000</f>
        <v>1645296270</v>
      </c>
      <c r="M814" s="169">
        <f t="shared" si="531"/>
        <v>0</v>
      </c>
      <c r="N814" s="16">
        <f>'БА в тыс. руб.'!I814*1000</f>
        <v>1801648700.0000002</v>
      </c>
      <c r="O814" s="169">
        <f t="shared" si="532"/>
        <v>0</v>
      </c>
      <c r="S814" s="179"/>
      <c r="T814" s="179"/>
      <c r="U814" s="179"/>
    </row>
    <row r="815" spans="1:21" s="109" customFormat="1" ht="12.75">
      <c r="A815" s="17" t="s">
        <v>64</v>
      </c>
      <c r="B815" s="18" t="s">
        <v>62</v>
      </c>
      <c r="C815" s="19" t="s">
        <v>65</v>
      </c>
      <c r="D815" s="19" t="s">
        <v>51</v>
      </c>
      <c r="E815" s="19" t="s">
        <v>196</v>
      </c>
      <c r="F815" s="19" t="s">
        <v>58</v>
      </c>
      <c r="G815" s="20">
        <f t="shared" ref="G815:I821" si="560">G816</f>
        <v>6590</v>
      </c>
      <c r="H815" s="20">
        <f t="shared" si="560"/>
        <v>6590</v>
      </c>
      <c r="I815" s="20">
        <f t="shared" si="560"/>
        <v>6590</v>
      </c>
      <c r="J815" s="16">
        <f>'БА в тыс. руб.'!G815*1000</f>
        <v>6590</v>
      </c>
      <c r="K815" s="169">
        <f t="shared" si="530"/>
        <v>0</v>
      </c>
      <c r="L815" s="16">
        <f>'БА в тыс. руб.'!H815*1000</f>
        <v>6590</v>
      </c>
      <c r="M815" s="169">
        <f t="shared" si="531"/>
        <v>0</v>
      </c>
      <c r="N815" s="16">
        <f>'БА в тыс. руб.'!I815*1000</f>
        <v>6590</v>
      </c>
      <c r="O815" s="169">
        <f t="shared" si="532"/>
        <v>0</v>
      </c>
      <c r="S815" s="182"/>
      <c r="T815" s="182"/>
      <c r="U815" s="182"/>
    </row>
    <row r="816" spans="1:21" s="109" customFormat="1" ht="12.75">
      <c r="A816" s="21" t="s">
        <v>38</v>
      </c>
      <c r="B816" s="22" t="s">
        <v>62</v>
      </c>
      <c r="C816" s="23" t="s">
        <v>65</v>
      </c>
      <c r="D816" s="23" t="s">
        <v>84</v>
      </c>
      <c r="E816" s="23" t="s">
        <v>196</v>
      </c>
      <c r="F816" s="23" t="s">
        <v>58</v>
      </c>
      <c r="G816" s="24">
        <f t="shared" si="560"/>
        <v>6590</v>
      </c>
      <c r="H816" s="24">
        <f t="shared" si="560"/>
        <v>6590</v>
      </c>
      <c r="I816" s="24">
        <f t="shared" si="560"/>
        <v>6590</v>
      </c>
      <c r="J816" s="16">
        <f>'БА в тыс. руб.'!G816*1000</f>
        <v>6590</v>
      </c>
      <c r="K816" s="169">
        <f t="shared" si="530"/>
        <v>0</v>
      </c>
      <c r="L816" s="16">
        <f>'БА в тыс. руб.'!H816*1000</f>
        <v>6590</v>
      </c>
      <c r="M816" s="169">
        <f t="shared" si="531"/>
        <v>0</v>
      </c>
      <c r="N816" s="16">
        <f>'БА в тыс. руб.'!I816*1000</f>
        <v>6590</v>
      </c>
      <c r="O816" s="169">
        <f t="shared" si="532"/>
        <v>0</v>
      </c>
      <c r="S816" s="182"/>
      <c r="T816" s="182"/>
      <c r="U816" s="182"/>
    </row>
    <row r="817" spans="1:21" s="109" customFormat="1" ht="38.25">
      <c r="A817" s="13" t="s">
        <v>745</v>
      </c>
      <c r="B817" s="25" t="s">
        <v>62</v>
      </c>
      <c r="C817" s="26" t="s">
        <v>65</v>
      </c>
      <c r="D817" s="26" t="s">
        <v>84</v>
      </c>
      <c r="E817" s="26" t="s">
        <v>280</v>
      </c>
      <c r="F817" s="26" t="s">
        <v>58</v>
      </c>
      <c r="G817" s="27">
        <f t="shared" si="560"/>
        <v>6590</v>
      </c>
      <c r="H817" s="27">
        <f t="shared" si="560"/>
        <v>6590</v>
      </c>
      <c r="I817" s="27">
        <f t="shared" si="560"/>
        <v>6590</v>
      </c>
      <c r="J817" s="16">
        <f>'БА в тыс. руб.'!G817*1000</f>
        <v>6590</v>
      </c>
      <c r="K817" s="169">
        <f t="shared" si="530"/>
        <v>0</v>
      </c>
      <c r="L817" s="16">
        <f>'БА в тыс. руб.'!H817*1000</f>
        <v>6590</v>
      </c>
      <c r="M817" s="169">
        <f t="shared" si="531"/>
        <v>0</v>
      </c>
      <c r="N817" s="16">
        <f>'БА в тыс. руб.'!I817*1000</f>
        <v>6590</v>
      </c>
      <c r="O817" s="169">
        <f t="shared" si="532"/>
        <v>0</v>
      </c>
      <c r="S817" s="182"/>
      <c r="T817" s="182"/>
      <c r="U817" s="182"/>
    </row>
    <row r="818" spans="1:21" s="109" customFormat="1" ht="51">
      <c r="A818" s="13" t="s">
        <v>746</v>
      </c>
      <c r="B818" s="25" t="s">
        <v>62</v>
      </c>
      <c r="C818" s="26" t="s">
        <v>65</v>
      </c>
      <c r="D818" s="26" t="s">
        <v>84</v>
      </c>
      <c r="E818" s="26" t="s">
        <v>281</v>
      </c>
      <c r="F818" s="26" t="s">
        <v>58</v>
      </c>
      <c r="G818" s="27">
        <f t="shared" si="560"/>
        <v>6590</v>
      </c>
      <c r="H818" s="27">
        <f t="shared" si="560"/>
        <v>6590</v>
      </c>
      <c r="I818" s="27">
        <f t="shared" si="560"/>
        <v>6590</v>
      </c>
      <c r="J818" s="16">
        <f>'БА в тыс. руб.'!G818*1000</f>
        <v>6590</v>
      </c>
      <c r="K818" s="169">
        <f t="shared" si="530"/>
        <v>0</v>
      </c>
      <c r="L818" s="16">
        <f>'БА в тыс. руб.'!H818*1000</f>
        <v>6590</v>
      </c>
      <c r="M818" s="169">
        <f t="shared" si="531"/>
        <v>0</v>
      </c>
      <c r="N818" s="16">
        <f>'БА в тыс. руб.'!I818*1000</f>
        <v>6590</v>
      </c>
      <c r="O818" s="169">
        <f t="shared" si="532"/>
        <v>0</v>
      </c>
      <c r="S818" s="182"/>
      <c r="T818" s="182"/>
      <c r="U818" s="182"/>
    </row>
    <row r="819" spans="1:21" s="109" customFormat="1" ht="38.25">
      <c r="A819" s="11" t="s">
        <v>282</v>
      </c>
      <c r="B819" s="25" t="s">
        <v>62</v>
      </c>
      <c r="C819" s="26" t="s">
        <v>65</v>
      </c>
      <c r="D819" s="26" t="s">
        <v>84</v>
      </c>
      <c r="E819" s="26" t="s">
        <v>283</v>
      </c>
      <c r="F819" s="26" t="s">
        <v>58</v>
      </c>
      <c r="G819" s="27">
        <f t="shared" si="560"/>
        <v>6590</v>
      </c>
      <c r="H819" s="27">
        <f t="shared" si="560"/>
        <v>6590</v>
      </c>
      <c r="I819" s="27">
        <f t="shared" si="560"/>
        <v>6590</v>
      </c>
      <c r="J819" s="16">
        <f>'БА в тыс. руб.'!G819*1000</f>
        <v>6590</v>
      </c>
      <c r="K819" s="169">
        <f t="shared" si="530"/>
        <v>0</v>
      </c>
      <c r="L819" s="16">
        <f>'БА в тыс. руб.'!H819*1000</f>
        <v>6590</v>
      </c>
      <c r="M819" s="169">
        <f t="shared" si="531"/>
        <v>0</v>
      </c>
      <c r="N819" s="16">
        <f>'БА в тыс. руб.'!I819*1000</f>
        <v>6590</v>
      </c>
      <c r="O819" s="169">
        <f t="shared" si="532"/>
        <v>0</v>
      </c>
      <c r="S819" s="182"/>
      <c r="T819" s="182"/>
      <c r="U819" s="182"/>
    </row>
    <row r="820" spans="1:21" s="68" customFormat="1" ht="25.5">
      <c r="A820" s="11" t="s">
        <v>859</v>
      </c>
      <c r="B820" s="25" t="s">
        <v>62</v>
      </c>
      <c r="C820" s="26" t="s">
        <v>65</v>
      </c>
      <c r="D820" s="26" t="s">
        <v>84</v>
      </c>
      <c r="E820" s="26" t="s">
        <v>858</v>
      </c>
      <c r="F820" s="26" t="s">
        <v>58</v>
      </c>
      <c r="G820" s="27">
        <f t="shared" si="560"/>
        <v>6590</v>
      </c>
      <c r="H820" s="27">
        <f t="shared" si="560"/>
        <v>6590</v>
      </c>
      <c r="I820" s="27">
        <f t="shared" si="560"/>
        <v>6590</v>
      </c>
      <c r="J820" s="16">
        <f>'БА в тыс. руб.'!G820*1000</f>
        <v>6590</v>
      </c>
      <c r="K820" s="169">
        <f t="shared" si="530"/>
        <v>0</v>
      </c>
      <c r="L820" s="16">
        <f>'БА в тыс. руб.'!H820*1000</f>
        <v>6590</v>
      </c>
      <c r="M820" s="169">
        <f t="shared" si="531"/>
        <v>0</v>
      </c>
      <c r="N820" s="16">
        <f>'БА в тыс. руб.'!I820*1000</f>
        <v>6590</v>
      </c>
      <c r="O820" s="169">
        <f t="shared" si="532"/>
        <v>0</v>
      </c>
      <c r="S820" s="179"/>
      <c r="T820" s="179"/>
      <c r="U820" s="179"/>
    </row>
    <row r="821" spans="1:21" s="68" customFormat="1" ht="25.5">
      <c r="A821" s="11" t="s">
        <v>108</v>
      </c>
      <c r="B821" s="25" t="s">
        <v>62</v>
      </c>
      <c r="C821" s="26" t="s">
        <v>65</v>
      </c>
      <c r="D821" s="26" t="s">
        <v>84</v>
      </c>
      <c r="E821" s="26" t="s">
        <v>858</v>
      </c>
      <c r="F821" s="26" t="s">
        <v>116</v>
      </c>
      <c r="G821" s="27">
        <f>G822</f>
        <v>6590</v>
      </c>
      <c r="H821" s="27">
        <f t="shared" si="560"/>
        <v>6590</v>
      </c>
      <c r="I821" s="27">
        <f t="shared" si="560"/>
        <v>6590</v>
      </c>
      <c r="J821" s="16">
        <f>'БА в тыс. руб.'!G821*1000</f>
        <v>6590</v>
      </c>
      <c r="K821" s="169">
        <f t="shared" si="530"/>
        <v>0</v>
      </c>
      <c r="L821" s="16">
        <f>'БА в тыс. руб.'!H821*1000</f>
        <v>6590</v>
      </c>
      <c r="M821" s="169">
        <f t="shared" si="531"/>
        <v>0</v>
      </c>
      <c r="N821" s="16">
        <f>'БА в тыс. руб.'!I821*1000</f>
        <v>6590</v>
      </c>
      <c r="O821" s="169">
        <f t="shared" si="532"/>
        <v>0</v>
      </c>
      <c r="S821" s="179"/>
      <c r="T821" s="179"/>
      <c r="U821" s="179"/>
    </row>
    <row r="822" spans="1:21" s="118" customFormat="1" ht="25.5">
      <c r="A822" s="12" t="s">
        <v>973</v>
      </c>
      <c r="B822" s="25" t="s">
        <v>62</v>
      </c>
      <c r="C822" s="26" t="s">
        <v>65</v>
      </c>
      <c r="D822" s="26" t="s">
        <v>84</v>
      </c>
      <c r="E822" s="26" t="s">
        <v>858</v>
      </c>
      <c r="F822" s="26" t="s">
        <v>1043</v>
      </c>
      <c r="G822" s="27">
        <f t="shared" ref="G822" si="561">J822</f>
        <v>6590</v>
      </c>
      <c r="H822" s="27">
        <f>L822</f>
        <v>6590</v>
      </c>
      <c r="I822" s="27">
        <f>N822</f>
        <v>6590</v>
      </c>
      <c r="J822" s="16">
        <f>'БА в тыс. руб.'!G822*1000</f>
        <v>6590</v>
      </c>
      <c r="K822" s="169">
        <f t="shared" si="530"/>
        <v>0</v>
      </c>
      <c r="L822" s="16">
        <f>'БА в тыс. руб.'!H822*1000</f>
        <v>6590</v>
      </c>
      <c r="M822" s="169">
        <f t="shared" si="531"/>
        <v>0</v>
      </c>
      <c r="N822" s="16">
        <f>'БА в тыс. руб.'!I822*1000</f>
        <v>6590</v>
      </c>
      <c r="O822" s="169">
        <f t="shared" si="532"/>
        <v>0</v>
      </c>
      <c r="S822" s="187"/>
      <c r="T822" s="187"/>
      <c r="U822" s="187"/>
    </row>
    <row r="823" spans="1:21" s="30" customFormat="1">
      <c r="A823" s="17" t="s">
        <v>49</v>
      </c>
      <c r="B823" s="18" t="s">
        <v>62</v>
      </c>
      <c r="C823" s="19" t="s">
        <v>14</v>
      </c>
      <c r="D823" s="19" t="s">
        <v>51</v>
      </c>
      <c r="E823" s="19" t="s">
        <v>196</v>
      </c>
      <c r="F823" s="19" t="s">
        <v>58</v>
      </c>
      <c r="G823" s="20">
        <f>G824+G960+G970</f>
        <v>1789662430</v>
      </c>
      <c r="H823" s="20">
        <f>H824+H960+H970</f>
        <v>1645289680</v>
      </c>
      <c r="I823" s="20">
        <f>I824+I960+I970</f>
        <v>1801642110</v>
      </c>
      <c r="J823" s="16">
        <f>'БА в тыс. руб.'!G823*1000</f>
        <v>1789662430.0000005</v>
      </c>
      <c r="K823" s="169">
        <f t="shared" si="530"/>
        <v>0</v>
      </c>
      <c r="L823" s="16">
        <f>'БА в тыс. руб.'!H823*1000</f>
        <v>1645289680</v>
      </c>
      <c r="M823" s="169">
        <f t="shared" si="531"/>
        <v>0</v>
      </c>
      <c r="N823" s="16">
        <f>'БА в тыс. руб.'!I823*1000</f>
        <v>1801642110</v>
      </c>
      <c r="O823" s="169">
        <f t="shared" si="532"/>
        <v>0</v>
      </c>
    </row>
    <row r="824" spans="1:21" s="30" customFormat="1">
      <c r="A824" s="21" t="s">
        <v>63</v>
      </c>
      <c r="B824" s="22" t="s">
        <v>62</v>
      </c>
      <c r="C824" s="23" t="s">
        <v>14</v>
      </c>
      <c r="D824" s="23" t="s">
        <v>53</v>
      </c>
      <c r="E824" s="23" t="s">
        <v>196</v>
      </c>
      <c r="F824" s="23" t="s">
        <v>58</v>
      </c>
      <c r="G824" s="24">
        <f>G825</f>
        <v>1597546070</v>
      </c>
      <c r="H824" s="24">
        <f>H825</f>
        <v>1453291780</v>
      </c>
      <c r="I824" s="24">
        <f>I825</f>
        <v>1609572210</v>
      </c>
      <c r="J824" s="16">
        <f>'БА в тыс. руб.'!G824*1000</f>
        <v>1597546070.0000002</v>
      </c>
      <c r="K824" s="169">
        <f t="shared" si="530"/>
        <v>0</v>
      </c>
      <c r="L824" s="16">
        <f>'БА в тыс. руб.'!H824*1000</f>
        <v>1453291780</v>
      </c>
      <c r="M824" s="169">
        <f t="shared" si="531"/>
        <v>0</v>
      </c>
      <c r="N824" s="16">
        <f>'БА в тыс. руб.'!I824*1000</f>
        <v>1609572210.0000002</v>
      </c>
      <c r="O824" s="169">
        <f t="shared" si="532"/>
        <v>0</v>
      </c>
    </row>
    <row r="825" spans="1:21" s="30" customFormat="1" ht="25.5">
      <c r="A825" s="31" t="s">
        <v>727</v>
      </c>
      <c r="B825" s="25" t="s">
        <v>62</v>
      </c>
      <c r="C825" s="26" t="s">
        <v>14</v>
      </c>
      <c r="D825" s="26" t="s">
        <v>53</v>
      </c>
      <c r="E825" s="26" t="s">
        <v>327</v>
      </c>
      <c r="F825" s="26" t="s">
        <v>58</v>
      </c>
      <c r="G825" s="161">
        <f>G826+G906+G955</f>
        <v>1597546070</v>
      </c>
      <c r="H825" s="161">
        <f t="shared" ref="H825:I825" si="562">H826+H906+H955</f>
        <v>1453291780</v>
      </c>
      <c r="I825" s="161">
        <f t="shared" si="562"/>
        <v>1609572210</v>
      </c>
      <c r="J825" s="16">
        <f>'БА в тыс. руб.'!G825*1000</f>
        <v>1597546070.0000002</v>
      </c>
      <c r="K825" s="169">
        <f t="shared" si="530"/>
        <v>0</v>
      </c>
      <c r="L825" s="16">
        <f>'БА в тыс. руб.'!H825*1000</f>
        <v>1453291780</v>
      </c>
      <c r="M825" s="169">
        <f t="shared" si="531"/>
        <v>0</v>
      </c>
      <c r="N825" s="16">
        <f>'БА в тыс. руб.'!I825*1000</f>
        <v>1609572210.0000002</v>
      </c>
      <c r="O825" s="169">
        <f t="shared" si="532"/>
        <v>0</v>
      </c>
    </row>
    <row r="826" spans="1:21" s="30" customFormat="1" ht="38.25">
      <c r="A826" s="120" t="s">
        <v>728</v>
      </c>
      <c r="B826" s="25" t="s">
        <v>62</v>
      </c>
      <c r="C826" s="26" t="s">
        <v>14</v>
      </c>
      <c r="D826" s="26" t="s">
        <v>53</v>
      </c>
      <c r="E826" s="26" t="s">
        <v>392</v>
      </c>
      <c r="F826" s="26" t="s">
        <v>58</v>
      </c>
      <c r="G826" s="161">
        <f>G827+G884</f>
        <v>1573970700</v>
      </c>
      <c r="H826" s="161">
        <f>H827+H884</f>
        <v>1431232370</v>
      </c>
      <c r="I826" s="161">
        <f>I827+I884</f>
        <v>1587512800</v>
      </c>
      <c r="J826" s="16">
        <f>'БА в тыс. руб.'!G826*1000</f>
        <v>1573970700.0000002</v>
      </c>
      <c r="K826" s="169">
        <f t="shared" si="530"/>
        <v>0</v>
      </c>
      <c r="L826" s="16">
        <f>'БА в тыс. руб.'!H826*1000</f>
        <v>1431232370</v>
      </c>
      <c r="M826" s="169">
        <f t="shared" si="531"/>
        <v>0</v>
      </c>
      <c r="N826" s="16">
        <f>'БА в тыс. руб.'!I826*1000</f>
        <v>1587512800.0000002</v>
      </c>
      <c r="O826" s="169">
        <f t="shared" si="532"/>
        <v>0</v>
      </c>
    </row>
    <row r="827" spans="1:21" s="30" customFormat="1" ht="25.5">
      <c r="A827" s="152" t="s">
        <v>393</v>
      </c>
      <c r="B827" s="25" t="s">
        <v>62</v>
      </c>
      <c r="C827" s="26" t="s">
        <v>14</v>
      </c>
      <c r="D827" s="26" t="s">
        <v>53</v>
      </c>
      <c r="E827" s="26" t="s">
        <v>394</v>
      </c>
      <c r="F827" s="26" t="s">
        <v>58</v>
      </c>
      <c r="G827" s="119">
        <f>G828+G833+G841+G846+G849+G854+G859+G864+G869+G874+G879</f>
        <v>1255740060</v>
      </c>
      <c r="H827" s="119">
        <f t="shared" ref="H827:I827" si="563">H828+H833+H841+H846+H849+H854+H859+H864+H869+H874+H879</f>
        <v>1120001490</v>
      </c>
      <c r="I827" s="119">
        <f t="shared" si="563"/>
        <v>1252406710</v>
      </c>
      <c r="J827" s="16">
        <f>'БА в тыс. руб.'!G827*1000</f>
        <v>1255740060</v>
      </c>
      <c r="K827" s="169">
        <f t="shared" si="530"/>
        <v>0</v>
      </c>
      <c r="L827" s="16">
        <f>'БА в тыс. руб.'!H827*1000</f>
        <v>1120001490</v>
      </c>
      <c r="M827" s="169">
        <f t="shared" si="531"/>
        <v>0</v>
      </c>
      <c r="N827" s="16">
        <f>'БА в тыс. руб.'!I827*1000</f>
        <v>1252406710.0000002</v>
      </c>
      <c r="O827" s="169">
        <f t="shared" si="532"/>
        <v>0</v>
      </c>
    </row>
    <row r="828" spans="1:21" s="30" customFormat="1" ht="25.5">
      <c r="A828" s="31" t="s">
        <v>593</v>
      </c>
      <c r="B828" s="25" t="s">
        <v>62</v>
      </c>
      <c r="C828" s="26" t="s">
        <v>14</v>
      </c>
      <c r="D828" s="26" t="s">
        <v>53</v>
      </c>
      <c r="E828" s="26" t="s">
        <v>395</v>
      </c>
      <c r="F828" s="26" t="s">
        <v>58</v>
      </c>
      <c r="G828" s="119">
        <f>G829+G831</f>
        <v>15553000</v>
      </c>
      <c r="H828" s="119">
        <f>H829+H831</f>
        <v>15553000</v>
      </c>
      <c r="I828" s="119">
        <f>I829+I831</f>
        <v>15553000</v>
      </c>
      <c r="J828" s="16">
        <f>'БА в тыс. руб.'!G828*1000</f>
        <v>15553000</v>
      </c>
      <c r="K828" s="169">
        <f t="shared" si="530"/>
        <v>0</v>
      </c>
      <c r="L828" s="16">
        <f>'БА в тыс. руб.'!H828*1000</f>
        <v>15553000</v>
      </c>
      <c r="M828" s="169">
        <f t="shared" si="531"/>
        <v>0</v>
      </c>
      <c r="N828" s="16">
        <f>'БА в тыс. руб.'!I828*1000</f>
        <v>15553000</v>
      </c>
      <c r="O828" s="169">
        <f t="shared" si="532"/>
        <v>0</v>
      </c>
    </row>
    <row r="829" spans="1:21" s="30" customFormat="1" ht="25.5">
      <c r="A829" s="11" t="s">
        <v>108</v>
      </c>
      <c r="B829" s="25" t="s">
        <v>62</v>
      </c>
      <c r="C829" s="26" t="s">
        <v>14</v>
      </c>
      <c r="D829" s="26" t="s">
        <v>53</v>
      </c>
      <c r="E829" s="26" t="s">
        <v>395</v>
      </c>
      <c r="F829" s="26" t="s">
        <v>116</v>
      </c>
      <c r="G829" s="119">
        <f>G830</f>
        <v>229840</v>
      </c>
      <c r="H829" s="119">
        <f t="shared" ref="H829:I829" si="564">H830</f>
        <v>229840</v>
      </c>
      <c r="I829" s="119">
        <f t="shared" si="564"/>
        <v>229840</v>
      </c>
      <c r="J829" s="16">
        <f>'БА в тыс. руб.'!G829*1000</f>
        <v>229840</v>
      </c>
      <c r="K829" s="169">
        <f t="shared" si="530"/>
        <v>0</v>
      </c>
      <c r="L829" s="16">
        <f>'БА в тыс. руб.'!H829*1000</f>
        <v>229840</v>
      </c>
      <c r="M829" s="169">
        <f t="shared" si="531"/>
        <v>0</v>
      </c>
      <c r="N829" s="16">
        <f>'БА в тыс. руб.'!I829*1000</f>
        <v>229840</v>
      </c>
      <c r="O829" s="169">
        <f t="shared" si="532"/>
        <v>0</v>
      </c>
    </row>
    <row r="830" spans="1:21" s="83" customFormat="1" ht="25.5">
      <c r="A830" s="12" t="s">
        <v>973</v>
      </c>
      <c r="B830" s="25" t="s">
        <v>62</v>
      </c>
      <c r="C830" s="26" t="s">
        <v>14</v>
      </c>
      <c r="D830" s="26" t="s">
        <v>53</v>
      </c>
      <c r="E830" s="26" t="s">
        <v>395</v>
      </c>
      <c r="F830" s="26" t="s">
        <v>1043</v>
      </c>
      <c r="G830" s="27">
        <f t="shared" ref="G830" si="565">J830</f>
        <v>229840</v>
      </c>
      <c r="H830" s="27">
        <f>L830</f>
        <v>229840</v>
      </c>
      <c r="I830" s="27">
        <f>N830</f>
        <v>229840</v>
      </c>
      <c r="J830" s="16">
        <f>'БА в тыс. руб.'!G830*1000</f>
        <v>229840</v>
      </c>
      <c r="K830" s="169">
        <f t="shared" si="530"/>
        <v>0</v>
      </c>
      <c r="L830" s="16">
        <f>'БА в тыс. руб.'!H830*1000</f>
        <v>229840</v>
      </c>
      <c r="M830" s="169">
        <f t="shared" si="531"/>
        <v>0</v>
      </c>
      <c r="N830" s="16">
        <f>'БА в тыс. руб.'!I830*1000</f>
        <v>229840</v>
      </c>
      <c r="O830" s="169">
        <f t="shared" si="532"/>
        <v>0</v>
      </c>
    </row>
    <row r="831" spans="1:21" s="30" customFormat="1">
      <c r="A831" s="13" t="s">
        <v>109</v>
      </c>
      <c r="B831" s="25" t="s">
        <v>62</v>
      </c>
      <c r="C831" s="26" t="s">
        <v>14</v>
      </c>
      <c r="D831" s="26" t="s">
        <v>53</v>
      </c>
      <c r="E831" s="26" t="s">
        <v>395</v>
      </c>
      <c r="F831" s="26" t="s">
        <v>134</v>
      </c>
      <c r="G831" s="119">
        <f>G832</f>
        <v>15323160</v>
      </c>
      <c r="H831" s="119">
        <f t="shared" ref="H831:I831" si="566">H832</f>
        <v>15323160</v>
      </c>
      <c r="I831" s="119">
        <f t="shared" si="566"/>
        <v>15323160</v>
      </c>
      <c r="J831" s="16">
        <f>'БА в тыс. руб.'!G831*1000</f>
        <v>15323160</v>
      </c>
      <c r="K831" s="169">
        <f t="shared" si="530"/>
        <v>0</v>
      </c>
      <c r="L831" s="16">
        <f>'БА в тыс. руб.'!H831*1000</f>
        <v>15323160</v>
      </c>
      <c r="M831" s="169">
        <f t="shared" si="531"/>
        <v>0</v>
      </c>
      <c r="N831" s="16">
        <f>'БА в тыс. руб.'!I831*1000</f>
        <v>15323160</v>
      </c>
      <c r="O831" s="169">
        <f t="shared" si="532"/>
        <v>0</v>
      </c>
    </row>
    <row r="832" spans="1:21" s="83" customFormat="1" ht="25.5">
      <c r="A832" s="12" t="s">
        <v>978</v>
      </c>
      <c r="B832" s="25" t="s">
        <v>62</v>
      </c>
      <c r="C832" s="26" t="s">
        <v>14</v>
      </c>
      <c r="D832" s="26" t="s">
        <v>53</v>
      </c>
      <c r="E832" s="26" t="s">
        <v>395</v>
      </c>
      <c r="F832" s="26" t="s">
        <v>1064</v>
      </c>
      <c r="G832" s="27">
        <f t="shared" ref="G832" si="567">J832</f>
        <v>15323160</v>
      </c>
      <c r="H832" s="27">
        <f>L832</f>
        <v>15323160</v>
      </c>
      <c r="I832" s="27">
        <f>N832</f>
        <v>15323160</v>
      </c>
      <c r="J832" s="16">
        <f>'БА в тыс. руб.'!G832*1000</f>
        <v>15323160</v>
      </c>
      <c r="K832" s="169">
        <f t="shared" si="530"/>
        <v>0</v>
      </c>
      <c r="L832" s="16">
        <f>'БА в тыс. руб.'!H832*1000</f>
        <v>15323160</v>
      </c>
      <c r="M832" s="169">
        <f t="shared" si="531"/>
        <v>0</v>
      </c>
      <c r="N832" s="16">
        <f>'БА в тыс. руб.'!I832*1000</f>
        <v>15323160</v>
      </c>
      <c r="O832" s="169">
        <f t="shared" si="532"/>
        <v>0</v>
      </c>
    </row>
    <row r="833" spans="1:15" s="30" customFormat="1" ht="25.5">
      <c r="A833" s="31" t="s">
        <v>396</v>
      </c>
      <c r="B833" s="25" t="s">
        <v>62</v>
      </c>
      <c r="C833" s="26" t="s">
        <v>14</v>
      </c>
      <c r="D833" s="26" t="s">
        <v>53</v>
      </c>
      <c r="E833" s="26" t="s">
        <v>397</v>
      </c>
      <c r="F833" s="26" t="s">
        <v>58</v>
      </c>
      <c r="G833" s="119">
        <f>G834+G837+G839</f>
        <v>340047600</v>
      </c>
      <c r="H833" s="119">
        <f>H834+H837+H839</f>
        <v>340355020</v>
      </c>
      <c r="I833" s="119">
        <f>I834+I837+I839</f>
        <v>340145820</v>
      </c>
      <c r="J833" s="16">
        <f>'БА в тыс. руб.'!G833*1000</f>
        <v>340047600</v>
      </c>
      <c r="K833" s="169">
        <f t="shared" si="530"/>
        <v>0</v>
      </c>
      <c r="L833" s="16">
        <f>'БА в тыс. руб.'!H833*1000</f>
        <v>340355020</v>
      </c>
      <c r="M833" s="169">
        <f t="shared" si="531"/>
        <v>0</v>
      </c>
      <c r="N833" s="16">
        <f>'БА в тыс. руб.'!I833*1000</f>
        <v>340145820</v>
      </c>
      <c r="O833" s="169">
        <f t="shared" si="532"/>
        <v>0</v>
      </c>
    </row>
    <row r="834" spans="1:15" s="30" customFormat="1" ht="25.5">
      <c r="A834" s="12" t="s">
        <v>107</v>
      </c>
      <c r="B834" s="25" t="s">
        <v>62</v>
      </c>
      <c r="C834" s="26" t="s">
        <v>14</v>
      </c>
      <c r="D834" s="26" t="s">
        <v>53</v>
      </c>
      <c r="E834" s="26" t="s">
        <v>397</v>
      </c>
      <c r="F834" s="26" t="s">
        <v>115</v>
      </c>
      <c r="G834" s="119">
        <f>SUM(G835:G836)</f>
        <v>1654900</v>
      </c>
      <c r="H834" s="119">
        <f t="shared" ref="H834:I834" si="568">SUM(H835:H836)</f>
        <v>1654900</v>
      </c>
      <c r="I834" s="119">
        <f t="shared" si="568"/>
        <v>1654900</v>
      </c>
      <c r="J834" s="16">
        <f>'БА в тыс. руб.'!G834*1000</f>
        <v>1654900</v>
      </c>
      <c r="K834" s="169">
        <f t="shared" si="530"/>
        <v>0</v>
      </c>
      <c r="L834" s="16">
        <f>'БА в тыс. руб.'!H834*1000</f>
        <v>1654900</v>
      </c>
      <c r="M834" s="169">
        <f t="shared" si="531"/>
        <v>0</v>
      </c>
      <c r="N834" s="16">
        <f>'БА в тыс. руб.'!I834*1000</f>
        <v>1654900</v>
      </c>
      <c r="O834" s="169">
        <f t="shared" si="532"/>
        <v>0</v>
      </c>
    </row>
    <row r="835" spans="1:15" s="83" customFormat="1">
      <c r="A835" s="12" t="s">
        <v>936</v>
      </c>
      <c r="B835" s="25" t="s">
        <v>62</v>
      </c>
      <c r="C835" s="26" t="s">
        <v>14</v>
      </c>
      <c r="D835" s="26" t="s">
        <v>53</v>
      </c>
      <c r="E835" s="26" t="s">
        <v>397</v>
      </c>
      <c r="F835" s="26" t="s">
        <v>1063</v>
      </c>
      <c r="G835" s="27">
        <f t="shared" ref="G835:G836" si="569">J835</f>
        <v>1300000</v>
      </c>
      <c r="H835" s="27">
        <f t="shared" ref="H835:H836" si="570">L835</f>
        <v>1300000</v>
      </c>
      <c r="I835" s="27">
        <f t="shared" ref="I835:I836" si="571">N835</f>
        <v>1300000</v>
      </c>
      <c r="J835" s="16">
        <f>'БА в тыс. руб.'!G835*1000</f>
        <v>1300000</v>
      </c>
      <c r="K835" s="169">
        <f t="shared" si="530"/>
        <v>0</v>
      </c>
      <c r="L835" s="16">
        <f>'БА в тыс. руб.'!H835*1000</f>
        <v>1300000</v>
      </c>
      <c r="M835" s="169">
        <f t="shared" si="531"/>
        <v>0</v>
      </c>
      <c r="N835" s="16">
        <f>'БА в тыс. руб.'!I835*1000</f>
        <v>1300000</v>
      </c>
      <c r="O835" s="169">
        <f t="shared" si="532"/>
        <v>0</v>
      </c>
    </row>
    <row r="836" spans="1:15" s="83" customFormat="1" ht="38.25">
      <c r="A836" s="12" t="s">
        <v>939</v>
      </c>
      <c r="B836" s="25" t="s">
        <v>62</v>
      </c>
      <c r="C836" s="26" t="s">
        <v>14</v>
      </c>
      <c r="D836" s="26" t="s">
        <v>53</v>
      </c>
      <c r="E836" s="26" t="s">
        <v>397</v>
      </c>
      <c r="F836" s="26" t="s">
        <v>1060</v>
      </c>
      <c r="G836" s="27">
        <f t="shared" si="569"/>
        <v>354900</v>
      </c>
      <c r="H836" s="27">
        <f t="shared" si="570"/>
        <v>354900</v>
      </c>
      <c r="I836" s="27">
        <f t="shared" si="571"/>
        <v>354900</v>
      </c>
      <c r="J836" s="16">
        <f>'БА в тыс. руб.'!G836*1000</f>
        <v>354900</v>
      </c>
      <c r="K836" s="169">
        <f t="shared" si="530"/>
        <v>0</v>
      </c>
      <c r="L836" s="16">
        <f>'БА в тыс. руб.'!H836*1000</f>
        <v>354900</v>
      </c>
      <c r="M836" s="169">
        <f t="shared" si="531"/>
        <v>0</v>
      </c>
      <c r="N836" s="16">
        <f>'БА в тыс. руб.'!I836*1000</f>
        <v>354900</v>
      </c>
      <c r="O836" s="169">
        <f t="shared" si="532"/>
        <v>0</v>
      </c>
    </row>
    <row r="837" spans="1:15" s="30" customFormat="1" ht="25.5">
      <c r="A837" s="11" t="s">
        <v>108</v>
      </c>
      <c r="B837" s="25" t="s">
        <v>62</v>
      </c>
      <c r="C837" s="26" t="s">
        <v>14</v>
      </c>
      <c r="D837" s="26" t="s">
        <v>53</v>
      </c>
      <c r="E837" s="26" t="s">
        <v>397</v>
      </c>
      <c r="F837" s="26" t="s">
        <v>116</v>
      </c>
      <c r="G837" s="119">
        <f>G838</f>
        <v>3369700</v>
      </c>
      <c r="H837" s="119">
        <f t="shared" ref="H837:I837" si="572">H838</f>
        <v>3374920</v>
      </c>
      <c r="I837" s="119">
        <f t="shared" si="572"/>
        <v>3371900</v>
      </c>
      <c r="J837" s="16">
        <f>'БА в тыс. руб.'!G837*1000</f>
        <v>3369700</v>
      </c>
      <c r="K837" s="169">
        <f t="shared" si="530"/>
        <v>0</v>
      </c>
      <c r="L837" s="16">
        <f>'БА в тыс. руб.'!H837*1000</f>
        <v>3374920</v>
      </c>
      <c r="M837" s="169">
        <f t="shared" si="531"/>
        <v>0</v>
      </c>
      <c r="N837" s="16">
        <f>'БА в тыс. руб.'!I837*1000</f>
        <v>3371900</v>
      </c>
      <c r="O837" s="169">
        <f t="shared" si="532"/>
        <v>0</v>
      </c>
    </row>
    <row r="838" spans="1:15" s="83" customFormat="1" ht="25.5">
      <c r="A838" s="12" t="s">
        <v>973</v>
      </c>
      <c r="B838" s="25" t="s">
        <v>62</v>
      </c>
      <c r="C838" s="26" t="s">
        <v>14</v>
      </c>
      <c r="D838" s="26" t="s">
        <v>53</v>
      </c>
      <c r="E838" s="26" t="s">
        <v>397</v>
      </c>
      <c r="F838" s="26" t="s">
        <v>1043</v>
      </c>
      <c r="G838" s="27">
        <f t="shared" ref="G838" si="573">J838</f>
        <v>3369700</v>
      </c>
      <c r="H838" s="27">
        <f>L838</f>
        <v>3374920</v>
      </c>
      <c r="I838" s="27">
        <f>N838</f>
        <v>3371900</v>
      </c>
      <c r="J838" s="16">
        <f>'БА в тыс. руб.'!G838*1000</f>
        <v>3369700</v>
      </c>
      <c r="K838" s="169">
        <f t="shared" si="530"/>
        <v>0</v>
      </c>
      <c r="L838" s="16">
        <f>'БА в тыс. руб.'!H838*1000</f>
        <v>3374920</v>
      </c>
      <c r="M838" s="169">
        <f t="shared" si="531"/>
        <v>0</v>
      </c>
      <c r="N838" s="16">
        <f>'БА в тыс. руб.'!I838*1000</f>
        <v>3371900</v>
      </c>
      <c r="O838" s="169">
        <f t="shared" si="532"/>
        <v>0</v>
      </c>
    </row>
    <row r="839" spans="1:15" s="30" customFormat="1">
      <c r="A839" s="13" t="s">
        <v>109</v>
      </c>
      <c r="B839" s="25" t="s">
        <v>62</v>
      </c>
      <c r="C839" s="26" t="s">
        <v>14</v>
      </c>
      <c r="D839" s="26" t="s">
        <v>53</v>
      </c>
      <c r="E839" s="26" t="s">
        <v>397</v>
      </c>
      <c r="F839" s="26" t="s">
        <v>134</v>
      </c>
      <c r="G839" s="119">
        <f>G840</f>
        <v>335023000</v>
      </c>
      <c r="H839" s="119">
        <f t="shared" ref="H839:I839" si="574">H840</f>
        <v>335325200</v>
      </c>
      <c r="I839" s="119">
        <f t="shared" si="574"/>
        <v>335119020</v>
      </c>
      <c r="J839" s="16">
        <f>'БА в тыс. руб.'!G839*1000</f>
        <v>335023000</v>
      </c>
      <c r="K839" s="169">
        <f t="shared" si="530"/>
        <v>0</v>
      </c>
      <c r="L839" s="16">
        <f>'БА в тыс. руб.'!H839*1000</f>
        <v>335325200</v>
      </c>
      <c r="M839" s="169">
        <f t="shared" si="531"/>
        <v>0</v>
      </c>
      <c r="N839" s="16">
        <f>'БА в тыс. руб.'!I839*1000</f>
        <v>335119020</v>
      </c>
      <c r="O839" s="169">
        <f t="shared" si="532"/>
        <v>0</v>
      </c>
    </row>
    <row r="840" spans="1:15" s="83" customFormat="1" ht="25.5">
      <c r="A840" s="12" t="s">
        <v>978</v>
      </c>
      <c r="B840" s="25" t="s">
        <v>62</v>
      </c>
      <c r="C840" s="26" t="s">
        <v>14</v>
      </c>
      <c r="D840" s="26" t="s">
        <v>53</v>
      </c>
      <c r="E840" s="26" t="s">
        <v>397</v>
      </c>
      <c r="F840" s="26" t="s">
        <v>1064</v>
      </c>
      <c r="G840" s="27">
        <f t="shared" ref="G840" si="575">J840</f>
        <v>335023000</v>
      </c>
      <c r="H840" s="27">
        <f>L840</f>
        <v>335325200</v>
      </c>
      <c r="I840" s="27">
        <f>N840</f>
        <v>335119020</v>
      </c>
      <c r="J840" s="16">
        <f>'БА в тыс. руб.'!G840*1000</f>
        <v>335023000</v>
      </c>
      <c r="K840" s="169">
        <f t="shared" ref="K840:K903" si="576">J840-G840</f>
        <v>0</v>
      </c>
      <c r="L840" s="16">
        <f>'БА в тыс. руб.'!H840*1000</f>
        <v>335325200</v>
      </c>
      <c r="M840" s="169">
        <f t="shared" ref="M840:M903" si="577">L840-H840</f>
        <v>0</v>
      </c>
      <c r="N840" s="16">
        <f>'БА в тыс. руб.'!I840*1000</f>
        <v>335119020</v>
      </c>
      <c r="O840" s="169">
        <f t="shared" ref="O840:O903" si="578">N840-I840</f>
        <v>0</v>
      </c>
    </row>
    <row r="841" spans="1:15" s="30" customFormat="1" ht="114.75">
      <c r="A841" s="162" t="s">
        <v>887</v>
      </c>
      <c r="B841" s="25" t="s">
        <v>62</v>
      </c>
      <c r="C841" s="26" t="s">
        <v>14</v>
      </c>
      <c r="D841" s="26" t="s">
        <v>53</v>
      </c>
      <c r="E841" s="26" t="s">
        <v>398</v>
      </c>
      <c r="F841" s="26" t="s">
        <v>58</v>
      </c>
      <c r="G841" s="119">
        <f>G842+G844</f>
        <v>120100</v>
      </c>
      <c r="H841" s="119">
        <f>H842+H844</f>
        <v>120000</v>
      </c>
      <c r="I841" s="119">
        <f>I842+I844</f>
        <v>120000</v>
      </c>
      <c r="J841" s="16">
        <f>'БА в тыс. руб.'!G841*1000</f>
        <v>120100</v>
      </c>
      <c r="K841" s="169">
        <f t="shared" si="576"/>
        <v>0</v>
      </c>
      <c r="L841" s="16">
        <f>'БА в тыс. руб.'!H841*1000</f>
        <v>120000</v>
      </c>
      <c r="M841" s="169">
        <f t="shared" si="577"/>
        <v>0</v>
      </c>
      <c r="N841" s="16">
        <f>'БА в тыс. руб.'!I841*1000</f>
        <v>120000</v>
      </c>
      <c r="O841" s="169">
        <f t="shared" si="578"/>
        <v>0</v>
      </c>
    </row>
    <row r="842" spans="1:15" s="30" customFormat="1" ht="25.5">
      <c r="A842" s="11" t="s">
        <v>108</v>
      </c>
      <c r="B842" s="25" t="s">
        <v>62</v>
      </c>
      <c r="C842" s="26" t="s">
        <v>14</v>
      </c>
      <c r="D842" s="26" t="s">
        <v>53</v>
      </c>
      <c r="E842" s="26" t="s">
        <v>398</v>
      </c>
      <c r="F842" s="26" t="s">
        <v>116</v>
      </c>
      <c r="G842" s="119">
        <f>G843</f>
        <v>1600</v>
      </c>
      <c r="H842" s="119">
        <f t="shared" ref="H842:I842" si="579">H843</f>
        <v>1590</v>
      </c>
      <c r="I842" s="119">
        <f t="shared" si="579"/>
        <v>1590</v>
      </c>
      <c r="J842" s="16">
        <f>'БА в тыс. руб.'!G842*1000</f>
        <v>1600</v>
      </c>
      <c r="K842" s="169">
        <f t="shared" si="576"/>
        <v>0</v>
      </c>
      <c r="L842" s="16">
        <f>'БА в тыс. руб.'!H842*1000</f>
        <v>1590</v>
      </c>
      <c r="M842" s="169">
        <f t="shared" si="577"/>
        <v>0</v>
      </c>
      <c r="N842" s="16">
        <f>'БА в тыс. руб.'!I842*1000</f>
        <v>1590</v>
      </c>
      <c r="O842" s="169">
        <f t="shared" si="578"/>
        <v>0</v>
      </c>
    </row>
    <row r="843" spans="1:15" s="83" customFormat="1" ht="25.5">
      <c r="A843" s="12" t="s">
        <v>973</v>
      </c>
      <c r="B843" s="25" t="s">
        <v>62</v>
      </c>
      <c r="C843" s="26" t="s">
        <v>14</v>
      </c>
      <c r="D843" s="26" t="s">
        <v>53</v>
      </c>
      <c r="E843" s="26" t="s">
        <v>398</v>
      </c>
      <c r="F843" s="26" t="s">
        <v>1043</v>
      </c>
      <c r="G843" s="27">
        <f t="shared" ref="G843" si="580">J843</f>
        <v>1600</v>
      </c>
      <c r="H843" s="27">
        <f>L843</f>
        <v>1590</v>
      </c>
      <c r="I843" s="27">
        <f>N843</f>
        <v>1590</v>
      </c>
      <c r="J843" s="16">
        <f>'БА в тыс. руб.'!G843*1000</f>
        <v>1600</v>
      </c>
      <c r="K843" s="169">
        <f t="shared" si="576"/>
        <v>0</v>
      </c>
      <c r="L843" s="16">
        <f>'БА в тыс. руб.'!H843*1000</f>
        <v>1590</v>
      </c>
      <c r="M843" s="169">
        <f t="shared" si="577"/>
        <v>0</v>
      </c>
      <c r="N843" s="16">
        <f>'БА в тыс. руб.'!I843*1000</f>
        <v>1590</v>
      </c>
      <c r="O843" s="169">
        <f t="shared" si="578"/>
        <v>0</v>
      </c>
    </row>
    <row r="844" spans="1:15" s="30" customFormat="1">
      <c r="A844" s="13" t="s">
        <v>109</v>
      </c>
      <c r="B844" s="25" t="s">
        <v>62</v>
      </c>
      <c r="C844" s="26" t="s">
        <v>14</v>
      </c>
      <c r="D844" s="26" t="s">
        <v>53</v>
      </c>
      <c r="E844" s="26" t="s">
        <v>398</v>
      </c>
      <c r="F844" s="26" t="s">
        <v>134</v>
      </c>
      <c r="G844" s="119">
        <f>G845</f>
        <v>118500</v>
      </c>
      <c r="H844" s="119">
        <f t="shared" ref="H844:I844" si="581">H845</f>
        <v>118410</v>
      </c>
      <c r="I844" s="119">
        <f t="shared" si="581"/>
        <v>118410</v>
      </c>
      <c r="J844" s="16">
        <f>'БА в тыс. руб.'!G844*1000</f>
        <v>118500</v>
      </c>
      <c r="K844" s="169">
        <f t="shared" si="576"/>
        <v>0</v>
      </c>
      <c r="L844" s="16">
        <f>'БА в тыс. руб.'!H844*1000</f>
        <v>118410</v>
      </c>
      <c r="M844" s="169">
        <f t="shared" si="577"/>
        <v>0</v>
      </c>
      <c r="N844" s="16">
        <f>'БА в тыс. руб.'!I844*1000</f>
        <v>118410</v>
      </c>
      <c r="O844" s="169">
        <f t="shared" si="578"/>
        <v>0</v>
      </c>
    </row>
    <row r="845" spans="1:15" s="83" customFormat="1" ht="25.5">
      <c r="A845" s="12" t="s">
        <v>978</v>
      </c>
      <c r="B845" s="25" t="s">
        <v>62</v>
      </c>
      <c r="C845" s="26" t="s">
        <v>14</v>
      </c>
      <c r="D845" s="26" t="s">
        <v>53</v>
      </c>
      <c r="E845" s="26" t="s">
        <v>398</v>
      </c>
      <c r="F845" s="26" t="s">
        <v>1064</v>
      </c>
      <c r="G845" s="27">
        <f t="shared" ref="G845" si="582">J845</f>
        <v>118500</v>
      </c>
      <c r="H845" s="27">
        <f>L845</f>
        <v>118410</v>
      </c>
      <c r="I845" s="27">
        <f>N845</f>
        <v>118410</v>
      </c>
      <c r="J845" s="16">
        <f>'БА в тыс. руб.'!G845*1000</f>
        <v>118500</v>
      </c>
      <c r="K845" s="169">
        <f t="shared" si="576"/>
        <v>0</v>
      </c>
      <c r="L845" s="16">
        <f>'БА в тыс. руб.'!H845*1000</f>
        <v>118410</v>
      </c>
      <c r="M845" s="169">
        <f t="shared" si="577"/>
        <v>0</v>
      </c>
      <c r="N845" s="16">
        <f>'БА в тыс. руб.'!I845*1000</f>
        <v>118410</v>
      </c>
      <c r="O845" s="169">
        <f t="shared" si="578"/>
        <v>0</v>
      </c>
    </row>
    <row r="846" spans="1:15" s="30" customFormat="1" ht="25.5">
      <c r="A846" s="32" t="s">
        <v>401</v>
      </c>
      <c r="B846" s="25" t="s">
        <v>62</v>
      </c>
      <c r="C846" s="26" t="s">
        <v>14</v>
      </c>
      <c r="D846" s="26" t="s">
        <v>53</v>
      </c>
      <c r="E846" s="26" t="s">
        <v>402</v>
      </c>
      <c r="F846" s="26" t="s">
        <v>58</v>
      </c>
      <c r="G846" s="119">
        <f>G847</f>
        <v>7891750</v>
      </c>
      <c r="H846" s="119">
        <f>H847</f>
        <v>7891750</v>
      </c>
      <c r="I846" s="119">
        <f>I847</f>
        <v>7891750</v>
      </c>
      <c r="J846" s="16">
        <f>'БА в тыс. руб.'!G846*1000</f>
        <v>7891750</v>
      </c>
      <c r="K846" s="169">
        <f t="shared" si="576"/>
        <v>0</v>
      </c>
      <c r="L846" s="16">
        <f>'БА в тыс. руб.'!H846*1000</f>
        <v>7891750</v>
      </c>
      <c r="M846" s="169">
        <f t="shared" si="577"/>
        <v>0</v>
      </c>
      <c r="N846" s="16">
        <f>'БА в тыс. руб.'!I846*1000</f>
        <v>7891750</v>
      </c>
      <c r="O846" s="169">
        <f t="shared" si="578"/>
        <v>0</v>
      </c>
    </row>
    <row r="847" spans="1:15" s="30" customFormat="1">
      <c r="A847" s="13" t="s">
        <v>109</v>
      </c>
      <c r="B847" s="25" t="s">
        <v>62</v>
      </c>
      <c r="C847" s="26" t="s">
        <v>14</v>
      </c>
      <c r="D847" s="26" t="s">
        <v>53</v>
      </c>
      <c r="E847" s="26" t="s">
        <v>402</v>
      </c>
      <c r="F847" s="26" t="s">
        <v>134</v>
      </c>
      <c r="G847" s="119">
        <f>G848</f>
        <v>7891750</v>
      </c>
      <c r="H847" s="119">
        <f t="shared" ref="H847:I847" si="583">H848</f>
        <v>7891750</v>
      </c>
      <c r="I847" s="119">
        <f t="shared" si="583"/>
        <v>7891750</v>
      </c>
      <c r="J847" s="16">
        <f>'БА в тыс. руб.'!G847*1000</f>
        <v>7891750</v>
      </c>
      <c r="K847" s="169">
        <f t="shared" si="576"/>
        <v>0</v>
      </c>
      <c r="L847" s="16">
        <f>'БА в тыс. руб.'!H847*1000</f>
        <v>7891750</v>
      </c>
      <c r="M847" s="169">
        <f t="shared" si="577"/>
        <v>0</v>
      </c>
      <c r="N847" s="16">
        <f>'БА в тыс. руб.'!I847*1000</f>
        <v>7891750</v>
      </c>
      <c r="O847" s="169">
        <f t="shared" si="578"/>
        <v>0</v>
      </c>
    </row>
    <row r="848" spans="1:15" s="83" customFormat="1" ht="25.5">
      <c r="A848" s="12" t="s">
        <v>978</v>
      </c>
      <c r="B848" s="25" t="s">
        <v>62</v>
      </c>
      <c r="C848" s="26" t="s">
        <v>14</v>
      </c>
      <c r="D848" s="26" t="s">
        <v>53</v>
      </c>
      <c r="E848" s="26" t="s">
        <v>402</v>
      </c>
      <c r="F848" s="26" t="s">
        <v>1064</v>
      </c>
      <c r="G848" s="27">
        <f t="shared" ref="G848" si="584">J848</f>
        <v>7891750</v>
      </c>
      <c r="H848" s="27">
        <f>L848</f>
        <v>7891750</v>
      </c>
      <c r="I848" s="27">
        <f>N848</f>
        <v>7891750</v>
      </c>
      <c r="J848" s="16">
        <f>'БА в тыс. руб.'!G848*1000</f>
        <v>7891750</v>
      </c>
      <c r="K848" s="169">
        <f t="shared" si="576"/>
        <v>0</v>
      </c>
      <c r="L848" s="16">
        <f>'БА в тыс. руб.'!H848*1000</f>
        <v>7891750</v>
      </c>
      <c r="M848" s="169">
        <f t="shared" si="577"/>
        <v>0</v>
      </c>
      <c r="N848" s="16">
        <f>'БА в тыс. руб.'!I848*1000</f>
        <v>7891750</v>
      </c>
      <c r="O848" s="169">
        <f t="shared" si="578"/>
        <v>0</v>
      </c>
    </row>
    <row r="849" spans="1:15" s="30" customFormat="1" ht="76.5">
      <c r="A849" s="32" t="s">
        <v>668</v>
      </c>
      <c r="B849" s="25" t="s">
        <v>62</v>
      </c>
      <c r="C849" s="26" t="s">
        <v>14</v>
      </c>
      <c r="D849" s="26" t="s">
        <v>53</v>
      </c>
      <c r="E849" s="26" t="s">
        <v>792</v>
      </c>
      <c r="F849" s="26" t="s">
        <v>58</v>
      </c>
      <c r="G849" s="119">
        <f>G850+G852</f>
        <v>346850340</v>
      </c>
      <c r="H849" s="119">
        <f t="shared" ref="H849:I849" si="585">H850+H852</f>
        <v>301865380</v>
      </c>
      <c r="I849" s="119">
        <f t="shared" si="585"/>
        <v>350298340</v>
      </c>
      <c r="J849" s="16">
        <f>'БА в тыс. руб.'!G849*1000</f>
        <v>346850340</v>
      </c>
      <c r="K849" s="169">
        <f t="shared" si="576"/>
        <v>0</v>
      </c>
      <c r="L849" s="16">
        <f>'БА в тыс. руб.'!H849*1000</f>
        <v>301865380</v>
      </c>
      <c r="M849" s="169">
        <f t="shared" si="577"/>
        <v>0</v>
      </c>
      <c r="N849" s="16">
        <f>'БА в тыс. руб.'!I849*1000</f>
        <v>350298340</v>
      </c>
      <c r="O849" s="169">
        <f t="shared" si="578"/>
        <v>0</v>
      </c>
    </row>
    <row r="850" spans="1:15" s="30" customFormat="1" ht="25.5">
      <c r="A850" s="11" t="s">
        <v>108</v>
      </c>
      <c r="B850" s="25" t="s">
        <v>62</v>
      </c>
      <c r="C850" s="26" t="s">
        <v>14</v>
      </c>
      <c r="D850" s="26" t="s">
        <v>53</v>
      </c>
      <c r="E850" s="26" t="s">
        <v>792</v>
      </c>
      <c r="F850" s="26" t="s">
        <v>116</v>
      </c>
      <c r="G850" s="119">
        <f>G851</f>
        <v>5250000</v>
      </c>
      <c r="H850" s="119">
        <f t="shared" ref="H850:I850" si="586">H851</f>
        <v>4594000</v>
      </c>
      <c r="I850" s="119">
        <f t="shared" si="586"/>
        <v>5332000</v>
      </c>
      <c r="J850" s="16">
        <f>'БА в тыс. руб.'!G850*1000</f>
        <v>5250000</v>
      </c>
      <c r="K850" s="169">
        <f t="shared" si="576"/>
        <v>0</v>
      </c>
      <c r="L850" s="16">
        <f>'БА в тыс. руб.'!H850*1000</f>
        <v>4594000</v>
      </c>
      <c r="M850" s="169">
        <f t="shared" si="577"/>
        <v>0</v>
      </c>
      <c r="N850" s="16">
        <f>'БА в тыс. руб.'!I850*1000</f>
        <v>5332000</v>
      </c>
      <c r="O850" s="169">
        <f t="shared" si="578"/>
        <v>0</v>
      </c>
    </row>
    <row r="851" spans="1:15" s="83" customFormat="1" ht="25.5">
      <c r="A851" s="12" t="s">
        <v>973</v>
      </c>
      <c r="B851" s="25" t="s">
        <v>62</v>
      </c>
      <c r="C851" s="26" t="s">
        <v>14</v>
      </c>
      <c r="D851" s="26" t="s">
        <v>53</v>
      </c>
      <c r="E851" s="26" t="s">
        <v>792</v>
      </c>
      <c r="F851" s="26" t="s">
        <v>1043</v>
      </c>
      <c r="G851" s="27">
        <f t="shared" ref="G851" si="587">J851</f>
        <v>5250000</v>
      </c>
      <c r="H851" s="27">
        <f>L851</f>
        <v>4594000</v>
      </c>
      <c r="I851" s="27">
        <f>N851</f>
        <v>5332000</v>
      </c>
      <c r="J851" s="16">
        <f>'БА в тыс. руб.'!G851*1000</f>
        <v>5250000</v>
      </c>
      <c r="K851" s="169">
        <f t="shared" si="576"/>
        <v>0</v>
      </c>
      <c r="L851" s="16">
        <f>'БА в тыс. руб.'!H851*1000</f>
        <v>4594000</v>
      </c>
      <c r="M851" s="169">
        <f t="shared" si="577"/>
        <v>0</v>
      </c>
      <c r="N851" s="16">
        <f>'БА в тыс. руб.'!I851*1000</f>
        <v>5332000</v>
      </c>
      <c r="O851" s="169">
        <f t="shared" si="578"/>
        <v>0</v>
      </c>
    </row>
    <row r="852" spans="1:15" s="30" customFormat="1">
      <c r="A852" s="13" t="s">
        <v>109</v>
      </c>
      <c r="B852" s="25" t="s">
        <v>62</v>
      </c>
      <c r="C852" s="26" t="s">
        <v>14</v>
      </c>
      <c r="D852" s="26" t="s">
        <v>53</v>
      </c>
      <c r="E852" s="26" t="s">
        <v>792</v>
      </c>
      <c r="F852" s="26" t="s">
        <v>134</v>
      </c>
      <c r="G852" s="119">
        <f>G853</f>
        <v>341600340</v>
      </c>
      <c r="H852" s="119">
        <f t="shared" ref="H852:I852" si="588">H853</f>
        <v>297271380</v>
      </c>
      <c r="I852" s="119">
        <f t="shared" si="588"/>
        <v>344966340</v>
      </c>
      <c r="J852" s="16">
        <f>'БА в тыс. руб.'!G852*1000</f>
        <v>341600340</v>
      </c>
      <c r="K852" s="169">
        <f t="shared" si="576"/>
        <v>0</v>
      </c>
      <c r="L852" s="16">
        <f>'БА в тыс. руб.'!H852*1000</f>
        <v>297271380</v>
      </c>
      <c r="M852" s="169">
        <f t="shared" si="577"/>
        <v>0</v>
      </c>
      <c r="N852" s="16">
        <f>'БА в тыс. руб.'!I852*1000</f>
        <v>344966340</v>
      </c>
      <c r="O852" s="169">
        <f t="shared" si="578"/>
        <v>0</v>
      </c>
    </row>
    <row r="853" spans="1:15" s="83" customFormat="1" ht="25.5">
      <c r="A853" s="12" t="s">
        <v>978</v>
      </c>
      <c r="B853" s="25" t="s">
        <v>62</v>
      </c>
      <c r="C853" s="26" t="s">
        <v>14</v>
      </c>
      <c r="D853" s="26" t="s">
        <v>53</v>
      </c>
      <c r="E853" s="26" t="s">
        <v>792</v>
      </c>
      <c r="F853" s="26" t="s">
        <v>1064</v>
      </c>
      <c r="G853" s="27">
        <f t="shared" ref="G853" si="589">J853</f>
        <v>341600340</v>
      </c>
      <c r="H853" s="27">
        <f>L853</f>
        <v>297271380</v>
      </c>
      <c r="I853" s="27">
        <f>N853</f>
        <v>344966340</v>
      </c>
      <c r="J853" s="16">
        <f>'БА в тыс. руб.'!G853*1000</f>
        <v>341600340</v>
      </c>
      <c r="K853" s="169">
        <f t="shared" si="576"/>
        <v>0</v>
      </c>
      <c r="L853" s="16">
        <f>'БА в тыс. руб.'!H853*1000</f>
        <v>297271380</v>
      </c>
      <c r="M853" s="169">
        <f t="shared" si="577"/>
        <v>0</v>
      </c>
      <c r="N853" s="16">
        <f>'БА в тыс. руб.'!I853*1000</f>
        <v>344966340</v>
      </c>
      <c r="O853" s="169">
        <f t="shared" si="578"/>
        <v>0</v>
      </c>
    </row>
    <row r="854" spans="1:15" s="30" customFormat="1" ht="38.25">
      <c r="A854" s="13" t="s">
        <v>399</v>
      </c>
      <c r="B854" s="25" t="s">
        <v>62</v>
      </c>
      <c r="C854" s="26" t="s">
        <v>14</v>
      </c>
      <c r="D854" s="26" t="s">
        <v>53</v>
      </c>
      <c r="E854" s="26" t="s">
        <v>793</v>
      </c>
      <c r="F854" s="26" t="s">
        <v>58</v>
      </c>
      <c r="G854" s="119">
        <f>G855+G857</f>
        <v>253068120</v>
      </c>
      <c r="H854" s="119">
        <f t="shared" ref="H854:I854" si="590">H855+H857</f>
        <v>209812870</v>
      </c>
      <c r="I854" s="119">
        <f t="shared" si="590"/>
        <v>246535940</v>
      </c>
      <c r="J854" s="16">
        <f>'БА в тыс. руб.'!G854*1000</f>
        <v>253068120</v>
      </c>
      <c r="K854" s="169">
        <f t="shared" si="576"/>
        <v>0</v>
      </c>
      <c r="L854" s="16">
        <f>'БА в тыс. руб.'!H854*1000</f>
        <v>209812870</v>
      </c>
      <c r="M854" s="169">
        <f t="shared" si="577"/>
        <v>0</v>
      </c>
      <c r="N854" s="16">
        <f>'БА в тыс. руб.'!I854*1000</f>
        <v>246535940</v>
      </c>
      <c r="O854" s="169">
        <f t="shared" si="578"/>
        <v>0</v>
      </c>
    </row>
    <row r="855" spans="1:15" s="30" customFormat="1" ht="25.5">
      <c r="A855" s="13" t="s">
        <v>108</v>
      </c>
      <c r="B855" s="25" t="s">
        <v>62</v>
      </c>
      <c r="C855" s="26" t="s">
        <v>14</v>
      </c>
      <c r="D855" s="26" t="s">
        <v>53</v>
      </c>
      <c r="E855" s="26" t="s">
        <v>793</v>
      </c>
      <c r="F855" s="26" t="s">
        <v>116</v>
      </c>
      <c r="G855" s="119">
        <f>G856</f>
        <v>3480000</v>
      </c>
      <c r="H855" s="119">
        <f t="shared" ref="H855:I855" si="591">H856</f>
        <v>2885000</v>
      </c>
      <c r="I855" s="119">
        <f t="shared" si="591"/>
        <v>3390000</v>
      </c>
      <c r="J855" s="16">
        <f>'БА в тыс. руб.'!G855*1000</f>
        <v>3480000</v>
      </c>
      <c r="K855" s="169">
        <f t="shared" si="576"/>
        <v>0</v>
      </c>
      <c r="L855" s="16">
        <f>'БА в тыс. руб.'!H855*1000</f>
        <v>2885000</v>
      </c>
      <c r="M855" s="169">
        <f t="shared" si="577"/>
        <v>0</v>
      </c>
      <c r="N855" s="16">
        <f>'БА в тыс. руб.'!I855*1000</f>
        <v>3390000</v>
      </c>
      <c r="O855" s="169">
        <f t="shared" si="578"/>
        <v>0</v>
      </c>
    </row>
    <row r="856" spans="1:15" s="83" customFormat="1" ht="25.5">
      <c r="A856" s="12" t="s">
        <v>973</v>
      </c>
      <c r="B856" s="25" t="s">
        <v>62</v>
      </c>
      <c r="C856" s="26" t="s">
        <v>14</v>
      </c>
      <c r="D856" s="26" t="s">
        <v>53</v>
      </c>
      <c r="E856" s="26" t="s">
        <v>793</v>
      </c>
      <c r="F856" s="26" t="s">
        <v>1043</v>
      </c>
      <c r="G856" s="27">
        <f t="shared" ref="G856" si="592">J856</f>
        <v>3480000</v>
      </c>
      <c r="H856" s="27">
        <f>L856</f>
        <v>2885000</v>
      </c>
      <c r="I856" s="27">
        <f>N856</f>
        <v>3390000</v>
      </c>
      <c r="J856" s="16">
        <f>'БА в тыс. руб.'!G856*1000</f>
        <v>3480000</v>
      </c>
      <c r="K856" s="169">
        <f t="shared" si="576"/>
        <v>0</v>
      </c>
      <c r="L856" s="16">
        <f>'БА в тыс. руб.'!H856*1000</f>
        <v>2885000</v>
      </c>
      <c r="M856" s="169">
        <f t="shared" si="577"/>
        <v>0</v>
      </c>
      <c r="N856" s="16">
        <f>'БА в тыс. руб.'!I856*1000</f>
        <v>3390000</v>
      </c>
      <c r="O856" s="169">
        <f t="shared" si="578"/>
        <v>0</v>
      </c>
    </row>
    <row r="857" spans="1:15" s="30" customFormat="1">
      <c r="A857" s="13" t="s">
        <v>109</v>
      </c>
      <c r="B857" s="25" t="s">
        <v>62</v>
      </c>
      <c r="C857" s="26" t="s">
        <v>14</v>
      </c>
      <c r="D857" s="26" t="s">
        <v>53</v>
      </c>
      <c r="E857" s="26" t="s">
        <v>793</v>
      </c>
      <c r="F857" s="26" t="s">
        <v>134</v>
      </c>
      <c r="G857" s="119">
        <f>G858</f>
        <v>249588120</v>
      </c>
      <c r="H857" s="119">
        <f t="shared" ref="H857:I857" si="593">H858</f>
        <v>206927870</v>
      </c>
      <c r="I857" s="119">
        <f t="shared" si="593"/>
        <v>243145940</v>
      </c>
      <c r="J857" s="16">
        <f>'БА в тыс. руб.'!G857*1000</f>
        <v>249588120</v>
      </c>
      <c r="K857" s="169">
        <f t="shared" si="576"/>
        <v>0</v>
      </c>
      <c r="L857" s="16">
        <f>'БА в тыс. руб.'!H857*1000</f>
        <v>206927870</v>
      </c>
      <c r="M857" s="169">
        <f t="shared" si="577"/>
        <v>0</v>
      </c>
      <c r="N857" s="16">
        <f>'БА в тыс. руб.'!I857*1000</f>
        <v>243145940</v>
      </c>
      <c r="O857" s="169">
        <f t="shared" si="578"/>
        <v>0</v>
      </c>
    </row>
    <row r="858" spans="1:15" s="103" customFormat="1" ht="25.5">
      <c r="A858" s="12" t="s">
        <v>978</v>
      </c>
      <c r="B858" s="25" t="s">
        <v>62</v>
      </c>
      <c r="C858" s="26" t="s">
        <v>14</v>
      </c>
      <c r="D858" s="26" t="s">
        <v>53</v>
      </c>
      <c r="E858" s="26" t="s">
        <v>793</v>
      </c>
      <c r="F858" s="26" t="s">
        <v>1064</v>
      </c>
      <c r="G858" s="27">
        <f t="shared" ref="G858" si="594">J858</f>
        <v>249588120</v>
      </c>
      <c r="H858" s="27">
        <f>L858</f>
        <v>206927870</v>
      </c>
      <c r="I858" s="27">
        <f>N858</f>
        <v>243145940</v>
      </c>
      <c r="J858" s="16">
        <f>'БА в тыс. руб.'!G858*1000</f>
        <v>249588120</v>
      </c>
      <c r="K858" s="169">
        <f t="shared" si="576"/>
        <v>0</v>
      </c>
      <c r="L858" s="16">
        <f>'БА в тыс. руб.'!H858*1000</f>
        <v>206927870</v>
      </c>
      <c r="M858" s="169">
        <f t="shared" si="577"/>
        <v>0</v>
      </c>
      <c r="N858" s="16">
        <f>'БА в тыс. руб.'!I858*1000</f>
        <v>243145940</v>
      </c>
      <c r="O858" s="169">
        <f t="shared" si="578"/>
        <v>0</v>
      </c>
    </row>
    <row r="859" spans="1:15" s="30" customFormat="1" ht="38.25">
      <c r="A859" s="32" t="s">
        <v>400</v>
      </c>
      <c r="B859" s="25" t="s">
        <v>62</v>
      </c>
      <c r="C859" s="26" t="s">
        <v>14</v>
      </c>
      <c r="D859" s="26" t="s">
        <v>53</v>
      </c>
      <c r="E859" s="26" t="s">
        <v>794</v>
      </c>
      <c r="F859" s="26" t="s">
        <v>58</v>
      </c>
      <c r="G859" s="119">
        <f>G860+G862</f>
        <v>5936840</v>
      </c>
      <c r="H859" s="119">
        <f t="shared" ref="H859:I859" si="595">H860+H862</f>
        <v>5754930</v>
      </c>
      <c r="I859" s="119">
        <f t="shared" si="595"/>
        <v>5589550</v>
      </c>
      <c r="J859" s="16">
        <f>'БА в тыс. руб.'!G859*1000</f>
        <v>5936840</v>
      </c>
      <c r="K859" s="169">
        <f t="shared" si="576"/>
        <v>0</v>
      </c>
      <c r="L859" s="16">
        <f>'БА в тыс. руб.'!H859*1000</f>
        <v>5754929.9999999991</v>
      </c>
      <c r="M859" s="169">
        <f t="shared" si="577"/>
        <v>0</v>
      </c>
      <c r="N859" s="16">
        <f>'БА в тыс. руб.'!I859*1000</f>
        <v>5589550</v>
      </c>
      <c r="O859" s="169">
        <f t="shared" si="578"/>
        <v>0</v>
      </c>
    </row>
    <row r="860" spans="1:15" s="30" customFormat="1" ht="25.5">
      <c r="A860" s="11" t="s">
        <v>108</v>
      </c>
      <c r="B860" s="25" t="s">
        <v>62</v>
      </c>
      <c r="C860" s="26" t="s">
        <v>14</v>
      </c>
      <c r="D860" s="26" t="s">
        <v>53</v>
      </c>
      <c r="E860" s="26" t="s">
        <v>794</v>
      </c>
      <c r="F860" s="26" t="s">
        <v>116</v>
      </c>
      <c r="G860" s="119">
        <f>G861</f>
        <v>92000</v>
      </c>
      <c r="H860" s="119">
        <f t="shared" ref="H860:I860" si="596">H861</f>
        <v>89200</v>
      </c>
      <c r="I860" s="119">
        <f t="shared" si="596"/>
        <v>86640</v>
      </c>
      <c r="J860" s="16">
        <f>'БА в тыс. руб.'!G860*1000</f>
        <v>92000</v>
      </c>
      <c r="K860" s="169">
        <f t="shared" si="576"/>
        <v>0</v>
      </c>
      <c r="L860" s="16">
        <f>'БА в тыс. руб.'!H860*1000</f>
        <v>89200</v>
      </c>
      <c r="M860" s="169">
        <f t="shared" si="577"/>
        <v>0</v>
      </c>
      <c r="N860" s="16">
        <f>'БА в тыс. руб.'!I860*1000</f>
        <v>86640</v>
      </c>
      <c r="O860" s="169">
        <f t="shared" si="578"/>
        <v>0</v>
      </c>
    </row>
    <row r="861" spans="1:15" s="83" customFormat="1" ht="25.5">
      <c r="A861" s="12" t="s">
        <v>973</v>
      </c>
      <c r="B861" s="25" t="s">
        <v>62</v>
      </c>
      <c r="C861" s="26" t="s">
        <v>14</v>
      </c>
      <c r="D861" s="26" t="s">
        <v>53</v>
      </c>
      <c r="E861" s="26" t="s">
        <v>794</v>
      </c>
      <c r="F861" s="26" t="s">
        <v>1043</v>
      </c>
      <c r="G861" s="27">
        <f t="shared" ref="G861" si="597">J861</f>
        <v>92000</v>
      </c>
      <c r="H861" s="27">
        <f>L861</f>
        <v>89200</v>
      </c>
      <c r="I861" s="27">
        <f>N861</f>
        <v>86640</v>
      </c>
      <c r="J861" s="16">
        <f>'БА в тыс. руб.'!G861*1000</f>
        <v>92000</v>
      </c>
      <c r="K861" s="169">
        <f t="shared" si="576"/>
        <v>0</v>
      </c>
      <c r="L861" s="16">
        <f>'БА в тыс. руб.'!H861*1000</f>
        <v>89200</v>
      </c>
      <c r="M861" s="169">
        <f t="shared" si="577"/>
        <v>0</v>
      </c>
      <c r="N861" s="16">
        <f>'БА в тыс. руб.'!I861*1000</f>
        <v>86640</v>
      </c>
      <c r="O861" s="169">
        <f t="shared" si="578"/>
        <v>0</v>
      </c>
    </row>
    <row r="862" spans="1:15" s="30" customFormat="1">
      <c r="A862" s="13" t="s">
        <v>109</v>
      </c>
      <c r="B862" s="25" t="s">
        <v>62</v>
      </c>
      <c r="C862" s="26" t="s">
        <v>14</v>
      </c>
      <c r="D862" s="26" t="s">
        <v>53</v>
      </c>
      <c r="E862" s="26" t="s">
        <v>794</v>
      </c>
      <c r="F862" s="26" t="s">
        <v>134</v>
      </c>
      <c r="G862" s="119">
        <f>G863</f>
        <v>5844840</v>
      </c>
      <c r="H862" s="119">
        <f t="shared" ref="H862:I862" si="598">H863</f>
        <v>5665730</v>
      </c>
      <c r="I862" s="119">
        <f t="shared" si="598"/>
        <v>5502910</v>
      </c>
      <c r="J862" s="16">
        <f>'БА в тыс. руб.'!G862*1000</f>
        <v>5844840</v>
      </c>
      <c r="K862" s="169">
        <f t="shared" si="576"/>
        <v>0</v>
      </c>
      <c r="L862" s="16">
        <f>'БА в тыс. руб.'!H862*1000</f>
        <v>5665730</v>
      </c>
      <c r="M862" s="169">
        <f t="shared" si="577"/>
        <v>0</v>
      </c>
      <c r="N862" s="16">
        <f>'БА в тыс. руб.'!I862*1000</f>
        <v>5502910</v>
      </c>
      <c r="O862" s="169">
        <f t="shared" si="578"/>
        <v>0</v>
      </c>
    </row>
    <row r="863" spans="1:15" s="83" customFormat="1" ht="25.5">
      <c r="A863" s="12" t="s">
        <v>978</v>
      </c>
      <c r="B863" s="25" t="s">
        <v>62</v>
      </c>
      <c r="C863" s="26" t="s">
        <v>14</v>
      </c>
      <c r="D863" s="26" t="s">
        <v>53</v>
      </c>
      <c r="E863" s="26" t="s">
        <v>794</v>
      </c>
      <c r="F863" s="26" t="s">
        <v>1064</v>
      </c>
      <c r="G863" s="27">
        <f t="shared" ref="G863" si="599">J863</f>
        <v>5844840</v>
      </c>
      <c r="H863" s="27">
        <f>L863</f>
        <v>5665730</v>
      </c>
      <c r="I863" s="27">
        <f>N863</f>
        <v>5502910</v>
      </c>
      <c r="J863" s="16">
        <f>'БА в тыс. руб.'!G863*1000</f>
        <v>5844840</v>
      </c>
      <c r="K863" s="169">
        <f t="shared" si="576"/>
        <v>0</v>
      </c>
      <c r="L863" s="16">
        <f>'БА в тыс. руб.'!H863*1000</f>
        <v>5665730</v>
      </c>
      <c r="M863" s="169">
        <f t="shared" si="577"/>
        <v>0</v>
      </c>
      <c r="N863" s="16">
        <f>'БА в тыс. руб.'!I863*1000</f>
        <v>5502910</v>
      </c>
      <c r="O863" s="169">
        <f t="shared" si="578"/>
        <v>0</v>
      </c>
    </row>
    <row r="864" spans="1:15" s="30" customFormat="1" ht="38.25">
      <c r="A864" s="32" t="s">
        <v>404</v>
      </c>
      <c r="B864" s="25" t="s">
        <v>62</v>
      </c>
      <c r="C864" s="26" t="s">
        <v>14</v>
      </c>
      <c r="D864" s="26" t="s">
        <v>53</v>
      </c>
      <c r="E864" s="26" t="s">
        <v>795</v>
      </c>
      <c r="F864" s="26" t="s">
        <v>58</v>
      </c>
      <c r="G864" s="119">
        <f>G865+G867</f>
        <v>196880</v>
      </c>
      <c r="H864" s="119">
        <f>H865+H867</f>
        <v>196880</v>
      </c>
      <c r="I864" s="119">
        <f>I865+I867</f>
        <v>196880</v>
      </c>
      <c r="J864" s="16">
        <f>'БА в тыс. руб.'!G864*1000</f>
        <v>196880</v>
      </c>
      <c r="K864" s="169">
        <f t="shared" si="576"/>
        <v>0</v>
      </c>
      <c r="L864" s="16">
        <f>'БА в тыс. руб.'!H864*1000</f>
        <v>196880</v>
      </c>
      <c r="M864" s="169">
        <f t="shared" si="577"/>
        <v>0</v>
      </c>
      <c r="N864" s="16">
        <f>'БА в тыс. руб.'!I864*1000</f>
        <v>196880</v>
      </c>
      <c r="O864" s="169">
        <f t="shared" si="578"/>
        <v>0</v>
      </c>
    </row>
    <row r="865" spans="1:15" s="30" customFormat="1" ht="25.5">
      <c r="A865" s="11" t="s">
        <v>108</v>
      </c>
      <c r="B865" s="25" t="s">
        <v>62</v>
      </c>
      <c r="C865" s="26" t="s">
        <v>14</v>
      </c>
      <c r="D865" s="26" t="s">
        <v>53</v>
      </c>
      <c r="E865" s="26" t="s">
        <v>795</v>
      </c>
      <c r="F865" s="26" t="s">
        <v>116</v>
      </c>
      <c r="G865" s="119">
        <f>G866</f>
        <v>1060</v>
      </c>
      <c r="H865" s="119">
        <f t="shared" ref="H865:I865" si="600">H866</f>
        <v>1060</v>
      </c>
      <c r="I865" s="119">
        <f t="shared" si="600"/>
        <v>1060</v>
      </c>
      <c r="J865" s="16">
        <f>'БА в тыс. руб.'!G865*1000</f>
        <v>1060</v>
      </c>
      <c r="K865" s="169">
        <f t="shared" si="576"/>
        <v>0</v>
      </c>
      <c r="L865" s="16">
        <f>'БА в тыс. руб.'!H865*1000</f>
        <v>1060</v>
      </c>
      <c r="M865" s="169">
        <f t="shared" si="577"/>
        <v>0</v>
      </c>
      <c r="N865" s="16">
        <f>'БА в тыс. руб.'!I865*1000</f>
        <v>1060</v>
      </c>
      <c r="O865" s="169">
        <f t="shared" si="578"/>
        <v>0</v>
      </c>
    </row>
    <row r="866" spans="1:15" s="83" customFormat="1" ht="25.5">
      <c r="A866" s="12" t="s">
        <v>973</v>
      </c>
      <c r="B866" s="25" t="s">
        <v>62</v>
      </c>
      <c r="C866" s="26" t="s">
        <v>14</v>
      </c>
      <c r="D866" s="26" t="s">
        <v>53</v>
      </c>
      <c r="E866" s="26" t="s">
        <v>795</v>
      </c>
      <c r="F866" s="26" t="s">
        <v>1043</v>
      </c>
      <c r="G866" s="27">
        <f t="shared" ref="G866" si="601">J866</f>
        <v>1060</v>
      </c>
      <c r="H866" s="27">
        <f>L866</f>
        <v>1060</v>
      </c>
      <c r="I866" s="27">
        <f>N866</f>
        <v>1060</v>
      </c>
      <c r="J866" s="16">
        <f>'БА в тыс. руб.'!G866*1000</f>
        <v>1060</v>
      </c>
      <c r="K866" s="169">
        <f t="shared" si="576"/>
        <v>0</v>
      </c>
      <c r="L866" s="16">
        <f>'БА в тыс. руб.'!H866*1000</f>
        <v>1060</v>
      </c>
      <c r="M866" s="169">
        <f t="shared" si="577"/>
        <v>0</v>
      </c>
      <c r="N866" s="16">
        <f>'БА в тыс. руб.'!I866*1000</f>
        <v>1060</v>
      </c>
      <c r="O866" s="169">
        <f t="shared" si="578"/>
        <v>0</v>
      </c>
    </row>
    <row r="867" spans="1:15" s="30" customFormat="1">
      <c r="A867" s="13" t="s">
        <v>109</v>
      </c>
      <c r="B867" s="25" t="s">
        <v>62</v>
      </c>
      <c r="C867" s="26" t="s">
        <v>14</v>
      </c>
      <c r="D867" s="26" t="s">
        <v>53</v>
      </c>
      <c r="E867" s="26" t="s">
        <v>795</v>
      </c>
      <c r="F867" s="26" t="s">
        <v>134</v>
      </c>
      <c r="G867" s="119">
        <f>G868</f>
        <v>195820</v>
      </c>
      <c r="H867" s="119">
        <f t="shared" ref="H867:I867" si="602">H868</f>
        <v>195820</v>
      </c>
      <c r="I867" s="119">
        <f t="shared" si="602"/>
        <v>195820</v>
      </c>
      <c r="J867" s="16">
        <f>'БА в тыс. руб.'!G867*1000</f>
        <v>195820</v>
      </c>
      <c r="K867" s="169">
        <f t="shared" si="576"/>
        <v>0</v>
      </c>
      <c r="L867" s="16">
        <f>'БА в тыс. руб.'!H867*1000</f>
        <v>195820</v>
      </c>
      <c r="M867" s="169">
        <f t="shared" si="577"/>
        <v>0</v>
      </c>
      <c r="N867" s="16">
        <f>'БА в тыс. руб.'!I867*1000</f>
        <v>195820</v>
      </c>
      <c r="O867" s="169">
        <f t="shared" si="578"/>
        <v>0</v>
      </c>
    </row>
    <row r="868" spans="1:15" s="83" customFormat="1" ht="25.5">
      <c r="A868" s="12" t="s">
        <v>978</v>
      </c>
      <c r="B868" s="25" t="s">
        <v>62</v>
      </c>
      <c r="C868" s="26" t="s">
        <v>14</v>
      </c>
      <c r="D868" s="26" t="s">
        <v>53</v>
      </c>
      <c r="E868" s="26" t="s">
        <v>795</v>
      </c>
      <c r="F868" s="26" t="s">
        <v>1064</v>
      </c>
      <c r="G868" s="27">
        <f t="shared" ref="G868" si="603">J868</f>
        <v>195820</v>
      </c>
      <c r="H868" s="27">
        <f>L868</f>
        <v>195820</v>
      </c>
      <c r="I868" s="27">
        <f>N868</f>
        <v>195820</v>
      </c>
      <c r="J868" s="16">
        <f>'БА в тыс. руб.'!G868*1000</f>
        <v>195820</v>
      </c>
      <c r="K868" s="169">
        <f t="shared" si="576"/>
        <v>0</v>
      </c>
      <c r="L868" s="16">
        <f>'БА в тыс. руб.'!H868*1000</f>
        <v>195820</v>
      </c>
      <c r="M868" s="169">
        <f t="shared" si="577"/>
        <v>0</v>
      </c>
      <c r="N868" s="16">
        <f>'БА в тыс. руб.'!I868*1000</f>
        <v>195820</v>
      </c>
      <c r="O868" s="169">
        <f t="shared" si="578"/>
        <v>0</v>
      </c>
    </row>
    <row r="869" spans="1:15" s="30" customFormat="1" ht="25.5">
      <c r="A869" s="32" t="s">
        <v>405</v>
      </c>
      <c r="B869" s="25" t="s">
        <v>62</v>
      </c>
      <c r="C869" s="26" t="s">
        <v>14</v>
      </c>
      <c r="D869" s="26" t="s">
        <v>53</v>
      </c>
      <c r="E869" s="26" t="s">
        <v>796</v>
      </c>
      <c r="F869" s="26" t="s">
        <v>58</v>
      </c>
      <c r="G869" s="119">
        <f>G870+G872</f>
        <v>556400</v>
      </c>
      <c r="H869" s="119">
        <f>H870+H872</f>
        <v>556400</v>
      </c>
      <c r="I869" s="119">
        <f>I870+I872</f>
        <v>556400</v>
      </c>
      <c r="J869" s="16">
        <f>'БА в тыс. руб.'!G869*1000</f>
        <v>556400</v>
      </c>
      <c r="K869" s="169">
        <f t="shared" si="576"/>
        <v>0</v>
      </c>
      <c r="L869" s="16">
        <f>'БА в тыс. руб.'!H869*1000</f>
        <v>556400</v>
      </c>
      <c r="M869" s="169">
        <f t="shared" si="577"/>
        <v>0</v>
      </c>
      <c r="N869" s="16">
        <f>'БА в тыс. руб.'!I869*1000</f>
        <v>556400</v>
      </c>
      <c r="O869" s="169">
        <f t="shared" si="578"/>
        <v>0</v>
      </c>
    </row>
    <row r="870" spans="1:15" s="30" customFormat="1" ht="25.5">
      <c r="A870" s="11" t="s">
        <v>108</v>
      </c>
      <c r="B870" s="25" t="s">
        <v>62</v>
      </c>
      <c r="C870" s="26" t="s">
        <v>14</v>
      </c>
      <c r="D870" s="26" t="s">
        <v>53</v>
      </c>
      <c r="E870" s="26" t="s">
        <v>796</v>
      </c>
      <c r="F870" s="26" t="s">
        <v>116</v>
      </c>
      <c r="G870" s="119">
        <f>G871</f>
        <v>7410</v>
      </c>
      <c r="H870" s="119">
        <f t="shared" ref="H870:I870" si="604">H871</f>
        <v>7410</v>
      </c>
      <c r="I870" s="119">
        <f t="shared" si="604"/>
        <v>7410</v>
      </c>
      <c r="J870" s="16">
        <f>'БА в тыс. руб.'!G870*1000</f>
        <v>7410</v>
      </c>
      <c r="K870" s="169">
        <f t="shared" si="576"/>
        <v>0</v>
      </c>
      <c r="L870" s="16">
        <f>'БА в тыс. руб.'!H870*1000</f>
        <v>7410</v>
      </c>
      <c r="M870" s="169">
        <f t="shared" si="577"/>
        <v>0</v>
      </c>
      <c r="N870" s="16">
        <f>'БА в тыс. руб.'!I870*1000</f>
        <v>7410</v>
      </c>
      <c r="O870" s="169">
        <f t="shared" si="578"/>
        <v>0</v>
      </c>
    </row>
    <row r="871" spans="1:15" s="83" customFormat="1" ht="25.5">
      <c r="A871" s="12" t="s">
        <v>973</v>
      </c>
      <c r="B871" s="25" t="s">
        <v>62</v>
      </c>
      <c r="C871" s="26" t="s">
        <v>14</v>
      </c>
      <c r="D871" s="26" t="s">
        <v>53</v>
      </c>
      <c r="E871" s="26" t="s">
        <v>796</v>
      </c>
      <c r="F871" s="26" t="s">
        <v>1043</v>
      </c>
      <c r="G871" s="27">
        <f t="shared" ref="G871" si="605">J871</f>
        <v>7410</v>
      </c>
      <c r="H871" s="27">
        <f>L871</f>
        <v>7410</v>
      </c>
      <c r="I871" s="27">
        <f>N871</f>
        <v>7410</v>
      </c>
      <c r="J871" s="16">
        <f>'БА в тыс. руб.'!G871*1000</f>
        <v>7410</v>
      </c>
      <c r="K871" s="169">
        <f t="shared" si="576"/>
        <v>0</v>
      </c>
      <c r="L871" s="16">
        <f>'БА в тыс. руб.'!H871*1000</f>
        <v>7410</v>
      </c>
      <c r="M871" s="169">
        <f t="shared" si="577"/>
        <v>0</v>
      </c>
      <c r="N871" s="16">
        <f>'БА в тыс. руб.'!I871*1000</f>
        <v>7410</v>
      </c>
      <c r="O871" s="169">
        <f t="shared" si="578"/>
        <v>0</v>
      </c>
    </row>
    <row r="872" spans="1:15" s="30" customFormat="1">
      <c r="A872" s="13" t="s">
        <v>109</v>
      </c>
      <c r="B872" s="25" t="s">
        <v>62</v>
      </c>
      <c r="C872" s="26" t="s">
        <v>14</v>
      </c>
      <c r="D872" s="26" t="s">
        <v>53</v>
      </c>
      <c r="E872" s="26" t="s">
        <v>796</v>
      </c>
      <c r="F872" s="26" t="s">
        <v>134</v>
      </c>
      <c r="G872" s="119">
        <f>G873</f>
        <v>548990</v>
      </c>
      <c r="H872" s="119">
        <f t="shared" ref="H872:I872" si="606">H873</f>
        <v>548990</v>
      </c>
      <c r="I872" s="119">
        <f t="shared" si="606"/>
        <v>548990</v>
      </c>
      <c r="J872" s="16">
        <f>'БА в тыс. руб.'!G872*1000</f>
        <v>548990</v>
      </c>
      <c r="K872" s="169">
        <f t="shared" si="576"/>
        <v>0</v>
      </c>
      <c r="L872" s="16">
        <f>'БА в тыс. руб.'!H872*1000</f>
        <v>548990</v>
      </c>
      <c r="M872" s="169">
        <f t="shared" si="577"/>
        <v>0</v>
      </c>
      <c r="N872" s="16">
        <f>'БА в тыс. руб.'!I872*1000</f>
        <v>548990</v>
      </c>
      <c r="O872" s="169">
        <f t="shared" si="578"/>
        <v>0</v>
      </c>
    </row>
    <row r="873" spans="1:15" s="83" customFormat="1" ht="25.5">
      <c r="A873" s="12" t="s">
        <v>978</v>
      </c>
      <c r="B873" s="25" t="s">
        <v>62</v>
      </c>
      <c r="C873" s="26" t="s">
        <v>14</v>
      </c>
      <c r="D873" s="26" t="s">
        <v>53</v>
      </c>
      <c r="E873" s="26" t="s">
        <v>796</v>
      </c>
      <c r="F873" s="26" t="s">
        <v>1064</v>
      </c>
      <c r="G873" s="27">
        <f t="shared" ref="G873" si="607">J873</f>
        <v>548990</v>
      </c>
      <c r="H873" s="27">
        <f>L873</f>
        <v>548990</v>
      </c>
      <c r="I873" s="27">
        <f>N873</f>
        <v>548990</v>
      </c>
      <c r="J873" s="16">
        <f>'БА в тыс. руб.'!G873*1000</f>
        <v>548990</v>
      </c>
      <c r="K873" s="169">
        <f t="shared" si="576"/>
        <v>0</v>
      </c>
      <c r="L873" s="16">
        <f>'БА в тыс. руб.'!H873*1000</f>
        <v>548990</v>
      </c>
      <c r="M873" s="169">
        <f t="shared" si="577"/>
        <v>0</v>
      </c>
      <c r="N873" s="16">
        <f>'БА в тыс. руб.'!I873*1000</f>
        <v>548990</v>
      </c>
      <c r="O873" s="169">
        <f t="shared" si="578"/>
        <v>0</v>
      </c>
    </row>
    <row r="874" spans="1:15" s="30" customFormat="1" ht="25.5">
      <c r="A874" s="32" t="s">
        <v>403</v>
      </c>
      <c r="B874" s="25" t="s">
        <v>62</v>
      </c>
      <c r="C874" s="26" t="s">
        <v>14</v>
      </c>
      <c r="D874" s="26" t="s">
        <v>53</v>
      </c>
      <c r="E874" s="26" t="s">
        <v>797</v>
      </c>
      <c r="F874" s="26" t="s">
        <v>58</v>
      </c>
      <c r="G874" s="119">
        <f>G875+G877</f>
        <v>280139800</v>
      </c>
      <c r="H874" s="119">
        <f>H875+H877</f>
        <v>232516030</v>
      </c>
      <c r="I874" s="119">
        <f>I875+I877</f>
        <v>280139800</v>
      </c>
      <c r="J874" s="16">
        <f>'БА в тыс. руб.'!G874*1000</f>
        <v>280139800</v>
      </c>
      <c r="K874" s="169">
        <f t="shared" si="576"/>
        <v>0</v>
      </c>
      <c r="L874" s="16">
        <f>'БА в тыс. руб.'!H874*1000</f>
        <v>232516030</v>
      </c>
      <c r="M874" s="169">
        <f t="shared" si="577"/>
        <v>0</v>
      </c>
      <c r="N874" s="16">
        <f>'БА в тыс. руб.'!I874*1000</f>
        <v>280139800</v>
      </c>
      <c r="O874" s="169">
        <f t="shared" si="578"/>
        <v>0</v>
      </c>
    </row>
    <row r="875" spans="1:15" s="30" customFormat="1" ht="25.5">
      <c r="A875" s="11" t="s">
        <v>108</v>
      </c>
      <c r="B875" s="25" t="s">
        <v>62</v>
      </c>
      <c r="C875" s="26" t="s">
        <v>14</v>
      </c>
      <c r="D875" s="26" t="s">
        <v>53</v>
      </c>
      <c r="E875" s="26" t="s">
        <v>797</v>
      </c>
      <c r="F875" s="26" t="s">
        <v>116</v>
      </c>
      <c r="G875" s="119">
        <f>G876</f>
        <v>3726000</v>
      </c>
      <c r="H875" s="119">
        <f t="shared" ref="H875:I875" si="608">H876</f>
        <v>3092360</v>
      </c>
      <c r="I875" s="119">
        <f t="shared" si="608"/>
        <v>3726000</v>
      </c>
      <c r="J875" s="16">
        <f>'БА в тыс. руб.'!G875*1000</f>
        <v>3726000</v>
      </c>
      <c r="K875" s="169">
        <f t="shared" si="576"/>
        <v>0</v>
      </c>
      <c r="L875" s="16">
        <f>'БА в тыс. руб.'!H875*1000</f>
        <v>3092360</v>
      </c>
      <c r="M875" s="169">
        <f t="shared" si="577"/>
        <v>0</v>
      </c>
      <c r="N875" s="16">
        <f>'БА в тыс. руб.'!I875*1000</f>
        <v>3726000</v>
      </c>
      <c r="O875" s="169">
        <f t="shared" si="578"/>
        <v>0</v>
      </c>
    </row>
    <row r="876" spans="1:15" s="83" customFormat="1" ht="25.5">
      <c r="A876" s="12" t="s">
        <v>973</v>
      </c>
      <c r="B876" s="25" t="s">
        <v>62</v>
      </c>
      <c r="C876" s="26" t="s">
        <v>14</v>
      </c>
      <c r="D876" s="26" t="s">
        <v>53</v>
      </c>
      <c r="E876" s="26" t="s">
        <v>797</v>
      </c>
      <c r="F876" s="26" t="s">
        <v>1043</v>
      </c>
      <c r="G876" s="27">
        <f t="shared" ref="G876" si="609">J876</f>
        <v>3726000</v>
      </c>
      <c r="H876" s="27">
        <f>L876</f>
        <v>3092360</v>
      </c>
      <c r="I876" s="27">
        <f>N876</f>
        <v>3726000</v>
      </c>
      <c r="J876" s="16">
        <f>'БА в тыс. руб.'!G876*1000</f>
        <v>3726000</v>
      </c>
      <c r="K876" s="169">
        <f t="shared" si="576"/>
        <v>0</v>
      </c>
      <c r="L876" s="16">
        <f>'БА в тыс. руб.'!H876*1000</f>
        <v>3092360</v>
      </c>
      <c r="M876" s="169">
        <f t="shared" si="577"/>
        <v>0</v>
      </c>
      <c r="N876" s="16">
        <f>'БА в тыс. руб.'!I876*1000</f>
        <v>3726000</v>
      </c>
      <c r="O876" s="169">
        <f t="shared" si="578"/>
        <v>0</v>
      </c>
    </row>
    <row r="877" spans="1:15" s="30" customFormat="1">
      <c r="A877" s="13" t="s">
        <v>109</v>
      </c>
      <c r="B877" s="25" t="s">
        <v>62</v>
      </c>
      <c r="C877" s="26" t="s">
        <v>14</v>
      </c>
      <c r="D877" s="26" t="s">
        <v>53</v>
      </c>
      <c r="E877" s="26" t="s">
        <v>797</v>
      </c>
      <c r="F877" s="26" t="s">
        <v>134</v>
      </c>
      <c r="G877" s="119">
        <f>G878</f>
        <v>276413800</v>
      </c>
      <c r="H877" s="119">
        <f t="shared" ref="H877:I877" si="610">H878</f>
        <v>229423670</v>
      </c>
      <c r="I877" s="119">
        <f t="shared" si="610"/>
        <v>276413800</v>
      </c>
      <c r="J877" s="16">
        <f>'БА в тыс. руб.'!G877*1000</f>
        <v>276413800</v>
      </c>
      <c r="K877" s="169">
        <f t="shared" si="576"/>
        <v>0</v>
      </c>
      <c r="L877" s="16">
        <f>'БА в тыс. руб.'!H877*1000</f>
        <v>229423670</v>
      </c>
      <c r="M877" s="169">
        <f t="shared" si="577"/>
        <v>0</v>
      </c>
      <c r="N877" s="16">
        <f>'БА в тыс. руб.'!I877*1000</f>
        <v>276413800</v>
      </c>
      <c r="O877" s="169">
        <f t="shared" si="578"/>
        <v>0</v>
      </c>
    </row>
    <row r="878" spans="1:15" s="83" customFormat="1" ht="25.5">
      <c r="A878" s="12" t="s">
        <v>978</v>
      </c>
      <c r="B878" s="25" t="s">
        <v>62</v>
      </c>
      <c r="C878" s="26" t="s">
        <v>14</v>
      </c>
      <c r="D878" s="26" t="s">
        <v>53</v>
      </c>
      <c r="E878" s="26" t="s">
        <v>797</v>
      </c>
      <c r="F878" s="26" t="s">
        <v>1064</v>
      </c>
      <c r="G878" s="27">
        <f t="shared" ref="G878" si="611">J878</f>
        <v>276413800</v>
      </c>
      <c r="H878" s="27">
        <f>L878</f>
        <v>229423670</v>
      </c>
      <c r="I878" s="27">
        <f>N878</f>
        <v>276413800</v>
      </c>
      <c r="J878" s="16">
        <f>'БА в тыс. руб.'!G878*1000</f>
        <v>276413800</v>
      </c>
      <c r="K878" s="169">
        <f t="shared" si="576"/>
        <v>0</v>
      </c>
      <c r="L878" s="16">
        <f>'БА в тыс. руб.'!H878*1000</f>
        <v>229423670</v>
      </c>
      <c r="M878" s="169">
        <f t="shared" si="577"/>
        <v>0</v>
      </c>
      <c r="N878" s="16">
        <f>'БА в тыс. руб.'!I878*1000</f>
        <v>276413800</v>
      </c>
      <c r="O878" s="169">
        <f t="shared" si="578"/>
        <v>0</v>
      </c>
    </row>
    <row r="879" spans="1:15" s="30" customFormat="1" ht="38.25">
      <c r="A879" s="32" t="s">
        <v>693</v>
      </c>
      <c r="B879" s="25" t="s">
        <v>62</v>
      </c>
      <c r="C879" s="26" t="s">
        <v>14</v>
      </c>
      <c r="D879" s="26" t="s">
        <v>53</v>
      </c>
      <c r="E879" s="26" t="s">
        <v>798</v>
      </c>
      <c r="F879" s="26" t="s">
        <v>58</v>
      </c>
      <c r="G879" s="119">
        <f>G882+G880</f>
        <v>5379230</v>
      </c>
      <c r="H879" s="119">
        <f>H882+H880</f>
        <v>5379230</v>
      </c>
      <c r="I879" s="119">
        <f>I882+I880</f>
        <v>5379230</v>
      </c>
      <c r="J879" s="16">
        <f>'БА в тыс. руб.'!G879*1000</f>
        <v>5379230</v>
      </c>
      <c r="K879" s="169">
        <f t="shared" si="576"/>
        <v>0</v>
      </c>
      <c r="L879" s="16">
        <f>'БА в тыс. руб.'!H879*1000</f>
        <v>5379230</v>
      </c>
      <c r="M879" s="169">
        <f t="shared" si="577"/>
        <v>0</v>
      </c>
      <c r="N879" s="16">
        <f>'БА в тыс. руб.'!I879*1000</f>
        <v>5379230</v>
      </c>
      <c r="O879" s="169">
        <f t="shared" si="578"/>
        <v>0</v>
      </c>
    </row>
    <row r="880" spans="1:15" s="30" customFormat="1" ht="25.5">
      <c r="A880" s="11" t="s">
        <v>108</v>
      </c>
      <c r="B880" s="25" t="s">
        <v>62</v>
      </c>
      <c r="C880" s="26" t="s">
        <v>14</v>
      </c>
      <c r="D880" s="26" t="s">
        <v>53</v>
      </c>
      <c r="E880" s="26" t="s">
        <v>798</v>
      </c>
      <c r="F880" s="26" t="s">
        <v>116</v>
      </c>
      <c r="G880" s="119">
        <f>G881</f>
        <v>61000</v>
      </c>
      <c r="H880" s="119">
        <f t="shared" ref="H880:I880" si="612">H881</f>
        <v>61000</v>
      </c>
      <c r="I880" s="119">
        <f t="shared" si="612"/>
        <v>61000</v>
      </c>
      <c r="J880" s="16">
        <f>'БА в тыс. руб.'!G880*1000</f>
        <v>61000</v>
      </c>
      <c r="K880" s="169">
        <f t="shared" si="576"/>
        <v>0</v>
      </c>
      <c r="L880" s="16">
        <f>'БА в тыс. руб.'!H880*1000</f>
        <v>61000</v>
      </c>
      <c r="M880" s="169">
        <f t="shared" si="577"/>
        <v>0</v>
      </c>
      <c r="N880" s="16">
        <f>'БА в тыс. руб.'!I880*1000</f>
        <v>61000</v>
      </c>
      <c r="O880" s="169">
        <f t="shared" si="578"/>
        <v>0</v>
      </c>
    </row>
    <row r="881" spans="1:15" s="83" customFormat="1" ht="25.5">
      <c r="A881" s="12" t="s">
        <v>973</v>
      </c>
      <c r="B881" s="25" t="s">
        <v>62</v>
      </c>
      <c r="C881" s="26" t="s">
        <v>14</v>
      </c>
      <c r="D881" s="26" t="s">
        <v>53</v>
      </c>
      <c r="E881" s="26" t="s">
        <v>798</v>
      </c>
      <c r="F881" s="26" t="s">
        <v>1043</v>
      </c>
      <c r="G881" s="27">
        <f t="shared" ref="G881" si="613">J881</f>
        <v>61000</v>
      </c>
      <c r="H881" s="27">
        <f>L881</f>
        <v>61000</v>
      </c>
      <c r="I881" s="27">
        <f>N881</f>
        <v>61000</v>
      </c>
      <c r="J881" s="16">
        <f>'БА в тыс. руб.'!G881*1000</f>
        <v>61000</v>
      </c>
      <c r="K881" s="169">
        <f t="shared" si="576"/>
        <v>0</v>
      </c>
      <c r="L881" s="16">
        <f>'БА в тыс. руб.'!H881*1000</f>
        <v>61000</v>
      </c>
      <c r="M881" s="169">
        <f t="shared" si="577"/>
        <v>0</v>
      </c>
      <c r="N881" s="16">
        <f>'БА в тыс. руб.'!I881*1000</f>
        <v>61000</v>
      </c>
      <c r="O881" s="169">
        <f t="shared" si="578"/>
        <v>0</v>
      </c>
    </row>
    <row r="882" spans="1:15" s="30" customFormat="1">
      <c r="A882" s="13" t="s">
        <v>109</v>
      </c>
      <c r="B882" s="25" t="s">
        <v>62</v>
      </c>
      <c r="C882" s="26" t="s">
        <v>14</v>
      </c>
      <c r="D882" s="26" t="s">
        <v>53</v>
      </c>
      <c r="E882" s="26" t="s">
        <v>798</v>
      </c>
      <c r="F882" s="26" t="s">
        <v>134</v>
      </c>
      <c r="G882" s="119">
        <f>G883</f>
        <v>5318230</v>
      </c>
      <c r="H882" s="119">
        <f t="shared" ref="H882:I882" si="614">H883</f>
        <v>5318230</v>
      </c>
      <c r="I882" s="119">
        <f t="shared" si="614"/>
        <v>5318230</v>
      </c>
      <c r="J882" s="16">
        <f>'БА в тыс. руб.'!G882*1000</f>
        <v>5318230</v>
      </c>
      <c r="K882" s="169">
        <f t="shared" si="576"/>
        <v>0</v>
      </c>
      <c r="L882" s="16">
        <f>'БА в тыс. руб.'!H882*1000</f>
        <v>5318230</v>
      </c>
      <c r="M882" s="169">
        <f t="shared" si="577"/>
        <v>0</v>
      </c>
      <c r="N882" s="16">
        <f>'БА в тыс. руб.'!I882*1000</f>
        <v>5318230</v>
      </c>
      <c r="O882" s="169">
        <f t="shared" si="578"/>
        <v>0</v>
      </c>
    </row>
    <row r="883" spans="1:15" s="83" customFormat="1" ht="25.5">
      <c r="A883" s="12" t="s">
        <v>978</v>
      </c>
      <c r="B883" s="25" t="s">
        <v>62</v>
      </c>
      <c r="C883" s="26" t="s">
        <v>14</v>
      </c>
      <c r="D883" s="26" t="s">
        <v>53</v>
      </c>
      <c r="E883" s="26" t="s">
        <v>798</v>
      </c>
      <c r="F883" s="26" t="s">
        <v>1064</v>
      </c>
      <c r="G883" s="27">
        <f t="shared" ref="G883" si="615">J883</f>
        <v>5318230</v>
      </c>
      <c r="H883" s="27">
        <f>L883</f>
        <v>5318230</v>
      </c>
      <c r="I883" s="27">
        <f>N883</f>
        <v>5318230</v>
      </c>
      <c r="J883" s="16">
        <f>'БА в тыс. руб.'!G883*1000</f>
        <v>5318230</v>
      </c>
      <c r="K883" s="169">
        <f t="shared" si="576"/>
        <v>0</v>
      </c>
      <c r="L883" s="16">
        <f>'БА в тыс. руб.'!H883*1000</f>
        <v>5318230</v>
      </c>
      <c r="M883" s="169">
        <f t="shared" si="577"/>
        <v>0</v>
      </c>
      <c r="N883" s="16">
        <f>'БА в тыс. руб.'!I883*1000</f>
        <v>5318230</v>
      </c>
      <c r="O883" s="169">
        <f t="shared" si="578"/>
        <v>0</v>
      </c>
    </row>
    <row r="884" spans="1:15" s="30" customFormat="1" ht="25.5">
      <c r="A884" s="152" t="s">
        <v>406</v>
      </c>
      <c r="B884" s="25" t="s">
        <v>62</v>
      </c>
      <c r="C884" s="26" t="s">
        <v>14</v>
      </c>
      <c r="D884" s="26" t="s">
        <v>53</v>
      </c>
      <c r="E884" s="26" t="s">
        <v>407</v>
      </c>
      <c r="F884" s="26" t="s">
        <v>58</v>
      </c>
      <c r="G884" s="161">
        <f>G885+G893+G901+G888+G896</f>
        <v>318230640</v>
      </c>
      <c r="H884" s="161">
        <f>H885+H893+H901+H888+H896</f>
        <v>311230880</v>
      </c>
      <c r="I884" s="161">
        <f>I885+I893+I901+I888+I896</f>
        <v>335106090</v>
      </c>
      <c r="J884" s="16">
        <f>'БА в тыс. руб.'!G884*1000</f>
        <v>318230640.00000006</v>
      </c>
      <c r="K884" s="169">
        <f t="shared" si="576"/>
        <v>0</v>
      </c>
      <c r="L884" s="16">
        <f>'БА в тыс. руб.'!H884*1000</f>
        <v>311230880</v>
      </c>
      <c r="M884" s="169">
        <f t="shared" si="577"/>
        <v>0</v>
      </c>
      <c r="N884" s="16">
        <f>'БА в тыс. руб.'!I884*1000</f>
        <v>335106089.99999994</v>
      </c>
      <c r="O884" s="169">
        <f t="shared" si="578"/>
        <v>0</v>
      </c>
    </row>
    <row r="885" spans="1:15" s="30" customFormat="1" ht="63.75">
      <c r="A885" s="32" t="s">
        <v>408</v>
      </c>
      <c r="B885" s="25" t="s">
        <v>62</v>
      </c>
      <c r="C885" s="26" t="s">
        <v>14</v>
      </c>
      <c r="D885" s="26" t="s">
        <v>53</v>
      </c>
      <c r="E885" s="26" t="s">
        <v>409</v>
      </c>
      <c r="F885" s="26" t="s">
        <v>58</v>
      </c>
      <c r="G885" s="119">
        <f>G886</f>
        <v>168353500</v>
      </c>
      <c r="H885" s="119">
        <f>H886</f>
        <v>168938600</v>
      </c>
      <c r="I885" s="119">
        <f>I886</f>
        <v>169829300</v>
      </c>
      <c r="J885" s="16">
        <f>'БА в тыс. руб.'!G885*1000</f>
        <v>168353500</v>
      </c>
      <c r="K885" s="169">
        <f t="shared" si="576"/>
        <v>0</v>
      </c>
      <c r="L885" s="16">
        <f>'БА в тыс. руб.'!H885*1000</f>
        <v>168938600</v>
      </c>
      <c r="M885" s="169">
        <f t="shared" si="577"/>
        <v>0</v>
      </c>
      <c r="N885" s="16">
        <f>'БА в тыс. руб.'!I885*1000</f>
        <v>169829300</v>
      </c>
      <c r="O885" s="169">
        <f t="shared" si="578"/>
        <v>0</v>
      </c>
    </row>
    <row r="886" spans="1:15" s="30" customFormat="1">
      <c r="A886" s="13" t="s">
        <v>109</v>
      </c>
      <c r="B886" s="25" t="s">
        <v>62</v>
      </c>
      <c r="C886" s="26" t="s">
        <v>14</v>
      </c>
      <c r="D886" s="26" t="s">
        <v>53</v>
      </c>
      <c r="E886" s="26" t="s">
        <v>409</v>
      </c>
      <c r="F886" s="26" t="s">
        <v>134</v>
      </c>
      <c r="G886" s="119">
        <f>G887</f>
        <v>168353500</v>
      </c>
      <c r="H886" s="119">
        <f t="shared" ref="H886:I886" si="616">H887</f>
        <v>168938600</v>
      </c>
      <c r="I886" s="119">
        <f t="shared" si="616"/>
        <v>169829300</v>
      </c>
      <c r="J886" s="16">
        <f>'БА в тыс. руб.'!G886*1000</f>
        <v>168353500</v>
      </c>
      <c r="K886" s="169">
        <f t="shared" si="576"/>
        <v>0</v>
      </c>
      <c r="L886" s="16">
        <f>'БА в тыс. руб.'!H886*1000</f>
        <v>168938600</v>
      </c>
      <c r="M886" s="169">
        <f t="shared" si="577"/>
        <v>0</v>
      </c>
      <c r="N886" s="16">
        <f>'БА в тыс. руб.'!I886*1000</f>
        <v>169829300</v>
      </c>
      <c r="O886" s="169">
        <f t="shared" si="578"/>
        <v>0</v>
      </c>
    </row>
    <row r="887" spans="1:15" s="83" customFormat="1" ht="25.5">
      <c r="A887" s="12" t="s">
        <v>978</v>
      </c>
      <c r="B887" s="25" t="s">
        <v>62</v>
      </c>
      <c r="C887" s="26" t="s">
        <v>14</v>
      </c>
      <c r="D887" s="26" t="s">
        <v>53</v>
      </c>
      <c r="E887" s="26" t="s">
        <v>409</v>
      </c>
      <c r="F887" s="26" t="s">
        <v>1064</v>
      </c>
      <c r="G887" s="27">
        <f t="shared" ref="G887" si="617">J887</f>
        <v>168353500</v>
      </c>
      <c r="H887" s="27">
        <f>L887</f>
        <v>168938600</v>
      </c>
      <c r="I887" s="27">
        <f>N887</f>
        <v>169829300</v>
      </c>
      <c r="J887" s="16">
        <f>'БА в тыс. руб.'!G887*1000</f>
        <v>168353500</v>
      </c>
      <c r="K887" s="169">
        <f t="shared" si="576"/>
        <v>0</v>
      </c>
      <c r="L887" s="16">
        <f>'БА в тыс. руб.'!H887*1000</f>
        <v>168938600</v>
      </c>
      <c r="M887" s="169">
        <f t="shared" si="577"/>
        <v>0</v>
      </c>
      <c r="N887" s="16">
        <f>'БА в тыс. руб.'!I887*1000</f>
        <v>169829300</v>
      </c>
      <c r="O887" s="169">
        <f t="shared" si="578"/>
        <v>0</v>
      </c>
    </row>
    <row r="888" spans="1:15" s="30" customFormat="1">
      <c r="A888" s="32" t="s">
        <v>410</v>
      </c>
      <c r="B888" s="25" t="s">
        <v>62</v>
      </c>
      <c r="C888" s="26" t="s">
        <v>14</v>
      </c>
      <c r="D888" s="26" t="s">
        <v>53</v>
      </c>
      <c r="E888" s="26" t="s">
        <v>411</v>
      </c>
      <c r="F888" s="26" t="s">
        <v>58</v>
      </c>
      <c r="G888" s="119">
        <f>G889+G891</f>
        <v>389830</v>
      </c>
      <c r="H888" s="119">
        <f>H889+H891</f>
        <v>389830</v>
      </c>
      <c r="I888" s="119">
        <f>I889+I891</f>
        <v>389830</v>
      </c>
      <c r="J888" s="16">
        <f>'БА в тыс. руб.'!G888*1000</f>
        <v>389830</v>
      </c>
      <c r="K888" s="169">
        <f t="shared" si="576"/>
        <v>0</v>
      </c>
      <c r="L888" s="16">
        <f>'БА в тыс. руб.'!H888*1000</f>
        <v>389830</v>
      </c>
      <c r="M888" s="169">
        <f t="shared" si="577"/>
        <v>0</v>
      </c>
      <c r="N888" s="16">
        <f>'БА в тыс. руб.'!I888*1000</f>
        <v>389830</v>
      </c>
      <c r="O888" s="169">
        <f t="shared" si="578"/>
        <v>0</v>
      </c>
    </row>
    <row r="889" spans="1:15" s="30" customFormat="1" ht="25.5">
      <c r="A889" s="11" t="s">
        <v>108</v>
      </c>
      <c r="B889" s="25" t="s">
        <v>62</v>
      </c>
      <c r="C889" s="26" t="s">
        <v>14</v>
      </c>
      <c r="D889" s="26" t="s">
        <v>53</v>
      </c>
      <c r="E889" s="26" t="s">
        <v>411</v>
      </c>
      <c r="F889" s="26" t="s">
        <v>116</v>
      </c>
      <c r="G889" s="119">
        <f>G890</f>
        <v>5760</v>
      </c>
      <c r="H889" s="119">
        <f t="shared" ref="H889:I889" si="618">H890</f>
        <v>5760</v>
      </c>
      <c r="I889" s="119">
        <f t="shared" si="618"/>
        <v>5760</v>
      </c>
      <c r="J889" s="16">
        <f>'БА в тыс. руб.'!G889*1000</f>
        <v>5760</v>
      </c>
      <c r="K889" s="169">
        <f t="shared" si="576"/>
        <v>0</v>
      </c>
      <c r="L889" s="16">
        <f>'БА в тыс. руб.'!H889*1000</f>
        <v>5760</v>
      </c>
      <c r="M889" s="169">
        <f t="shared" si="577"/>
        <v>0</v>
      </c>
      <c r="N889" s="16">
        <f>'БА в тыс. руб.'!I889*1000</f>
        <v>5760</v>
      </c>
      <c r="O889" s="169">
        <f t="shared" si="578"/>
        <v>0</v>
      </c>
    </row>
    <row r="890" spans="1:15" s="83" customFormat="1" ht="25.5">
      <c r="A890" s="12" t="s">
        <v>973</v>
      </c>
      <c r="B890" s="25" t="s">
        <v>62</v>
      </c>
      <c r="C890" s="26" t="s">
        <v>14</v>
      </c>
      <c r="D890" s="26" t="s">
        <v>53</v>
      </c>
      <c r="E890" s="26" t="s">
        <v>411</v>
      </c>
      <c r="F890" s="26" t="s">
        <v>1043</v>
      </c>
      <c r="G890" s="27">
        <f t="shared" ref="G890" si="619">J890</f>
        <v>5760</v>
      </c>
      <c r="H890" s="27">
        <f>L890</f>
        <v>5760</v>
      </c>
      <c r="I890" s="27">
        <f>N890</f>
        <v>5760</v>
      </c>
      <c r="J890" s="16">
        <f>'БА в тыс. руб.'!G890*1000</f>
        <v>5760</v>
      </c>
      <c r="K890" s="169">
        <f t="shared" si="576"/>
        <v>0</v>
      </c>
      <c r="L890" s="16">
        <f>'БА в тыс. руб.'!H890*1000</f>
        <v>5760</v>
      </c>
      <c r="M890" s="169">
        <f t="shared" si="577"/>
        <v>0</v>
      </c>
      <c r="N890" s="16">
        <f>'БА в тыс. руб.'!I890*1000</f>
        <v>5760</v>
      </c>
      <c r="O890" s="169">
        <f t="shared" si="578"/>
        <v>0</v>
      </c>
    </row>
    <row r="891" spans="1:15" s="30" customFormat="1">
      <c r="A891" s="13" t="s">
        <v>109</v>
      </c>
      <c r="B891" s="25" t="s">
        <v>62</v>
      </c>
      <c r="C891" s="26" t="s">
        <v>14</v>
      </c>
      <c r="D891" s="26" t="s">
        <v>53</v>
      </c>
      <c r="E891" s="26" t="s">
        <v>411</v>
      </c>
      <c r="F891" s="26" t="s">
        <v>134</v>
      </c>
      <c r="G891" s="119">
        <f>G892</f>
        <v>384070</v>
      </c>
      <c r="H891" s="119">
        <f t="shared" ref="H891:I891" si="620">H892</f>
        <v>384070</v>
      </c>
      <c r="I891" s="119">
        <f t="shared" si="620"/>
        <v>384070</v>
      </c>
      <c r="J891" s="16">
        <f>'БА в тыс. руб.'!G891*1000</f>
        <v>384070</v>
      </c>
      <c r="K891" s="169">
        <f t="shared" si="576"/>
        <v>0</v>
      </c>
      <c r="L891" s="16">
        <f>'БА в тыс. руб.'!H891*1000</f>
        <v>384070</v>
      </c>
      <c r="M891" s="169">
        <f t="shared" si="577"/>
        <v>0</v>
      </c>
      <c r="N891" s="16">
        <f>'БА в тыс. руб.'!I891*1000</f>
        <v>384070</v>
      </c>
      <c r="O891" s="169">
        <f t="shared" si="578"/>
        <v>0</v>
      </c>
    </row>
    <row r="892" spans="1:15" s="83" customFormat="1" ht="25.5">
      <c r="A892" s="12" t="s">
        <v>978</v>
      </c>
      <c r="B892" s="25" t="s">
        <v>62</v>
      </c>
      <c r="C892" s="26" t="s">
        <v>14</v>
      </c>
      <c r="D892" s="26" t="s">
        <v>53</v>
      </c>
      <c r="E892" s="26" t="s">
        <v>411</v>
      </c>
      <c r="F892" s="26" t="s">
        <v>1064</v>
      </c>
      <c r="G892" s="27">
        <f t="shared" ref="G892" si="621">J892</f>
        <v>384070</v>
      </c>
      <c r="H892" s="27">
        <f>L892</f>
        <v>384070</v>
      </c>
      <c r="I892" s="27">
        <f>N892</f>
        <v>384070</v>
      </c>
      <c r="J892" s="16">
        <f>'БА в тыс. руб.'!G892*1000</f>
        <v>384070</v>
      </c>
      <c r="K892" s="169">
        <f t="shared" si="576"/>
        <v>0</v>
      </c>
      <c r="L892" s="16">
        <f>'БА в тыс. руб.'!H892*1000</f>
        <v>384070</v>
      </c>
      <c r="M892" s="169">
        <f t="shared" si="577"/>
        <v>0</v>
      </c>
      <c r="N892" s="16">
        <f>'БА в тыс. руб.'!I892*1000</f>
        <v>384070</v>
      </c>
      <c r="O892" s="169">
        <f t="shared" si="578"/>
        <v>0</v>
      </c>
    </row>
    <row r="893" spans="1:15" s="30" customFormat="1">
      <c r="A893" s="32" t="s">
        <v>412</v>
      </c>
      <c r="B893" s="25" t="s">
        <v>62</v>
      </c>
      <c r="C893" s="26" t="s">
        <v>14</v>
      </c>
      <c r="D893" s="26" t="s">
        <v>53</v>
      </c>
      <c r="E893" s="26" t="s">
        <v>413</v>
      </c>
      <c r="F893" s="26" t="s">
        <v>58</v>
      </c>
      <c r="G893" s="119">
        <f>G894</f>
        <v>107715280</v>
      </c>
      <c r="H893" s="119">
        <f>H894</f>
        <v>93066000</v>
      </c>
      <c r="I893" s="119">
        <f>I894</f>
        <v>107715280</v>
      </c>
      <c r="J893" s="16">
        <f>'БА в тыс. руб.'!G893*1000</f>
        <v>107715280</v>
      </c>
      <c r="K893" s="169">
        <f t="shared" si="576"/>
        <v>0</v>
      </c>
      <c r="L893" s="16">
        <f>'БА в тыс. руб.'!H893*1000</f>
        <v>93066000</v>
      </c>
      <c r="M893" s="169">
        <f t="shared" si="577"/>
        <v>0</v>
      </c>
      <c r="N893" s="16">
        <f>'БА в тыс. руб.'!I893*1000</f>
        <v>107715280</v>
      </c>
      <c r="O893" s="169">
        <f t="shared" si="578"/>
        <v>0</v>
      </c>
    </row>
    <row r="894" spans="1:15" s="30" customFormat="1">
      <c r="A894" s="13" t="s">
        <v>109</v>
      </c>
      <c r="B894" s="25" t="s">
        <v>62</v>
      </c>
      <c r="C894" s="26" t="s">
        <v>14</v>
      </c>
      <c r="D894" s="26" t="s">
        <v>53</v>
      </c>
      <c r="E894" s="26" t="s">
        <v>413</v>
      </c>
      <c r="F894" s="26" t="s">
        <v>134</v>
      </c>
      <c r="G894" s="119">
        <f>G895</f>
        <v>107715280</v>
      </c>
      <c r="H894" s="119">
        <f t="shared" ref="H894:I894" si="622">H895</f>
        <v>93066000</v>
      </c>
      <c r="I894" s="119">
        <f t="shared" si="622"/>
        <v>107715280</v>
      </c>
      <c r="J894" s="16">
        <f>'БА в тыс. руб.'!G894*1000</f>
        <v>107715280</v>
      </c>
      <c r="K894" s="169">
        <f t="shared" si="576"/>
        <v>0</v>
      </c>
      <c r="L894" s="16">
        <f>'БА в тыс. руб.'!H894*1000</f>
        <v>93066000</v>
      </c>
      <c r="M894" s="169">
        <f t="shared" si="577"/>
        <v>0</v>
      </c>
      <c r="N894" s="16">
        <f>'БА в тыс. руб.'!I894*1000</f>
        <v>107715280</v>
      </c>
      <c r="O894" s="169">
        <f t="shared" si="578"/>
        <v>0</v>
      </c>
    </row>
    <row r="895" spans="1:15" s="83" customFormat="1" ht="25.5">
      <c r="A895" s="12" t="s">
        <v>978</v>
      </c>
      <c r="B895" s="25" t="s">
        <v>62</v>
      </c>
      <c r="C895" s="26" t="s">
        <v>14</v>
      </c>
      <c r="D895" s="26" t="s">
        <v>53</v>
      </c>
      <c r="E895" s="26" t="s">
        <v>413</v>
      </c>
      <c r="F895" s="26" t="s">
        <v>1064</v>
      </c>
      <c r="G895" s="27">
        <f t="shared" ref="G895" si="623">J895</f>
        <v>107715280</v>
      </c>
      <c r="H895" s="27">
        <f>L895</f>
        <v>93066000</v>
      </c>
      <c r="I895" s="27">
        <f>N895</f>
        <v>107715280</v>
      </c>
      <c r="J895" s="16">
        <f>'БА в тыс. руб.'!G895*1000</f>
        <v>107715280</v>
      </c>
      <c r="K895" s="169">
        <f t="shared" si="576"/>
        <v>0</v>
      </c>
      <c r="L895" s="16">
        <f>'БА в тыс. руб.'!H895*1000</f>
        <v>93066000</v>
      </c>
      <c r="M895" s="169">
        <f t="shared" si="577"/>
        <v>0</v>
      </c>
      <c r="N895" s="16">
        <f>'БА в тыс. руб.'!I895*1000</f>
        <v>107715280</v>
      </c>
      <c r="O895" s="169">
        <f t="shared" si="578"/>
        <v>0</v>
      </c>
    </row>
    <row r="896" spans="1:15" s="30" customFormat="1" ht="63.75">
      <c r="A896" s="126" t="s">
        <v>673</v>
      </c>
      <c r="B896" s="35" t="s">
        <v>62</v>
      </c>
      <c r="C896" s="36" t="s">
        <v>14</v>
      </c>
      <c r="D896" s="36" t="s">
        <v>53</v>
      </c>
      <c r="E896" s="36" t="s">
        <v>672</v>
      </c>
      <c r="F896" s="36" t="s">
        <v>58</v>
      </c>
      <c r="G896" s="161">
        <f>G899+G897</f>
        <v>2524000</v>
      </c>
      <c r="H896" s="161">
        <f>H899+H897</f>
        <v>2524000</v>
      </c>
      <c r="I896" s="161">
        <f>I899+I897</f>
        <v>2524000</v>
      </c>
      <c r="J896" s="16">
        <f>'БА в тыс. руб.'!G896*1000</f>
        <v>2524000</v>
      </c>
      <c r="K896" s="169">
        <f t="shared" si="576"/>
        <v>0</v>
      </c>
      <c r="L896" s="16">
        <f>'БА в тыс. руб.'!H896*1000</f>
        <v>2524000</v>
      </c>
      <c r="M896" s="169">
        <f t="shared" si="577"/>
        <v>0</v>
      </c>
      <c r="N896" s="16">
        <f>'БА в тыс. руб.'!I896*1000</f>
        <v>2524000</v>
      </c>
      <c r="O896" s="169">
        <f t="shared" si="578"/>
        <v>0</v>
      </c>
    </row>
    <row r="897" spans="1:15" s="30" customFormat="1" ht="25.5">
      <c r="A897" s="11" t="s">
        <v>108</v>
      </c>
      <c r="B897" s="35" t="s">
        <v>62</v>
      </c>
      <c r="C897" s="36" t="s">
        <v>14</v>
      </c>
      <c r="D897" s="36" t="s">
        <v>53</v>
      </c>
      <c r="E897" s="36" t="s">
        <v>672</v>
      </c>
      <c r="F897" s="36" t="s">
        <v>116</v>
      </c>
      <c r="G897" s="119">
        <f>G898</f>
        <v>25000</v>
      </c>
      <c r="H897" s="119">
        <f t="shared" ref="H897:I897" si="624">H898</f>
        <v>25000</v>
      </c>
      <c r="I897" s="119">
        <f t="shared" si="624"/>
        <v>25000</v>
      </c>
      <c r="J897" s="16">
        <f>'БА в тыс. руб.'!G897*1000</f>
        <v>25000</v>
      </c>
      <c r="K897" s="169">
        <f t="shared" si="576"/>
        <v>0</v>
      </c>
      <c r="L897" s="16">
        <f>'БА в тыс. руб.'!H897*1000</f>
        <v>25000</v>
      </c>
      <c r="M897" s="169">
        <f t="shared" si="577"/>
        <v>0</v>
      </c>
      <c r="N897" s="16">
        <f>'БА в тыс. руб.'!I897*1000</f>
        <v>25000</v>
      </c>
      <c r="O897" s="169">
        <f t="shared" si="578"/>
        <v>0</v>
      </c>
    </row>
    <row r="898" spans="1:15" s="83" customFormat="1" ht="25.5">
      <c r="A898" s="12" t="s">
        <v>973</v>
      </c>
      <c r="B898" s="35" t="s">
        <v>62</v>
      </c>
      <c r="C898" s="36" t="s">
        <v>14</v>
      </c>
      <c r="D898" s="36" t="s">
        <v>53</v>
      </c>
      <c r="E898" s="36" t="s">
        <v>672</v>
      </c>
      <c r="F898" s="36" t="s">
        <v>1043</v>
      </c>
      <c r="G898" s="27">
        <f t="shared" ref="G898" si="625">J898</f>
        <v>25000</v>
      </c>
      <c r="H898" s="27">
        <f>L898</f>
        <v>25000</v>
      </c>
      <c r="I898" s="27">
        <f>N898</f>
        <v>25000</v>
      </c>
      <c r="J898" s="16">
        <f>'БА в тыс. руб.'!G898*1000</f>
        <v>25000</v>
      </c>
      <c r="K898" s="169">
        <f t="shared" si="576"/>
        <v>0</v>
      </c>
      <c r="L898" s="16">
        <f>'БА в тыс. руб.'!H898*1000</f>
        <v>25000</v>
      </c>
      <c r="M898" s="169">
        <f t="shared" si="577"/>
        <v>0</v>
      </c>
      <c r="N898" s="16">
        <f>'БА в тыс. руб.'!I898*1000</f>
        <v>25000</v>
      </c>
      <c r="O898" s="169">
        <f t="shared" si="578"/>
        <v>0</v>
      </c>
    </row>
    <row r="899" spans="1:15" s="30" customFormat="1">
      <c r="A899" s="40" t="s">
        <v>109</v>
      </c>
      <c r="B899" s="35" t="s">
        <v>62</v>
      </c>
      <c r="C899" s="36" t="s">
        <v>14</v>
      </c>
      <c r="D899" s="36" t="s">
        <v>53</v>
      </c>
      <c r="E899" s="36" t="s">
        <v>672</v>
      </c>
      <c r="F899" s="36" t="s">
        <v>134</v>
      </c>
      <c r="G899" s="119">
        <f>G900</f>
        <v>2499000</v>
      </c>
      <c r="H899" s="119">
        <f t="shared" ref="H899:I899" si="626">H900</f>
        <v>2499000</v>
      </c>
      <c r="I899" s="119">
        <f t="shared" si="626"/>
        <v>2499000</v>
      </c>
      <c r="J899" s="16">
        <f>'БА в тыс. руб.'!G899*1000</f>
        <v>2499000</v>
      </c>
      <c r="K899" s="169">
        <f t="shared" si="576"/>
        <v>0</v>
      </c>
      <c r="L899" s="16">
        <f>'БА в тыс. руб.'!H899*1000</f>
        <v>2499000</v>
      </c>
      <c r="M899" s="169">
        <f t="shared" si="577"/>
        <v>0</v>
      </c>
      <c r="N899" s="16">
        <f>'БА в тыс. руб.'!I899*1000</f>
        <v>2499000</v>
      </c>
      <c r="O899" s="169">
        <f t="shared" si="578"/>
        <v>0</v>
      </c>
    </row>
    <row r="900" spans="1:15" s="83" customFormat="1" ht="25.5">
      <c r="A900" s="12" t="s">
        <v>978</v>
      </c>
      <c r="B900" s="35" t="s">
        <v>62</v>
      </c>
      <c r="C900" s="36" t="s">
        <v>14</v>
      </c>
      <c r="D900" s="36" t="s">
        <v>53</v>
      </c>
      <c r="E900" s="36" t="s">
        <v>672</v>
      </c>
      <c r="F900" s="36" t="s">
        <v>1064</v>
      </c>
      <c r="G900" s="27">
        <f t="shared" ref="G900" si="627">J900</f>
        <v>2499000</v>
      </c>
      <c r="H900" s="27">
        <f>L900</f>
        <v>2499000</v>
      </c>
      <c r="I900" s="27">
        <f>N900</f>
        <v>2499000</v>
      </c>
      <c r="J900" s="16">
        <f>'БА в тыс. руб.'!G900*1000</f>
        <v>2499000</v>
      </c>
      <c r="K900" s="169">
        <f t="shared" si="576"/>
        <v>0</v>
      </c>
      <c r="L900" s="16">
        <f>'БА в тыс. руб.'!H900*1000</f>
        <v>2499000</v>
      </c>
      <c r="M900" s="169">
        <f t="shared" si="577"/>
        <v>0</v>
      </c>
      <c r="N900" s="16">
        <f>'БА в тыс. руб.'!I900*1000</f>
        <v>2499000</v>
      </c>
      <c r="O900" s="169">
        <f t="shared" si="578"/>
        <v>0</v>
      </c>
    </row>
    <row r="901" spans="1:15" s="30" customFormat="1" ht="25.5">
      <c r="A901" s="126" t="s">
        <v>675</v>
      </c>
      <c r="B901" s="25" t="s">
        <v>62</v>
      </c>
      <c r="C901" s="26" t="s">
        <v>14</v>
      </c>
      <c r="D901" s="26" t="s">
        <v>53</v>
      </c>
      <c r="E901" s="26" t="s">
        <v>799</v>
      </c>
      <c r="F901" s="26" t="s">
        <v>58</v>
      </c>
      <c r="G901" s="119">
        <f>G902+G904</f>
        <v>39248030</v>
      </c>
      <c r="H901" s="119">
        <f>H902+H904</f>
        <v>46312450</v>
      </c>
      <c r="I901" s="119">
        <f>I902+I904</f>
        <v>54647680</v>
      </c>
      <c r="J901" s="16">
        <f>'БА в тыс. руб.'!G901*1000</f>
        <v>39248030</v>
      </c>
      <c r="K901" s="169">
        <f t="shared" si="576"/>
        <v>0</v>
      </c>
      <c r="L901" s="16">
        <f>'БА в тыс. руб.'!H901*1000</f>
        <v>46312450.000000007</v>
      </c>
      <c r="M901" s="169">
        <f t="shared" si="577"/>
        <v>0</v>
      </c>
      <c r="N901" s="16">
        <f>'БА в тыс. руб.'!I901*1000</f>
        <v>54647680</v>
      </c>
      <c r="O901" s="169">
        <f t="shared" si="578"/>
        <v>0</v>
      </c>
    </row>
    <row r="902" spans="1:15" s="30" customFormat="1" ht="25.5">
      <c r="A902" s="11" t="s">
        <v>108</v>
      </c>
      <c r="B902" s="25" t="s">
        <v>62</v>
      </c>
      <c r="C902" s="26" t="s">
        <v>14</v>
      </c>
      <c r="D902" s="26" t="s">
        <v>53</v>
      </c>
      <c r="E902" s="26" t="s">
        <v>799</v>
      </c>
      <c r="F902" s="26" t="s">
        <v>116</v>
      </c>
      <c r="G902" s="119">
        <f>G903</f>
        <v>484540</v>
      </c>
      <c r="H902" s="119">
        <f t="shared" ref="H902:I902" si="628">H903</f>
        <v>571760</v>
      </c>
      <c r="I902" s="119">
        <f t="shared" si="628"/>
        <v>674660</v>
      </c>
      <c r="J902" s="16">
        <f>'БА в тыс. руб.'!G902*1000</f>
        <v>484540</v>
      </c>
      <c r="K902" s="169">
        <f t="shared" si="576"/>
        <v>0</v>
      </c>
      <c r="L902" s="16">
        <f>'БА в тыс. руб.'!H902*1000</f>
        <v>571760</v>
      </c>
      <c r="M902" s="169">
        <f t="shared" si="577"/>
        <v>0</v>
      </c>
      <c r="N902" s="16">
        <f>'БА в тыс. руб.'!I902*1000</f>
        <v>674660</v>
      </c>
      <c r="O902" s="169">
        <f t="shared" si="578"/>
        <v>0</v>
      </c>
    </row>
    <row r="903" spans="1:15" s="83" customFormat="1" ht="25.5">
      <c r="A903" s="12" t="s">
        <v>973</v>
      </c>
      <c r="B903" s="25" t="s">
        <v>62</v>
      </c>
      <c r="C903" s="26" t="s">
        <v>14</v>
      </c>
      <c r="D903" s="26" t="s">
        <v>53</v>
      </c>
      <c r="E903" s="26" t="s">
        <v>799</v>
      </c>
      <c r="F903" s="26" t="s">
        <v>1043</v>
      </c>
      <c r="G903" s="27">
        <f t="shared" ref="G903" si="629">J903</f>
        <v>484540</v>
      </c>
      <c r="H903" s="27">
        <f>L903</f>
        <v>571760</v>
      </c>
      <c r="I903" s="27">
        <f>N903</f>
        <v>674660</v>
      </c>
      <c r="J903" s="16">
        <f>'БА в тыс. руб.'!G903*1000</f>
        <v>484540</v>
      </c>
      <c r="K903" s="169">
        <f t="shared" si="576"/>
        <v>0</v>
      </c>
      <c r="L903" s="16">
        <f>'БА в тыс. руб.'!H903*1000</f>
        <v>571760</v>
      </c>
      <c r="M903" s="169">
        <f t="shared" si="577"/>
        <v>0</v>
      </c>
      <c r="N903" s="16">
        <f>'БА в тыс. руб.'!I903*1000</f>
        <v>674660</v>
      </c>
      <c r="O903" s="169">
        <f t="shared" si="578"/>
        <v>0</v>
      </c>
    </row>
    <row r="904" spans="1:15" s="30" customFormat="1">
      <c r="A904" s="13" t="s">
        <v>109</v>
      </c>
      <c r="B904" s="25" t="s">
        <v>62</v>
      </c>
      <c r="C904" s="26" t="s">
        <v>14</v>
      </c>
      <c r="D904" s="26" t="s">
        <v>53</v>
      </c>
      <c r="E904" s="26" t="s">
        <v>799</v>
      </c>
      <c r="F904" s="26" t="s">
        <v>134</v>
      </c>
      <c r="G904" s="119">
        <f>G905</f>
        <v>38763490</v>
      </c>
      <c r="H904" s="119">
        <f t="shared" ref="H904:I904" si="630">H905</f>
        <v>45740690</v>
      </c>
      <c r="I904" s="119">
        <f t="shared" si="630"/>
        <v>53973020</v>
      </c>
      <c r="J904" s="16">
        <f>'БА в тыс. руб.'!G904*1000</f>
        <v>38763490</v>
      </c>
      <c r="K904" s="169">
        <f t="shared" ref="K904:K967" si="631">J904-G904</f>
        <v>0</v>
      </c>
      <c r="L904" s="16">
        <f>'БА в тыс. руб.'!H904*1000</f>
        <v>45740690</v>
      </c>
      <c r="M904" s="169">
        <f t="shared" ref="M904:M967" si="632">L904-H904</f>
        <v>0</v>
      </c>
      <c r="N904" s="16">
        <f>'БА в тыс. руб.'!I904*1000</f>
        <v>53973020</v>
      </c>
      <c r="O904" s="169">
        <f t="shared" ref="O904:O967" si="633">N904-I904</f>
        <v>0</v>
      </c>
    </row>
    <row r="905" spans="1:15" s="83" customFormat="1" ht="25.5">
      <c r="A905" s="12" t="s">
        <v>978</v>
      </c>
      <c r="B905" s="25" t="s">
        <v>62</v>
      </c>
      <c r="C905" s="26" t="s">
        <v>14</v>
      </c>
      <c r="D905" s="26" t="s">
        <v>53</v>
      </c>
      <c r="E905" s="26" t="s">
        <v>799</v>
      </c>
      <c r="F905" s="26" t="s">
        <v>1064</v>
      </c>
      <c r="G905" s="27">
        <f t="shared" ref="G905" si="634">J905</f>
        <v>38763490</v>
      </c>
      <c r="H905" s="27">
        <f>L905</f>
        <v>45740690</v>
      </c>
      <c r="I905" s="27">
        <f>N905</f>
        <v>53973020</v>
      </c>
      <c r="J905" s="16">
        <f>'БА в тыс. руб.'!G905*1000</f>
        <v>38763490</v>
      </c>
      <c r="K905" s="169">
        <f t="shared" si="631"/>
        <v>0</v>
      </c>
      <c r="L905" s="16">
        <f>'БА в тыс. руб.'!H905*1000</f>
        <v>45740690</v>
      </c>
      <c r="M905" s="169">
        <f t="shared" si="632"/>
        <v>0</v>
      </c>
      <c r="N905" s="16">
        <f>'БА в тыс. руб.'!I905*1000</f>
        <v>53973020</v>
      </c>
      <c r="O905" s="169">
        <f t="shared" si="633"/>
        <v>0</v>
      </c>
    </row>
    <row r="906" spans="1:15" s="30" customFormat="1" ht="38.25">
      <c r="A906" s="13" t="s">
        <v>842</v>
      </c>
      <c r="B906" s="25" t="s">
        <v>62</v>
      </c>
      <c r="C906" s="26" t="s">
        <v>14</v>
      </c>
      <c r="D906" s="26" t="s">
        <v>53</v>
      </c>
      <c r="E906" s="26" t="s">
        <v>414</v>
      </c>
      <c r="F906" s="26" t="s">
        <v>58</v>
      </c>
      <c r="G906" s="119">
        <f>G907+G941+G947+G951</f>
        <v>21836370</v>
      </c>
      <c r="H906" s="119">
        <f t="shared" ref="H906:I906" si="635">H907+H941+H947+H951</f>
        <v>20320410</v>
      </c>
      <c r="I906" s="119">
        <f t="shared" si="635"/>
        <v>20320410</v>
      </c>
      <c r="J906" s="16">
        <f>'БА в тыс. руб.'!G906*1000</f>
        <v>21836370</v>
      </c>
      <c r="K906" s="169">
        <f t="shared" si="631"/>
        <v>0</v>
      </c>
      <c r="L906" s="16">
        <f>'БА в тыс. руб.'!H906*1000</f>
        <v>20320409.999999996</v>
      </c>
      <c r="M906" s="169">
        <f t="shared" si="632"/>
        <v>0</v>
      </c>
      <c r="N906" s="16">
        <f>'БА в тыс. руб.'!I906*1000</f>
        <v>20320409.999999996</v>
      </c>
      <c r="O906" s="169">
        <f t="shared" si="633"/>
        <v>0</v>
      </c>
    </row>
    <row r="907" spans="1:15" s="30" customFormat="1" ht="25.5">
      <c r="A907" s="152" t="s">
        <v>636</v>
      </c>
      <c r="B907" s="25" t="s">
        <v>62</v>
      </c>
      <c r="C907" s="26" t="s">
        <v>14</v>
      </c>
      <c r="D907" s="26" t="s">
        <v>53</v>
      </c>
      <c r="E907" s="26" t="s">
        <v>415</v>
      </c>
      <c r="F907" s="26" t="s">
        <v>58</v>
      </c>
      <c r="G907" s="119">
        <f>G908+G911+G914+G917+G920+G923+G926+G929+G932+G935+G938</f>
        <v>19925740</v>
      </c>
      <c r="H907" s="119">
        <f t="shared" ref="H907:I907" si="636">H908+H911+H914+H917+H920+H923+H926+H929+H932+H935+H938</f>
        <v>18575740</v>
      </c>
      <c r="I907" s="119">
        <f t="shared" si="636"/>
        <v>18575740</v>
      </c>
      <c r="J907" s="16">
        <f>'БА в тыс. руб.'!G907*1000</f>
        <v>19925739.999999996</v>
      </c>
      <c r="K907" s="169">
        <f t="shared" si="631"/>
        <v>0</v>
      </c>
      <c r="L907" s="16">
        <f>'БА в тыс. руб.'!H907*1000</f>
        <v>18575739.999999996</v>
      </c>
      <c r="M907" s="169">
        <f t="shared" si="632"/>
        <v>0</v>
      </c>
      <c r="N907" s="16">
        <f>'БА в тыс. руб.'!I907*1000</f>
        <v>18575739.999999996</v>
      </c>
      <c r="O907" s="169">
        <f t="shared" si="633"/>
        <v>0</v>
      </c>
    </row>
    <row r="908" spans="1:15" s="30" customFormat="1" ht="38.25">
      <c r="A908" s="32" t="s">
        <v>416</v>
      </c>
      <c r="B908" s="25" t="s">
        <v>62</v>
      </c>
      <c r="C908" s="26" t="s">
        <v>14</v>
      </c>
      <c r="D908" s="26" t="s">
        <v>53</v>
      </c>
      <c r="E908" s="26" t="s">
        <v>417</v>
      </c>
      <c r="F908" s="26" t="s">
        <v>58</v>
      </c>
      <c r="G908" s="119">
        <f>G909</f>
        <v>6350000</v>
      </c>
      <c r="H908" s="119">
        <f>H909</f>
        <v>6350000</v>
      </c>
      <c r="I908" s="119">
        <f>I909</f>
        <v>6350000</v>
      </c>
      <c r="J908" s="16">
        <f>'БА в тыс. руб.'!G908*1000</f>
        <v>6350000</v>
      </c>
      <c r="K908" s="169">
        <f t="shared" si="631"/>
        <v>0</v>
      </c>
      <c r="L908" s="16">
        <f>'БА в тыс. руб.'!H908*1000</f>
        <v>6350000</v>
      </c>
      <c r="M908" s="169">
        <f t="shared" si="632"/>
        <v>0</v>
      </c>
      <c r="N908" s="16">
        <f>'БА в тыс. руб.'!I908*1000</f>
        <v>6350000</v>
      </c>
      <c r="O908" s="169">
        <f t="shared" si="633"/>
        <v>0</v>
      </c>
    </row>
    <row r="909" spans="1:15" s="30" customFormat="1">
      <c r="A909" s="13" t="s">
        <v>109</v>
      </c>
      <c r="B909" s="25" t="s">
        <v>62</v>
      </c>
      <c r="C909" s="26" t="s">
        <v>14</v>
      </c>
      <c r="D909" s="26" t="s">
        <v>53</v>
      </c>
      <c r="E909" s="26" t="s">
        <v>417</v>
      </c>
      <c r="F909" s="26" t="s">
        <v>134</v>
      </c>
      <c r="G909" s="119">
        <f>G910</f>
        <v>6350000</v>
      </c>
      <c r="H909" s="119">
        <f t="shared" ref="H909:I909" si="637">H910</f>
        <v>6350000</v>
      </c>
      <c r="I909" s="119">
        <f t="shared" si="637"/>
        <v>6350000</v>
      </c>
      <c r="J909" s="16">
        <f>'БА в тыс. руб.'!G909*1000</f>
        <v>6350000</v>
      </c>
      <c r="K909" s="169">
        <f t="shared" si="631"/>
        <v>0</v>
      </c>
      <c r="L909" s="16">
        <f>'БА в тыс. руб.'!H909*1000</f>
        <v>6350000</v>
      </c>
      <c r="M909" s="169">
        <f t="shared" si="632"/>
        <v>0</v>
      </c>
      <c r="N909" s="16">
        <f>'БА в тыс. руб.'!I909*1000</f>
        <v>6350000</v>
      </c>
      <c r="O909" s="169">
        <f t="shared" si="633"/>
        <v>0</v>
      </c>
    </row>
    <row r="910" spans="1:15" s="83" customFormat="1" ht="25.5">
      <c r="A910" s="12" t="s">
        <v>978</v>
      </c>
      <c r="B910" s="25" t="s">
        <v>62</v>
      </c>
      <c r="C910" s="26" t="s">
        <v>14</v>
      </c>
      <c r="D910" s="26" t="s">
        <v>53</v>
      </c>
      <c r="E910" s="26" t="s">
        <v>417</v>
      </c>
      <c r="F910" s="26" t="s">
        <v>1064</v>
      </c>
      <c r="G910" s="27">
        <f t="shared" ref="G910" si="638">J910</f>
        <v>6350000</v>
      </c>
      <c r="H910" s="27">
        <f>L910</f>
        <v>6350000</v>
      </c>
      <c r="I910" s="27">
        <f>N910</f>
        <v>6350000</v>
      </c>
      <c r="J910" s="16">
        <f>'БА в тыс. руб.'!G910*1000</f>
        <v>6350000</v>
      </c>
      <c r="K910" s="169">
        <f t="shared" si="631"/>
        <v>0</v>
      </c>
      <c r="L910" s="16">
        <f>'БА в тыс. руб.'!H910*1000</f>
        <v>6350000</v>
      </c>
      <c r="M910" s="169">
        <f t="shared" si="632"/>
        <v>0</v>
      </c>
      <c r="N910" s="16">
        <f>'БА в тыс. руб.'!I910*1000</f>
        <v>6350000</v>
      </c>
      <c r="O910" s="169">
        <f t="shared" si="633"/>
        <v>0</v>
      </c>
    </row>
    <row r="911" spans="1:15" s="30" customFormat="1" ht="38.25">
      <c r="A911" s="32" t="s">
        <v>418</v>
      </c>
      <c r="B911" s="25" t="s">
        <v>62</v>
      </c>
      <c r="C911" s="26" t="s">
        <v>14</v>
      </c>
      <c r="D911" s="26" t="s">
        <v>53</v>
      </c>
      <c r="E911" s="26" t="s">
        <v>419</v>
      </c>
      <c r="F911" s="26" t="s">
        <v>58</v>
      </c>
      <c r="G911" s="119">
        <f>G912</f>
        <v>694280</v>
      </c>
      <c r="H911" s="119">
        <f>H912</f>
        <v>694280</v>
      </c>
      <c r="I911" s="119">
        <f>I912</f>
        <v>694280</v>
      </c>
      <c r="J911" s="16">
        <f>'БА в тыс. руб.'!G911*1000</f>
        <v>694280</v>
      </c>
      <c r="K911" s="169">
        <f t="shared" si="631"/>
        <v>0</v>
      </c>
      <c r="L911" s="16">
        <f>'БА в тыс. руб.'!H911*1000</f>
        <v>694280</v>
      </c>
      <c r="M911" s="169">
        <f t="shared" si="632"/>
        <v>0</v>
      </c>
      <c r="N911" s="16">
        <f>'БА в тыс. руб.'!I911*1000</f>
        <v>694280</v>
      </c>
      <c r="O911" s="169">
        <f t="shared" si="633"/>
        <v>0</v>
      </c>
    </row>
    <row r="912" spans="1:15" s="30" customFormat="1">
      <c r="A912" s="13" t="s">
        <v>109</v>
      </c>
      <c r="B912" s="25" t="s">
        <v>62</v>
      </c>
      <c r="C912" s="26" t="s">
        <v>14</v>
      </c>
      <c r="D912" s="26" t="s">
        <v>53</v>
      </c>
      <c r="E912" s="26" t="s">
        <v>419</v>
      </c>
      <c r="F912" s="26" t="s">
        <v>134</v>
      </c>
      <c r="G912" s="119">
        <f>G913</f>
        <v>694280</v>
      </c>
      <c r="H912" s="119">
        <f t="shared" ref="H912:I912" si="639">H913</f>
        <v>694280</v>
      </c>
      <c r="I912" s="119">
        <f t="shared" si="639"/>
        <v>694280</v>
      </c>
      <c r="J912" s="16">
        <f>'БА в тыс. руб.'!G912*1000</f>
        <v>694280</v>
      </c>
      <c r="K912" s="169">
        <f t="shared" si="631"/>
        <v>0</v>
      </c>
      <c r="L912" s="16">
        <f>'БА в тыс. руб.'!H912*1000</f>
        <v>694280</v>
      </c>
      <c r="M912" s="169">
        <f t="shared" si="632"/>
        <v>0</v>
      </c>
      <c r="N912" s="16">
        <f>'БА в тыс. руб.'!I912*1000</f>
        <v>694280</v>
      </c>
      <c r="O912" s="169">
        <f t="shared" si="633"/>
        <v>0</v>
      </c>
    </row>
    <row r="913" spans="1:15" s="83" customFormat="1" ht="25.5">
      <c r="A913" s="12" t="s">
        <v>978</v>
      </c>
      <c r="B913" s="25" t="s">
        <v>62</v>
      </c>
      <c r="C913" s="26" t="s">
        <v>14</v>
      </c>
      <c r="D913" s="26" t="s">
        <v>53</v>
      </c>
      <c r="E913" s="26" t="s">
        <v>419</v>
      </c>
      <c r="F913" s="26" t="s">
        <v>1064</v>
      </c>
      <c r="G913" s="27">
        <f t="shared" ref="G913" si="640">J913</f>
        <v>694280</v>
      </c>
      <c r="H913" s="27">
        <f>L913</f>
        <v>694280</v>
      </c>
      <c r="I913" s="27">
        <f>N913</f>
        <v>694280</v>
      </c>
      <c r="J913" s="16">
        <f>'БА в тыс. руб.'!G913*1000</f>
        <v>694280</v>
      </c>
      <c r="K913" s="169">
        <f t="shared" si="631"/>
        <v>0</v>
      </c>
      <c r="L913" s="16">
        <f>'БА в тыс. руб.'!H913*1000</f>
        <v>694280</v>
      </c>
      <c r="M913" s="169">
        <f t="shared" si="632"/>
        <v>0</v>
      </c>
      <c r="N913" s="16">
        <f>'БА в тыс. руб.'!I913*1000</f>
        <v>694280</v>
      </c>
      <c r="O913" s="169">
        <f t="shared" si="633"/>
        <v>0</v>
      </c>
    </row>
    <row r="914" spans="1:15" s="30" customFormat="1" ht="25.5">
      <c r="A914" s="32" t="s">
        <v>420</v>
      </c>
      <c r="B914" s="25" t="s">
        <v>62</v>
      </c>
      <c r="C914" s="26" t="s">
        <v>14</v>
      </c>
      <c r="D914" s="26" t="s">
        <v>53</v>
      </c>
      <c r="E914" s="26" t="s">
        <v>421</v>
      </c>
      <c r="F914" s="26" t="s">
        <v>58</v>
      </c>
      <c r="G914" s="119">
        <f>G915</f>
        <v>5718000</v>
      </c>
      <c r="H914" s="119">
        <f>H915</f>
        <v>5718000</v>
      </c>
      <c r="I914" s="119">
        <f>I915</f>
        <v>5718000</v>
      </c>
      <c r="J914" s="16">
        <f>'БА в тыс. руб.'!G914*1000</f>
        <v>5718000</v>
      </c>
      <c r="K914" s="169">
        <f t="shared" si="631"/>
        <v>0</v>
      </c>
      <c r="L914" s="16">
        <f>'БА в тыс. руб.'!H914*1000</f>
        <v>5718000</v>
      </c>
      <c r="M914" s="169">
        <f t="shared" si="632"/>
        <v>0</v>
      </c>
      <c r="N914" s="16">
        <f>'БА в тыс. руб.'!I914*1000</f>
        <v>5718000</v>
      </c>
      <c r="O914" s="169">
        <f t="shared" si="633"/>
        <v>0</v>
      </c>
    </row>
    <row r="915" spans="1:15" s="30" customFormat="1">
      <c r="A915" s="13" t="s">
        <v>109</v>
      </c>
      <c r="B915" s="25" t="s">
        <v>62</v>
      </c>
      <c r="C915" s="26" t="s">
        <v>14</v>
      </c>
      <c r="D915" s="26" t="s">
        <v>53</v>
      </c>
      <c r="E915" s="26" t="s">
        <v>421</v>
      </c>
      <c r="F915" s="26" t="s">
        <v>134</v>
      </c>
      <c r="G915" s="119">
        <f>G916</f>
        <v>5718000</v>
      </c>
      <c r="H915" s="119">
        <f t="shared" ref="H915:I915" si="641">H916</f>
        <v>5718000</v>
      </c>
      <c r="I915" s="119">
        <f t="shared" si="641"/>
        <v>5718000</v>
      </c>
      <c r="J915" s="16">
        <f>'БА в тыс. руб.'!G915*1000</f>
        <v>5718000</v>
      </c>
      <c r="K915" s="169">
        <f t="shared" si="631"/>
        <v>0</v>
      </c>
      <c r="L915" s="16">
        <f>'БА в тыс. руб.'!H915*1000</f>
        <v>5718000</v>
      </c>
      <c r="M915" s="169">
        <f t="shared" si="632"/>
        <v>0</v>
      </c>
      <c r="N915" s="16">
        <f>'БА в тыс. руб.'!I915*1000</f>
        <v>5718000</v>
      </c>
      <c r="O915" s="169">
        <f t="shared" si="633"/>
        <v>0</v>
      </c>
    </row>
    <row r="916" spans="1:15" s="83" customFormat="1" ht="25.5">
      <c r="A916" s="12" t="s">
        <v>978</v>
      </c>
      <c r="B916" s="25" t="s">
        <v>62</v>
      </c>
      <c r="C916" s="26" t="s">
        <v>14</v>
      </c>
      <c r="D916" s="26" t="s">
        <v>53</v>
      </c>
      <c r="E916" s="26" t="s">
        <v>421</v>
      </c>
      <c r="F916" s="26" t="s">
        <v>1064</v>
      </c>
      <c r="G916" s="27">
        <f t="shared" ref="G916" si="642">J916</f>
        <v>5718000</v>
      </c>
      <c r="H916" s="27">
        <f>L916</f>
        <v>5718000</v>
      </c>
      <c r="I916" s="27">
        <f>N916</f>
        <v>5718000</v>
      </c>
      <c r="J916" s="16">
        <f>'БА в тыс. руб.'!G916*1000</f>
        <v>5718000</v>
      </c>
      <c r="K916" s="169">
        <f t="shared" si="631"/>
        <v>0</v>
      </c>
      <c r="L916" s="16">
        <f>'БА в тыс. руб.'!H916*1000</f>
        <v>5718000</v>
      </c>
      <c r="M916" s="169">
        <f t="shared" si="632"/>
        <v>0</v>
      </c>
      <c r="N916" s="16">
        <f>'БА в тыс. руб.'!I916*1000</f>
        <v>5718000</v>
      </c>
      <c r="O916" s="169">
        <f t="shared" si="633"/>
        <v>0</v>
      </c>
    </row>
    <row r="917" spans="1:15" s="30" customFormat="1" ht="25.5">
      <c r="A917" s="32" t="s">
        <v>422</v>
      </c>
      <c r="B917" s="25" t="s">
        <v>62</v>
      </c>
      <c r="C917" s="26" t="s">
        <v>14</v>
      </c>
      <c r="D917" s="26" t="s">
        <v>53</v>
      </c>
      <c r="E917" s="26" t="s">
        <v>423</v>
      </c>
      <c r="F917" s="26" t="s">
        <v>58</v>
      </c>
      <c r="G917" s="119">
        <f>G918</f>
        <v>1080000</v>
      </c>
      <c r="H917" s="119">
        <f>H918</f>
        <v>1080000</v>
      </c>
      <c r="I917" s="119">
        <f>I918</f>
        <v>1080000</v>
      </c>
      <c r="J917" s="16">
        <f>'БА в тыс. руб.'!G917*1000</f>
        <v>1080000</v>
      </c>
      <c r="K917" s="169">
        <f t="shared" si="631"/>
        <v>0</v>
      </c>
      <c r="L917" s="16">
        <f>'БА в тыс. руб.'!H917*1000</f>
        <v>1080000</v>
      </c>
      <c r="M917" s="169">
        <f t="shared" si="632"/>
        <v>0</v>
      </c>
      <c r="N917" s="16">
        <f>'БА в тыс. руб.'!I917*1000</f>
        <v>1080000</v>
      </c>
      <c r="O917" s="169">
        <f t="shared" si="633"/>
        <v>0</v>
      </c>
    </row>
    <row r="918" spans="1:15" s="30" customFormat="1">
      <c r="A918" s="13" t="s">
        <v>109</v>
      </c>
      <c r="B918" s="25" t="s">
        <v>62</v>
      </c>
      <c r="C918" s="26" t="s">
        <v>14</v>
      </c>
      <c r="D918" s="26" t="s">
        <v>53</v>
      </c>
      <c r="E918" s="26" t="s">
        <v>423</v>
      </c>
      <c r="F918" s="26" t="s">
        <v>134</v>
      </c>
      <c r="G918" s="119">
        <f>G919</f>
        <v>1080000</v>
      </c>
      <c r="H918" s="119">
        <f t="shared" ref="H918:I918" si="643">H919</f>
        <v>1080000</v>
      </c>
      <c r="I918" s="119">
        <f t="shared" si="643"/>
        <v>1080000</v>
      </c>
      <c r="J918" s="16">
        <f>'БА в тыс. руб.'!G918*1000</f>
        <v>1080000</v>
      </c>
      <c r="K918" s="169">
        <f t="shared" si="631"/>
        <v>0</v>
      </c>
      <c r="L918" s="16">
        <f>'БА в тыс. руб.'!H918*1000</f>
        <v>1080000</v>
      </c>
      <c r="M918" s="169">
        <f t="shared" si="632"/>
        <v>0</v>
      </c>
      <c r="N918" s="16">
        <f>'БА в тыс. руб.'!I918*1000</f>
        <v>1080000</v>
      </c>
      <c r="O918" s="169">
        <f t="shared" si="633"/>
        <v>0</v>
      </c>
    </row>
    <row r="919" spans="1:15" s="83" customFormat="1" ht="25.5">
      <c r="A919" s="12" t="s">
        <v>978</v>
      </c>
      <c r="B919" s="25" t="s">
        <v>62</v>
      </c>
      <c r="C919" s="26" t="s">
        <v>14</v>
      </c>
      <c r="D919" s="26" t="s">
        <v>53</v>
      </c>
      <c r="E919" s="26" t="s">
        <v>423</v>
      </c>
      <c r="F919" s="26" t="s">
        <v>1064</v>
      </c>
      <c r="G919" s="27">
        <f t="shared" ref="G919" si="644">J919</f>
        <v>1080000</v>
      </c>
      <c r="H919" s="27">
        <f>L919</f>
        <v>1080000</v>
      </c>
      <c r="I919" s="27">
        <f>N919</f>
        <v>1080000</v>
      </c>
      <c r="J919" s="16">
        <f>'БА в тыс. руб.'!G919*1000</f>
        <v>1080000</v>
      </c>
      <c r="K919" s="169">
        <f t="shared" si="631"/>
        <v>0</v>
      </c>
      <c r="L919" s="16">
        <f>'БА в тыс. руб.'!H919*1000</f>
        <v>1080000</v>
      </c>
      <c r="M919" s="169">
        <f t="shared" si="632"/>
        <v>0</v>
      </c>
      <c r="N919" s="16">
        <f>'БА в тыс. руб.'!I919*1000</f>
        <v>1080000</v>
      </c>
      <c r="O919" s="169">
        <f t="shared" si="633"/>
        <v>0</v>
      </c>
    </row>
    <row r="920" spans="1:15" s="30" customFormat="1" ht="102">
      <c r="A920" s="32" t="s">
        <v>424</v>
      </c>
      <c r="B920" s="25" t="s">
        <v>62</v>
      </c>
      <c r="C920" s="26" t="s">
        <v>14</v>
      </c>
      <c r="D920" s="26" t="s">
        <v>53</v>
      </c>
      <c r="E920" s="26" t="s">
        <v>425</v>
      </c>
      <c r="F920" s="26" t="s">
        <v>58</v>
      </c>
      <c r="G920" s="119">
        <f>G921</f>
        <v>1025460</v>
      </c>
      <c r="H920" s="119">
        <f>H921</f>
        <v>1025460</v>
      </c>
      <c r="I920" s="119">
        <f>I921</f>
        <v>1025460</v>
      </c>
      <c r="J920" s="16">
        <f>'БА в тыс. руб.'!G920*1000</f>
        <v>1025460</v>
      </c>
      <c r="K920" s="169">
        <f t="shared" si="631"/>
        <v>0</v>
      </c>
      <c r="L920" s="16">
        <f>'БА в тыс. руб.'!H920*1000</f>
        <v>1025460</v>
      </c>
      <c r="M920" s="169">
        <f t="shared" si="632"/>
        <v>0</v>
      </c>
      <c r="N920" s="16">
        <f>'БА в тыс. руб.'!I920*1000</f>
        <v>1025460</v>
      </c>
      <c r="O920" s="169">
        <f t="shared" si="633"/>
        <v>0</v>
      </c>
    </row>
    <row r="921" spans="1:15" s="30" customFormat="1">
      <c r="A921" s="13" t="s">
        <v>109</v>
      </c>
      <c r="B921" s="25" t="s">
        <v>62</v>
      </c>
      <c r="C921" s="26" t="s">
        <v>14</v>
      </c>
      <c r="D921" s="26" t="s">
        <v>53</v>
      </c>
      <c r="E921" s="26" t="s">
        <v>425</v>
      </c>
      <c r="F921" s="26" t="s">
        <v>134</v>
      </c>
      <c r="G921" s="119">
        <f>G922</f>
        <v>1025460</v>
      </c>
      <c r="H921" s="119">
        <f t="shared" ref="H921:I921" si="645">H922</f>
        <v>1025460</v>
      </c>
      <c r="I921" s="119">
        <f t="shared" si="645"/>
        <v>1025460</v>
      </c>
      <c r="J921" s="16">
        <f>'БА в тыс. руб.'!G921*1000</f>
        <v>1025460</v>
      </c>
      <c r="K921" s="169">
        <f t="shared" si="631"/>
        <v>0</v>
      </c>
      <c r="L921" s="16">
        <f>'БА в тыс. руб.'!H921*1000</f>
        <v>1025460</v>
      </c>
      <c r="M921" s="169">
        <f t="shared" si="632"/>
        <v>0</v>
      </c>
      <c r="N921" s="16">
        <f>'БА в тыс. руб.'!I921*1000</f>
        <v>1025460</v>
      </c>
      <c r="O921" s="169">
        <f t="shared" si="633"/>
        <v>0</v>
      </c>
    </row>
    <row r="922" spans="1:15" s="103" customFormat="1" ht="25.5">
      <c r="A922" s="12" t="s">
        <v>978</v>
      </c>
      <c r="B922" s="25" t="s">
        <v>62</v>
      </c>
      <c r="C922" s="26" t="s">
        <v>14</v>
      </c>
      <c r="D922" s="26" t="s">
        <v>53</v>
      </c>
      <c r="E922" s="26" t="s">
        <v>425</v>
      </c>
      <c r="F922" s="26" t="s">
        <v>1064</v>
      </c>
      <c r="G922" s="27">
        <f t="shared" ref="G922" si="646">J922</f>
        <v>1025460</v>
      </c>
      <c r="H922" s="27">
        <f>L922</f>
        <v>1025460</v>
      </c>
      <c r="I922" s="27">
        <f>N922</f>
        <v>1025460</v>
      </c>
      <c r="J922" s="16">
        <f>'БА в тыс. руб.'!G922*1000</f>
        <v>1025460</v>
      </c>
      <c r="K922" s="169">
        <f t="shared" si="631"/>
        <v>0</v>
      </c>
      <c r="L922" s="16">
        <f>'БА в тыс. руб.'!H922*1000</f>
        <v>1025460</v>
      </c>
      <c r="M922" s="169">
        <f t="shared" si="632"/>
        <v>0</v>
      </c>
      <c r="N922" s="16">
        <f>'БА в тыс. руб.'!I922*1000</f>
        <v>1025460</v>
      </c>
      <c r="O922" s="169">
        <f t="shared" si="633"/>
        <v>0</v>
      </c>
    </row>
    <row r="923" spans="1:15" s="30" customFormat="1" ht="25.5">
      <c r="A923" s="32" t="s">
        <v>426</v>
      </c>
      <c r="B923" s="25" t="s">
        <v>62</v>
      </c>
      <c r="C923" s="26" t="s">
        <v>14</v>
      </c>
      <c r="D923" s="26" t="s">
        <v>53</v>
      </c>
      <c r="E923" s="26" t="s">
        <v>427</v>
      </c>
      <c r="F923" s="26" t="s">
        <v>58</v>
      </c>
      <c r="G923" s="119">
        <f>G924</f>
        <v>714000</v>
      </c>
      <c r="H923" s="119">
        <f>H924</f>
        <v>714000</v>
      </c>
      <c r="I923" s="119">
        <f>I924</f>
        <v>714000</v>
      </c>
      <c r="J923" s="16">
        <f>'БА в тыс. руб.'!G923*1000</f>
        <v>714000</v>
      </c>
      <c r="K923" s="169">
        <f t="shared" si="631"/>
        <v>0</v>
      </c>
      <c r="L923" s="16">
        <f>'БА в тыс. руб.'!H923*1000</f>
        <v>714000</v>
      </c>
      <c r="M923" s="169">
        <f t="shared" si="632"/>
        <v>0</v>
      </c>
      <c r="N923" s="16">
        <f>'БА в тыс. руб.'!I923*1000</f>
        <v>714000</v>
      </c>
      <c r="O923" s="169">
        <f t="shared" si="633"/>
        <v>0</v>
      </c>
    </row>
    <row r="924" spans="1:15" s="30" customFormat="1">
      <c r="A924" s="13" t="s">
        <v>109</v>
      </c>
      <c r="B924" s="25" t="s">
        <v>62</v>
      </c>
      <c r="C924" s="26" t="s">
        <v>14</v>
      </c>
      <c r="D924" s="26" t="s">
        <v>53</v>
      </c>
      <c r="E924" s="26" t="s">
        <v>427</v>
      </c>
      <c r="F924" s="26" t="s">
        <v>134</v>
      </c>
      <c r="G924" s="119">
        <f>G925</f>
        <v>714000</v>
      </c>
      <c r="H924" s="119">
        <f t="shared" ref="H924:I924" si="647">H925</f>
        <v>714000</v>
      </c>
      <c r="I924" s="119">
        <f t="shared" si="647"/>
        <v>714000</v>
      </c>
      <c r="J924" s="16">
        <f>'БА в тыс. руб.'!G924*1000</f>
        <v>714000</v>
      </c>
      <c r="K924" s="169">
        <f t="shared" si="631"/>
        <v>0</v>
      </c>
      <c r="L924" s="16">
        <f>'БА в тыс. руб.'!H924*1000</f>
        <v>714000</v>
      </c>
      <c r="M924" s="169">
        <f t="shared" si="632"/>
        <v>0</v>
      </c>
      <c r="N924" s="16">
        <f>'БА в тыс. руб.'!I924*1000</f>
        <v>714000</v>
      </c>
      <c r="O924" s="169">
        <f t="shared" si="633"/>
        <v>0</v>
      </c>
    </row>
    <row r="925" spans="1:15" s="83" customFormat="1" ht="25.5">
      <c r="A925" s="12" t="s">
        <v>978</v>
      </c>
      <c r="B925" s="25" t="s">
        <v>62</v>
      </c>
      <c r="C925" s="26" t="s">
        <v>14</v>
      </c>
      <c r="D925" s="26" t="s">
        <v>53</v>
      </c>
      <c r="E925" s="26" t="s">
        <v>427</v>
      </c>
      <c r="F925" s="26" t="s">
        <v>1064</v>
      </c>
      <c r="G925" s="27">
        <f t="shared" ref="G925" si="648">J925</f>
        <v>714000</v>
      </c>
      <c r="H925" s="27">
        <f>L925</f>
        <v>714000</v>
      </c>
      <c r="I925" s="27">
        <f>N925</f>
        <v>714000</v>
      </c>
      <c r="J925" s="16">
        <f>'БА в тыс. руб.'!G925*1000</f>
        <v>714000</v>
      </c>
      <c r="K925" s="169">
        <f t="shared" si="631"/>
        <v>0</v>
      </c>
      <c r="L925" s="16">
        <f>'БА в тыс. руб.'!H925*1000</f>
        <v>714000</v>
      </c>
      <c r="M925" s="169">
        <f t="shared" si="632"/>
        <v>0</v>
      </c>
      <c r="N925" s="16">
        <f>'БА в тыс. руб.'!I925*1000</f>
        <v>714000</v>
      </c>
      <c r="O925" s="169">
        <f t="shared" si="633"/>
        <v>0</v>
      </c>
    </row>
    <row r="926" spans="1:15" s="30" customFormat="1" ht="51">
      <c r="A926" s="32" t="s">
        <v>428</v>
      </c>
      <c r="B926" s="25" t="s">
        <v>62</v>
      </c>
      <c r="C926" s="26" t="s">
        <v>14</v>
      </c>
      <c r="D926" s="26" t="s">
        <v>53</v>
      </c>
      <c r="E926" s="26" t="s">
        <v>429</v>
      </c>
      <c r="F926" s="26" t="s">
        <v>58</v>
      </c>
      <c r="G926" s="119">
        <f>G927</f>
        <v>1350000</v>
      </c>
      <c r="H926" s="119">
        <f>H927</f>
        <v>0</v>
      </c>
      <c r="I926" s="119">
        <f>I927</f>
        <v>0</v>
      </c>
      <c r="J926" s="16">
        <f>'БА в тыс. руб.'!G926*1000</f>
        <v>1350000</v>
      </c>
      <c r="K926" s="169">
        <f t="shared" si="631"/>
        <v>0</v>
      </c>
      <c r="L926" s="16">
        <f>'БА в тыс. руб.'!H926*1000</f>
        <v>0</v>
      </c>
      <c r="M926" s="169">
        <f t="shared" si="632"/>
        <v>0</v>
      </c>
      <c r="N926" s="16">
        <f>'БА в тыс. руб.'!I926*1000</f>
        <v>0</v>
      </c>
      <c r="O926" s="169">
        <f t="shared" si="633"/>
        <v>0</v>
      </c>
    </row>
    <row r="927" spans="1:15" s="30" customFormat="1">
      <c r="A927" s="13" t="s">
        <v>109</v>
      </c>
      <c r="B927" s="25" t="s">
        <v>62</v>
      </c>
      <c r="C927" s="26" t="s">
        <v>14</v>
      </c>
      <c r="D927" s="26" t="s">
        <v>53</v>
      </c>
      <c r="E927" s="26" t="s">
        <v>429</v>
      </c>
      <c r="F927" s="26" t="s">
        <v>134</v>
      </c>
      <c r="G927" s="119">
        <f>G928</f>
        <v>1350000</v>
      </c>
      <c r="H927" s="119">
        <f t="shared" ref="H927:I927" si="649">H928</f>
        <v>0</v>
      </c>
      <c r="I927" s="119">
        <f t="shared" si="649"/>
        <v>0</v>
      </c>
      <c r="J927" s="16">
        <f>'БА в тыс. руб.'!G927*1000</f>
        <v>1350000</v>
      </c>
      <c r="K927" s="169">
        <f t="shared" si="631"/>
        <v>0</v>
      </c>
      <c r="L927" s="16">
        <f>'БА в тыс. руб.'!H927*1000</f>
        <v>0</v>
      </c>
      <c r="M927" s="169">
        <f t="shared" si="632"/>
        <v>0</v>
      </c>
      <c r="N927" s="16">
        <f>'БА в тыс. руб.'!I927*1000</f>
        <v>0</v>
      </c>
      <c r="O927" s="169">
        <f t="shared" si="633"/>
        <v>0</v>
      </c>
    </row>
    <row r="928" spans="1:15" s="83" customFormat="1" ht="25.5">
      <c r="A928" s="12" t="s">
        <v>978</v>
      </c>
      <c r="B928" s="25" t="s">
        <v>62</v>
      </c>
      <c r="C928" s="26" t="s">
        <v>14</v>
      </c>
      <c r="D928" s="26" t="s">
        <v>53</v>
      </c>
      <c r="E928" s="26" t="s">
        <v>429</v>
      </c>
      <c r="F928" s="26" t="s">
        <v>1064</v>
      </c>
      <c r="G928" s="27">
        <f t="shared" ref="G928" si="650">J928</f>
        <v>1350000</v>
      </c>
      <c r="H928" s="27">
        <f>L928</f>
        <v>0</v>
      </c>
      <c r="I928" s="27">
        <f>N928</f>
        <v>0</v>
      </c>
      <c r="J928" s="16">
        <f>'БА в тыс. руб.'!G928*1000</f>
        <v>1350000</v>
      </c>
      <c r="K928" s="169">
        <f t="shared" si="631"/>
        <v>0</v>
      </c>
      <c r="L928" s="16">
        <f>'БА в тыс. руб.'!H928*1000</f>
        <v>0</v>
      </c>
      <c r="M928" s="169">
        <f t="shared" si="632"/>
        <v>0</v>
      </c>
      <c r="N928" s="16">
        <f>'БА в тыс. руб.'!I928*1000</f>
        <v>0</v>
      </c>
      <c r="O928" s="169">
        <f t="shared" si="633"/>
        <v>0</v>
      </c>
    </row>
    <row r="929" spans="1:15" s="30" customFormat="1" ht="25.5">
      <c r="A929" s="32" t="s">
        <v>430</v>
      </c>
      <c r="B929" s="25" t="s">
        <v>62</v>
      </c>
      <c r="C929" s="26" t="s">
        <v>14</v>
      </c>
      <c r="D929" s="26" t="s">
        <v>53</v>
      </c>
      <c r="E929" s="26" t="s">
        <v>431</v>
      </c>
      <c r="F929" s="26" t="s">
        <v>58</v>
      </c>
      <c r="G929" s="119">
        <f>G930</f>
        <v>1000000</v>
      </c>
      <c r="H929" s="119">
        <f>H930</f>
        <v>1000000</v>
      </c>
      <c r="I929" s="119">
        <f>I930</f>
        <v>1000000</v>
      </c>
      <c r="J929" s="16">
        <f>'БА в тыс. руб.'!G929*1000</f>
        <v>1000000</v>
      </c>
      <c r="K929" s="169">
        <f t="shared" si="631"/>
        <v>0</v>
      </c>
      <c r="L929" s="16">
        <f>'БА в тыс. руб.'!H929*1000</f>
        <v>1000000</v>
      </c>
      <c r="M929" s="169">
        <f t="shared" si="632"/>
        <v>0</v>
      </c>
      <c r="N929" s="16">
        <f>'БА в тыс. руб.'!I929*1000</f>
        <v>1000000</v>
      </c>
      <c r="O929" s="169">
        <f t="shared" si="633"/>
        <v>0</v>
      </c>
    </row>
    <row r="930" spans="1:15" s="30" customFormat="1">
      <c r="A930" s="13" t="s">
        <v>109</v>
      </c>
      <c r="B930" s="25" t="s">
        <v>62</v>
      </c>
      <c r="C930" s="26" t="s">
        <v>14</v>
      </c>
      <c r="D930" s="26" t="s">
        <v>53</v>
      </c>
      <c r="E930" s="26" t="s">
        <v>431</v>
      </c>
      <c r="F930" s="26" t="s">
        <v>134</v>
      </c>
      <c r="G930" s="119">
        <f>G931</f>
        <v>1000000</v>
      </c>
      <c r="H930" s="119">
        <f t="shared" ref="H930:I930" si="651">H931</f>
        <v>1000000</v>
      </c>
      <c r="I930" s="119">
        <f t="shared" si="651"/>
        <v>1000000</v>
      </c>
      <c r="J930" s="16">
        <f>'БА в тыс. руб.'!G930*1000</f>
        <v>1000000</v>
      </c>
      <c r="K930" s="169">
        <f t="shared" si="631"/>
        <v>0</v>
      </c>
      <c r="L930" s="16">
        <f>'БА в тыс. руб.'!H930*1000</f>
        <v>1000000</v>
      </c>
      <c r="M930" s="169">
        <f t="shared" si="632"/>
        <v>0</v>
      </c>
      <c r="N930" s="16">
        <f>'БА в тыс. руб.'!I930*1000</f>
        <v>1000000</v>
      </c>
      <c r="O930" s="169">
        <f t="shared" si="633"/>
        <v>0</v>
      </c>
    </row>
    <row r="931" spans="1:15" s="83" customFormat="1" ht="25.5">
      <c r="A931" s="12" t="s">
        <v>978</v>
      </c>
      <c r="B931" s="25" t="s">
        <v>62</v>
      </c>
      <c r="C931" s="26" t="s">
        <v>14</v>
      </c>
      <c r="D931" s="26" t="s">
        <v>53</v>
      </c>
      <c r="E931" s="26" t="s">
        <v>431</v>
      </c>
      <c r="F931" s="26" t="s">
        <v>1064</v>
      </c>
      <c r="G931" s="27">
        <f t="shared" ref="G931" si="652">J931</f>
        <v>1000000</v>
      </c>
      <c r="H931" s="27">
        <f>L931</f>
        <v>1000000</v>
      </c>
      <c r="I931" s="27">
        <f>N931</f>
        <v>1000000</v>
      </c>
      <c r="J931" s="16">
        <f>'БА в тыс. руб.'!G931*1000</f>
        <v>1000000</v>
      </c>
      <c r="K931" s="169">
        <f t="shared" si="631"/>
        <v>0</v>
      </c>
      <c r="L931" s="16">
        <f>'БА в тыс. руб.'!H931*1000</f>
        <v>1000000</v>
      </c>
      <c r="M931" s="169">
        <f t="shared" si="632"/>
        <v>0</v>
      </c>
      <c r="N931" s="16">
        <f>'БА в тыс. руб.'!I931*1000</f>
        <v>1000000</v>
      </c>
      <c r="O931" s="169">
        <f t="shared" si="633"/>
        <v>0</v>
      </c>
    </row>
    <row r="932" spans="1:15" s="33" customFormat="1" ht="25.5">
      <c r="A932" s="32" t="s">
        <v>432</v>
      </c>
      <c r="B932" s="25" t="s">
        <v>62</v>
      </c>
      <c r="C932" s="26" t="s">
        <v>14</v>
      </c>
      <c r="D932" s="26" t="s">
        <v>53</v>
      </c>
      <c r="E932" s="26" t="s">
        <v>433</v>
      </c>
      <c r="F932" s="26" t="s">
        <v>58</v>
      </c>
      <c r="G932" s="119">
        <f>G933</f>
        <v>1854000</v>
      </c>
      <c r="H932" s="119">
        <f>H933</f>
        <v>1854000</v>
      </c>
      <c r="I932" s="119">
        <f>I933</f>
        <v>1854000</v>
      </c>
      <c r="J932" s="16">
        <f>'БА в тыс. руб.'!G932*1000</f>
        <v>1854000</v>
      </c>
      <c r="K932" s="169">
        <f t="shared" si="631"/>
        <v>0</v>
      </c>
      <c r="L932" s="16">
        <f>'БА в тыс. руб.'!H932*1000</f>
        <v>1854000</v>
      </c>
      <c r="M932" s="169">
        <f t="shared" si="632"/>
        <v>0</v>
      </c>
      <c r="N932" s="16">
        <f>'БА в тыс. руб.'!I932*1000</f>
        <v>1854000</v>
      </c>
      <c r="O932" s="169">
        <f t="shared" si="633"/>
        <v>0</v>
      </c>
    </row>
    <row r="933" spans="1:15" s="33" customFormat="1">
      <c r="A933" s="13" t="s">
        <v>109</v>
      </c>
      <c r="B933" s="25" t="s">
        <v>62</v>
      </c>
      <c r="C933" s="26" t="s">
        <v>14</v>
      </c>
      <c r="D933" s="26" t="s">
        <v>53</v>
      </c>
      <c r="E933" s="26" t="s">
        <v>433</v>
      </c>
      <c r="F933" s="26" t="s">
        <v>134</v>
      </c>
      <c r="G933" s="119">
        <f>G934</f>
        <v>1854000</v>
      </c>
      <c r="H933" s="119">
        <f t="shared" ref="H933:I933" si="653">H934</f>
        <v>1854000</v>
      </c>
      <c r="I933" s="119">
        <f t="shared" si="653"/>
        <v>1854000</v>
      </c>
      <c r="J933" s="16">
        <f>'БА в тыс. руб.'!G933*1000</f>
        <v>1854000</v>
      </c>
      <c r="K933" s="169">
        <f t="shared" si="631"/>
        <v>0</v>
      </c>
      <c r="L933" s="16">
        <f>'БА в тыс. руб.'!H933*1000</f>
        <v>1854000</v>
      </c>
      <c r="M933" s="169">
        <f t="shared" si="632"/>
        <v>0</v>
      </c>
      <c r="N933" s="16">
        <f>'БА в тыс. руб.'!I933*1000</f>
        <v>1854000</v>
      </c>
      <c r="O933" s="169">
        <f t="shared" si="633"/>
        <v>0</v>
      </c>
    </row>
    <row r="934" spans="1:15" s="125" customFormat="1" ht="25.5">
      <c r="A934" s="12" t="s">
        <v>978</v>
      </c>
      <c r="B934" s="25" t="s">
        <v>62</v>
      </c>
      <c r="C934" s="26" t="s">
        <v>14</v>
      </c>
      <c r="D934" s="26" t="s">
        <v>53</v>
      </c>
      <c r="E934" s="26" t="s">
        <v>433</v>
      </c>
      <c r="F934" s="26" t="s">
        <v>1064</v>
      </c>
      <c r="G934" s="27">
        <f t="shared" ref="G934" si="654">J934</f>
        <v>1854000</v>
      </c>
      <c r="H934" s="27">
        <f>L934</f>
        <v>1854000</v>
      </c>
      <c r="I934" s="27">
        <f>N934</f>
        <v>1854000</v>
      </c>
      <c r="J934" s="16">
        <f>'БА в тыс. руб.'!G934*1000</f>
        <v>1854000</v>
      </c>
      <c r="K934" s="169">
        <f t="shared" si="631"/>
        <v>0</v>
      </c>
      <c r="L934" s="16">
        <f>'БА в тыс. руб.'!H934*1000</f>
        <v>1854000</v>
      </c>
      <c r="M934" s="169">
        <f t="shared" si="632"/>
        <v>0</v>
      </c>
      <c r="N934" s="16">
        <f>'БА в тыс. руб.'!I934*1000</f>
        <v>1854000</v>
      </c>
      <c r="O934" s="169">
        <f t="shared" si="633"/>
        <v>0</v>
      </c>
    </row>
    <row r="935" spans="1:15" s="33" customFormat="1" ht="25.5">
      <c r="A935" s="32" t="s">
        <v>434</v>
      </c>
      <c r="B935" s="25" t="s">
        <v>62</v>
      </c>
      <c r="C935" s="26" t="s">
        <v>14</v>
      </c>
      <c r="D935" s="26" t="s">
        <v>53</v>
      </c>
      <c r="E935" s="26" t="s">
        <v>435</v>
      </c>
      <c r="F935" s="26" t="s">
        <v>58</v>
      </c>
      <c r="G935" s="119">
        <f>G936</f>
        <v>40000</v>
      </c>
      <c r="H935" s="119">
        <f>H936</f>
        <v>40000</v>
      </c>
      <c r="I935" s="119">
        <f>I936</f>
        <v>40000</v>
      </c>
      <c r="J935" s="16">
        <f>'БА в тыс. руб.'!G935*1000</f>
        <v>40000</v>
      </c>
      <c r="K935" s="169">
        <f t="shared" si="631"/>
        <v>0</v>
      </c>
      <c r="L935" s="16">
        <f>'БА в тыс. руб.'!H935*1000</f>
        <v>40000</v>
      </c>
      <c r="M935" s="169">
        <f t="shared" si="632"/>
        <v>0</v>
      </c>
      <c r="N935" s="16">
        <f>'БА в тыс. руб.'!I935*1000</f>
        <v>40000</v>
      </c>
      <c r="O935" s="169">
        <f t="shared" si="633"/>
        <v>0</v>
      </c>
    </row>
    <row r="936" spans="1:15" s="33" customFormat="1">
      <c r="A936" s="13" t="s">
        <v>109</v>
      </c>
      <c r="B936" s="25" t="s">
        <v>62</v>
      </c>
      <c r="C936" s="26" t="s">
        <v>14</v>
      </c>
      <c r="D936" s="26" t="s">
        <v>53</v>
      </c>
      <c r="E936" s="26" t="s">
        <v>435</v>
      </c>
      <c r="F936" s="26" t="s">
        <v>134</v>
      </c>
      <c r="G936" s="119">
        <f>G937</f>
        <v>40000</v>
      </c>
      <c r="H936" s="119">
        <f t="shared" ref="H936:I936" si="655">H937</f>
        <v>40000</v>
      </c>
      <c r="I936" s="119">
        <f t="shared" si="655"/>
        <v>40000</v>
      </c>
      <c r="J936" s="16">
        <f>'БА в тыс. руб.'!G936*1000</f>
        <v>40000</v>
      </c>
      <c r="K936" s="169">
        <f t="shared" si="631"/>
        <v>0</v>
      </c>
      <c r="L936" s="16">
        <f>'БА в тыс. руб.'!H936*1000</f>
        <v>40000</v>
      </c>
      <c r="M936" s="169">
        <f t="shared" si="632"/>
        <v>0</v>
      </c>
      <c r="N936" s="16">
        <f>'БА в тыс. руб.'!I936*1000</f>
        <v>40000</v>
      </c>
      <c r="O936" s="169">
        <f t="shared" si="633"/>
        <v>0</v>
      </c>
    </row>
    <row r="937" spans="1:15" s="125" customFormat="1" ht="25.5">
      <c r="A937" s="12" t="s">
        <v>978</v>
      </c>
      <c r="B937" s="25" t="s">
        <v>62</v>
      </c>
      <c r="C937" s="26" t="s">
        <v>14</v>
      </c>
      <c r="D937" s="26" t="s">
        <v>53</v>
      </c>
      <c r="E937" s="26" t="s">
        <v>435</v>
      </c>
      <c r="F937" s="26" t="s">
        <v>1064</v>
      </c>
      <c r="G937" s="27">
        <f t="shared" ref="G937" si="656">J937</f>
        <v>40000</v>
      </c>
      <c r="H937" s="27">
        <f>L937</f>
        <v>40000</v>
      </c>
      <c r="I937" s="27">
        <f>N937</f>
        <v>40000</v>
      </c>
      <c r="J937" s="16">
        <f>'БА в тыс. руб.'!G937*1000</f>
        <v>40000</v>
      </c>
      <c r="K937" s="169">
        <f t="shared" si="631"/>
        <v>0</v>
      </c>
      <c r="L937" s="16">
        <f>'БА в тыс. руб.'!H937*1000</f>
        <v>40000</v>
      </c>
      <c r="M937" s="169">
        <f t="shared" si="632"/>
        <v>0</v>
      </c>
      <c r="N937" s="16">
        <f>'БА в тыс. руб.'!I937*1000</f>
        <v>40000</v>
      </c>
      <c r="O937" s="169">
        <f t="shared" si="633"/>
        <v>0</v>
      </c>
    </row>
    <row r="938" spans="1:15" s="33" customFormat="1" ht="38.25">
      <c r="A938" s="32" t="s">
        <v>804</v>
      </c>
      <c r="B938" s="25" t="s">
        <v>62</v>
      </c>
      <c r="C938" s="26" t="s">
        <v>14</v>
      </c>
      <c r="D938" s="26" t="s">
        <v>53</v>
      </c>
      <c r="E938" s="26" t="s">
        <v>436</v>
      </c>
      <c r="F938" s="26" t="s">
        <v>58</v>
      </c>
      <c r="G938" s="121">
        <f>G939</f>
        <v>100000</v>
      </c>
      <c r="H938" s="121">
        <f>H939</f>
        <v>100000</v>
      </c>
      <c r="I938" s="121">
        <f>I939</f>
        <v>100000</v>
      </c>
      <c r="J938" s="16">
        <f>'БА в тыс. руб.'!G938*1000</f>
        <v>100000</v>
      </c>
      <c r="K938" s="169">
        <f t="shared" si="631"/>
        <v>0</v>
      </c>
      <c r="L938" s="16">
        <f>'БА в тыс. руб.'!H938*1000</f>
        <v>100000</v>
      </c>
      <c r="M938" s="169">
        <f t="shared" si="632"/>
        <v>0</v>
      </c>
      <c r="N938" s="16">
        <f>'БА в тыс. руб.'!I938*1000</f>
        <v>100000</v>
      </c>
      <c r="O938" s="169">
        <f t="shared" si="633"/>
        <v>0</v>
      </c>
    </row>
    <row r="939" spans="1:15" s="33" customFormat="1">
      <c r="A939" s="13" t="s">
        <v>109</v>
      </c>
      <c r="B939" s="25" t="s">
        <v>62</v>
      </c>
      <c r="C939" s="26" t="s">
        <v>14</v>
      </c>
      <c r="D939" s="26" t="s">
        <v>53</v>
      </c>
      <c r="E939" s="26" t="s">
        <v>436</v>
      </c>
      <c r="F939" s="26" t="s">
        <v>134</v>
      </c>
      <c r="G939" s="119">
        <f>G940</f>
        <v>100000</v>
      </c>
      <c r="H939" s="119">
        <f t="shared" ref="H939:I939" si="657">H940</f>
        <v>100000</v>
      </c>
      <c r="I939" s="119">
        <f t="shared" si="657"/>
        <v>100000</v>
      </c>
      <c r="J939" s="16">
        <f>'БА в тыс. руб.'!G939*1000</f>
        <v>100000</v>
      </c>
      <c r="K939" s="169">
        <f t="shared" si="631"/>
        <v>0</v>
      </c>
      <c r="L939" s="16">
        <f>'БА в тыс. руб.'!H939*1000</f>
        <v>100000</v>
      </c>
      <c r="M939" s="169">
        <f t="shared" si="632"/>
        <v>0</v>
      </c>
      <c r="N939" s="16">
        <f>'БА в тыс. руб.'!I939*1000</f>
        <v>100000</v>
      </c>
      <c r="O939" s="169">
        <f t="shared" si="633"/>
        <v>0</v>
      </c>
    </row>
    <row r="940" spans="1:15" s="125" customFormat="1" ht="25.5">
      <c r="A940" s="12" t="s">
        <v>978</v>
      </c>
      <c r="B940" s="25" t="s">
        <v>62</v>
      </c>
      <c r="C940" s="26" t="s">
        <v>14</v>
      </c>
      <c r="D940" s="26" t="s">
        <v>53</v>
      </c>
      <c r="E940" s="26" t="s">
        <v>436</v>
      </c>
      <c r="F940" s="26" t="s">
        <v>1064</v>
      </c>
      <c r="G940" s="27">
        <f t="shared" ref="G940" si="658">J940</f>
        <v>100000</v>
      </c>
      <c r="H940" s="27">
        <f>L940</f>
        <v>100000</v>
      </c>
      <c r="I940" s="27">
        <f>N940</f>
        <v>100000</v>
      </c>
      <c r="J940" s="16">
        <f>'БА в тыс. руб.'!G940*1000</f>
        <v>100000</v>
      </c>
      <c r="K940" s="169">
        <f t="shared" si="631"/>
        <v>0</v>
      </c>
      <c r="L940" s="16">
        <f>'БА в тыс. руб.'!H940*1000</f>
        <v>100000</v>
      </c>
      <c r="M940" s="169">
        <f t="shared" si="632"/>
        <v>0</v>
      </c>
      <c r="N940" s="16">
        <f>'БА в тыс. руб.'!I940*1000</f>
        <v>100000</v>
      </c>
      <c r="O940" s="169">
        <f t="shared" si="633"/>
        <v>0</v>
      </c>
    </row>
    <row r="941" spans="1:15" s="33" customFormat="1" ht="25.5">
      <c r="A941" s="32" t="s">
        <v>800</v>
      </c>
      <c r="B941" s="25" t="s">
        <v>62</v>
      </c>
      <c r="C941" s="26" t="s">
        <v>14</v>
      </c>
      <c r="D941" s="26" t="s">
        <v>53</v>
      </c>
      <c r="E941" s="26" t="s">
        <v>801</v>
      </c>
      <c r="F941" s="26" t="s">
        <v>58</v>
      </c>
      <c r="G941" s="121">
        <f>G942</f>
        <v>1287750</v>
      </c>
      <c r="H941" s="121">
        <f t="shared" ref="H941:I941" si="659">H942</f>
        <v>1158980</v>
      </c>
      <c r="I941" s="121">
        <f t="shared" si="659"/>
        <v>1158980</v>
      </c>
      <c r="J941" s="16">
        <f>'БА в тыс. руб.'!G941*1000</f>
        <v>1287750</v>
      </c>
      <c r="K941" s="169">
        <f t="shared" si="631"/>
        <v>0</v>
      </c>
      <c r="L941" s="16">
        <f>'БА в тыс. руб.'!H941*1000</f>
        <v>1158980</v>
      </c>
      <c r="M941" s="169">
        <f t="shared" si="632"/>
        <v>0</v>
      </c>
      <c r="N941" s="16">
        <f>'БА в тыс. руб.'!I941*1000</f>
        <v>1158980</v>
      </c>
      <c r="O941" s="169">
        <f t="shared" si="633"/>
        <v>0</v>
      </c>
    </row>
    <row r="942" spans="1:15" s="33" customFormat="1" ht="25.5">
      <c r="A942" s="31" t="s">
        <v>192</v>
      </c>
      <c r="B942" s="25" t="s">
        <v>62</v>
      </c>
      <c r="C942" s="26" t="s">
        <v>14</v>
      </c>
      <c r="D942" s="26" t="s">
        <v>53</v>
      </c>
      <c r="E942" s="26" t="s">
        <v>802</v>
      </c>
      <c r="F942" s="26" t="s">
        <v>58</v>
      </c>
      <c r="G942" s="121">
        <f>G943+G945</f>
        <v>1287750</v>
      </c>
      <c r="H942" s="121">
        <f t="shared" ref="H942:I942" si="660">H943+H945</f>
        <v>1158980</v>
      </c>
      <c r="I942" s="121">
        <f t="shared" si="660"/>
        <v>1158980</v>
      </c>
      <c r="J942" s="16">
        <f>'БА в тыс. руб.'!G942*1000</f>
        <v>1287750</v>
      </c>
      <c r="K942" s="169">
        <f t="shared" si="631"/>
        <v>0</v>
      </c>
      <c r="L942" s="16">
        <f>'БА в тыс. руб.'!H942*1000</f>
        <v>1158980</v>
      </c>
      <c r="M942" s="169">
        <f t="shared" si="632"/>
        <v>0</v>
      </c>
      <c r="N942" s="16">
        <f>'БА в тыс. руб.'!I942*1000</f>
        <v>1158980</v>
      </c>
      <c r="O942" s="169">
        <f t="shared" si="633"/>
        <v>0</v>
      </c>
    </row>
    <row r="943" spans="1:15" s="33" customFormat="1" ht="25.5">
      <c r="A943" s="11" t="s">
        <v>108</v>
      </c>
      <c r="B943" s="25" t="s">
        <v>62</v>
      </c>
      <c r="C943" s="26" t="s">
        <v>14</v>
      </c>
      <c r="D943" s="26" t="s">
        <v>53</v>
      </c>
      <c r="E943" s="26" t="s">
        <v>802</v>
      </c>
      <c r="F943" s="26" t="s">
        <v>116</v>
      </c>
      <c r="G943" s="119">
        <f>G944</f>
        <v>1209000</v>
      </c>
      <c r="H943" s="119">
        <f t="shared" ref="H943:I943" si="661">H944</f>
        <v>1077980</v>
      </c>
      <c r="I943" s="119">
        <f t="shared" si="661"/>
        <v>1077980</v>
      </c>
      <c r="J943" s="16">
        <f>'БА в тыс. руб.'!G943*1000</f>
        <v>1209000</v>
      </c>
      <c r="K943" s="169">
        <f t="shared" si="631"/>
        <v>0</v>
      </c>
      <c r="L943" s="16">
        <f>'БА в тыс. руб.'!H943*1000</f>
        <v>1077980</v>
      </c>
      <c r="M943" s="169">
        <f t="shared" si="632"/>
        <v>0</v>
      </c>
      <c r="N943" s="16">
        <f>'БА в тыс. руб.'!I943*1000</f>
        <v>1077980</v>
      </c>
      <c r="O943" s="169">
        <f t="shared" si="633"/>
        <v>0</v>
      </c>
    </row>
    <row r="944" spans="1:15" s="125" customFormat="1" ht="25.5">
      <c r="A944" s="12" t="s">
        <v>973</v>
      </c>
      <c r="B944" s="25" t="s">
        <v>62</v>
      </c>
      <c r="C944" s="26" t="s">
        <v>14</v>
      </c>
      <c r="D944" s="26" t="s">
        <v>53</v>
      </c>
      <c r="E944" s="26" t="s">
        <v>802</v>
      </c>
      <c r="F944" s="26" t="s">
        <v>1043</v>
      </c>
      <c r="G944" s="27">
        <f t="shared" ref="G944" si="662">J944</f>
        <v>1209000</v>
      </c>
      <c r="H944" s="27">
        <f>L944</f>
        <v>1077980</v>
      </c>
      <c r="I944" s="27">
        <f>N944</f>
        <v>1077980</v>
      </c>
      <c r="J944" s="16">
        <f>'БА в тыс. руб.'!G944*1000</f>
        <v>1209000</v>
      </c>
      <c r="K944" s="169">
        <f t="shared" si="631"/>
        <v>0</v>
      </c>
      <c r="L944" s="16">
        <f>'БА в тыс. руб.'!H944*1000</f>
        <v>1077980</v>
      </c>
      <c r="M944" s="169">
        <f t="shared" si="632"/>
        <v>0</v>
      </c>
      <c r="N944" s="16">
        <f>'БА в тыс. руб.'!I944*1000</f>
        <v>1077980</v>
      </c>
      <c r="O944" s="169">
        <f t="shared" si="633"/>
        <v>0</v>
      </c>
    </row>
    <row r="945" spans="1:15" s="33" customFormat="1" ht="25.5">
      <c r="A945" s="13" t="s">
        <v>110</v>
      </c>
      <c r="B945" s="25" t="s">
        <v>62</v>
      </c>
      <c r="C945" s="26" t="s">
        <v>14</v>
      </c>
      <c r="D945" s="26" t="s">
        <v>53</v>
      </c>
      <c r="E945" s="26" t="s">
        <v>802</v>
      </c>
      <c r="F945" s="26" t="s">
        <v>117</v>
      </c>
      <c r="G945" s="119">
        <f>G946</f>
        <v>78750</v>
      </c>
      <c r="H945" s="119">
        <f t="shared" ref="H945:I945" si="663">H946</f>
        <v>81000</v>
      </c>
      <c r="I945" s="119">
        <f t="shared" si="663"/>
        <v>81000</v>
      </c>
      <c r="J945" s="16">
        <f>'БА в тыс. руб.'!G945*1000</f>
        <v>78750</v>
      </c>
      <c r="K945" s="169">
        <f t="shared" si="631"/>
        <v>0</v>
      </c>
      <c r="L945" s="16">
        <f>'БА в тыс. руб.'!H945*1000</f>
        <v>81000</v>
      </c>
      <c r="M945" s="169">
        <f t="shared" si="632"/>
        <v>0</v>
      </c>
      <c r="N945" s="16">
        <f>'БА в тыс. руб.'!I945*1000</f>
        <v>81000</v>
      </c>
      <c r="O945" s="169">
        <f t="shared" si="633"/>
        <v>0</v>
      </c>
    </row>
    <row r="946" spans="1:15" s="125" customFormat="1" ht="25.5">
      <c r="A946" s="12" t="s">
        <v>981</v>
      </c>
      <c r="B946" s="25" t="s">
        <v>62</v>
      </c>
      <c r="C946" s="26" t="s">
        <v>14</v>
      </c>
      <c r="D946" s="26" t="s">
        <v>53</v>
      </c>
      <c r="E946" s="26" t="s">
        <v>802</v>
      </c>
      <c r="F946" s="26" t="s">
        <v>1065</v>
      </c>
      <c r="G946" s="27">
        <f t="shared" ref="G946" si="664">J946</f>
        <v>78750</v>
      </c>
      <c r="H946" s="27">
        <f>L946</f>
        <v>81000</v>
      </c>
      <c r="I946" s="27">
        <f>N946</f>
        <v>81000</v>
      </c>
      <c r="J946" s="16">
        <f>'БА в тыс. руб.'!G946*1000</f>
        <v>78750</v>
      </c>
      <c r="K946" s="169">
        <f t="shared" si="631"/>
        <v>0</v>
      </c>
      <c r="L946" s="16">
        <f>'БА в тыс. руб.'!H946*1000</f>
        <v>81000</v>
      </c>
      <c r="M946" s="169">
        <f t="shared" si="632"/>
        <v>0</v>
      </c>
      <c r="N946" s="16">
        <f>'БА в тыс. руб.'!I946*1000</f>
        <v>81000</v>
      </c>
      <c r="O946" s="169">
        <f t="shared" si="633"/>
        <v>0</v>
      </c>
    </row>
    <row r="947" spans="1:15" s="33" customFormat="1" ht="25.5">
      <c r="A947" s="32" t="s">
        <v>803</v>
      </c>
      <c r="B947" s="25" t="s">
        <v>62</v>
      </c>
      <c r="C947" s="26" t="s">
        <v>14</v>
      </c>
      <c r="D947" s="26" t="s">
        <v>53</v>
      </c>
      <c r="E947" s="26" t="s">
        <v>805</v>
      </c>
      <c r="F947" s="26" t="s">
        <v>58</v>
      </c>
      <c r="G947" s="121">
        <f>G948</f>
        <v>251000</v>
      </c>
      <c r="H947" s="121">
        <f t="shared" ref="H947:I947" si="665">H948</f>
        <v>251000</v>
      </c>
      <c r="I947" s="121">
        <f t="shared" si="665"/>
        <v>251000</v>
      </c>
      <c r="J947" s="16">
        <f>'БА в тыс. руб.'!G947*1000</f>
        <v>251000</v>
      </c>
      <c r="K947" s="169">
        <f t="shared" si="631"/>
        <v>0</v>
      </c>
      <c r="L947" s="16">
        <f>'БА в тыс. руб.'!H947*1000</f>
        <v>251000</v>
      </c>
      <c r="M947" s="169">
        <f t="shared" si="632"/>
        <v>0</v>
      </c>
      <c r="N947" s="16">
        <f>'БА в тыс. руб.'!I947*1000</f>
        <v>251000</v>
      </c>
      <c r="O947" s="169">
        <f t="shared" si="633"/>
        <v>0</v>
      </c>
    </row>
    <row r="948" spans="1:15" s="33" customFormat="1" ht="38.25">
      <c r="A948" s="31" t="s">
        <v>881</v>
      </c>
      <c r="B948" s="25" t="s">
        <v>62</v>
      </c>
      <c r="C948" s="26" t="s">
        <v>14</v>
      </c>
      <c r="D948" s="26" t="s">
        <v>53</v>
      </c>
      <c r="E948" s="26" t="s">
        <v>806</v>
      </c>
      <c r="F948" s="26" t="s">
        <v>58</v>
      </c>
      <c r="G948" s="121">
        <f>G949</f>
        <v>251000</v>
      </c>
      <c r="H948" s="121">
        <f>H949</f>
        <v>251000</v>
      </c>
      <c r="I948" s="121">
        <f>I949</f>
        <v>251000</v>
      </c>
      <c r="J948" s="16">
        <f>'БА в тыс. руб.'!G948*1000</f>
        <v>251000</v>
      </c>
      <c r="K948" s="169">
        <f t="shared" si="631"/>
        <v>0</v>
      </c>
      <c r="L948" s="16">
        <f>'БА в тыс. руб.'!H948*1000</f>
        <v>251000</v>
      </c>
      <c r="M948" s="169">
        <f t="shared" si="632"/>
        <v>0</v>
      </c>
      <c r="N948" s="16">
        <f>'БА в тыс. руб.'!I948*1000</f>
        <v>251000</v>
      </c>
      <c r="O948" s="169">
        <f t="shared" si="633"/>
        <v>0</v>
      </c>
    </row>
    <row r="949" spans="1:15" s="33" customFormat="1" ht="25.5">
      <c r="A949" s="11" t="s">
        <v>108</v>
      </c>
      <c r="B949" s="25" t="s">
        <v>62</v>
      </c>
      <c r="C949" s="26" t="s">
        <v>14</v>
      </c>
      <c r="D949" s="26" t="s">
        <v>53</v>
      </c>
      <c r="E949" s="26" t="s">
        <v>806</v>
      </c>
      <c r="F949" s="26" t="s">
        <v>116</v>
      </c>
      <c r="G949" s="119">
        <f>G950</f>
        <v>251000</v>
      </c>
      <c r="H949" s="119">
        <f t="shared" ref="H949:I949" si="666">H950</f>
        <v>251000</v>
      </c>
      <c r="I949" s="119">
        <f t="shared" si="666"/>
        <v>251000</v>
      </c>
      <c r="J949" s="16">
        <f>'БА в тыс. руб.'!G949*1000</f>
        <v>251000</v>
      </c>
      <c r="K949" s="169">
        <f t="shared" si="631"/>
        <v>0</v>
      </c>
      <c r="L949" s="16">
        <f>'БА в тыс. руб.'!H949*1000</f>
        <v>251000</v>
      </c>
      <c r="M949" s="169">
        <f t="shared" si="632"/>
        <v>0</v>
      </c>
      <c r="N949" s="16">
        <f>'БА в тыс. руб.'!I949*1000</f>
        <v>251000</v>
      </c>
      <c r="O949" s="169">
        <f t="shared" si="633"/>
        <v>0</v>
      </c>
    </row>
    <row r="950" spans="1:15" s="125" customFormat="1" ht="25.5">
      <c r="A950" s="12" t="s">
        <v>973</v>
      </c>
      <c r="B950" s="25" t="s">
        <v>62</v>
      </c>
      <c r="C950" s="26" t="s">
        <v>14</v>
      </c>
      <c r="D950" s="26" t="s">
        <v>53</v>
      </c>
      <c r="E950" s="26" t="s">
        <v>806</v>
      </c>
      <c r="F950" s="26" t="s">
        <v>1043</v>
      </c>
      <c r="G950" s="27">
        <f t="shared" ref="G950" si="667">J950</f>
        <v>251000</v>
      </c>
      <c r="H950" s="27">
        <f>L950</f>
        <v>251000</v>
      </c>
      <c r="I950" s="27">
        <f>N950</f>
        <v>251000</v>
      </c>
      <c r="J950" s="16">
        <f>'БА в тыс. руб.'!G950*1000</f>
        <v>251000</v>
      </c>
      <c r="K950" s="169">
        <f t="shared" si="631"/>
        <v>0</v>
      </c>
      <c r="L950" s="16">
        <f>'БА в тыс. руб.'!H950*1000</f>
        <v>251000</v>
      </c>
      <c r="M950" s="169">
        <f t="shared" si="632"/>
        <v>0</v>
      </c>
      <c r="N950" s="16">
        <f>'БА в тыс. руб.'!I950*1000</f>
        <v>251000</v>
      </c>
      <c r="O950" s="169">
        <f t="shared" si="633"/>
        <v>0</v>
      </c>
    </row>
    <row r="951" spans="1:15" s="33" customFormat="1" ht="25.5">
      <c r="A951" s="11" t="s">
        <v>843</v>
      </c>
      <c r="B951" s="25" t="s">
        <v>62</v>
      </c>
      <c r="C951" s="26" t="s">
        <v>14</v>
      </c>
      <c r="D951" s="26" t="s">
        <v>53</v>
      </c>
      <c r="E951" s="26" t="s">
        <v>807</v>
      </c>
      <c r="F951" s="26" t="s">
        <v>58</v>
      </c>
      <c r="G951" s="119">
        <f>G952</f>
        <v>371880</v>
      </c>
      <c r="H951" s="119">
        <f t="shared" ref="H951:I951" si="668">H952</f>
        <v>334690</v>
      </c>
      <c r="I951" s="119">
        <f t="shared" si="668"/>
        <v>334690</v>
      </c>
      <c r="J951" s="16">
        <f>'БА в тыс. руб.'!G951*1000</f>
        <v>371880</v>
      </c>
      <c r="K951" s="169">
        <f t="shared" si="631"/>
        <v>0</v>
      </c>
      <c r="L951" s="16">
        <f>'БА в тыс. руб.'!H951*1000</f>
        <v>334690</v>
      </c>
      <c r="M951" s="169">
        <f t="shared" si="632"/>
        <v>0</v>
      </c>
      <c r="N951" s="16">
        <f>'БА в тыс. руб.'!I951*1000</f>
        <v>334690</v>
      </c>
      <c r="O951" s="169">
        <f t="shared" si="633"/>
        <v>0</v>
      </c>
    </row>
    <row r="952" spans="1:15" s="33" customFormat="1" ht="25.5">
      <c r="A952" s="31" t="s">
        <v>882</v>
      </c>
      <c r="B952" s="25" t="s">
        <v>62</v>
      </c>
      <c r="C952" s="26" t="s">
        <v>14</v>
      </c>
      <c r="D952" s="26" t="s">
        <v>53</v>
      </c>
      <c r="E952" s="26" t="s">
        <v>808</v>
      </c>
      <c r="F952" s="26" t="s">
        <v>58</v>
      </c>
      <c r="G952" s="121">
        <f t="shared" ref="G952:I953" si="669">G953</f>
        <v>371880</v>
      </c>
      <c r="H952" s="121">
        <f t="shared" si="669"/>
        <v>334690</v>
      </c>
      <c r="I952" s="121">
        <f t="shared" si="669"/>
        <v>334690</v>
      </c>
      <c r="J952" s="16">
        <f>'БА в тыс. руб.'!G952*1000</f>
        <v>371880</v>
      </c>
      <c r="K952" s="169">
        <f t="shared" si="631"/>
        <v>0</v>
      </c>
      <c r="L952" s="16">
        <f>'БА в тыс. руб.'!H952*1000</f>
        <v>334690</v>
      </c>
      <c r="M952" s="169">
        <f t="shared" si="632"/>
        <v>0</v>
      </c>
      <c r="N952" s="16">
        <f>'БА в тыс. руб.'!I952*1000</f>
        <v>334690</v>
      </c>
      <c r="O952" s="169">
        <f t="shared" si="633"/>
        <v>0</v>
      </c>
    </row>
    <row r="953" spans="1:15" s="33" customFormat="1" ht="25.5">
      <c r="A953" s="11" t="s">
        <v>108</v>
      </c>
      <c r="B953" s="25" t="s">
        <v>62</v>
      </c>
      <c r="C953" s="26" t="s">
        <v>14</v>
      </c>
      <c r="D953" s="26" t="s">
        <v>53</v>
      </c>
      <c r="E953" s="26" t="s">
        <v>808</v>
      </c>
      <c r="F953" s="26" t="s">
        <v>116</v>
      </c>
      <c r="G953" s="119">
        <f>G954</f>
        <v>371880</v>
      </c>
      <c r="H953" s="119">
        <f t="shared" si="669"/>
        <v>334690</v>
      </c>
      <c r="I953" s="119">
        <f t="shared" si="669"/>
        <v>334690</v>
      </c>
      <c r="J953" s="16">
        <f>'БА в тыс. руб.'!G953*1000</f>
        <v>371880</v>
      </c>
      <c r="K953" s="169">
        <f t="shared" si="631"/>
        <v>0</v>
      </c>
      <c r="L953" s="16">
        <f>'БА в тыс. руб.'!H953*1000</f>
        <v>334690</v>
      </c>
      <c r="M953" s="169">
        <f t="shared" si="632"/>
        <v>0</v>
      </c>
      <c r="N953" s="16">
        <f>'БА в тыс. руб.'!I953*1000</f>
        <v>334690</v>
      </c>
      <c r="O953" s="169">
        <f t="shared" si="633"/>
        <v>0</v>
      </c>
    </row>
    <row r="954" spans="1:15" s="125" customFormat="1" ht="25.5">
      <c r="A954" s="12" t="s">
        <v>973</v>
      </c>
      <c r="B954" s="25" t="s">
        <v>62</v>
      </c>
      <c r="C954" s="26" t="s">
        <v>14</v>
      </c>
      <c r="D954" s="26" t="s">
        <v>53</v>
      </c>
      <c r="E954" s="26" t="s">
        <v>808</v>
      </c>
      <c r="F954" s="26" t="s">
        <v>1043</v>
      </c>
      <c r="G954" s="27">
        <f t="shared" ref="G954" si="670">J954</f>
        <v>371880</v>
      </c>
      <c r="H954" s="27">
        <f>L954</f>
        <v>334690</v>
      </c>
      <c r="I954" s="27">
        <f>N954</f>
        <v>334690</v>
      </c>
      <c r="J954" s="16">
        <f>'БА в тыс. руб.'!G954*1000</f>
        <v>371880</v>
      </c>
      <c r="K954" s="169">
        <f t="shared" si="631"/>
        <v>0</v>
      </c>
      <c r="L954" s="16">
        <f>'БА в тыс. руб.'!H954*1000</f>
        <v>334690</v>
      </c>
      <c r="M954" s="169">
        <f t="shared" si="632"/>
        <v>0</v>
      </c>
      <c r="N954" s="16">
        <f>'БА в тыс. руб.'!I954*1000</f>
        <v>334690</v>
      </c>
      <c r="O954" s="169">
        <f t="shared" si="633"/>
        <v>0</v>
      </c>
    </row>
    <row r="955" spans="1:15" s="33" customFormat="1">
      <c r="A955" s="31" t="s">
        <v>145</v>
      </c>
      <c r="B955" s="25" t="s">
        <v>62</v>
      </c>
      <c r="C955" s="26" t="s">
        <v>14</v>
      </c>
      <c r="D955" s="26" t="s">
        <v>53</v>
      </c>
      <c r="E955" s="26" t="s">
        <v>437</v>
      </c>
      <c r="F955" s="26" t="s">
        <v>58</v>
      </c>
      <c r="G955" s="121">
        <f t="shared" ref="G955:I958" si="671">G956</f>
        <v>1739000</v>
      </c>
      <c r="H955" s="121">
        <f t="shared" si="671"/>
        <v>1739000</v>
      </c>
      <c r="I955" s="121">
        <f t="shared" si="671"/>
        <v>1739000</v>
      </c>
      <c r="J955" s="16">
        <f>'БА в тыс. руб.'!G955*1000</f>
        <v>1739000</v>
      </c>
      <c r="K955" s="169">
        <f t="shared" si="631"/>
        <v>0</v>
      </c>
      <c r="L955" s="16">
        <f>'БА в тыс. руб.'!H955*1000</f>
        <v>1739000</v>
      </c>
      <c r="M955" s="169">
        <f t="shared" si="632"/>
        <v>0</v>
      </c>
      <c r="N955" s="16">
        <f>'БА в тыс. руб.'!I955*1000</f>
        <v>1739000</v>
      </c>
      <c r="O955" s="169">
        <f t="shared" si="633"/>
        <v>0</v>
      </c>
    </row>
    <row r="956" spans="1:15" s="33" customFormat="1" ht="38.25">
      <c r="A956" s="120" t="s">
        <v>439</v>
      </c>
      <c r="B956" s="25" t="s">
        <v>62</v>
      </c>
      <c r="C956" s="26" t="s">
        <v>14</v>
      </c>
      <c r="D956" s="26" t="s">
        <v>53</v>
      </c>
      <c r="E956" s="26" t="s">
        <v>438</v>
      </c>
      <c r="F956" s="26" t="s">
        <v>58</v>
      </c>
      <c r="G956" s="121">
        <f t="shared" si="671"/>
        <v>1739000</v>
      </c>
      <c r="H956" s="121">
        <f t="shared" si="671"/>
        <v>1739000</v>
      </c>
      <c r="I956" s="121">
        <f t="shared" si="671"/>
        <v>1739000</v>
      </c>
      <c r="J956" s="16">
        <f>'БА в тыс. руб.'!G956*1000</f>
        <v>1739000</v>
      </c>
      <c r="K956" s="169">
        <f t="shared" si="631"/>
        <v>0</v>
      </c>
      <c r="L956" s="16">
        <f>'БА в тыс. руб.'!H956*1000</f>
        <v>1739000</v>
      </c>
      <c r="M956" s="169">
        <f t="shared" si="632"/>
        <v>0</v>
      </c>
      <c r="N956" s="16">
        <f>'БА в тыс. руб.'!I956*1000</f>
        <v>1739000</v>
      </c>
      <c r="O956" s="169">
        <f t="shared" si="633"/>
        <v>0</v>
      </c>
    </row>
    <row r="957" spans="1:15" s="33" customFormat="1" ht="38.25">
      <c r="A957" s="31" t="s">
        <v>157</v>
      </c>
      <c r="B957" s="25" t="s">
        <v>62</v>
      </c>
      <c r="C957" s="26" t="s">
        <v>14</v>
      </c>
      <c r="D957" s="26" t="s">
        <v>53</v>
      </c>
      <c r="E957" s="26" t="s">
        <v>767</v>
      </c>
      <c r="F957" s="26" t="s">
        <v>58</v>
      </c>
      <c r="G957" s="121">
        <f t="shared" si="671"/>
        <v>1739000</v>
      </c>
      <c r="H957" s="121">
        <f t="shared" si="671"/>
        <v>1739000</v>
      </c>
      <c r="I957" s="121">
        <f t="shared" si="671"/>
        <v>1739000</v>
      </c>
      <c r="J957" s="16">
        <f>'БА в тыс. руб.'!G957*1000</f>
        <v>1739000</v>
      </c>
      <c r="K957" s="169">
        <f t="shared" si="631"/>
        <v>0</v>
      </c>
      <c r="L957" s="16">
        <f>'БА в тыс. руб.'!H957*1000</f>
        <v>1739000</v>
      </c>
      <c r="M957" s="169">
        <f t="shared" si="632"/>
        <v>0</v>
      </c>
      <c r="N957" s="16">
        <f>'БА в тыс. руб.'!I957*1000</f>
        <v>1739000</v>
      </c>
      <c r="O957" s="169">
        <f t="shared" si="633"/>
        <v>0</v>
      </c>
    </row>
    <row r="958" spans="1:15" s="33" customFormat="1" ht="25.5">
      <c r="A958" s="13" t="s">
        <v>110</v>
      </c>
      <c r="B958" s="25" t="s">
        <v>62</v>
      </c>
      <c r="C958" s="26" t="s">
        <v>14</v>
      </c>
      <c r="D958" s="26" t="s">
        <v>53</v>
      </c>
      <c r="E958" s="26" t="s">
        <v>767</v>
      </c>
      <c r="F958" s="26" t="s">
        <v>117</v>
      </c>
      <c r="G958" s="119">
        <f>G959</f>
        <v>1739000</v>
      </c>
      <c r="H958" s="119">
        <f t="shared" si="671"/>
        <v>1739000</v>
      </c>
      <c r="I958" s="119">
        <f t="shared" si="671"/>
        <v>1739000</v>
      </c>
      <c r="J958" s="16">
        <f>'БА в тыс. руб.'!G958*1000</f>
        <v>1739000</v>
      </c>
      <c r="K958" s="169">
        <f t="shared" si="631"/>
        <v>0</v>
      </c>
      <c r="L958" s="16">
        <f>'БА в тыс. руб.'!H958*1000</f>
        <v>1739000</v>
      </c>
      <c r="M958" s="169">
        <f t="shared" si="632"/>
        <v>0</v>
      </c>
      <c r="N958" s="16">
        <f>'БА в тыс. руб.'!I958*1000</f>
        <v>1739000</v>
      </c>
      <c r="O958" s="169">
        <f t="shared" si="633"/>
        <v>0</v>
      </c>
    </row>
    <row r="959" spans="1:15" s="125" customFormat="1" ht="25.5">
      <c r="A959" s="12" t="s">
        <v>981</v>
      </c>
      <c r="B959" s="25" t="s">
        <v>62</v>
      </c>
      <c r="C959" s="26" t="s">
        <v>14</v>
      </c>
      <c r="D959" s="26" t="s">
        <v>53</v>
      </c>
      <c r="E959" s="26" t="s">
        <v>767</v>
      </c>
      <c r="F959" s="26" t="s">
        <v>1065</v>
      </c>
      <c r="G959" s="27">
        <f t="shared" ref="G959" si="672">J959</f>
        <v>1739000</v>
      </c>
      <c r="H959" s="27">
        <f>L959</f>
        <v>1739000</v>
      </c>
      <c r="I959" s="27">
        <f>N959</f>
        <v>1739000</v>
      </c>
      <c r="J959" s="16">
        <f>'БА в тыс. руб.'!G959*1000</f>
        <v>1739000</v>
      </c>
      <c r="K959" s="169">
        <f t="shared" si="631"/>
        <v>0</v>
      </c>
      <c r="L959" s="16">
        <f>'БА в тыс. руб.'!H959*1000</f>
        <v>1739000</v>
      </c>
      <c r="M959" s="169">
        <f t="shared" si="632"/>
        <v>0</v>
      </c>
      <c r="N959" s="16">
        <f>'БА в тыс. руб.'!I959*1000</f>
        <v>1739000</v>
      </c>
      <c r="O959" s="169">
        <f t="shared" si="633"/>
        <v>0</v>
      </c>
    </row>
    <row r="960" spans="1:15" s="163" customFormat="1">
      <c r="A960" s="21" t="s">
        <v>22</v>
      </c>
      <c r="B960" s="22" t="s">
        <v>62</v>
      </c>
      <c r="C960" s="23" t="s">
        <v>14</v>
      </c>
      <c r="D960" s="23" t="s">
        <v>37</v>
      </c>
      <c r="E960" s="23" t="s">
        <v>196</v>
      </c>
      <c r="F960" s="23" t="s">
        <v>58</v>
      </c>
      <c r="G960" s="24">
        <f t="shared" ref="G960:I962" si="673">G961</f>
        <v>127928840</v>
      </c>
      <c r="H960" s="24">
        <f t="shared" si="673"/>
        <v>128007240</v>
      </c>
      <c r="I960" s="24">
        <f t="shared" si="673"/>
        <v>128079240</v>
      </c>
      <c r="J960" s="16">
        <f>'БА в тыс. руб.'!G960*1000</f>
        <v>127928840.00000001</v>
      </c>
      <c r="K960" s="169">
        <f t="shared" si="631"/>
        <v>0</v>
      </c>
      <c r="L960" s="16">
        <f>'БА в тыс. руб.'!H960*1000</f>
        <v>128007240</v>
      </c>
      <c r="M960" s="169">
        <f t="shared" si="632"/>
        <v>0</v>
      </c>
      <c r="N960" s="16">
        <f>'БА в тыс. руб.'!I960*1000</f>
        <v>128079240</v>
      </c>
      <c r="O960" s="169">
        <f t="shared" si="633"/>
        <v>0</v>
      </c>
    </row>
    <row r="961" spans="1:15" s="163" customFormat="1" ht="25.5">
      <c r="A961" s="31" t="s">
        <v>727</v>
      </c>
      <c r="B961" s="25" t="s">
        <v>62</v>
      </c>
      <c r="C961" s="26" t="s">
        <v>14</v>
      </c>
      <c r="D961" s="26" t="s">
        <v>37</v>
      </c>
      <c r="E961" s="26" t="s">
        <v>327</v>
      </c>
      <c r="F961" s="26" t="s">
        <v>58</v>
      </c>
      <c r="G961" s="121">
        <f t="shared" si="673"/>
        <v>127928840</v>
      </c>
      <c r="H961" s="121">
        <f t="shared" si="673"/>
        <v>128007240</v>
      </c>
      <c r="I961" s="121">
        <f t="shared" si="673"/>
        <v>128079240</v>
      </c>
      <c r="J961" s="16">
        <f>'БА в тыс. руб.'!G961*1000</f>
        <v>127928840.00000001</v>
      </c>
      <c r="K961" s="169">
        <f t="shared" si="631"/>
        <v>0</v>
      </c>
      <c r="L961" s="16">
        <f>'БА в тыс. руб.'!H961*1000</f>
        <v>128007240</v>
      </c>
      <c r="M961" s="169">
        <f t="shared" si="632"/>
        <v>0</v>
      </c>
      <c r="N961" s="16">
        <f>'БА в тыс. руб.'!I961*1000</f>
        <v>128079240</v>
      </c>
      <c r="O961" s="169">
        <f t="shared" si="633"/>
        <v>0</v>
      </c>
    </row>
    <row r="962" spans="1:15" s="163" customFormat="1" ht="38.25">
      <c r="A962" s="120" t="s">
        <v>728</v>
      </c>
      <c r="B962" s="25" t="s">
        <v>62</v>
      </c>
      <c r="C962" s="26" t="s">
        <v>14</v>
      </c>
      <c r="D962" s="26" t="s">
        <v>37</v>
      </c>
      <c r="E962" s="26" t="s">
        <v>392</v>
      </c>
      <c r="F962" s="26" t="s">
        <v>58</v>
      </c>
      <c r="G962" s="121">
        <f t="shared" si="673"/>
        <v>127928840</v>
      </c>
      <c r="H962" s="121">
        <f t="shared" si="673"/>
        <v>128007240</v>
      </c>
      <c r="I962" s="121">
        <f t="shared" si="673"/>
        <v>128079240</v>
      </c>
      <c r="J962" s="16">
        <f>'БА в тыс. руб.'!G962*1000</f>
        <v>127928840.00000001</v>
      </c>
      <c r="K962" s="169">
        <f t="shared" si="631"/>
        <v>0</v>
      </c>
      <c r="L962" s="16">
        <f>'БА в тыс. руб.'!H962*1000</f>
        <v>128007240</v>
      </c>
      <c r="M962" s="169">
        <f t="shared" si="632"/>
        <v>0</v>
      </c>
      <c r="N962" s="16">
        <f>'БА в тыс. руб.'!I962*1000</f>
        <v>128079240</v>
      </c>
      <c r="O962" s="169">
        <f t="shared" si="633"/>
        <v>0</v>
      </c>
    </row>
    <row r="963" spans="1:15" s="30" customFormat="1" ht="25.5">
      <c r="A963" s="152" t="s">
        <v>406</v>
      </c>
      <c r="B963" s="25" t="s">
        <v>62</v>
      </c>
      <c r="C963" s="26" t="s">
        <v>14</v>
      </c>
      <c r="D963" s="26" t="s">
        <v>37</v>
      </c>
      <c r="E963" s="26" t="s">
        <v>407</v>
      </c>
      <c r="F963" s="26" t="s">
        <v>58</v>
      </c>
      <c r="G963" s="119">
        <f>G964+G967</f>
        <v>127928840</v>
      </c>
      <c r="H963" s="119">
        <f t="shared" ref="H963:I963" si="674">H964+H967</f>
        <v>128007240</v>
      </c>
      <c r="I963" s="119">
        <f t="shared" si="674"/>
        <v>128079240</v>
      </c>
      <c r="J963" s="16">
        <f>'БА в тыс. руб.'!G963*1000</f>
        <v>127928840.00000001</v>
      </c>
      <c r="K963" s="169">
        <f t="shared" si="631"/>
        <v>0</v>
      </c>
      <c r="L963" s="16">
        <f>'БА в тыс. руб.'!H963*1000</f>
        <v>128007240</v>
      </c>
      <c r="M963" s="169">
        <f t="shared" si="632"/>
        <v>0</v>
      </c>
      <c r="N963" s="16">
        <f>'БА в тыс. руб.'!I963*1000</f>
        <v>128079240</v>
      </c>
      <c r="O963" s="169">
        <f t="shared" si="633"/>
        <v>0</v>
      </c>
    </row>
    <row r="964" spans="1:15" s="30" customFormat="1" ht="51">
      <c r="A964" s="32" t="s">
        <v>920</v>
      </c>
      <c r="B964" s="25" t="s">
        <v>62</v>
      </c>
      <c r="C964" s="26" t="s">
        <v>14</v>
      </c>
      <c r="D964" s="26" t="s">
        <v>37</v>
      </c>
      <c r="E964" s="26" t="s">
        <v>440</v>
      </c>
      <c r="F964" s="26" t="s">
        <v>58</v>
      </c>
      <c r="G964" s="119">
        <f>G965</f>
        <v>126215740</v>
      </c>
      <c r="H964" s="119">
        <f>H965</f>
        <v>126215740</v>
      </c>
      <c r="I964" s="119">
        <f>I965</f>
        <v>126215740</v>
      </c>
      <c r="J964" s="16">
        <f>'БА в тыс. руб.'!G964*1000</f>
        <v>126215740</v>
      </c>
      <c r="K964" s="169">
        <f t="shared" si="631"/>
        <v>0</v>
      </c>
      <c r="L964" s="16">
        <f>'БА в тыс. руб.'!H964*1000</f>
        <v>126215740</v>
      </c>
      <c r="M964" s="169">
        <f t="shared" si="632"/>
        <v>0</v>
      </c>
      <c r="N964" s="16">
        <f>'БА в тыс. руб.'!I964*1000</f>
        <v>126215740</v>
      </c>
      <c r="O964" s="169">
        <f t="shared" si="633"/>
        <v>0</v>
      </c>
    </row>
    <row r="965" spans="1:15" s="30" customFormat="1">
      <c r="A965" s="13" t="s">
        <v>109</v>
      </c>
      <c r="B965" s="25" t="s">
        <v>62</v>
      </c>
      <c r="C965" s="26" t="s">
        <v>14</v>
      </c>
      <c r="D965" s="26" t="s">
        <v>37</v>
      </c>
      <c r="E965" s="26" t="s">
        <v>440</v>
      </c>
      <c r="F965" s="26" t="s">
        <v>134</v>
      </c>
      <c r="G965" s="119">
        <f>G966</f>
        <v>126215740</v>
      </c>
      <c r="H965" s="119">
        <f t="shared" ref="H965:I965" si="675">H966</f>
        <v>126215740</v>
      </c>
      <c r="I965" s="119">
        <f t="shared" si="675"/>
        <v>126215740</v>
      </c>
      <c r="J965" s="16">
        <f>'БА в тыс. руб.'!G965*1000</f>
        <v>126215740</v>
      </c>
      <c r="K965" s="169">
        <f t="shared" si="631"/>
        <v>0</v>
      </c>
      <c r="L965" s="16">
        <f>'БА в тыс. руб.'!H965*1000</f>
        <v>126215740</v>
      </c>
      <c r="M965" s="169">
        <f t="shared" si="632"/>
        <v>0</v>
      </c>
      <c r="N965" s="16">
        <f>'БА в тыс. руб.'!I965*1000</f>
        <v>126215740</v>
      </c>
      <c r="O965" s="169">
        <f t="shared" si="633"/>
        <v>0</v>
      </c>
    </row>
    <row r="966" spans="1:15" s="83" customFormat="1" ht="25.5">
      <c r="A966" s="12" t="s">
        <v>978</v>
      </c>
      <c r="B966" s="25" t="s">
        <v>62</v>
      </c>
      <c r="C966" s="26" t="s">
        <v>14</v>
      </c>
      <c r="D966" s="26" t="s">
        <v>37</v>
      </c>
      <c r="E966" s="26" t="s">
        <v>440</v>
      </c>
      <c r="F966" s="26" t="s">
        <v>1064</v>
      </c>
      <c r="G966" s="27">
        <f t="shared" ref="G966" si="676">J966</f>
        <v>126215740</v>
      </c>
      <c r="H966" s="27">
        <f>L966</f>
        <v>126215740</v>
      </c>
      <c r="I966" s="27">
        <f>N966</f>
        <v>126215740</v>
      </c>
      <c r="J966" s="16">
        <f>'БА в тыс. руб.'!G966*1000</f>
        <v>126215740</v>
      </c>
      <c r="K966" s="169">
        <f t="shared" si="631"/>
        <v>0</v>
      </c>
      <c r="L966" s="16">
        <f>'БА в тыс. руб.'!H966*1000</f>
        <v>126215740</v>
      </c>
      <c r="M966" s="169">
        <f t="shared" si="632"/>
        <v>0</v>
      </c>
      <c r="N966" s="16">
        <f>'БА в тыс. руб.'!I966*1000</f>
        <v>126215740</v>
      </c>
      <c r="O966" s="169">
        <f t="shared" si="633"/>
        <v>0</v>
      </c>
    </row>
    <row r="967" spans="1:15" s="30" customFormat="1" ht="51">
      <c r="A967" s="32" t="s">
        <v>441</v>
      </c>
      <c r="B967" s="25" t="s">
        <v>62</v>
      </c>
      <c r="C967" s="26" t="s">
        <v>14</v>
      </c>
      <c r="D967" s="26" t="s">
        <v>37</v>
      </c>
      <c r="E967" s="26" t="s">
        <v>442</v>
      </c>
      <c r="F967" s="26" t="s">
        <v>58</v>
      </c>
      <c r="G967" s="119">
        <f>G968</f>
        <v>1713100</v>
      </c>
      <c r="H967" s="119">
        <f>H968</f>
        <v>1791500</v>
      </c>
      <c r="I967" s="119">
        <f>I968</f>
        <v>1863500</v>
      </c>
      <c r="J967" s="16">
        <f>'БА в тыс. руб.'!G967*1000</f>
        <v>1713100</v>
      </c>
      <c r="K967" s="169">
        <f t="shared" si="631"/>
        <v>0</v>
      </c>
      <c r="L967" s="16">
        <f>'БА в тыс. руб.'!H967*1000</f>
        <v>1791500</v>
      </c>
      <c r="M967" s="169">
        <f t="shared" si="632"/>
        <v>0</v>
      </c>
      <c r="N967" s="16">
        <f>'БА в тыс. руб.'!I967*1000</f>
        <v>1863500</v>
      </c>
      <c r="O967" s="169">
        <f t="shared" si="633"/>
        <v>0</v>
      </c>
    </row>
    <row r="968" spans="1:15" s="30" customFormat="1">
      <c r="A968" s="13" t="s">
        <v>109</v>
      </c>
      <c r="B968" s="25" t="s">
        <v>62</v>
      </c>
      <c r="C968" s="26" t="s">
        <v>14</v>
      </c>
      <c r="D968" s="26" t="s">
        <v>37</v>
      </c>
      <c r="E968" s="26" t="s">
        <v>442</v>
      </c>
      <c r="F968" s="26" t="s">
        <v>134</v>
      </c>
      <c r="G968" s="119">
        <f>G969</f>
        <v>1713100</v>
      </c>
      <c r="H968" s="119">
        <f t="shared" ref="H968:I968" si="677">H969</f>
        <v>1791500</v>
      </c>
      <c r="I968" s="119">
        <f t="shared" si="677"/>
        <v>1863500</v>
      </c>
      <c r="J968" s="16">
        <f>'БА в тыс. руб.'!G968*1000</f>
        <v>1713100</v>
      </c>
      <c r="K968" s="169">
        <f t="shared" ref="K968:K1031" si="678">J968-G968</f>
        <v>0</v>
      </c>
      <c r="L968" s="16">
        <f>'БА в тыс. руб.'!H968*1000</f>
        <v>1791500</v>
      </c>
      <c r="M968" s="169">
        <f t="shared" ref="M968:M1031" si="679">L968-H968</f>
        <v>0</v>
      </c>
      <c r="N968" s="16">
        <f>'БА в тыс. руб.'!I968*1000</f>
        <v>1863500</v>
      </c>
      <c r="O968" s="169">
        <f t="shared" ref="O968:O1031" si="680">N968-I968</f>
        <v>0</v>
      </c>
    </row>
    <row r="969" spans="1:15" s="83" customFormat="1" ht="25.5">
      <c r="A969" s="12" t="s">
        <v>978</v>
      </c>
      <c r="B969" s="25" t="s">
        <v>62</v>
      </c>
      <c r="C969" s="26" t="s">
        <v>14</v>
      </c>
      <c r="D969" s="26" t="s">
        <v>37</v>
      </c>
      <c r="E969" s="26" t="s">
        <v>442</v>
      </c>
      <c r="F969" s="26" t="s">
        <v>1064</v>
      </c>
      <c r="G969" s="27">
        <f t="shared" ref="G969" si="681">J969</f>
        <v>1713100</v>
      </c>
      <c r="H969" s="27">
        <f>L969</f>
        <v>1791500</v>
      </c>
      <c r="I969" s="27">
        <f>N969</f>
        <v>1863500</v>
      </c>
      <c r="J969" s="16">
        <f>'БА в тыс. руб.'!G969*1000</f>
        <v>1713100</v>
      </c>
      <c r="K969" s="169">
        <f t="shared" si="678"/>
        <v>0</v>
      </c>
      <c r="L969" s="16">
        <f>'БА в тыс. руб.'!H969*1000</f>
        <v>1791500</v>
      </c>
      <c r="M969" s="169">
        <f t="shared" si="679"/>
        <v>0</v>
      </c>
      <c r="N969" s="16">
        <f>'БА в тыс. руб.'!I969*1000</f>
        <v>1863500</v>
      </c>
      <c r="O969" s="169">
        <f t="shared" si="680"/>
        <v>0</v>
      </c>
    </row>
    <row r="970" spans="1:15" s="164" customFormat="1" ht="12.75">
      <c r="A970" s="21" t="s">
        <v>36</v>
      </c>
      <c r="B970" s="22" t="s">
        <v>62</v>
      </c>
      <c r="C970" s="23" t="s">
        <v>14</v>
      </c>
      <c r="D970" s="23" t="s">
        <v>2</v>
      </c>
      <c r="E970" s="23" t="s">
        <v>196</v>
      </c>
      <c r="F970" s="23" t="s">
        <v>58</v>
      </c>
      <c r="G970" s="24">
        <f>G971+G988</f>
        <v>64187520</v>
      </c>
      <c r="H970" s="24">
        <f>H971+H988</f>
        <v>63990660</v>
      </c>
      <c r="I970" s="24">
        <f>I971+I988</f>
        <v>63990660</v>
      </c>
      <c r="J970" s="16">
        <f>'БА в тыс. руб.'!G970*1000</f>
        <v>64187520.000000007</v>
      </c>
      <c r="K970" s="169">
        <f t="shared" si="678"/>
        <v>0</v>
      </c>
      <c r="L970" s="16">
        <f>'БА в тыс. руб.'!H970*1000</f>
        <v>63990660.000000007</v>
      </c>
      <c r="M970" s="169">
        <f t="shared" si="679"/>
        <v>0</v>
      </c>
      <c r="N970" s="16">
        <f>'БА в тыс. руб.'!I970*1000</f>
        <v>63990660.000000007</v>
      </c>
      <c r="O970" s="169">
        <f t="shared" si="680"/>
        <v>0</v>
      </c>
    </row>
    <row r="971" spans="1:15" s="30" customFormat="1" ht="25.5">
      <c r="A971" s="31" t="s">
        <v>727</v>
      </c>
      <c r="B971" s="25" t="s">
        <v>62</v>
      </c>
      <c r="C971" s="26" t="s">
        <v>14</v>
      </c>
      <c r="D971" s="26" t="s">
        <v>2</v>
      </c>
      <c r="E971" s="26" t="s">
        <v>327</v>
      </c>
      <c r="F971" s="26" t="s">
        <v>58</v>
      </c>
      <c r="G971" s="119">
        <f>G972+G977</f>
        <v>2361660</v>
      </c>
      <c r="H971" s="119">
        <f t="shared" ref="H971:I971" si="682">H972+H977</f>
        <v>2135400</v>
      </c>
      <c r="I971" s="119">
        <f t="shared" si="682"/>
        <v>2135400</v>
      </c>
      <c r="J971" s="16">
        <f>'БА в тыс. руб.'!G971*1000</f>
        <v>2361660</v>
      </c>
      <c r="K971" s="169">
        <f t="shared" si="678"/>
        <v>0</v>
      </c>
      <c r="L971" s="16">
        <f>'БА в тыс. руб.'!H971*1000</f>
        <v>2135400</v>
      </c>
      <c r="M971" s="169">
        <f t="shared" si="679"/>
        <v>0</v>
      </c>
      <c r="N971" s="16">
        <f>'БА в тыс. руб.'!I971*1000</f>
        <v>2135400</v>
      </c>
      <c r="O971" s="169">
        <f t="shared" si="680"/>
        <v>0</v>
      </c>
    </row>
    <row r="972" spans="1:15" s="33" customFormat="1" ht="38.25">
      <c r="A972" s="31" t="s">
        <v>842</v>
      </c>
      <c r="B972" s="25" t="s">
        <v>62</v>
      </c>
      <c r="C972" s="26" t="s">
        <v>14</v>
      </c>
      <c r="D972" s="26" t="s">
        <v>2</v>
      </c>
      <c r="E972" s="26" t="s">
        <v>328</v>
      </c>
      <c r="F972" s="26" t="s">
        <v>58</v>
      </c>
      <c r="G972" s="121">
        <f t="shared" ref="G972:I975" si="683">G973</f>
        <v>1289450</v>
      </c>
      <c r="H972" s="121">
        <f t="shared" si="683"/>
        <v>1160510</v>
      </c>
      <c r="I972" s="121">
        <f t="shared" si="683"/>
        <v>1160510</v>
      </c>
      <c r="J972" s="16">
        <f>'БА в тыс. руб.'!G972*1000</f>
        <v>1289450</v>
      </c>
      <c r="K972" s="169">
        <f t="shared" si="678"/>
        <v>0</v>
      </c>
      <c r="L972" s="16">
        <f>'БА в тыс. руб.'!H972*1000</f>
        <v>1160510</v>
      </c>
      <c r="M972" s="169">
        <f t="shared" si="679"/>
        <v>0</v>
      </c>
      <c r="N972" s="16">
        <f>'БА в тыс. руб.'!I972*1000</f>
        <v>1160510</v>
      </c>
      <c r="O972" s="169">
        <f t="shared" si="680"/>
        <v>0</v>
      </c>
    </row>
    <row r="973" spans="1:15" s="33" customFormat="1" ht="25.5">
      <c r="A973" s="31" t="s">
        <v>811</v>
      </c>
      <c r="B973" s="25" t="s">
        <v>62</v>
      </c>
      <c r="C973" s="26" t="s">
        <v>14</v>
      </c>
      <c r="D973" s="26" t="s">
        <v>2</v>
      </c>
      <c r="E973" s="26" t="s">
        <v>809</v>
      </c>
      <c r="F973" s="26" t="s">
        <v>58</v>
      </c>
      <c r="G973" s="121">
        <f t="shared" si="683"/>
        <v>1289450</v>
      </c>
      <c r="H973" s="121">
        <f t="shared" si="683"/>
        <v>1160510</v>
      </c>
      <c r="I973" s="121">
        <f t="shared" si="683"/>
        <v>1160510</v>
      </c>
      <c r="J973" s="16">
        <f>'БА в тыс. руб.'!G973*1000</f>
        <v>1289450</v>
      </c>
      <c r="K973" s="169">
        <f t="shared" si="678"/>
        <v>0</v>
      </c>
      <c r="L973" s="16">
        <f>'БА в тыс. руб.'!H973*1000</f>
        <v>1160510</v>
      </c>
      <c r="M973" s="169">
        <f t="shared" si="679"/>
        <v>0</v>
      </c>
      <c r="N973" s="16">
        <f>'БА в тыс. руб.'!I973*1000</f>
        <v>1160510</v>
      </c>
      <c r="O973" s="169">
        <f t="shared" si="680"/>
        <v>0</v>
      </c>
    </row>
    <row r="974" spans="1:15" s="33" customFormat="1" ht="25.5">
      <c r="A974" s="31" t="s">
        <v>595</v>
      </c>
      <c r="B974" s="25" t="s">
        <v>62</v>
      </c>
      <c r="C974" s="26" t="s">
        <v>14</v>
      </c>
      <c r="D974" s="26" t="s">
        <v>2</v>
      </c>
      <c r="E974" s="26" t="s">
        <v>810</v>
      </c>
      <c r="F974" s="26" t="s">
        <v>58</v>
      </c>
      <c r="G974" s="121">
        <f t="shared" si="683"/>
        <v>1289450</v>
      </c>
      <c r="H974" s="121">
        <f t="shared" si="683"/>
        <v>1160510</v>
      </c>
      <c r="I974" s="121">
        <f t="shared" si="683"/>
        <v>1160510</v>
      </c>
      <c r="J974" s="16">
        <f>'БА в тыс. руб.'!G974*1000</f>
        <v>1289450</v>
      </c>
      <c r="K974" s="169">
        <f t="shared" si="678"/>
        <v>0</v>
      </c>
      <c r="L974" s="16">
        <f>'БА в тыс. руб.'!H974*1000</f>
        <v>1160510</v>
      </c>
      <c r="M974" s="169">
        <f t="shared" si="679"/>
        <v>0</v>
      </c>
      <c r="N974" s="16">
        <f>'БА в тыс. руб.'!I974*1000</f>
        <v>1160510</v>
      </c>
      <c r="O974" s="169">
        <f t="shared" si="680"/>
        <v>0</v>
      </c>
    </row>
    <row r="975" spans="1:15" s="33" customFormat="1" ht="25.5">
      <c r="A975" s="31" t="s">
        <v>111</v>
      </c>
      <c r="B975" s="25" t="s">
        <v>62</v>
      </c>
      <c r="C975" s="26" t="s">
        <v>14</v>
      </c>
      <c r="D975" s="26" t="s">
        <v>2</v>
      </c>
      <c r="E975" s="26" t="s">
        <v>810</v>
      </c>
      <c r="F975" s="26" t="s">
        <v>104</v>
      </c>
      <c r="G975" s="119">
        <f>G976</f>
        <v>1289450</v>
      </c>
      <c r="H975" s="119">
        <f t="shared" si="683"/>
        <v>1160510</v>
      </c>
      <c r="I975" s="119">
        <f t="shared" si="683"/>
        <v>1160510</v>
      </c>
      <c r="J975" s="16">
        <f>'БА в тыс. руб.'!G975*1000</f>
        <v>1289450</v>
      </c>
      <c r="K975" s="169">
        <f t="shared" si="678"/>
        <v>0</v>
      </c>
      <c r="L975" s="16">
        <f>'БА в тыс. руб.'!H975*1000</f>
        <v>1160510</v>
      </c>
      <c r="M975" s="169">
        <f t="shared" si="679"/>
        <v>0</v>
      </c>
      <c r="N975" s="16">
        <f>'БА в тыс. руб.'!I975*1000</f>
        <v>1160510</v>
      </c>
      <c r="O975" s="169">
        <f t="shared" si="680"/>
        <v>0</v>
      </c>
    </row>
    <row r="976" spans="1:15" s="125" customFormat="1" ht="76.5">
      <c r="A976" s="12" t="s">
        <v>1048</v>
      </c>
      <c r="B976" s="25" t="s">
        <v>62</v>
      </c>
      <c r="C976" s="26" t="s">
        <v>14</v>
      </c>
      <c r="D976" s="26" t="s">
        <v>2</v>
      </c>
      <c r="E976" s="26" t="s">
        <v>810</v>
      </c>
      <c r="F976" s="26" t="s">
        <v>1055</v>
      </c>
      <c r="G976" s="27">
        <f t="shared" ref="G976" si="684">J976</f>
        <v>1289450</v>
      </c>
      <c r="H976" s="27">
        <f>L976</f>
        <v>1160510</v>
      </c>
      <c r="I976" s="27">
        <f>N976</f>
        <v>1160510</v>
      </c>
      <c r="J976" s="16">
        <f>'БА в тыс. руб.'!G976*1000</f>
        <v>1289450</v>
      </c>
      <c r="K976" s="169">
        <f t="shared" si="678"/>
        <v>0</v>
      </c>
      <c r="L976" s="16">
        <f>'БА в тыс. руб.'!H976*1000</f>
        <v>1160510</v>
      </c>
      <c r="M976" s="169">
        <f t="shared" si="679"/>
        <v>0</v>
      </c>
      <c r="N976" s="16">
        <f>'БА в тыс. руб.'!I976*1000</f>
        <v>1160510</v>
      </c>
      <c r="O976" s="169">
        <f t="shared" si="680"/>
        <v>0</v>
      </c>
    </row>
    <row r="977" spans="1:15" s="33" customFormat="1">
      <c r="A977" s="31" t="s">
        <v>145</v>
      </c>
      <c r="B977" s="25" t="s">
        <v>62</v>
      </c>
      <c r="C977" s="26" t="s">
        <v>14</v>
      </c>
      <c r="D977" s="26" t="s">
        <v>2</v>
      </c>
      <c r="E977" s="26" t="s">
        <v>437</v>
      </c>
      <c r="F977" s="26" t="s">
        <v>58</v>
      </c>
      <c r="G977" s="119">
        <f>G978</f>
        <v>1072210</v>
      </c>
      <c r="H977" s="119">
        <f t="shared" ref="H977:I977" si="685">H978</f>
        <v>974890</v>
      </c>
      <c r="I977" s="119">
        <f t="shared" si="685"/>
        <v>974890</v>
      </c>
      <c r="J977" s="16">
        <f>'БА в тыс. руб.'!G977*1000</f>
        <v>1072210</v>
      </c>
      <c r="K977" s="169">
        <f t="shared" si="678"/>
        <v>0</v>
      </c>
      <c r="L977" s="16">
        <f>'БА в тыс. руб.'!H977*1000</f>
        <v>974890</v>
      </c>
      <c r="M977" s="169">
        <f t="shared" si="679"/>
        <v>0</v>
      </c>
      <c r="N977" s="16">
        <f>'БА в тыс. руб.'!I977*1000</f>
        <v>974890</v>
      </c>
      <c r="O977" s="169">
        <f t="shared" si="680"/>
        <v>0</v>
      </c>
    </row>
    <row r="978" spans="1:15" s="33" customFormat="1" ht="38.25">
      <c r="A978" s="31" t="s">
        <v>439</v>
      </c>
      <c r="B978" s="25" t="s">
        <v>62</v>
      </c>
      <c r="C978" s="26" t="s">
        <v>14</v>
      </c>
      <c r="D978" s="26" t="s">
        <v>2</v>
      </c>
      <c r="E978" s="26" t="s">
        <v>438</v>
      </c>
      <c r="F978" s="26" t="s">
        <v>58</v>
      </c>
      <c r="G978" s="119">
        <f>G979+G985</f>
        <v>1072210</v>
      </c>
      <c r="H978" s="119">
        <f>H979+H985</f>
        <v>974890</v>
      </c>
      <c r="I978" s="119">
        <f>I979+I985</f>
        <v>974890</v>
      </c>
      <c r="J978" s="16">
        <f>'БА в тыс. руб.'!G978*1000</f>
        <v>1072210</v>
      </c>
      <c r="K978" s="169">
        <f t="shared" si="678"/>
        <v>0</v>
      </c>
      <c r="L978" s="16">
        <f>'БА в тыс. руб.'!H978*1000</f>
        <v>974890</v>
      </c>
      <c r="M978" s="169">
        <f t="shared" si="679"/>
        <v>0</v>
      </c>
      <c r="N978" s="16">
        <f>'БА в тыс. руб.'!I978*1000</f>
        <v>974890</v>
      </c>
      <c r="O978" s="169">
        <f t="shared" si="680"/>
        <v>0</v>
      </c>
    </row>
    <row r="979" spans="1:15" s="33" customFormat="1" ht="38.25">
      <c r="A979" s="31" t="s">
        <v>157</v>
      </c>
      <c r="B979" s="25" t="s">
        <v>62</v>
      </c>
      <c r="C979" s="26" t="s">
        <v>14</v>
      </c>
      <c r="D979" s="26" t="s">
        <v>2</v>
      </c>
      <c r="E979" s="26" t="s">
        <v>767</v>
      </c>
      <c r="F979" s="26" t="s">
        <v>58</v>
      </c>
      <c r="G979" s="119">
        <f>G980+G982</f>
        <v>98960</v>
      </c>
      <c r="H979" s="119">
        <f t="shared" ref="H979:I979" si="686">H980+H982</f>
        <v>98960</v>
      </c>
      <c r="I979" s="119">
        <f t="shared" si="686"/>
        <v>98960</v>
      </c>
      <c r="J979" s="16">
        <f>'БА в тыс. руб.'!G979*1000</f>
        <v>98960.000000000015</v>
      </c>
      <c r="K979" s="169">
        <f t="shared" si="678"/>
        <v>0</v>
      </c>
      <c r="L979" s="16">
        <f>'БА в тыс. руб.'!H979*1000</f>
        <v>98960.000000000015</v>
      </c>
      <c r="M979" s="169">
        <f t="shared" si="679"/>
        <v>0</v>
      </c>
      <c r="N979" s="16">
        <f>'БА в тыс. руб.'!I979*1000</f>
        <v>98960.000000000015</v>
      </c>
      <c r="O979" s="169">
        <f t="shared" si="680"/>
        <v>0</v>
      </c>
    </row>
    <row r="980" spans="1:15" s="33" customFormat="1" ht="25.5">
      <c r="A980" s="11" t="s">
        <v>108</v>
      </c>
      <c r="B980" s="25" t="s">
        <v>62</v>
      </c>
      <c r="C980" s="26" t="s">
        <v>14</v>
      </c>
      <c r="D980" s="26" t="s">
        <v>2</v>
      </c>
      <c r="E980" s="26" t="s">
        <v>767</v>
      </c>
      <c r="F980" s="26" t="s">
        <v>116</v>
      </c>
      <c r="G980" s="119">
        <f>G981</f>
        <v>71690</v>
      </c>
      <c r="H980" s="119">
        <f t="shared" ref="H980:I980" si="687">H981</f>
        <v>71690</v>
      </c>
      <c r="I980" s="119">
        <f t="shared" si="687"/>
        <v>71690</v>
      </c>
      <c r="J980" s="16">
        <f>'БА в тыс. руб.'!G980*1000</f>
        <v>71690</v>
      </c>
      <c r="K980" s="169">
        <f t="shared" si="678"/>
        <v>0</v>
      </c>
      <c r="L980" s="16">
        <f>'БА в тыс. руб.'!H980*1000</f>
        <v>71690</v>
      </c>
      <c r="M980" s="169">
        <f t="shared" si="679"/>
        <v>0</v>
      </c>
      <c r="N980" s="16">
        <f>'БА в тыс. руб.'!I980*1000</f>
        <v>71690</v>
      </c>
      <c r="O980" s="169">
        <f t="shared" si="680"/>
        <v>0</v>
      </c>
    </row>
    <row r="981" spans="1:15" s="125" customFormat="1" ht="25.5">
      <c r="A981" s="12" t="s">
        <v>973</v>
      </c>
      <c r="B981" s="25" t="s">
        <v>62</v>
      </c>
      <c r="C981" s="26" t="s">
        <v>14</v>
      </c>
      <c r="D981" s="26" t="s">
        <v>2</v>
      </c>
      <c r="E981" s="26" t="s">
        <v>767</v>
      </c>
      <c r="F981" s="26" t="s">
        <v>1043</v>
      </c>
      <c r="G981" s="27">
        <f t="shared" ref="G981" si="688">J981</f>
        <v>71690</v>
      </c>
      <c r="H981" s="27">
        <f>L981</f>
        <v>71690</v>
      </c>
      <c r="I981" s="27">
        <f>N981</f>
        <v>71690</v>
      </c>
      <c r="J981" s="16">
        <f>'БА в тыс. руб.'!G981*1000</f>
        <v>71690</v>
      </c>
      <c r="K981" s="169">
        <f t="shared" si="678"/>
        <v>0</v>
      </c>
      <c r="L981" s="16">
        <f>'БА в тыс. руб.'!H981*1000</f>
        <v>71690</v>
      </c>
      <c r="M981" s="169">
        <f t="shared" si="679"/>
        <v>0</v>
      </c>
      <c r="N981" s="16">
        <f>'БА в тыс. руб.'!I981*1000</f>
        <v>71690</v>
      </c>
      <c r="O981" s="169">
        <f t="shared" si="680"/>
        <v>0</v>
      </c>
    </row>
    <row r="982" spans="1:15" s="33" customFormat="1">
      <c r="A982" s="11" t="s">
        <v>97</v>
      </c>
      <c r="B982" s="25" t="s">
        <v>62</v>
      </c>
      <c r="C982" s="26" t="s">
        <v>14</v>
      </c>
      <c r="D982" s="26" t="s">
        <v>2</v>
      </c>
      <c r="E982" s="26" t="s">
        <v>767</v>
      </c>
      <c r="F982" s="26" t="s">
        <v>118</v>
      </c>
      <c r="G982" s="119">
        <f>SUM(G983:G984)</f>
        <v>27270</v>
      </c>
      <c r="H982" s="119">
        <f t="shared" ref="H982:I982" si="689">SUM(H983:H984)</f>
        <v>27270</v>
      </c>
      <c r="I982" s="119">
        <f t="shared" si="689"/>
        <v>27270</v>
      </c>
      <c r="J982" s="16">
        <f>'БА в тыс. руб.'!G982*1000</f>
        <v>27270.000000000004</v>
      </c>
      <c r="K982" s="169">
        <f t="shared" si="678"/>
        <v>0</v>
      </c>
      <c r="L982" s="16">
        <f>'БА в тыс. руб.'!H982*1000</f>
        <v>27270.000000000004</v>
      </c>
      <c r="M982" s="169">
        <f t="shared" si="679"/>
        <v>0</v>
      </c>
      <c r="N982" s="16">
        <f>'БА в тыс. руб.'!I982*1000</f>
        <v>27270.000000000004</v>
      </c>
      <c r="O982" s="169">
        <f t="shared" si="680"/>
        <v>0</v>
      </c>
    </row>
    <row r="983" spans="1:15" s="125" customFormat="1">
      <c r="A983" s="12" t="s">
        <v>1036</v>
      </c>
      <c r="B983" s="25" t="s">
        <v>62</v>
      </c>
      <c r="C983" s="26" t="s">
        <v>14</v>
      </c>
      <c r="D983" s="26" t="s">
        <v>2</v>
      </c>
      <c r="E983" s="26" t="s">
        <v>767</v>
      </c>
      <c r="F983" s="26" t="s">
        <v>1061</v>
      </c>
      <c r="G983" s="27">
        <f t="shared" ref="G983:G984" si="690">J983</f>
        <v>25100</v>
      </c>
      <c r="H983" s="27">
        <f t="shared" ref="H983:H984" si="691">L983</f>
        <v>25100</v>
      </c>
      <c r="I983" s="27">
        <f t="shared" ref="I983:I984" si="692">N983</f>
        <v>25100</v>
      </c>
      <c r="J983" s="16">
        <f>'БА в тыс. руб.'!G983*1000</f>
        <v>25100</v>
      </c>
      <c r="K983" s="169">
        <f t="shared" si="678"/>
        <v>0</v>
      </c>
      <c r="L983" s="16">
        <f>'БА в тыс. руб.'!H983*1000</f>
        <v>25100</v>
      </c>
      <c r="M983" s="169">
        <f t="shared" si="679"/>
        <v>0</v>
      </c>
      <c r="N983" s="16">
        <f>'БА в тыс. руб.'!I983*1000</f>
        <v>25100</v>
      </c>
      <c r="O983" s="169">
        <f t="shared" si="680"/>
        <v>0</v>
      </c>
    </row>
    <row r="984" spans="1:15" s="125" customFormat="1">
      <c r="A984" s="12" t="s">
        <v>1037</v>
      </c>
      <c r="B984" s="25" t="s">
        <v>62</v>
      </c>
      <c r="C984" s="26" t="s">
        <v>14</v>
      </c>
      <c r="D984" s="26" t="s">
        <v>2</v>
      </c>
      <c r="E984" s="26" t="s">
        <v>767</v>
      </c>
      <c r="F984" s="26" t="s">
        <v>1062</v>
      </c>
      <c r="G984" s="27">
        <f t="shared" si="690"/>
        <v>2170</v>
      </c>
      <c r="H984" s="27">
        <f t="shared" si="691"/>
        <v>2170</v>
      </c>
      <c r="I984" s="27">
        <f t="shared" si="692"/>
        <v>2170</v>
      </c>
      <c r="J984" s="16">
        <f>'БА в тыс. руб.'!G984*1000</f>
        <v>2170</v>
      </c>
      <c r="K984" s="169">
        <f t="shared" si="678"/>
        <v>0</v>
      </c>
      <c r="L984" s="16">
        <f>'БА в тыс. руб.'!H984*1000</f>
        <v>2170</v>
      </c>
      <c r="M984" s="169">
        <f t="shared" si="679"/>
        <v>0</v>
      </c>
      <c r="N984" s="16">
        <f>'БА в тыс. руб.'!I984*1000</f>
        <v>2170</v>
      </c>
      <c r="O984" s="169">
        <f t="shared" si="680"/>
        <v>0</v>
      </c>
    </row>
    <row r="985" spans="1:15" s="33" customFormat="1" ht="38.25">
      <c r="A985" s="31" t="s">
        <v>706</v>
      </c>
      <c r="B985" s="25" t="s">
        <v>62</v>
      </c>
      <c r="C985" s="26" t="s">
        <v>14</v>
      </c>
      <c r="D985" s="26" t="s">
        <v>2</v>
      </c>
      <c r="E985" s="26" t="s">
        <v>766</v>
      </c>
      <c r="F985" s="26" t="s">
        <v>58</v>
      </c>
      <c r="G985" s="119">
        <f>G986</f>
        <v>973250</v>
      </c>
      <c r="H985" s="119">
        <f t="shared" ref="H985:I986" si="693">H986</f>
        <v>875930</v>
      </c>
      <c r="I985" s="119">
        <f t="shared" si="693"/>
        <v>875930</v>
      </c>
      <c r="J985" s="16">
        <f>'БА в тыс. руб.'!G985*1000</f>
        <v>973250</v>
      </c>
      <c r="K985" s="169">
        <f t="shared" si="678"/>
        <v>0</v>
      </c>
      <c r="L985" s="16">
        <f>'БА в тыс. руб.'!H985*1000</f>
        <v>875930</v>
      </c>
      <c r="M985" s="169">
        <f t="shared" si="679"/>
        <v>0</v>
      </c>
      <c r="N985" s="16">
        <f>'БА в тыс. руб.'!I985*1000</f>
        <v>875930</v>
      </c>
      <c r="O985" s="169">
        <f t="shared" si="680"/>
        <v>0</v>
      </c>
    </row>
    <row r="986" spans="1:15" s="33" customFormat="1" ht="25.5">
      <c r="A986" s="31" t="s">
        <v>108</v>
      </c>
      <c r="B986" s="25" t="s">
        <v>62</v>
      </c>
      <c r="C986" s="26" t="s">
        <v>14</v>
      </c>
      <c r="D986" s="26" t="s">
        <v>2</v>
      </c>
      <c r="E986" s="26" t="s">
        <v>766</v>
      </c>
      <c r="F986" s="26" t="s">
        <v>116</v>
      </c>
      <c r="G986" s="119">
        <f>G987</f>
        <v>973250</v>
      </c>
      <c r="H986" s="119">
        <f t="shared" si="693"/>
        <v>875930</v>
      </c>
      <c r="I986" s="119">
        <f t="shared" si="693"/>
        <v>875930</v>
      </c>
      <c r="J986" s="16">
        <f>'БА в тыс. руб.'!G986*1000</f>
        <v>973250</v>
      </c>
      <c r="K986" s="169">
        <f t="shared" si="678"/>
        <v>0</v>
      </c>
      <c r="L986" s="16">
        <f>'БА в тыс. руб.'!H986*1000</f>
        <v>875930</v>
      </c>
      <c r="M986" s="169">
        <f t="shared" si="679"/>
        <v>0</v>
      </c>
      <c r="N986" s="16">
        <f>'БА в тыс. руб.'!I986*1000</f>
        <v>875930</v>
      </c>
      <c r="O986" s="169">
        <f t="shared" si="680"/>
        <v>0</v>
      </c>
    </row>
    <row r="987" spans="1:15" s="125" customFormat="1" ht="25.5">
      <c r="A987" s="12" t="s">
        <v>973</v>
      </c>
      <c r="B987" s="25" t="s">
        <v>62</v>
      </c>
      <c r="C987" s="26" t="s">
        <v>14</v>
      </c>
      <c r="D987" s="26" t="s">
        <v>2</v>
      </c>
      <c r="E987" s="26" t="s">
        <v>766</v>
      </c>
      <c r="F987" s="26" t="s">
        <v>1043</v>
      </c>
      <c r="G987" s="27">
        <f t="shared" ref="G987" si="694">J987</f>
        <v>973250</v>
      </c>
      <c r="H987" s="27">
        <f>L987</f>
        <v>875930</v>
      </c>
      <c r="I987" s="27">
        <f>N987</f>
        <v>875930</v>
      </c>
      <c r="J987" s="16">
        <f>'БА в тыс. руб.'!G987*1000</f>
        <v>973250</v>
      </c>
      <c r="K987" s="169">
        <f t="shared" si="678"/>
        <v>0</v>
      </c>
      <c r="L987" s="16">
        <f>'БА в тыс. руб.'!H987*1000</f>
        <v>875930</v>
      </c>
      <c r="M987" s="169">
        <f t="shared" si="679"/>
        <v>0</v>
      </c>
      <c r="N987" s="16">
        <f>'БА в тыс. руб.'!I987*1000</f>
        <v>875930</v>
      </c>
      <c r="O987" s="169">
        <f t="shared" si="680"/>
        <v>0</v>
      </c>
    </row>
    <row r="988" spans="1:15" s="33" customFormat="1" ht="25.5">
      <c r="A988" s="120" t="s">
        <v>186</v>
      </c>
      <c r="B988" s="25" t="s">
        <v>62</v>
      </c>
      <c r="C988" s="26" t="s">
        <v>14</v>
      </c>
      <c r="D988" s="26" t="s">
        <v>2</v>
      </c>
      <c r="E988" s="25" t="s">
        <v>443</v>
      </c>
      <c r="F988" s="26" t="s">
        <v>58</v>
      </c>
      <c r="G988" s="121">
        <f>G989</f>
        <v>61825860</v>
      </c>
      <c r="H988" s="121">
        <f t="shared" ref="H988:I988" si="695">H989</f>
        <v>61855260</v>
      </c>
      <c r="I988" s="121">
        <f t="shared" si="695"/>
        <v>61855260</v>
      </c>
      <c r="J988" s="16">
        <f>'БА в тыс. руб.'!G988*1000</f>
        <v>61825860</v>
      </c>
      <c r="K988" s="169">
        <f t="shared" si="678"/>
        <v>0</v>
      </c>
      <c r="L988" s="16">
        <f>'БА в тыс. руб.'!H988*1000</f>
        <v>61855260.000000007</v>
      </c>
      <c r="M988" s="169">
        <f t="shared" si="679"/>
        <v>0</v>
      </c>
      <c r="N988" s="16">
        <f>'БА в тыс. руб.'!I988*1000</f>
        <v>61855260.000000007</v>
      </c>
      <c r="O988" s="169">
        <f t="shared" si="680"/>
        <v>0</v>
      </c>
    </row>
    <row r="989" spans="1:15" s="33" customFormat="1" ht="38.25">
      <c r="A989" s="120" t="s">
        <v>189</v>
      </c>
      <c r="B989" s="25" t="s">
        <v>62</v>
      </c>
      <c r="C989" s="26" t="s">
        <v>14</v>
      </c>
      <c r="D989" s="26" t="s">
        <v>2</v>
      </c>
      <c r="E989" s="25" t="s">
        <v>444</v>
      </c>
      <c r="F989" s="26" t="s">
        <v>58</v>
      </c>
      <c r="G989" s="121">
        <f>G990+G998+G1002+G1007</f>
        <v>61825860</v>
      </c>
      <c r="H989" s="121">
        <f>H990+H998+H1002+H1007</f>
        <v>61855260</v>
      </c>
      <c r="I989" s="121">
        <f>I990+I998+I1002+I1007</f>
        <v>61855260</v>
      </c>
      <c r="J989" s="16">
        <f>'БА в тыс. руб.'!G989*1000</f>
        <v>61825860</v>
      </c>
      <c r="K989" s="169">
        <f t="shared" si="678"/>
        <v>0</v>
      </c>
      <c r="L989" s="16">
        <f>'БА в тыс. руб.'!H989*1000</f>
        <v>61855260.000000007</v>
      </c>
      <c r="M989" s="169">
        <f t="shared" si="679"/>
        <v>0</v>
      </c>
      <c r="N989" s="16">
        <f>'БА в тыс. руб.'!I989*1000</f>
        <v>61855260.000000007</v>
      </c>
      <c r="O989" s="169">
        <f t="shared" si="680"/>
        <v>0</v>
      </c>
    </row>
    <row r="990" spans="1:15" s="33" customFormat="1" ht="25.5">
      <c r="A990" s="122" t="s">
        <v>114</v>
      </c>
      <c r="B990" s="25" t="s">
        <v>62</v>
      </c>
      <c r="C990" s="26" t="s">
        <v>14</v>
      </c>
      <c r="D990" s="26" t="s">
        <v>2</v>
      </c>
      <c r="E990" s="123" t="s">
        <v>445</v>
      </c>
      <c r="F990" s="26" t="s">
        <v>58</v>
      </c>
      <c r="G990" s="121">
        <f>G991+G994+G996</f>
        <v>846890</v>
      </c>
      <c r="H990" s="121">
        <f t="shared" ref="H990:I990" si="696">H991+H994+H996</f>
        <v>856030</v>
      </c>
      <c r="I990" s="121">
        <f t="shared" si="696"/>
        <v>856030</v>
      </c>
      <c r="J990" s="16">
        <f>'БА в тыс. руб.'!G990*1000</f>
        <v>846890</v>
      </c>
      <c r="K990" s="169">
        <f t="shared" si="678"/>
        <v>0</v>
      </c>
      <c r="L990" s="16">
        <f>'БА в тыс. руб.'!H990*1000</f>
        <v>856030.00000000012</v>
      </c>
      <c r="M990" s="169">
        <f t="shared" si="679"/>
        <v>0</v>
      </c>
      <c r="N990" s="16">
        <f>'БА в тыс. руб.'!I990*1000</f>
        <v>856030.00000000012</v>
      </c>
      <c r="O990" s="169">
        <f t="shared" si="680"/>
        <v>0</v>
      </c>
    </row>
    <row r="991" spans="1:15" s="33" customFormat="1" ht="25.5">
      <c r="A991" s="11" t="s">
        <v>107</v>
      </c>
      <c r="B991" s="25" t="s">
        <v>62</v>
      </c>
      <c r="C991" s="26" t="s">
        <v>14</v>
      </c>
      <c r="D991" s="26" t="s">
        <v>2</v>
      </c>
      <c r="E991" s="123" t="s">
        <v>445</v>
      </c>
      <c r="F991" s="26" t="s">
        <v>115</v>
      </c>
      <c r="G991" s="119">
        <f>SUM(G992:G993)</f>
        <v>132960</v>
      </c>
      <c r="H991" s="119">
        <f t="shared" ref="H991:I991" si="697">SUM(H992:H993)</f>
        <v>132960</v>
      </c>
      <c r="I991" s="119">
        <f t="shared" si="697"/>
        <v>132960</v>
      </c>
      <c r="J991" s="16">
        <f>'БА в тыс. руб.'!G991*1000</f>
        <v>132960</v>
      </c>
      <c r="K991" s="169">
        <f t="shared" si="678"/>
        <v>0</v>
      </c>
      <c r="L991" s="16">
        <f>'БА в тыс. руб.'!H991*1000</f>
        <v>132960</v>
      </c>
      <c r="M991" s="169">
        <f t="shared" si="679"/>
        <v>0</v>
      </c>
      <c r="N991" s="16">
        <f>'БА в тыс. руб.'!I991*1000</f>
        <v>132960</v>
      </c>
      <c r="O991" s="169">
        <f t="shared" si="680"/>
        <v>0</v>
      </c>
    </row>
    <row r="992" spans="1:15" s="33" customFormat="1" ht="25.5">
      <c r="A992" s="11" t="s">
        <v>937</v>
      </c>
      <c r="B992" s="25" t="s">
        <v>62</v>
      </c>
      <c r="C992" s="26" t="s">
        <v>14</v>
      </c>
      <c r="D992" s="26" t="s">
        <v>2</v>
      </c>
      <c r="E992" s="123" t="s">
        <v>445</v>
      </c>
      <c r="F992" s="26" t="s">
        <v>1059</v>
      </c>
      <c r="G992" s="27">
        <f t="shared" ref="G992:G993" si="698">J992</f>
        <v>102120</v>
      </c>
      <c r="H992" s="27">
        <f t="shared" ref="H992:H993" si="699">L992</f>
        <v>102120</v>
      </c>
      <c r="I992" s="27">
        <f t="shared" ref="I992:I993" si="700">N992</f>
        <v>102120</v>
      </c>
      <c r="J992" s="16">
        <f>'БА в тыс. руб.'!G992*1000</f>
        <v>102120</v>
      </c>
      <c r="K992" s="169">
        <f t="shared" si="678"/>
        <v>0</v>
      </c>
      <c r="L992" s="16">
        <f>'БА в тыс. руб.'!H992*1000</f>
        <v>102120</v>
      </c>
      <c r="M992" s="169">
        <f t="shared" si="679"/>
        <v>0</v>
      </c>
      <c r="N992" s="16">
        <f>'БА в тыс. руб.'!I992*1000</f>
        <v>102120</v>
      </c>
      <c r="O992" s="169">
        <f t="shared" si="680"/>
        <v>0</v>
      </c>
    </row>
    <row r="993" spans="1:15" s="33" customFormat="1" ht="38.25">
      <c r="A993" s="11" t="s">
        <v>939</v>
      </c>
      <c r="B993" s="25" t="s">
        <v>62</v>
      </c>
      <c r="C993" s="26" t="s">
        <v>14</v>
      </c>
      <c r="D993" s="26" t="s">
        <v>2</v>
      </c>
      <c r="E993" s="123" t="s">
        <v>445</v>
      </c>
      <c r="F993" s="26" t="s">
        <v>1060</v>
      </c>
      <c r="G993" s="27">
        <f t="shared" si="698"/>
        <v>30840</v>
      </c>
      <c r="H993" s="27">
        <f t="shared" si="699"/>
        <v>30840</v>
      </c>
      <c r="I993" s="27">
        <f t="shared" si="700"/>
        <v>30840</v>
      </c>
      <c r="J993" s="16">
        <f>'БА в тыс. руб.'!G993*1000</f>
        <v>30840</v>
      </c>
      <c r="K993" s="169">
        <f t="shared" si="678"/>
        <v>0</v>
      </c>
      <c r="L993" s="16">
        <f>'БА в тыс. руб.'!H993*1000</f>
        <v>30840</v>
      </c>
      <c r="M993" s="169">
        <f t="shared" si="679"/>
        <v>0</v>
      </c>
      <c r="N993" s="16">
        <f>'БА в тыс. руб.'!I993*1000</f>
        <v>30840</v>
      </c>
      <c r="O993" s="169">
        <f t="shared" si="680"/>
        <v>0</v>
      </c>
    </row>
    <row r="994" spans="1:15" s="33" customFormat="1" ht="25.5">
      <c r="A994" s="11" t="s">
        <v>108</v>
      </c>
      <c r="B994" s="25" t="s">
        <v>62</v>
      </c>
      <c r="C994" s="26" t="s">
        <v>14</v>
      </c>
      <c r="D994" s="26" t="s">
        <v>2</v>
      </c>
      <c r="E994" s="123" t="s">
        <v>445</v>
      </c>
      <c r="F994" s="26" t="s">
        <v>116</v>
      </c>
      <c r="G994" s="119">
        <f>G995</f>
        <v>703930</v>
      </c>
      <c r="H994" s="119">
        <f t="shared" ref="H994:I994" si="701">H995</f>
        <v>713070</v>
      </c>
      <c r="I994" s="119">
        <f t="shared" si="701"/>
        <v>713070</v>
      </c>
      <c r="J994" s="16">
        <f>'БА в тыс. руб.'!G994*1000</f>
        <v>703930</v>
      </c>
      <c r="K994" s="169">
        <f t="shared" si="678"/>
        <v>0</v>
      </c>
      <c r="L994" s="16">
        <f>'БА в тыс. руб.'!H994*1000</f>
        <v>713070</v>
      </c>
      <c r="M994" s="169">
        <f t="shared" si="679"/>
        <v>0</v>
      </c>
      <c r="N994" s="16">
        <f>'БА в тыс. руб.'!I994*1000</f>
        <v>713070</v>
      </c>
      <c r="O994" s="169">
        <f t="shared" si="680"/>
        <v>0</v>
      </c>
    </row>
    <row r="995" spans="1:15" s="105" customFormat="1" ht="25.5">
      <c r="A995" s="12" t="s">
        <v>973</v>
      </c>
      <c r="B995" s="25" t="s">
        <v>62</v>
      </c>
      <c r="C995" s="26" t="s">
        <v>14</v>
      </c>
      <c r="D995" s="26" t="s">
        <v>2</v>
      </c>
      <c r="E995" s="123" t="s">
        <v>445</v>
      </c>
      <c r="F995" s="26" t="s">
        <v>1043</v>
      </c>
      <c r="G995" s="27">
        <f t="shared" ref="G995" si="702">J995</f>
        <v>703930</v>
      </c>
      <c r="H995" s="27">
        <f>L995</f>
        <v>713070</v>
      </c>
      <c r="I995" s="27">
        <f>N995</f>
        <v>713070</v>
      </c>
      <c r="J995" s="16">
        <f>'БА в тыс. руб.'!G995*1000</f>
        <v>703930</v>
      </c>
      <c r="K995" s="169">
        <f t="shared" si="678"/>
        <v>0</v>
      </c>
      <c r="L995" s="16">
        <f>'БА в тыс. руб.'!H995*1000</f>
        <v>713070</v>
      </c>
      <c r="M995" s="169">
        <f t="shared" si="679"/>
        <v>0</v>
      </c>
      <c r="N995" s="16">
        <f>'БА в тыс. руб.'!I995*1000</f>
        <v>713070</v>
      </c>
      <c r="O995" s="169">
        <f t="shared" si="680"/>
        <v>0</v>
      </c>
    </row>
    <row r="996" spans="1:15" s="33" customFormat="1">
      <c r="A996" s="11" t="s">
        <v>97</v>
      </c>
      <c r="B996" s="25" t="s">
        <v>62</v>
      </c>
      <c r="C996" s="26" t="s">
        <v>14</v>
      </c>
      <c r="D996" s="26" t="s">
        <v>2</v>
      </c>
      <c r="E996" s="123" t="s">
        <v>445</v>
      </c>
      <c r="F996" s="26" t="s">
        <v>118</v>
      </c>
      <c r="G996" s="119">
        <f>G997</f>
        <v>10000</v>
      </c>
      <c r="H996" s="119">
        <f t="shared" ref="H996:I996" si="703">H997</f>
        <v>10000</v>
      </c>
      <c r="I996" s="119">
        <f t="shared" si="703"/>
        <v>10000</v>
      </c>
      <c r="J996" s="16">
        <f>'БА в тыс. руб.'!G996*1000</f>
        <v>10000</v>
      </c>
      <c r="K996" s="169">
        <f t="shared" si="678"/>
        <v>0</v>
      </c>
      <c r="L996" s="16">
        <f>'БА в тыс. руб.'!H996*1000</f>
        <v>10000</v>
      </c>
      <c r="M996" s="169">
        <f t="shared" si="679"/>
        <v>0</v>
      </c>
      <c r="N996" s="16">
        <f>'БА в тыс. руб.'!I996*1000</f>
        <v>10000</v>
      </c>
      <c r="O996" s="169">
        <f t="shared" si="680"/>
        <v>0</v>
      </c>
    </row>
    <row r="997" spans="1:15" s="33" customFormat="1">
      <c r="A997" s="11" t="s">
        <v>1037</v>
      </c>
      <c r="B997" s="25" t="s">
        <v>62</v>
      </c>
      <c r="C997" s="26" t="s">
        <v>14</v>
      </c>
      <c r="D997" s="26" t="s">
        <v>2</v>
      </c>
      <c r="E997" s="123" t="s">
        <v>445</v>
      </c>
      <c r="F997" s="26" t="s">
        <v>1062</v>
      </c>
      <c r="G997" s="27">
        <f t="shared" ref="G997" si="704">J997</f>
        <v>10000</v>
      </c>
      <c r="H997" s="27">
        <f>L997</f>
        <v>10000</v>
      </c>
      <c r="I997" s="27">
        <f>N997</f>
        <v>10000</v>
      </c>
      <c r="J997" s="16">
        <f>'БА в тыс. руб.'!G997*1000</f>
        <v>10000</v>
      </c>
      <c r="K997" s="169">
        <f t="shared" si="678"/>
        <v>0</v>
      </c>
      <c r="L997" s="16">
        <f>'БА в тыс. руб.'!H997*1000</f>
        <v>10000</v>
      </c>
      <c r="M997" s="169">
        <f t="shared" si="679"/>
        <v>0</v>
      </c>
      <c r="N997" s="16">
        <f>'БА в тыс. руб.'!I997*1000</f>
        <v>10000</v>
      </c>
      <c r="O997" s="169">
        <f t="shared" si="680"/>
        <v>0</v>
      </c>
    </row>
    <row r="998" spans="1:15" s="33" customFormat="1" ht="25.5">
      <c r="A998" s="122" t="s">
        <v>126</v>
      </c>
      <c r="B998" s="25" t="s">
        <v>62</v>
      </c>
      <c r="C998" s="26" t="s">
        <v>14</v>
      </c>
      <c r="D998" s="26" t="s">
        <v>2</v>
      </c>
      <c r="E998" s="123" t="s">
        <v>446</v>
      </c>
      <c r="F998" s="26" t="s">
        <v>58</v>
      </c>
      <c r="G998" s="121">
        <f>G999</f>
        <v>6126950</v>
      </c>
      <c r="H998" s="121">
        <f>H999</f>
        <v>6126950</v>
      </c>
      <c r="I998" s="121">
        <f>I999</f>
        <v>6126950</v>
      </c>
      <c r="J998" s="16">
        <f>'БА в тыс. руб.'!G998*1000</f>
        <v>6126950.0000000009</v>
      </c>
      <c r="K998" s="169">
        <f t="shared" si="678"/>
        <v>0</v>
      </c>
      <c r="L998" s="16">
        <f>'БА в тыс. руб.'!H998*1000</f>
        <v>6126950.0000000009</v>
      </c>
      <c r="M998" s="169">
        <f t="shared" si="679"/>
        <v>0</v>
      </c>
      <c r="N998" s="16">
        <f>'БА в тыс. руб.'!I998*1000</f>
        <v>6126950.0000000009</v>
      </c>
      <c r="O998" s="169">
        <f t="shared" si="680"/>
        <v>0</v>
      </c>
    </row>
    <row r="999" spans="1:15" s="33" customFormat="1" ht="25.5">
      <c r="A999" s="11" t="s">
        <v>107</v>
      </c>
      <c r="B999" s="25" t="s">
        <v>62</v>
      </c>
      <c r="C999" s="26" t="s">
        <v>14</v>
      </c>
      <c r="D999" s="26" t="s">
        <v>2</v>
      </c>
      <c r="E999" s="123" t="s">
        <v>446</v>
      </c>
      <c r="F999" s="26" t="s">
        <v>115</v>
      </c>
      <c r="G999" s="119">
        <f>SUM(G1000:G1001)</f>
        <v>6126950</v>
      </c>
      <c r="H999" s="119">
        <f t="shared" ref="H999:I999" si="705">SUM(H1000:H1001)</f>
        <v>6126950</v>
      </c>
      <c r="I999" s="119">
        <f t="shared" si="705"/>
        <v>6126950</v>
      </c>
      <c r="J999" s="16">
        <f>'БА в тыс. руб.'!G999*1000</f>
        <v>6126950.0000000009</v>
      </c>
      <c r="K999" s="169">
        <f t="shared" si="678"/>
        <v>0</v>
      </c>
      <c r="L999" s="16">
        <f>'БА в тыс. руб.'!H999*1000</f>
        <v>6126950.0000000009</v>
      </c>
      <c r="M999" s="169">
        <f t="shared" si="679"/>
        <v>0</v>
      </c>
      <c r="N999" s="16">
        <f>'БА в тыс. руб.'!I999*1000</f>
        <v>6126950.0000000009</v>
      </c>
      <c r="O999" s="169">
        <f t="shared" si="680"/>
        <v>0</v>
      </c>
    </row>
    <row r="1000" spans="1:15" s="33" customFormat="1">
      <c r="A1000" s="11" t="s">
        <v>936</v>
      </c>
      <c r="B1000" s="25" t="s">
        <v>62</v>
      </c>
      <c r="C1000" s="26" t="s">
        <v>14</v>
      </c>
      <c r="D1000" s="26" t="s">
        <v>2</v>
      </c>
      <c r="E1000" s="123" t="s">
        <v>446</v>
      </c>
      <c r="F1000" s="26" t="s">
        <v>1063</v>
      </c>
      <c r="G1000" s="27">
        <f t="shared" ref="G1000:G1001" si="706">J1000</f>
        <v>4705800</v>
      </c>
      <c r="H1000" s="27">
        <f t="shared" ref="H1000:H1001" si="707">L1000</f>
        <v>4705800</v>
      </c>
      <c r="I1000" s="27">
        <f t="shared" ref="I1000:I1001" si="708">N1000</f>
        <v>4705800</v>
      </c>
      <c r="J1000" s="16">
        <f>'БА в тыс. руб.'!G1000*1000</f>
        <v>4705800</v>
      </c>
      <c r="K1000" s="169">
        <f t="shared" si="678"/>
        <v>0</v>
      </c>
      <c r="L1000" s="16">
        <f>'БА в тыс. руб.'!H1000*1000</f>
        <v>4705800</v>
      </c>
      <c r="M1000" s="169">
        <f t="shared" si="679"/>
        <v>0</v>
      </c>
      <c r="N1000" s="16">
        <f>'БА в тыс. руб.'!I1000*1000</f>
        <v>4705800</v>
      </c>
      <c r="O1000" s="169">
        <f t="shared" si="680"/>
        <v>0</v>
      </c>
    </row>
    <row r="1001" spans="1:15" s="33" customFormat="1" ht="38.25">
      <c r="A1001" s="11" t="s">
        <v>939</v>
      </c>
      <c r="B1001" s="25" t="s">
        <v>62</v>
      </c>
      <c r="C1001" s="26" t="s">
        <v>14</v>
      </c>
      <c r="D1001" s="26" t="s">
        <v>2</v>
      </c>
      <c r="E1001" s="123" t="s">
        <v>446</v>
      </c>
      <c r="F1001" s="26" t="s">
        <v>1060</v>
      </c>
      <c r="G1001" s="27">
        <f t="shared" si="706"/>
        <v>1421150</v>
      </c>
      <c r="H1001" s="27">
        <f t="shared" si="707"/>
        <v>1421150</v>
      </c>
      <c r="I1001" s="27">
        <f t="shared" si="708"/>
        <v>1421150</v>
      </c>
      <c r="J1001" s="16">
        <f>'БА в тыс. руб.'!G1001*1000</f>
        <v>1421150</v>
      </c>
      <c r="K1001" s="169">
        <f t="shared" si="678"/>
        <v>0</v>
      </c>
      <c r="L1001" s="16">
        <f>'БА в тыс. руб.'!H1001*1000</f>
        <v>1421150</v>
      </c>
      <c r="M1001" s="169">
        <f t="shared" si="679"/>
        <v>0</v>
      </c>
      <c r="N1001" s="16">
        <f>'БА в тыс. руб.'!I1001*1000</f>
        <v>1421150</v>
      </c>
      <c r="O1001" s="169">
        <f t="shared" si="680"/>
        <v>0</v>
      </c>
    </row>
    <row r="1002" spans="1:15" s="33" customFormat="1" ht="51">
      <c r="A1002" s="122" t="s">
        <v>599</v>
      </c>
      <c r="B1002" s="25" t="s">
        <v>62</v>
      </c>
      <c r="C1002" s="26" t="s">
        <v>14</v>
      </c>
      <c r="D1002" s="26" t="s">
        <v>2</v>
      </c>
      <c r="E1002" s="123" t="s">
        <v>447</v>
      </c>
      <c r="F1002" s="26" t="s">
        <v>58</v>
      </c>
      <c r="G1002" s="121">
        <f>G1003</f>
        <v>1452290</v>
      </c>
      <c r="H1002" s="121">
        <f>H1003</f>
        <v>1452290</v>
      </c>
      <c r="I1002" s="121">
        <f>I1003</f>
        <v>1452290</v>
      </c>
      <c r="J1002" s="16">
        <f>'БА в тыс. руб.'!G1002*1000</f>
        <v>1452290</v>
      </c>
      <c r="K1002" s="169">
        <f t="shared" si="678"/>
        <v>0</v>
      </c>
      <c r="L1002" s="16">
        <f>'БА в тыс. руб.'!H1002*1000</f>
        <v>1452290</v>
      </c>
      <c r="M1002" s="169">
        <f t="shared" si="679"/>
        <v>0</v>
      </c>
      <c r="N1002" s="16">
        <f>'БА в тыс. руб.'!I1002*1000</f>
        <v>1452290</v>
      </c>
      <c r="O1002" s="169">
        <f t="shared" si="680"/>
        <v>0</v>
      </c>
    </row>
    <row r="1003" spans="1:15" s="33" customFormat="1" ht="25.5">
      <c r="A1003" s="11" t="s">
        <v>107</v>
      </c>
      <c r="B1003" s="25" t="s">
        <v>62</v>
      </c>
      <c r="C1003" s="26" t="s">
        <v>14</v>
      </c>
      <c r="D1003" s="26" t="s">
        <v>2</v>
      </c>
      <c r="E1003" s="123" t="s">
        <v>447</v>
      </c>
      <c r="F1003" s="26" t="s">
        <v>115</v>
      </c>
      <c r="G1003" s="119">
        <f>SUM(G1004:G1006)</f>
        <v>1452290</v>
      </c>
      <c r="H1003" s="119">
        <f t="shared" ref="H1003:I1003" si="709">SUM(H1004:H1006)</f>
        <v>1452290</v>
      </c>
      <c r="I1003" s="119">
        <f t="shared" si="709"/>
        <v>1452290</v>
      </c>
      <c r="J1003" s="16">
        <f>'БА в тыс. руб.'!G1003*1000</f>
        <v>1452290</v>
      </c>
      <c r="K1003" s="169">
        <f t="shared" si="678"/>
        <v>0</v>
      </c>
      <c r="L1003" s="16">
        <f>'БА в тыс. руб.'!H1003*1000</f>
        <v>1452290</v>
      </c>
      <c r="M1003" s="169">
        <f t="shared" si="679"/>
        <v>0</v>
      </c>
      <c r="N1003" s="16">
        <f>'БА в тыс. руб.'!I1003*1000</f>
        <v>1452290</v>
      </c>
      <c r="O1003" s="169">
        <f t="shared" si="680"/>
        <v>0</v>
      </c>
    </row>
    <row r="1004" spans="1:15" s="33" customFormat="1">
      <c r="A1004" s="11" t="s">
        <v>936</v>
      </c>
      <c r="B1004" s="25" t="s">
        <v>62</v>
      </c>
      <c r="C1004" s="26" t="s">
        <v>14</v>
      </c>
      <c r="D1004" s="26" t="s">
        <v>2</v>
      </c>
      <c r="E1004" s="123" t="s">
        <v>447</v>
      </c>
      <c r="F1004" s="26" t="s">
        <v>1063</v>
      </c>
      <c r="G1004" s="27">
        <f t="shared" ref="G1004:G1006" si="710">J1004</f>
        <v>1077130</v>
      </c>
      <c r="H1004" s="27">
        <f t="shared" ref="H1004:H1006" si="711">L1004</f>
        <v>1077130</v>
      </c>
      <c r="I1004" s="27">
        <f t="shared" ref="I1004:I1006" si="712">N1004</f>
        <v>1077130</v>
      </c>
      <c r="J1004" s="16">
        <f>'БА в тыс. руб.'!G1004*1000</f>
        <v>1077130</v>
      </c>
      <c r="K1004" s="169">
        <f t="shared" si="678"/>
        <v>0</v>
      </c>
      <c r="L1004" s="16">
        <f>'БА в тыс. руб.'!H1004*1000</f>
        <v>1077130</v>
      </c>
      <c r="M1004" s="169">
        <f t="shared" si="679"/>
        <v>0</v>
      </c>
      <c r="N1004" s="16">
        <f>'БА в тыс. руб.'!I1004*1000</f>
        <v>1077130</v>
      </c>
      <c r="O1004" s="169">
        <f t="shared" si="680"/>
        <v>0</v>
      </c>
    </row>
    <row r="1005" spans="1:15" s="33" customFormat="1" ht="25.5">
      <c r="A1005" s="11" t="s">
        <v>937</v>
      </c>
      <c r="B1005" s="25" t="s">
        <v>62</v>
      </c>
      <c r="C1005" s="26" t="s">
        <v>14</v>
      </c>
      <c r="D1005" s="26" t="s">
        <v>2</v>
      </c>
      <c r="E1005" s="123" t="s">
        <v>447</v>
      </c>
      <c r="F1005" s="26" t="s">
        <v>1059</v>
      </c>
      <c r="G1005" s="27">
        <f t="shared" si="710"/>
        <v>38300</v>
      </c>
      <c r="H1005" s="27">
        <f t="shared" si="711"/>
        <v>38300</v>
      </c>
      <c r="I1005" s="27">
        <f t="shared" si="712"/>
        <v>38300</v>
      </c>
      <c r="J1005" s="16">
        <f>'БА в тыс. руб.'!G1005*1000</f>
        <v>38300</v>
      </c>
      <c r="K1005" s="169"/>
      <c r="L1005" s="16">
        <f>'БА в тыс. руб.'!H1005*1000</f>
        <v>38300</v>
      </c>
      <c r="M1005" s="169"/>
      <c r="N1005" s="16">
        <f>'БА в тыс. руб.'!I1005*1000</f>
        <v>38300</v>
      </c>
      <c r="O1005" s="169"/>
    </row>
    <row r="1006" spans="1:15" s="33" customFormat="1" ht="38.25">
      <c r="A1006" s="11" t="s">
        <v>939</v>
      </c>
      <c r="B1006" s="25" t="s">
        <v>62</v>
      </c>
      <c r="C1006" s="26" t="s">
        <v>14</v>
      </c>
      <c r="D1006" s="26" t="s">
        <v>2</v>
      </c>
      <c r="E1006" s="123" t="s">
        <v>447</v>
      </c>
      <c r="F1006" s="26" t="s">
        <v>1060</v>
      </c>
      <c r="G1006" s="27">
        <f t="shared" si="710"/>
        <v>336860</v>
      </c>
      <c r="H1006" s="27">
        <f t="shared" si="711"/>
        <v>336860</v>
      </c>
      <c r="I1006" s="27">
        <f t="shared" si="712"/>
        <v>336860</v>
      </c>
      <c r="J1006" s="16">
        <f>'БА в тыс. руб.'!G1006*1000</f>
        <v>336860</v>
      </c>
      <c r="K1006" s="169">
        <f t="shared" si="678"/>
        <v>0</v>
      </c>
      <c r="L1006" s="16">
        <f>'БА в тыс. руб.'!H1006*1000</f>
        <v>336860</v>
      </c>
      <c r="M1006" s="169">
        <f t="shared" si="679"/>
        <v>0</v>
      </c>
      <c r="N1006" s="16">
        <f>'БА в тыс. руб.'!I1006*1000</f>
        <v>336860</v>
      </c>
      <c r="O1006" s="169">
        <f t="shared" si="680"/>
        <v>0</v>
      </c>
    </row>
    <row r="1007" spans="1:15" s="33" customFormat="1" ht="38.25">
      <c r="A1007" s="122" t="s">
        <v>600</v>
      </c>
      <c r="B1007" s="25" t="s">
        <v>62</v>
      </c>
      <c r="C1007" s="26" t="s">
        <v>14</v>
      </c>
      <c r="D1007" s="26" t="s">
        <v>2</v>
      </c>
      <c r="E1007" s="123" t="s">
        <v>448</v>
      </c>
      <c r="F1007" s="26" t="s">
        <v>58</v>
      </c>
      <c r="G1007" s="121">
        <f>G1008+G1012+G1014</f>
        <v>53399730</v>
      </c>
      <c r="H1007" s="121">
        <f>H1008+H1012+H1014</f>
        <v>53419990</v>
      </c>
      <c r="I1007" s="121">
        <f>I1008+I1012+I1014</f>
        <v>53419990</v>
      </c>
      <c r="J1007" s="16">
        <f>'БА в тыс. руб.'!G1007*1000</f>
        <v>53399730</v>
      </c>
      <c r="K1007" s="169">
        <f t="shared" si="678"/>
        <v>0</v>
      </c>
      <c r="L1007" s="16">
        <f>'БА в тыс. руб.'!H1007*1000</f>
        <v>53419990.000000007</v>
      </c>
      <c r="M1007" s="169">
        <f t="shared" si="679"/>
        <v>0</v>
      </c>
      <c r="N1007" s="16">
        <f>'БА в тыс. руб.'!I1007*1000</f>
        <v>53419990.000000007</v>
      </c>
      <c r="O1007" s="169">
        <f t="shared" si="680"/>
        <v>0</v>
      </c>
    </row>
    <row r="1008" spans="1:15" s="33" customFormat="1" ht="25.5">
      <c r="A1008" s="11" t="s">
        <v>107</v>
      </c>
      <c r="B1008" s="25" t="s">
        <v>62</v>
      </c>
      <c r="C1008" s="26" t="s">
        <v>14</v>
      </c>
      <c r="D1008" s="26" t="s">
        <v>2</v>
      </c>
      <c r="E1008" s="123" t="s">
        <v>448</v>
      </c>
      <c r="F1008" s="26" t="s">
        <v>115</v>
      </c>
      <c r="G1008" s="119">
        <f>SUM(G1009:G1011)</f>
        <v>51830190</v>
      </c>
      <c r="H1008" s="119">
        <f>SUM(H1009:H1011)</f>
        <v>51830190</v>
      </c>
      <c r="I1008" s="119">
        <f>SUM(I1009:I1011)</f>
        <v>51830190</v>
      </c>
      <c r="J1008" s="16">
        <f>'БА в тыс. руб.'!G1008*1000</f>
        <v>51830190</v>
      </c>
      <c r="K1008" s="169">
        <f t="shared" si="678"/>
        <v>0</v>
      </c>
      <c r="L1008" s="16">
        <f>'БА в тыс. руб.'!H1008*1000</f>
        <v>51830190</v>
      </c>
      <c r="M1008" s="169">
        <f t="shared" si="679"/>
        <v>0</v>
      </c>
      <c r="N1008" s="16">
        <f>'БА в тыс. руб.'!I1008*1000</f>
        <v>51830190</v>
      </c>
      <c r="O1008" s="169">
        <f t="shared" si="680"/>
        <v>0</v>
      </c>
    </row>
    <row r="1009" spans="1:21" s="33" customFormat="1">
      <c r="A1009" s="11" t="s">
        <v>936</v>
      </c>
      <c r="B1009" s="25" t="s">
        <v>62</v>
      </c>
      <c r="C1009" s="26" t="s">
        <v>14</v>
      </c>
      <c r="D1009" s="26" t="s">
        <v>2</v>
      </c>
      <c r="E1009" s="123" t="s">
        <v>448</v>
      </c>
      <c r="F1009" s="26" t="s">
        <v>1063</v>
      </c>
      <c r="G1009" s="27">
        <f t="shared" ref="G1009:G1011" si="713">J1009</f>
        <v>38700000</v>
      </c>
      <c r="H1009" s="27">
        <f t="shared" ref="H1009:H1011" si="714">L1009</f>
        <v>38700000</v>
      </c>
      <c r="I1009" s="27">
        <f t="shared" ref="I1009:I1011" si="715">N1009</f>
        <v>38700000</v>
      </c>
      <c r="J1009" s="16">
        <f>'БА в тыс. руб.'!G1009*1000</f>
        <v>38700000</v>
      </c>
      <c r="K1009" s="169">
        <f t="shared" si="678"/>
        <v>0</v>
      </c>
      <c r="L1009" s="16">
        <f>'БА в тыс. руб.'!H1009*1000</f>
        <v>38700000</v>
      </c>
      <c r="M1009" s="169">
        <f t="shared" si="679"/>
        <v>0</v>
      </c>
      <c r="N1009" s="16">
        <f>'БА в тыс. руб.'!I1009*1000</f>
        <v>38700000</v>
      </c>
      <c r="O1009" s="169">
        <f t="shared" si="680"/>
        <v>0</v>
      </c>
    </row>
    <row r="1010" spans="1:21" s="33" customFormat="1" ht="25.5">
      <c r="A1010" s="11" t="s">
        <v>937</v>
      </c>
      <c r="B1010" s="25" t="s">
        <v>62</v>
      </c>
      <c r="C1010" s="26" t="s">
        <v>14</v>
      </c>
      <c r="D1010" s="26" t="s">
        <v>2</v>
      </c>
      <c r="E1010" s="123" t="s">
        <v>448</v>
      </c>
      <c r="F1010" s="26" t="s">
        <v>1059</v>
      </c>
      <c r="G1010" s="27">
        <f t="shared" si="713"/>
        <v>1404150</v>
      </c>
      <c r="H1010" s="27">
        <f t="shared" si="714"/>
        <v>1404150</v>
      </c>
      <c r="I1010" s="27">
        <f t="shared" si="715"/>
        <v>1404150</v>
      </c>
      <c r="J1010" s="16">
        <f>'БА в тыс. руб.'!G1010*1000</f>
        <v>1404150</v>
      </c>
      <c r="K1010" s="169">
        <f t="shared" si="678"/>
        <v>0</v>
      </c>
      <c r="L1010" s="16">
        <f>'БА в тыс. руб.'!H1010*1000</f>
        <v>1404150</v>
      </c>
      <c r="M1010" s="169">
        <f t="shared" si="679"/>
        <v>0</v>
      </c>
      <c r="N1010" s="16">
        <f>'БА в тыс. руб.'!I1010*1000</f>
        <v>1404150</v>
      </c>
      <c r="O1010" s="169">
        <f t="shared" si="680"/>
        <v>0</v>
      </c>
    </row>
    <row r="1011" spans="1:21" s="33" customFormat="1" ht="38.25">
      <c r="A1011" s="11" t="s">
        <v>939</v>
      </c>
      <c r="B1011" s="25" t="s">
        <v>62</v>
      </c>
      <c r="C1011" s="26" t="s">
        <v>14</v>
      </c>
      <c r="D1011" s="26" t="s">
        <v>2</v>
      </c>
      <c r="E1011" s="123" t="s">
        <v>448</v>
      </c>
      <c r="F1011" s="26" t="s">
        <v>1060</v>
      </c>
      <c r="G1011" s="27">
        <f t="shared" si="713"/>
        <v>11726040</v>
      </c>
      <c r="H1011" s="27">
        <f t="shared" si="714"/>
        <v>11726040</v>
      </c>
      <c r="I1011" s="27">
        <f t="shared" si="715"/>
        <v>11726040</v>
      </c>
      <c r="J1011" s="16">
        <f>'БА в тыс. руб.'!G1011*1000</f>
        <v>11726040</v>
      </c>
      <c r="K1011" s="169"/>
      <c r="L1011" s="16">
        <f>'БА в тыс. руб.'!H1011*1000</f>
        <v>11726040</v>
      </c>
      <c r="M1011" s="169"/>
      <c r="N1011" s="16">
        <f>'БА в тыс. руб.'!I1011*1000</f>
        <v>11726040</v>
      </c>
      <c r="O1011" s="169"/>
    </row>
    <row r="1012" spans="1:21" s="33" customFormat="1" ht="25.5">
      <c r="A1012" s="11" t="s">
        <v>108</v>
      </c>
      <c r="B1012" s="25" t="s">
        <v>62</v>
      </c>
      <c r="C1012" s="26" t="s">
        <v>14</v>
      </c>
      <c r="D1012" s="26" t="s">
        <v>2</v>
      </c>
      <c r="E1012" s="123" t="s">
        <v>448</v>
      </c>
      <c r="F1012" s="26" t="s">
        <v>116</v>
      </c>
      <c r="G1012" s="119">
        <f>G1013</f>
        <v>1459540</v>
      </c>
      <c r="H1012" s="119">
        <f t="shared" ref="H1012:I1012" si="716">H1013</f>
        <v>1479800</v>
      </c>
      <c r="I1012" s="119">
        <f t="shared" si="716"/>
        <v>1479800</v>
      </c>
      <c r="J1012" s="16">
        <f>'БА в тыс. руб.'!G1012*1000</f>
        <v>1459540</v>
      </c>
      <c r="K1012" s="169">
        <f t="shared" si="678"/>
        <v>0</v>
      </c>
      <c r="L1012" s="16">
        <f>'БА в тыс. руб.'!H1012*1000</f>
        <v>1479800</v>
      </c>
      <c r="M1012" s="169">
        <f t="shared" si="679"/>
        <v>0</v>
      </c>
      <c r="N1012" s="16">
        <f>'БА в тыс. руб.'!I1012*1000</f>
        <v>1479800</v>
      </c>
      <c r="O1012" s="169">
        <f t="shared" si="680"/>
        <v>0</v>
      </c>
    </row>
    <row r="1013" spans="1:21" s="105" customFormat="1" ht="25.5">
      <c r="A1013" s="12" t="s">
        <v>973</v>
      </c>
      <c r="B1013" s="25" t="s">
        <v>62</v>
      </c>
      <c r="C1013" s="26" t="s">
        <v>14</v>
      </c>
      <c r="D1013" s="26" t="s">
        <v>2</v>
      </c>
      <c r="E1013" s="123" t="s">
        <v>448</v>
      </c>
      <c r="F1013" s="26" t="s">
        <v>1043</v>
      </c>
      <c r="G1013" s="27">
        <f t="shared" ref="G1013" si="717">J1013</f>
        <v>1459540</v>
      </c>
      <c r="H1013" s="27">
        <f>L1013</f>
        <v>1479800</v>
      </c>
      <c r="I1013" s="27">
        <f>N1013</f>
        <v>1479800</v>
      </c>
      <c r="J1013" s="16">
        <f>'БА в тыс. руб.'!G1013*1000</f>
        <v>1459540</v>
      </c>
      <c r="K1013" s="169">
        <f t="shared" si="678"/>
        <v>0</v>
      </c>
      <c r="L1013" s="16">
        <f>'БА в тыс. руб.'!H1013*1000</f>
        <v>1479800</v>
      </c>
      <c r="M1013" s="169">
        <f t="shared" si="679"/>
        <v>0</v>
      </c>
      <c r="N1013" s="16">
        <f>'БА в тыс. руб.'!I1013*1000</f>
        <v>1479800</v>
      </c>
      <c r="O1013" s="169">
        <f t="shared" si="680"/>
        <v>0</v>
      </c>
    </row>
    <row r="1014" spans="1:21" s="33" customFormat="1">
      <c r="A1014" s="11" t="s">
        <v>97</v>
      </c>
      <c r="B1014" s="25" t="s">
        <v>62</v>
      </c>
      <c r="C1014" s="26" t="s">
        <v>14</v>
      </c>
      <c r="D1014" s="26" t="s">
        <v>2</v>
      </c>
      <c r="E1014" s="123" t="s">
        <v>448</v>
      </c>
      <c r="F1014" s="26" t="s">
        <v>118</v>
      </c>
      <c r="G1014" s="119">
        <f>SUM(G1015:G1016)</f>
        <v>110000</v>
      </c>
      <c r="H1014" s="119">
        <f t="shared" ref="H1014:I1014" si="718">SUM(H1015:H1016)</f>
        <v>110000</v>
      </c>
      <c r="I1014" s="119">
        <f t="shared" si="718"/>
        <v>110000</v>
      </c>
      <c r="J1014" s="16">
        <f>'БА в тыс. руб.'!G1014*1000</f>
        <v>110000</v>
      </c>
      <c r="K1014" s="169">
        <f t="shared" si="678"/>
        <v>0</v>
      </c>
      <c r="L1014" s="16">
        <f>'БА в тыс. руб.'!H1014*1000</f>
        <v>110000</v>
      </c>
      <c r="M1014" s="169">
        <f t="shared" si="679"/>
        <v>0</v>
      </c>
      <c r="N1014" s="16">
        <f>'БА в тыс. руб.'!I1014*1000</f>
        <v>110000</v>
      </c>
      <c r="O1014" s="169">
        <f t="shared" si="680"/>
        <v>0</v>
      </c>
    </row>
    <row r="1015" spans="1:21" s="33" customFormat="1">
      <c r="A1015" s="11" t="s">
        <v>1036</v>
      </c>
      <c r="B1015" s="25" t="s">
        <v>62</v>
      </c>
      <c r="C1015" s="26" t="s">
        <v>14</v>
      </c>
      <c r="D1015" s="26" t="s">
        <v>2</v>
      </c>
      <c r="E1015" s="123" t="s">
        <v>448</v>
      </c>
      <c r="F1015" s="26" t="s">
        <v>1061</v>
      </c>
      <c r="G1015" s="27">
        <f t="shared" ref="G1015:G1016" si="719">J1015</f>
        <v>100000</v>
      </c>
      <c r="H1015" s="27">
        <f t="shared" ref="H1015:H1016" si="720">L1015</f>
        <v>100000</v>
      </c>
      <c r="I1015" s="27">
        <f t="shared" ref="I1015:I1016" si="721">N1015</f>
        <v>100000</v>
      </c>
      <c r="J1015" s="16">
        <f>'БА в тыс. руб.'!G1015*1000</f>
        <v>100000</v>
      </c>
      <c r="K1015" s="169">
        <f t="shared" si="678"/>
        <v>0</v>
      </c>
      <c r="L1015" s="16">
        <f>'БА в тыс. руб.'!H1015*1000</f>
        <v>100000</v>
      </c>
      <c r="M1015" s="169">
        <f t="shared" si="679"/>
        <v>0</v>
      </c>
      <c r="N1015" s="16">
        <f>'БА в тыс. руб.'!I1015*1000</f>
        <v>100000</v>
      </c>
      <c r="O1015" s="169">
        <f t="shared" si="680"/>
        <v>0</v>
      </c>
    </row>
    <row r="1016" spans="1:21" s="33" customFormat="1">
      <c r="A1016" s="11" t="s">
        <v>1037</v>
      </c>
      <c r="B1016" s="25" t="s">
        <v>62</v>
      </c>
      <c r="C1016" s="26" t="s">
        <v>14</v>
      </c>
      <c r="D1016" s="26" t="s">
        <v>2</v>
      </c>
      <c r="E1016" s="123" t="s">
        <v>448</v>
      </c>
      <c r="F1016" s="26" t="s">
        <v>1062</v>
      </c>
      <c r="G1016" s="27">
        <f t="shared" si="719"/>
        <v>10000</v>
      </c>
      <c r="H1016" s="27">
        <f t="shared" si="720"/>
        <v>10000</v>
      </c>
      <c r="I1016" s="27">
        <f t="shared" si="721"/>
        <v>10000</v>
      </c>
      <c r="J1016" s="16">
        <f>'БА в тыс. руб.'!G1016*1000</f>
        <v>10000</v>
      </c>
      <c r="K1016" s="169">
        <f t="shared" si="678"/>
        <v>0</v>
      </c>
      <c r="L1016" s="16">
        <f>'БА в тыс. руб.'!H1016*1000</f>
        <v>10000</v>
      </c>
      <c r="M1016" s="169">
        <f t="shared" si="679"/>
        <v>0</v>
      </c>
      <c r="N1016" s="16">
        <f>'БА в тыс. руб.'!I1016*1000</f>
        <v>10000</v>
      </c>
      <c r="O1016" s="169">
        <f t="shared" si="680"/>
        <v>0</v>
      </c>
    </row>
    <row r="1017" spans="1:21" s="104" customFormat="1">
      <c r="A1017" s="79"/>
      <c r="B1017" s="92"/>
      <c r="C1017" s="70"/>
      <c r="D1017" s="70"/>
      <c r="E1017" s="106"/>
      <c r="F1017" s="70"/>
      <c r="G1017" s="27"/>
      <c r="H1017" s="27"/>
      <c r="I1017" s="27"/>
      <c r="J1017" s="16">
        <f>'БА в тыс. руб.'!G1017*1000</f>
        <v>0</v>
      </c>
      <c r="K1017" s="169">
        <f t="shared" si="678"/>
        <v>0</v>
      </c>
      <c r="L1017" s="16">
        <f>'БА в тыс. руб.'!H1017*1000</f>
        <v>0</v>
      </c>
      <c r="M1017" s="169">
        <f t="shared" si="679"/>
        <v>0</v>
      </c>
      <c r="N1017" s="16">
        <f>'БА в тыс. руб.'!I1017*1000</f>
        <v>0</v>
      </c>
      <c r="O1017" s="169">
        <f t="shared" si="680"/>
        <v>0</v>
      </c>
    </row>
    <row r="1018" spans="1:21" s="3" customFormat="1" ht="25.5">
      <c r="A1018" s="28" t="s">
        <v>694</v>
      </c>
      <c r="B1018" s="14" t="s">
        <v>67</v>
      </c>
      <c r="C1018" s="15" t="s">
        <v>51</v>
      </c>
      <c r="D1018" s="15" t="s">
        <v>51</v>
      </c>
      <c r="E1018" s="15" t="s">
        <v>196</v>
      </c>
      <c r="F1018" s="15" t="s">
        <v>58</v>
      </c>
      <c r="G1018" s="29">
        <f>G1019+G1039</f>
        <v>195692910</v>
      </c>
      <c r="H1018" s="29">
        <f>H1019+H1039</f>
        <v>172467660</v>
      </c>
      <c r="I1018" s="29">
        <f>I1019+I1039</f>
        <v>172467660</v>
      </c>
      <c r="J1018" s="16">
        <f>'БА в тыс. руб.'!G1018*1000</f>
        <v>195692909.99999997</v>
      </c>
      <c r="K1018" s="169">
        <f t="shared" si="678"/>
        <v>0</v>
      </c>
      <c r="L1018" s="16">
        <f>'БА в тыс. руб.'!H1018*1000</f>
        <v>172467659.99999997</v>
      </c>
      <c r="M1018" s="169">
        <f t="shared" si="679"/>
        <v>0</v>
      </c>
      <c r="N1018" s="16">
        <f>'БА в тыс. руб.'!I1018*1000</f>
        <v>172467659.99999997</v>
      </c>
      <c r="O1018" s="169">
        <f t="shared" si="680"/>
        <v>0</v>
      </c>
      <c r="S1018" s="30"/>
      <c r="T1018" s="30"/>
      <c r="U1018" s="30"/>
    </row>
    <row r="1019" spans="1:21" s="3" customFormat="1">
      <c r="A1019" s="17" t="s">
        <v>70</v>
      </c>
      <c r="B1019" s="18" t="s">
        <v>67</v>
      </c>
      <c r="C1019" s="19" t="s">
        <v>71</v>
      </c>
      <c r="D1019" s="19" t="s">
        <v>51</v>
      </c>
      <c r="E1019" s="19" t="s">
        <v>196</v>
      </c>
      <c r="F1019" s="19" t="s">
        <v>58</v>
      </c>
      <c r="G1019" s="20">
        <f>G1020</f>
        <v>148272770</v>
      </c>
      <c r="H1019" s="20">
        <f>H1020</f>
        <v>147969660</v>
      </c>
      <c r="I1019" s="20">
        <f>I1020</f>
        <v>147969660</v>
      </c>
      <c r="J1019" s="16">
        <f>'БА в тыс. руб.'!G1019*1000</f>
        <v>148272770</v>
      </c>
      <c r="K1019" s="169">
        <f t="shared" si="678"/>
        <v>0</v>
      </c>
      <c r="L1019" s="16">
        <f>'БА в тыс. руб.'!H1019*1000</f>
        <v>147969659.99999997</v>
      </c>
      <c r="M1019" s="169">
        <f t="shared" si="679"/>
        <v>0</v>
      </c>
      <c r="N1019" s="16">
        <f>'БА в тыс. руб.'!I1019*1000</f>
        <v>147969659.99999997</v>
      </c>
      <c r="O1019" s="169">
        <f t="shared" si="680"/>
        <v>0</v>
      </c>
      <c r="S1019" s="30"/>
      <c r="T1019" s="30"/>
      <c r="U1019" s="30"/>
    </row>
    <row r="1020" spans="1:21" s="3" customFormat="1">
      <c r="A1020" s="21" t="s">
        <v>779</v>
      </c>
      <c r="B1020" s="22" t="s">
        <v>67</v>
      </c>
      <c r="C1020" s="23" t="s">
        <v>71</v>
      </c>
      <c r="D1020" s="23" t="s">
        <v>53</v>
      </c>
      <c r="E1020" s="23" t="s">
        <v>196</v>
      </c>
      <c r="F1020" s="23" t="s">
        <v>58</v>
      </c>
      <c r="G1020" s="24">
        <f>G1021+G1027+G1033</f>
        <v>148272770</v>
      </c>
      <c r="H1020" s="24">
        <f>H1021+H1027+H1033</f>
        <v>147969660</v>
      </c>
      <c r="I1020" s="24">
        <f>I1021+I1027+I1033</f>
        <v>147969660</v>
      </c>
      <c r="J1020" s="16">
        <f>'БА в тыс. руб.'!G1020*1000</f>
        <v>148272770</v>
      </c>
      <c r="K1020" s="169">
        <f t="shared" si="678"/>
        <v>0</v>
      </c>
      <c r="L1020" s="16">
        <f>'БА в тыс. руб.'!H1020*1000</f>
        <v>147969659.99999997</v>
      </c>
      <c r="M1020" s="169">
        <f t="shared" si="679"/>
        <v>0</v>
      </c>
      <c r="N1020" s="16">
        <f>'БА в тыс. руб.'!I1020*1000</f>
        <v>147969659.99999997</v>
      </c>
      <c r="O1020" s="169">
        <f t="shared" si="680"/>
        <v>0</v>
      </c>
      <c r="S1020" s="30"/>
      <c r="T1020" s="30"/>
      <c r="U1020" s="30"/>
    </row>
    <row r="1021" spans="1:21" s="3" customFormat="1" ht="25.5">
      <c r="A1021" s="11" t="s">
        <v>740</v>
      </c>
      <c r="B1021" s="25" t="s">
        <v>67</v>
      </c>
      <c r="C1021" s="26" t="s">
        <v>71</v>
      </c>
      <c r="D1021" s="26" t="s">
        <v>53</v>
      </c>
      <c r="E1021" s="26" t="s">
        <v>449</v>
      </c>
      <c r="F1021" s="26" t="s">
        <v>58</v>
      </c>
      <c r="G1021" s="27">
        <f t="shared" ref="G1021:I1025" si="722">G1022</f>
        <v>147588280</v>
      </c>
      <c r="H1021" s="27">
        <f t="shared" si="722"/>
        <v>147736110</v>
      </c>
      <c r="I1021" s="27">
        <f t="shared" si="722"/>
        <v>147736110</v>
      </c>
      <c r="J1021" s="16">
        <f>'БА в тыс. руб.'!G1021*1000</f>
        <v>147588280</v>
      </c>
      <c r="K1021" s="169">
        <f t="shared" si="678"/>
        <v>0</v>
      </c>
      <c r="L1021" s="16">
        <f>'БА в тыс. руб.'!H1021*1000</f>
        <v>147736110</v>
      </c>
      <c r="M1021" s="169">
        <f t="shared" si="679"/>
        <v>0</v>
      </c>
      <c r="N1021" s="16">
        <f>'БА в тыс. руб.'!I1021*1000</f>
        <v>147736110</v>
      </c>
      <c r="O1021" s="169">
        <f t="shared" si="680"/>
        <v>0</v>
      </c>
      <c r="S1021" s="30"/>
      <c r="T1021" s="30"/>
      <c r="U1021" s="30"/>
    </row>
    <row r="1022" spans="1:21" s="3" customFormat="1" ht="38.25">
      <c r="A1022" s="11" t="s">
        <v>141</v>
      </c>
      <c r="B1022" s="25" t="s">
        <v>67</v>
      </c>
      <c r="C1022" s="26" t="s">
        <v>71</v>
      </c>
      <c r="D1022" s="26" t="s">
        <v>53</v>
      </c>
      <c r="E1022" s="26" t="s">
        <v>450</v>
      </c>
      <c r="F1022" s="26" t="s">
        <v>58</v>
      </c>
      <c r="G1022" s="27">
        <f t="shared" si="722"/>
        <v>147588280</v>
      </c>
      <c r="H1022" s="27">
        <f t="shared" si="722"/>
        <v>147736110</v>
      </c>
      <c r="I1022" s="27">
        <f t="shared" si="722"/>
        <v>147736110</v>
      </c>
      <c r="J1022" s="16">
        <f>'БА в тыс. руб.'!G1022*1000</f>
        <v>147588280</v>
      </c>
      <c r="K1022" s="169">
        <f t="shared" si="678"/>
        <v>0</v>
      </c>
      <c r="L1022" s="16">
        <f>'БА в тыс. руб.'!H1022*1000</f>
        <v>147736110</v>
      </c>
      <c r="M1022" s="169">
        <f t="shared" si="679"/>
        <v>0</v>
      </c>
      <c r="N1022" s="16">
        <f>'БА в тыс. руб.'!I1022*1000</f>
        <v>147736110</v>
      </c>
      <c r="O1022" s="169">
        <f t="shared" si="680"/>
        <v>0</v>
      </c>
      <c r="S1022" s="30"/>
      <c r="T1022" s="30"/>
      <c r="U1022" s="30"/>
    </row>
    <row r="1023" spans="1:21" s="3" customFormat="1" ht="38.25">
      <c r="A1023" s="11" t="s">
        <v>587</v>
      </c>
      <c r="B1023" s="25" t="s">
        <v>67</v>
      </c>
      <c r="C1023" s="26" t="s">
        <v>71</v>
      </c>
      <c r="D1023" s="26" t="s">
        <v>53</v>
      </c>
      <c r="E1023" s="26" t="s">
        <v>451</v>
      </c>
      <c r="F1023" s="26" t="s">
        <v>58</v>
      </c>
      <c r="G1023" s="27">
        <f>G1024</f>
        <v>147588280</v>
      </c>
      <c r="H1023" s="27">
        <f t="shared" si="722"/>
        <v>147736110</v>
      </c>
      <c r="I1023" s="27">
        <f t="shared" si="722"/>
        <v>147736110</v>
      </c>
      <c r="J1023" s="16">
        <f>'БА в тыс. руб.'!G1023*1000</f>
        <v>147588280</v>
      </c>
      <c r="K1023" s="169">
        <f t="shared" si="678"/>
        <v>0</v>
      </c>
      <c r="L1023" s="16">
        <f>'БА в тыс. руб.'!H1023*1000</f>
        <v>147736110</v>
      </c>
      <c r="M1023" s="169">
        <f t="shared" si="679"/>
        <v>0</v>
      </c>
      <c r="N1023" s="16">
        <f>'БА в тыс. руб.'!I1023*1000</f>
        <v>147736110</v>
      </c>
      <c r="O1023" s="169">
        <f t="shared" si="680"/>
        <v>0</v>
      </c>
      <c r="S1023" s="30"/>
      <c r="T1023" s="30"/>
      <c r="U1023" s="30"/>
    </row>
    <row r="1024" spans="1:21" s="3" customFormat="1" ht="25.5">
      <c r="A1024" s="39" t="s">
        <v>247</v>
      </c>
      <c r="B1024" s="25" t="s">
        <v>67</v>
      </c>
      <c r="C1024" s="26" t="s">
        <v>71</v>
      </c>
      <c r="D1024" s="26" t="s">
        <v>53</v>
      </c>
      <c r="E1024" s="26" t="s">
        <v>452</v>
      </c>
      <c r="F1024" s="26" t="s">
        <v>58</v>
      </c>
      <c r="G1024" s="27">
        <f>G1025</f>
        <v>147588280</v>
      </c>
      <c r="H1024" s="27">
        <f t="shared" si="722"/>
        <v>147736110</v>
      </c>
      <c r="I1024" s="27">
        <f t="shared" si="722"/>
        <v>147736110</v>
      </c>
      <c r="J1024" s="16">
        <f>'БА в тыс. руб.'!G1024*1000</f>
        <v>147588280</v>
      </c>
      <c r="K1024" s="169">
        <f t="shared" si="678"/>
        <v>0</v>
      </c>
      <c r="L1024" s="16">
        <f>'БА в тыс. руб.'!H1024*1000</f>
        <v>147736110</v>
      </c>
      <c r="M1024" s="169">
        <f t="shared" si="679"/>
        <v>0</v>
      </c>
      <c r="N1024" s="16">
        <f>'БА в тыс. руб.'!I1024*1000</f>
        <v>147736110</v>
      </c>
      <c r="O1024" s="169">
        <f t="shared" si="680"/>
        <v>0</v>
      </c>
      <c r="S1024" s="30"/>
      <c r="T1024" s="30"/>
      <c r="U1024" s="30"/>
    </row>
    <row r="1025" spans="1:21" s="3" customFormat="1">
      <c r="A1025" s="13" t="s">
        <v>92</v>
      </c>
      <c r="B1025" s="25" t="s">
        <v>67</v>
      </c>
      <c r="C1025" s="26" t="s">
        <v>71</v>
      </c>
      <c r="D1025" s="26" t="s">
        <v>53</v>
      </c>
      <c r="E1025" s="26" t="s">
        <v>452</v>
      </c>
      <c r="F1025" s="26" t="s">
        <v>138</v>
      </c>
      <c r="G1025" s="27">
        <f>G1026</f>
        <v>147588280</v>
      </c>
      <c r="H1025" s="27">
        <f t="shared" si="722"/>
        <v>147736110</v>
      </c>
      <c r="I1025" s="27">
        <f t="shared" si="722"/>
        <v>147736110</v>
      </c>
      <c r="J1025" s="16">
        <f>'БА в тыс. руб.'!G1025*1000</f>
        <v>147588280</v>
      </c>
      <c r="K1025" s="169">
        <f t="shared" si="678"/>
        <v>0</v>
      </c>
      <c r="L1025" s="16">
        <f>'БА в тыс. руб.'!H1025*1000</f>
        <v>147736110</v>
      </c>
      <c r="M1025" s="169">
        <f t="shared" si="679"/>
        <v>0</v>
      </c>
      <c r="N1025" s="16">
        <f>'БА в тыс. руб.'!I1025*1000</f>
        <v>147736110</v>
      </c>
      <c r="O1025" s="169">
        <f t="shared" si="680"/>
        <v>0</v>
      </c>
      <c r="S1025" s="30"/>
      <c r="T1025" s="30"/>
      <c r="U1025" s="30"/>
    </row>
    <row r="1026" spans="1:21" s="4" customFormat="1" ht="38.25">
      <c r="A1026" s="12" t="s">
        <v>1015</v>
      </c>
      <c r="B1026" s="25" t="s">
        <v>67</v>
      </c>
      <c r="C1026" s="26" t="s">
        <v>71</v>
      </c>
      <c r="D1026" s="26" t="s">
        <v>53</v>
      </c>
      <c r="E1026" s="26" t="s">
        <v>452</v>
      </c>
      <c r="F1026" s="26" t="s">
        <v>67</v>
      </c>
      <c r="G1026" s="27">
        <f t="shared" ref="G1026" si="723">J1026</f>
        <v>147588280</v>
      </c>
      <c r="H1026" s="27">
        <f>L1026</f>
        <v>147736110</v>
      </c>
      <c r="I1026" s="27">
        <f>N1026</f>
        <v>147736110</v>
      </c>
      <c r="J1026" s="16">
        <f>'БА в тыс. руб.'!G1026*1000</f>
        <v>147588280</v>
      </c>
      <c r="K1026" s="169">
        <f t="shared" si="678"/>
        <v>0</v>
      </c>
      <c r="L1026" s="16">
        <f>'БА в тыс. руб.'!H1026*1000</f>
        <v>147736110</v>
      </c>
      <c r="M1026" s="169">
        <f t="shared" si="679"/>
        <v>0</v>
      </c>
      <c r="N1026" s="16">
        <f>'БА в тыс. руб.'!I1026*1000</f>
        <v>147736110</v>
      </c>
      <c r="O1026" s="169">
        <f t="shared" si="680"/>
        <v>0</v>
      </c>
      <c r="S1026" s="83"/>
      <c r="T1026" s="83"/>
      <c r="U1026" s="83"/>
    </row>
    <row r="1027" spans="1:21" s="3" customFormat="1" ht="63.75">
      <c r="A1027" s="11" t="s">
        <v>756</v>
      </c>
      <c r="B1027" s="25" t="s">
        <v>67</v>
      </c>
      <c r="C1027" s="26" t="s">
        <v>71</v>
      </c>
      <c r="D1027" s="26" t="s">
        <v>53</v>
      </c>
      <c r="E1027" s="26" t="s">
        <v>339</v>
      </c>
      <c r="F1027" s="26" t="s">
        <v>58</v>
      </c>
      <c r="G1027" s="27">
        <f t="shared" ref="G1027:I1031" si="724">G1028</f>
        <v>259490</v>
      </c>
      <c r="H1027" s="27">
        <f t="shared" si="724"/>
        <v>233550</v>
      </c>
      <c r="I1027" s="27">
        <f t="shared" si="724"/>
        <v>233550</v>
      </c>
      <c r="J1027" s="16">
        <f>'БА в тыс. руб.'!G1027*1000</f>
        <v>259490</v>
      </c>
      <c r="K1027" s="169">
        <f t="shared" si="678"/>
        <v>0</v>
      </c>
      <c r="L1027" s="16">
        <f>'БА в тыс. руб.'!H1027*1000</f>
        <v>233550</v>
      </c>
      <c r="M1027" s="169">
        <f t="shared" si="679"/>
        <v>0</v>
      </c>
      <c r="N1027" s="16">
        <f>'БА в тыс. руб.'!I1027*1000</f>
        <v>233550</v>
      </c>
      <c r="O1027" s="169">
        <f t="shared" si="680"/>
        <v>0</v>
      </c>
      <c r="S1027" s="30"/>
      <c r="T1027" s="30"/>
      <c r="U1027" s="30"/>
    </row>
    <row r="1028" spans="1:21" s="3" customFormat="1" ht="25.5">
      <c r="A1028" s="11" t="s">
        <v>136</v>
      </c>
      <c r="B1028" s="25" t="s">
        <v>67</v>
      </c>
      <c r="C1028" s="26" t="s">
        <v>71</v>
      </c>
      <c r="D1028" s="26" t="s">
        <v>53</v>
      </c>
      <c r="E1028" s="26" t="s">
        <v>340</v>
      </c>
      <c r="F1028" s="26" t="s">
        <v>58</v>
      </c>
      <c r="G1028" s="27">
        <f t="shared" si="724"/>
        <v>259490</v>
      </c>
      <c r="H1028" s="27">
        <f t="shared" si="724"/>
        <v>233550</v>
      </c>
      <c r="I1028" s="27">
        <f t="shared" si="724"/>
        <v>233550</v>
      </c>
      <c r="J1028" s="16">
        <f>'БА в тыс. руб.'!G1028*1000</f>
        <v>259490</v>
      </c>
      <c r="K1028" s="169">
        <f t="shared" si="678"/>
        <v>0</v>
      </c>
      <c r="L1028" s="16">
        <f>'БА в тыс. руб.'!H1028*1000</f>
        <v>233550</v>
      </c>
      <c r="M1028" s="169">
        <f t="shared" si="679"/>
        <v>0</v>
      </c>
      <c r="N1028" s="16">
        <f>'БА в тыс. руб.'!I1028*1000</f>
        <v>233550</v>
      </c>
      <c r="O1028" s="169">
        <f t="shared" si="680"/>
        <v>0</v>
      </c>
      <c r="S1028" s="30"/>
      <c r="T1028" s="30"/>
      <c r="U1028" s="30"/>
    </row>
    <row r="1029" spans="1:21" s="3" customFormat="1" ht="25.5">
      <c r="A1029" s="11" t="s">
        <v>667</v>
      </c>
      <c r="B1029" s="25" t="s">
        <v>67</v>
      </c>
      <c r="C1029" s="26" t="s">
        <v>71</v>
      </c>
      <c r="D1029" s="26" t="s">
        <v>53</v>
      </c>
      <c r="E1029" s="26" t="s">
        <v>609</v>
      </c>
      <c r="F1029" s="26" t="s">
        <v>58</v>
      </c>
      <c r="G1029" s="27">
        <f t="shared" si="724"/>
        <v>259490</v>
      </c>
      <c r="H1029" s="27">
        <f t="shared" si="724"/>
        <v>233550</v>
      </c>
      <c r="I1029" s="27">
        <f t="shared" si="724"/>
        <v>233550</v>
      </c>
      <c r="J1029" s="16">
        <f>'БА в тыс. руб.'!G1029*1000</f>
        <v>259490</v>
      </c>
      <c r="K1029" s="169">
        <f t="shared" si="678"/>
        <v>0</v>
      </c>
      <c r="L1029" s="16">
        <f>'БА в тыс. руб.'!H1029*1000</f>
        <v>233550</v>
      </c>
      <c r="M1029" s="169">
        <f t="shared" si="679"/>
        <v>0</v>
      </c>
      <c r="N1029" s="16">
        <f>'БА в тыс. руб.'!I1029*1000</f>
        <v>233550</v>
      </c>
      <c r="O1029" s="169">
        <f t="shared" si="680"/>
        <v>0</v>
      </c>
      <c r="S1029" s="30"/>
      <c r="T1029" s="30"/>
      <c r="U1029" s="30"/>
    </row>
    <row r="1030" spans="1:21" s="3" customFormat="1" ht="38.25">
      <c r="A1030" s="11" t="s">
        <v>177</v>
      </c>
      <c r="B1030" s="25" t="s">
        <v>67</v>
      </c>
      <c r="C1030" s="26" t="s">
        <v>71</v>
      </c>
      <c r="D1030" s="26" t="s">
        <v>53</v>
      </c>
      <c r="E1030" s="26" t="s">
        <v>610</v>
      </c>
      <c r="F1030" s="26" t="s">
        <v>58</v>
      </c>
      <c r="G1030" s="27">
        <f t="shared" si="724"/>
        <v>259490</v>
      </c>
      <c r="H1030" s="27">
        <f t="shared" si="724"/>
        <v>233550</v>
      </c>
      <c r="I1030" s="27">
        <f t="shared" si="724"/>
        <v>233550</v>
      </c>
      <c r="J1030" s="16">
        <f>'БА в тыс. руб.'!G1030*1000</f>
        <v>259490</v>
      </c>
      <c r="K1030" s="169">
        <f t="shared" si="678"/>
        <v>0</v>
      </c>
      <c r="L1030" s="16">
        <f>'БА в тыс. руб.'!H1030*1000</f>
        <v>233550</v>
      </c>
      <c r="M1030" s="169">
        <f t="shared" si="679"/>
        <v>0</v>
      </c>
      <c r="N1030" s="16">
        <f>'БА в тыс. руб.'!I1030*1000</f>
        <v>233550</v>
      </c>
      <c r="O1030" s="169">
        <f t="shared" si="680"/>
        <v>0</v>
      </c>
      <c r="S1030" s="30"/>
      <c r="T1030" s="30"/>
      <c r="U1030" s="30"/>
    </row>
    <row r="1031" spans="1:21" s="3" customFormat="1">
      <c r="A1031" s="13" t="s">
        <v>92</v>
      </c>
      <c r="B1031" s="25" t="s">
        <v>67</v>
      </c>
      <c r="C1031" s="26" t="s">
        <v>71</v>
      </c>
      <c r="D1031" s="26" t="s">
        <v>53</v>
      </c>
      <c r="E1031" s="26" t="s">
        <v>610</v>
      </c>
      <c r="F1031" s="26" t="s">
        <v>138</v>
      </c>
      <c r="G1031" s="27">
        <f>G1032</f>
        <v>259490</v>
      </c>
      <c r="H1031" s="27">
        <f t="shared" si="724"/>
        <v>233550</v>
      </c>
      <c r="I1031" s="27">
        <f t="shared" si="724"/>
        <v>233550</v>
      </c>
      <c r="J1031" s="16">
        <f>'БА в тыс. руб.'!G1031*1000</f>
        <v>259490</v>
      </c>
      <c r="K1031" s="169">
        <f t="shared" si="678"/>
        <v>0</v>
      </c>
      <c r="L1031" s="16">
        <f>'БА в тыс. руб.'!H1031*1000</f>
        <v>233550</v>
      </c>
      <c r="M1031" s="169">
        <f t="shared" si="679"/>
        <v>0</v>
      </c>
      <c r="N1031" s="16">
        <f>'БА в тыс. руб.'!I1031*1000</f>
        <v>233550</v>
      </c>
      <c r="O1031" s="169">
        <f t="shared" si="680"/>
        <v>0</v>
      </c>
      <c r="S1031" s="30"/>
      <c r="T1031" s="30"/>
      <c r="U1031" s="30"/>
    </row>
    <row r="1032" spans="1:21" s="4" customFormat="1">
      <c r="A1032" s="12" t="s">
        <v>1016</v>
      </c>
      <c r="B1032" s="25" t="s">
        <v>67</v>
      </c>
      <c r="C1032" s="26" t="s">
        <v>71</v>
      </c>
      <c r="D1032" s="26" t="s">
        <v>53</v>
      </c>
      <c r="E1032" s="26" t="s">
        <v>610</v>
      </c>
      <c r="F1032" s="26" t="s">
        <v>1046</v>
      </c>
      <c r="G1032" s="27">
        <f t="shared" ref="G1032" si="725">J1032</f>
        <v>259490</v>
      </c>
      <c r="H1032" s="27">
        <f>L1032</f>
        <v>233550</v>
      </c>
      <c r="I1032" s="27">
        <f>N1032</f>
        <v>233550</v>
      </c>
      <c r="J1032" s="16">
        <f>'БА в тыс. руб.'!G1032*1000</f>
        <v>259490</v>
      </c>
      <c r="K1032" s="169">
        <f t="shared" ref="K1032:K1095" si="726">J1032-G1032</f>
        <v>0</v>
      </c>
      <c r="L1032" s="16">
        <f>'БА в тыс. руб.'!H1032*1000</f>
        <v>233550</v>
      </c>
      <c r="M1032" s="169">
        <f t="shared" ref="M1032:M1095" si="727">L1032-H1032</f>
        <v>0</v>
      </c>
      <c r="N1032" s="16">
        <f>'БА в тыс. руб.'!I1032*1000</f>
        <v>233550</v>
      </c>
      <c r="O1032" s="169">
        <f t="shared" ref="O1032:O1095" si="728">N1032-I1032</f>
        <v>0</v>
      </c>
      <c r="S1032" s="83"/>
      <c r="T1032" s="83"/>
      <c r="U1032" s="83"/>
    </row>
    <row r="1033" spans="1:21" s="3" customFormat="1" ht="25.5">
      <c r="A1033" s="11" t="s">
        <v>757</v>
      </c>
      <c r="B1033" s="25" t="s">
        <v>67</v>
      </c>
      <c r="C1033" s="26" t="s">
        <v>71</v>
      </c>
      <c r="D1033" s="26" t="s">
        <v>53</v>
      </c>
      <c r="E1033" s="26" t="s">
        <v>342</v>
      </c>
      <c r="F1033" s="26" t="s">
        <v>58</v>
      </c>
      <c r="G1033" s="27">
        <f t="shared" ref="G1033:I1034" si="729">G1034</f>
        <v>425000</v>
      </c>
      <c r="H1033" s="27">
        <f t="shared" si="729"/>
        <v>0</v>
      </c>
      <c r="I1033" s="27">
        <f t="shared" si="729"/>
        <v>0</v>
      </c>
      <c r="J1033" s="16">
        <f>'БА в тыс. руб.'!G1033*1000</f>
        <v>425000</v>
      </c>
      <c r="K1033" s="169">
        <f t="shared" si="726"/>
        <v>0</v>
      </c>
      <c r="L1033" s="16">
        <f>'БА в тыс. руб.'!H1033*1000</f>
        <v>0</v>
      </c>
      <c r="M1033" s="169">
        <f t="shared" si="727"/>
        <v>0</v>
      </c>
      <c r="N1033" s="16">
        <f>'БА в тыс. руб.'!I1033*1000</f>
        <v>0</v>
      </c>
      <c r="O1033" s="169">
        <f t="shared" si="728"/>
        <v>0</v>
      </c>
      <c r="S1033" s="30"/>
      <c r="T1033" s="30"/>
      <c r="U1033" s="30"/>
    </row>
    <row r="1034" spans="1:21" s="3" customFormat="1" ht="38.25">
      <c r="A1034" s="34" t="s">
        <v>758</v>
      </c>
      <c r="B1034" s="25" t="s">
        <v>67</v>
      </c>
      <c r="C1034" s="26" t="s">
        <v>71</v>
      </c>
      <c r="D1034" s="26" t="s">
        <v>53</v>
      </c>
      <c r="E1034" s="26" t="s">
        <v>343</v>
      </c>
      <c r="F1034" s="26" t="s">
        <v>58</v>
      </c>
      <c r="G1034" s="27">
        <f t="shared" si="729"/>
        <v>425000</v>
      </c>
      <c r="H1034" s="27">
        <f t="shared" si="729"/>
        <v>0</v>
      </c>
      <c r="I1034" s="27">
        <f t="shared" si="729"/>
        <v>0</v>
      </c>
      <c r="J1034" s="16">
        <f>'БА в тыс. руб.'!G1034*1000</f>
        <v>425000</v>
      </c>
      <c r="K1034" s="169">
        <f t="shared" si="726"/>
        <v>0</v>
      </c>
      <c r="L1034" s="16">
        <f>'БА в тыс. руб.'!H1034*1000</f>
        <v>0</v>
      </c>
      <c r="M1034" s="169">
        <f t="shared" si="727"/>
        <v>0</v>
      </c>
      <c r="N1034" s="16">
        <f>'БА в тыс. руб.'!I1034*1000</f>
        <v>0</v>
      </c>
      <c r="O1034" s="169">
        <f t="shared" si="728"/>
        <v>0</v>
      </c>
      <c r="S1034" s="30"/>
      <c r="T1034" s="30"/>
      <c r="U1034" s="30"/>
    </row>
    <row r="1035" spans="1:21" s="3" customFormat="1" ht="25.5">
      <c r="A1035" s="11" t="s">
        <v>344</v>
      </c>
      <c r="B1035" s="25" t="s">
        <v>67</v>
      </c>
      <c r="C1035" s="26" t="s">
        <v>71</v>
      </c>
      <c r="D1035" s="26" t="s">
        <v>53</v>
      </c>
      <c r="E1035" s="26" t="s">
        <v>345</v>
      </c>
      <c r="F1035" s="26" t="s">
        <v>58</v>
      </c>
      <c r="G1035" s="27">
        <f>G1037</f>
        <v>425000</v>
      </c>
      <c r="H1035" s="27">
        <f>H1037</f>
        <v>0</v>
      </c>
      <c r="I1035" s="27">
        <f>I1037</f>
        <v>0</v>
      </c>
      <c r="J1035" s="16">
        <f>'БА в тыс. руб.'!G1035*1000</f>
        <v>425000</v>
      </c>
      <c r="K1035" s="169">
        <f t="shared" si="726"/>
        <v>0</v>
      </c>
      <c r="L1035" s="16">
        <f>'БА в тыс. руб.'!H1035*1000</f>
        <v>0</v>
      </c>
      <c r="M1035" s="169">
        <f t="shared" si="727"/>
        <v>0</v>
      </c>
      <c r="N1035" s="16">
        <f>'БА в тыс. руб.'!I1035*1000</f>
        <v>0</v>
      </c>
      <c r="O1035" s="169">
        <f t="shared" si="728"/>
        <v>0</v>
      </c>
      <c r="S1035" s="30"/>
      <c r="T1035" s="30"/>
      <c r="U1035" s="30"/>
    </row>
    <row r="1036" spans="1:21" s="3" customFormat="1" ht="25.5">
      <c r="A1036" s="13" t="s">
        <v>174</v>
      </c>
      <c r="B1036" s="25" t="s">
        <v>67</v>
      </c>
      <c r="C1036" s="26" t="s">
        <v>71</v>
      </c>
      <c r="D1036" s="26" t="s">
        <v>53</v>
      </c>
      <c r="E1036" s="26" t="s">
        <v>346</v>
      </c>
      <c r="F1036" s="26" t="s">
        <v>58</v>
      </c>
      <c r="G1036" s="27">
        <f>G1037</f>
        <v>425000</v>
      </c>
      <c r="H1036" s="27">
        <f>H1037</f>
        <v>0</v>
      </c>
      <c r="I1036" s="27">
        <f>I1037</f>
        <v>0</v>
      </c>
      <c r="J1036" s="16">
        <f>'БА в тыс. руб.'!G1036*1000</f>
        <v>425000</v>
      </c>
      <c r="K1036" s="169">
        <f t="shared" si="726"/>
        <v>0</v>
      </c>
      <c r="L1036" s="16">
        <f>'БА в тыс. руб.'!H1036*1000</f>
        <v>0</v>
      </c>
      <c r="M1036" s="169">
        <f t="shared" si="727"/>
        <v>0</v>
      </c>
      <c r="N1036" s="16">
        <f>'БА в тыс. руб.'!I1036*1000</f>
        <v>0</v>
      </c>
      <c r="O1036" s="169">
        <f t="shared" si="728"/>
        <v>0</v>
      </c>
      <c r="S1036" s="30"/>
      <c r="T1036" s="30"/>
      <c r="U1036" s="30"/>
    </row>
    <row r="1037" spans="1:21" s="3" customFormat="1" ht="16.149999999999999" customHeight="1">
      <c r="A1037" s="13" t="s">
        <v>92</v>
      </c>
      <c r="B1037" s="25" t="s">
        <v>67</v>
      </c>
      <c r="C1037" s="26" t="s">
        <v>71</v>
      </c>
      <c r="D1037" s="26" t="s">
        <v>53</v>
      </c>
      <c r="E1037" s="26" t="s">
        <v>346</v>
      </c>
      <c r="F1037" s="26" t="s">
        <v>138</v>
      </c>
      <c r="G1037" s="27">
        <f>G1038</f>
        <v>425000</v>
      </c>
      <c r="H1037" s="27">
        <f t="shared" ref="H1037:I1037" si="730">H1038</f>
        <v>0</v>
      </c>
      <c r="I1037" s="27">
        <f t="shared" si="730"/>
        <v>0</v>
      </c>
      <c r="J1037" s="16">
        <f>'БА в тыс. руб.'!G1037*1000</f>
        <v>425000</v>
      </c>
      <c r="K1037" s="169">
        <f t="shared" si="726"/>
        <v>0</v>
      </c>
      <c r="L1037" s="16">
        <f>'БА в тыс. руб.'!H1037*1000</f>
        <v>0</v>
      </c>
      <c r="M1037" s="169">
        <f t="shared" si="727"/>
        <v>0</v>
      </c>
      <c r="N1037" s="16">
        <f>'БА в тыс. руб.'!I1037*1000</f>
        <v>0</v>
      </c>
      <c r="O1037" s="169">
        <f t="shared" si="728"/>
        <v>0</v>
      </c>
      <c r="S1037" s="30"/>
      <c r="T1037" s="30"/>
      <c r="U1037" s="30"/>
    </row>
    <row r="1038" spans="1:21" s="4" customFormat="1" ht="16.149999999999999" customHeight="1">
      <c r="A1038" s="12" t="s">
        <v>1016</v>
      </c>
      <c r="B1038" s="25" t="s">
        <v>67</v>
      </c>
      <c r="C1038" s="26" t="s">
        <v>71</v>
      </c>
      <c r="D1038" s="26" t="s">
        <v>53</v>
      </c>
      <c r="E1038" s="26" t="s">
        <v>346</v>
      </c>
      <c r="F1038" s="26" t="s">
        <v>1046</v>
      </c>
      <c r="G1038" s="27">
        <f t="shared" ref="G1038" si="731">J1038</f>
        <v>425000</v>
      </c>
      <c r="H1038" s="27">
        <f>L1038</f>
        <v>0</v>
      </c>
      <c r="I1038" s="27">
        <f>N1038</f>
        <v>0</v>
      </c>
      <c r="J1038" s="16">
        <f>'БА в тыс. руб.'!G1038*1000</f>
        <v>425000</v>
      </c>
      <c r="K1038" s="169">
        <f t="shared" si="726"/>
        <v>0</v>
      </c>
      <c r="L1038" s="16">
        <f>'БА в тыс. руб.'!H1038*1000</f>
        <v>0</v>
      </c>
      <c r="M1038" s="169">
        <f t="shared" si="727"/>
        <v>0</v>
      </c>
      <c r="N1038" s="16">
        <f>'БА в тыс. руб.'!I1038*1000</f>
        <v>0</v>
      </c>
      <c r="O1038" s="169">
        <f t="shared" si="728"/>
        <v>0</v>
      </c>
      <c r="S1038" s="83"/>
      <c r="T1038" s="83"/>
      <c r="U1038" s="83"/>
    </row>
    <row r="1039" spans="1:21" s="3" customFormat="1">
      <c r="A1039" s="17" t="s">
        <v>39</v>
      </c>
      <c r="B1039" s="18" t="s">
        <v>67</v>
      </c>
      <c r="C1039" s="19" t="s">
        <v>78</v>
      </c>
      <c r="D1039" s="19" t="s">
        <v>51</v>
      </c>
      <c r="E1039" s="19" t="s">
        <v>196</v>
      </c>
      <c r="F1039" s="19" t="s">
        <v>58</v>
      </c>
      <c r="G1039" s="20">
        <f>G1040+G1047+G1069+G1079</f>
        <v>47420140</v>
      </c>
      <c r="H1039" s="20">
        <f>H1040+H1047+H1069+H1079</f>
        <v>24498000</v>
      </c>
      <c r="I1039" s="20">
        <f>I1040+I1047+I1069+I1079</f>
        <v>24498000</v>
      </c>
      <c r="J1039" s="16">
        <f>'БА в тыс. руб.'!G1039*1000</f>
        <v>47420140</v>
      </c>
      <c r="K1039" s="169">
        <f t="shared" si="726"/>
        <v>0</v>
      </c>
      <c r="L1039" s="16">
        <f>'БА в тыс. руб.'!H1039*1000</f>
        <v>24498000</v>
      </c>
      <c r="M1039" s="169">
        <f t="shared" si="727"/>
        <v>0</v>
      </c>
      <c r="N1039" s="16">
        <f>'БА в тыс. руб.'!I1039*1000</f>
        <v>24498000</v>
      </c>
      <c r="O1039" s="169">
        <f t="shared" si="728"/>
        <v>0</v>
      </c>
      <c r="S1039" s="30"/>
      <c r="T1039" s="30"/>
      <c r="U1039" s="30"/>
    </row>
    <row r="1040" spans="1:21" s="3" customFormat="1">
      <c r="A1040" s="21" t="s">
        <v>79</v>
      </c>
      <c r="B1040" s="22" t="s">
        <v>67</v>
      </c>
      <c r="C1040" s="23" t="s">
        <v>78</v>
      </c>
      <c r="D1040" s="23" t="s">
        <v>65</v>
      </c>
      <c r="E1040" s="23" t="s">
        <v>196</v>
      </c>
      <c r="F1040" s="23" t="s">
        <v>58</v>
      </c>
      <c r="G1040" s="24">
        <f t="shared" ref="G1040:I1045" si="732">G1041</f>
        <v>2976140</v>
      </c>
      <c r="H1040" s="24">
        <f t="shared" si="732"/>
        <v>2977180</v>
      </c>
      <c r="I1040" s="24">
        <f t="shared" si="732"/>
        <v>2977180</v>
      </c>
      <c r="J1040" s="16">
        <f>'БА в тыс. руб.'!G1040*1000</f>
        <v>2976140</v>
      </c>
      <c r="K1040" s="169">
        <f t="shared" si="726"/>
        <v>0</v>
      </c>
      <c r="L1040" s="16">
        <f>'БА в тыс. руб.'!H1040*1000</f>
        <v>2977180</v>
      </c>
      <c r="M1040" s="169">
        <f t="shared" si="727"/>
        <v>0</v>
      </c>
      <c r="N1040" s="16">
        <f>'БА в тыс. руб.'!I1040*1000</f>
        <v>2977180</v>
      </c>
      <c r="O1040" s="169">
        <f t="shared" si="728"/>
        <v>0</v>
      </c>
      <c r="S1040" s="30"/>
      <c r="T1040" s="30"/>
      <c r="U1040" s="30"/>
    </row>
    <row r="1041" spans="1:21" s="3" customFormat="1" ht="25.5">
      <c r="A1041" s="11" t="s">
        <v>740</v>
      </c>
      <c r="B1041" s="25" t="s">
        <v>67</v>
      </c>
      <c r="C1041" s="26" t="s">
        <v>78</v>
      </c>
      <c r="D1041" s="26" t="s">
        <v>65</v>
      </c>
      <c r="E1041" s="26" t="s">
        <v>449</v>
      </c>
      <c r="F1041" s="26" t="s">
        <v>58</v>
      </c>
      <c r="G1041" s="27">
        <f t="shared" si="732"/>
        <v>2976140</v>
      </c>
      <c r="H1041" s="27">
        <f t="shared" si="732"/>
        <v>2977180</v>
      </c>
      <c r="I1041" s="27">
        <f t="shared" si="732"/>
        <v>2977180</v>
      </c>
      <c r="J1041" s="16">
        <f>'БА в тыс. руб.'!G1041*1000</f>
        <v>2976140</v>
      </c>
      <c r="K1041" s="169">
        <f t="shared" si="726"/>
        <v>0</v>
      </c>
      <c r="L1041" s="16">
        <f>'БА в тыс. руб.'!H1041*1000</f>
        <v>2977180</v>
      </c>
      <c r="M1041" s="169">
        <f t="shared" si="727"/>
        <v>0</v>
      </c>
      <c r="N1041" s="16">
        <f>'БА в тыс. руб.'!I1041*1000</f>
        <v>2977180</v>
      </c>
      <c r="O1041" s="169">
        <f t="shared" si="728"/>
        <v>0</v>
      </c>
      <c r="S1041" s="30"/>
      <c r="T1041" s="30"/>
      <c r="U1041" s="30"/>
    </row>
    <row r="1042" spans="1:21" s="3" customFormat="1" ht="38.25">
      <c r="A1042" s="11" t="s">
        <v>141</v>
      </c>
      <c r="B1042" s="25" t="s">
        <v>67</v>
      </c>
      <c r="C1042" s="26" t="s">
        <v>78</v>
      </c>
      <c r="D1042" s="26" t="s">
        <v>65</v>
      </c>
      <c r="E1042" s="26" t="s">
        <v>450</v>
      </c>
      <c r="F1042" s="26" t="s">
        <v>58</v>
      </c>
      <c r="G1042" s="27">
        <f>G1043</f>
        <v>2976140</v>
      </c>
      <c r="H1042" s="27">
        <f>H1043</f>
        <v>2977180</v>
      </c>
      <c r="I1042" s="27">
        <f>I1043</f>
        <v>2977180</v>
      </c>
      <c r="J1042" s="16">
        <f>'БА в тыс. руб.'!G1042*1000</f>
        <v>2976140</v>
      </c>
      <c r="K1042" s="169">
        <f t="shared" si="726"/>
        <v>0</v>
      </c>
      <c r="L1042" s="16">
        <f>'БА в тыс. руб.'!H1042*1000</f>
        <v>2977180</v>
      </c>
      <c r="M1042" s="169">
        <f t="shared" si="727"/>
        <v>0</v>
      </c>
      <c r="N1042" s="16">
        <f>'БА в тыс. руб.'!I1042*1000</f>
        <v>2977180</v>
      </c>
      <c r="O1042" s="169">
        <f t="shared" si="728"/>
        <v>0</v>
      </c>
      <c r="S1042" s="30"/>
      <c r="T1042" s="30"/>
      <c r="U1042" s="30"/>
    </row>
    <row r="1043" spans="1:21" s="3" customFormat="1" ht="25.5">
      <c r="A1043" s="34" t="s">
        <v>475</v>
      </c>
      <c r="B1043" s="35" t="s">
        <v>67</v>
      </c>
      <c r="C1043" s="36" t="s">
        <v>78</v>
      </c>
      <c r="D1043" s="36" t="s">
        <v>65</v>
      </c>
      <c r="E1043" s="36" t="s">
        <v>476</v>
      </c>
      <c r="F1043" s="36" t="s">
        <v>58</v>
      </c>
      <c r="G1043" s="37">
        <f>G1044</f>
        <v>2976140</v>
      </c>
      <c r="H1043" s="37">
        <f t="shared" ref="H1043:I1043" si="733">H1044</f>
        <v>2977180</v>
      </c>
      <c r="I1043" s="37">
        <f t="shared" si="733"/>
        <v>2977180</v>
      </c>
      <c r="J1043" s="16">
        <f>'БА в тыс. руб.'!G1043*1000</f>
        <v>2976140</v>
      </c>
      <c r="K1043" s="169">
        <f t="shared" si="726"/>
        <v>0</v>
      </c>
      <c r="L1043" s="16">
        <f>'БА в тыс. руб.'!H1043*1000</f>
        <v>2977180</v>
      </c>
      <c r="M1043" s="169">
        <f t="shared" si="727"/>
        <v>0</v>
      </c>
      <c r="N1043" s="16">
        <f>'БА в тыс. руб.'!I1043*1000</f>
        <v>2977180</v>
      </c>
      <c r="O1043" s="169">
        <f t="shared" si="728"/>
        <v>0</v>
      </c>
      <c r="S1043" s="30"/>
      <c r="T1043" s="30"/>
      <c r="U1043" s="30"/>
    </row>
    <row r="1044" spans="1:21" s="3" customFormat="1" ht="25.5">
      <c r="A1044" s="39" t="s">
        <v>247</v>
      </c>
      <c r="B1044" s="35" t="s">
        <v>67</v>
      </c>
      <c r="C1044" s="36" t="s">
        <v>78</v>
      </c>
      <c r="D1044" s="36" t="s">
        <v>65</v>
      </c>
      <c r="E1044" s="36" t="s">
        <v>477</v>
      </c>
      <c r="F1044" s="36" t="s">
        <v>58</v>
      </c>
      <c r="G1044" s="37">
        <f t="shared" si="732"/>
        <v>2976140</v>
      </c>
      <c r="H1044" s="37">
        <f t="shared" si="732"/>
        <v>2977180</v>
      </c>
      <c r="I1044" s="37">
        <f t="shared" si="732"/>
        <v>2977180</v>
      </c>
      <c r="J1044" s="16">
        <f>'БА в тыс. руб.'!G1044*1000</f>
        <v>2976140</v>
      </c>
      <c r="K1044" s="169">
        <f t="shared" si="726"/>
        <v>0</v>
      </c>
      <c r="L1044" s="16">
        <f>'БА в тыс. руб.'!H1044*1000</f>
        <v>2977180</v>
      </c>
      <c r="M1044" s="169">
        <f t="shared" si="727"/>
        <v>0</v>
      </c>
      <c r="N1044" s="16">
        <f>'БА в тыс. руб.'!I1044*1000</f>
        <v>2977180</v>
      </c>
      <c r="O1044" s="169">
        <f t="shared" si="728"/>
        <v>0</v>
      </c>
      <c r="S1044" s="30"/>
      <c r="T1044" s="30"/>
      <c r="U1044" s="30"/>
    </row>
    <row r="1045" spans="1:21" s="3" customFormat="1">
      <c r="A1045" s="13" t="s">
        <v>92</v>
      </c>
      <c r="B1045" s="35" t="s">
        <v>67</v>
      </c>
      <c r="C1045" s="36" t="s">
        <v>78</v>
      </c>
      <c r="D1045" s="36" t="s">
        <v>65</v>
      </c>
      <c r="E1045" s="36" t="s">
        <v>477</v>
      </c>
      <c r="F1045" s="36" t="s">
        <v>138</v>
      </c>
      <c r="G1045" s="27">
        <f>G1046</f>
        <v>2976140</v>
      </c>
      <c r="H1045" s="27">
        <f t="shared" si="732"/>
        <v>2977180</v>
      </c>
      <c r="I1045" s="27">
        <f t="shared" si="732"/>
        <v>2977180</v>
      </c>
      <c r="J1045" s="16">
        <f>'БА в тыс. руб.'!G1045*1000</f>
        <v>2976140</v>
      </c>
      <c r="K1045" s="169">
        <f t="shared" si="726"/>
        <v>0</v>
      </c>
      <c r="L1045" s="16">
        <f>'БА в тыс. руб.'!H1045*1000</f>
        <v>2977180</v>
      </c>
      <c r="M1045" s="169">
        <f t="shared" si="727"/>
        <v>0</v>
      </c>
      <c r="N1045" s="16">
        <f>'БА в тыс. руб.'!I1045*1000</f>
        <v>2977180</v>
      </c>
      <c r="O1045" s="169">
        <f t="shared" si="728"/>
        <v>0</v>
      </c>
      <c r="S1045" s="30"/>
      <c r="T1045" s="30"/>
      <c r="U1045" s="30"/>
    </row>
    <row r="1046" spans="1:21" s="4" customFormat="1" ht="38.25">
      <c r="A1046" s="12" t="s">
        <v>1015</v>
      </c>
      <c r="B1046" s="35" t="s">
        <v>67</v>
      </c>
      <c r="C1046" s="36" t="s">
        <v>78</v>
      </c>
      <c r="D1046" s="36" t="s">
        <v>65</v>
      </c>
      <c r="E1046" s="36" t="s">
        <v>477</v>
      </c>
      <c r="F1046" s="36" t="s">
        <v>67</v>
      </c>
      <c r="G1046" s="27">
        <f t="shared" ref="G1046" si="734">J1046</f>
        <v>2976140</v>
      </c>
      <c r="H1046" s="27">
        <f>L1046</f>
        <v>2977180</v>
      </c>
      <c r="I1046" s="27">
        <f>N1046</f>
        <v>2977180</v>
      </c>
      <c r="J1046" s="16">
        <f>'БА в тыс. руб.'!G1046*1000</f>
        <v>2976140</v>
      </c>
      <c r="K1046" s="169">
        <f t="shared" si="726"/>
        <v>0</v>
      </c>
      <c r="L1046" s="16">
        <f>'БА в тыс. руб.'!H1046*1000</f>
        <v>2977180</v>
      </c>
      <c r="M1046" s="169">
        <f t="shared" si="727"/>
        <v>0</v>
      </c>
      <c r="N1046" s="16">
        <f>'БА в тыс. руб.'!I1046*1000</f>
        <v>2977180</v>
      </c>
      <c r="O1046" s="169">
        <f t="shared" si="728"/>
        <v>0</v>
      </c>
      <c r="S1046" s="83"/>
      <c r="T1046" s="83"/>
      <c r="U1046" s="83"/>
    </row>
    <row r="1047" spans="1:21" s="3" customFormat="1">
      <c r="A1047" s="21" t="s">
        <v>80</v>
      </c>
      <c r="B1047" s="22" t="s">
        <v>67</v>
      </c>
      <c r="C1047" s="23" t="s">
        <v>78</v>
      </c>
      <c r="D1047" s="23" t="s">
        <v>66</v>
      </c>
      <c r="E1047" s="23" t="s">
        <v>196</v>
      </c>
      <c r="F1047" s="23" t="s">
        <v>58</v>
      </c>
      <c r="G1047" s="24">
        <f>G1048+G1054</f>
        <v>13046770</v>
      </c>
      <c r="H1047" s="24">
        <f>H1048+H1054</f>
        <v>11728590</v>
      </c>
      <c r="I1047" s="24">
        <f>I1048+I1054</f>
        <v>11728590</v>
      </c>
      <c r="J1047" s="16">
        <f>'БА в тыс. руб.'!G1047*1000</f>
        <v>13046770</v>
      </c>
      <c r="K1047" s="169">
        <f t="shared" si="726"/>
        <v>0</v>
      </c>
      <c r="L1047" s="16">
        <f>'БА в тыс. руб.'!H1047*1000</f>
        <v>11728590</v>
      </c>
      <c r="M1047" s="169">
        <f t="shared" si="727"/>
        <v>0</v>
      </c>
      <c r="N1047" s="16">
        <f>'БА в тыс. руб.'!I1047*1000</f>
        <v>11728590</v>
      </c>
      <c r="O1047" s="169">
        <f t="shared" si="728"/>
        <v>0</v>
      </c>
      <c r="S1047" s="30"/>
      <c r="T1047" s="30"/>
      <c r="U1047" s="30"/>
    </row>
    <row r="1048" spans="1:21" s="3" customFormat="1" ht="25.5">
      <c r="A1048" s="11" t="s">
        <v>740</v>
      </c>
      <c r="B1048" s="25" t="s">
        <v>67</v>
      </c>
      <c r="C1048" s="26" t="s">
        <v>78</v>
      </c>
      <c r="D1048" s="26" t="s">
        <v>66</v>
      </c>
      <c r="E1048" s="26" t="s">
        <v>449</v>
      </c>
      <c r="F1048" s="26" t="s">
        <v>58</v>
      </c>
      <c r="G1048" s="27">
        <f t="shared" ref="G1048:I1050" si="735">G1049</f>
        <v>8206770</v>
      </c>
      <c r="H1048" s="27">
        <f t="shared" si="735"/>
        <v>7386090</v>
      </c>
      <c r="I1048" s="27">
        <f t="shared" si="735"/>
        <v>7386090</v>
      </c>
      <c r="J1048" s="16">
        <f>'БА в тыс. руб.'!G1048*1000</f>
        <v>8206770</v>
      </c>
      <c r="K1048" s="169">
        <f t="shared" si="726"/>
        <v>0</v>
      </c>
      <c r="L1048" s="16">
        <f>'БА в тыс. руб.'!H1048*1000</f>
        <v>7386090</v>
      </c>
      <c r="M1048" s="169">
        <f t="shared" si="727"/>
        <v>0</v>
      </c>
      <c r="N1048" s="16">
        <f>'БА в тыс. руб.'!I1048*1000</f>
        <v>7386090</v>
      </c>
      <c r="O1048" s="169">
        <f t="shared" si="728"/>
        <v>0</v>
      </c>
      <c r="S1048" s="30"/>
      <c r="T1048" s="30"/>
      <c r="U1048" s="30"/>
    </row>
    <row r="1049" spans="1:21" s="3" customFormat="1" ht="38.25">
      <c r="A1049" s="11" t="s">
        <v>141</v>
      </c>
      <c r="B1049" s="25" t="s">
        <v>67</v>
      </c>
      <c r="C1049" s="26" t="s">
        <v>78</v>
      </c>
      <c r="D1049" s="26" t="s">
        <v>66</v>
      </c>
      <c r="E1049" s="26" t="s">
        <v>450</v>
      </c>
      <c r="F1049" s="26" t="s">
        <v>58</v>
      </c>
      <c r="G1049" s="27">
        <f t="shared" si="735"/>
        <v>8206770</v>
      </c>
      <c r="H1049" s="27">
        <f t="shared" si="735"/>
        <v>7386090</v>
      </c>
      <c r="I1049" s="27">
        <f t="shared" si="735"/>
        <v>7386090</v>
      </c>
      <c r="J1049" s="16">
        <f>'БА в тыс. руб.'!G1049*1000</f>
        <v>8206770</v>
      </c>
      <c r="K1049" s="169">
        <f t="shared" si="726"/>
        <v>0</v>
      </c>
      <c r="L1049" s="16">
        <f>'БА в тыс. руб.'!H1049*1000</f>
        <v>7386090</v>
      </c>
      <c r="M1049" s="169">
        <f t="shared" si="727"/>
        <v>0</v>
      </c>
      <c r="N1049" s="16">
        <f>'БА в тыс. руб.'!I1049*1000</f>
        <v>7386090</v>
      </c>
      <c r="O1049" s="169">
        <f t="shared" si="728"/>
        <v>0</v>
      </c>
      <c r="S1049" s="30"/>
      <c r="T1049" s="30"/>
      <c r="U1049" s="30"/>
    </row>
    <row r="1050" spans="1:21" s="3" customFormat="1" ht="63.75">
      <c r="A1050" s="11" t="s">
        <v>884</v>
      </c>
      <c r="B1050" s="25" t="s">
        <v>67</v>
      </c>
      <c r="C1050" s="26" t="s">
        <v>78</v>
      </c>
      <c r="D1050" s="26" t="s">
        <v>66</v>
      </c>
      <c r="E1050" s="26" t="s">
        <v>812</v>
      </c>
      <c r="F1050" s="26" t="s">
        <v>58</v>
      </c>
      <c r="G1050" s="27">
        <f>G1051</f>
        <v>8206770</v>
      </c>
      <c r="H1050" s="27">
        <f t="shared" si="735"/>
        <v>7386090</v>
      </c>
      <c r="I1050" s="27">
        <f t="shared" si="735"/>
        <v>7386090</v>
      </c>
      <c r="J1050" s="16">
        <f>'БА в тыс. руб.'!G1050*1000</f>
        <v>8206770</v>
      </c>
      <c r="K1050" s="169">
        <f t="shared" si="726"/>
        <v>0</v>
      </c>
      <c r="L1050" s="16">
        <f>'БА в тыс. руб.'!H1050*1000</f>
        <v>7386090</v>
      </c>
      <c r="M1050" s="169">
        <f t="shared" si="727"/>
        <v>0</v>
      </c>
      <c r="N1050" s="16">
        <f>'БА в тыс. руб.'!I1050*1000</f>
        <v>7386090</v>
      </c>
      <c r="O1050" s="169">
        <f t="shared" si="728"/>
        <v>0</v>
      </c>
      <c r="S1050" s="30"/>
      <c r="T1050" s="30"/>
      <c r="U1050" s="30"/>
    </row>
    <row r="1051" spans="1:21" s="3" customFormat="1" ht="25.5">
      <c r="A1051" s="39" t="s">
        <v>247</v>
      </c>
      <c r="B1051" s="35" t="s">
        <v>67</v>
      </c>
      <c r="C1051" s="26" t="s">
        <v>78</v>
      </c>
      <c r="D1051" s="26" t="s">
        <v>66</v>
      </c>
      <c r="E1051" s="36" t="s">
        <v>813</v>
      </c>
      <c r="F1051" s="36" t="s">
        <v>58</v>
      </c>
      <c r="G1051" s="37">
        <f t="shared" ref="G1051:I1052" si="736">G1052</f>
        <v>8206770</v>
      </c>
      <c r="H1051" s="37">
        <f t="shared" si="736"/>
        <v>7386090</v>
      </c>
      <c r="I1051" s="37">
        <f t="shared" si="736"/>
        <v>7386090</v>
      </c>
      <c r="J1051" s="16">
        <f>'БА в тыс. руб.'!G1051*1000</f>
        <v>8206770</v>
      </c>
      <c r="K1051" s="169">
        <f t="shared" si="726"/>
        <v>0</v>
      </c>
      <c r="L1051" s="16">
        <f>'БА в тыс. руб.'!H1051*1000</f>
        <v>7386090</v>
      </c>
      <c r="M1051" s="169">
        <f t="shared" si="727"/>
        <v>0</v>
      </c>
      <c r="N1051" s="16">
        <f>'БА в тыс. руб.'!I1051*1000</f>
        <v>7386090</v>
      </c>
      <c r="O1051" s="169">
        <f t="shared" si="728"/>
        <v>0</v>
      </c>
      <c r="S1051" s="30"/>
      <c r="T1051" s="30"/>
      <c r="U1051" s="30"/>
    </row>
    <row r="1052" spans="1:21" s="3" customFormat="1">
      <c r="A1052" s="13" t="s">
        <v>92</v>
      </c>
      <c r="B1052" s="35" t="s">
        <v>67</v>
      </c>
      <c r="C1052" s="26" t="s">
        <v>78</v>
      </c>
      <c r="D1052" s="26" t="s">
        <v>66</v>
      </c>
      <c r="E1052" s="36" t="s">
        <v>813</v>
      </c>
      <c r="F1052" s="36" t="s">
        <v>138</v>
      </c>
      <c r="G1052" s="27">
        <f>G1053</f>
        <v>8206770</v>
      </c>
      <c r="H1052" s="27">
        <f t="shared" si="736"/>
        <v>7386090</v>
      </c>
      <c r="I1052" s="27">
        <f t="shared" si="736"/>
        <v>7386090</v>
      </c>
      <c r="J1052" s="16">
        <f>'БА в тыс. руб.'!G1052*1000</f>
        <v>8206770</v>
      </c>
      <c r="K1052" s="169">
        <f t="shared" si="726"/>
        <v>0</v>
      </c>
      <c r="L1052" s="16">
        <f>'БА в тыс. руб.'!H1052*1000</f>
        <v>7386090</v>
      </c>
      <c r="M1052" s="169">
        <f t="shared" si="727"/>
        <v>0</v>
      </c>
      <c r="N1052" s="16">
        <f>'БА в тыс. руб.'!I1052*1000</f>
        <v>7386090</v>
      </c>
      <c r="O1052" s="169">
        <f t="shared" si="728"/>
        <v>0</v>
      </c>
      <c r="S1052" s="30"/>
      <c r="T1052" s="30"/>
      <c r="U1052" s="30"/>
    </row>
    <row r="1053" spans="1:21" s="4" customFormat="1" ht="38.25">
      <c r="A1053" s="12" t="s">
        <v>1015</v>
      </c>
      <c r="B1053" s="35" t="s">
        <v>67</v>
      </c>
      <c r="C1053" s="26" t="s">
        <v>78</v>
      </c>
      <c r="D1053" s="26" t="s">
        <v>66</v>
      </c>
      <c r="E1053" s="36" t="s">
        <v>813</v>
      </c>
      <c r="F1053" s="36" t="s">
        <v>67</v>
      </c>
      <c r="G1053" s="27">
        <f t="shared" ref="G1053" si="737">J1053</f>
        <v>8206770</v>
      </c>
      <c r="H1053" s="27">
        <f>L1053</f>
        <v>7386090</v>
      </c>
      <c r="I1053" s="27">
        <f>N1053</f>
        <v>7386090</v>
      </c>
      <c r="J1053" s="16">
        <f>'БА в тыс. руб.'!G1053*1000</f>
        <v>8206770</v>
      </c>
      <c r="K1053" s="169">
        <f t="shared" si="726"/>
        <v>0</v>
      </c>
      <c r="L1053" s="16">
        <f>'БА в тыс. руб.'!H1053*1000</f>
        <v>7386090</v>
      </c>
      <c r="M1053" s="169">
        <f t="shared" si="727"/>
        <v>0</v>
      </c>
      <c r="N1053" s="16">
        <f>'БА в тыс. руб.'!I1053*1000</f>
        <v>7386090</v>
      </c>
      <c r="O1053" s="169">
        <f t="shared" si="728"/>
        <v>0</v>
      </c>
      <c r="S1053" s="83"/>
      <c r="T1053" s="83"/>
      <c r="U1053" s="83"/>
    </row>
    <row r="1054" spans="1:21" s="3" customFormat="1" ht="25.5">
      <c r="A1054" s="11" t="s">
        <v>883</v>
      </c>
      <c r="B1054" s="25" t="s">
        <v>67</v>
      </c>
      <c r="C1054" s="26" t="s">
        <v>78</v>
      </c>
      <c r="D1054" s="26" t="s">
        <v>66</v>
      </c>
      <c r="E1054" s="26" t="s">
        <v>478</v>
      </c>
      <c r="F1054" s="26" t="s">
        <v>58</v>
      </c>
      <c r="G1054" s="27">
        <f>G1055+G1061+G1065</f>
        <v>4840000</v>
      </c>
      <c r="H1054" s="27">
        <f>H1055+H1061+H1065</f>
        <v>4342500</v>
      </c>
      <c r="I1054" s="27">
        <f>I1055+I1061+I1065</f>
        <v>4342500</v>
      </c>
      <c r="J1054" s="16">
        <f>'БА в тыс. руб.'!G1054*1000</f>
        <v>4840000</v>
      </c>
      <c r="K1054" s="169">
        <f t="shared" si="726"/>
        <v>0</v>
      </c>
      <c r="L1054" s="16">
        <f>'БА в тыс. руб.'!H1054*1000</f>
        <v>4342500</v>
      </c>
      <c r="M1054" s="169">
        <f t="shared" si="727"/>
        <v>0</v>
      </c>
      <c r="N1054" s="16">
        <f>'БА в тыс. руб.'!I1054*1000</f>
        <v>4342500</v>
      </c>
      <c r="O1054" s="169">
        <f t="shared" si="728"/>
        <v>0</v>
      </c>
      <c r="S1054" s="30"/>
      <c r="T1054" s="30"/>
      <c r="U1054" s="30"/>
    </row>
    <row r="1055" spans="1:21" s="3" customFormat="1" ht="25.5">
      <c r="A1055" s="11" t="s">
        <v>619</v>
      </c>
      <c r="B1055" s="25" t="s">
        <v>67</v>
      </c>
      <c r="C1055" s="26" t="s">
        <v>78</v>
      </c>
      <c r="D1055" s="26" t="s">
        <v>66</v>
      </c>
      <c r="E1055" s="26" t="s">
        <v>479</v>
      </c>
      <c r="F1055" s="26" t="s">
        <v>58</v>
      </c>
      <c r="G1055" s="27">
        <f>G1056</f>
        <v>4750000</v>
      </c>
      <c r="H1055" s="27">
        <f t="shared" ref="H1055:I1055" si="738">H1056</f>
        <v>4275000</v>
      </c>
      <c r="I1055" s="27">
        <f t="shared" si="738"/>
        <v>4275000</v>
      </c>
      <c r="J1055" s="16">
        <f>'БА в тыс. руб.'!G1055*1000</f>
        <v>4750000</v>
      </c>
      <c r="K1055" s="169">
        <f t="shared" si="726"/>
        <v>0</v>
      </c>
      <c r="L1055" s="16">
        <f>'БА в тыс. руб.'!H1055*1000</f>
        <v>4275000</v>
      </c>
      <c r="M1055" s="169">
        <f t="shared" si="727"/>
        <v>0</v>
      </c>
      <c r="N1055" s="16">
        <f>'БА в тыс. руб.'!I1055*1000</f>
        <v>4275000</v>
      </c>
      <c r="O1055" s="169">
        <f t="shared" si="728"/>
        <v>0</v>
      </c>
      <c r="S1055" s="30"/>
      <c r="T1055" s="30"/>
      <c r="U1055" s="30"/>
    </row>
    <row r="1056" spans="1:21" s="3" customFormat="1" ht="25.5">
      <c r="A1056" s="11" t="s">
        <v>163</v>
      </c>
      <c r="B1056" s="25" t="s">
        <v>67</v>
      </c>
      <c r="C1056" s="26" t="s">
        <v>78</v>
      </c>
      <c r="D1056" s="26" t="s">
        <v>66</v>
      </c>
      <c r="E1056" s="26" t="s">
        <v>480</v>
      </c>
      <c r="F1056" s="26" t="s">
        <v>58</v>
      </c>
      <c r="G1056" s="27">
        <f>G1059+G1057</f>
        <v>4750000</v>
      </c>
      <c r="H1056" s="27">
        <f>H1059+H1057</f>
        <v>4275000</v>
      </c>
      <c r="I1056" s="27">
        <f>I1059+I1057</f>
        <v>4275000</v>
      </c>
      <c r="J1056" s="16">
        <f>'БА в тыс. руб.'!G1056*1000</f>
        <v>4750000</v>
      </c>
      <c r="K1056" s="169">
        <f t="shared" si="726"/>
        <v>0</v>
      </c>
      <c r="L1056" s="16">
        <f>'БА в тыс. руб.'!H1056*1000</f>
        <v>4275000</v>
      </c>
      <c r="M1056" s="169">
        <f t="shared" si="727"/>
        <v>0</v>
      </c>
      <c r="N1056" s="16">
        <f>'БА в тыс. руб.'!I1056*1000</f>
        <v>4275000</v>
      </c>
      <c r="O1056" s="169">
        <f t="shared" si="728"/>
        <v>0</v>
      </c>
      <c r="S1056" s="30"/>
      <c r="T1056" s="30"/>
      <c r="U1056" s="30"/>
    </row>
    <row r="1057" spans="1:21" s="3" customFormat="1">
      <c r="A1057" s="11" t="s">
        <v>106</v>
      </c>
      <c r="B1057" s="25" t="s">
        <v>67</v>
      </c>
      <c r="C1057" s="26" t="s">
        <v>78</v>
      </c>
      <c r="D1057" s="26" t="s">
        <v>66</v>
      </c>
      <c r="E1057" s="26" t="s">
        <v>480</v>
      </c>
      <c r="F1057" s="26" t="s">
        <v>121</v>
      </c>
      <c r="G1057" s="27">
        <f>G1058</f>
        <v>3052000</v>
      </c>
      <c r="H1057" s="27">
        <f t="shared" ref="H1057:I1057" si="739">H1058</f>
        <v>2577000</v>
      </c>
      <c r="I1057" s="27">
        <f t="shared" si="739"/>
        <v>2577000</v>
      </c>
      <c r="J1057" s="16">
        <f>'БА в тыс. руб.'!G1057*1000</f>
        <v>3052000</v>
      </c>
      <c r="K1057" s="169">
        <f t="shared" si="726"/>
        <v>0</v>
      </c>
      <c r="L1057" s="16">
        <f>'БА в тыс. руб.'!H1057*1000</f>
        <v>2577000</v>
      </c>
      <c r="M1057" s="169">
        <f t="shared" si="727"/>
        <v>0</v>
      </c>
      <c r="N1057" s="16">
        <f>'БА в тыс. руб.'!I1057*1000</f>
        <v>2577000</v>
      </c>
      <c r="O1057" s="169">
        <f t="shared" si="728"/>
        <v>0</v>
      </c>
      <c r="S1057" s="30"/>
      <c r="T1057" s="30"/>
      <c r="U1057" s="30"/>
    </row>
    <row r="1058" spans="1:21" s="4" customFormat="1" ht="38.25">
      <c r="A1058" s="12" t="s">
        <v>934</v>
      </c>
      <c r="B1058" s="25" t="s">
        <v>67</v>
      </c>
      <c r="C1058" s="26" t="s">
        <v>78</v>
      </c>
      <c r="D1058" s="26" t="s">
        <v>66</v>
      </c>
      <c r="E1058" s="26" t="s">
        <v>480</v>
      </c>
      <c r="F1058" s="26" t="s">
        <v>1071</v>
      </c>
      <c r="G1058" s="27">
        <f t="shared" ref="G1058" si="740">J1058</f>
        <v>3052000</v>
      </c>
      <c r="H1058" s="27">
        <f>L1058</f>
        <v>2577000</v>
      </c>
      <c r="I1058" s="27">
        <f>N1058</f>
        <v>2577000</v>
      </c>
      <c r="J1058" s="16">
        <f>'БА в тыс. руб.'!G1058*1000</f>
        <v>3052000</v>
      </c>
      <c r="K1058" s="169">
        <f t="shared" si="726"/>
        <v>0</v>
      </c>
      <c r="L1058" s="16">
        <f>'БА в тыс. руб.'!H1058*1000</f>
        <v>2577000</v>
      </c>
      <c r="M1058" s="169">
        <f t="shared" si="727"/>
        <v>0</v>
      </c>
      <c r="N1058" s="16">
        <f>'БА в тыс. руб.'!I1058*1000</f>
        <v>2577000</v>
      </c>
      <c r="O1058" s="169">
        <f t="shared" si="728"/>
        <v>0</v>
      </c>
      <c r="S1058" s="83"/>
      <c r="T1058" s="83"/>
      <c r="U1058" s="83"/>
    </row>
    <row r="1059" spans="1:21" s="3" customFormat="1" ht="25.5">
      <c r="A1059" s="11" t="s">
        <v>108</v>
      </c>
      <c r="B1059" s="25" t="s">
        <v>67</v>
      </c>
      <c r="C1059" s="26" t="s">
        <v>78</v>
      </c>
      <c r="D1059" s="26" t="s">
        <v>66</v>
      </c>
      <c r="E1059" s="26" t="s">
        <v>480</v>
      </c>
      <c r="F1059" s="26" t="s">
        <v>116</v>
      </c>
      <c r="G1059" s="27">
        <f>G1060</f>
        <v>1698000</v>
      </c>
      <c r="H1059" s="27">
        <f t="shared" ref="H1059:I1059" si="741">H1060</f>
        <v>1698000</v>
      </c>
      <c r="I1059" s="27">
        <f t="shared" si="741"/>
        <v>1698000</v>
      </c>
      <c r="J1059" s="16">
        <f>'БА в тыс. руб.'!G1059*1000</f>
        <v>1698000</v>
      </c>
      <c r="K1059" s="169">
        <f t="shared" si="726"/>
        <v>0</v>
      </c>
      <c r="L1059" s="16">
        <f>'БА в тыс. руб.'!H1059*1000</f>
        <v>1698000</v>
      </c>
      <c r="M1059" s="169">
        <f t="shared" si="727"/>
        <v>0</v>
      </c>
      <c r="N1059" s="16">
        <f>'БА в тыс. руб.'!I1059*1000</f>
        <v>1698000</v>
      </c>
      <c r="O1059" s="169">
        <f t="shared" si="728"/>
        <v>0</v>
      </c>
      <c r="S1059" s="30"/>
      <c r="T1059" s="30"/>
      <c r="U1059" s="30"/>
    </row>
    <row r="1060" spans="1:21" s="4" customFormat="1" ht="25.5">
      <c r="A1060" s="12" t="s">
        <v>973</v>
      </c>
      <c r="B1060" s="25" t="s">
        <v>67</v>
      </c>
      <c r="C1060" s="26" t="s">
        <v>78</v>
      </c>
      <c r="D1060" s="26" t="s">
        <v>66</v>
      </c>
      <c r="E1060" s="26" t="s">
        <v>480</v>
      </c>
      <c r="F1060" s="26" t="s">
        <v>1043</v>
      </c>
      <c r="G1060" s="27">
        <f t="shared" ref="G1060" si="742">J1060</f>
        <v>1698000</v>
      </c>
      <c r="H1060" s="27">
        <f>L1060</f>
        <v>1698000</v>
      </c>
      <c r="I1060" s="27">
        <f>N1060</f>
        <v>1698000</v>
      </c>
      <c r="J1060" s="16">
        <f>'БА в тыс. руб.'!G1060*1000</f>
        <v>1698000</v>
      </c>
      <c r="K1060" s="169">
        <f t="shared" si="726"/>
        <v>0</v>
      </c>
      <c r="L1060" s="16">
        <f>'БА в тыс. руб.'!H1060*1000</f>
        <v>1698000</v>
      </c>
      <c r="M1060" s="169">
        <f t="shared" si="727"/>
        <v>0</v>
      </c>
      <c r="N1060" s="16">
        <f>'БА в тыс. руб.'!I1060*1000</f>
        <v>1698000</v>
      </c>
      <c r="O1060" s="169">
        <f t="shared" si="728"/>
        <v>0</v>
      </c>
      <c r="S1060" s="83"/>
      <c r="T1060" s="83"/>
      <c r="U1060" s="83"/>
    </row>
    <row r="1061" spans="1:21" s="3" customFormat="1" ht="38.25">
      <c r="A1061" s="40" t="s">
        <v>814</v>
      </c>
      <c r="B1061" s="25" t="s">
        <v>67</v>
      </c>
      <c r="C1061" s="26" t="s">
        <v>78</v>
      </c>
      <c r="D1061" s="26" t="s">
        <v>66</v>
      </c>
      <c r="E1061" s="26" t="s">
        <v>815</v>
      </c>
      <c r="F1061" s="26" t="s">
        <v>58</v>
      </c>
      <c r="G1061" s="27">
        <f>G1062</f>
        <v>15000</v>
      </c>
      <c r="H1061" s="27">
        <f t="shared" ref="H1061:I1063" si="743">H1062</f>
        <v>11250</v>
      </c>
      <c r="I1061" s="27">
        <f t="shared" si="743"/>
        <v>11250</v>
      </c>
      <c r="J1061" s="16">
        <f>'БА в тыс. руб.'!G1061*1000</f>
        <v>15000</v>
      </c>
      <c r="K1061" s="169">
        <f t="shared" si="726"/>
        <v>0</v>
      </c>
      <c r="L1061" s="16">
        <f>'БА в тыс. руб.'!H1061*1000</f>
        <v>11250</v>
      </c>
      <c r="M1061" s="169">
        <f t="shared" si="727"/>
        <v>0</v>
      </c>
      <c r="N1061" s="16">
        <f>'БА в тыс. руб.'!I1061*1000</f>
        <v>11250</v>
      </c>
      <c r="O1061" s="169">
        <f t="shared" si="728"/>
        <v>0</v>
      </c>
      <c r="S1061" s="30"/>
      <c r="T1061" s="30"/>
      <c r="U1061" s="30"/>
    </row>
    <row r="1062" spans="1:21" s="3" customFormat="1">
      <c r="A1062" s="12" t="s">
        <v>885</v>
      </c>
      <c r="B1062" s="25" t="s">
        <v>67</v>
      </c>
      <c r="C1062" s="26" t="s">
        <v>78</v>
      </c>
      <c r="D1062" s="26" t="s">
        <v>66</v>
      </c>
      <c r="E1062" s="26" t="s">
        <v>816</v>
      </c>
      <c r="F1062" s="26" t="s">
        <v>58</v>
      </c>
      <c r="G1062" s="27">
        <f>G1063</f>
        <v>15000</v>
      </c>
      <c r="H1062" s="27">
        <f t="shared" si="743"/>
        <v>11250</v>
      </c>
      <c r="I1062" s="27">
        <f t="shared" si="743"/>
        <v>11250</v>
      </c>
      <c r="J1062" s="16">
        <f>'БА в тыс. руб.'!G1062*1000</f>
        <v>15000</v>
      </c>
      <c r="K1062" s="169">
        <f t="shared" si="726"/>
        <v>0</v>
      </c>
      <c r="L1062" s="16">
        <f>'БА в тыс. руб.'!H1062*1000</f>
        <v>11250</v>
      </c>
      <c r="M1062" s="169">
        <f t="shared" si="727"/>
        <v>0</v>
      </c>
      <c r="N1062" s="16">
        <f>'БА в тыс. руб.'!I1062*1000</f>
        <v>11250</v>
      </c>
      <c r="O1062" s="169">
        <f t="shared" si="728"/>
        <v>0</v>
      </c>
      <c r="S1062" s="30"/>
      <c r="T1062" s="30"/>
      <c r="U1062" s="30"/>
    </row>
    <row r="1063" spans="1:21" s="3" customFormat="1" ht="25.5">
      <c r="A1063" s="11" t="s">
        <v>108</v>
      </c>
      <c r="B1063" s="25" t="s">
        <v>67</v>
      </c>
      <c r="C1063" s="26" t="s">
        <v>78</v>
      </c>
      <c r="D1063" s="26" t="s">
        <v>66</v>
      </c>
      <c r="E1063" s="26" t="s">
        <v>816</v>
      </c>
      <c r="F1063" s="26" t="s">
        <v>116</v>
      </c>
      <c r="G1063" s="27">
        <f>G1064</f>
        <v>15000</v>
      </c>
      <c r="H1063" s="27">
        <f t="shared" si="743"/>
        <v>11250</v>
      </c>
      <c r="I1063" s="27">
        <f t="shared" si="743"/>
        <v>11250</v>
      </c>
      <c r="J1063" s="16">
        <f>'БА в тыс. руб.'!G1063*1000</f>
        <v>15000</v>
      </c>
      <c r="K1063" s="169">
        <f t="shared" si="726"/>
        <v>0</v>
      </c>
      <c r="L1063" s="16">
        <f>'БА в тыс. руб.'!H1063*1000</f>
        <v>11250</v>
      </c>
      <c r="M1063" s="169">
        <f t="shared" si="727"/>
        <v>0</v>
      </c>
      <c r="N1063" s="16">
        <f>'БА в тыс. руб.'!I1063*1000</f>
        <v>11250</v>
      </c>
      <c r="O1063" s="169">
        <f t="shared" si="728"/>
        <v>0</v>
      </c>
      <c r="S1063" s="30"/>
      <c r="T1063" s="30"/>
      <c r="U1063" s="30"/>
    </row>
    <row r="1064" spans="1:21" s="4" customFormat="1" ht="25.5">
      <c r="A1064" s="12" t="s">
        <v>973</v>
      </c>
      <c r="B1064" s="25" t="s">
        <v>67</v>
      </c>
      <c r="C1064" s="26" t="s">
        <v>78</v>
      </c>
      <c r="D1064" s="26" t="s">
        <v>66</v>
      </c>
      <c r="E1064" s="26" t="s">
        <v>816</v>
      </c>
      <c r="F1064" s="26" t="s">
        <v>1043</v>
      </c>
      <c r="G1064" s="27">
        <f t="shared" ref="G1064" si="744">J1064</f>
        <v>15000</v>
      </c>
      <c r="H1064" s="27">
        <f>L1064</f>
        <v>11250</v>
      </c>
      <c r="I1064" s="27">
        <f>N1064</f>
        <v>11250</v>
      </c>
      <c r="J1064" s="16">
        <f>'БА в тыс. руб.'!G1064*1000</f>
        <v>15000</v>
      </c>
      <c r="K1064" s="169">
        <f t="shared" si="726"/>
        <v>0</v>
      </c>
      <c r="L1064" s="16">
        <f>'БА в тыс. руб.'!H1064*1000</f>
        <v>11250</v>
      </c>
      <c r="M1064" s="169">
        <f t="shared" si="727"/>
        <v>0</v>
      </c>
      <c r="N1064" s="16">
        <f>'БА в тыс. руб.'!I1064*1000</f>
        <v>11250</v>
      </c>
      <c r="O1064" s="169">
        <f t="shared" si="728"/>
        <v>0</v>
      </c>
      <c r="S1064" s="83"/>
      <c r="T1064" s="83"/>
      <c r="U1064" s="83"/>
    </row>
    <row r="1065" spans="1:21" s="3" customFormat="1" ht="38.25">
      <c r="A1065" s="40" t="s">
        <v>817</v>
      </c>
      <c r="B1065" s="25" t="s">
        <v>67</v>
      </c>
      <c r="C1065" s="26" t="s">
        <v>78</v>
      </c>
      <c r="D1065" s="26" t="s">
        <v>66</v>
      </c>
      <c r="E1065" s="26" t="s">
        <v>818</v>
      </c>
      <c r="F1065" s="26" t="s">
        <v>58</v>
      </c>
      <c r="G1065" s="27">
        <f t="shared" ref="G1065:I1067" si="745">G1066</f>
        <v>75000</v>
      </c>
      <c r="H1065" s="27">
        <f t="shared" si="745"/>
        <v>56250</v>
      </c>
      <c r="I1065" s="27">
        <f t="shared" si="745"/>
        <v>56250</v>
      </c>
      <c r="J1065" s="16">
        <f>'БА в тыс. руб.'!G1065*1000</f>
        <v>75000</v>
      </c>
      <c r="K1065" s="169">
        <f t="shared" si="726"/>
        <v>0</v>
      </c>
      <c r="L1065" s="16">
        <f>'БА в тыс. руб.'!H1065*1000</f>
        <v>56250</v>
      </c>
      <c r="M1065" s="169">
        <f t="shared" si="727"/>
        <v>0</v>
      </c>
      <c r="N1065" s="16">
        <f>'БА в тыс. руб.'!I1065*1000</f>
        <v>56250</v>
      </c>
      <c r="O1065" s="169">
        <f t="shared" si="728"/>
        <v>0</v>
      </c>
      <c r="S1065" s="30"/>
      <c r="T1065" s="30"/>
      <c r="U1065" s="30"/>
    </row>
    <row r="1066" spans="1:21" s="3" customFormat="1" ht="25.5">
      <c r="A1066" s="12" t="s">
        <v>886</v>
      </c>
      <c r="B1066" s="25" t="s">
        <v>67</v>
      </c>
      <c r="C1066" s="26" t="s">
        <v>78</v>
      </c>
      <c r="D1066" s="26" t="s">
        <v>66</v>
      </c>
      <c r="E1066" s="26" t="s">
        <v>908</v>
      </c>
      <c r="F1066" s="26" t="s">
        <v>58</v>
      </c>
      <c r="G1066" s="27">
        <f>G1067</f>
        <v>75000</v>
      </c>
      <c r="H1066" s="27">
        <f t="shared" si="745"/>
        <v>56250</v>
      </c>
      <c r="I1066" s="27">
        <f t="shared" si="745"/>
        <v>56250</v>
      </c>
      <c r="J1066" s="16">
        <f>'БА в тыс. руб.'!G1066*1000</f>
        <v>75000</v>
      </c>
      <c r="K1066" s="169">
        <f t="shared" si="726"/>
        <v>0</v>
      </c>
      <c r="L1066" s="16">
        <f>'БА в тыс. руб.'!H1066*1000</f>
        <v>56250</v>
      </c>
      <c r="M1066" s="169">
        <f t="shared" si="727"/>
        <v>0</v>
      </c>
      <c r="N1066" s="16">
        <f>'БА в тыс. руб.'!I1066*1000</f>
        <v>56250</v>
      </c>
      <c r="O1066" s="169">
        <f t="shared" si="728"/>
        <v>0</v>
      </c>
      <c r="S1066" s="30"/>
      <c r="T1066" s="30"/>
      <c r="U1066" s="30"/>
    </row>
    <row r="1067" spans="1:21" s="3" customFormat="1" ht="25.5">
      <c r="A1067" s="11" t="s">
        <v>108</v>
      </c>
      <c r="B1067" s="25" t="s">
        <v>67</v>
      </c>
      <c r="C1067" s="26" t="s">
        <v>78</v>
      </c>
      <c r="D1067" s="26" t="s">
        <v>66</v>
      </c>
      <c r="E1067" s="26" t="s">
        <v>908</v>
      </c>
      <c r="F1067" s="26" t="s">
        <v>116</v>
      </c>
      <c r="G1067" s="27">
        <f>G1068</f>
        <v>75000</v>
      </c>
      <c r="H1067" s="27">
        <f t="shared" si="745"/>
        <v>56250</v>
      </c>
      <c r="I1067" s="27">
        <f t="shared" si="745"/>
        <v>56250</v>
      </c>
      <c r="J1067" s="16">
        <f>'БА в тыс. руб.'!G1067*1000</f>
        <v>75000</v>
      </c>
      <c r="K1067" s="169">
        <f t="shared" si="726"/>
        <v>0</v>
      </c>
      <c r="L1067" s="16">
        <f>'БА в тыс. руб.'!H1067*1000</f>
        <v>56250</v>
      </c>
      <c r="M1067" s="169">
        <f t="shared" si="727"/>
        <v>0</v>
      </c>
      <c r="N1067" s="16">
        <f>'БА в тыс. руб.'!I1067*1000</f>
        <v>56250</v>
      </c>
      <c r="O1067" s="169">
        <f t="shared" si="728"/>
        <v>0</v>
      </c>
      <c r="S1067" s="30"/>
      <c r="T1067" s="30"/>
      <c r="U1067" s="30"/>
    </row>
    <row r="1068" spans="1:21" s="4" customFormat="1" ht="25.5">
      <c r="A1068" s="12" t="s">
        <v>973</v>
      </c>
      <c r="B1068" s="25" t="s">
        <v>67</v>
      </c>
      <c r="C1068" s="26" t="s">
        <v>78</v>
      </c>
      <c r="D1068" s="26" t="s">
        <v>66</v>
      </c>
      <c r="E1068" s="26" t="s">
        <v>908</v>
      </c>
      <c r="F1068" s="26" t="s">
        <v>1043</v>
      </c>
      <c r="G1068" s="27">
        <f t="shared" ref="G1068" si="746">J1068</f>
        <v>75000</v>
      </c>
      <c r="H1068" s="27">
        <f>L1068</f>
        <v>56250</v>
      </c>
      <c r="I1068" s="27">
        <f>N1068</f>
        <v>56250</v>
      </c>
      <c r="J1068" s="16">
        <f>'БА в тыс. руб.'!G1068*1000</f>
        <v>75000</v>
      </c>
      <c r="K1068" s="169">
        <f t="shared" si="726"/>
        <v>0</v>
      </c>
      <c r="L1068" s="16">
        <f>'БА в тыс. руб.'!H1068*1000</f>
        <v>56250</v>
      </c>
      <c r="M1068" s="169">
        <f t="shared" si="727"/>
        <v>0</v>
      </c>
      <c r="N1068" s="16">
        <f>'БА в тыс. руб.'!I1068*1000</f>
        <v>56250</v>
      </c>
      <c r="O1068" s="169">
        <f t="shared" si="728"/>
        <v>0</v>
      </c>
      <c r="S1068" s="83"/>
      <c r="T1068" s="83"/>
      <c r="U1068" s="83"/>
    </row>
    <row r="1069" spans="1:21" s="3" customFormat="1">
      <c r="A1069" s="21" t="s">
        <v>81</v>
      </c>
      <c r="B1069" s="22" t="s">
        <v>67</v>
      </c>
      <c r="C1069" s="23" t="s">
        <v>78</v>
      </c>
      <c r="D1069" s="23" t="s">
        <v>53</v>
      </c>
      <c r="E1069" s="23" t="s">
        <v>196</v>
      </c>
      <c r="F1069" s="23" t="s">
        <v>58</v>
      </c>
      <c r="G1069" s="24">
        <f>G1070</f>
        <v>21605000</v>
      </c>
      <c r="H1069" s="24">
        <f>H1070</f>
        <v>0</v>
      </c>
      <c r="I1069" s="24">
        <f>I1070</f>
        <v>0</v>
      </c>
      <c r="J1069" s="16">
        <f>'БА в тыс. руб.'!G1069*1000</f>
        <v>21605000</v>
      </c>
      <c r="K1069" s="169">
        <f t="shared" si="726"/>
        <v>0</v>
      </c>
      <c r="L1069" s="16">
        <f>'БА в тыс. руб.'!H1069*1000</f>
        <v>0</v>
      </c>
      <c r="M1069" s="169">
        <f t="shared" si="727"/>
        <v>0</v>
      </c>
      <c r="N1069" s="16">
        <f>'БА в тыс. руб.'!I1069*1000</f>
        <v>0</v>
      </c>
      <c r="O1069" s="169">
        <f t="shared" si="728"/>
        <v>0</v>
      </c>
      <c r="S1069" s="30"/>
      <c r="T1069" s="30"/>
      <c r="U1069" s="30"/>
    </row>
    <row r="1070" spans="1:21" s="3" customFormat="1" ht="25.5">
      <c r="A1070" s="11" t="s">
        <v>740</v>
      </c>
      <c r="B1070" s="25" t="s">
        <v>67</v>
      </c>
      <c r="C1070" s="26" t="s">
        <v>78</v>
      </c>
      <c r="D1070" s="26" t="s">
        <v>53</v>
      </c>
      <c r="E1070" s="26" t="s">
        <v>449</v>
      </c>
      <c r="F1070" s="26" t="s">
        <v>58</v>
      </c>
      <c r="G1070" s="27">
        <f t="shared" ref="G1070:I1077" si="747">G1071</f>
        <v>21605000</v>
      </c>
      <c r="H1070" s="27">
        <f t="shared" si="747"/>
        <v>0</v>
      </c>
      <c r="I1070" s="27">
        <f t="shared" si="747"/>
        <v>0</v>
      </c>
      <c r="J1070" s="16">
        <f>'БА в тыс. руб.'!G1070*1000</f>
        <v>21605000</v>
      </c>
      <c r="K1070" s="169">
        <f t="shared" si="726"/>
        <v>0</v>
      </c>
      <c r="L1070" s="16">
        <f>'БА в тыс. руб.'!H1070*1000</f>
        <v>0</v>
      </c>
      <c r="M1070" s="169">
        <f t="shared" si="727"/>
        <v>0</v>
      </c>
      <c r="N1070" s="16">
        <f>'БА в тыс. руб.'!I1070*1000</f>
        <v>0</v>
      </c>
      <c r="O1070" s="169">
        <f t="shared" si="728"/>
        <v>0</v>
      </c>
      <c r="S1070" s="30"/>
      <c r="T1070" s="30"/>
      <c r="U1070" s="30"/>
    </row>
    <row r="1071" spans="1:21" s="3" customFormat="1" ht="25.5">
      <c r="A1071" s="11" t="s">
        <v>883</v>
      </c>
      <c r="B1071" s="25" t="s">
        <v>67</v>
      </c>
      <c r="C1071" s="26" t="s">
        <v>78</v>
      </c>
      <c r="D1071" s="26" t="s">
        <v>53</v>
      </c>
      <c r="E1071" s="26" t="s">
        <v>478</v>
      </c>
      <c r="F1071" s="26" t="s">
        <v>58</v>
      </c>
      <c r="G1071" s="27">
        <f>G1072</f>
        <v>21605000</v>
      </c>
      <c r="H1071" s="27">
        <f t="shared" si="747"/>
        <v>0</v>
      </c>
      <c r="I1071" s="27">
        <f t="shared" si="747"/>
        <v>0</v>
      </c>
      <c r="J1071" s="16">
        <f>'БА в тыс. руб.'!G1071*1000</f>
        <v>21605000</v>
      </c>
      <c r="K1071" s="169">
        <f t="shared" si="726"/>
        <v>0</v>
      </c>
      <c r="L1071" s="16">
        <f>'БА в тыс. руб.'!H1071*1000</f>
        <v>0</v>
      </c>
      <c r="M1071" s="169">
        <f t="shared" si="727"/>
        <v>0</v>
      </c>
      <c r="N1071" s="16">
        <f>'БА в тыс. руб.'!I1071*1000</f>
        <v>0</v>
      </c>
      <c r="O1071" s="169">
        <f t="shared" si="728"/>
        <v>0</v>
      </c>
      <c r="S1071" s="30"/>
      <c r="T1071" s="30"/>
      <c r="U1071" s="30"/>
    </row>
    <row r="1072" spans="1:21" s="3" customFormat="1" ht="51">
      <c r="A1072" s="11" t="s">
        <v>925</v>
      </c>
      <c r="B1072" s="25" t="s">
        <v>67</v>
      </c>
      <c r="C1072" s="26" t="s">
        <v>78</v>
      </c>
      <c r="D1072" s="26" t="s">
        <v>53</v>
      </c>
      <c r="E1072" s="26" t="s">
        <v>613</v>
      </c>
      <c r="F1072" s="26" t="s">
        <v>58</v>
      </c>
      <c r="G1072" s="27">
        <f>G1073+G1076</f>
        <v>21605000</v>
      </c>
      <c r="H1072" s="27">
        <f t="shared" ref="H1072:I1072" si="748">H1073+H1076</f>
        <v>0</v>
      </c>
      <c r="I1072" s="27">
        <f t="shared" si="748"/>
        <v>0</v>
      </c>
      <c r="J1072" s="16">
        <f>'БА в тыс. руб.'!G1072*1000</f>
        <v>21605000</v>
      </c>
      <c r="K1072" s="169">
        <f t="shared" si="726"/>
        <v>0</v>
      </c>
      <c r="L1072" s="16">
        <f>'БА в тыс. руб.'!H1072*1000</f>
        <v>0</v>
      </c>
      <c r="M1072" s="169">
        <f t="shared" si="727"/>
        <v>0</v>
      </c>
      <c r="N1072" s="16">
        <f>'БА в тыс. руб.'!I1072*1000</f>
        <v>0</v>
      </c>
      <c r="O1072" s="169">
        <f t="shared" si="728"/>
        <v>0</v>
      </c>
      <c r="S1072" s="30"/>
      <c r="T1072" s="30"/>
      <c r="U1072" s="30"/>
    </row>
    <row r="1073" spans="1:21" s="3" customFormat="1" ht="63.75">
      <c r="A1073" s="11" t="s">
        <v>904</v>
      </c>
      <c r="B1073" s="25" t="s">
        <v>67</v>
      </c>
      <c r="C1073" s="26" t="s">
        <v>78</v>
      </c>
      <c r="D1073" s="26" t="s">
        <v>53</v>
      </c>
      <c r="E1073" s="26" t="s">
        <v>614</v>
      </c>
      <c r="F1073" s="26" t="s">
        <v>58</v>
      </c>
      <c r="G1073" s="27">
        <f t="shared" si="747"/>
        <v>1105000</v>
      </c>
      <c r="H1073" s="27">
        <f t="shared" si="747"/>
        <v>0</v>
      </c>
      <c r="I1073" s="27">
        <f t="shared" si="747"/>
        <v>0</v>
      </c>
      <c r="J1073" s="16">
        <f>'БА в тыс. руб.'!G1073*1000</f>
        <v>1105000</v>
      </c>
      <c r="K1073" s="169">
        <f t="shared" si="726"/>
        <v>0</v>
      </c>
      <c r="L1073" s="16">
        <f>'БА в тыс. руб.'!H1073*1000</f>
        <v>0</v>
      </c>
      <c r="M1073" s="169">
        <f t="shared" si="727"/>
        <v>0</v>
      </c>
      <c r="N1073" s="16">
        <f>'БА в тыс. руб.'!I1073*1000</f>
        <v>0</v>
      </c>
      <c r="O1073" s="169">
        <f t="shared" si="728"/>
        <v>0</v>
      </c>
      <c r="S1073" s="30"/>
      <c r="T1073" s="30"/>
      <c r="U1073" s="30"/>
    </row>
    <row r="1074" spans="1:21" s="3" customFormat="1" ht="25.5">
      <c r="A1074" s="11" t="s">
        <v>111</v>
      </c>
      <c r="B1074" s="25" t="s">
        <v>67</v>
      </c>
      <c r="C1074" s="26" t="s">
        <v>78</v>
      </c>
      <c r="D1074" s="26" t="s">
        <v>53</v>
      </c>
      <c r="E1074" s="26" t="s">
        <v>614</v>
      </c>
      <c r="F1074" s="26" t="s">
        <v>104</v>
      </c>
      <c r="G1074" s="27">
        <f>G1075</f>
        <v>1105000</v>
      </c>
      <c r="H1074" s="27">
        <f t="shared" si="747"/>
        <v>0</v>
      </c>
      <c r="I1074" s="27">
        <f t="shared" si="747"/>
        <v>0</v>
      </c>
      <c r="J1074" s="16">
        <f>'БА в тыс. руб.'!G1074*1000</f>
        <v>1105000</v>
      </c>
      <c r="K1074" s="169">
        <f t="shared" si="726"/>
        <v>0</v>
      </c>
      <c r="L1074" s="16">
        <f>'БА в тыс. руб.'!H1074*1000</f>
        <v>0</v>
      </c>
      <c r="M1074" s="169">
        <f t="shared" si="727"/>
        <v>0</v>
      </c>
      <c r="N1074" s="16">
        <f>'БА в тыс. руб.'!I1074*1000</f>
        <v>0</v>
      </c>
      <c r="O1074" s="169">
        <f t="shared" si="728"/>
        <v>0</v>
      </c>
      <c r="S1074" s="30"/>
      <c r="T1074" s="30"/>
      <c r="U1074" s="30"/>
    </row>
    <row r="1075" spans="1:21" s="94" customFormat="1" ht="76.5">
      <c r="A1075" s="12" t="s">
        <v>1048</v>
      </c>
      <c r="B1075" s="25" t="s">
        <v>67</v>
      </c>
      <c r="C1075" s="26" t="s">
        <v>78</v>
      </c>
      <c r="D1075" s="26" t="s">
        <v>53</v>
      </c>
      <c r="E1075" s="26" t="s">
        <v>614</v>
      </c>
      <c r="F1075" s="26" t="s">
        <v>1055</v>
      </c>
      <c r="G1075" s="27">
        <f t="shared" ref="G1075" si="749">J1075</f>
        <v>1105000</v>
      </c>
      <c r="H1075" s="27">
        <f>L1075</f>
        <v>0</v>
      </c>
      <c r="I1075" s="27">
        <f>N1075</f>
        <v>0</v>
      </c>
      <c r="J1075" s="16">
        <f>'БА в тыс. руб.'!G1075*1000</f>
        <v>1105000</v>
      </c>
      <c r="K1075" s="169">
        <f t="shared" si="726"/>
        <v>0</v>
      </c>
      <c r="L1075" s="16">
        <f>'БА в тыс. руб.'!H1075*1000</f>
        <v>0</v>
      </c>
      <c r="M1075" s="169">
        <f t="shared" si="727"/>
        <v>0</v>
      </c>
      <c r="N1075" s="16">
        <f>'БА в тыс. руб.'!I1075*1000</f>
        <v>0</v>
      </c>
      <c r="O1075" s="169">
        <f t="shared" si="728"/>
        <v>0</v>
      </c>
      <c r="S1075" s="103"/>
      <c r="T1075" s="103"/>
      <c r="U1075" s="103"/>
    </row>
    <row r="1076" spans="1:21" s="3" customFormat="1" ht="51">
      <c r="A1076" s="11" t="s">
        <v>927</v>
      </c>
      <c r="B1076" s="25" t="s">
        <v>67</v>
      </c>
      <c r="C1076" s="26" t="s">
        <v>78</v>
      </c>
      <c r="D1076" s="26" t="s">
        <v>53</v>
      </c>
      <c r="E1076" s="26" t="s">
        <v>926</v>
      </c>
      <c r="F1076" s="26" t="s">
        <v>58</v>
      </c>
      <c r="G1076" s="27">
        <f t="shared" si="747"/>
        <v>20500000</v>
      </c>
      <c r="H1076" s="27">
        <f t="shared" si="747"/>
        <v>0</v>
      </c>
      <c r="I1076" s="27">
        <f t="shared" si="747"/>
        <v>0</v>
      </c>
      <c r="J1076" s="16">
        <f>'БА в тыс. руб.'!G1076*1000</f>
        <v>20500000</v>
      </c>
      <c r="K1076" s="169">
        <f t="shared" si="726"/>
        <v>0</v>
      </c>
      <c r="L1076" s="16">
        <f>'БА в тыс. руб.'!H1076*1000</f>
        <v>0</v>
      </c>
      <c r="M1076" s="169">
        <f t="shared" si="727"/>
        <v>0</v>
      </c>
      <c r="N1076" s="16">
        <f>'БА в тыс. руб.'!I1076*1000</f>
        <v>0</v>
      </c>
      <c r="O1076" s="169">
        <f t="shared" si="728"/>
        <v>0</v>
      </c>
      <c r="S1076" s="30"/>
      <c r="T1076" s="30"/>
      <c r="U1076" s="30"/>
    </row>
    <row r="1077" spans="1:21" s="3" customFormat="1" ht="25.5">
      <c r="A1077" s="11" t="s">
        <v>111</v>
      </c>
      <c r="B1077" s="25" t="s">
        <v>67</v>
      </c>
      <c r="C1077" s="26" t="s">
        <v>78</v>
      </c>
      <c r="D1077" s="26" t="s">
        <v>53</v>
      </c>
      <c r="E1077" s="26" t="s">
        <v>926</v>
      </c>
      <c r="F1077" s="26" t="s">
        <v>104</v>
      </c>
      <c r="G1077" s="27">
        <f>G1078</f>
        <v>20500000</v>
      </c>
      <c r="H1077" s="27">
        <f t="shared" si="747"/>
        <v>0</v>
      </c>
      <c r="I1077" s="27">
        <f t="shared" si="747"/>
        <v>0</v>
      </c>
      <c r="J1077" s="16">
        <f>'БА в тыс. руб.'!G1077*1000</f>
        <v>20500000</v>
      </c>
      <c r="K1077" s="169">
        <f t="shared" si="726"/>
        <v>0</v>
      </c>
      <c r="L1077" s="16">
        <f>'БА в тыс. руб.'!H1077*1000</f>
        <v>0</v>
      </c>
      <c r="M1077" s="169">
        <f t="shared" si="727"/>
        <v>0</v>
      </c>
      <c r="N1077" s="16">
        <f>'БА в тыс. руб.'!I1077*1000</f>
        <v>0</v>
      </c>
      <c r="O1077" s="169">
        <f t="shared" si="728"/>
        <v>0</v>
      </c>
      <c r="S1077" s="30"/>
      <c r="T1077" s="30"/>
      <c r="U1077" s="30"/>
    </row>
    <row r="1078" spans="1:21" s="4" customFormat="1" ht="76.5">
      <c r="A1078" s="12" t="s">
        <v>1048</v>
      </c>
      <c r="B1078" s="25" t="s">
        <v>67</v>
      </c>
      <c r="C1078" s="26" t="s">
        <v>78</v>
      </c>
      <c r="D1078" s="26" t="s">
        <v>53</v>
      </c>
      <c r="E1078" s="26" t="s">
        <v>926</v>
      </c>
      <c r="F1078" s="26" t="s">
        <v>1055</v>
      </c>
      <c r="G1078" s="27">
        <f t="shared" ref="G1078" si="750">J1078</f>
        <v>20500000</v>
      </c>
      <c r="H1078" s="27">
        <f>L1078</f>
        <v>0</v>
      </c>
      <c r="I1078" s="27">
        <f>N1078</f>
        <v>0</v>
      </c>
      <c r="J1078" s="16">
        <f>'БА в тыс. руб.'!G1078*1000</f>
        <v>20500000</v>
      </c>
      <c r="K1078" s="169">
        <f t="shared" si="726"/>
        <v>0</v>
      </c>
      <c r="L1078" s="16">
        <f>'БА в тыс. руб.'!H1078*1000</f>
        <v>0</v>
      </c>
      <c r="M1078" s="169">
        <f t="shared" si="727"/>
        <v>0</v>
      </c>
      <c r="N1078" s="16">
        <f>'БА в тыс. руб.'!I1078*1000</f>
        <v>0</v>
      </c>
      <c r="O1078" s="169">
        <f t="shared" si="728"/>
        <v>0</v>
      </c>
      <c r="S1078" s="83"/>
      <c r="T1078" s="83"/>
      <c r="U1078" s="83"/>
    </row>
    <row r="1079" spans="1:21" s="3" customFormat="1">
      <c r="A1079" s="21" t="s">
        <v>82</v>
      </c>
      <c r="B1079" s="22" t="s">
        <v>67</v>
      </c>
      <c r="C1079" s="23" t="s">
        <v>78</v>
      </c>
      <c r="D1079" s="23" t="s">
        <v>8</v>
      </c>
      <c r="E1079" s="23" t="s">
        <v>196</v>
      </c>
      <c r="F1079" s="23" t="s">
        <v>58</v>
      </c>
      <c r="G1079" s="24">
        <f t="shared" ref="G1079:I1080" si="751">G1080</f>
        <v>9792230</v>
      </c>
      <c r="H1079" s="24">
        <f t="shared" si="751"/>
        <v>9792230</v>
      </c>
      <c r="I1079" s="24">
        <f t="shared" si="751"/>
        <v>9792230</v>
      </c>
      <c r="J1079" s="16">
        <f>'БА в тыс. руб.'!G1079*1000</f>
        <v>9792230</v>
      </c>
      <c r="K1079" s="169">
        <f t="shared" si="726"/>
        <v>0</v>
      </c>
      <c r="L1079" s="16">
        <f>'БА в тыс. руб.'!H1079*1000</f>
        <v>9792230</v>
      </c>
      <c r="M1079" s="169">
        <f t="shared" si="727"/>
        <v>0</v>
      </c>
      <c r="N1079" s="16">
        <f>'БА в тыс. руб.'!I1079*1000</f>
        <v>9792230</v>
      </c>
      <c r="O1079" s="169">
        <f t="shared" si="728"/>
        <v>0</v>
      </c>
      <c r="S1079" s="30"/>
      <c r="T1079" s="30"/>
      <c r="U1079" s="30"/>
    </row>
    <row r="1080" spans="1:21" s="3" customFormat="1" ht="25.5">
      <c r="A1080" s="11" t="s">
        <v>698</v>
      </c>
      <c r="B1080" s="25" t="s">
        <v>67</v>
      </c>
      <c r="C1080" s="26" t="s">
        <v>78</v>
      </c>
      <c r="D1080" s="26" t="s">
        <v>8</v>
      </c>
      <c r="E1080" s="26" t="s">
        <v>481</v>
      </c>
      <c r="F1080" s="26" t="s">
        <v>58</v>
      </c>
      <c r="G1080" s="27">
        <f t="shared" si="751"/>
        <v>9792230</v>
      </c>
      <c r="H1080" s="27">
        <f t="shared" si="751"/>
        <v>9792230</v>
      </c>
      <c r="I1080" s="27">
        <f t="shared" si="751"/>
        <v>9792230</v>
      </c>
      <c r="J1080" s="16">
        <f>'БА в тыс. руб.'!G1080*1000</f>
        <v>9792230</v>
      </c>
      <c r="K1080" s="169">
        <f t="shared" si="726"/>
        <v>0</v>
      </c>
      <c r="L1080" s="16">
        <f>'БА в тыс. руб.'!H1080*1000</f>
        <v>9792230</v>
      </c>
      <c r="M1080" s="169">
        <f t="shared" si="727"/>
        <v>0</v>
      </c>
      <c r="N1080" s="16">
        <f>'БА в тыс. руб.'!I1080*1000</f>
        <v>9792230</v>
      </c>
      <c r="O1080" s="169">
        <f t="shared" si="728"/>
        <v>0</v>
      </c>
      <c r="S1080" s="30"/>
      <c r="T1080" s="30"/>
      <c r="U1080" s="30"/>
    </row>
    <row r="1081" spans="1:21" s="3" customFormat="1" ht="38.25">
      <c r="A1081" s="11" t="s">
        <v>699</v>
      </c>
      <c r="B1081" s="25" t="s">
        <v>67</v>
      </c>
      <c r="C1081" s="26" t="s">
        <v>78</v>
      </c>
      <c r="D1081" s="26" t="s">
        <v>8</v>
      </c>
      <c r="E1081" s="26" t="s">
        <v>482</v>
      </c>
      <c r="F1081" s="26" t="s">
        <v>58</v>
      </c>
      <c r="G1081" s="27">
        <f>G1082+G1091</f>
        <v>9792230</v>
      </c>
      <c r="H1081" s="27">
        <f>H1082+H1091</f>
        <v>9792230</v>
      </c>
      <c r="I1081" s="27">
        <f>I1082+I1091</f>
        <v>9792230</v>
      </c>
      <c r="J1081" s="16">
        <f>'БА в тыс. руб.'!G1081*1000</f>
        <v>9792230</v>
      </c>
      <c r="K1081" s="169">
        <f t="shared" si="726"/>
        <v>0</v>
      </c>
      <c r="L1081" s="16">
        <f>'БА в тыс. руб.'!H1081*1000</f>
        <v>9792230</v>
      </c>
      <c r="M1081" s="169">
        <f t="shared" si="727"/>
        <v>0</v>
      </c>
      <c r="N1081" s="16">
        <f>'БА в тыс. руб.'!I1081*1000</f>
        <v>9792230</v>
      </c>
      <c r="O1081" s="169">
        <f t="shared" si="728"/>
        <v>0</v>
      </c>
      <c r="S1081" s="30"/>
      <c r="T1081" s="30"/>
      <c r="U1081" s="30"/>
    </row>
    <row r="1082" spans="1:21" s="3" customFormat="1" ht="25.5">
      <c r="A1082" s="11" t="s">
        <v>114</v>
      </c>
      <c r="B1082" s="25" t="s">
        <v>67</v>
      </c>
      <c r="C1082" s="26" t="s">
        <v>78</v>
      </c>
      <c r="D1082" s="26" t="s">
        <v>8</v>
      </c>
      <c r="E1082" s="26" t="s">
        <v>483</v>
      </c>
      <c r="F1082" s="26" t="s">
        <v>58</v>
      </c>
      <c r="G1082" s="27">
        <f>G1083+G1086+G1088</f>
        <v>1028750</v>
      </c>
      <c r="H1082" s="27">
        <f t="shared" ref="H1082:I1082" si="752">H1083+H1086+H1088</f>
        <v>1028750</v>
      </c>
      <c r="I1082" s="27">
        <f t="shared" si="752"/>
        <v>1028750</v>
      </c>
      <c r="J1082" s="16">
        <f>'БА в тыс. руб.'!G1082*1000</f>
        <v>1028750</v>
      </c>
      <c r="K1082" s="169">
        <f t="shared" si="726"/>
        <v>0</v>
      </c>
      <c r="L1082" s="16">
        <f>'БА в тыс. руб.'!H1082*1000</f>
        <v>1028750</v>
      </c>
      <c r="M1082" s="169">
        <f t="shared" si="727"/>
        <v>0</v>
      </c>
      <c r="N1082" s="16">
        <f>'БА в тыс. руб.'!I1082*1000</f>
        <v>1028750</v>
      </c>
      <c r="O1082" s="169">
        <f t="shared" si="728"/>
        <v>0</v>
      </c>
      <c r="S1082" s="30"/>
      <c r="T1082" s="30"/>
      <c r="U1082" s="30"/>
    </row>
    <row r="1083" spans="1:21" s="3" customFormat="1" ht="25.5">
      <c r="A1083" s="12" t="s">
        <v>107</v>
      </c>
      <c r="B1083" s="25" t="s">
        <v>67</v>
      </c>
      <c r="C1083" s="26" t="s">
        <v>78</v>
      </c>
      <c r="D1083" s="26" t="s">
        <v>8</v>
      </c>
      <c r="E1083" s="26" t="s">
        <v>483</v>
      </c>
      <c r="F1083" s="26" t="s">
        <v>115</v>
      </c>
      <c r="G1083" s="27">
        <f>SUM(G1084:G1085)</f>
        <v>235450</v>
      </c>
      <c r="H1083" s="27">
        <f t="shared" ref="H1083:I1083" si="753">SUM(H1084:H1085)</f>
        <v>235450</v>
      </c>
      <c r="I1083" s="27">
        <f t="shared" si="753"/>
        <v>235450</v>
      </c>
      <c r="J1083" s="16">
        <f>'БА в тыс. руб.'!G1083*1000</f>
        <v>235450</v>
      </c>
      <c r="K1083" s="169">
        <f t="shared" si="726"/>
        <v>0</v>
      </c>
      <c r="L1083" s="16">
        <f>'БА в тыс. руб.'!H1083*1000</f>
        <v>235450</v>
      </c>
      <c r="M1083" s="169">
        <f t="shared" si="727"/>
        <v>0</v>
      </c>
      <c r="N1083" s="16">
        <f>'БА в тыс. руб.'!I1083*1000</f>
        <v>235450</v>
      </c>
      <c r="O1083" s="169">
        <f t="shared" si="728"/>
        <v>0</v>
      </c>
      <c r="S1083" s="30"/>
      <c r="T1083" s="30"/>
      <c r="U1083" s="30"/>
    </row>
    <row r="1084" spans="1:21" s="3" customFormat="1" ht="25.5">
      <c r="A1084" s="11" t="s">
        <v>937</v>
      </c>
      <c r="B1084" s="25" t="s">
        <v>67</v>
      </c>
      <c r="C1084" s="26" t="s">
        <v>78</v>
      </c>
      <c r="D1084" s="26" t="s">
        <v>8</v>
      </c>
      <c r="E1084" s="26" t="s">
        <v>483</v>
      </c>
      <c r="F1084" s="26" t="s">
        <v>1059</v>
      </c>
      <c r="G1084" s="27">
        <f t="shared" ref="G1084:G1085" si="754">J1084</f>
        <v>180840</v>
      </c>
      <c r="H1084" s="27">
        <f t="shared" ref="H1084:H1085" si="755">L1084</f>
        <v>180840</v>
      </c>
      <c r="I1084" s="27">
        <f t="shared" ref="I1084:I1085" si="756">N1084</f>
        <v>180840</v>
      </c>
      <c r="J1084" s="16">
        <f>'БА в тыс. руб.'!G1084*1000</f>
        <v>180840</v>
      </c>
      <c r="K1084" s="169">
        <f t="shared" si="726"/>
        <v>0</v>
      </c>
      <c r="L1084" s="16">
        <f>'БА в тыс. руб.'!H1084*1000</f>
        <v>180840</v>
      </c>
      <c r="M1084" s="169">
        <f t="shared" si="727"/>
        <v>0</v>
      </c>
      <c r="N1084" s="16">
        <f>'БА в тыс. руб.'!I1084*1000</f>
        <v>180840</v>
      </c>
      <c r="O1084" s="169">
        <f t="shared" si="728"/>
        <v>0</v>
      </c>
      <c r="S1084" s="30"/>
      <c r="T1084" s="30"/>
      <c r="U1084" s="30"/>
    </row>
    <row r="1085" spans="1:21" s="3" customFormat="1" ht="38.25">
      <c r="A1085" s="11" t="s">
        <v>939</v>
      </c>
      <c r="B1085" s="25" t="s">
        <v>67</v>
      </c>
      <c r="C1085" s="26" t="s">
        <v>78</v>
      </c>
      <c r="D1085" s="26" t="s">
        <v>8</v>
      </c>
      <c r="E1085" s="26" t="s">
        <v>483</v>
      </c>
      <c r="F1085" s="26" t="s">
        <v>1060</v>
      </c>
      <c r="G1085" s="27">
        <f t="shared" si="754"/>
        <v>54610</v>
      </c>
      <c r="H1085" s="27">
        <f t="shared" si="755"/>
        <v>54610</v>
      </c>
      <c r="I1085" s="27">
        <f t="shared" si="756"/>
        <v>54610</v>
      </c>
      <c r="J1085" s="16">
        <f>'БА в тыс. руб.'!G1085*1000</f>
        <v>54610</v>
      </c>
      <c r="K1085" s="169">
        <f t="shared" si="726"/>
        <v>0</v>
      </c>
      <c r="L1085" s="16">
        <f>'БА в тыс. руб.'!H1085*1000</f>
        <v>54610</v>
      </c>
      <c r="M1085" s="169">
        <f t="shared" si="727"/>
        <v>0</v>
      </c>
      <c r="N1085" s="16">
        <f>'БА в тыс. руб.'!I1085*1000</f>
        <v>54610</v>
      </c>
      <c r="O1085" s="169">
        <f t="shared" si="728"/>
        <v>0</v>
      </c>
      <c r="S1085" s="30"/>
      <c r="T1085" s="30"/>
      <c r="U1085" s="30"/>
    </row>
    <row r="1086" spans="1:21" s="3" customFormat="1" ht="25.5">
      <c r="A1086" s="11" t="s">
        <v>108</v>
      </c>
      <c r="B1086" s="25" t="s">
        <v>67</v>
      </c>
      <c r="C1086" s="26" t="s">
        <v>78</v>
      </c>
      <c r="D1086" s="26" t="s">
        <v>8</v>
      </c>
      <c r="E1086" s="26" t="s">
        <v>483</v>
      </c>
      <c r="F1086" s="26" t="s">
        <v>116</v>
      </c>
      <c r="G1086" s="27">
        <f>G1087</f>
        <v>786300</v>
      </c>
      <c r="H1086" s="27">
        <f t="shared" ref="H1086:I1086" si="757">H1087</f>
        <v>786300</v>
      </c>
      <c r="I1086" s="27">
        <f t="shared" si="757"/>
        <v>786300</v>
      </c>
      <c r="J1086" s="16">
        <f>'БА в тыс. руб.'!G1086*1000</f>
        <v>786300</v>
      </c>
      <c r="K1086" s="169">
        <f t="shared" si="726"/>
        <v>0</v>
      </c>
      <c r="L1086" s="16">
        <f>'БА в тыс. руб.'!H1086*1000</f>
        <v>786300</v>
      </c>
      <c r="M1086" s="169">
        <f t="shared" si="727"/>
        <v>0</v>
      </c>
      <c r="N1086" s="16">
        <f>'БА в тыс. руб.'!I1086*1000</f>
        <v>786300</v>
      </c>
      <c r="O1086" s="169">
        <f t="shared" si="728"/>
        <v>0</v>
      </c>
      <c r="S1086" s="30"/>
      <c r="T1086" s="30"/>
      <c r="U1086" s="30"/>
    </row>
    <row r="1087" spans="1:21" s="94" customFormat="1" ht="25.5">
      <c r="A1087" s="12" t="s">
        <v>973</v>
      </c>
      <c r="B1087" s="25" t="s">
        <v>67</v>
      </c>
      <c r="C1087" s="26" t="s">
        <v>78</v>
      </c>
      <c r="D1087" s="26" t="s">
        <v>8</v>
      </c>
      <c r="E1087" s="26" t="s">
        <v>483</v>
      </c>
      <c r="F1087" s="26" t="s">
        <v>1043</v>
      </c>
      <c r="G1087" s="27">
        <f t="shared" ref="G1087" si="758">J1087</f>
        <v>786300</v>
      </c>
      <c r="H1087" s="27">
        <f>L1087</f>
        <v>786300</v>
      </c>
      <c r="I1087" s="27">
        <f>N1087</f>
        <v>786300</v>
      </c>
      <c r="J1087" s="16">
        <f>'БА в тыс. руб.'!G1087*1000</f>
        <v>786300</v>
      </c>
      <c r="K1087" s="169">
        <f t="shared" si="726"/>
        <v>0</v>
      </c>
      <c r="L1087" s="16">
        <f>'БА в тыс. руб.'!H1087*1000</f>
        <v>786300</v>
      </c>
      <c r="M1087" s="169">
        <f t="shared" si="727"/>
        <v>0</v>
      </c>
      <c r="N1087" s="16">
        <f>'БА в тыс. руб.'!I1087*1000</f>
        <v>786300</v>
      </c>
      <c r="O1087" s="169">
        <f t="shared" si="728"/>
        <v>0</v>
      </c>
      <c r="S1087" s="103"/>
      <c r="T1087" s="103"/>
      <c r="U1087" s="103"/>
    </row>
    <row r="1088" spans="1:21" s="3" customFormat="1">
      <c r="A1088" s="11" t="s">
        <v>97</v>
      </c>
      <c r="B1088" s="25" t="s">
        <v>67</v>
      </c>
      <c r="C1088" s="26" t="s">
        <v>78</v>
      </c>
      <c r="D1088" s="26" t="s">
        <v>8</v>
      </c>
      <c r="E1088" s="26" t="s">
        <v>483</v>
      </c>
      <c r="F1088" s="26" t="s">
        <v>118</v>
      </c>
      <c r="G1088" s="27">
        <f>SUM(G1089:G1090)</f>
        <v>7000</v>
      </c>
      <c r="H1088" s="27">
        <f>SUM(H1089:H1090)</f>
        <v>7000</v>
      </c>
      <c r="I1088" s="27">
        <f>SUM(I1089:I1090)</f>
        <v>7000</v>
      </c>
      <c r="J1088" s="16">
        <f>'БА в тыс. руб.'!G1088*1000</f>
        <v>7000</v>
      </c>
      <c r="K1088" s="169">
        <f t="shared" si="726"/>
        <v>0</v>
      </c>
      <c r="L1088" s="16">
        <f>'БА в тыс. руб.'!H1088*1000</f>
        <v>7000</v>
      </c>
      <c r="M1088" s="169">
        <f t="shared" si="727"/>
        <v>0</v>
      </c>
      <c r="N1088" s="16">
        <f>'БА в тыс. руб.'!I1088*1000</f>
        <v>7000</v>
      </c>
      <c r="O1088" s="169">
        <f t="shared" si="728"/>
        <v>0</v>
      </c>
      <c r="S1088" s="30"/>
      <c r="T1088" s="30"/>
      <c r="U1088" s="30"/>
    </row>
    <row r="1089" spans="1:21" s="3" customFormat="1">
      <c r="A1089" s="11" t="s">
        <v>1036</v>
      </c>
      <c r="B1089" s="25" t="s">
        <v>67</v>
      </c>
      <c r="C1089" s="26" t="s">
        <v>78</v>
      </c>
      <c r="D1089" s="26" t="s">
        <v>8</v>
      </c>
      <c r="E1089" s="26" t="s">
        <v>483</v>
      </c>
      <c r="F1089" s="26" t="s">
        <v>1061</v>
      </c>
      <c r="G1089" s="27">
        <f t="shared" ref="G1089:G1090" si="759">J1089</f>
        <v>2000</v>
      </c>
      <c r="H1089" s="27">
        <f t="shared" ref="H1089:H1090" si="760">L1089</f>
        <v>2000</v>
      </c>
      <c r="I1089" s="27">
        <f t="shared" ref="I1089:I1090" si="761">N1089</f>
        <v>2000</v>
      </c>
      <c r="J1089" s="16">
        <f>'БА в тыс. руб.'!G1089*1000</f>
        <v>2000</v>
      </c>
      <c r="K1089" s="169">
        <f t="shared" si="726"/>
        <v>0</v>
      </c>
      <c r="L1089" s="16">
        <f>'БА в тыс. руб.'!H1089*1000</f>
        <v>2000</v>
      </c>
      <c r="M1089" s="169">
        <f t="shared" si="727"/>
        <v>0</v>
      </c>
      <c r="N1089" s="16">
        <f>'БА в тыс. руб.'!I1089*1000</f>
        <v>2000</v>
      </c>
      <c r="O1089" s="169">
        <f t="shared" si="728"/>
        <v>0</v>
      </c>
      <c r="S1089" s="30"/>
      <c r="T1089" s="30"/>
      <c r="U1089" s="30"/>
    </row>
    <row r="1090" spans="1:21" s="3" customFormat="1">
      <c r="A1090" s="11" t="s">
        <v>1037</v>
      </c>
      <c r="B1090" s="25" t="s">
        <v>67</v>
      </c>
      <c r="C1090" s="26" t="s">
        <v>78</v>
      </c>
      <c r="D1090" s="26" t="s">
        <v>8</v>
      </c>
      <c r="E1090" s="26" t="s">
        <v>483</v>
      </c>
      <c r="F1090" s="26" t="s">
        <v>1062</v>
      </c>
      <c r="G1090" s="27">
        <f t="shared" si="759"/>
        <v>5000</v>
      </c>
      <c r="H1090" s="27">
        <f t="shared" si="760"/>
        <v>5000</v>
      </c>
      <c r="I1090" s="27">
        <f t="shared" si="761"/>
        <v>5000</v>
      </c>
      <c r="J1090" s="16">
        <f>'БА в тыс. руб.'!G1090*1000</f>
        <v>5000</v>
      </c>
      <c r="K1090" s="169">
        <f t="shared" si="726"/>
        <v>0</v>
      </c>
      <c r="L1090" s="16">
        <f>'БА в тыс. руб.'!H1090*1000</f>
        <v>5000</v>
      </c>
      <c r="M1090" s="169">
        <f t="shared" si="727"/>
        <v>0</v>
      </c>
      <c r="N1090" s="16">
        <f>'БА в тыс. руб.'!I1090*1000</f>
        <v>5000</v>
      </c>
      <c r="O1090" s="169">
        <f t="shared" si="728"/>
        <v>0</v>
      </c>
      <c r="S1090" s="30"/>
      <c r="T1090" s="30"/>
      <c r="U1090" s="30"/>
    </row>
    <row r="1091" spans="1:21" s="3" customFormat="1" ht="25.5">
      <c r="A1091" s="11" t="s">
        <v>126</v>
      </c>
      <c r="B1091" s="25" t="s">
        <v>67</v>
      </c>
      <c r="C1091" s="26" t="s">
        <v>78</v>
      </c>
      <c r="D1091" s="26" t="s">
        <v>8</v>
      </c>
      <c r="E1091" s="26" t="s">
        <v>484</v>
      </c>
      <c r="F1091" s="26" t="s">
        <v>58</v>
      </c>
      <c r="G1091" s="27">
        <f>G1092</f>
        <v>8763480</v>
      </c>
      <c r="H1091" s="27">
        <f t="shared" ref="H1091:I1091" si="762">H1092</f>
        <v>8763480</v>
      </c>
      <c r="I1091" s="27">
        <f t="shared" si="762"/>
        <v>8763480</v>
      </c>
      <c r="J1091" s="16">
        <f>'БА в тыс. руб.'!G1091*1000</f>
        <v>8763480</v>
      </c>
      <c r="K1091" s="169">
        <f t="shared" si="726"/>
        <v>0</v>
      </c>
      <c r="L1091" s="16">
        <f>'БА в тыс. руб.'!H1091*1000</f>
        <v>8763480</v>
      </c>
      <c r="M1091" s="169">
        <f t="shared" si="727"/>
        <v>0</v>
      </c>
      <c r="N1091" s="16">
        <f>'БА в тыс. руб.'!I1091*1000</f>
        <v>8763480</v>
      </c>
      <c r="O1091" s="169">
        <f t="shared" si="728"/>
        <v>0</v>
      </c>
      <c r="S1091" s="30"/>
      <c r="T1091" s="30"/>
      <c r="U1091" s="30"/>
    </row>
    <row r="1092" spans="1:21" s="3" customFormat="1" ht="25.5">
      <c r="A1092" s="11" t="s">
        <v>107</v>
      </c>
      <c r="B1092" s="25" t="s">
        <v>67</v>
      </c>
      <c r="C1092" s="26" t="s">
        <v>78</v>
      </c>
      <c r="D1092" s="26" t="s">
        <v>8</v>
      </c>
      <c r="E1092" s="26" t="s">
        <v>484</v>
      </c>
      <c r="F1092" s="26" t="s">
        <v>115</v>
      </c>
      <c r="G1092" s="27">
        <f>SUM(G1093:G1094)</f>
        <v>8763480</v>
      </c>
      <c r="H1092" s="27">
        <f t="shared" ref="H1092:I1092" si="763">SUM(H1093:H1094)</f>
        <v>8763480</v>
      </c>
      <c r="I1092" s="27">
        <f t="shared" si="763"/>
        <v>8763480</v>
      </c>
      <c r="J1092" s="16">
        <f>'БА в тыс. руб.'!G1092*1000</f>
        <v>8763480</v>
      </c>
      <c r="K1092" s="169">
        <f t="shared" si="726"/>
        <v>0</v>
      </c>
      <c r="L1092" s="16">
        <f>'БА в тыс. руб.'!H1092*1000</f>
        <v>8763480</v>
      </c>
      <c r="M1092" s="169">
        <f t="shared" si="727"/>
        <v>0</v>
      </c>
      <c r="N1092" s="16">
        <f>'БА в тыс. руб.'!I1092*1000</f>
        <v>8763480</v>
      </c>
      <c r="O1092" s="169">
        <f t="shared" si="728"/>
        <v>0</v>
      </c>
      <c r="S1092" s="30"/>
      <c r="T1092" s="30"/>
      <c r="U1092" s="30"/>
    </row>
    <row r="1093" spans="1:21" s="3" customFormat="1">
      <c r="A1093" s="11" t="s">
        <v>936</v>
      </c>
      <c r="B1093" s="25" t="s">
        <v>67</v>
      </c>
      <c r="C1093" s="26" t="s">
        <v>78</v>
      </c>
      <c r="D1093" s="26" t="s">
        <v>8</v>
      </c>
      <c r="E1093" s="26" t="s">
        <v>484</v>
      </c>
      <c r="F1093" s="26" t="s">
        <v>1063</v>
      </c>
      <c r="G1093" s="27">
        <f t="shared" ref="G1093:G1094" si="764">J1093</f>
        <v>6730780</v>
      </c>
      <c r="H1093" s="27">
        <f t="shared" ref="H1093:H1094" si="765">L1093</f>
        <v>6730780</v>
      </c>
      <c r="I1093" s="27">
        <f t="shared" ref="I1093:I1094" si="766">N1093</f>
        <v>6730780</v>
      </c>
      <c r="J1093" s="16">
        <f>'БА в тыс. руб.'!G1093*1000</f>
        <v>6730780</v>
      </c>
      <c r="K1093" s="169">
        <f t="shared" si="726"/>
        <v>0</v>
      </c>
      <c r="L1093" s="16">
        <f>'БА в тыс. руб.'!H1093*1000</f>
        <v>6730780</v>
      </c>
      <c r="M1093" s="169">
        <f t="shared" si="727"/>
        <v>0</v>
      </c>
      <c r="N1093" s="16">
        <f>'БА в тыс. руб.'!I1093*1000</f>
        <v>6730780</v>
      </c>
      <c r="O1093" s="169">
        <f t="shared" si="728"/>
        <v>0</v>
      </c>
      <c r="S1093" s="30"/>
      <c r="T1093" s="30"/>
      <c r="U1093" s="30"/>
    </row>
    <row r="1094" spans="1:21" s="3" customFormat="1" ht="38.25">
      <c r="A1094" s="11" t="s">
        <v>939</v>
      </c>
      <c r="B1094" s="25" t="s">
        <v>67</v>
      </c>
      <c r="C1094" s="26" t="s">
        <v>78</v>
      </c>
      <c r="D1094" s="26" t="s">
        <v>8</v>
      </c>
      <c r="E1094" s="26" t="s">
        <v>484</v>
      </c>
      <c r="F1094" s="26" t="s">
        <v>1060</v>
      </c>
      <c r="G1094" s="27">
        <f t="shared" si="764"/>
        <v>2032700</v>
      </c>
      <c r="H1094" s="27">
        <f t="shared" si="765"/>
        <v>2032700</v>
      </c>
      <c r="I1094" s="27">
        <f t="shared" si="766"/>
        <v>2032700</v>
      </c>
      <c r="J1094" s="16">
        <f>'БА в тыс. руб.'!G1094*1000</f>
        <v>2032700</v>
      </c>
      <c r="K1094" s="169">
        <f t="shared" si="726"/>
        <v>0</v>
      </c>
      <c r="L1094" s="16">
        <f>'БА в тыс. руб.'!H1094*1000</f>
        <v>2032700</v>
      </c>
      <c r="M1094" s="169">
        <f t="shared" si="727"/>
        <v>0</v>
      </c>
      <c r="N1094" s="16">
        <f>'БА в тыс. руб.'!I1094*1000</f>
        <v>2032700</v>
      </c>
      <c r="O1094" s="169">
        <f t="shared" si="728"/>
        <v>0</v>
      </c>
      <c r="S1094" s="30"/>
      <c r="T1094" s="30"/>
      <c r="U1094" s="30"/>
    </row>
    <row r="1095" spans="1:21" s="71" customFormat="1">
      <c r="A1095" s="93"/>
      <c r="B1095" s="92"/>
      <c r="C1095" s="70"/>
      <c r="D1095" s="70"/>
      <c r="E1095" s="70"/>
      <c r="F1095" s="70"/>
      <c r="G1095" s="27"/>
      <c r="H1095" s="27"/>
      <c r="I1095" s="27"/>
      <c r="J1095" s="16">
        <f>'БА в тыс. руб.'!G1095*1000</f>
        <v>0</v>
      </c>
      <c r="K1095" s="169">
        <f t="shared" si="726"/>
        <v>0</v>
      </c>
      <c r="L1095" s="16">
        <f>'БА в тыс. руб.'!H1095*1000</f>
        <v>0</v>
      </c>
      <c r="M1095" s="169">
        <f t="shared" si="727"/>
        <v>0</v>
      </c>
      <c r="N1095" s="16">
        <f>'БА в тыс. руб.'!I1095*1000</f>
        <v>0</v>
      </c>
      <c r="O1095" s="169">
        <f t="shared" si="728"/>
        <v>0</v>
      </c>
      <c r="S1095" s="181"/>
      <c r="T1095" s="181"/>
      <c r="U1095" s="181"/>
    </row>
    <row r="1096" spans="1:21" s="3" customFormat="1">
      <c r="A1096" s="28" t="s">
        <v>4</v>
      </c>
      <c r="B1096" s="14" t="s">
        <v>5</v>
      </c>
      <c r="C1096" s="15" t="s">
        <v>51</v>
      </c>
      <c r="D1096" s="15" t="s">
        <v>51</v>
      </c>
      <c r="E1096" s="15" t="s">
        <v>196</v>
      </c>
      <c r="F1096" s="15" t="s">
        <v>58</v>
      </c>
      <c r="G1096" s="29">
        <f>G1097+G1134+G1148+G1170</f>
        <v>122620650</v>
      </c>
      <c r="H1096" s="29">
        <f>H1097+H1134+H1148+H1170</f>
        <v>116143740</v>
      </c>
      <c r="I1096" s="29">
        <f>I1097+I1134+I1148+I1170</f>
        <v>116143740</v>
      </c>
      <c r="J1096" s="16">
        <f>'БА в тыс. руб.'!G1096*1000</f>
        <v>122620650.00000003</v>
      </c>
      <c r="K1096" s="169">
        <f t="shared" ref="K1096:K1159" si="767">J1096-G1096</f>
        <v>0</v>
      </c>
      <c r="L1096" s="16">
        <f>'БА в тыс. руб.'!H1096*1000</f>
        <v>116143740</v>
      </c>
      <c r="M1096" s="169">
        <f t="shared" ref="M1096:M1159" si="768">L1096-H1096</f>
        <v>0</v>
      </c>
      <c r="N1096" s="16">
        <f>'БА в тыс. руб.'!I1096*1000</f>
        <v>116143740</v>
      </c>
      <c r="O1096" s="169">
        <f t="shared" ref="O1096:O1159" si="769">N1096-I1096</f>
        <v>0</v>
      </c>
      <c r="S1096" s="30"/>
      <c r="T1096" s="30"/>
      <c r="U1096" s="30"/>
    </row>
    <row r="1097" spans="1:21" s="3" customFormat="1">
      <c r="A1097" s="17" t="s">
        <v>64</v>
      </c>
      <c r="B1097" s="18" t="s">
        <v>5</v>
      </c>
      <c r="C1097" s="19" t="s">
        <v>65</v>
      </c>
      <c r="D1097" s="19" t="s">
        <v>51</v>
      </c>
      <c r="E1097" s="19" t="s">
        <v>196</v>
      </c>
      <c r="F1097" s="19" t="s">
        <v>58</v>
      </c>
      <c r="G1097" s="20">
        <f>G1098+G1124</f>
        <v>32698800</v>
      </c>
      <c r="H1097" s="20">
        <f>H1098+H1124</f>
        <v>32713680</v>
      </c>
      <c r="I1097" s="20">
        <f>I1098+I1124</f>
        <v>32713680</v>
      </c>
      <c r="J1097" s="16">
        <f>'БА в тыс. руб.'!G1097*1000</f>
        <v>32698800.000000004</v>
      </c>
      <c r="K1097" s="169">
        <f t="shared" si="767"/>
        <v>0</v>
      </c>
      <c r="L1097" s="16">
        <f>'БА в тыс. руб.'!H1097*1000</f>
        <v>32713680</v>
      </c>
      <c r="M1097" s="169">
        <f t="shared" si="768"/>
        <v>0</v>
      </c>
      <c r="N1097" s="16">
        <f>'БА в тыс. руб.'!I1097*1000</f>
        <v>32713680</v>
      </c>
      <c r="O1097" s="169">
        <f t="shared" si="769"/>
        <v>0</v>
      </c>
      <c r="S1097" s="30"/>
      <c r="T1097" s="30"/>
      <c r="U1097" s="30"/>
    </row>
    <row r="1098" spans="1:21" s="3" customFormat="1" ht="38.25">
      <c r="A1098" s="21" t="s">
        <v>31</v>
      </c>
      <c r="B1098" s="22" t="s">
        <v>5</v>
      </c>
      <c r="C1098" s="23" t="s">
        <v>65</v>
      </c>
      <c r="D1098" s="23" t="s">
        <v>37</v>
      </c>
      <c r="E1098" s="23" t="s">
        <v>196</v>
      </c>
      <c r="F1098" s="23" t="s">
        <v>58</v>
      </c>
      <c r="G1098" s="24">
        <f t="shared" ref="G1098:I1099" si="770">G1099</f>
        <v>32308600</v>
      </c>
      <c r="H1098" s="24">
        <f t="shared" si="770"/>
        <v>32323480</v>
      </c>
      <c r="I1098" s="24">
        <f t="shared" si="770"/>
        <v>32323480</v>
      </c>
      <c r="J1098" s="16">
        <f>'БА в тыс. руб.'!G1098*1000</f>
        <v>32308600.000000004</v>
      </c>
      <c r="K1098" s="169">
        <f t="shared" si="767"/>
        <v>0</v>
      </c>
      <c r="L1098" s="16">
        <f>'БА в тыс. руб.'!H1098*1000</f>
        <v>32323480</v>
      </c>
      <c r="M1098" s="169">
        <f t="shared" si="768"/>
        <v>0</v>
      </c>
      <c r="N1098" s="16">
        <f>'БА в тыс. руб.'!I1098*1000</f>
        <v>32323480</v>
      </c>
      <c r="O1098" s="169">
        <f t="shared" si="769"/>
        <v>0</v>
      </c>
      <c r="S1098" s="30"/>
      <c r="T1098" s="30"/>
      <c r="U1098" s="30"/>
    </row>
    <row r="1099" spans="1:21" s="3" customFormat="1" ht="25.5">
      <c r="A1099" s="40" t="s">
        <v>146</v>
      </c>
      <c r="B1099" s="35" t="s">
        <v>5</v>
      </c>
      <c r="C1099" s="36" t="s">
        <v>65</v>
      </c>
      <c r="D1099" s="36" t="s">
        <v>37</v>
      </c>
      <c r="E1099" s="36" t="s">
        <v>485</v>
      </c>
      <c r="F1099" s="36" t="s">
        <v>58</v>
      </c>
      <c r="G1099" s="37">
        <f t="shared" si="770"/>
        <v>32308600</v>
      </c>
      <c r="H1099" s="37">
        <f t="shared" si="770"/>
        <v>32323480</v>
      </c>
      <c r="I1099" s="37">
        <f t="shared" si="770"/>
        <v>32323480</v>
      </c>
      <c r="J1099" s="16">
        <f>'БА в тыс. руб.'!G1099*1000</f>
        <v>32308600.000000004</v>
      </c>
      <c r="K1099" s="169">
        <f t="shared" si="767"/>
        <v>0</v>
      </c>
      <c r="L1099" s="16">
        <f>'БА в тыс. руб.'!H1099*1000</f>
        <v>32323480</v>
      </c>
      <c r="M1099" s="169">
        <f t="shared" si="768"/>
        <v>0</v>
      </c>
      <c r="N1099" s="16">
        <f>'БА в тыс. руб.'!I1099*1000</f>
        <v>32323480</v>
      </c>
      <c r="O1099" s="169">
        <f t="shared" si="769"/>
        <v>0</v>
      </c>
      <c r="S1099" s="30"/>
      <c r="T1099" s="30"/>
      <c r="U1099" s="30"/>
    </row>
    <row r="1100" spans="1:21" s="3" customFormat="1" ht="25.5">
      <c r="A1100" s="40" t="s">
        <v>147</v>
      </c>
      <c r="B1100" s="35" t="s">
        <v>5</v>
      </c>
      <c r="C1100" s="36" t="s">
        <v>65</v>
      </c>
      <c r="D1100" s="36" t="s">
        <v>37</v>
      </c>
      <c r="E1100" s="36" t="s">
        <v>486</v>
      </c>
      <c r="F1100" s="36" t="s">
        <v>58</v>
      </c>
      <c r="G1100" s="37">
        <f>G1101+G1110+G1114+G1121</f>
        <v>32308600</v>
      </c>
      <c r="H1100" s="37">
        <f>H1101+H1110+H1114+H1121</f>
        <v>32323480</v>
      </c>
      <c r="I1100" s="37">
        <f>I1101+I1110+I1114+I1121</f>
        <v>32323480</v>
      </c>
      <c r="J1100" s="16">
        <f>'БА в тыс. руб.'!G1100*1000</f>
        <v>32308600.000000004</v>
      </c>
      <c r="K1100" s="169">
        <f t="shared" si="767"/>
        <v>0</v>
      </c>
      <c r="L1100" s="16">
        <f>'БА в тыс. руб.'!H1100*1000</f>
        <v>32323480</v>
      </c>
      <c r="M1100" s="169">
        <f t="shared" si="768"/>
        <v>0</v>
      </c>
      <c r="N1100" s="16">
        <f>'БА в тыс. руб.'!I1100*1000</f>
        <v>32323480</v>
      </c>
      <c r="O1100" s="169">
        <f t="shared" si="769"/>
        <v>0</v>
      </c>
      <c r="S1100" s="30"/>
      <c r="T1100" s="30"/>
      <c r="U1100" s="30"/>
    </row>
    <row r="1101" spans="1:21" s="3" customFormat="1" ht="25.5">
      <c r="A1101" s="11" t="s">
        <v>114</v>
      </c>
      <c r="B1101" s="35" t="s">
        <v>5</v>
      </c>
      <c r="C1101" s="36" t="s">
        <v>65</v>
      </c>
      <c r="D1101" s="36" t="s">
        <v>37</v>
      </c>
      <c r="E1101" s="36" t="s">
        <v>487</v>
      </c>
      <c r="F1101" s="36" t="s">
        <v>58</v>
      </c>
      <c r="G1101" s="37">
        <f>G1102+G1105+G1107</f>
        <v>3523330</v>
      </c>
      <c r="H1101" s="37">
        <f t="shared" ref="H1101:I1101" si="771">H1102+H1105+H1107</f>
        <v>3538210</v>
      </c>
      <c r="I1101" s="37">
        <f t="shared" si="771"/>
        <v>3538210</v>
      </c>
      <c r="J1101" s="16">
        <f>'БА в тыс. руб.'!G1101*1000</f>
        <v>3523330</v>
      </c>
      <c r="K1101" s="169">
        <f t="shared" si="767"/>
        <v>0</v>
      </c>
      <c r="L1101" s="16">
        <f>'БА в тыс. руб.'!H1101*1000</f>
        <v>3538210</v>
      </c>
      <c r="M1101" s="169">
        <f t="shared" si="768"/>
        <v>0</v>
      </c>
      <c r="N1101" s="16">
        <f>'БА в тыс. руб.'!I1101*1000</f>
        <v>3538210</v>
      </c>
      <c r="O1101" s="169">
        <f t="shared" si="769"/>
        <v>0</v>
      </c>
      <c r="S1101" s="30"/>
      <c r="T1101" s="30"/>
      <c r="U1101" s="30"/>
    </row>
    <row r="1102" spans="1:21" s="3" customFormat="1" ht="25.5">
      <c r="A1102" s="12" t="s">
        <v>107</v>
      </c>
      <c r="B1102" s="35" t="s">
        <v>5</v>
      </c>
      <c r="C1102" s="36" t="s">
        <v>65</v>
      </c>
      <c r="D1102" s="36" t="s">
        <v>37</v>
      </c>
      <c r="E1102" s="36" t="s">
        <v>487</v>
      </c>
      <c r="F1102" s="36" t="s">
        <v>115</v>
      </c>
      <c r="G1102" s="37">
        <f>SUM(G1103:G1104)</f>
        <v>620460</v>
      </c>
      <c r="H1102" s="37">
        <f t="shared" ref="H1102:I1102" si="772">SUM(H1103:H1104)</f>
        <v>620460</v>
      </c>
      <c r="I1102" s="37">
        <f t="shared" si="772"/>
        <v>620460</v>
      </c>
      <c r="J1102" s="16">
        <f>'БА в тыс. руб.'!G1102*1000</f>
        <v>620460</v>
      </c>
      <c r="K1102" s="169">
        <f t="shared" si="767"/>
        <v>0</v>
      </c>
      <c r="L1102" s="16">
        <f>'БА в тыс. руб.'!H1102*1000</f>
        <v>620460</v>
      </c>
      <c r="M1102" s="169">
        <f t="shared" si="768"/>
        <v>0</v>
      </c>
      <c r="N1102" s="16">
        <f>'БА в тыс. руб.'!I1102*1000</f>
        <v>620460</v>
      </c>
      <c r="O1102" s="169">
        <f t="shared" si="769"/>
        <v>0</v>
      </c>
      <c r="S1102" s="30"/>
      <c r="T1102" s="30"/>
      <c r="U1102" s="30"/>
    </row>
    <row r="1103" spans="1:21" s="71" customFormat="1" ht="25.5">
      <c r="A1103" s="11" t="s">
        <v>937</v>
      </c>
      <c r="B1103" s="25" t="s">
        <v>5</v>
      </c>
      <c r="C1103" s="26" t="s">
        <v>65</v>
      </c>
      <c r="D1103" s="26" t="s">
        <v>37</v>
      </c>
      <c r="E1103" s="26" t="s">
        <v>487</v>
      </c>
      <c r="F1103" s="26" t="s">
        <v>1059</v>
      </c>
      <c r="G1103" s="27">
        <f t="shared" ref="G1103:G1104" si="773">J1103</f>
        <v>476560</v>
      </c>
      <c r="H1103" s="27">
        <f t="shared" ref="H1103:H1104" si="774">L1103</f>
        <v>476560</v>
      </c>
      <c r="I1103" s="27">
        <f t="shared" ref="I1103:I1104" si="775">N1103</f>
        <v>476560</v>
      </c>
      <c r="J1103" s="16">
        <f>'БА в тыс. руб.'!G1103*1000</f>
        <v>476560</v>
      </c>
      <c r="K1103" s="169">
        <f t="shared" si="767"/>
        <v>0</v>
      </c>
      <c r="L1103" s="16">
        <f>'БА в тыс. руб.'!H1103*1000</f>
        <v>476560</v>
      </c>
      <c r="M1103" s="169">
        <f t="shared" si="768"/>
        <v>0</v>
      </c>
      <c r="N1103" s="16">
        <f>'БА в тыс. руб.'!I1103*1000</f>
        <v>476560</v>
      </c>
      <c r="O1103" s="169">
        <f t="shared" si="769"/>
        <v>0</v>
      </c>
      <c r="S1103" s="181"/>
      <c r="T1103" s="181"/>
      <c r="U1103" s="181"/>
    </row>
    <row r="1104" spans="1:21" s="71" customFormat="1" ht="38.25">
      <c r="A1104" s="11" t="s">
        <v>939</v>
      </c>
      <c r="B1104" s="25" t="s">
        <v>5</v>
      </c>
      <c r="C1104" s="26" t="s">
        <v>65</v>
      </c>
      <c r="D1104" s="26" t="s">
        <v>37</v>
      </c>
      <c r="E1104" s="26" t="s">
        <v>487</v>
      </c>
      <c r="F1104" s="26" t="s">
        <v>1060</v>
      </c>
      <c r="G1104" s="27">
        <f t="shared" si="773"/>
        <v>143900</v>
      </c>
      <c r="H1104" s="27">
        <f t="shared" si="774"/>
        <v>143900</v>
      </c>
      <c r="I1104" s="27">
        <f t="shared" si="775"/>
        <v>143900</v>
      </c>
      <c r="J1104" s="16">
        <f>'БА в тыс. руб.'!G1104*1000</f>
        <v>143900</v>
      </c>
      <c r="K1104" s="169">
        <f t="shared" si="767"/>
        <v>0</v>
      </c>
      <c r="L1104" s="16">
        <f>'БА в тыс. руб.'!H1104*1000</f>
        <v>143900</v>
      </c>
      <c r="M1104" s="169">
        <f t="shared" si="768"/>
        <v>0</v>
      </c>
      <c r="N1104" s="16">
        <f>'БА в тыс. руб.'!I1104*1000</f>
        <v>143900</v>
      </c>
      <c r="O1104" s="169">
        <f t="shared" si="769"/>
        <v>0</v>
      </c>
      <c r="S1104" s="181"/>
      <c r="T1104" s="181"/>
      <c r="U1104" s="181"/>
    </row>
    <row r="1105" spans="1:21" s="3" customFormat="1" ht="25.5">
      <c r="A1105" s="11" t="s">
        <v>108</v>
      </c>
      <c r="B1105" s="35" t="s">
        <v>5</v>
      </c>
      <c r="C1105" s="36" t="s">
        <v>65</v>
      </c>
      <c r="D1105" s="36" t="s">
        <v>37</v>
      </c>
      <c r="E1105" s="36" t="s">
        <v>487</v>
      </c>
      <c r="F1105" s="36" t="s">
        <v>116</v>
      </c>
      <c r="G1105" s="37">
        <f>G1106</f>
        <v>2805870</v>
      </c>
      <c r="H1105" s="37">
        <f t="shared" ref="H1105:I1105" si="776">H1106</f>
        <v>2820750</v>
      </c>
      <c r="I1105" s="37">
        <f t="shared" si="776"/>
        <v>2820750</v>
      </c>
      <c r="J1105" s="16">
        <f>'БА в тыс. руб.'!G1105*1000</f>
        <v>2805870</v>
      </c>
      <c r="K1105" s="169">
        <f t="shared" si="767"/>
        <v>0</v>
      </c>
      <c r="L1105" s="16">
        <f>'БА в тыс. руб.'!H1105*1000</f>
        <v>2820750</v>
      </c>
      <c r="M1105" s="169">
        <f t="shared" si="768"/>
        <v>0</v>
      </c>
      <c r="N1105" s="16">
        <f>'БА в тыс. руб.'!I1105*1000</f>
        <v>2820750</v>
      </c>
      <c r="O1105" s="169">
        <f t="shared" si="769"/>
        <v>0</v>
      </c>
      <c r="S1105" s="30"/>
      <c r="T1105" s="30"/>
      <c r="U1105" s="30"/>
    </row>
    <row r="1106" spans="1:21" s="4" customFormat="1" ht="25.5">
      <c r="A1106" s="12" t="s">
        <v>973</v>
      </c>
      <c r="B1106" s="35" t="s">
        <v>5</v>
      </c>
      <c r="C1106" s="36" t="s">
        <v>65</v>
      </c>
      <c r="D1106" s="36" t="s">
        <v>37</v>
      </c>
      <c r="E1106" s="36" t="s">
        <v>487</v>
      </c>
      <c r="F1106" s="36" t="s">
        <v>1043</v>
      </c>
      <c r="G1106" s="27">
        <f t="shared" ref="G1106" si="777">J1106</f>
        <v>2805870</v>
      </c>
      <c r="H1106" s="27">
        <f>L1106</f>
        <v>2820750</v>
      </c>
      <c r="I1106" s="27">
        <f>N1106</f>
        <v>2820750</v>
      </c>
      <c r="J1106" s="16">
        <f>'БА в тыс. руб.'!G1106*1000</f>
        <v>2805870</v>
      </c>
      <c r="K1106" s="169">
        <f t="shared" si="767"/>
        <v>0</v>
      </c>
      <c r="L1106" s="16">
        <f>'БА в тыс. руб.'!H1106*1000</f>
        <v>2820750</v>
      </c>
      <c r="M1106" s="169">
        <f t="shared" si="768"/>
        <v>0</v>
      </c>
      <c r="N1106" s="16">
        <f>'БА в тыс. руб.'!I1106*1000</f>
        <v>2820750</v>
      </c>
      <c r="O1106" s="169">
        <f t="shared" si="769"/>
        <v>0</v>
      </c>
      <c r="S1106" s="83"/>
      <c r="T1106" s="83"/>
      <c r="U1106" s="83"/>
    </row>
    <row r="1107" spans="1:21" s="3" customFormat="1">
      <c r="A1107" s="11" t="s">
        <v>97</v>
      </c>
      <c r="B1107" s="25" t="s">
        <v>5</v>
      </c>
      <c r="C1107" s="26" t="s">
        <v>65</v>
      </c>
      <c r="D1107" s="26" t="s">
        <v>37</v>
      </c>
      <c r="E1107" s="26" t="s">
        <v>487</v>
      </c>
      <c r="F1107" s="26" t="s">
        <v>118</v>
      </c>
      <c r="G1107" s="27">
        <f>SUM(G1108:G1109)</f>
        <v>97000</v>
      </c>
      <c r="H1107" s="27">
        <f t="shared" ref="H1107:I1107" si="778">SUM(H1108:H1109)</f>
        <v>97000</v>
      </c>
      <c r="I1107" s="27">
        <f t="shared" si="778"/>
        <v>97000</v>
      </c>
      <c r="J1107" s="16">
        <f>'БА в тыс. руб.'!G1107*1000</f>
        <v>97000</v>
      </c>
      <c r="K1107" s="169">
        <f t="shared" si="767"/>
        <v>0</v>
      </c>
      <c r="L1107" s="16">
        <f>'БА в тыс. руб.'!H1107*1000</f>
        <v>97000</v>
      </c>
      <c r="M1107" s="169">
        <f t="shared" si="768"/>
        <v>0</v>
      </c>
      <c r="N1107" s="16">
        <f>'БА в тыс. руб.'!I1107*1000</f>
        <v>97000</v>
      </c>
      <c r="O1107" s="169">
        <f t="shared" si="769"/>
        <v>0</v>
      </c>
      <c r="S1107" s="30"/>
      <c r="T1107" s="30"/>
      <c r="U1107" s="30"/>
    </row>
    <row r="1108" spans="1:21" s="3" customFormat="1">
      <c r="A1108" s="11" t="s">
        <v>1036</v>
      </c>
      <c r="B1108" s="25" t="s">
        <v>5</v>
      </c>
      <c r="C1108" s="26" t="s">
        <v>65</v>
      </c>
      <c r="D1108" s="26" t="s">
        <v>37</v>
      </c>
      <c r="E1108" s="26" t="s">
        <v>487</v>
      </c>
      <c r="F1108" s="26" t="s">
        <v>1061</v>
      </c>
      <c r="G1108" s="27">
        <f t="shared" ref="G1108:G1109" si="779">J1108</f>
        <v>77000</v>
      </c>
      <c r="H1108" s="27">
        <f t="shared" ref="H1108:H1109" si="780">L1108</f>
        <v>77000</v>
      </c>
      <c r="I1108" s="27">
        <f t="shared" ref="I1108:I1109" si="781">N1108</f>
        <v>77000</v>
      </c>
      <c r="J1108" s="16">
        <f>'БА в тыс. руб.'!G1108*1000</f>
        <v>77000</v>
      </c>
      <c r="K1108" s="169">
        <f t="shared" si="767"/>
        <v>0</v>
      </c>
      <c r="L1108" s="16">
        <f>'БА в тыс. руб.'!H1108*1000</f>
        <v>77000</v>
      </c>
      <c r="M1108" s="169">
        <f t="shared" si="768"/>
        <v>0</v>
      </c>
      <c r="N1108" s="16">
        <f>'БА в тыс. руб.'!I1108*1000</f>
        <v>77000</v>
      </c>
      <c r="O1108" s="169">
        <f t="shared" si="769"/>
        <v>0</v>
      </c>
      <c r="S1108" s="30"/>
      <c r="T1108" s="30"/>
      <c r="U1108" s="30"/>
    </row>
    <row r="1109" spans="1:21" s="3" customFormat="1">
      <c r="A1109" s="11" t="s">
        <v>1037</v>
      </c>
      <c r="B1109" s="25" t="s">
        <v>5</v>
      </c>
      <c r="C1109" s="26" t="s">
        <v>65</v>
      </c>
      <c r="D1109" s="26" t="s">
        <v>37</v>
      </c>
      <c r="E1109" s="26" t="s">
        <v>487</v>
      </c>
      <c r="F1109" s="26" t="s">
        <v>1062</v>
      </c>
      <c r="G1109" s="27">
        <f t="shared" si="779"/>
        <v>20000</v>
      </c>
      <c r="H1109" s="27">
        <f t="shared" si="780"/>
        <v>20000</v>
      </c>
      <c r="I1109" s="27">
        <f t="shared" si="781"/>
        <v>20000</v>
      </c>
      <c r="J1109" s="16">
        <f>'БА в тыс. руб.'!G1109*1000</f>
        <v>20000</v>
      </c>
      <c r="K1109" s="169">
        <f t="shared" si="767"/>
        <v>0</v>
      </c>
      <c r="L1109" s="16">
        <f>'БА в тыс. руб.'!H1109*1000</f>
        <v>20000</v>
      </c>
      <c r="M1109" s="169">
        <f t="shared" si="768"/>
        <v>0</v>
      </c>
      <c r="N1109" s="16">
        <f>'БА в тыс. руб.'!I1109*1000</f>
        <v>20000</v>
      </c>
      <c r="O1109" s="169">
        <f t="shared" si="769"/>
        <v>0</v>
      </c>
      <c r="S1109" s="30"/>
      <c r="T1109" s="30"/>
      <c r="U1109" s="30"/>
    </row>
    <row r="1110" spans="1:21" s="3" customFormat="1" ht="25.5">
      <c r="A1110" s="11" t="s">
        <v>126</v>
      </c>
      <c r="B1110" s="25" t="s">
        <v>5</v>
      </c>
      <c r="C1110" s="26" t="s">
        <v>65</v>
      </c>
      <c r="D1110" s="26" t="s">
        <v>37</v>
      </c>
      <c r="E1110" s="26" t="s">
        <v>488</v>
      </c>
      <c r="F1110" s="26" t="s">
        <v>58</v>
      </c>
      <c r="G1110" s="27">
        <f>G1111</f>
        <v>27685780</v>
      </c>
      <c r="H1110" s="27">
        <f>H1111</f>
        <v>27685780</v>
      </c>
      <c r="I1110" s="27">
        <f>I1111</f>
        <v>27685780</v>
      </c>
      <c r="J1110" s="16">
        <f>'БА в тыс. руб.'!G1110*1000</f>
        <v>27685780</v>
      </c>
      <c r="K1110" s="169">
        <f t="shared" si="767"/>
        <v>0</v>
      </c>
      <c r="L1110" s="16">
        <f>'БА в тыс. руб.'!H1110*1000</f>
        <v>27685780</v>
      </c>
      <c r="M1110" s="169">
        <f t="shared" si="768"/>
        <v>0</v>
      </c>
      <c r="N1110" s="16">
        <f>'БА в тыс. руб.'!I1110*1000</f>
        <v>27685780</v>
      </c>
      <c r="O1110" s="169">
        <f t="shared" si="769"/>
        <v>0</v>
      </c>
      <c r="S1110" s="30"/>
      <c r="T1110" s="30"/>
      <c r="U1110" s="30"/>
    </row>
    <row r="1111" spans="1:21" s="3" customFormat="1" ht="25.5">
      <c r="A1111" s="11" t="s">
        <v>107</v>
      </c>
      <c r="B1111" s="25" t="s">
        <v>5</v>
      </c>
      <c r="C1111" s="26" t="s">
        <v>65</v>
      </c>
      <c r="D1111" s="26" t="s">
        <v>37</v>
      </c>
      <c r="E1111" s="26" t="s">
        <v>488</v>
      </c>
      <c r="F1111" s="26" t="s">
        <v>115</v>
      </c>
      <c r="G1111" s="27">
        <f>SUM(G1112:G1113)</f>
        <v>27685780</v>
      </c>
      <c r="H1111" s="27">
        <f t="shared" ref="H1111:I1111" si="782">SUM(H1112:H1113)</f>
        <v>27685780</v>
      </c>
      <c r="I1111" s="27">
        <f t="shared" si="782"/>
        <v>27685780</v>
      </c>
      <c r="J1111" s="16">
        <f>'БА в тыс. руб.'!G1111*1000</f>
        <v>27685780</v>
      </c>
      <c r="K1111" s="169">
        <f t="shared" si="767"/>
        <v>0</v>
      </c>
      <c r="L1111" s="16">
        <f>'БА в тыс. руб.'!H1111*1000</f>
        <v>27685780</v>
      </c>
      <c r="M1111" s="169">
        <f t="shared" si="768"/>
        <v>0</v>
      </c>
      <c r="N1111" s="16">
        <f>'БА в тыс. руб.'!I1111*1000</f>
        <v>27685780</v>
      </c>
      <c r="O1111" s="169">
        <f t="shared" si="769"/>
        <v>0</v>
      </c>
      <c r="S1111" s="30"/>
      <c r="T1111" s="30"/>
      <c r="U1111" s="30"/>
    </row>
    <row r="1112" spans="1:21" s="3" customFormat="1">
      <c r="A1112" s="11" t="s">
        <v>936</v>
      </c>
      <c r="B1112" s="25" t="s">
        <v>5</v>
      </c>
      <c r="C1112" s="26" t="s">
        <v>65</v>
      </c>
      <c r="D1112" s="26" t="s">
        <v>37</v>
      </c>
      <c r="E1112" s="26" t="s">
        <v>488</v>
      </c>
      <c r="F1112" s="26" t="s">
        <v>1063</v>
      </c>
      <c r="G1112" s="27">
        <f t="shared" ref="G1112:G1113" si="783">J1112</f>
        <v>21264040</v>
      </c>
      <c r="H1112" s="27">
        <f t="shared" ref="H1112:H1113" si="784">L1112</f>
        <v>21264040</v>
      </c>
      <c r="I1112" s="27">
        <f t="shared" ref="I1112:I1113" si="785">N1112</f>
        <v>21264040</v>
      </c>
      <c r="J1112" s="16">
        <f>'БА в тыс. руб.'!G1112*1000</f>
        <v>21264040</v>
      </c>
      <c r="K1112" s="169">
        <f t="shared" si="767"/>
        <v>0</v>
      </c>
      <c r="L1112" s="16">
        <f>'БА в тыс. руб.'!H1112*1000</f>
        <v>21264040</v>
      </c>
      <c r="M1112" s="169">
        <f t="shared" si="768"/>
        <v>0</v>
      </c>
      <c r="N1112" s="16">
        <f>'БА в тыс. руб.'!I1112*1000</f>
        <v>21264040</v>
      </c>
      <c r="O1112" s="169">
        <f t="shared" si="769"/>
        <v>0</v>
      </c>
      <c r="S1112" s="30"/>
      <c r="T1112" s="30"/>
      <c r="U1112" s="30"/>
    </row>
    <row r="1113" spans="1:21" s="3" customFormat="1" ht="38.25">
      <c r="A1113" s="11" t="s">
        <v>939</v>
      </c>
      <c r="B1113" s="25" t="s">
        <v>5</v>
      </c>
      <c r="C1113" s="26" t="s">
        <v>65</v>
      </c>
      <c r="D1113" s="26" t="s">
        <v>37</v>
      </c>
      <c r="E1113" s="26" t="s">
        <v>488</v>
      </c>
      <c r="F1113" s="26" t="s">
        <v>1060</v>
      </c>
      <c r="G1113" s="27">
        <f t="shared" si="783"/>
        <v>6421740</v>
      </c>
      <c r="H1113" s="27">
        <f t="shared" si="784"/>
        <v>6421740</v>
      </c>
      <c r="I1113" s="27">
        <f t="shared" si="785"/>
        <v>6421740</v>
      </c>
      <c r="J1113" s="16">
        <f>'БА в тыс. руб.'!G1113*1000</f>
        <v>6421740</v>
      </c>
      <c r="K1113" s="169">
        <f t="shared" si="767"/>
        <v>0</v>
      </c>
      <c r="L1113" s="16">
        <f>'БА в тыс. руб.'!H1113*1000</f>
        <v>6421740</v>
      </c>
      <c r="M1113" s="169">
        <f t="shared" si="768"/>
        <v>0</v>
      </c>
      <c r="N1113" s="16">
        <f>'БА в тыс. руб.'!I1113*1000</f>
        <v>6421740</v>
      </c>
      <c r="O1113" s="169">
        <f t="shared" si="769"/>
        <v>0</v>
      </c>
      <c r="S1113" s="30"/>
      <c r="T1113" s="30"/>
      <c r="U1113" s="30"/>
    </row>
    <row r="1114" spans="1:21" s="3" customFormat="1" ht="51">
      <c r="A1114" s="32" t="s">
        <v>598</v>
      </c>
      <c r="B1114" s="25" t="s">
        <v>5</v>
      </c>
      <c r="C1114" s="26" t="s">
        <v>65</v>
      </c>
      <c r="D1114" s="26" t="s">
        <v>37</v>
      </c>
      <c r="E1114" s="26" t="s">
        <v>489</v>
      </c>
      <c r="F1114" s="26" t="s">
        <v>58</v>
      </c>
      <c r="G1114" s="27">
        <f>G1115+G1119</f>
        <v>1047750</v>
      </c>
      <c r="H1114" s="27">
        <f>H1115+H1119</f>
        <v>1047750</v>
      </c>
      <c r="I1114" s="27">
        <f>I1115+I1119</f>
        <v>1047750</v>
      </c>
      <c r="J1114" s="16">
        <f>'БА в тыс. руб.'!G1114*1000</f>
        <v>1047750</v>
      </c>
      <c r="K1114" s="169">
        <f t="shared" si="767"/>
        <v>0</v>
      </c>
      <c r="L1114" s="16">
        <f>'БА в тыс. руб.'!H1114*1000</f>
        <v>1047750</v>
      </c>
      <c r="M1114" s="169">
        <f t="shared" si="768"/>
        <v>0</v>
      </c>
      <c r="N1114" s="16">
        <f>'БА в тыс. руб.'!I1114*1000</f>
        <v>1047750</v>
      </c>
      <c r="O1114" s="169">
        <f t="shared" si="769"/>
        <v>0</v>
      </c>
      <c r="S1114" s="30"/>
      <c r="T1114" s="30"/>
      <c r="U1114" s="30"/>
    </row>
    <row r="1115" spans="1:21" s="3" customFormat="1" ht="25.5">
      <c r="A1115" s="11" t="s">
        <v>107</v>
      </c>
      <c r="B1115" s="25" t="s">
        <v>5</v>
      </c>
      <c r="C1115" s="26" t="s">
        <v>65</v>
      </c>
      <c r="D1115" s="26" t="s">
        <v>37</v>
      </c>
      <c r="E1115" s="26" t="s">
        <v>489</v>
      </c>
      <c r="F1115" s="26" t="s">
        <v>115</v>
      </c>
      <c r="G1115" s="27">
        <f>SUM(G1116:G1118)</f>
        <v>989330</v>
      </c>
      <c r="H1115" s="27">
        <f t="shared" ref="H1115:I1115" si="786">SUM(H1116:H1118)</f>
        <v>989330</v>
      </c>
      <c r="I1115" s="27">
        <f t="shared" si="786"/>
        <v>989330</v>
      </c>
      <c r="J1115" s="16">
        <f>'БА в тыс. руб.'!G1115*1000</f>
        <v>989329.99999999988</v>
      </c>
      <c r="K1115" s="169">
        <f t="shared" si="767"/>
        <v>0</v>
      </c>
      <c r="L1115" s="16">
        <f>'БА в тыс. руб.'!H1115*1000</f>
        <v>989329.99999999988</v>
      </c>
      <c r="M1115" s="169">
        <f t="shared" si="768"/>
        <v>0</v>
      </c>
      <c r="N1115" s="16">
        <f>'БА в тыс. руб.'!I1115*1000</f>
        <v>989329.99999999988</v>
      </c>
      <c r="O1115" s="169">
        <f t="shared" si="769"/>
        <v>0</v>
      </c>
      <c r="S1115" s="30"/>
      <c r="T1115" s="30"/>
      <c r="U1115" s="30"/>
    </row>
    <row r="1116" spans="1:21" s="3" customFormat="1">
      <c r="A1116" s="11" t="s">
        <v>936</v>
      </c>
      <c r="B1116" s="25" t="s">
        <v>5</v>
      </c>
      <c r="C1116" s="26" t="s">
        <v>65</v>
      </c>
      <c r="D1116" s="26" t="s">
        <v>37</v>
      </c>
      <c r="E1116" s="26" t="s">
        <v>489</v>
      </c>
      <c r="F1116" s="26" t="s">
        <v>1063</v>
      </c>
      <c r="G1116" s="27">
        <f t="shared" ref="G1116:G1118" si="787">J1116</f>
        <v>721560</v>
      </c>
      <c r="H1116" s="27">
        <f t="shared" ref="H1116:H1118" si="788">L1116</f>
        <v>721560</v>
      </c>
      <c r="I1116" s="27">
        <f t="shared" ref="I1116:I1118" si="789">N1116</f>
        <v>721560</v>
      </c>
      <c r="J1116" s="16">
        <f>'БА в тыс. руб.'!G1116*1000</f>
        <v>721560</v>
      </c>
      <c r="K1116" s="169">
        <f t="shared" si="767"/>
        <v>0</v>
      </c>
      <c r="L1116" s="16">
        <f>'БА в тыс. руб.'!H1116*1000</f>
        <v>721560</v>
      </c>
      <c r="M1116" s="169">
        <f t="shared" si="768"/>
        <v>0</v>
      </c>
      <c r="N1116" s="16">
        <f>'БА в тыс. руб.'!I1116*1000</f>
        <v>721560</v>
      </c>
      <c r="O1116" s="169">
        <f t="shared" si="769"/>
        <v>0</v>
      </c>
      <c r="S1116" s="30"/>
      <c r="T1116" s="30"/>
      <c r="U1116" s="30"/>
    </row>
    <row r="1117" spans="1:21" s="3" customFormat="1" ht="25.5">
      <c r="A1117" s="12" t="s">
        <v>937</v>
      </c>
      <c r="B1117" s="25" t="s">
        <v>5</v>
      </c>
      <c r="C1117" s="26" t="s">
        <v>65</v>
      </c>
      <c r="D1117" s="26" t="s">
        <v>37</v>
      </c>
      <c r="E1117" s="26" t="s">
        <v>489</v>
      </c>
      <c r="F1117" s="26" t="s">
        <v>1059</v>
      </c>
      <c r="G1117" s="27">
        <f t="shared" si="787"/>
        <v>38300</v>
      </c>
      <c r="H1117" s="27">
        <f t="shared" si="788"/>
        <v>38300</v>
      </c>
      <c r="I1117" s="27">
        <f t="shared" si="789"/>
        <v>38300</v>
      </c>
      <c r="J1117" s="16">
        <f>'БА в тыс. руб.'!G1117*1000</f>
        <v>38300</v>
      </c>
      <c r="K1117" s="169">
        <f t="shared" si="767"/>
        <v>0</v>
      </c>
      <c r="L1117" s="16">
        <f>'БА в тыс. руб.'!H1117*1000</f>
        <v>38300</v>
      </c>
      <c r="M1117" s="169"/>
      <c r="N1117" s="16">
        <f>'БА в тыс. руб.'!I1117*1000</f>
        <v>38300</v>
      </c>
      <c r="O1117" s="169"/>
      <c r="S1117" s="30"/>
      <c r="T1117" s="30"/>
      <c r="U1117" s="30"/>
    </row>
    <row r="1118" spans="1:21" s="3" customFormat="1" ht="38.25">
      <c r="A1118" s="11" t="s">
        <v>939</v>
      </c>
      <c r="B1118" s="25" t="s">
        <v>5</v>
      </c>
      <c r="C1118" s="26" t="s">
        <v>65</v>
      </c>
      <c r="D1118" s="26" t="s">
        <v>37</v>
      </c>
      <c r="E1118" s="26" t="s">
        <v>489</v>
      </c>
      <c r="F1118" s="26" t="s">
        <v>1060</v>
      </c>
      <c r="G1118" s="27">
        <f t="shared" si="787"/>
        <v>229470</v>
      </c>
      <c r="H1118" s="27">
        <f t="shared" si="788"/>
        <v>229470</v>
      </c>
      <c r="I1118" s="27">
        <f t="shared" si="789"/>
        <v>229470</v>
      </c>
      <c r="J1118" s="16">
        <f>'БА в тыс. руб.'!G1118*1000</f>
        <v>229470</v>
      </c>
      <c r="K1118" s="169">
        <f t="shared" si="767"/>
        <v>0</v>
      </c>
      <c r="L1118" s="16">
        <f>'БА в тыс. руб.'!H1118*1000</f>
        <v>229470</v>
      </c>
      <c r="M1118" s="169">
        <f t="shared" si="768"/>
        <v>0</v>
      </c>
      <c r="N1118" s="16">
        <f>'БА в тыс. руб.'!I1118*1000</f>
        <v>229470</v>
      </c>
      <c r="O1118" s="169">
        <f t="shared" si="769"/>
        <v>0</v>
      </c>
      <c r="S1118" s="30"/>
      <c r="T1118" s="30"/>
      <c r="U1118" s="30"/>
    </row>
    <row r="1119" spans="1:21" s="3" customFormat="1" ht="25.5">
      <c r="A1119" s="11" t="s">
        <v>108</v>
      </c>
      <c r="B1119" s="25" t="s">
        <v>5</v>
      </c>
      <c r="C1119" s="26" t="s">
        <v>65</v>
      </c>
      <c r="D1119" s="26" t="s">
        <v>37</v>
      </c>
      <c r="E1119" s="26" t="s">
        <v>489</v>
      </c>
      <c r="F1119" s="26" t="s">
        <v>116</v>
      </c>
      <c r="G1119" s="27">
        <f>G1120</f>
        <v>58420</v>
      </c>
      <c r="H1119" s="27">
        <f t="shared" ref="H1119:I1119" si="790">H1120</f>
        <v>58420</v>
      </c>
      <c r="I1119" s="27">
        <f t="shared" si="790"/>
        <v>58420</v>
      </c>
      <c r="J1119" s="16">
        <f>'БА в тыс. руб.'!G1119*1000</f>
        <v>58420</v>
      </c>
      <c r="K1119" s="169">
        <f t="shared" si="767"/>
        <v>0</v>
      </c>
      <c r="L1119" s="16">
        <f>'БА в тыс. руб.'!H1119*1000</f>
        <v>58420</v>
      </c>
      <c r="M1119" s="169">
        <f t="shared" si="768"/>
        <v>0</v>
      </c>
      <c r="N1119" s="16">
        <f>'БА в тыс. руб.'!I1119*1000</f>
        <v>58420</v>
      </c>
      <c r="O1119" s="169">
        <f t="shared" si="769"/>
        <v>0</v>
      </c>
      <c r="S1119" s="30"/>
      <c r="T1119" s="30"/>
      <c r="U1119" s="30"/>
    </row>
    <row r="1120" spans="1:21" s="94" customFormat="1" ht="25.5">
      <c r="A1120" s="12" t="s">
        <v>973</v>
      </c>
      <c r="B1120" s="25" t="s">
        <v>5</v>
      </c>
      <c r="C1120" s="26" t="s">
        <v>65</v>
      </c>
      <c r="D1120" s="26" t="s">
        <v>37</v>
      </c>
      <c r="E1120" s="26" t="s">
        <v>489</v>
      </c>
      <c r="F1120" s="26" t="s">
        <v>1043</v>
      </c>
      <c r="G1120" s="27">
        <f t="shared" ref="G1120" si="791">J1120</f>
        <v>58420</v>
      </c>
      <c r="H1120" s="27">
        <f>L1120</f>
        <v>58420</v>
      </c>
      <c r="I1120" s="27">
        <f>N1120</f>
        <v>58420</v>
      </c>
      <c r="J1120" s="16">
        <f>'БА в тыс. руб.'!G1120*1000</f>
        <v>58420</v>
      </c>
      <c r="K1120" s="169">
        <f t="shared" si="767"/>
        <v>0</v>
      </c>
      <c r="L1120" s="16">
        <f>'БА в тыс. руб.'!H1120*1000</f>
        <v>58420</v>
      </c>
      <c r="M1120" s="169">
        <f t="shared" si="768"/>
        <v>0</v>
      </c>
      <c r="N1120" s="16">
        <f>'БА в тыс. руб.'!I1120*1000</f>
        <v>58420</v>
      </c>
      <c r="O1120" s="169">
        <f t="shared" si="769"/>
        <v>0</v>
      </c>
      <c r="S1120" s="103"/>
      <c r="T1120" s="103"/>
      <c r="U1120" s="103"/>
    </row>
    <row r="1121" spans="1:21" s="3" customFormat="1" ht="51">
      <c r="A1121" s="34" t="s">
        <v>870</v>
      </c>
      <c r="B1121" s="35" t="s">
        <v>5</v>
      </c>
      <c r="C1121" s="36" t="s">
        <v>65</v>
      </c>
      <c r="D1121" s="36" t="s">
        <v>37</v>
      </c>
      <c r="E1121" s="36" t="s">
        <v>490</v>
      </c>
      <c r="F1121" s="36" t="s">
        <v>58</v>
      </c>
      <c r="G1121" s="37">
        <f>G1122</f>
        <v>51740</v>
      </c>
      <c r="H1121" s="37">
        <f>H1122</f>
        <v>51740</v>
      </c>
      <c r="I1121" s="37">
        <f>I1122</f>
        <v>51740</v>
      </c>
      <c r="J1121" s="16">
        <f>'БА в тыс. руб.'!G1121*1000</f>
        <v>51740</v>
      </c>
      <c r="K1121" s="169">
        <f t="shared" si="767"/>
        <v>0</v>
      </c>
      <c r="L1121" s="16">
        <f>'БА в тыс. руб.'!H1121*1000</f>
        <v>51740</v>
      </c>
      <c r="M1121" s="169">
        <f t="shared" si="768"/>
        <v>0</v>
      </c>
      <c r="N1121" s="16">
        <f>'БА в тыс. руб.'!I1121*1000</f>
        <v>51740</v>
      </c>
      <c r="O1121" s="169">
        <f t="shared" si="769"/>
        <v>0</v>
      </c>
      <c r="S1121" s="30"/>
      <c r="T1121" s="30"/>
      <c r="U1121" s="30"/>
    </row>
    <row r="1122" spans="1:21" s="3" customFormat="1" ht="25.5">
      <c r="A1122" s="11" t="s">
        <v>108</v>
      </c>
      <c r="B1122" s="35" t="s">
        <v>5</v>
      </c>
      <c r="C1122" s="36" t="s">
        <v>65</v>
      </c>
      <c r="D1122" s="36" t="s">
        <v>37</v>
      </c>
      <c r="E1122" s="36" t="s">
        <v>490</v>
      </c>
      <c r="F1122" s="36" t="s">
        <v>116</v>
      </c>
      <c r="G1122" s="37">
        <f>G1123</f>
        <v>51740</v>
      </c>
      <c r="H1122" s="37">
        <f t="shared" ref="H1122:I1122" si="792">H1123</f>
        <v>51740</v>
      </c>
      <c r="I1122" s="37">
        <f t="shared" si="792"/>
        <v>51740</v>
      </c>
      <c r="J1122" s="16">
        <f>'БА в тыс. руб.'!G1122*1000</f>
        <v>51740</v>
      </c>
      <c r="K1122" s="169">
        <f t="shared" si="767"/>
        <v>0</v>
      </c>
      <c r="L1122" s="16">
        <f>'БА в тыс. руб.'!H1122*1000</f>
        <v>51740</v>
      </c>
      <c r="M1122" s="169">
        <f t="shared" si="768"/>
        <v>0</v>
      </c>
      <c r="N1122" s="16">
        <f>'БА в тыс. руб.'!I1122*1000</f>
        <v>51740</v>
      </c>
      <c r="O1122" s="169">
        <f t="shared" si="769"/>
        <v>0</v>
      </c>
      <c r="S1122" s="30"/>
      <c r="T1122" s="30"/>
      <c r="U1122" s="30"/>
    </row>
    <row r="1123" spans="1:21" s="4" customFormat="1" ht="25.5">
      <c r="A1123" s="12" t="s">
        <v>973</v>
      </c>
      <c r="B1123" s="35" t="s">
        <v>5</v>
      </c>
      <c r="C1123" s="36" t="s">
        <v>65</v>
      </c>
      <c r="D1123" s="36" t="s">
        <v>37</v>
      </c>
      <c r="E1123" s="36" t="s">
        <v>490</v>
      </c>
      <c r="F1123" s="36" t="s">
        <v>1043</v>
      </c>
      <c r="G1123" s="27">
        <f t="shared" ref="G1123" si="793">J1123</f>
        <v>51740</v>
      </c>
      <c r="H1123" s="27">
        <f>L1123</f>
        <v>51740</v>
      </c>
      <c r="I1123" s="27">
        <f>N1123</f>
        <v>51740</v>
      </c>
      <c r="J1123" s="16">
        <f>'БА в тыс. руб.'!G1123*1000</f>
        <v>51740</v>
      </c>
      <c r="K1123" s="169">
        <f t="shared" si="767"/>
        <v>0</v>
      </c>
      <c r="L1123" s="16">
        <f>'БА в тыс. руб.'!H1123*1000</f>
        <v>51740</v>
      </c>
      <c r="M1123" s="169">
        <f t="shared" si="768"/>
        <v>0</v>
      </c>
      <c r="N1123" s="16">
        <f>'БА в тыс. руб.'!I1123*1000</f>
        <v>51740</v>
      </c>
      <c r="O1123" s="169">
        <f t="shared" si="769"/>
        <v>0</v>
      </c>
      <c r="S1123" s="83"/>
      <c r="T1123" s="83"/>
      <c r="U1123" s="83"/>
    </row>
    <row r="1124" spans="1:21" s="3" customFormat="1">
      <c r="A1124" s="21" t="s">
        <v>38</v>
      </c>
      <c r="B1124" s="22" t="s">
        <v>5</v>
      </c>
      <c r="C1124" s="23" t="s">
        <v>65</v>
      </c>
      <c r="D1124" s="23" t="s">
        <v>84</v>
      </c>
      <c r="E1124" s="23" t="s">
        <v>196</v>
      </c>
      <c r="F1124" s="23" t="s">
        <v>58</v>
      </c>
      <c r="G1124" s="24">
        <f>G1125</f>
        <v>390200</v>
      </c>
      <c r="H1124" s="24">
        <f t="shared" ref="H1124:I1124" si="794">H1125</f>
        <v>390200</v>
      </c>
      <c r="I1124" s="24">
        <f t="shared" si="794"/>
        <v>390200</v>
      </c>
      <c r="J1124" s="16">
        <f>'БА в тыс. руб.'!G1124*1000</f>
        <v>390200</v>
      </c>
      <c r="K1124" s="169">
        <f t="shared" si="767"/>
        <v>0</v>
      </c>
      <c r="L1124" s="16">
        <f>'БА в тыс. руб.'!H1124*1000</f>
        <v>390200</v>
      </c>
      <c r="M1124" s="169">
        <f t="shared" si="768"/>
        <v>0</v>
      </c>
      <c r="N1124" s="16">
        <f>'БА в тыс. руб.'!I1124*1000</f>
        <v>390200</v>
      </c>
      <c r="O1124" s="169">
        <f t="shared" si="769"/>
        <v>0</v>
      </c>
      <c r="S1124" s="30"/>
      <c r="T1124" s="30"/>
      <c r="U1124" s="30"/>
    </row>
    <row r="1125" spans="1:21" s="3" customFormat="1" ht="38.25">
      <c r="A1125" s="13" t="s">
        <v>745</v>
      </c>
      <c r="B1125" s="35" t="s">
        <v>5</v>
      </c>
      <c r="C1125" s="36" t="s">
        <v>65</v>
      </c>
      <c r="D1125" s="36" t="s">
        <v>84</v>
      </c>
      <c r="E1125" s="36" t="s">
        <v>280</v>
      </c>
      <c r="F1125" s="36" t="s">
        <v>58</v>
      </c>
      <c r="G1125" s="37">
        <f t="shared" ref="G1125:I1129" si="795">G1126</f>
        <v>390200</v>
      </c>
      <c r="H1125" s="37">
        <f t="shared" si="795"/>
        <v>390200</v>
      </c>
      <c r="I1125" s="37">
        <f t="shared" si="795"/>
        <v>390200</v>
      </c>
      <c r="J1125" s="16">
        <f>'БА в тыс. руб.'!G1125*1000</f>
        <v>390200</v>
      </c>
      <c r="K1125" s="169">
        <f t="shared" si="767"/>
        <v>0</v>
      </c>
      <c r="L1125" s="16">
        <f>'БА в тыс. руб.'!H1125*1000</f>
        <v>390200</v>
      </c>
      <c r="M1125" s="169">
        <f t="shared" si="768"/>
        <v>0</v>
      </c>
      <c r="N1125" s="16">
        <f>'БА в тыс. руб.'!I1125*1000</f>
        <v>390200</v>
      </c>
      <c r="O1125" s="169">
        <f t="shared" si="769"/>
        <v>0</v>
      </c>
      <c r="S1125" s="30"/>
      <c r="T1125" s="30"/>
      <c r="U1125" s="30"/>
    </row>
    <row r="1126" spans="1:21" s="3" customFormat="1" ht="51">
      <c r="A1126" s="13" t="s">
        <v>746</v>
      </c>
      <c r="B1126" s="25" t="s">
        <v>5</v>
      </c>
      <c r="C1126" s="36" t="s">
        <v>65</v>
      </c>
      <c r="D1126" s="36" t="s">
        <v>84</v>
      </c>
      <c r="E1126" s="36" t="s">
        <v>281</v>
      </c>
      <c r="F1126" s="36" t="s">
        <v>58</v>
      </c>
      <c r="G1126" s="37">
        <f t="shared" si="795"/>
        <v>390200</v>
      </c>
      <c r="H1126" s="37">
        <f t="shared" si="795"/>
        <v>390200</v>
      </c>
      <c r="I1126" s="37">
        <f t="shared" si="795"/>
        <v>390200</v>
      </c>
      <c r="J1126" s="16">
        <f>'БА в тыс. руб.'!G1126*1000</f>
        <v>390200</v>
      </c>
      <c r="K1126" s="169">
        <f t="shared" si="767"/>
        <v>0</v>
      </c>
      <c r="L1126" s="16">
        <f>'БА в тыс. руб.'!H1126*1000</f>
        <v>390200</v>
      </c>
      <c r="M1126" s="169">
        <f t="shared" si="768"/>
        <v>0</v>
      </c>
      <c r="N1126" s="16">
        <f>'БА в тыс. руб.'!I1126*1000</f>
        <v>390200</v>
      </c>
      <c r="O1126" s="169">
        <f t="shared" si="769"/>
        <v>0</v>
      </c>
      <c r="S1126" s="30"/>
      <c r="T1126" s="30"/>
      <c r="U1126" s="30"/>
    </row>
    <row r="1127" spans="1:21" s="3" customFormat="1" ht="38.25">
      <c r="A1127" s="11" t="s">
        <v>282</v>
      </c>
      <c r="B1127" s="25" t="s">
        <v>5</v>
      </c>
      <c r="C1127" s="36" t="s">
        <v>65</v>
      </c>
      <c r="D1127" s="36" t="s">
        <v>84</v>
      </c>
      <c r="E1127" s="36" t="s">
        <v>283</v>
      </c>
      <c r="F1127" s="36" t="s">
        <v>58</v>
      </c>
      <c r="G1127" s="37">
        <f>G1128+G1131</f>
        <v>390200</v>
      </c>
      <c r="H1127" s="37">
        <f>H1128+H1131</f>
        <v>390200</v>
      </c>
      <c r="I1127" s="37">
        <f>I1128+I1131</f>
        <v>390200</v>
      </c>
      <c r="J1127" s="16">
        <f>'БА в тыс. руб.'!G1127*1000</f>
        <v>390200</v>
      </c>
      <c r="K1127" s="169">
        <f t="shared" si="767"/>
        <v>0</v>
      </c>
      <c r="L1127" s="16">
        <f>'БА в тыс. руб.'!H1127*1000</f>
        <v>390200</v>
      </c>
      <c r="M1127" s="169">
        <f t="shared" si="768"/>
        <v>0</v>
      </c>
      <c r="N1127" s="16">
        <f>'БА в тыс. руб.'!I1127*1000</f>
        <v>390200</v>
      </c>
      <c r="O1127" s="169">
        <f t="shared" si="769"/>
        <v>0</v>
      </c>
      <c r="S1127" s="30"/>
      <c r="T1127" s="30"/>
      <c r="U1127" s="30"/>
    </row>
    <row r="1128" spans="1:21" s="3" customFormat="1" ht="25.5">
      <c r="A1128" s="11" t="s">
        <v>167</v>
      </c>
      <c r="B1128" s="25" t="s">
        <v>5</v>
      </c>
      <c r="C1128" s="36" t="s">
        <v>65</v>
      </c>
      <c r="D1128" s="36" t="s">
        <v>84</v>
      </c>
      <c r="E1128" s="36" t="s">
        <v>491</v>
      </c>
      <c r="F1128" s="36" t="s">
        <v>58</v>
      </c>
      <c r="G1128" s="37">
        <f t="shared" si="795"/>
        <v>350000</v>
      </c>
      <c r="H1128" s="37">
        <f t="shared" si="795"/>
        <v>350000</v>
      </c>
      <c r="I1128" s="37">
        <f t="shared" si="795"/>
        <v>350000</v>
      </c>
      <c r="J1128" s="16">
        <f>'БА в тыс. руб.'!G1128*1000</f>
        <v>350000</v>
      </c>
      <c r="K1128" s="169">
        <f t="shared" si="767"/>
        <v>0</v>
      </c>
      <c r="L1128" s="16">
        <f>'БА в тыс. руб.'!H1128*1000</f>
        <v>350000</v>
      </c>
      <c r="M1128" s="169">
        <f t="shared" si="768"/>
        <v>0</v>
      </c>
      <c r="N1128" s="16">
        <f>'БА в тыс. руб.'!I1128*1000</f>
        <v>350000</v>
      </c>
      <c r="O1128" s="169">
        <f t="shared" si="769"/>
        <v>0</v>
      </c>
      <c r="S1128" s="30"/>
      <c r="T1128" s="30"/>
      <c r="U1128" s="30"/>
    </row>
    <row r="1129" spans="1:21" s="3" customFormat="1" ht="25.5">
      <c r="A1129" s="11" t="s">
        <v>108</v>
      </c>
      <c r="B1129" s="25" t="s">
        <v>5</v>
      </c>
      <c r="C1129" s="36" t="s">
        <v>65</v>
      </c>
      <c r="D1129" s="36" t="s">
        <v>84</v>
      </c>
      <c r="E1129" s="36" t="s">
        <v>491</v>
      </c>
      <c r="F1129" s="36" t="s">
        <v>116</v>
      </c>
      <c r="G1129" s="37">
        <f>G1130</f>
        <v>350000</v>
      </c>
      <c r="H1129" s="37">
        <f t="shared" si="795"/>
        <v>350000</v>
      </c>
      <c r="I1129" s="37">
        <f t="shared" si="795"/>
        <v>350000</v>
      </c>
      <c r="J1129" s="16">
        <f>'БА в тыс. руб.'!G1129*1000</f>
        <v>350000</v>
      </c>
      <c r="K1129" s="169">
        <f t="shared" si="767"/>
        <v>0</v>
      </c>
      <c r="L1129" s="16">
        <f>'БА в тыс. руб.'!H1129*1000</f>
        <v>350000</v>
      </c>
      <c r="M1129" s="169">
        <f t="shared" si="768"/>
        <v>0</v>
      </c>
      <c r="N1129" s="16">
        <f>'БА в тыс. руб.'!I1129*1000</f>
        <v>350000</v>
      </c>
      <c r="O1129" s="169">
        <f t="shared" si="769"/>
        <v>0</v>
      </c>
      <c r="S1129" s="30"/>
      <c r="T1129" s="30"/>
      <c r="U1129" s="30"/>
    </row>
    <row r="1130" spans="1:21" s="4" customFormat="1" ht="25.5">
      <c r="A1130" s="12" t="s">
        <v>973</v>
      </c>
      <c r="B1130" s="25" t="s">
        <v>5</v>
      </c>
      <c r="C1130" s="36" t="s">
        <v>65</v>
      </c>
      <c r="D1130" s="36" t="s">
        <v>84</v>
      </c>
      <c r="E1130" s="36" t="s">
        <v>491</v>
      </c>
      <c r="F1130" s="36" t="s">
        <v>1043</v>
      </c>
      <c r="G1130" s="27">
        <f t="shared" ref="G1130" si="796">J1130</f>
        <v>350000</v>
      </c>
      <c r="H1130" s="27">
        <f>L1130</f>
        <v>350000</v>
      </c>
      <c r="I1130" s="27">
        <f>N1130</f>
        <v>350000</v>
      </c>
      <c r="J1130" s="16">
        <f>'БА в тыс. руб.'!G1130*1000</f>
        <v>350000</v>
      </c>
      <c r="K1130" s="169">
        <f t="shared" si="767"/>
        <v>0</v>
      </c>
      <c r="L1130" s="16">
        <f>'БА в тыс. руб.'!H1130*1000</f>
        <v>350000</v>
      </c>
      <c r="M1130" s="169">
        <f t="shared" si="768"/>
        <v>0</v>
      </c>
      <c r="N1130" s="16">
        <f>'БА в тыс. руб.'!I1130*1000</f>
        <v>350000</v>
      </c>
      <c r="O1130" s="169">
        <f t="shared" si="769"/>
        <v>0</v>
      </c>
      <c r="S1130" s="83"/>
      <c r="T1130" s="83"/>
      <c r="U1130" s="83"/>
    </row>
    <row r="1131" spans="1:21" s="3" customFormat="1" ht="25.5">
      <c r="A1131" s="11" t="s">
        <v>859</v>
      </c>
      <c r="B1131" s="25" t="s">
        <v>5</v>
      </c>
      <c r="C1131" s="36" t="s">
        <v>65</v>
      </c>
      <c r="D1131" s="36" t="s">
        <v>84</v>
      </c>
      <c r="E1131" s="43" t="s">
        <v>858</v>
      </c>
      <c r="F1131" s="26" t="s">
        <v>58</v>
      </c>
      <c r="G1131" s="27">
        <f>G1132</f>
        <v>40200</v>
      </c>
      <c r="H1131" s="27">
        <f t="shared" ref="H1131:I1132" si="797">H1132</f>
        <v>40200</v>
      </c>
      <c r="I1131" s="27">
        <f t="shared" si="797"/>
        <v>40200</v>
      </c>
      <c r="J1131" s="16">
        <f>'БА в тыс. руб.'!G1131*1000</f>
        <v>40200</v>
      </c>
      <c r="K1131" s="169">
        <f t="shared" si="767"/>
        <v>0</v>
      </c>
      <c r="L1131" s="16">
        <f>'БА в тыс. руб.'!H1131*1000</f>
        <v>40200</v>
      </c>
      <c r="M1131" s="169">
        <f t="shared" si="768"/>
        <v>0</v>
      </c>
      <c r="N1131" s="16">
        <f>'БА в тыс. руб.'!I1131*1000</f>
        <v>40200</v>
      </c>
      <c r="O1131" s="169">
        <f t="shared" si="769"/>
        <v>0</v>
      </c>
      <c r="S1131" s="30"/>
      <c r="T1131" s="30"/>
      <c r="U1131" s="30"/>
    </row>
    <row r="1132" spans="1:21" s="3" customFormat="1" ht="25.5">
      <c r="A1132" s="11" t="s">
        <v>108</v>
      </c>
      <c r="B1132" s="25" t="s">
        <v>5</v>
      </c>
      <c r="C1132" s="36" t="s">
        <v>65</v>
      </c>
      <c r="D1132" s="36" t="s">
        <v>84</v>
      </c>
      <c r="E1132" s="43" t="s">
        <v>858</v>
      </c>
      <c r="F1132" s="26" t="s">
        <v>116</v>
      </c>
      <c r="G1132" s="27">
        <f>G1133</f>
        <v>40200</v>
      </c>
      <c r="H1132" s="27">
        <f t="shared" si="797"/>
        <v>40200</v>
      </c>
      <c r="I1132" s="27">
        <f t="shared" si="797"/>
        <v>40200</v>
      </c>
      <c r="J1132" s="16">
        <f>'БА в тыс. руб.'!G1132*1000</f>
        <v>40200</v>
      </c>
      <c r="K1132" s="169">
        <f t="shared" si="767"/>
        <v>0</v>
      </c>
      <c r="L1132" s="16">
        <f>'БА в тыс. руб.'!H1132*1000</f>
        <v>40200</v>
      </c>
      <c r="M1132" s="169">
        <f t="shared" si="768"/>
        <v>0</v>
      </c>
      <c r="N1132" s="16">
        <f>'БА в тыс. руб.'!I1132*1000</f>
        <v>40200</v>
      </c>
      <c r="O1132" s="169">
        <f t="shared" si="769"/>
        <v>0</v>
      </c>
      <c r="S1132" s="30"/>
      <c r="T1132" s="30"/>
      <c r="U1132" s="30"/>
    </row>
    <row r="1133" spans="1:21" s="4" customFormat="1" ht="25.5">
      <c r="A1133" s="12" t="s">
        <v>973</v>
      </c>
      <c r="B1133" s="25" t="s">
        <v>5</v>
      </c>
      <c r="C1133" s="36" t="s">
        <v>65</v>
      </c>
      <c r="D1133" s="36" t="s">
        <v>84</v>
      </c>
      <c r="E1133" s="43" t="s">
        <v>858</v>
      </c>
      <c r="F1133" s="26" t="s">
        <v>1043</v>
      </c>
      <c r="G1133" s="27">
        <f t="shared" ref="G1133" si="798">J1133</f>
        <v>40200</v>
      </c>
      <c r="H1133" s="27">
        <f>L1133</f>
        <v>40200</v>
      </c>
      <c r="I1133" s="27">
        <f>N1133</f>
        <v>40200</v>
      </c>
      <c r="J1133" s="16">
        <f>'БА в тыс. руб.'!G1133*1000</f>
        <v>40200</v>
      </c>
      <c r="K1133" s="169">
        <f t="shared" si="767"/>
        <v>0</v>
      </c>
      <c r="L1133" s="16">
        <f>'БА в тыс. руб.'!H1133*1000</f>
        <v>40200</v>
      </c>
      <c r="M1133" s="169">
        <f t="shared" si="768"/>
        <v>0</v>
      </c>
      <c r="N1133" s="16">
        <f>'БА в тыс. руб.'!I1133*1000</f>
        <v>40200</v>
      </c>
      <c r="O1133" s="169">
        <f t="shared" si="769"/>
        <v>0</v>
      </c>
      <c r="S1133" s="83"/>
      <c r="T1133" s="83"/>
      <c r="U1133" s="83"/>
    </row>
    <row r="1134" spans="1:21" s="3" customFormat="1">
      <c r="A1134" s="17" t="s">
        <v>35</v>
      </c>
      <c r="B1134" s="18" t="s">
        <v>5</v>
      </c>
      <c r="C1134" s="19" t="s">
        <v>37</v>
      </c>
      <c r="D1134" s="19" t="s">
        <v>51</v>
      </c>
      <c r="E1134" s="19" t="s">
        <v>196</v>
      </c>
      <c r="F1134" s="19" t="s">
        <v>58</v>
      </c>
      <c r="G1134" s="20">
        <f t="shared" ref="G1134:I1137" si="799">G1135</f>
        <v>67497950</v>
      </c>
      <c r="H1134" s="20">
        <f t="shared" si="799"/>
        <v>61526090</v>
      </c>
      <c r="I1134" s="20">
        <f t="shared" si="799"/>
        <v>61526090</v>
      </c>
      <c r="J1134" s="16">
        <f>'БА в тыс. руб.'!G1134*1000</f>
        <v>67497950.000000015</v>
      </c>
      <c r="K1134" s="169">
        <f t="shared" si="767"/>
        <v>0</v>
      </c>
      <c r="L1134" s="16">
        <f>'БА в тыс. руб.'!H1134*1000</f>
        <v>61526090.000000007</v>
      </c>
      <c r="M1134" s="169">
        <f t="shared" si="768"/>
        <v>0</v>
      </c>
      <c r="N1134" s="16">
        <f>'БА в тыс. руб.'!I1134*1000</f>
        <v>61526090.000000007</v>
      </c>
      <c r="O1134" s="169">
        <f t="shared" si="769"/>
        <v>0</v>
      </c>
      <c r="S1134" s="30"/>
      <c r="T1134" s="30"/>
      <c r="U1134" s="30"/>
    </row>
    <row r="1135" spans="1:21" s="3" customFormat="1">
      <c r="A1135" s="21" t="s">
        <v>88</v>
      </c>
      <c r="B1135" s="22" t="s">
        <v>5</v>
      </c>
      <c r="C1135" s="23" t="s">
        <v>37</v>
      </c>
      <c r="D1135" s="23" t="s">
        <v>25</v>
      </c>
      <c r="E1135" s="23" t="s">
        <v>196</v>
      </c>
      <c r="F1135" s="23" t="s">
        <v>58</v>
      </c>
      <c r="G1135" s="24">
        <f t="shared" si="799"/>
        <v>67497950</v>
      </c>
      <c r="H1135" s="24">
        <f t="shared" si="799"/>
        <v>61526090</v>
      </c>
      <c r="I1135" s="24">
        <f t="shared" si="799"/>
        <v>61526090</v>
      </c>
      <c r="J1135" s="16">
        <f>'БА в тыс. руб.'!G1135*1000</f>
        <v>67497950.000000015</v>
      </c>
      <c r="K1135" s="169">
        <f t="shared" si="767"/>
        <v>0</v>
      </c>
      <c r="L1135" s="16">
        <f>'БА в тыс. руб.'!H1135*1000</f>
        <v>61526090.000000007</v>
      </c>
      <c r="M1135" s="169">
        <f t="shared" si="768"/>
        <v>0</v>
      </c>
      <c r="N1135" s="16">
        <f>'БА в тыс. руб.'!I1135*1000</f>
        <v>61526090.000000007</v>
      </c>
      <c r="O1135" s="169">
        <f t="shared" si="769"/>
        <v>0</v>
      </c>
      <c r="S1135" s="30"/>
      <c r="T1135" s="30"/>
      <c r="U1135" s="30"/>
    </row>
    <row r="1136" spans="1:21" s="3" customFormat="1" ht="38.25">
      <c r="A1136" s="12" t="s">
        <v>722</v>
      </c>
      <c r="B1136" s="35" t="s">
        <v>5</v>
      </c>
      <c r="C1136" s="36" t="s">
        <v>37</v>
      </c>
      <c r="D1136" s="36" t="s">
        <v>25</v>
      </c>
      <c r="E1136" s="36" t="s">
        <v>300</v>
      </c>
      <c r="F1136" s="36" t="s">
        <v>58</v>
      </c>
      <c r="G1136" s="37">
        <f t="shared" si="799"/>
        <v>67497950</v>
      </c>
      <c r="H1136" s="37">
        <f t="shared" si="799"/>
        <v>61526090</v>
      </c>
      <c r="I1136" s="37">
        <f t="shared" si="799"/>
        <v>61526090</v>
      </c>
      <c r="J1136" s="16">
        <f>'БА в тыс. руб.'!G1136*1000</f>
        <v>67497950.000000015</v>
      </c>
      <c r="K1136" s="169">
        <f t="shared" si="767"/>
        <v>0</v>
      </c>
      <c r="L1136" s="16">
        <f>'БА в тыс. руб.'!H1136*1000</f>
        <v>61526090.000000007</v>
      </c>
      <c r="M1136" s="169">
        <f t="shared" si="768"/>
        <v>0</v>
      </c>
      <c r="N1136" s="16">
        <f>'БА в тыс. руб.'!I1136*1000</f>
        <v>61526090.000000007</v>
      </c>
      <c r="O1136" s="169">
        <f t="shared" si="769"/>
        <v>0</v>
      </c>
      <c r="S1136" s="30"/>
      <c r="T1136" s="30"/>
      <c r="U1136" s="30"/>
    </row>
    <row r="1137" spans="1:21" s="3" customFormat="1" ht="38.25">
      <c r="A1137" s="40" t="s">
        <v>729</v>
      </c>
      <c r="B1137" s="35" t="s">
        <v>5</v>
      </c>
      <c r="C1137" s="36" t="s">
        <v>37</v>
      </c>
      <c r="D1137" s="36" t="s">
        <v>25</v>
      </c>
      <c r="E1137" s="36" t="s">
        <v>301</v>
      </c>
      <c r="F1137" s="36" t="s">
        <v>58</v>
      </c>
      <c r="G1137" s="37">
        <f t="shared" si="799"/>
        <v>67497950</v>
      </c>
      <c r="H1137" s="37">
        <f t="shared" si="799"/>
        <v>61526090</v>
      </c>
      <c r="I1137" s="37">
        <f t="shared" si="799"/>
        <v>61526090</v>
      </c>
      <c r="J1137" s="16">
        <f>'БА в тыс. руб.'!G1137*1000</f>
        <v>67497950.000000015</v>
      </c>
      <c r="K1137" s="169">
        <f t="shared" si="767"/>
        <v>0</v>
      </c>
      <c r="L1137" s="16">
        <f>'БА в тыс. руб.'!H1137*1000</f>
        <v>61526090.000000007</v>
      </c>
      <c r="M1137" s="169">
        <f t="shared" si="768"/>
        <v>0</v>
      </c>
      <c r="N1137" s="16">
        <f>'БА в тыс. руб.'!I1137*1000</f>
        <v>61526090.000000007</v>
      </c>
      <c r="O1137" s="169">
        <f t="shared" si="769"/>
        <v>0</v>
      </c>
      <c r="S1137" s="30"/>
      <c r="T1137" s="30"/>
      <c r="U1137" s="30"/>
    </row>
    <row r="1138" spans="1:21" s="3" customFormat="1" ht="38.25">
      <c r="A1138" s="40" t="s">
        <v>644</v>
      </c>
      <c r="B1138" s="35" t="s">
        <v>5</v>
      </c>
      <c r="C1138" s="36" t="s">
        <v>37</v>
      </c>
      <c r="D1138" s="36" t="s">
        <v>25</v>
      </c>
      <c r="E1138" s="36" t="s">
        <v>302</v>
      </c>
      <c r="F1138" s="36" t="s">
        <v>58</v>
      </c>
      <c r="G1138" s="37">
        <f>G1145+G1139+G1142</f>
        <v>67497950</v>
      </c>
      <c r="H1138" s="37">
        <f>H1145+H1139+H1142</f>
        <v>61526090</v>
      </c>
      <c r="I1138" s="37">
        <f>I1145+I1139+I1142</f>
        <v>61526090</v>
      </c>
      <c r="J1138" s="16">
        <f>'БА в тыс. руб.'!G1138*1000</f>
        <v>67497950.000000015</v>
      </c>
      <c r="K1138" s="169">
        <f t="shared" si="767"/>
        <v>0</v>
      </c>
      <c r="L1138" s="16">
        <f>'БА в тыс. руб.'!H1138*1000</f>
        <v>61526090.000000007</v>
      </c>
      <c r="M1138" s="169">
        <f t="shared" si="768"/>
        <v>0</v>
      </c>
      <c r="N1138" s="16">
        <f>'БА в тыс. руб.'!I1138*1000</f>
        <v>61526090.000000007</v>
      </c>
      <c r="O1138" s="169">
        <f t="shared" si="769"/>
        <v>0</v>
      </c>
      <c r="S1138" s="30"/>
      <c r="T1138" s="30"/>
      <c r="U1138" s="30"/>
    </row>
    <row r="1139" spans="1:21" s="127" customFormat="1" ht="25.5">
      <c r="A1139" s="11" t="s">
        <v>493</v>
      </c>
      <c r="B1139" s="25" t="s">
        <v>5</v>
      </c>
      <c r="C1139" s="26" t="s">
        <v>37</v>
      </c>
      <c r="D1139" s="26" t="s">
        <v>25</v>
      </c>
      <c r="E1139" s="26" t="s">
        <v>494</v>
      </c>
      <c r="F1139" s="26" t="s">
        <v>58</v>
      </c>
      <c r="G1139" s="27">
        <f t="shared" ref="G1139:I1140" si="800">G1140</f>
        <v>10668700</v>
      </c>
      <c r="H1139" s="27">
        <f t="shared" si="800"/>
        <v>10379760</v>
      </c>
      <c r="I1139" s="27">
        <f t="shared" si="800"/>
        <v>10379760</v>
      </c>
      <c r="J1139" s="16">
        <f>'БА в тыс. руб.'!G1139*1000</f>
        <v>10668700</v>
      </c>
      <c r="K1139" s="169">
        <f t="shared" si="767"/>
        <v>0</v>
      </c>
      <c r="L1139" s="16">
        <f>'БА в тыс. руб.'!H1139*1000</f>
        <v>10379760</v>
      </c>
      <c r="M1139" s="169">
        <f t="shared" si="768"/>
        <v>0</v>
      </c>
      <c r="N1139" s="16">
        <f>'БА в тыс. руб.'!I1139*1000</f>
        <v>10379760</v>
      </c>
      <c r="O1139" s="169">
        <f t="shared" si="769"/>
        <v>0</v>
      </c>
      <c r="S1139" s="188"/>
      <c r="T1139" s="188"/>
      <c r="U1139" s="188"/>
    </row>
    <row r="1140" spans="1:21" s="127" customFormat="1" ht="25.5">
      <c r="A1140" s="11" t="s">
        <v>108</v>
      </c>
      <c r="B1140" s="25" t="s">
        <v>5</v>
      </c>
      <c r="C1140" s="26" t="s">
        <v>37</v>
      </c>
      <c r="D1140" s="26" t="s">
        <v>25</v>
      </c>
      <c r="E1140" s="26" t="s">
        <v>494</v>
      </c>
      <c r="F1140" s="26" t="s">
        <v>116</v>
      </c>
      <c r="G1140" s="27">
        <f t="shared" si="800"/>
        <v>10668700</v>
      </c>
      <c r="H1140" s="27">
        <f t="shared" si="800"/>
        <v>10379760</v>
      </c>
      <c r="I1140" s="27">
        <f t="shared" si="800"/>
        <v>10379760</v>
      </c>
      <c r="J1140" s="16">
        <f>'БА в тыс. руб.'!G1140*1000</f>
        <v>10668700</v>
      </c>
      <c r="K1140" s="169">
        <f t="shared" si="767"/>
        <v>0</v>
      </c>
      <c r="L1140" s="16">
        <f>'БА в тыс. руб.'!H1140*1000</f>
        <v>10379760</v>
      </c>
      <c r="M1140" s="169">
        <f t="shared" si="768"/>
        <v>0</v>
      </c>
      <c r="N1140" s="16">
        <f>'БА в тыс. руб.'!I1140*1000</f>
        <v>10379760</v>
      </c>
      <c r="O1140" s="169">
        <f t="shared" si="769"/>
        <v>0</v>
      </c>
      <c r="S1140" s="188"/>
      <c r="T1140" s="188"/>
      <c r="U1140" s="188"/>
    </row>
    <row r="1141" spans="1:21" s="4" customFormat="1" ht="25.5">
      <c r="A1141" s="12" t="s">
        <v>973</v>
      </c>
      <c r="B1141" s="25" t="s">
        <v>5</v>
      </c>
      <c r="C1141" s="26" t="s">
        <v>37</v>
      </c>
      <c r="D1141" s="26" t="s">
        <v>25</v>
      </c>
      <c r="E1141" s="26" t="s">
        <v>494</v>
      </c>
      <c r="F1141" s="26" t="s">
        <v>1043</v>
      </c>
      <c r="G1141" s="27">
        <f t="shared" ref="G1141" si="801">J1141</f>
        <v>10668700</v>
      </c>
      <c r="H1141" s="27">
        <f>L1141</f>
        <v>10379760</v>
      </c>
      <c r="I1141" s="27">
        <f>N1141</f>
        <v>10379760</v>
      </c>
      <c r="J1141" s="16">
        <f>'БА в тыс. руб.'!G1141*1000</f>
        <v>10668700</v>
      </c>
      <c r="K1141" s="169">
        <f t="shared" si="767"/>
        <v>0</v>
      </c>
      <c r="L1141" s="16">
        <f>'БА в тыс. руб.'!H1141*1000</f>
        <v>10379760</v>
      </c>
      <c r="M1141" s="169">
        <f t="shared" si="768"/>
        <v>0</v>
      </c>
      <c r="N1141" s="16">
        <f>'БА в тыс. руб.'!I1141*1000</f>
        <v>10379760</v>
      </c>
      <c r="O1141" s="169">
        <f t="shared" si="769"/>
        <v>0</v>
      </c>
      <c r="S1141" s="83"/>
      <c r="T1141" s="83"/>
      <c r="U1141" s="83"/>
    </row>
    <row r="1142" spans="1:21" s="127" customFormat="1" ht="63.75">
      <c r="A1142" s="11" t="s">
        <v>889</v>
      </c>
      <c r="B1142" s="25" t="s">
        <v>5</v>
      </c>
      <c r="C1142" s="26" t="s">
        <v>37</v>
      </c>
      <c r="D1142" s="26" t="s">
        <v>25</v>
      </c>
      <c r="E1142" s="26" t="s">
        <v>834</v>
      </c>
      <c r="F1142" s="26" t="s">
        <v>58</v>
      </c>
      <c r="G1142" s="27">
        <f>G1143</f>
        <v>14389290</v>
      </c>
      <c r="H1142" s="27">
        <f t="shared" ref="H1142:I1143" si="802">H1143</f>
        <v>0</v>
      </c>
      <c r="I1142" s="27">
        <f t="shared" si="802"/>
        <v>0</v>
      </c>
      <c r="J1142" s="16">
        <f>'БА в тыс. руб.'!G1142*1000</f>
        <v>14389290</v>
      </c>
      <c r="K1142" s="169">
        <f t="shared" si="767"/>
        <v>0</v>
      </c>
      <c r="L1142" s="16">
        <f>'БА в тыс. руб.'!H1142*1000</f>
        <v>0</v>
      </c>
      <c r="M1142" s="169">
        <f t="shared" si="768"/>
        <v>0</v>
      </c>
      <c r="N1142" s="16">
        <f>'БА в тыс. руб.'!I1142*1000</f>
        <v>0</v>
      </c>
      <c r="O1142" s="169">
        <f t="shared" si="769"/>
        <v>0</v>
      </c>
      <c r="S1142" s="188"/>
      <c r="T1142" s="188"/>
      <c r="U1142" s="188"/>
    </row>
    <row r="1143" spans="1:21" s="127" customFormat="1" ht="25.5">
      <c r="A1143" s="11" t="s">
        <v>108</v>
      </c>
      <c r="B1143" s="25" t="s">
        <v>5</v>
      </c>
      <c r="C1143" s="26" t="s">
        <v>37</v>
      </c>
      <c r="D1143" s="26" t="s">
        <v>25</v>
      </c>
      <c r="E1143" s="26" t="s">
        <v>834</v>
      </c>
      <c r="F1143" s="26" t="s">
        <v>116</v>
      </c>
      <c r="G1143" s="27">
        <f>G1144</f>
        <v>14389290</v>
      </c>
      <c r="H1143" s="27">
        <f t="shared" si="802"/>
        <v>0</v>
      </c>
      <c r="I1143" s="27">
        <f t="shared" si="802"/>
        <v>0</v>
      </c>
      <c r="J1143" s="16">
        <f>'БА в тыс. руб.'!G1143*1000</f>
        <v>14389290</v>
      </c>
      <c r="K1143" s="169">
        <f t="shared" si="767"/>
        <v>0</v>
      </c>
      <c r="L1143" s="16">
        <f>'БА в тыс. руб.'!H1143*1000</f>
        <v>0</v>
      </c>
      <c r="M1143" s="169">
        <f t="shared" si="768"/>
        <v>0</v>
      </c>
      <c r="N1143" s="16">
        <f>'БА в тыс. руб.'!I1143*1000</f>
        <v>0</v>
      </c>
      <c r="O1143" s="169">
        <f t="shared" si="769"/>
        <v>0</v>
      </c>
      <c r="S1143" s="188"/>
      <c r="T1143" s="188"/>
      <c r="U1143" s="188"/>
    </row>
    <row r="1144" spans="1:21" s="4" customFormat="1" ht="25.5">
      <c r="A1144" s="12" t="s">
        <v>973</v>
      </c>
      <c r="B1144" s="25" t="s">
        <v>5</v>
      </c>
      <c r="C1144" s="26" t="s">
        <v>37</v>
      </c>
      <c r="D1144" s="26" t="s">
        <v>25</v>
      </c>
      <c r="E1144" s="26" t="s">
        <v>834</v>
      </c>
      <c r="F1144" s="26" t="s">
        <v>1043</v>
      </c>
      <c r="G1144" s="27">
        <f t="shared" ref="G1144" si="803">J1144</f>
        <v>14389290</v>
      </c>
      <c r="H1144" s="27">
        <f>L1144</f>
        <v>0</v>
      </c>
      <c r="I1144" s="27">
        <f>N1144</f>
        <v>0</v>
      </c>
      <c r="J1144" s="16">
        <f>'БА в тыс. руб.'!G1144*1000</f>
        <v>14389290</v>
      </c>
      <c r="K1144" s="169">
        <f t="shared" si="767"/>
        <v>0</v>
      </c>
      <c r="L1144" s="16">
        <f>'БА в тыс. руб.'!H1144*1000</f>
        <v>0</v>
      </c>
      <c r="M1144" s="169">
        <f t="shared" si="768"/>
        <v>0</v>
      </c>
      <c r="N1144" s="16">
        <f>'БА в тыс. руб.'!I1144*1000</f>
        <v>0</v>
      </c>
      <c r="O1144" s="169">
        <f t="shared" si="769"/>
        <v>0</v>
      </c>
      <c r="S1144" s="83"/>
      <c r="T1144" s="83"/>
      <c r="U1144" s="83"/>
    </row>
    <row r="1145" spans="1:21" s="3" customFormat="1" ht="25.5">
      <c r="A1145" s="11" t="s">
        <v>902</v>
      </c>
      <c r="B1145" s="25" t="s">
        <v>5</v>
      </c>
      <c r="C1145" s="26" t="s">
        <v>37</v>
      </c>
      <c r="D1145" s="26" t="s">
        <v>25</v>
      </c>
      <c r="E1145" s="26" t="s">
        <v>909</v>
      </c>
      <c r="F1145" s="26" t="s">
        <v>58</v>
      </c>
      <c r="G1145" s="27">
        <f>G1146</f>
        <v>42439960</v>
      </c>
      <c r="H1145" s="27">
        <f>H1146</f>
        <v>51146330</v>
      </c>
      <c r="I1145" s="27">
        <f>I1146</f>
        <v>51146330</v>
      </c>
      <c r="J1145" s="16">
        <f>'БА в тыс. руб.'!G1145*1000</f>
        <v>42439960</v>
      </c>
      <c r="K1145" s="169">
        <f t="shared" si="767"/>
        <v>0</v>
      </c>
      <c r="L1145" s="16">
        <f>'БА в тыс. руб.'!H1145*1000</f>
        <v>51146330</v>
      </c>
      <c r="M1145" s="169">
        <f t="shared" si="768"/>
        <v>0</v>
      </c>
      <c r="N1145" s="16">
        <f>'БА в тыс. руб.'!I1145*1000</f>
        <v>51146330</v>
      </c>
      <c r="O1145" s="169">
        <f t="shared" si="769"/>
        <v>0</v>
      </c>
      <c r="S1145" s="30"/>
      <c r="T1145" s="30"/>
      <c r="U1145" s="30"/>
    </row>
    <row r="1146" spans="1:21" s="3" customFormat="1" ht="25.5">
      <c r="A1146" s="11" t="s">
        <v>108</v>
      </c>
      <c r="B1146" s="25" t="s">
        <v>5</v>
      </c>
      <c r="C1146" s="26" t="s">
        <v>37</v>
      </c>
      <c r="D1146" s="26" t="s">
        <v>25</v>
      </c>
      <c r="E1146" s="26" t="s">
        <v>909</v>
      </c>
      <c r="F1146" s="26" t="s">
        <v>116</v>
      </c>
      <c r="G1146" s="27">
        <f>G1147</f>
        <v>42439960</v>
      </c>
      <c r="H1146" s="27">
        <f t="shared" ref="H1146:I1146" si="804">H1147</f>
        <v>51146330</v>
      </c>
      <c r="I1146" s="27">
        <f t="shared" si="804"/>
        <v>51146330</v>
      </c>
      <c r="J1146" s="16">
        <f>'БА в тыс. руб.'!G1146*1000</f>
        <v>42439960</v>
      </c>
      <c r="K1146" s="169">
        <f t="shared" si="767"/>
        <v>0</v>
      </c>
      <c r="L1146" s="16">
        <f>'БА в тыс. руб.'!H1146*1000</f>
        <v>51146330</v>
      </c>
      <c r="M1146" s="169">
        <f t="shared" si="768"/>
        <v>0</v>
      </c>
      <c r="N1146" s="16">
        <f>'БА в тыс. руб.'!I1146*1000</f>
        <v>51146330</v>
      </c>
      <c r="O1146" s="169">
        <f t="shared" si="769"/>
        <v>0</v>
      </c>
      <c r="S1146" s="30"/>
      <c r="T1146" s="30"/>
      <c r="U1146" s="30"/>
    </row>
    <row r="1147" spans="1:21" s="4" customFormat="1" ht="25.5">
      <c r="A1147" s="12" t="s">
        <v>973</v>
      </c>
      <c r="B1147" s="25" t="s">
        <v>5</v>
      </c>
      <c r="C1147" s="26" t="s">
        <v>37</v>
      </c>
      <c r="D1147" s="26" t="s">
        <v>25</v>
      </c>
      <c r="E1147" s="26" t="s">
        <v>909</v>
      </c>
      <c r="F1147" s="26" t="s">
        <v>1043</v>
      </c>
      <c r="G1147" s="27">
        <f t="shared" ref="G1147" si="805">J1147</f>
        <v>42439960</v>
      </c>
      <c r="H1147" s="27">
        <f>L1147</f>
        <v>51146330</v>
      </c>
      <c r="I1147" s="27">
        <f>N1147</f>
        <v>51146330</v>
      </c>
      <c r="J1147" s="16">
        <f>'БА в тыс. руб.'!G1147*1000</f>
        <v>42439960</v>
      </c>
      <c r="K1147" s="169">
        <f t="shared" si="767"/>
        <v>0</v>
      </c>
      <c r="L1147" s="16">
        <f>'БА в тыс. руб.'!H1147*1000</f>
        <v>51146330</v>
      </c>
      <c r="M1147" s="169">
        <f t="shared" si="768"/>
        <v>0</v>
      </c>
      <c r="N1147" s="16">
        <f>'БА в тыс. руб.'!I1147*1000</f>
        <v>51146330</v>
      </c>
      <c r="O1147" s="169">
        <f t="shared" si="769"/>
        <v>0</v>
      </c>
      <c r="S1147" s="83"/>
      <c r="T1147" s="83"/>
      <c r="U1147" s="83"/>
    </row>
    <row r="1148" spans="1:21" s="130" customFormat="1">
      <c r="A1148" s="17" t="s">
        <v>7</v>
      </c>
      <c r="B1148" s="18" t="s">
        <v>5</v>
      </c>
      <c r="C1148" s="19" t="s">
        <v>8</v>
      </c>
      <c r="D1148" s="19" t="s">
        <v>51</v>
      </c>
      <c r="E1148" s="19" t="s">
        <v>196</v>
      </c>
      <c r="F1148" s="19" t="s">
        <v>58</v>
      </c>
      <c r="G1148" s="20">
        <f>G1149+G1157</f>
        <v>20783350</v>
      </c>
      <c r="H1148" s="20">
        <f>H1149+H1157</f>
        <v>20312970</v>
      </c>
      <c r="I1148" s="20">
        <f>I1149+I1157</f>
        <v>20312970</v>
      </c>
      <c r="J1148" s="16">
        <f>'БА в тыс. руб.'!G1148*1000</f>
        <v>20783350.000000004</v>
      </c>
      <c r="K1148" s="170">
        <f t="shared" si="767"/>
        <v>0</v>
      </c>
      <c r="L1148" s="16">
        <f>'БА в тыс. руб.'!H1148*1000</f>
        <v>20312969.999999996</v>
      </c>
      <c r="M1148" s="170">
        <f t="shared" si="768"/>
        <v>0</v>
      </c>
      <c r="N1148" s="16">
        <f>'БА в тыс. руб.'!I1148*1000</f>
        <v>20312969.999999996</v>
      </c>
      <c r="O1148" s="170">
        <f t="shared" si="769"/>
        <v>0</v>
      </c>
      <c r="S1148" s="189"/>
      <c r="T1148" s="189"/>
      <c r="U1148" s="189"/>
    </row>
    <row r="1149" spans="1:21" s="3" customFormat="1">
      <c r="A1149" s="21" t="s">
        <v>9</v>
      </c>
      <c r="B1149" s="22" t="s">
        <v>5</v>
      </c>
      <c r="C1149" s="23" t="s">
        <v>8</v>
      </c>
      <c r="D1149" s="23" t="s">
        <v>65</v>
      </c>
      <c r="E1149" s="23" t="s">
        <v>196</v>
      </c>
      <c r="F1149" s="23" t="s">
        <v>58</v>
      </c>
      <c r="G1149" s="24">
        <f t="shared" ref="G1149:I1153" si="806">G1150</f>
        <v>1601730</v>
      </c>
      <c r="H1149" s="24">
        <f t="shared" si="806"/>
        <v>1635850</v>
      </c>
      <c r="I1149" s="24">
        <f t="shared" si="806"/>
        <v>1635850</v>
      </c>
      <c r="J1149" s="16">
        <f>'БА в тыс. руб.'!G1149*1000</f>
        <v>1601730</v>
      </c>
      <c r="K1149" s="169">
        <f t="shared" si="767"/>
        <v>0</v>
      </c>
      <c r="L1149" s="16">
        <f>'БА в тыс. руб.'!H1149*1000</f>
        <v>1635850</v>
      </c>
      <c r="M1149" s="169">
        <f t="shared" si="768"/>
        <v>0</v>
      </c>
      <c r="N1149" s="16">
        <f>'БА в тыс. руб.'!I1149*1000</f>
        <v>1635850</v>
      </c>
      <c r="O1149" s="169">
        <f t="shared" si="769"/>
        <v>0</v>
      </c>
      <c r="S1149" s="30"/>
      <c r="T1149" s="30"/>
      <c r="U1149" s="30"/>
    </row>
    <row r="1150" spans="1:21" s="3" customFormat="1" ht="38.25">
      <c r="A1150" s="11" t="s">
        <v>722</v>
      </c>
      <c r="B1150" s="25" t="s">
        <v>5</v>
      </c>
      <c r="C1150" s="26" t="s">
        <v>8</v>
      </c>
      <c r="D1150" s="26" t="s">
        <v>65</v>
      </c>
      <c r="E1150" s="26" t="s">
        <v>300</v>
      </c>
      <c r="F1150" s="26" t="s">
        <v>58</v>
      </c>
      <c r="G1150" s="27">
        <f t="shared" si="806"/>
        <v>1601730</v>
      </c>
      <c r="H1150" s="27">
        <f t="shared" si="806"/>
        <v>1635850</v>
      </c>
      <c r="I1150" s="27">
        <f t="shared" si="806"/>
        <v>1635850</v>
      </c>
      <c r="J1150" s="16">
        <f>'БА в тыс. руб.'!G1150*1000</f>
        <v>1601730</v>
      </c>
      <c r="K1150" s="169">
        <f t="shared" si="767"/>
        <v>0</v>
      </c>
      <c r="L1150" s="16">
        <f>'БА в тыс. руб.'!H1150*1000</f>
        <v>1635850</v>
      </c>
      <c r="M1150" s="169">
        <f t="shared" si="768"/>
        <v>0</v>
      </c>
      <c r="N1150" s="16">
        <f>'БА в тыс. руб.'!I1150*1000</f>
        <v>1635850</v>
      </c>
      <c r="O1150" s="169">
        <f t="shared" si="769"/>
        <v>0</v>
      </c>
      <c r="S1150" s="30"/>
      <c r="T1150" s="30"/>
      <c r="U1150" s="30"/>
    </row>
    <row r="1151" spans="1:21" s="3" customFormat="1" ht="25.5">
      <c r="A1151" s="13" t="s">
        <v>155</v>
      </c>
      <c r="B1151" s="25" t="s">
        <v>5</v>
      </c>
      <c r="C1151" s="26" t="s">
        <v>8</v>
      </c>
      <c r="D1151" s="26" t="s">
        <v>65</v>
      </c>
      <c r="E1151" s="26" t="s">
        <v>495</v>
      </c>
      <c r="F1151" s="26" t="s">
        <v>58</v>
      </c>
      <c r="G1151" s="27">
        <f t="shared" si="806"/>
        <v>1601730</v>
      </c>
      <c r="H1151" s="27">
        <f t="shared" si="806"/>
        <v>1635850</v>
      </c>
      <c r="I1151" s="27">
        <f t="shared" si="806"/>
        <v>1635850</v>
      </c>
      <c r="J1151" s="16">
        <f>'БА в тыс. руб.'!G1151*1000</f>
        <v>1601730</v>
      </c>
      <c r="K1151" s="169">
        <f t="shared" si="767"/>
        <v>0</v>
      </c>
      <c r="L1151" s="16">
        <f>'БА в тыс. руб.'!H1151*1000</f>
        <v>1635850</v>
      </c>
      <c r="M1151" s="169">
        <f t="shared" si="768"/>
        <v>0</v>
      </c>
      <c r="N1151" s="16">
        <f>'БА в тыс. руб.'!I1151*1000</f>
        <v>1635850</v>
      </c>
      <c r="O1151" s="169">
        <f t="shared" si="769"/>
        <v>0</v>
      </c>
      <c r="S1151" s="30"/>
      <c r="T1151" s="30"/>
      <c r="U1151" s="30"/>
    </row>
    <row r="1152" spans="1:21" s="3" customFormat="1" ht="38.25">
      <c r="A1152" s="13" t="s">
        <v>496</v>
      </c>
      <c r="B1152" s="25" t="s">
        <v>5</v>
      </c>
      <c r="C1152" s="26" t="s">
        <v>8</v>
      </c>
      <c r="D1152" s="26" t="s">
        <v>65</v>
      </c>
      <c r="E1152" s="26" t="s">
        <v>497</v>
      </c>
      <c r="F1152" s="26" t="s">
        <v>58</v>
      </c>
      <c r="G1152" s="27">
        <f>G1153</f>
        <v>1601730</v>
      </c>
      <c r="H1152" s="27">
        <f t="shared" si="806"/>
        <v>1635850</v>
      </c>
      <c r="I1152" s="27">
        <f t="shared" si="806"/>
        <v>1635850</v>
      </c>
      <c r="J1152" s="16">
        <f>'БА в тыс. руб.'!G1152*1000</f>
        <v>1601730</v>
      </c>
      <c r="K1152" s="169">
        <f t="shared" si="767"/>
        <v>0</v>
      </c>
      <c r="L1152" s="16">
        <f>'БА в тыс. руб.'!H1152*1000</f>
        <v>1635850</v>
      </c>
      <c r="M1152" s="169">
        <f t="shared" si="768"/>
        <v>0</v>
      </c>
      <c r="N1152" s="16">
        <f>'БА в тыс. руб.'!I1152*1000</f>
        <v>1635850</v>
      </c>
      <c r="O1152" s="169">
        <f t="shared" si="769"/>
        <v>0</v>
      </c>
      <c r="S1152" s="30"/>
      <c r="T1152" s="30"/>
      <c r="U1152" s="30"/>
    </row>
    <row r="1153" spans="1:21" s="3" customFormat="1" ht="25.5">
      <c r="A1153" s="11" t="s">
        <v>148</v>
      </c>
      <c r="B1153" s="25" t="s">
        <v>5</v>
      </c>
      <c r="C1153" s="26" t="s">
        <v>8</v>
      </c>
      <c r="D1153" s="26" t="s">
        <v>65</v>
      </c>
      <c r="E1153" s="26" t="s">
        <v>498</v>
      </c>
      <c r="F1153" s="26" t="s">
        <v>58</v>
      </c>
      <c r="G1153" s="27">
        <f t="shared" si="806"/>
        <v>1601730</v>
      </c>
      <c r="H1153" s="27">
        <f t="shared" si="806"/>
        <v>1635850</v>
      </c>
      <c r="I1153" s="27">
        <f t="shared" si="806"/>
        <v>1635850</v>
      </c>
      <c r="J1153" s="16">
        <f>'БА в тыс. руб.'!G1153*1000</f>
        <v>1601730</v>
      </c>
      <c r="K1153" s="169">
        <f t="shared" si="767"/>
        <v>0</v>
      </c>
      <c r="L1153" s="16">
        <f>'БА в тыс. руб.'!H1153*1000</f>
        <v>1635850</v>
      </c>
      <c r="M1153" s="169">
        <f t="shared" si="768"/>
        <v>0</v>
      </c>
      <c r="N1153" s="16">
        <f>'БА в тыс. руб.'!I1153*1000</f>
        <v>1635850</v>
      </c>
      <c r="O1153" s="169">
        <f t="shared" si="769"/>
        <v>0</v>
      </c>
      <c r="S1153" s="30"/>
      <c r="T1153" s="30"/>
      <c r="U1153" s="30"/>
    </row>
    <row r="1154" spans="1:21" s="3" customFormat="1" ht="25.5">
      <c r="A1154" s="11" t="s">
        <v>108</v>
      </c>
      <c r="B1154" s="25" t="s">
        <v>5</v>
      </c>
      <c r="C1154" s="26" t="s">
        <v>8</v>
      </c>
      <c r="D1154" s="26" t="s">
        <v>65</v>
      </c>
      <c r="E1154" s="26" t="s">
        <v>498</v>
      </c>
      <c r="F1154" s="26" t="s">
        <v>116</v>
      </c>
      <c r="G1154" s="27">
        <f>SUM(G1155:G1156)</f>
        <v>1601730</v>
      </c>
      <c r="H1154" s="27">
        <f t="shared" ref="H1154:I1154" si="807">SUM(H1155:H1156)</f>
        <v>1635850</v>
      </c>
      <c r="I1154" s="27">
        <f t="shared" si="807"/>
        <v>1635850</v>
      </c>
      <c r="J1154" s="16">
        <f>'БА в тыс. руб.'!G1154*1000</f>
        <v>1601730</v>
      </c>
      <c r="K1154" s="169">
        <f t="shared" si="767"/>
        <v>0</v>
      </c>
      <c r="L1154" s="16">
        <f>'БА в тыс. руб.'!H1154*1000</f>
        <v>1635850</v>
      </c>
      <c r="M1154" s="169">
        <f t="shared" si="768"/>
        <v>0</v>
      </c>
      <c r="N1154" s="16">
        <f>'БА в тыс. руб.'!I1154*1000</f>
        <v>1635850</v>
      </c>
      <c r="O1154" s="169">
        <f t="shared" si="769"/>
        <v>0</v>
      </c>
      <c r="S1154" s="30"/>
      <c r="T1154" s="30"/>
      <c r="U1154" s="30"/>
    </row>
    <row r="1155" spans="1:21" s="3" customFormat="1">
      <c r="A1155" s="11"/>
      <c r="B1155" s="25" t="s">
        <v>5</v>
      </c>
      <c r="C1155" s="26" t="s">
        <v>8</v>
      </c>
      <c r="D1155" s="26" t="s">
        <v>65</v>
      </c>
      <c r="E1155" s="26" t="s">
        <v>498</v>
      </c>
      <c r="F1155" s="26" t="s">
        <v>1070</v>
      </c>
      <c r="G1155" s="27">
        <f t="shared" ref="G1155:G1156" si="808">J1155</f>
        <v>501730</v>
      </c>
      <c r="H1155" s="27">
        <f t="shared" ref="H1155:H1156" si="809">L1155</f>
        <v>535850</v>
      </c>
      <c r="I1155" s="27">
        <f t="shared" ref="I1155:I1156" si="810">N1155</f>
        <v>535850</v>
      </c>
      <c r="J1155" s="16">
        <f>'БА в тыс. руб.'!G1155*1000</f>
        <v>501730</v>
      </c>
      <c r="K1155" s="169"/>
      <c r="L1155" s="16">
        <f>'БА в тыс. руб.'!H1155*1000</f>
        <v>535850</v>
      </c>
      <c r="M1155" s="169"/>
      <c r="N1155" s="16">
        <f>'БА в тыс. руб.'!I1155*1000</f>
        <v>535850</v>
      </c>
      <c r="O1155" s="169"/>
      <c r="S1155" s="30"/>
      <c r="T1155" s="30"/>
      <c r="U1155" s="30"/>
    </row>
    <row r="1156" spans="1:21" s="3" customFormat="1" ht="25.5">
      <c r="A1156" s="12" t="s">
        <v>973</v>
      </c>
      <c r="B1156" s="25" t="s">
        <v>5</v>
      </c>
      <c r="C1156" s="26" t="s">
        <v>8</v>
      </c>
      <c r="D1156" s="26" t="s">
        <v>65</v>
      </c>
      <c r="E1156" s="26" t="s">
        <v>498</v>
      </c>
      <c r="F1156" s="26" t="s">
        <v>1043</v>
      </c>
      <c r="G1156" s="27">
        <f t="shared" si="808"/>
        <v>1100000</v>
      </c>
      <c r="H1156" s="27">
        <f t="shared" si="809"/>
        <v>1100000</v>
      </c>
      <c r="I1156" s="27">
        <f t="shared" si="810"/>
        <v>1100000</v>
      </c>
      <c r="J1156" s="16">
        <f>'БА в тыс. руб.'!G1156*1000</f>
        <v>1100000</v>
      </c>
      <c r="K1156" s="169">
        <f t="shared" si="767"/>
        <v>0</v>
      </c>
      <c r="L1156" s="16">
        <f>'БА в тыс. руб.'!H1156*1000</f>
        <v>1100000</v>
      </c>
      <c r="M1156" s="169">
        <f t="shared" si="768"/>
        <v>0</v>
      </c>
      <c r="N1156" s="16">
        <f>'БА в тыс. руб.'!I1156*1000</f>
        <v>1100000</v>
      </c>
      <c r="O1156" s="169">
        <f t="shared" si="769"/>
        <v>0</v>
      </c>
      <c r="S1156" s="30"/>
      <c r="T1156" s="30"/>
      <c r="U1156" s="30"/>
    </row>
    <row r="1157" spans="1:21" s="3" customFormat="1">
      <c r="A1157" s="21" t="s">
        <v>1</v>
      </c>
      <c r="B1157" s="22" t="s">
        <v>5</v>
      </c>
      <c r="C1157" s="23" t="s">
        <v>8</v>
      </c>
      <c r="D1157" s="23" t="s">
        <v>53</v>
      </c>
      <c r="E1157" s="23" t="s">
        <v>196</v>
      </c>
      <c r="F1157" s="23" t="s">
        <v>58</v>
      </c>
      <c r="G1157" s="24">
        <f t="shared" ref="G1157:I1159" si="811">G1158</f>
        <v>19181620</v>
      </c>
      <c r="H1157" s="24">
        <f t="shared" si="811"/>
        <v>18677120</v>
      </c>
      <c r="I1157" s="24">
        <f t="shared" si="811"/>
        <v>18677120</v>
      </c>
      <c r="J1157" s="16">
        <f>'БА в тыс. руб.'!G1157*1000</f>
        <v>19181620.000000004</v>
      </c>
      <c r="K1157" s="169">
        <f t="shared" si="767"/>
        <v>0</v>
      </c>
      <c r="L1157" s="16">
        <f>'БА в тыс. руб.'!H1157*1000</f>
        <v>18677120</v>
      </c>
      <c r="M1157" s="169">
        <f t="shared" si="768"/>
        <v>0</v>
      </c>
      <c r="N1157" s="16">
        <f>'БА в тыс. руб.'!I1157*1000</f>
        <v>18677120</v>
      </c>
      <c r="O1157" s="169">
        <f t="shared" si="769"/>
        <v>0</v>
      </c>
      <c r="S1157" s="30"/>
      <c r="T1157" s="30"/>
      <c r="U1157" s="30"/>
    </row>
    <row r="1158" spans="1:21" s="3" customFormat="1" ht="38.25">
      <c r="A1158" s="12" t="s">
        <v>722</v>
      </c>
      <c r="B1158" s="35" t="s">
        <v>5</v>
      </c>
      <c r="C1158" s="36" t="s">
        <v>8</v>
      </c>
      <c r="D1158" s="36" t="s">
        <v>53</v>
      </c>
      <c r="E1158" s="36" t="s">
        <v>300</v>
      </c>
      <c r="F1158" s="36" t="s">
        <v>58</v>
      </c>
      <c r="G1158" s="37">
        <f t="shared" si="811"/>
        <v>19181620</v>
      </c>
      <c r="H1158" s="37">
        <f t="shared" si="811"/>
        <v>18677120</v>
      </c>
      <c r="I1158" s="37">
        <f t="shared" si="811"/>
        <v>18677120</v>
      </c>
      <c r="J1158" s="16">
        <f>'БА в тыс. руб.'!G1158*1000</f>
        <v>19181620.000000004</v>
      </c>
      <c r="K1158" s="169">
        <f t="shared" si="767"/>
        <v>0</v>
      </c>
      <c r="L1158" s="16">
        <f>'БА в тыс. руб.'!H1158*1000</f>
        <v>18677120</v>
      </c>
      <c r="M1158" s="169">
        <f t="shared" si="768"/>
        <v>0</v>
      </c>
      <c r="N1158" s="16">
        <f>'БА в тыс. руб.'!I1158*1000</f>
        <v>18677120</v>
      </c>
      <c r="O1158" s="169">
        <f t="shared" si="769"/>
        <v>0</v>
      </c>
      <c r="S1158" s="30"/>
      <c r="T1158" s="30"/>
      <c r="U1158" s="30"/>
    </row>
    <row r="1159" spans="1:21" s="3" customFormat="1">
      <c r="A1159" s="40" t="s">
        <v>142</v>
      </c>
      <c r="B1159" s="35" t="s">
        <v>5</v>
      </c>
      <c r="C1159" s="36" t="s">
        <v>8</v>
      </c>
      <c r="D1159" s="36" t="s">
        <v>53</v>
      </c>
      <c r="E1159" s="36" t="s">
        <v>453</v>
      </c>
      <c r="F1159" s="36" t="s">
        <v>58</v>
      </c>
      <c r="G1159" s="37">
        <f t="shared" si="811"/>
        <v>19181620</v>
      </c>
      <c r="H1159" s="37">
        <f t="shared" si="811"/>
        <v>18677120</v>
      </c>
      <c r="I1159" s="37">
        <f t="shared" si="811"/>
        <v>18677120</v>
      </c>
      <c r="J1159" s="16">
        <f>'БА в тыс. руб.'!G1159*1000</f>
        <v>19181620.000000004</v>
      </c>
      <c r="K1159" s="169">
        <f t="shared" si="767"/>
        <v>0</v>
      </c>
      <c r="L1159" s="16">
        <f>'БА в тыс. руб.'!H1159*1000</f>
        <v>18677120</v>
      </c>
      <c r="M1159" s="169">
        <f t="shared" si="768"/>
        <v>0</v>
      </c>
      <c r="N1159" s="16">
        <f>'БА в тыс. руб.'!I1159*1000</f>
        <v>18677120</v>
      </c>
      <c r="O1159" s="169">
        <f t="shared" si="769"/>
        <v>0</v>
      </c>
      <c r="S1159" s="30"/>
      <c r="T1159" s="30"/>
      <c r="U1159" s="30"/>
    </row>
    <row r="1160" spans="1:21" s="3" customFormat="1" ht="25.5">
      <c r="A1160" s="40" t="s">
        <v>454</v>
      </c>
      <c r="B1160" s="35" t="s">
        <v>5</v>
      </c>
      <c r="C1160" s="36" t="s">
        <v>8</v>
      </c>
      <c r="D1160" s="36" t="s">
        <v>53</v>
      </c>
      <c r="E1160" s="26" t="s">
        <v>645</v>
      </c>
      <c r="F1160" s="36" t="s">
        <v>58</v>
      </c>
      <c r="G1160" s="37">
        <f>G1161+G1164+G1167</f>
        <v>19181620</v>
      </c>
      <c r="H1160" s="37">
        <f>H1161+H1164+H1167</f>
        <v>18677120</v>
      </c>
      <c r="I1160" s="37">
        <f>I1161+I1164+I1167</f>
        <v>18677120</v>
      </c>
      <c r="J1160" s="16">
        <f>'БА в тыс. руб.'!G1160*1000</f>
        <v>19181620.000000004</v>
      </c>
      <c r="K1160" s="169">
        <f t="shared" ref="K1160:K1224" si="812">J1160-G1160</f>
        <v>0</v>
      </c>
      <c r="L1160" s="16">
        <f>'БА в тыс. руб.'!H1160*1000</f>
        <v>18677120</v>
      </c>
      <c r="M1160" s="169">
        <f t="shared" ref="M1160:M1224" si="813">L1160-H1160</f>
        <v>0</v>
      </c>
      <c r="N1160" s="16">
        <f>'БА в тыс. руб.'!I1160*1000</f>
        <v>18677120</v>
      </c>
      <c r="O1160" s="169">
        <f t="shared" ref="O1160:O1224" si="814">N1160-I1160</f>
        <v>0</v>
      </c>
      <c r="S1160" s="30"/>
      <c r="T1160" s="30"/>
      <c r="U1160" s="30"/>
    </row>
    <row r="1161" spans="1:21" s="3" customFormat="1" ht="25.5">
      <c r="A1161" s="11" t="s">
        <v>158</v>
      </c>
      <c r="B1161" s="35" t="s">
        <v>5</v>
      </c>
      <c r="C1161" s="36" t="s">
        <v>8</v>
      </c>
      <c r="D1161" s="36" t="s">
        <v>53</v>
      </c>
      <c r="E1161" s="36" t="s">
        <v>646</v>
      </c>
      <c r="F1161" s="36" t="s">
        <v>58</v>
      </c>
      <c r="G1161" s="37">
        <f>G1162</f>
        <v>8659190</v>
      </c>
      <c r="H1161" s="37">
        <f>H1162</f>
        <v>8259320</v>
      </c>
      <c r="I1161" s="37">
        <f>I1162</f>
        <v>8259320</v>
      </c>
      <c r="J1161" s="16">
        <f>'БА в тыс. руб.'!G1161*1000</f>
        <v>8659190</v>
      </c>
      <c r="K1161" s="169">
        <f t="shared" si="812"/>
        <v>0</v>
      </c>
      <c r="L1161" s="16">
        <f>'БА в тыс. руб.'!H1161*1000</f>
        <v>8259320</v>
      </c>
      <c r="M1161" s="169">
        <f t="shared" si="813"/>
        <v>0</v>
      </c>
      <c r="N1161" s="16">
        <f>'БА в тыс. руб.'!I1161*1000</f>
        <v>8259320</v>
      </c>
      <c r="O1161" s="169">
        <f t="shared" si="814"/>
        <v>0</v>
      </c>
      <c r="S1161" s="30"/>
      <c r="T1161" s="30"/>
      <c r="U1161" s="30"/>
    </row>
    <row r="1162" spans="1:21" s="3" customFormat="1" ht="25.5">
      <c r="A1162" s="11" t="s">
        <v>108</v>
      </c>
      <c r="B1162" s="35" t="s">
        <v>5</v>
      </c>
      <c r="C1162" s="36" t="s">
        <v>8</v>
      </c>
      <c r="D1162" s="36" t="s">
        <v>53</v>
      </c>
      <c r="E1162" s="36" t="s">
        <v>646</v>
      </c>
      <c r="F1162" s="36" t="s">
        <v>116</v>
      </c>
      <c r="G1162" s="37">
        <f>G1163</f>
        <v>8659190</v>
      </c>
      <c r="H1162" s="37">
        <f t="shared" ref="H1162:I1162" si="815">H1163</f>
        <v>8259320</v>
      </c>
      <c r="I1162" s="37">
        <f t="shared" si="815"/>
        <v>8259320</v>
      </c>
      <c r="J1162" s="16">
        <f>'БА в тыс. руб.'!G1162*1000</f>
        <v>8659190</v>
      </c>
      <c r="K1162" s="169">
        <f t="shared" si="812"/>
        <v>0</v>
      </c>
      <c r="L1162" s="16">
        <f>'БА в тыс. руб.'!H1162*1000</f>
        <v>8259320</v>
      </c>
      <c r="M1162" s="169">
        <f t="shared" si="813"/>
        <v>0</v>
      </c>
      <c r="N1162" s="16">
        <f>'БА в тыс. руб.'!I1162*1000</f>
        <v>8259320</v>
      </c>
      <c r="O1162" s="169">
        <f t="shared" si="814"/>
        <v>0</v>
      </c>
      <c r="S1162" s="30"/>
      <c r="T1162" s="30"/>
      <c r="U1162" s="30"/>
    </row>
    <row r="1163" spans="1:21" s="4" customFormat="1" ht="25.5">
      <c r="A1163" s="12" t="s">
        <v>973</v>
      </c>
      <c r="B1163" s="35" t="s">
        <v>5</v>
      </c>
      <c r="C1163" s="36" t="s">
        <v>8</v>
      </c>
      <c r="D1163" s="36" t="s">
        <v>53</v>
      </c>
      <c r="E1163" s="36" t="s">
        <v>646</v>
      </c>
      <c r="F1163" s="36" t="s">
        <v>1043</v>
      </c>
      <c r="G1163" s="27">
        <f t="shared" ref="G1163" si="816">J1163</f>
        <v>8659190</v>
      </c>
      <c r="H1163" s="27">
        <f>L1163</f>
        <v>8259320</v>
      </c>
      <c r="I1163" s="27">
        <f>N1163</f>
        <v>8259320</v>
      </c>
      <c r="J1163" s="16">
        <f>'БА в тыс. руб.'!G1163*1000</f>
        <v>8659190</v>
      </c>
      <c r="K1163" s="169">
        <f t="shared" si="812"/>
        <v>0</v>
      </c>
      <c r="L1163" s="16">
        <f>'БА в тыс. руб.'!H1163*1000</f>
        <v>8259320</v>
      </c>
      <c r="M1163" s="169">
        <f t="shared" si="813"/>
        <v>0</v>
      </c>
      <c r="N1163" s="16">
        <f>'БА в тыс. руб.'!I1163*1000</f>
        <v>8259320</v>
      </c>
      <c r="O1163" s="169">
        <f t="shared" si="814"/>
        <v>0</v>
      </c>
      <c r="S1163" s="83"/>
      <c r="T1163" s="83"/>
      <c r="U1163" s="83"/>
    </row>
    <row r="1164" spans="1:21" s="3" customFormat="1">
      <c r="A1164" s="12" t="s">
        <v>890</v>
      </c>
      <c r="B1164" s="35" t="s">
        <v>5</v>
      </c>
      <c r="C1164" s="36" t="s">
        <v>8</v>
      </c>
      <c r="D1164" s="36" t="s">
        <v>53</v>
      </c>
      <c r="E1164" s="36" t="s">
        <v>910</v>
      </c>
      <c r="F1164" s="36" t="s">
        <v>58</v>
      </c>
      <c r="G1164" s="37">
        <f>G1165</f>
        <v>1046349.9999999999</v>
      </c>
      <c r="H1164" s="37">
        <f>H1165</f>
        <v>941720</v>
      </c>
      <c r="I1164" s="37">
        <f>I1165</f>
        <v>941720</v>
      </c>
      <c r="J1164" s="16">
        <f>'БА в тыс. руб.'!G1164*1000</f>
        <v>1046349.9999999999</v>
      </c>
      <c r="K1164" s="169">
        <f t="shared" si="812"/>
        <v>0</v>
      </c>
      <c r="L1164" s="16">
        <f>'БА в тыс. руб.'!H1164*1000</f>
        <v>941720</v>
      </c>
      <c r="M1164" s="169">
        <f t="shared" si="813"/>
        <v>0</v>
      </c>
      <c r="N1164" s="16">
        <f>'БА в тыс. руб.'!I1164*1000</f>
        <v>941720</v>
      </c>
      <c r="O1164" s="169">
        <f t="shared" si="814"/>
        <v>0</v>
      </c>
      <c r="S1164" s="30"/>
      <c r="T1164" s="30"/>
      <c r="U1164" s="30"/>
    </row>
    <row r="1165" spans="1:21" s="3" customFormat="1" ht="25.5">
      <c r="A1165" s="11" t="s">
        <v>108</v>
      </c>
      <c r="B1165" s="35" t="s">
        <v>5</v>
      </c>
      <c r="C1165" s="36" t="s">
        <v>8</v>
      </c>
      <c r="D1165" s="36" t="s">
        <v>53</v>
      </c>
      <c r="E1165" s="36" t="s">
        <v>910</v>
      </c>
      <c r="F1165" s="36" t="s">
        <v>116</v>
      </c>
      <c r="G1165" s="37">
        <f>G1166</f>
        <v>1046349.9999999999</v>
      </c>
      <c r="H1165" s="37">
        <f t="shared" ref="H1165:I1165" si="817">H1166</f>
        <v>941720</v>
      </c>
      <c r="I1165" s="37">
        <f t="shared" si="817"/>
        <v>941720</v>
      </c>
      <c r="J1165" s="16">
        <f>'БА в тыс. руб.'!G1165*1000</f>
        <v>1046349.9999999999</v>
      </c>
      <c r="K1165" s="169">
        <f t="shared" si="812"/>
        <v>0</v>
      </c>
      <c r="L1165" s="16">
        <f>'БА в тыс. руб.'!H1165*1000</f>
        <v>941720</v>
      </c>
      <c r="M1165" s="169">
        <f t="shared" si="813"/>
        <v>0</v>
      </c>
      <c r="N1165" s="16">
        <f>'БА в тыс. руб.'!I1165*1000</f>
        <v>941720</v>
      </c>
      <c r="O1165" s="169">
        <f t="shared" si="814"/>
        <v>0</v>
      </c>
      <c r="S1165" s="30"/>
      <c r="T1165" s="30"/>
      <c r="U1165" s="30"/>
    </row>
    <row r="1166" spans="1:21" s="4" customFormat="1" ht="25.5">
      <c r="A1166" s="12" t="s">
        <v>973</v>
      </c>
      <c r="B1166" s="35" t="s">
        <v>5</v>
      </c>
      <c r="C1166" s="36" t="s">
        <v>8</v>
      </c>
      <c r="D1166" s="36" t="s">
        <v>53</v>
      </c>
      <c r="E1166" s="36" t="s">
        <v>910</v>
      </c>
      <c r="F1166" s="36" t="s">
        <v>1043</v>
      </c>
      <c r="G1166" s="27">
        <f t="shared" ref="G1166" si="818">J1166</f>
        <v>1046349.9999999999</v>
      </c>
      <c r="H1166" s="27">
        <f>L1166</f>
        <v>941720</v>
      </c>
      <c r="I1166" s="27">
        <f>N1166</f>
        <v>941720</v>
      </c>
      <c r="J1166" s="16">
        <f>'БА в тыс. руб.'!G1166*1000</f>
        <v>1046349.9999999999</v>
      </c>
      <c r="K1166" s="169">
        <f t="shared" si="812"/>
        <v>0</v>
      </c>
      <c r="L1166" s="16">
        <f>'БА в тыс. руб.'!H1166*1000</f>
        <v>941720</v>
      </c>
      <c r="M1166" s="169">
        <f t="shared" si="813"/>
        <v>0</v>
      </c>
      <c r="N1166" s="16">
        <f>'БА в тыс. руб.'!I1166*1000</f>
        <v>941720</v>
      </c>
      <c r="O1166" s="169">
        <f t="shared" si="814"/>
        <v>0</v>
      </c>
      <c r="S1166" s="83"/>
      <c r="T1166" s="83"/>
      <c r="U1166" s="83"/>
    </row>
    <row r="1167" spans="1:21" s="3" customFormat="1" ht="51">
      <c r="A1167" s="12" t="s">
        <v>891</v>
      </c>
      <c r="B1167" s="35" t="s">
        <v>5</v>
      </c>
      <c r="C1167" s="36" t="s">
        <v>8</v>
      </c>
      <c r="D1167" s="36" t="s">
        <v>53</v>
      </c>
      <c r="E1167" s="36" t="s">
        <v>911</v>
      </c>
      <c r="F1167" s="36" t="s">
        <v>58</v>
      </c>
      <c r="G1167" s="37">
        <f>G1168</f>
        <v>9476080</v>
      </c>
      <c r="H1167" s="37">
        <f>H1168</f>
        <v>9476080</v>
      </c>
      <c r="I1167" s="37">
        <f>I1168</f>
        <v>9476080</v>
      </c>
      <c r="J1167" s="16">
        <f>'БА в тыс. руб.'!G1167*1000</f>
        <v>9476080</v>
      </c>
      <c r="K1167" s="169">
        <f t="shared" si="812"/>
        <v>0</v>
      </c>
      <c r="L1167" s="16">
        <f>'БА в тыс. руб.'!H1167*1000</f>
        <v>9476080</v>
      </c>
      <c r="M1167" s="169">
        <f t="shared" si="813"/>
        <v>0</v>
      </c>
      <c r="N1167" s="16">
        <f>'БА в тыс. руб.'!I1167*1000</f>
        <v>9476080</v>
      </c>
      <c r="O1167" s="169">
        <f t="shared" si="814"/>
        <v>0</v>
      </c>
      <c r="S1167" s="30"/>
      <c r="T1167" s="30"/>
      <c r="U1167" s="30"/>
    </row>
    <row r="1168" spans="1:21" s="3" customFormat="1" ht="25.5">
      <c r="A1168" s="11" t="s">
        <v>108</v>
      </c>
      <c r="B1168" s="35" t="s">
        <v>5</v>
      </c>
      <c r="C1168" s="36" t="s">
        <v>8</v>
      </c>
      <c r="D1168" s="36" t="s">
        <v>53</v>
      </c>
      <c r="E1168" s="36" t="s">
        <v>911</v>
      </c>
      <c r="F1168" s="36" t="s">
        <v>116</v>
      </c>
      <c r="G1168" s="37">
        <f>G1169</f>
        <v>9476080</v>
      </c>
      <c r="H1168" s="37">
        <f t="shared" ref="H1168:I1168" si="819">H1169</f>
        <v>9476080</v>
      </c>
      <c r="I1168" s="37">
        <f t="shared" si="819"/>
        <v>9476080</v>
      </c>
      <c r="J1168" s="16">
        <f>'БА в тыс. руб.'!G1168*1000</f>
        <v>9476080</v>
      </c>
      <c r="K1168" s="169">
        <f t="shared" si="812"/>
        <v>0</v>
      </c>
      <c r="L1168" s="16">
        <f>'БА в тыс. руб.'!H1168*1000</f>
        <v>9476080</v>
      </c>
      <c r="M1168" s="169">
        <f t="shared" si="813"/>
        <v>0</v>
      </c>
      <c r="N1168" s="16">
        <f>'БА в тыс. руб.'!I1168*1000</f>
        <v>9476080</v>
      </c>
      <c r="O1168" s="169">
        <f t="shared" si="814"/>
        <v>0</v>
      </c>
      <c r="S1168" s="30"/>
      <c r="T1168" s="30"/>
      <c r="U1168" s="30"/>
    </row>
    <row r="1169" spans="1:21" s="4" customFormat="1" ht="25.5">
      <c r="A1169" s="12" t="s">
        <v>973</v>
      </c>
      <c r="B1169" s="35" t="s">
        <v>5</v>
      </c>
      <c r="C1169" s="36" t="s">
        <v>8</v>
      </c>
      <c r="D1169" s="36" t="s">
        <v>53</v>
      </c>
      <c r="E1169" s="36" t="s">
        <v>911</v>
      </c>
      <c r="F1169" s="36" t="s">
        <v>1043</v>
      </c>
      <c r="G1169" s="27">
        <f t="shared" ref="G1169" si="820">J1169</f>
        <v>9476080</v>
      </c>
      <c r="H1169" s="27">
        <f>L1169</f>
        <v>9476080</v>
      </c>
      <c r="I1169" s="27">
        <f>N1169</f>
        <v>9476080</v>
      </c>
      <c r="J1169" s="16">
        <f>'БА в тыс. руб.'!G1169*1000</f>
        <v>9476080</v>
      </c>
      <c r="K1169" s="169">
        <f t="shared" si="812"/>
        <v>0</v>
      </c>
      <c r="L1169" s="16">
        <f>'БА в тыс. руб.'!H1169*1000</f>
        <v>9476080</v>
      </c>
      <c r="M1169" s="169">
        <f t="shared" si="813"/>
        <v>0</v>
      </c>
      <c r="N1169" s="16">
        <f>'БА в тыс. руб.'!I1169*1000</f>
        <v>9476080</v>
      </c>
      <c r="O1169" s="169">
        <f t="shared" si="814"/>
        <v>0</v>
      </c>
      <c r="S1169" s="83"/>
      <c r="T1169" s="83"/>
      <c r="U1169" s="83"/>
    </row>
    <row r="1170" spans="1:21" s="3" customFormat="1">
      <c r="A1170" s="17" t="s">
        <v>499</v>
      </c>
      <c r="B1170" s="18" t="s">
        <v>5</v>
      </c>
      <c r="C1170" s="19" t="s">
        <v>50</v>
      </c>
      <c r="D1170" s="19" t="s">
        <v>51</v>
      </c>
      <c r="E1170" s="19" t="s">
        <v>196</v>
      </c>
      <c r="F1170" s="19" t="s">
        <v>58</v>
      </c>
      <c r="G1170" s="20">
        <f t="shared" ref="G1170:I1173" si="821">G1171</f>
        <v>1640550</v>
      </c>
      <c r="H1170" s="20">
        <f t="shared" si="821"/>
        <v>1591000</v>
      </c>
      <c r="I1170" s="20">
        <f t="shared" si="821"/>
        <v>1591000</v>
      </c>
      <c r="J1170" s="16">
        <f>'БА в тыс. руб.'!G1170*1000</f>
        <v>1640550</v>
      </c>
      <c r="K1170" s="169">
        <f t="shared" si="812"/>
        <v>0</v>
      </c>
      <c r="L1170" s="16">
        <f>'БА в тыс. руб.'!H1170*1000</f>
        <v>1591000</v>
      </c>
      <c r="M1170" s="169">
        <f t="shared" si="813"/>
        <v>0</v>
      </c>
      <c r="N1170" s="16">
        <f>'БА в тыс. руб.'!I1170*1000</f>
        <v>1591000</v>
      </c>
      <c r="O1170" s="169">
        <f t="shared" si="814"/>
        <v>0</v>
      </c>
      <c r="S1170" s="30"/>
      <c r="T1170" s="30"/>
      <c r="U1170" s="30"/>
    </row>
    <row r="1171" spans="1:21" s="3" customFormat="1">
      <c r="A1171" s="21" t="s">
        <v>27</v>
      </c>
      <c r="B1171" s="22" t="s">
        <v>5</v>
      </c>
      <c r="C1171" s="23" t="s">
        <v>50</v>
      </c>
      <c r="D1171" s="23" t="s">
        <v>65</v>
      </c>
      <c r="E1171" s="23" t="s">
        <v>196</v>
      </c>
      <c r="F1171" s="23" t="s">
        <v>58</v>
      </c>
      <c r="G1171" s="24">
        <f t="shared" si="821"/>
        <v>1640550</v>
      </c>
      <c r="H1171" s="24">
        <f t="shared" si="821"/>
        <v>1591000</v>
      </c>
      <c r="I1171" s="24">
        <f t="shared" si="821"/>
        <v>1591000</v>
      </c>
      <c r="J1171" s="16">
        <f>'БА в тыс. руб.'!G1171*1000</f>
        <v>1640550</v>
      </c>
      <c r="K1171" s="169">
        <f t="shared" si="812"/>
        <v>0</v>
      </c>
      <c r="L1171" s="16">
        <f>'БА в тыс. руб.'!H1171*1000</f>
        <v>1591000</v>
      </c>
      <c r="M1171" s="169">
        <f t="shared" si="813"/>
        <v>0</v>
      </c>
      <c r="N1171" s="16">
        <f>'БА в тыс. руб.'!I1171*1000</f>
        <v>1591000</v>
      </c>
      <c r="O1171" s="169">
        <f t="shared" si="814"/>
        <v>0</v>
      </c>
      <c r="S1171" s="30"/>
      <c r="T1171" s="30"/>
      <c r="U1171" s="30"/>
    </row>
    <row r="1172" spans="1:21" s="3" customFormat="1">
      <c r="A1172" s="11" t="s">
        <v>739</v>
      </c>
      <c r="B1172" s="35" t="s">
        <v>5</v>
      </c>
      <c r="C1172" s="36" t="s">
        <v>50</v>
      </c>
      <c r="D1172" s="36" t="s">
        <v>65</v>
      </c>
      <c r="E1172" s="36" t="s">
        <v>277</v>
      </c>
      <c r="F1172" s="36" t="s">
        <v>58</v>
      </c>
      <c r="G1172" s="37">
        <f t="shared" si="821"/>
        <v>1640550</v>
      </c>
      <c r="H1172" s="37">
        <f t="shared" si="821"/>
        <v>1591000</v>
      </c>
      <c r="I1172" s="37">
        <f t="shared" si="821"/>
        <v>1591000</v>
      </c>
      <c r="J1172" s="16">
        <f>'БА в тыс. руб.'!G1172*1000</f>
        <v>1640550</v>
      </c>
      <c r="K1172" s="169">
        <f t="shared" si="812"/>
        <v>0</v>
      </c>
      <c r="L1172" s="16">
        <f>'БА в тыс. руб.'!H1172*1000</f>
        <v>1591000</v>
      </c>
      <c r="M1172" s="169">
        <f t="shared" si="813"/>
        <v>0</v>
      </c>
      <c r="N1172" s="16">
        <f>'БА в тыс. руб.'!I1172*1000</f>
        <v>1591000</v>
      </c>
      <c r="O1172" s="169">
        <f t="shared" si="814"/>
        <v>0</v>
      </c>
      <c r="S1172" s="30"/>
      <c r="T1172" s="30"/>
      <c r="U1172" s="30"/>
    </row>
    <row r="1173" spans="1:21" s="3" customFormat="1" ht="51">
      <c r="A1173" s="40" t="s">
        <v>191</v>
      </c>
      <c r="B1173" s="35" t="s">
        <v>5</v>
      </c>
      <c r="C1173" s="36" t="s">
        <v>50</v>
      </c>
      <c r="D1173" s="36" t="s">
        <v>65</v>
      </c>
      <c r="E1173" s="36" t="s">
        <v>278</v>
      </c>
      <c r="F1173" s="36" t="s">
        <v>58</v>
      </c>
      <c r="G1173" s="37">
        <f t="shared" si="821"/>
        <v>1640550</v>
      </c>
      <c r="H1173" s="37">
        <f t="shared" si="821"/>
        <v>1591000</v>
      </c>
      <c r="I1173" s="37">
        <f t="shared" si="821"/>
        <v>1591000</v>
      </c>
      <c r="J1173" s="16">
        <f>'БА в тыс. руб.'!G1173*1000</f>
        <v>1640550</v>
      </c>
      <c r="K1173" s="169">
        <f t="shared" si="812"/>
        <v>0</v>
      </c>
      <c r="L1173" s="16">
        <f>'БА в тыс. руб.'!H1173*1000</f>
        <v>1591000</v>
      </c>
      <c r="M1173" s="169">
        <f t="shared" si="813"/>
        <v>0</v>
      </c>
      <c r="N1173" s="16">
        <f>'БА в тыс. руб.'!I1173*1000</f>
        <v>1591000</v>
      </c>
      <c r="O1173" s="169">
        <f t="shared" si="814"/>
        <v>0</v>
      </c>
      <c r="S1173" s="30"/>
      <c r="T1173" s="30"/>
      <c r="U1173" s="30"/>
    </row>
    <row r="1174" spans="1:21" s="3" customFormat="1" ht="63.75">
      <c r="A1174" s="40" t="s">
        <v>605</v>
      </c>
      <c r="B1174" s="35" t="s">
        <v>5</v>
      </c>
      <c r="C1174" s="36" t="s">
        <v>50</v>
      </c>
      <c r="D1174" s="36" t="s">
        <v>65</v>
      </c>
      <c r="E1174" s="36" t="s">
        <v>279</v>
      </c>
      <c r="F1174" s="36" t="s">
        <v>58</v>
      </c>
      <c r="G1174" s="37">
        <f>G1175+G1178</f>
        <v>1640550</v>
      </c>
      <c r="H1174" s="37">
        <f>H1175+H1178</f>
        <v>1591000</v>
      </c>
      <c r="I1174" s="37">
        <f>I1175+I1178</f>
        <v>1591000</v>
      </c>
      <c r="J1174" s="16">
        <f>'БА в тыс. руб.'!G1174*1000</f>
        <v>1640550</v>
      </c>
      <c r="K1174" s="169">
        <f t="shared" si="812"/>
        <v>0</v>
      </c>
      <c r="L1174" s="16">
        <f>'БА в тыс. руб.'!H1174*1000</f>
        <v>1591000</v>
      </c>
      <c r="M1174" s="169">
        <f t="shared" si="813"/>
        <v>0</v>
      </c>
      <c r="N1174" s="16">
        <f>'БА в тыс. руб.'!I1174*1000</f>
        <v>1591000</v>
      </c>
      <c r="O1174" s="169">
        <f t="shared" si="814"/>
        <v>0</v>
      </c>
      <c r="S1174" s="30"/>
      <c r="T1174" s="30"/>
      <c r="U1174" s="30"/>
    </row>
    <row r="1175" spans="1:21" s="3" customFormat="1" ht="25.5">
      <c r="A1175" s="11" t="s">
        <v>161</v>
      </c>
      <c r="B1175" s="35" t="s">
        <v>5</v>
      </c>
      <c r="C1175" s="36" t="s">
        <v>50</v>
      </c>
      <c r="D1175" s="36" t="s">
        <v>65</v>
      </c>
      <c r="E1175" s="36" t="s">
        <v>320</v>
      </c>
      <c r="F1175" s="36" t="s">
        <v>58</v>
      </c>
      <c r="G1175" s="37">
        <f>G1176</f>
        <v>1145000</v>
      </c>
      <c r="H1175" s="37">
        <f>H1176</f>
        <v>1095450</v>
      </c>
      <c r="I1175" s="37">
        <f>I1176</f>
        <v>1095450</v>
      </c>
      <c r="J1175" s="16">
        <f>'БА в тыс. руб.'!G1175*1000</f>
        <v>1145000</v>
      </c>
      <c r="K1175" s="169">
        <f t="shared" si="812"/>
        <v>0</v>
      </c>
      <c r="L1175" s="16">
        <f>'БА в тыс. руб.'!H1175*1000</f>
        <v>1095450</v>
      </c>
      <c r="M1175" s="169">
        <f t="shared" si="813"/>
        <v>0</v>
      </c>
      <c r="N1175" s="16">
        <f>'БА в тыс. руб.'!I1175*1000</f>
        <v>1095450</v>
      </c>
      <c r="O1175" s="169">
        <f t="shared" si="814"/>
        <v>0</v>
      </c>
      <c r="S1175" s="30"/>
      <c r="T1175" s="30"/>
      <c r="U1175" s="30"/>
    </row>
    <row r="1176" spans="1:21" s="3" customFormat="1" ht="25.5">
      <c r="A1176" s="11" t="s">
        <v>108</v>
      </c>
      <c r="B1176" s="35" t="s">
        <v>5</v>
      </c>
      <c r="C1176" s="36" t="s">
        <v>50</v>
      </c>
      <c r="D1176" s="36" t="s">
        <v>65</v>
      </c>
      <c r="E1176" s="36" t="s">
        <v>320</v>
      </c>
      <c r="F1176" s="36" t="s">
        <v>116</v>
      </c>
      <c r="G1176" s="37">
        <f>G1177</f>
        <v>1145000</v>
      </c>
      <c r="H1176" s="37">
        <f t="shared" ref="H1176:I1176" si="822">H1177</f>
        <v>1095450</v>
      </c>
      <c r="I1176" s="37">
        <f t="shared" si="822"/>
        <v>1095450</v>
      </c>
      <c r="J1176" s="16">
        <f>'БА в тыс. руб.'!G1176*1000</f>
        <v>1145000</v>
      </c>
      <c r="K1176" s="169">
        <f t="shared" si="812"/>
        <v>0</v>
      </c>
      <c r="L1176" s="16">
        <f>'БА в тыс. руб.'!H1176*1000</f>
        <v>1095450</v>
      </c>
      <c r="M1176" s="169">
        <f t="shared" si="813"/>
        <v>0</v>
      </c>
      <c r="N1176" s="16">
        <f>'БА в тыс. руб.'!I1176*1000</f>
        <v>1095450</v>
      </c>
      <c r="O1176" s="169">
        <f t="shared" si="814"/>
        <v>0</v>
      </c>
      <c r="S1176" s="30"/>
      <c r="T1176" s="30"/>
      <c r="U1176" s="30"/>
    </row>
    <row r="1177" spans="1:21" s="4" customFormat="1" ht="25.5">
      <c r="A1177" s="12" t="s">
        <v>973</v>
      </c>
      <c r="B1177" s="35" t="s">
        <v>5</v>
      </c>
      <c r="C1177" s="36" t="s">
        <v>50</v>
      </c>
      <c r="D1177" s="36" t="s">
        <v>65</v>
      </c>
      <c r="E1177" s="36" t="s">
        <v>320</v>
      </c>
      <c r="F1177" s="36" t="s">
        <v>1043</v>
      </c>
      <c r="G1177" s="27">
        <f t="shared" ref="G1177" si="823">J1177</f>
        <v>1145000</v>
      </c>
      <c r="H1177" s="27">
        <f>L1177</f>
        <v>1095450</v>
      </c>
      <c r="I1177" s="27">
        <f>N1177</f>
        <v>1095450</v>
      </c>
      <c r="J1177" s="16">
        <f>'БА в тыс. руб.'!G1177*1000</f>
        <v>1145000</v>
      </c>
      <c r="K1177" s="169">
        <f t="shared" si="812"/>
        <v>0</v>
      </c>
      <c r="L1177" s="16">
        <f>'БА в тыс. руб.'!H1177*1000</f>
        <v>1095450</v>
      </c>
      <c r="M1177" s="169">
        <f t="shared" si="813"/>
        <v>0</v>
      </c>
      <c r="N1177" s="16">
        <f>'БА в тыс. руб.'!I1177*1000</f>
        <v>1095450</v>
      </c>
      <c r="O1177" s="169">
        <f t="shared" si="814"/>
        <v>0</v>
      </c>
      <c r="S1177" s="83"/>
      <c r="T1177" s="83"/>
      <c r="U1177" s="83"/>
    </row>
    <row r="1178" spans="1:21" s="3" customFormat="1" ht="25.5">
      <c r="A1178" s="12" t="s">
        <v>892</v>
      </c>
      <c r="B1178" s="35" t="s">
        <v>5</v>
      </c>
      <c r="C1178" s="36" t="s">
        <v>50</v>
      </c>
      <c r="D1178" s="36" t="s">
        <v>65</v>
      </c>
      <c r="E1178" s="36" t="s">
        <v>500</v>
      </c>
      <c r="F1178" s="36" t="s">
        <v>58</v>
      </c>
      <c r="G1178" s="37">
        <f>G1179</f>
        <v>495550</v>
      </c>
      <c r="H1178" s="37">
        <f>H1179</f>
        <v>495550</v>
      </c>
      <c r="I1178" s="37">
        <f>I1179</f>
        <v>495550</v>
      </c>
      <c r="J1178" s="16">
        <f>'БА в тыс. руб.'!G1178*1000</f>
        <v>495550</v>
      </c>
      <c r="K1178" s="169">
        <f t="shared" si="812"/>
        <v>0</v>
      </c>
      <c r="L1178" s="16">
        <f>'БА в тыс. руб.'!H1178*1000</f>
        <v>495550</v>
      </c>
      <c r="M1178" s="169">
        <f t="shared" si="813"/>
        <v>0</v>
      </c>
      <c r="N1178" s="16">
        <f>'БА в тыс. руб.'!I1178*1000</f>
        <v>495550</v>
      </c>
      <c r="O1178" s="169">
        <f t="shared" si="814"/>
        <v>0</v>
      </c>
      <c r="S1178" s="30"/>
      <c r="T1178" s="30"/>
      <c r="U1178" s="30"/>
    </row>
    <row r="1179" spans="1:21" ht="25.5">
      <c r="A1179" s="11" t="s">
        <v>108</v>
      </c>
      <c r="B1179" s="35" t="s">
        <v>5</v>
      </c>
      <c r="C1179" s="36" t="s">
        <v>50</v>
      </c>
      <c r="D1179" s="36" t="s">
        <v>65</v>
      </c>
      <c r="E1179" s="36" t="s">
        <v>500</v>
      </c>
      <c r="F1179" s="36" t="s">
        <v>116</v>
      </c>
      <c r="G1179" s="37">
        <f>G1180</f>
        <v>495550</v>
      </c>
      <c r="H1179" s="37">
        <f t="shared" ref="H1179:I1179" si="824">H1180</f>
        <v>495550</v>
      </c>
      <c r="I1179" s="37">
        <f t="shared" si="824"/>
        <v>495550</v>
      </c>
      <c r="J1179" s="16">
        <f>'БА в тыс. руб.'!G1179*1000</f>
        <v>495550</v>
      </c>
      <c r="K1179" s="169">
        <f t="shared" si="812"/>
        <v>0</v>
      </c>
      <c r="L1179" s="16">
        <f>'БА в тыс. руб.'!H1179*1000</f>
        <v>495550</v>
      </c>
      <c r="M1179" s="169">
        <f t="shared" si="813"/>
        <v>0</v>
      </c>
      <c r="N1179" s="16">
        <f>'БА в тыс. руб.'!I1179*1000</f>
        <v>495550</v>
      </c>
      <c r="O1179" s="169">
        <f t="shared" si="814"/>
        <v>0</v>
      </c>
    </row>
    <row r="1180" spans="1:21" s="98" customFormat="1" ht="25.5">
      <c r="A1180" s="12" t="s">
        <v>973</v>
      </c>
      <c r="B1180" s="35" t="s">
        <v>5</v>
      </c>
      <c r="C1180" s="36" t="s">
        <v>50</v>
      </c>
      <c r="D1180" s="36" t="s">
        <v>65</v>
      </c>
      <c r="E1180" s="36" t="s">
        <v>500</v>
      </c>
      <c r="F1180" s="36" t="s">
        <v>1043</v>
      </c>
      <c r="G1180" s="27">
        <f t="shared" ref="G1180" si="825">J1180</f>
        <v>495550</v>
      </c>
      <c r="H1180" s="27">
        <f t="shared" ref="H1180" si="826">L1180</f>
        <v>495550</v>
      </c>
      <c r="I1180" s="27">
        <f t="shared" ref="I1180" si="827">N1180</f>
        <v>495550</v>
      </c>
      <c r="J1180" s="16">
        <f>'БА в тыс. руб.'!G1180*1000</f>
        <v>495550</v>
      </c>
      <c r="K1180" s="169">
        <f t="shared" si="812"/>
        <v>0</v>
      </c>
      <c r="L1180" s="16">
        <f>'БА в тыс. руб.'!H1180*1000</f>
        <v>495550</v>
      </c>
      <c r="M1180" s="169">
        <f t="shared" si="813"/>
        <v>0</v>
      </c>
      <c r="N1180" s="16">
        <f>'БА в тыс. руб.'!I1180*1000</f>
        <v>495550</v>
      </c>
      <c r="O1180" s="169">
        <f t="shared" si="814"/>
        <v>0</v>
      </c>
      <c r="S1180" s="105"/>
      <c r="T1180" s="105"/>
      <c r="U1180" s="105"/>
    </row>
    <row r="1181" spans="1:21" s="98" customFormat="1">
      <c r="A1181" s="79"/>
      <c r="B1181" s="96"/>
      <c r="C1181" s="97"/>
      <c r="D1181" s="97"/>
      <c r="E1181" s="97"/>
      <c r="F1181" s="97"/>
      <c r="G1181" s="27"/>
      <c r="H1181" s="27"/>
      <c r="I1181" s="27"/>
      <c r="J1181" s="16">
        <f>'БА в тыс. руб.'!G1181*1000</f>
        <v>0</v>
      </c>
      <c r="K1181" s="169">
        <f t="shared" si="812"/>
        <v>0</v>
      </c>
      <c r="L1181" s="16">
        <f>'БА в тыс. руб.'!H1181*1000</f>
        <v>0</v>
      </c>
      <c r="M1181" s="169">
        <f t="shared" si="813"/>
        <v>0</v>
      </c>
      <c r="N1181" s="16">
        <f>'БА в тыс. руб.'!I1181*1000</f>
        <v>0</v>
      </c>
      <c r="O1181" s="169">
        <f t="shared" si="814"/>
        <v>0</v>
      </c>
      <c r="S1181" s="105"/>
      <c r="T1181" s="105"/>
      <c r="U1181" s="105"/>
    </row>
    <row r="1182" spans="1:21" s="3" customFormat="1">
      <c r="A1182" s="28" t="s">
        <v>11</v>
      </c>
      <c r="B1182" s="14" t="s">
        <v>12</v>
      </c>
      <c r="C1182" s="15" t="s">
        <v>51</v>
      </c>
      <c r="D1182" s="15" t="s">
        <v>51</v>
      </c>
      <c r="E1182" s="15" t="s">
        <v>196</v>
      </c>
      <c r="F1182" s="15" t="s">
        <v>58</v>
      </c>
      <c r="G1182" s="29">
        <f>G1183+G1217+G1231+G1253</f>
        <v>108451540</v>
      </c>
      <c r="H1182" s="29">
        <f>H1183+H1217+H1231+H1253</f>
        <v>102174110</v>
      </c>
      <c r="I1182" s="29">
        <f>I1183+I1217+I1231+I1253</f>
        <v>102174110</v>
      </c>
      <c r="J1182" s="16">
        <f>'БА в тыс. руб.'!G1182*1000</f>
        <v>108451540</v>
      </c>
      <c r="K1182" s="169">
        <f t="shared" si="812"/>
        <v>0</v>
      </c>
      <c r="L1182" s="16">
        <f>'БА в тыс. руб.'!H1182*1000</f>
        <v>102174110</v>
      </c>
      <c r="M1182" s="169">
        <f t="shared" si="813"/>
        <v>0</v>
      </c>
      <c r="N1182" s="16">
        <f>'БА в тыс. руб.'!I1182*1000</f>
        <v>102174110</v>
      </c>
      <c r="O1182" s="169">
        <f t="shared" si="814"/>
        <v>0</v>
      </c>
      <c r="S1182" s="30"/>
      <c r="T1182" s="30"/>
      <c r="U1182" s="30"/>
    </row>
    <row r="1183" spans="1:21" s="3" customFormat="1">
      <c r="A1183" s="17" t="s">
        <v>64</v>
      </c>
      <c r="B1183" s="18" t="s">
        <v>12</v>
      </c>
      <c r="C1183" s="19" t="s">
        <v>65</v>
      </c>
      <c r="D1183" s="19" t="s">
        <v>51</v>
      </c>
      <c r="E1183" s="19" t="s">
        <v>196</v>
      </c>
      <c r="F1183" s="19" t="s">
        <v>58</v>
      </c>
      <c r="G1183" s="20">
        <f>G1184+G1210</f>
        <v>30927470</v>
      </c>
      <c r="H1183" s="20">
        <f>H1184+H1210</f>
        <v>30960300</v>
      </c>
      <c r="I1183" s="20">
        <f>I1184+I1210</f>
        <v>30960300</v>
      </c>
      <c r="J1183" s="16">
        <f>'БА в тыс. руб.'!G1183*1000</f>
        <v>30927470</v>
      </c>
      <c r="K1183" s="169">
        <f t="shared" si="812"/>
        <v>0</v>
      </c>
      <c r="L1183" s="16">
        <f>'БА в тыс. руб.'!H1183*1000</f>
        <v>30960300.000000004</v>
      </c>
      <c r="M1183" s="169">
        <f t="shared" si="813"/>
        <v>0</v>
      </c>
      <c r="N1183" s="16">
        <f>'БА в тыс. руб.'!I1183*1000</f>
        <v>30960300.000000004</v>
      </c>
      <c r="O1183" s="169">
        <f t="shared" si="814"/>
        <v>0</v>
      </c>
      <c r="S1183" s="30"/>
      <c r="T1183" s="30"/>
      <c r="U1183" s="30"/>
    </row>
    <row r="1184" spans="1:21" s="3" customFormat="1" ht="38.25">
      <c r="A1184" s="21" t="s">
        <v>31</v>
      </c>
      <c r="B1184" s="22" t="s">
        <v>12</v>
      </c>
      <c r="C1184" s="23" t="s">
        <v>65</v>
      </c>
      <c r="D1184" s="23" t="s">
        <v>37</v>
      </c>
      <c r="E1184" s="23" t="s">
        <v>196</v>
      </c>
      <c r="F1184" s="23" t="s">
        <v>58</v>
      </c>
      <c r="G1184" s="24">
        <f t="shared" ref="G1184:I1185" si="828">G1185</f>
        <v>30573170</v>
      </c>
      <c r="H1184" s="24">
        <f t="shared" si="828"/>
        <v>30602450</v>
      </c>
      <c r="I1184" s="24">
        <f t="shared" si="828"/>
        <v>30602450</v>
      </c>
      <c r="J1184" s="16">
        <f>'БА в тыс. руб.'!G1184*1000</f>
        <v>30573170.000000004</v>
      </c>
      <c r="K1184" s="169">
        <f t="shared" si="812"/>
        <v>0</v>
      </c>
      <c r="L1184" s="16">
        <f>'БА в тыс. руб.'!H1184*1000</f>
        <v>30602450.000000004</v>
      </c>
      <c r="M1184" s="169">
        <f t="shared" si="813"/>
        <v>0</v>
      </c>
      <c r="N1184" s="16">
        <f>'БА в тыс. руб.'!I1184*1000</f>
        <v>30602450.000000004</v>
      </c>
      <c r="O1184" s="169">
        <f t="shared" si="814"/>
        <v>0</v>
      </c>
      <c r="S1184" s="30"/>
      <c r="T1184" s="30"/>
      <c r="U1184" s="30"/>
    </row>
    <row r="1185" spans="1:21" s="3" customFormat="1" ht="25.5">
      <c r="A1185" s="11" t="s">
        <v>149</v>
      </c>
      <c r="B1185" s="25" t="s">
        <v>12</v>
      </c>
      <c r="C1185" s="26" t="s">
        <v>65</v>
      </c>
      <c r="D1185" s="26" t="s">
        <v>37</v>
      </c>
      <c r="E1185" s="26" t="s">
        <v>501</v>
      </c>
      <c r="F1185" s="26" t="s">
        <v>58</v>
      </c>
      <c r="G1185" s="27">
        <f t="shared" si="828"/>
        <v>30573170</v>
      </c>
      <c r="H1185" s="27">
        <f t="shared" si="828"/>
        <v>30602450</v>
      </c>
      <c r="I1185" s="27">
        <f t="shared" si="828"/>
        <v>30602450</v>
      </c>
      <c r="J1185" s="16">
        <f>'БА в тыс. руб.'!G1185*1000</f>
        <v>30573170.000000004</v>
      </c>
      <c r="K1185" s="169">
        <f t="shared" si="812"/>
        <v>0</v>
      </c>
      <c r="L1185" s="16">
        <f>'БА в тыс. руб.'!H1185*1000</f>
        <v>30602450.000000004</v>
      </c>
      <c r="M1185" s="169">
        <f t="shared" si="813"/>
        <v>0</v>
      </c>
      <c r="N1185" s="16">
        <f>'БА в тыс. руб.'!I1185*1000</f>
        <v>30602450.000000004</v>
      </c>
      <c r="O1185" s="169">
        <f t="shared" si="814"/>
        <v>0</v>
      </c>
      <c r="S1185" s="30"/>
      <c r="T1185" s="30"/>
      <c r="U1185" s="30"/>
    </row>
    <row r="1186" spans="1:21" s="3" customFormat="1" ht="25.5">
      <c r="A1186" s="11" t="s">
        <v>150</v>
      </c>
      <c r="B1186" s="25" t="s">
        <v>12</v>
      </c>
      <c r="C1186" s="26" t="s">
        <v>65</v>
      </c>
      <c r="D1186" s="26" t="s">
        <v>37</v>
      </c>
      <c r="E1186" s="26" t="s">
        <v>502</v>
      </c>
      <c r="F1186" s="26" t="s">
        <v>58</v>
      </c>
      <c r="G1186" s="27">
        <f>G1187+G1196+G1200+G1207</f>
        <v>30573170</v>
      </c>
      <c r="H1186" s="27">
        <f>H1187+H1196+H1200+H1207</f>
        <v>30602450</v>
      </c>
      <c r="I1186" s="27">
        <f>I1187+I1196+I1200+I1207</f>
        <v>30602450</v>
      </c>
      <c r="J1186" s="16">
        <f>'БА в тыс. руб.'!G1186*1000</f>
        <v>30573170.000000004</v>
      </c>
      <c r="K1186" s="169">
        <f t="shared" si="812"/>
        <v>0</v>
      </c>
      <c r="L1186" s="16">
        <f>'БА в тыс. руб.'!H1186*1000</f>
        <v>30602450.000000004</v>
      </c>
      <c r="M1186" s="169">
        <f t="shared" si="813"/>
        <v>0</v>
      </c>
      <c r="N1186" s="16">
        <f>'БА в тыс. руб.'!I1186*1000</f>
        <v>30602450.000000004</v>
      </c>
      <c r="O1186" s="169">
        <f t="shared" si="814"/>
        <v>0</v>
      </c>
      <c r="S1186" s="30"/>
      <c r="T1186" s="30"/>
      <c r="U1186" s="30"/>
    </row>
    <row r="1187" spans="1:21" s="3" customFormat="1" ht="25.5">
      <c r="A1187" s="11" t="s">
        <v>114</v>
      </c>
      <c r="B1187" s="25" t="s">
        <v>12</v>
      </c>
      <c r="C1187" s="26" t="s">
        <v>65</v>
      </c>
      <c r="D1187" s="26" t="s">
        <v>37</v>
      </c>
      <c r="E1187" s="26" t="s">
        <v>503</v>
      </c>
      <c r="F1187" s="26" t="s">
        <v>58</v>
      </c>
      <c r="G1187" s="27">
        <f>G1188+G1191+G1193</f>
        <v>3759800</v>
      </c>
      <c r="H1187" s="27">
        <f t="shared" ref="H1187:I1187" si="829">H1188+H1191+H1193</f>
        <v>3789080</v>
      </c>
      <c r="I1187" s="27">
        <f t="shared" si="829"/>
        <v>3789080</v>
      </c>
      <c r="J1187" s="16">
        <f>'БА в тыс. руб.'!G1187*1000</f>
        <v>3759800</v>
      </c>
      <c r="K1187" s="169">
        <f t="shared" si="812"/>
        <v>0</v>
      </c>
      <c r="L1187" s="16">
        <f>'БА в тыс. руб.'!H1187*1000</f>
        <v>3789080.0000000005</v>
      </c>
      <c r="M1187" s="169">
        <f t="shared" si="813"/>
        <v>0</v>
      </c>
      <c r="N1187" s="16">
        <f>'БА в тыс. руб.'!I1187*1000</f>
        <v>3789080.0000000005</v>
      </c>
      <c r="O1187" s="169">
        <f t="shared" si="814"/>
        <v>0</v>
      </c>
      <c r="S1187" s="30"/>
      <c r="T1187" s="30"/>
      <c r="U1187" s="30"/>
    </row>
    <row r="1188" spans="1:21" s="3" customFormat="1" ht="25.5">
      <c r="A1188" s="34" t="s">
        <v>107</v>
      </c>
      <c r="B1188" s="25" t="s">
        <v>12</v>
      </c>
      <c r="C1188" s="26" t="s">
        <v>65</v>
      </c>
      <c r="D1188" s="26" t="s">
        <v>37</v>
      </c>
      <c r="E1188" s="26" t="s">
        <v>503</v>
      </c>
      <c r="F1188" s="26" t="s">
        <v>115</v>
      </c>
      <c r="G1188" s="27">
        <f>SUM(G1189:G1190)</f>
        <v>637110</v>
      </c>
      <c r="H1188" s="27">
        <f t="shared" ref="H1188:I1188" si="830">SUM(H1189:H1190)</f>
        <v>637110</v>
      </c>
      <c r="I1188" s="27">
        <f t="shared" si="830"/>
        <v>637110</v>
      </c>
      <c r="J1188" s="16">
        <f>'БА в тыс. руб.'!G1188*1000</f>
        <v>637110</v>
      </c>
      <c r="K1188" s="169">
        <f t="shared" si="812"/>
        <v>0</v>
      </c>
      <c r="L1188" s="16">
        <f>'БА в тыс. руб.'!H1188*1000</f>
        <v>637110</v>
      </c>
      <c r="M1188" s="169">
        <f t="shared" si="813"/>
        <v>0</v>
      </c>
      <c r="N1188" s="16">
        <f>'БА в тыс. руб.'!I1188*1000</f>
        <v>637110</v>
      </c>
      <c r="O1188" s="169">
        <f t="shared" si="814"/>
        <v>0</v>
      </c>
      <c r="S1188" s="30"/>
      <c r="T1188" s="30"/>
      <c r="U1188" s="30"/>
    </row>
    <row r="1189" spans="1:21" s="71" customFormat="1" ht="25.5">
      <c r="A1189" s="12" t="s">
        <v>937</v>
      </c>
      <c r="B1189" s="25" t="s">
        <v>12</v>
      </c>
      <c r="C1189" s="26" t="s">
        <v>65</v>
      </c>
      <c r="D1189" s="26" t="s">
        <v>37</v>
      </c>
      <c r="E1189" s="26" t="s">
        <v>503</v>
      </c>
      <c r="F1189" s="26" t="s">
        <v>1059</v>
      </c>
      <c r="G1189" s="27">
        <f t="shared" ref="G1189:G1190" si="831">J1189</f>
        <v>489330</v>
      </c>
      <c r="H1189" s="27">
        <f t="shared" ref="H1189:H1190" si="832">L1189</f>
        <v>489330</v>
      </c>
      <c r="I1189" s="27">
        <f t="shared" ref="I1189:I1190" si="833">N1189</f>
        <v>489330</v>
      </c>
      <c r="J1189" s="16">
        <f>'БА в тыс. руб.'!G1189*1000</f>
        <v>489330</v>
      </c>
      <c r="K1189" s="169">
        <f t="shared" si="812"/>
        <v>0</v>
      </c>
      <c r="L1189" s="16">
        <f>'БА в тыс. руб.'!H1189*1000</f>
        <v>489330</v>
      </c>
      <c r="M1189" s="169">
        <f t="shared" si="813"/>
        <v>0</v>
      </c>
      <c r="N1189" s="16">
        <f>'БА в тыс. руб.'!I1189*1000</f>
        <v>489330</v>
      </c>
      <c r="O1189" s="169">
        <f t="shared" si="814"/>
        <v>0</v>
      </c>
      <c r="S1189" s="181"/>
      <c r="T1189" s="181"/>
      <c r="U1189" s="181"/>
    </row>
    <row r="1190" spans="1:21" s="71" customFormat="1" ht="38.25">
      <c r="A1190" s="12" t="s">
        <v>939</v>
      </c>
      <c r="B1190" s="25" t="s">
        <v>12</v>
      </c>
      <c r="C1190" s="26" t="s">
        <v>65</v>
      </c>
      <c r="D1190" s="26" t="s">
        <v>37</v>
      </c>
      <c r="E1190" s="26" t="s">
        <v>503</v>
      </c>
      <c r="F1190" s="26" t="s">
        <v>1060</v>
      </c>
      <c r="G1190" s="27">
        <f t="shared" si="831"/>
        <v>147780</v>
      </c>
      <c r="H1190" s="27">
        <f t="shared" si="832"/>
        <v>147780</v>
      </c>
      <c r="I1190" s="27">
        <f t="shared" si="833"/>
        <v>147780</v>
      </c>
      <c r="J1190" s="16">
        <f>'БА в тыс. руб.'!G1190*1000</f>
        <v>147780</v>
      </c>
      <c r="K1190" s="169">
        <f t="shared" si="812"/>
        <v>0</v>
      </c>
      <c r="L1190" s="16">
        <f>'БА в тыс. руб.'!H1190*1000</f>
        <v>147780</v>
      </c>
      <c r="M1190" s="169">
        <f t="shared" si="813"/>
        <v>0</v>
      </c>
      <c r="N1190" s="16">
        <f>'БА в тыс. руб.'!I1190*1000</f>
        <v>147780</v>
      </c>
      <c r="O1190" s="169">
        <f t="shared" si="814"/>
        <v>0</v>
      </c>
      <c r="S1190" s="181"/>
      <c r="T1190" s="181"/>
      <c r="U1190" s="181"/>
    </row>
    <row r="1191" spans="1:21" s="3" customFormat="1" ht="25.5">
      <c r="A1191" s="11" t="s">
        <v>108</v>
      </c>
      <c r="B1191" s="25" t="s">
        <v>12</v>
      </c>
      <c r="C1191" s="26" t="s">
        <v>65</v>
      </c>
      <c r="D1191" s="26" t="s">
        <v>37</v>
      </c>
      <c r="E1191" s="26" t="s">
        <v>503</v>
      </c>
      <c r="F1191" s="26" t="s">
        <v>116</v>
      </c>
      <c r="G1191" s="27">
        <f>G1192</f>
        <v>3080790</v>
      </c>
      <c r="H1191" s="27">
        <f t="shared" ref="H1191:I1191" si="834">H1192</f>
        <v>3110070</v>
      </c>
      <c r="I1191" s="27">
        <f t="shared" si="834"/>
        <v>3110070</v>
      </c>
      <c r="J1191" s="16">
        <f>'БА в тыс. руб.'!G1191*1000</f>
        <v>3080790</v>
      </c>
      <c r="K1191" s="169">
        <f t="shared" si="812"/>
        <v>0</v>
      </c>
      <c r="L1191" s="16">
        <f>'БА в тыс. руб.'!H1191*1000</f>
        <v>3110070</v>
      </c>
      <c r="M1191" s="169">
        <f t="shared" si="813"/>
        <v>0</v>
      </c>
      <c r="N1191" s="16">
        <f>'БА в тыс. руб.'!I1191*1000</f>
        <v>3110070</v>
      </c>
      <c r="O1191" s="169">
        <f t="shared" si="814"/>
        <v>0</v>
      </c>
      <c r="S1191" s="30"/>
      <c r="T1191" s="30"/>
      <c r="U1191" s="30"/>
    </row>
    <row r="1192" spans="1:21" s="4" customFormat="1" ht="25.5">
      <c r="A1192" s="12" t="s">
        <v>973</v>
      </c>
      <c r="B1192" s="25" t="s">
        <v>12</v>
      </c>
      <c r="C1192" s="26" t="s">
        <v>65</v>
      </c>
      <c r="D1192" s="26" t="s">
        <v>37</v>
      </c>
      <c r="E1192" s="26" t="s">
        <v>503</v>
      </c>
      <c r="F1192" s="26" t="s">
        <v>1043</v>
      </c>
      <c r="G1192" s="27">
        <f t="shared" ref="G1192" si="835">J1192</f>
        <v>3080790</v>
      </c>
      <c r="H1192" s="27">
        <f>L1192</f>
        <v>3110070</v>
      </c>
      <c r="I1192" s="27">
        <f>N1192</f>
        <v>3110070</v>
      </c>
      <c r="J1192" s="16">
        <f>'БА в тыс. руб.'!G1192*1000</f>
        <v>3080790</v>
      </c>
      <c r="K1192" s="169">
        <f t="shared" si="812"/>
        <v>0</v>
      </c>
      <c r="L1192" s="16">
        <f>'БА в тыс. руб.'!H1192*1000</f>
        <v>3110070</v>
      </c>
      <c r="M1192" s="169">
        <f t="shared" si="813"/>
        <v>0</v>
      </c>
      <c r="N1192" s="16">
        <f>'БА в тыс. руб.'!I1192*1000</f>
        <v>3110070</v>
      </c>
      <c r="O1192" s="169">
        <f t="shared" si="814"/>
        <v>0</v>
      </c>
      <c r="S1192" s="83"/>
      <c r="T1192" s="83"/>
      <c r="U1192" s="83"/>
    </row>
    <row r="1193" spans="1:21" s="3" customFormat="1">
      <c r="A1193" s="11" t="s">
        <v>97</v>
      </c>
      <c r="B1193" s="25" t="s">
        <v>12</v>
      </c>
      <c r="C1193" s="26" t="s">
        <v>65</v>
      </c>
      <c r="D1193" s="26" t="s">
        <v>37</v>
      </c>
      <c r="E1193" s="26" t="s">
        <v>503</v>
      </c>
      <c r="F1193" s="26" t="s">
        <v>118</v>
      </c>
      <c r="G1193" s="27">
        <f>SUM(G1194:G1195)</f>
        <v>41900</v>
      </c>
      <c r="H1193" s="27">
        <f t="shared" ref="H1193:I1193" si="836">SUM(H1194:H1195)</f>
        <v>41900</v>
      </c>
      <c r="I1193" s="27">
        <f t="shared" si="836"/>
        <v>41900</v>
      </c>
      <c r="J1193" s="16">
        <f>'БА в тыс. руб.'!G1193*1000</f>
        <v>41900.000000000007</v>
      </c>
      <c r="K1193" s="169">
        <f t="shared" si="812"/>
        <v>0</v>
      </c>
      <c r="L1193" s="16">
        <f>'БА в тыс. руб.'!H1193*1000</f>
        <v>41900.000000000007</v>
      </c>
      <c r="M1193" s="169">
        <f t="shared" si="813"/>
        <v>0</v>
      </c>
      <c r="N1193" s="16">
        <f>'БА в тыс. руб.'!I1193*1000</f>
        <v>41900.000000000007</v>
      </c>
      <c r="O1193" s="169">
        <f t="shared" si="814"/>
        <v>0</v>
      </c>
      <c r="S1193" s="30"/>
      <c r="T1193" s="30"/>
      <c r="U1193" s="30"/>
    </row>
    <row r="1194" spans="1:21" s="3" customFormat="1">
      <c r="A1194" s="11" t="s">
        <v>1036</v>
      </c>
      <c r="B1194" s="25" t="s">
        <v>12</v>
      </c>
      <c r="C1194" s="26" t="s">
        <v>65</v>
      </c>
      <c r="D1194" s="26" t="s">
        <v>37</v>
      </c>
      <c r="E1194" s="26" t="s">
        <v>503</v>
      </c>
      <c r="F1194" s="26" t="s">
        <v>1061</v>
      </c>
      <c r="G1194" s="27">
        <f t="shared" ref="G1194:G1195" si="837">J1194</f>
        <v>22800</v>
      </c>
      <c r="H1194" s="27">
        <f t="shared" ref="H1194:H1195" si="838">L1194</f>
        <v>22800</v>
      </c>
      <c r="I1194" s="27">
        <f t="shared" ref="I1194:I1195" si="839">N1194</f>
        <v>22800</v>
      </c>
      <c r="J1194" s="16">
        <f>'БА в тыс. руб.'!G1194*1000</f>
        <v>22800</v>
      </c>
      <c r="K1194" s="169">
        <f t="shared" si="812"/>
        <v>0</v>
      </c>
      <c r="L1194" s="16">
        <f>'БА в тыс. руб.'!H1194*1000</f>
        <v>22800</v>
      </c>
      <c r="M1194" s="169">
        <f t="shared" si="813"/>
        <v>0</v>
      </c>
      <c r="N1194" s="16">
        <f>'БА в тыс. руб.'!I1194*1000</f>
        <v>22800</v>
      </c>
      <c r="O1194" s="169">
        <f t="shared" si="814"/>
        <v>0</v>
      </c>
      <c r="S1194" s="30"/>
      <c r="T1194" s="30"/>
      <c r="U1194" s="30"/>
    </row>
    <row r="1195" spans="1:21" s="3" customFormat="1">
      <c r="A1195" s="11" t="s">
        <v>1037</v>
      </c>
      <c r="B1195" s="25" t="s">
        <v>12</v>
      </c>
      <c r="C1195" s="26" t="s">
        <v>65</v>
      </c>
      <c r="D1195" s="26" t="s">
        <v>37</v>
      </c>
      <c r="E1195" s="26" t="s">
        <v>503</v>
      </c>
      <c r="F1195" s="26" t="s">
        <v>1062</v>
      </c>
      <c r="G1195" s="27">
        <f t="shared" si="837"/>
        <v>19100</v>
      </c>
      <c r="H1195" s="27">
        <f t="shared" si="838"/>
        <v>19100</v>
      </c>
      <c r="I1195" s="27">
        <f t="shared" si="839"/>
        <v>19100</v>
      </c>
      <c r="J1195" s="16">
        <f>'БА в тыс. руб.'!G1195*1000</f>
        <v>19100</v>
      </c>
      <c r="K1195" s="169">
        <f t="shared" si="812"/>
        <v>0</v>
      </c>
      <c r="L1195" s="16">
        <f>'БА в тыс. руб.'!H1195*1000</f>
        <v>19100</v>
      </c>
      <c r="M1195" s="169">
        <f t="shared" si="813"/>
        <v>0</v>
      </c>
      <c r="N1195" s="16">
        <f>'БА в тыс. руб.'!I1195*1000</f>
        <v>19100</v>
      </c>
      <c r="O1195" s="169">
        <f t="shared" si="814"/>
        <v>0</v>
      </c>
      <c r="S1195" s="30"/>
      <c r="T1195" s="30"/>
      <c r="U1195" s="30"/>
    </row>
    <row r="1196" spans="1:21" s="3" customFormat="1" ht="25.5">
      <c r="A1196" s="34" t="s">
        <v>504</v>
      </c>
      <c r="B1196" s="25" t="s">
        <v>12</v>
      </c>
      <c r="C1196" s="26" t="s">
        <v>65</v>
      </c>
      <c r="D1196" s="26" t="s">
        <v>37</v>
      </c>
      <c r="E1196" s="26" t="s">
        <v>505</v>
      </c>
      <c r="F1196" s="26" t="s">
        <v>58</v>
      </c>
      <c r="G1196" s="27">
        <f>G1197</f>
        <v>25543000</v>
      </c>
      <c r="H1196" s="27">
        <f>H1197</f>
        <v>25543000</v>
      </c>
      <c r="I1196" s="27">
        <f>I1197</f>
        <v>25543000</v>
      </c>
      <c r="J1196" s="16">
        <f>'БА в тыс. руб.'!G1196*1000</f>
        <v>25543000</v>
      </c>
      <c r="K1196" s="169">
        <f t="shared" si="812"/>
        <v>0</v>
      </c>
      <c r="L1196" s="16">
        <f>'БА в тыс. руб.'!H1196*1000</f>
        <v>25543000</v>
      </c>
      <c r="M1196" s="169">
        <f t="shared" si="813"/>
        <v>0</v>
      </c>
      <c r="N1196" s="16">
        <f>'БА в тыс. руб.'!I1196*1000</f>
        <v>25543000</v>
      </c>
      <c r="O1196" s="169">
        <f t="shared" si="814"/>
        <v>0</v>
      </c>
      <c r="S1196" s="30"/>
      <c r="T1196" s="30"/>
      <c r="U1196" s="30"/>
    </row>
    <row r="1197" spans="1:21" s="3" customFormat="1" ht="25.5">
      <c r="A1197" s="34" t="s">
        <v>107</v>
      </c>
      <c r="B1197" s="25" t="s">
        <v>12</v>
      </c>
      <c r="C1197" s="26" t="s">
        <v>65</v>
      </c>
      <c r="D1197" s="26" t="s">
        <v>37</v>
      </c>
      <c r="E1197" s="26" t="s">
        <v>505</v>
      </c>
      <c r="F1197" s="26" t="s">
        <v>115</v>
      </c>
      <c r="G1197" s="27">
        <f>SUM(G1198:G1199)</f>
        <v>25543000</v>
      </c>
      <c r="H1197" s="27">
        <f t="shared" ref="H1197:I1197" si="840">SUM(H1198:H1199)</f>
        <v>25543000</v>
      </c>
      <c r="I1197" s="27">
        <f t="shared" si="840"/>
        <v>25543000</v>
      </c>
      <c r="J1197" s="16">
        <f>'БА в тыс. руб.'!G1197*1000</f>
        <v>25543000</v>
      </c>
      <c r="K1197" s="169">
        <f t="shared" si="812"/>
        <v>0</v>
      </c>
      <c r="L1197" s="16">
        <f>'БА в тыс. руб.'!H1197*1000</f>
        <v>25543000</v>
      </c>
      <c r="M1197" s="169">
        <f t="shared" si="813"/>
        <v>0</v>
      </c>
      <c r="N1197" s="16">
        <f>'БА в тыс. руб.'!I1197*1000</f>
        <v>25543000</v>
      </c>
      <c r="O1197" s="169">
        <f t="shared" si="814"/>
        <v>0</v>
      </c>
      <c r="S1197" s="30"/>
      <c r="T1197" s="30"/>
      <c r="U1197" s="30"/>
    </row>
    <row r="1198" spans="1:21" s="94" customFormat="1">
      <c r="A1198" s="12" t="s">
        <v>936</v>
      </c>
      <c r="B1198" s="25" t="s">
        <v>12</v>
      </c>
      <c r="C1198" s="26" t="s">
        <v>65</v>
      </c>
      <c r="D1198" s="26" t="s">
        <v>37</v>
      </c>
      <c r="E1198" s="26" t="s">
        <v>505</v>
      </c>
      <c r="F1198" s="26" t="s">
        <v>1063</v>
      </c>
      <c r="G1198" s="27">
        <f t="shared" ref="G1198:G1199" si="841">J1198</f>
        <v>19618280</v>
      </c>
      <c r="H1198" s="27">
        <f t="shared" ref="H1198:H1199" si="842">L1198</f>
        <v>19618280</v>
      </c>
      <c r="I1198" s="27">
        <f t="shared" ref="I1198:I1199" si="843">N1198</f>
        <v>19618280</v>
      </c>
      <c r="J1198" s="16">
        <f>'БА в тыс. руб.'!G1198*1000</f>
        <v>19618280</v>
      </c>
      <c r="K1198" s="169">
        <f t="shared" si="812"/>
        <v>0</v>
      </c>
      <c r="L1198" s="16">
        <f>'БА в тыс. руб.'!H1198*1000</f>
        <v>19618280</v>
      </c>
      <c r="M1198" s="169">
        <f t="shared" si="813"/>
        <v>0</v>
      </c>
      <c r="N1198" s="16">
        <f>'БА в тыс. руб.'!I1198*1000</f>
        <v>19618280</v>
      </c>
      <c r="O1198" s="169">
        <f t="shared" si="814"/>
        <v>0</v>
      </c>
      <c r="S1198" s="103"/>
      <c r="T1198" s="103"/>
      <c r="U1198" s="103"/>
    </row>
    <row r="1199" spans="1:21" s="94" customFormat="1" ht="38.25">
      <c r="A1199" s="12" t="s">
        <v>939</v>
      </c>
      <c r="B1199" s="25" t="s">
        <v>12</v>
      </c>
      <c r="C1199" s="26" t="s">
        <v>65</v>
      </c>
      <c r="D1199" s="26" t="s">
        <v>37</v>
      </c>
      <c r="E1199" s="26" t="s">
        <v>505</v>
      </c>
      <c r="F1199" s="26" t="s">
        <v>1060</v>
      </c>
      <c r="G1199" s="27">
        <f t="shared" si="841"/>
        <v>5924720</v>
      </c>
      <c r="H1199" s="27">
        <f t="shared" si="842"/>
        <v>5924720</v>
      </c>
      <c r="I1199" s="27">
        <f t="shared" si="843"/>
        <v>5924720</v>
      </c>
      <c r="J1199" s="16">
        <f>'БА в тыс. руб.'!G1199*1000</f>
        <v>5924720</v>
      </c>
      <c r="K1199" s="169">
        <f t="shared" si="812"/>
        <v>0</v>
      </c>
      <c r="L1199" s="16">
        <f>'БА в тыс. руб.'!H1199*1000</f>
        <v>5924720</v>
      </c>
      <c r="M1199" s="169">
        <f t="shared" si="813"/>
        <v>0</v>
      </c>
      <c r="N1199" s="16">
        <f>'БА в тыс. руб.'!I1199*1000</f>
        <v>5924720</v>
      </c>
      <c r="O1199" s="169">
        <f t="shared" si="814"/>
        <v>0</v>
      </c>
      <c r="S1199" s="103"/>
      <c r="T1199" s="103"/>
      <c r="U1199" s="103"/>
    </row>
    <row r="1200" spans="1:21" s="3" customFormat="1" ht="51">
      <c r="A1200" s="126" t="s">
        <v>598</v>
      </c>
      <c r="B1200" s="25" t="s">
        <v>12</v>
      </c>
      <c r="C1200" s="26" t="s">
        <v>65</v>
      </c>
      <c r="D1200" s="26" t="s">
        <v>37</v>
      </c>
      <c r="E1200" s="26" t="s">
        <v>506</v>
      </c>
      <c r="F1200" s="26" t="s">
        <v>58</v>
      </c>
      <c r="G1200" s="27">
        <f>G1201+G1205</f>
        <v>1218630</v>
      </c>
      <c r="H1200" s="27">
        <f>H1201+H1205</f>
        <v>1218630</v>
      </c>
      <c r="I1200" s="27">
        <f>I1201+I1205</f>
        <v>1218630</v>
      </c>
      <c r="J1200" s="16">
        <f>'БА в тыс. руб.'!G1200*1000</f>
        <v>1218630</v>
      </c>
      <c r="K1200" s="169">
        <f t="shared" si="812"/>
        <v>0</v>
      </c>
      <c r="L1200" s="16">
        <f>'БА в тыс. руб.'!H1200*1000</f>
        <v>1218630</v>
      </c>
      <c r="M1200" s="169">
        <f t="shared" si="813"/>
        <v>0</v>
      </c>
      <c r="N1200" s="16">
        <f>'БА в тыс. руб.'!I1200*1000</f>
        <v>1218630</v>
      </c>
      <c r="O1200" s="169">
        <f t="shared" si="814"/>
        <v>0</v>
      </c>
      <c r="S1200" s="30"/>
      <c r="T1200" s="30"/>
      <c r="U1200" s="30"/>
    </row>
    <row r="1201" spans="1:21" s="3" customFormat="1" ht="25.5">
      <c r="A1201" s="34" t="s">
        <v>107</v>
      </c>
      <c r="B1201" s="25" t="s">
        <v>12</v>
      </c>
      <c r="C1201" s="26" t="s">
        <v>65</v>
      </c>
      <c r="D1201" s="26" t="s">
        <v>37</v>
      </c>
      <c r="E1201" s="26" t="s">
        <v>506</v>
      </c>
      <c r="F1201" s="26" t="s">
        <v>115</v>
      </c>
      <c r="G1201" s="27">
        <f>SUM(G1202:G1204)</f>
        <v>1059710</v>
      </c>
      <c r="H1201" s="27">
        <f t="shared" ref="H1201:I1201" si="844">SUM(H1202:H1204)</f>
        <v>1059710</v>
      </c>
      <c r="I1201" s="27">
        <f t="shared" si="844"/>
        <v>1059710</v>
      </c>
      <c r="J1201" s="16">
        <f>'БА в тыс. руб.'!G1201*1000</f>
        <v>1059710</v>
      </c>
      <c r="K1201" s="169">
        <f t="shared" si="812"/>
        <v>0</v>
      </c>
      <c r="L1201" s="16">
        <f>'БА в тыс. руб.'!H1201*1000</f>
        <v>1059710</v>
      </c>
      <c r="M1201" s="169">
        <f t="shared" si="813"/>
        <v>0</v>
      </c>
      <c r="N1201" s="16">
        <f>'БА в тыс. руб.'!I1201*1000</f>
        <v>1059710</v>
      </c>
      <c r="O1201" s="169">
        <f t="shared" si="814"/>
        <v>0</v>
      </c>
      <c r="S1201" s="30"/>
      <c r="T1201" s="30"/>
      <c r="U1201" s="30"/>
    </row>
    <row r="1202" spans="1:21" s="4" customFormat="1">
      <c r="A1202" s="11" t="s">
        <v>936</v>
      </c>
      <c r="B1202" s="25" t="s">
        <v>12</v>
      </c>
      <c r="C1202" s="26" t="s">
        <v>65</v>
      </c>
      <c r="D1202" s="26" t="s">
        <v>37</v>
      </c>
      <c r="E1202" s="26" t="s">
        <v>506</v>
      </c>
      <c r="F1202" s="26" t="s">
        <v>1063</v>
      </c>
      <c r="G1202" s="27">
        <f t="shared" ref="G1202:G1204" si="845">J1202</f>
        <v>775600</v>
      </c>
      <c r="H1202" s="27">
        <f t="shared" ref="H1202:H1204" si="846">L1202</f>
        <v>775600</v>
      </c>
      <c r="I1202" s="27">
        <f t="shared" ref="I1202:I1204" si="847">N1202</f>
        <v>775600</v>
      </c>
      <c r="J1202" s="16">
        <f>'БА в тыс. руб.'!G1202*1000</f>
        <v>775600</v>
      </c>
      <c r="K1202" s="169">
        <f t="shared" si="812"/>
        <v>0</v>
      </c>
      <c r="L1202" s="16">
        <f>'БА в тыс. руб.'!H1202*1000</f>
        <v>775600</v>
      </c>
      <c r="M1202" s="169">
        <f t="shared" si="813"/>
        <v>0</v>
      </c>
      <c r="N1202" s="16">
        <f>'БА в тыс. руб.'!I1202*1000</f>
        <v>775600</v>
      </c>
      <c r="O1202" s="169">
        <f t="shared" si="814"/>
        <v>0</v>
      </c>
      <c r="S1202" s="83"/>
      <c r="T1202" s="83"/>
      <c r="U1202" s="83"/>
    </row>
    <row r="1203" spans="1:21" s="4" customFormat="1" ht="25.5">
      <c r="A1203" s="12" t="s">
        <v>937</v>
      </c>
      <c r="B1203" s="25" t="s">
        <v>12</v>
      </c>
      <c r="C1203" s="26" t="s">
        <v>65</v>
      </c>
      <c r="D1203" s="26" t="s">
        <v>37</v>
      </c>
      <c r="E1203" s="26" t="s">
        <v>506</v>
      </c>
      <c r="F1203" s="26" t="s">
        <v>1059</v>
      </c>
      <c r="G1203" s="27">
        <f t="shared" si="845"/>
        <v>38300</v>
      </c>
      <c r="H1203" s="27">
        <f t="shared" si="846"/>
        <v>38300</v>
      </c>
      <c r="I1203" s="27">
        <f t="shared" si="847"/>
        <v>38300</v>
      </c>
      <c r="J1203" s="16">
        <f>'БА в тыс. руб.'!G1203*1000</f>
        <v>38300</v>
      </c>
      <c r="K1203" s="169"/>
      <c r="L1203" s="16">
        <f>'БА в тыс. руб.'!H1203*1000</f>
        <v>38300</v>
      </c>
      <c r="M1203" s="169"/>
      <c r="N1203" s="16">
        <f>'БА в тыс. руб.'!I1203*1000</f>
        <v>38300</v>
      </c>
      <c r="O1203" s="169"/>
      <c r="S1203" s="83"/>
      <c r="T1203" s="83"/>
      <c r="U1203" s="83"/>
    </row>
    <row r="1204" spans="1:21" s="4" customFormat="1" ht="38.25">
      <c r="A1204" s="11" t="s">
        <v>939</v>
      </c>
      <c r="B1204" s="25" t="s">
        <v>12</v>
      </c>
      <c r="C1204" s="26" t="s">
        <v>65</v>
      </c>
      <c r="D1204" s="26" t="s">
        <v>37</v>
      </c>
      <c r="E1204" s="26" t="s">
        <v>506</v>
      </c>
      <c r="F1204" s="26" t="s">
        <v>1060</v>
      </c>
      <c r="G1204" s="27">
        <f t="shared" si="845"/>
        <v>245810</v>
      </c>
      <c r="H1204" s="27">
        <f t="shared" si="846"/>
        <v>245810</v>
      </c>
      <c r="I1204" s="27">
        <f t="shared" si="847"/>
        <v>245810</v>
      </c>
      <c r="J1204" s="16">
        <f>'БА в тыс. руб.'!G1204*1000</f>
        <v>245810</v>
      </c>
      <c r="K1204" s="169">
        <f t="shared" si="812"/>
        <v>0</v>
      </c>
      <c r="L1204" s="16">
        <f>'БА в тыс. руб.'!H1204*1000</f>
        <v>245810</v>
      </c>
      <c r="M1204" s="169">
        <f t="shared" si="813"/>
        <v>0</v>
      </c>
      <c r="N1204" s="16">
        <f>'БА в тыс. руб.'!I1204*1000</f>
        <v>245810</v>
      </c>
      <c r="O1204" s="169">
        <f t="shared" si="814"/>
        <v>0</v>
      </c>
      <c r="S1204" s="83"/>
      <c r="T1204" s="83"/>
      <c r="U1204" s="83"/>
    </row>
    <row r="1205" spans="1:21" s="3" customFormat="1" ht="25.5">
      <c r="A1205" s="11" t="s">
        <v>108</v>
      </c>
      <c r="B1205" s="25" t="s">
        <v>12</v>
      </c>
      <c r="C1205" s="26" t="s">
        <v>65</v>
      </c>
      <c r="D1205" s="26" t="s">
        <v>37</v>
      </c>
      <c r="E1205" s="26" t="s">
        <v>506</v>
      </c>
      <c r="F1205" s="26" t="s">
        <v>116</v>
      </c>
      <c r="G1205" s="27">
        <f>G1206</f>
        <v>158920</v>
      </c>
      <c r="H1205" s="27">
        <f t="shared" ref="H1205:I1205" si="848">H1206</f>
        <v>158920</v>
      </c>
      <c r="I1205" s="27">
        <f t="shared" si="848"/>
        <v>158920</v>
      </c>
      <c r="J1205" s="16">
        <f>'БА в тыс. руб.'!G1205*1000</f>
        <v>158920</v>
      </c>
      <c r="K1205" s="169">
        <f t="shared" si="812"/>
        <v>0</v>
      </c>
      <c r="L1205" s="16">
        <f>'БА в тыс. руб.'!H1205*1000</f>
        <v>158920</v>
      </c>
      <c r="M1205" s="169">
        <f t="shared" si="813"/>
        <v>0</v>
      </c>
      <c r="N1205" s="16">
        <f>'БА в тыс. руб.'!I1205*1000</f>
        <v>158920</v>
      </c>
      <c r="O1205" s="169">
        <f t="shared" si="814"/>
        <v>0</v>
      </c>
      <c r="S1205" s="30"/>
      <c r="T1205" s="30"/>
      <c r="U1205" s="30"/>
    </row>
    <row r="1206" spans="1:21" s="4" customFormat="1" ht="25.5">
      <c r="A1206" s="12" t="s">
        <v>973</v>
      </c>
      <c r="B1206" s="25" t="s">
        <v>12</v>
      </c>
      <c r="C1206" s="26" t="s">
        <v>65</v>
      </c>
      <c r="D1206" s="26" t="s">
        <v>37</v>
      </c>
      <c r="E1206" s="26" t="s">
        <v>506</v>
      </c>
      <c r="F1206" s="26" t="s">
        <v>1043</v>
      </c>
      <c r="G1206" s="27">
        <f t="shared" ref="G1206" si="849">J1206</f>
        <v>158920</v>
      </c>
      <c r="H1206" s="27">
        <f>L1206</f>
        <v>158920</v>
      </c>
      <c r="I1206" s="27">
        <f>N1206</f>
        <v>158920</v>
      </c>
      <c r="J1206" s="16">
        <f>'БА в тыс. руб.'!G1206*1000</f>
        <v>158920</v>
      </c>
      <c r="K1206" s="169">
        <f t="shared" si="812"/>
        <v>0</v>
      </c>
      <c r="L1206" s="16">
        <f>'БА в тыс. руб.'!H1206*1000</f>
        <v>158920</v>
      </c>
      <c r="M1206" s="169">
        <f t="shared" si="813"/>
        <v>0</v>
      </c>
      <c r="N1206" s="16">
        <f>'БА в тыс. руб.'!I1206*1000</f>
        <v>158920</v>
      </c>
      <c r="O1206" s="169">
        <f t="shared" si="814"/>
        <v>0</v>
      </c>
      <c r="S1206" s="83"/>
      <c r="T1206" s="83"/>
      <c r="U1206" s="83"/>
    </row>
    <row r="1207" spans="1:21" s="3" customFormat="1" ht="51">
      <c r="A1207" s="34" t="s">
        <v>870</v>
      </c>
      <c r="B1207" s="25" t="str">
        <f t="shared" ref="B1207:D1209" si="850">B1196</f>
        <v>618</v>
      </c>
      <c r="C1207" s="26" t="str">
        <f t="shared" si="850"/>
        <v>01</v>
      </c>
      <c r="D1207" s="26" t="str">
        <f t="shared" si="850"/>
        <v>04</v>
      </c>
      <c r="E1207" s="26" t="s">
        <v>507</v>
      </c>
      <c r="F1207" s="26" t="s">
        <v>58</v>
      </c>
      <c r="G1207" s="27">
        <f>G1208</f>
        <v>51740</v>
      </c>
      <c r="H1207" s="27">
        <f>H1208</f>
        <v>51740</v>
      </c>
      <c r="I1207" s="27">
        <f>I1208</f>
        <v>51740</v>
      </c>
      <c r="J1207" s="16">
        <f>'БА в тыс. руб.'!G1207*1000</f>
        <v>51740</v>
      </c>
      <c r="K1207" s="169">
        <f t="shared" si="812"/>
        <v>0</v>
      </c>
      <c r="L1207" s="16">
        <f>'БА в тыс. руб.'!H1207*1000</f>
        <v>51740</v>
      </c>
      <c r="M1207" s="169">
        <f t="shared" si="813"/>
        <v>0</v>
      </c>
      <c r="N1207" s="16">
        <f>'БА в тыс. руб.'!I1207*1000</f>
        <v>51740</v>
      </c>
      <c r="O1207" s="169">
        <f t="shared" si="814"/>
        <v>0</v>
      </c>
      <c r="S1207" s="30"/>
      <c r="T1207" s="30"/>
      <c r="U1207" s="30"/>
    </row>
    <row r="1208" spans="1:21" s="3" customFormat="1" ht="25.5">
      <c r="A1208" s="11" t="s">
        <v>108</v>
      </c>
      <c r="B1208" s="25" t="str">
        <f t="shared" si="850"/>
        <v>618</v>
      </c>
      <c r="C1208" s="26" t="str">
        <f t="shared" si="850"/>
        <v>01</v>
      </c>
      <c r="D1208" s="26" t="str">
        <f t="shared" si="850"/>
        <v>04</v>
      </c>
      <c r="E1208" s="26" t="s">
        <v>507</v>
      </c>
      <c r="F1208" s="26" t="s">
        <v>116</v>
      </c>
      <c r="G1208" s="27">
        <f>G1209</f>
        <v>51740</v>
      </c>
      <c r="H1208" s="27">
        <f t="shared" ref="H1208:I1208" si="851">H1209</f>
        <v>51740</v>
      </c>
      <c r="I1208" s="27">
        <f t="shared" si="851"/>
        <v>51740</v>
      </c>
      <c r="J1208" s="16">
        <f>'БА в тыс. руб.'!G1208*1000</f>
        <v>51740</v>
      </c>
      <c r="K1208" s="169">
        <f t="shared" si="812"/>
        <v>0</v>
      </c>
      <c r="L1208" s="16">
        <f>'БА в тыс. руб.'!H1208*1000</f>
        <v>51740</v>
      </c>
      <c r="M1208" s="169">
        <f t="shared" si="813"/>
        <v>0</v>
      </c>
      <c r="N1208" s="16">
        <f>'БА в тыс. руб.'!I1208*1000</f>
        <v>51740</v>
      </c>
      <c r="O1208" s="169">
        <f t="shared" si="814"/>
        <v>0</v>
      </c>
      <c r="S1208" s="30"/>
      <c r="T1208" s="30"/>
      <c r="U1208" s="30"/>
    </row>
    <row r="1209" spans="1:21" s="4" customFormat="1" ht="25.5">
      <c r="A1209" s="12" t="s">
        <v>973</v>
      </c>
      <c r="B1209" s="25" t="str">
        <f t="shared" si="850"/>
        <v>618</v>
      </c>
      <c r="C1209" s="26" t="str">
        <f t="shared" si="850"/>
        <v>01</v>
      </c>
      <c r="D1209" s="26" t="str">
        <f t="shared" si="850"/>
        <v>04</v>
      </c>
      <c r="E1209" s="26" t="s">
        <v>507</v>
      </c>
      <c r="F1209" s="26" t="s">
        <v>1043</v>
      </c>
      <c r="G1209" s="27">
        <f t="shared" ref="G1209" si="852">J1209</f>
        <v>51740</v>
      </c>
      <c r="H1209" s="27">
        <f>L1209</f>
        <v>51740</v>
      </c>
      <c r="I1209" s="27">
        <f>N1209</f>
        <v>51740</v>
      </c>
      <c r="J1209" s="16">
        <f>'БА в тыс. руб.'!G1209*1000</f>
        <v>51740</v>
      </c>
      <c r="K1209" s="169">
        <f t="shared" si="812"/>
        <v>0</v>
      </c>
      <c r="L1209" s="16">
        <f>'БА в тыс. руб.'!H1209*1000</f>
        <v>51740</v>
      </c>
      <c r="M1209" s="169">
        <f t="shared" si="813"/>
        <v>0</v>
      </c>
      <c r="N1209" s="16">
        <f>'БА в тыс. руб.'!I1209*1000</f>
        <v>51740</v>
      </c>
      <c r="O1209" s="169">
        <f t="shared" si="814"/>
        <v>0</v>
      </c>
      <c r="S1209" s="83"/>
      <c r="T1209" s="83"/>
      <c r="U1209" s="83"/>
    </row>
    <row r="1210" spans="1:21" s="3" customFormat="1">
      <c r="A1210" s="21" t="s">
        <v>38</v>
      </c>
      <c r="B1210" s="22" t="s">
        <v>12</v>
      </c>
      <c r="C1210" s="23" t="s">
        <v>65</v>
      </c>
      <c r="D1210" s="23" t="s">
        <v>84</v>
      </c>
      <c r="E1210" s="23" t="s">
        <v>196</v>
      </c>
      <c r="F1210" s="23" t="s">
        <v>58</v>
      </c>
      <c r="G1210" s="24">
        <f>G1211</f>
        <v>354300</v>
      </c>
      <c r="H1210" s="24">
        <f t="shared" ref="H1210:I1210" si="853">H1211</f>
        <v>357850</v>
      </c>
      <c r="I1210" s="24">
        <f t="shared" si="853"/>
        <v>357850</v>
      </c>
      <c r="J1210" s="16">
        <f>'БА в тыс. руб.'!G1210*1000</f>
        <v>354300</v>
      </c>
      <c r="K1210" s="169">
        <f t="shared" si="812"/>
        <v>0</v>
      </c>
      <c r="L1210" s="16">
        <f>'БА в тыс. руб.'!H1210*1000</f>
        <v>357850</v>
      </c>
      <c r="M1210" s="169">
        <f t="shared" si="813"/>
        <v>0</v>
      </c>
      <c r="N1210" s="16">
        <f>'БА в тыс. руб.'!I1210*1000</f>
        <v>357850</v>
      </c>
      <c r="O1210" s="169">
        <f t="shared" si="814"/>
        <v>0</v>
      </c>
      <c r="S1210" s="30"/>
      <c r="T1210" s="30"/>
      <c r="U1210" s="30"/>
    </row>
    <row r="1211" spans="1:21" s="3" customFormat="1" ht="38.25">
      <c r="A1211" s="13" t="s">
        <v>745</v>
      </c>
      <c r="B1211" s="25" t="s">
        <v>12</v>
      </c>
      <c r="C1211" s="26" t="s">
        <v>65</v>
      </c>
      <c r="D1211" s="26" t="s">
        <v>84</v>
      </c>
      <c r="E1211" s="26" t="s">
        <v>280</v>
      </c>
      <c r="F1211" s="26" t="s">
        <v>58</v>
      </c>
      <c r="G1211" s="27">
        <f t="shared" ref="G1211:I1215" si="854">G1212</f>
        <v>354300</v>
      </c>
      <c r="H1211" s="27">
        <f t="shared" si="854"/>
        <v>357850</v>
      </c>
      <c r="I1211" s="27">
        <f t="shared" si="854"/>
        <v>357850</v>
      </c>
      <c r="J1211" s="16">
        <f>'БА в тыс. руб.'!G1211*1000</f>
        <v>354300</v>
      </c>
      <c r="K1211" s="169">
        <f t="shared" si="812"/>
        <v>0</v>
      </c>
      <c r="L1211" s="16">
        <f>'БА в тыс. руб.'!H1211*1000</f>
        <v>357850</v>
      </c>
      <c r="M1211" s="169">
        <f t="shared" si="813"/>
        <v>0</v>
      </c>
      <c r="N1211" s="16">
        <f>'БА в тыс. руб.'!I1211*1000</f>
        <v>357850</v>
      </c>
      <c r="O1211" s="169">
        <f t="shared" si="814"/>
        <v>0</v>
      </c>
      <c r="S1211" s="30"/>
      <c r="T1211" s="30"/>
      <c r="U1211" s="30"/>
    </row>
    <row r="1212" spans="1:21" s="3" customFormat="1" ht="51">
      <c r="A1212" s="13" t="s">
        <v>746</v>
      </c>
      <c r="B1212" s="25" t="s">
        <v>12</v>
      </c>
      <c r="C1212" s="26" t="s">
        <v>65</v>
      </c>
      <c r="D1212" s="26" t="s">
        <v>84</v>
      </c>
      <c r="E1212" s="26" t="s">
        <v>281</v>
      </c>
      <c r="F1212" s="26" t="s">
        <v>58</v>
      </c>
      <c r="G1212" s="27">
        <f t="shared" si="854"/>
        <v>354300</v>
      </c>
      <c r="H1212" s="27">
        <f t="shared" si="854"/>
        <v>357850</v>
      </c>
      <c r="I1212" s="27">
        <f t="shared" si="854"/>
        <v>357850</v>
      </c>
      <c r="J1212" s="16">
        <f>'БА в тыс. руб.'!G1212*1000</f>
        <v>354300</v>
      </c>
      <c r="K1212" s="169">
        <f t="shared" si="812"/>
        <v>0</v>
      </c>
      <c r="L1212" s="16">
        <f>'БА в тыс. руб.'!H1212*1000</f>
        <v>357850</v>
      </c>
      <c r="M1212" s="169">
        <f t="shared" si="813"/>
        <v>0</v>
      </c>
      <c r="N1212" s="16">
        <f>'БА в тыс. руб.'!I1212*1000</f>
        <v>357850</v>
      </c>
      <c r="O1212" s="169">
        <f t="shared" si="814"/>
        <v>0</v>
      </c>
      <c r="S1212" s="30"/>
      <c r="T1212" s="30"/>
      <c r="U1212" s="30"/>
    </row>
    <row r="1213" spans="1:21" s="3" customFormat="1" ht="38.25">
      <c r="A1213" s="140" t="s">
        <v>282</v>
      </c>
      <c r="B1213" s="141" t="s">
        <v>12</v>
      </c>
      <c r="C1213" s="26" t="s">
        <v>65</v>
      </c>
      <c r="D1213" s="26" t="s">
        <v>84</v>
      </c>
      <c r="E1213" s="26" t="s">
        <v>283</v>
      </c>
      <c r="F1213" s="26" t="s">
        <v>58</v>
      </c>
      <c r="G1213" s="27">
        <f t="shared" si="854"/>
        <v>354300</v>
      </c>
      <c r="H1213" s="27">
        <f t="shared" si="854"/>
        <v>357850</v>
      </c>
      <c r="I1213" s="27">
        <f t="shared" si="854"/>
        <v>357850</v>
      </c>
      <c r="J1213" s="16">
        <f>'БА в тыс. руб.'!G1213*1000</f>
        <v>354300</v>
      </c>
      <c r="K1213" s="169">
        <f t="shared" si="812"/>
        <v>0</v>
      </c>
      <c r="L1213" s="16">
        <f>'БА в тыс. руб.'!H1213*1000</f>
        <v>357850</v>
      </c>
      <c r="M1213" s="169">
        <f t="shared" si="813"/>
        <v>0</v>
      </c>
      <c r="N1213" s="16">
        <f>'БА в тыс. руб.'!I1213*1000</f>
        <v>357850</v>
      </c>
      <c r="O1213" s="169">
        <f t="shared" si="814"/>
        <v>0</v>
      </c>
      <c r="S1213" s="30"/>
      <c r="T1213" s="30"/>
      <c r="U1213" s="30"/>
    </row>
    <row r="1214" spans="1:21" s="3" customFormat="1" ht="25.5">
      <c r="A1214" s="11" t="s">
        <v>167</v>
      </c>
      <c r="B1214" s="25" t="s">
        <v>12</v>
      </c>
      <c r="C1214" s="26" t="s">
        <v>65</v>
      </c>
      <c r="D1214" s="26" t="s">
        <v>84</v>
      </c>
      <c r="E1214" s="26" t="s">
        <v>491</v>
      </c>
      <c r="F1214" s="26" t="s">
        <v>58</v>
      </c>
      <c r="G1214" s="27">
        <f t="shared" si="854"/>
        <v>354300</v>
      </c>
      <c r="H1214" s="27">
        <f t="shared" si="854"/>
        <v>357850</v>
      </c>
      <c r="I1214" s="27">
        <f t="shared" si="854"/>
        <v>357850</v>
      </c>
      <c r="J1214" s="16">
        <f>'БА в тыс. руб.'!G1214*1000</f>
        <v>354300</v>
      </c>
      <c r="K1214" s="169">
        <f t="shared" si="812"/>
        <v>0</v>
      </c>
      <c r="L1214" s="16">
        <f>'БА в тыс. руб.'!H1214*1000</f>
        <v>357850</v>
      </c>
      <c r="M1214" s="169">
        <f t="shared" si="813"/>
        <v>0</v>
      </c>
      <c r="N1214" s="16">
        <f>'БА в тыс. руб.'!I1214*1000</f>
        <v>357850</v>
      </c>
      <c r="O1214" s="169">
        <f t="shared" si="814"/>
        <v>0</v>
      </c>
      <c r="S1214" s="30"/>
      <c r="T1214" s="30"/>
      <c r="U1214" s="30"/>
    </row>
    <row r="1215" spans="1:21" s="3" customFormat="1" ht="25.5">
      <c r="A1215" s="11" t="s">
        <v>108</v>
      </c>
      <c r="B1215" s="25" t="s">
        <v>12</v>
      </c>
      <c r="C1215" s="26" t="s">
        <v>65</v>
      </c>
      <c r="D1215" s="26" t="s">
        <v>84</v>
      </c>
      <c r="E1215" s="26" t="s">
        <v>491</v>
      </c>
      <c r="F1215" s="26" t="s">
        <v>116</v>
      </c>
      <c r="G1215" s="27">
        <f>G1216</f>
        <v>354300</v>
      </c>
      <c r="H1215" s="27">
        <f t="shared" si="854"/>
        <v>357850</v>
      </c>
      <c r="I1215" s="27">
        <f t="shared" si="854"/>
        <v>357850</v>
      </c>
      <c r="J1215" s="16">
        <f>'БА в тыс. руб.'!G1215*1000</f>
        <v>354300</v>
      </c>
      <c r="K1215" s="169">
        <f t="shared" si="812"/>
        <v>0</v>
      </c>
      <c r="L1215" s="16">
        <f>'БА в тыс. руб.'!H1215*1000</f>
        <v>357850</v>
      </c>
      <c r="M1215" s="169">
        <f t="shared" si="813"/>
        <v>0</v>
      </c>
      <c r="N1215" s="16">
        <f>'БА в тыс. руб.'!I1215*1000</f>
        <v>357850</v>
      </c>
      <c r="O1215" s="169">
        <f t="shared" si="814"/>
        <v>0</v>
      </c>
      <c r="S1215" s="30"/>
      <c r="T1215" s="30"/>
      <c r="U1215" s="30"/>
    </row>
    <row r="1216" spans="1:21" s="4" customFormat="1" ht="25.5">
      <c r="A1216" s="12" t="s">
        <v>973</v>
      </c>
      <c r="B1216" s="25" t="s">
        <v>12</v>
      </c>
      <c r="C1216" s="26" t="s">
        <v>65</v>
      </c>
      <c r="D1216" s="26" t="s">
        <v>84</v>
      </c>
      <c r="E1216" s="26" t="s">
        <v>491</v>
      </c>
      <c r="F1216" s="26" t="s">
        <v>1043</v>
      </c>
      <c r="G1216" s="27">
        <f t="shared" ref="G1216" si="855">J1216</f>
        <v>354300</v>
      </c>
      <c r="H1216" s="27">
        <f>L1216</f>
        <v>357850</v>
      </c>
      <c r="I1216" s="27">
        <f>N1216</f>
        <v>357850</v>
      </c>
      <c r="J1216" s="16">
        <f>'БА в тыс. руб.'!G1216*1000</f>
        <v>354300</v>
      </c>
      <c r="K1216" s="169">
        <f t="shared" si="812"/>
        <v>0</v>
      </c>
      <c r="L1216" s="16">
        <f>'БА в тыс. руб.'!H1216*1000</f>
        <v>357850</v>
      </c>
      <c r="M1216" s="169">
        <f t="shared" si="813"/>
        <v>0</v>
      </c>
      <c r="N1216" s="16">
        <f>'БА в тыс. руб.'!I1216*1000</f>
        <v>357850</v>
      </c>
      <c r="O1216" s="169">
        <f t="shared" si="814"/>
        <v>0</v>
      </c>
      <c r="S1216" s="83"/>
      <c r="T1216" s="83"/>
      <c r="U1216" s="83"/>
    </row>
    <row r="1217" spans="1:21" s="3" customFormat="1">
      <c r="A1217" s="17" t="s">
        <v>35</v>
      </c>
      <c r="B1217" s="18" t="s">
        <v>12</v>
      </c>
      <c r="C1217" s="19" t="s">
        <v>37</v>
      </c>
      <c r="D1217" s="19" t="s">
        <v>51</v>
      </c>
      <c r="E1217" s="19" t="s">
        <v>196</v>
      </c>
      <c r="F1217" s="19" t="s">
        <v>58</v>
      </c>
      <c r="G1217" s="20">
        <f t="shared" ref="G1217:I1220" si="856">G1218</f>
        <v>55609450</v>
      </c>
      <c r="H1217" s="20">
        <f t="shared" si="856"/>
        <v>49975940</v>
      </c>
      <c r="I1217" s="20">
        <f t="shared" si="856"/>
        <v>49975940</v>
      </c>
      <c r="J1217" s="16">
        <f>'БА в тыс. руб.'!G1217*1000</f>
        <v>55609450</v>
      </c>
      <c r="K1217" s="169">
        <f t="shared" si="812"/>
        <v>0</v>
      </c>
      <c r="L1217" s="16">
        <f>'БА в тыс. руб.'!H1217*1000</f>
        <v>49975940</v>
      </c>
      <c r="M1217" s="169">
        <f t="shared" si="813"/>
        <v>0</v>
      </c>
      <c r="N1217" s="16">
        <f>'БА в тыс. руб.'!I1217*1000</f>
        <v>49975940</v>
      </c>
      <c r="O1217" s="169">
        <f t="shared" si="814"/>
        <v>0</v>
      </c>
      <c r="S1217" s="30"/>
      <c r="T1217" s="30"/>
      <c r="U1217" s="30"/>
    </row>
    <row r="1218" spans="1:21" s="3" customFormat="1">
      <c r="A1218" s="21" t="s">
        <v>88</v>
      </c>
      <c r="B1218" s="22" t="s">
        <v>12</v>
      </c>
      <c r="C1218" s="23" t="s">
        <v>37</v>
      </c>
      <c r="D1218" s="23" t="s">
        <v>25</v>
      </c>
      <c r="E1218" s="23" t="s">
        <v>196</v>
      </c>
      <c r="F1218" s="23" t="s">
        <v>58</v>
      </c>
      <c r="G1218" s="24">
        <f t="shared" si="856"/>
        <v>55609450</v>
      </c>
      <c r="H1218" s="24">
        <f t="shared" si="856"/>
        <v>49975940</v>
      </c>
      <c r="I1218" s="24">
        <f t="shared" si="856"/>
        <v>49975940</v>
      </c>
      <c r="J1218" s="16">
        <f>'БА в тыс. руб.'!G1218*1000</f>
        <v>55609450</v>
      </c>
      <c r="K1218" s="169">
        <f t="shared" si="812"/>
        <v>0</v>
      </c>
      <c r="L1218" s="16">
        <f>'БА в тыс. руб.'!H1218*1000</f>
        <v>49975940</v>
      </c>
      <c r="M1218" s="169">
        <f t="shared" si="813"/>
        <v>0</v>
      </c>
      <c r="N1218" s="16">
        <f>'БА в тыс. руб.'!I1218*1000</f>
        <v>49975940</v>
      </c>
      <c r="O1218" s="169">
        <f t="shared" si="814"/>
        <v>0</v>
      </c>
      <c r="S1218" s="30"/>
      <c r="T1218" s="30"/>
      <c r="U1218" s="30"/>
    </row>
    <row r="1219" spans="1:21" s="3" customFormat="1" ht="38.25">
      <c r="A1219" s="12" t="s">
        <v>722</v>
      </c>
      <c r="B1219" s="25" t="s">
        <v>12</v>
      </c>
      <c r="C1219" s="26" t="s">
        <v>37</v>
      </c>
      <c r="D1219" s="26" t="s">
        <v>25</v>
      </c>
      <c r="E1219" s="26" t="s">
        <v>300</v>
      </c>
      <c r="F1219" s="26" t="s">
        <v>58</v>
      </c>
      <c r="G1219" s="27">
        <f t="shared" si="856"/>
        <v>55609450</v>
      </c>
      <c r="H1219" s="27">
        <f t="shared" si="856"/>
        <v>49975940</v>
      </c>
      <c r="I1219" s="27">
        <f t="shared" si="856"/>
        <v>49975940</v>
      </c>
      <c r="J1219" s="16">
        <f>'БА в тыс. руб.'!G1219*1000</f>
        <v>55609450</v>
      </c>
      <c r="K1219" s="169">
        <f t="shared" si="812"/>
        <v>0</v>
      </c>
      <c r="L1219" s="16">
        <f>'БА в тыс. руб.'!H1219*1000</f>
        <v>49975940</v>
      </c>
      <c r="M1219" s="169">
        <f t="shared" si="813"/>
        <v>0</v>
      </c>
      <c r="N1219" s="16">
        <f>'БА в тыс. руб.'!I1219*1000</f>
        <v>49975940</v>
      </c>
      <c r="O1219" s="169">
        <f t="shared" si="814"/>
        <v>0</v>
      </c>
      <c r="S1219" s="30"/>
      <c r="T1219" s="30"/>
      <c r="U1219" s="30"/>
    </row>
    <row r="1220" spans="1:21" s="3" customFormat="1" ht="38.25">
      <c r="A1220" s="40" t="s">
        <v>729</v>
      </c>
      <c r="B1220" s="142" t="s">
        <v>12</v>
      </c>
      <c r="C1220" s="26" t="s">
        <v>37</v>
      </c>
      <c r="D1220" s="26" t="s">
        <v>25</v>
      </c>
      <c r="E1220" s="26" t="s">
        <v>301</v>
      </c>
      <c r="F1220" s="26" t="s">
        <v>58</v>
      </c>
      <c r="G1220" s="27">
        <f t="shared" si="856"/>
        <v>55609450</v>
      </c>
      <c r="H1220" s="27">
        <f t="shared" si="856"/>
        <v>49975940</v>
      </c>
      <c r="I1220" s="27">
        <f t="shared" si="856"/>
        <v>49975940</v>
      </c>
      <c r="J1220" s="16">
        <f>'БА в тыс. руб.'!G1220*1000</f>
        <v>55609450</v>
      </c>
      <c r="K1220" s="169">
        <f t="shared" si="812"/>
        <v>0</v>
      </c>
      <c r="L1220" s="16">
        <f>'БА в тыс. руб.'!H1220*1000</f>
        <v>49975940</v>
      </c>
      <c r="M1220" s="169">
        <f t="shared" si="813"/>
        <v>0</v>
      </c>
      <c r="N1220" s="16">
        <f>'БА в тыс. руб.'!I1220*1000</f>
        <v>49975940</v>
      </c>
      <c r="O1220" s="169">
        <f t="shared" si="814"/>
        <v>0</v>
      </c>
      <c r="S1220" s="30"/>
      <c r="T1220" s="30"/>
      <c r="U1220" s="30"/>
    </row>
    <row r="1221" spans="1:21" s="3" customFormat="1" ht="38.25">
      <c r="A1221" s="40" t="s">
        <v>644</v>
      </c>
      <c r="B1221" s="25" t="s">
        <v>12</v>
      </c>
      <c r="C1221" s="26" t="s">
        <v>37</v>
      </c>
      <c r="D1221" s="26" t="s">
        <v>25</v>
      </c>
      <c r="E1221" s="26" t="s">
        <v>302</v>
      </c>
      <c r="F1221" s="26" t="s">
        <v>58</v>
      </c>
      <c r="G1221" s="27">
        <f>G1228+G1222+G1225</f>
        <v>55609450</v>
      </c>
      <c r="H1221" s="27">
        <f>H1228+H1222+H1225</f>
        <v>49975940</v>
      </c>
      <c r="I1221" s="27">
        <f>I1228+I1222+I1225</f>
        <v>49975940</v>
      </c>
      <c r="J1221" s="16">
        <f>'БА в тыс. руб.'!G1221*1000</f>
        <v>55609450</v>
      </c>
      <c r="K1221" s="169">
        <f t="shared" si="812"/>
        <v>0</v>
      </c>
      <c r="L1221" s="16">
        <f>'БА в тыс. руб.'!H1221*1000</f>
        <v>49975940</v>
      </c>
      <c r="M1221" s="169">
        <f t="shared" si="813"/>
        <v>0</v>
      </c>
      <c r="N1221" s="16">
        <f>'БА в тыс. руб.'!I1221*1000</f>
        <v>49975940</v>
      </c>
      <c r="O1221" s="169">
        <f t="shared" si="814"/>
        <v>0</v>
      </c>
      <c r="S1221" s="30"/>
      <c r="T1221" s="30"/>
      <c r="U1221" s="30"/>
    </row>
    <row r="1222" spans="1:21" s="3" customFormat="1" ht="25.5">
      <c r="A1222" s="12" t="s">
        <v>493</v>
      </c>
      <c r="B1222" s="25" t="s">
        <v>12</v>
      </c>
      <c r="C1222" s="26" t="s">
        <v>37</v>
      </c>
      <c r="D1222" s="26" t="s">
        <v>25</v>
      </c>
      <c r="E1222" s="26" t="s">
        <v>494</v>
      </c>
      <c r="F1222" s="26" t="s">
        <v>58</v>
      </c>
      <c r="G1222" s="27">
        <f>G1223</f>
        <v>11400000</v>
      </c>
      <c r="H1222" s="27">
        <f>H1223</f>
        <v>10087430</v>
      </c>
      <c r="I1222" s="27">
        <f>I1223</f>
        <v>10087430</v>
      </c>
      <c r="J1222" s="16">
        <f>'БА в тыс. руб.'!G1222*1000</f>
        <v>11400000</v>
      </c>
      <c r="K1222" s="169">
        <f t="shared" si="812"/>
        <v>0</v>
      </c>
      <c r="L1222" s="16">
        <f>'БА в тыс. руб.'!H1222*1000</f>
        <v>10087430</v>
      </c>
      <c r="M1222" s="169">
        <f t="shared" si="813"/>
        <v>0</v>
      </c>
      <c r="N1222" s="16">
        <f>'БА в тыс. руб.'!I1222*1000</f>
        <v>10087430</v>
      </c>
      <c r="O1222" s="169">
        <f t="shared" si="814"/>
        <v>0</v>
      </c>
      <c r="S1222" s="30"/>
      <c r="T1222" s="30"/>
      <c r="U1222" s="30"/>
    </row>
    <row r="1223" spans="1:21" s="3" customFormat="1" ht="25.5">
      <c r="A1223" s="11" t="s">
        <v>108</v>
      </c>
      <c r="B1223" s="25" t="s">
        <v>12</v>
      </c>
      <c r="C1223" s="26" t="s">
        <v>37</v>
      </c>
      <c r="D1223" s="26" t="s">
        <v>25</v>
      </c>
      <c r="E1223" s="26" t="s">
        <v>494</v>
      </c>
      <c r="F1223" s="26" t="s">
        <v>116</v>
      </c>
      <c r="G1223" s="27">
        <f>G1224</f>
        <v>11400000</v>
      </c>
      <c r="H1223" s="27">
        <f t="shared" ref="H1223:I1223" si="857">H1224</f>
        <v>10087430</v>
      </c>
      <c r="I1223" s="27">
        <f t="shared" si="857"/>
        <v>10087430</v>
      </c>
      <c r="J1223" s="16">
        <f>'БА в тыс. руб.'!G1223*1000</f>
        <v>11400000</v>
      </c>
      <c r="K1223" s="169">
        <f t="shared" si="812"/>
        <v>0</v>
      </c>
      <c r="L1223" s="16">
        <f>'БА в тыс. руб.'!H1223*1000</f>
        <v>10087430</v>
      </c>
      <c r="M1223" s="169">
        <f t="shared" si="813"/>
        <v>0</v>
      </c>
      <c r="N1223" s="16">
        <f>'БА в тыс. руб.'!I1223*1000</f>
        <v>10087430</v>
      </c>
      <c r="O1223" s="169">
        <f t="shared" si="814"/>
        <v>0</v>
      </c>
      <c r="S1223" s="30"/>
      <c r="T1223" s="30"/>
      <c r="U1223" s="30"/>
    </row>
    <row r="1224" spans="1:21" s="4" customFormat="1" ht="25.5">
      <c r="A1224" s="12" t="s">
        <v>973</v>
      </c>
      <c r="B1224" s="25" t="s">
        <v>12</v>
      </c>
      <c r="C1224" s="26" t="s">
        <v>37</v>
      </c>
      <c r="D1224" s="26" t="s">
        <v>25</v>
      </c>
      <c r="E1224" s="26" t="s">
        <v>494</v>
      </c>
      <c r="F1224" s="26" t="s">
        <v>1043</v>
      </c>
      <c r="G1224" s="27">
        <f t="shared" ref="G1224" si="858">J1224</f>
        <v>11400000</v>
      </c>
      <c r="H1224" s="27">
        <f>L1224</f>
        <v>10087430</v>
      </c>
      <c r="I1224" s="27">
        <f>N1224</f>
        <v>10087430</v>
      </c>
      <c r="J1224" s="16">
        <f>'БА в тыс. руб.'!G1224*1000</f>
        <v>11400000</v>
      </c>
      <c r="K1224" s="169">
        <f t="shared" si="812"/>
        <v>0</v>
      </c>
      <c r="L1224" s="16">
        <f>'БА в тыс. руб.'!H1224*1000</f>
        <v>10087430</v>
      </c>
      <c r="M1224" s="169">
        <f t="shared" si="813"/>
        <v>0</v>
      </c>
      <c r="N1224" s="16">
        <f>'БА в тыс. руб.'!I1224*1000</f>
        <v>10087430</v>
      </c>
      <c r="O1224" s="169">
        <f t="shared" si="814"/>
        <v>0</v>
      </c>
      <c r="S1224" s="83"/>
      <c r="T1224" s="83"/>
      <c r="U1224" s="83"/>
    </row>
    <row r="1225" spans="1:21" s="3" customFormat="1" ht="63.75">
      <c r="A1225" s="11" t="s">
        <v>889</v>
      </c>
      <c r="B1225" s="25" t="s">
        <v>12</v>
      </c>
      <c r="C1225" s="26" t="s">
        <v>37</v>
      </c>
      <c r="D1225" s="26" t="s">
        <v>25</v>
      </c>
      <c r="E1225" s="26" t="s">
        <v>834</v>
      </c>
      <c r="F1225" s="26" t="s">
        <v>58</v>
      </c>
      <c r="G1225" s="27">
        <f>G1226</f>
        <v>11412000</v>
      </c>
      <c r="H1225" s="27">
        <f t="shared" ref="H1225:I1226" si="859">H1226</f>
        <v>0</v>
      </c>
      <c r="I1225" s="27">
        <f t="shared" si="859"/>
        <v>0</v>
      </c>
      <c r="J1225" s="16">
        <f>'БА в тыс. руб.'!G1225*1000</f>
        <v>11412000</v>
      </c>
      <c r="K1225" s="169">
        <f t="shared" ref="K1225:K1289" si="860">J1225-G1225</f>
        <v>0</v>
      </c>
      <c r="L1225" s="16">
        <f>'БА в тыс. руб.'!H1225*1000</f>
        <v>0</v>
      </c>
      <c r="M1225" s="169">
        <f t="shared" ref="M1225:M1289" si="861">L1225-H1225</f>
        <v>0</v>
      </c>
      <c r="N1225" s="16">
        <f>'БА в тыс. руб.'!I1225*1000</f>
        <v>0</v>
      </c>
      <c r="O1225" s="169">
        <f t="shared" ref="O1225:O1289" si="862">N1225-I1225</f>
        <v>0</v>
      </c>
      <c r="S1225" s="30"/>
      <c r="T1225" s="30"/>
      <c r="U1225" s="30"/>
    </row>
    <row r="1226" spans="1:21" s="3" customFormat="1" ht="25.5">
      <c r="A1226" s="11" t="s">
        <v>108</v>
      </c>
      <c r="B1226" s="25" t="s">
        <v>12</v>
      </c>
      <c r="C1226" s="26" t="s">
        <v>37</v>
      </c>
      <c r="D1226" s="26" t="s">
        <v>25</v>
      </c>
      <c r="E1226" s="26" t="s">
        <v>834</v>
      </c>
      <c r="F1226" s="26" t="s">
        <v>116</v>
      </c>
      <c r="G1226" s="27">
        <f>G1227</f>
        <v>11412000</v>
      </c>
      <c r="H1226" s="27">
        <f t="shared" si="859"/>
        <v>0</v>
      </c>
      <c r="I1226" s="27">
        <f t="shared" si="859"/>
        <v>0</v>
      </c>
      <c r="J1226" s="16">
        <f>'БА в тыс. руб.'!G1226*1000</f>
        <v>11412000</v>
      </c>
      <c r="K1226" s="169">
        <f t="shared" si="860"/>
        <v>0</v>
      </c>
      <c r="L1226" s="16">
        <f>'БА в тыс. руб.'!H1226*1000</f>
        <v>0</v>
      </c>
      <c r="M1226" s="169">
        <f t="shared" si="861"/>
        <v>0</v>
      </c>
      <c r="N1226" s="16">
        <f>'БА в тыс. руб.'!I1226*1000</f>
        <v>0</v>
      </c>
      <c r="O1226" s="169">
        <f t="shared" si="862"/>
        <v>0</v>
      </c>
      <c r="S1226" s="30"/>
      <c r="T1226" s="30"/>
      <c r="U1226" s="30"/>
    </row>
    <row r="1227" spans="1:21" s="4" customFormat="1" ht="25.5">
      <c r="A1227" s="12" t="s">
        <v>973</v>
      </c>
      <c r="B1227" s="25" t="s">
        <v>12</v>
      </c>
      <c r="C1227" s="26" t="s">
        <v>37</v>
      </c>
      <c r="D1227" s="26" t="s">
        <v>25</v>
      </c>
      <c r="E1227" s="26" t="s">
        <v>834</v>
      </c>
      <c r="F1227" s="26" t="s">
        <v>1043</v>
      </c>
      <c r="G1227" s="27">
        <f t="shared" ref="G1227" si="863">J1227</f>
        <v>11412000</v>
      </c>
      <c r="H1227" s="27">
        <f>L1227</f>
        <v>0</v>
      </c>
      <c r="I1227" s="27">
        <f>N1227</f>
        <v>0</v>
      </c>
      <c r="J1227" s="16">
        <f>'БА в тыс. руб.'!G1227*1000</f>
        <v>11412000</v>
      </c>
      <c r="K1227" s="169">
        <f t="shared" si="860"/>
        <v>0</v>
      </c>
      <c r="L1227" s="16">
        <f>'БА в тыс. руб.'!H1227*1000</f>
        <v>0</v>
      </c>
      <c r="M1227" s="169">
        <f t="shared" si="861"/>
        <v>0</v>
      </c>
      <c r="N1227" s="16">
        <f>'БА в тыс. руб.'!I1227*1000</f>
        <v>0</v>
      </c>
      <c r="O1227" s="169">
        <f t="shared" si="862"/>
        <v>0</v>
      </c>
      <c r="S1227" s="83"/>
      <c r="T1227" s="83"/>
      <c r="U1227" s="83"/>
    </row>
    <row r="1228" spans="1:21" s="3" customFormat="1" ht="25.5">
      <c r="A1228" s="11" t="s">
        <v>902</v>
      </c>
      <c r="B1228" s="25" t="s">
        <v>12</v>
      </c>
      <c r="C1228" s="26" t="s">
        <v>37</v>
      </c>
      <c r="D1228" s="26" t="s">
        <v>25</v>
      </c>
      <c r="E1228" s="26" t="s">
        <v>909</v>
      </c>
      <c r="F1228" s="26" t="s">
        <v>58</v>
      </c>
      <c r="G1228" s="27">
        <f>G1229</f>
        <v>32797449.999999996</v>
      </c>
      <c r="H1228" s="27">
        <f>H1229</f>
        <v>39888510</v>
      </c>
      <c r="I1228" s="27">
        <f>I1229</f>
        <v>39888510</v>
      </c>
      <c r="J1228" s="16">
        <f>'БА в тыс. руб.'!G1228*1000</f>
        <v>32797449.999999996</v>
      </c>
      <c r="K1228" s="169">
        <f t="shared" si="860"/>
        <v>0</v>
      </c>
      <c r="L1228" s="16">
        <f>'БА в тыс. руб.'!H1228*1000</f>
        <v>39888510</v>
      </c>
      <c r="M1228" s="169">
        <f t="shared" si="861"/>
        <v>0</v>
      </c>
      <c r="N1228" s="16">
        <f>'БА в тыс. руб.'!I1228*1000</f>
        <v>39888510</v>
      </c>
      <c r="O1228" s="169">
        <f t="shared" si="862"/>
        <v>0</v>
      </c>
      <c r="S1228" s="30"/>
      <c r="T1228" s="30"/>
      <c r="U1228" s="30"/>
    </row>
    <row r="1229" spans="1:21" s="3" customFormat="1" ht="25.5">
      <c r="A1229" s="11" t="s">
        <v>108</v>
      </c>
      <c r="B1229" s="25" t="s">
        <v>12</v>
      </c>
      <c r="C1229" s="26" t="s">
        <v>37</v>
      </c>
      <c r="D1229" s="26" t="s">
        <v>25</v>
      </c>
      <c r="E1229" s="26" t="s">
        <v>909</v>
      </c>
      <c r="F1229" s="26" t="s">
        <v>116</v>
      </c>
      <c r="G1229" s="27">
        <f>G1230</f>
        <v>32797449.999999996</v>
      </c>
      <c r="H1229" s="27">
        <f t="shared" ref="H1229:I1229" si="864">H1230</f>
        <v>39888510</v>
      </c>
      <c r="I1229" s="27">
        <f t="shared" si="864"/>
        <v>39888510</v>
      </c>
      <c r="J1229" s="16">
        <f>'БА в тыс. руб.'!G1229*1000</f>
        <v>32797449.999999996</v>
      </c>
      <c r="K1229" s="169">
        <f t="shared" si="860"/>
        <v>0</v>
      </c>
      <c r="L1229" s="16">
        <f>'БА в тыс. руб.'!H1229*1000</f>
        <v>39888510</v>
      </c>
      <c r="M1229" s="169">
        <f t="shared" si="861"/>
        <v>0</v>
      </c>
      <c r="N1229" s="16">
        <f>'БА в тыс. руб.'!I1229*1000</f>
        <v>39888510</v>
      </c>
      <c r="O1229" s="169">
        <f t="shared" si="862"/>
        <v>0</v>
      </c>
      <c r="S1229" s="30"/>
      <c r="T1229" s="30"/>
      <c r="U1229" s="30"/>
    </row>
    <row r="1230" spans="1:21" s="4" customFormat="1" ht="25.5">
      <c r="A1230" s="12" t="s">
        <v>973</v>
      </c>
      <c r="B1230" s="25" t="s">
        <v>12</v>
      </c>
      <c r="C1230" s="26" t="s">
        <v>37</v>
      </c>
      <c r="D1230" s="26" t="s">
        <v>25</v>
      </c>
      <c r="E1230" s="26" t="s">
        <v>909</v>
      </c>
      <c r="F1230" s="26" t="s">
        <v>1043</v>
      </c>
      <c r="G1230" s="27">
        <f t="shared" ref="G1230" si="865">J1230</f>
        <v>32797449.999999996</v>
      </c>
      <c r="H1230" s="27">
        <f>L1230</f>
        <v>39888510</v>
      </c>
      <c r="I1230" s="27">
        <f>N1230</f>
        <v>39888510</v>
      </c>
      <c r="J1230" s="16">
        <f>'БА в тыс. руб.'!G1230*1000</f>
        <v>32797449.999999996</v>
      </c>
      <c r="K1230" s="169">
        <f t="shared" si="860"/>
        <v>0</v>
      </c>
      <c r="L1230" s="16">
        <f>'БА в тыс. руб.'!H1230*1000</f>
        <v>39888510</v>
      </c>
      <c r="M1230" s="169">
        <f t="shared" si="861"/>
        <v>0</v>
      </c>
      <c r="N1230" s="16">
        <f>'БА в тыс. руб.'!I1230*1000</f>
        <v>39888510</v>
      </c>
      <c r="O1230" s="169">
        <f t="shared" si="862"/>
        <v>0</v>
      </c>
      <c r="S1230" s="83"/>
      <c r="T1230" s="83"/>
      <c r="U1230" s="83"/>
    </row>
    <row r="1231" spans="1:21" s="3" customFormat="1">
      <c r="A1231" s="17" t="s">
        <v>7</v>
      </c>
      <c r="B1231" s="18" t="s">
        <v>12</v>
      </c>
      <c r="C1231" s="19" t="s">
        <v>8</v>
      </c>
      <c r="D1231" s="19" t="s">
        <v>51</v>
      </c>
      <c r="E1231" s="19" t="s">
        <v>196</v>
      </c>
      <c r="F1231" s="19" t="s">
        <v>58</v>
      </c>
      <c r="G1231" s="20">
        <f>G1232+G1240</f>
        <v>20378620</v>
      </c>
      <c r="H1231" s="20">
        <f>H1232+H1240</f>
        <v>19757870</v>
      </c>
      <c r="I1231" s="20">
        <f>I1232+I1240</f>
        <v>19757870</v>
      </c>
      <c r="J1231" s="16">
        <f>'БА в тыс. руб.'!G1231*1000</f>
        <v>20378620</v>
      </c>
      <c r="K1231" s="169">
        <f t="shared" si="860"/>
        <v>0</v>
      </c>
      <c r="L1231" s="16">
        <f>'БА в тыс. руб.'!H1231*1000</f>
        <v>19757870</v>
      </c>
      <c r="M1231" s="169">
        <f t="shared" si="861"/>
        <v>0</v>
      </c>
      <c r="N1231" s="16">
        <f>'БА в тыс. руб.'!I1231*1000</f>
        <v>19757870</v>
      </c>
      <c r="O1231" s="169">
        <f t="shared" si="862"/>
        <v>0</v>
      </c>
      <c r="S1231" s="30"/>
      <c r="T1231" s="30"/>
      <c r="U1231" s="30"/>
    </row>
    <row r="1232" spans="1:21" s="3" customFormat="1">
      <c r="A1232" s="21" t="s">
        <v>9</v>
      </c>
      <c r="B1232" s="22" t="s">
        <v>12</v>
      </c>
      <c r="C1232" s="23" t="s">
        <v>8</v>
      </c>
      <c r="D1232" s="23" t="s">
        <v>65</v>
      </c>
      <c r="E1232" s="23" t="s">
        <v>196</v>
      </c>
      <c r="F1232" s="23" t="s">
        <v>58</v>
      </c>
      <c r="G1232" s="24">
        <f t="shared" ref="G1232:I1233" si="866">G1233</f>
        <v>1256660</v>
      </c>
      <c r="H1232" s="24">
        <f t="shared" si="866"/>
        <v>1220060</v>
      </c>
      <c r="I1232" s="24">
        <f t="shared" si="866"/>
        <v>1220060</v>
      </c>
      <c r="J1232" s="16">
        <f>'БА в тыс. руб.'!G1232*1000</f>
        <v>1256659.9999999998</v>
      </c>
      <c r="K1232" s="169">
        <f t="shared" si="860"/>
        <v>0</v>
      </c>
      <c r="L1232" s="16">
        <f>'БА в тыс. руб.'!H1232*1000</f>
        <v>1220060</v>
      </c>
      <c r="M1232" s="169">
        <f t="shared" si="861"/>
        <v>0</v>
      </c>
      <c r="N1232" s="16">
        <f>'БА в тыс. руб.'!I1232*1000</f>
        <v>1220060</v>
      </c>
      <c r="O1232" s="169">
        <f t="shared" si="862"/>
        <v>0</v>
      </c>
      <c r="S1232" s="30"/>
      <c r="T1232" s="30"/>
      <c r="U1232" s="30"/>
    </row>
    <row r="1233" spans="1:21" s="3" customFormat="1" ht="38.25">
      <c r="A1233" s="12" t="s">
        <v>722</v>
      </c>
      <c r="B1233" s="25" t="s">
        <v>12</v>
      </c>
      <c r="C1233" s="26" t="s">
        <v>8</v>
      </c>
      <c r="D1233" s="26" t="s">
        <v>65</v>
      </c>
      <c r="E1233" s="26" t="s">
        <v>300</v>
      </c>
      <c r="F1233" s="26" t="s">
        <v>58</v>
      </c>
      <c r="G1233" s="27">
        <f t="shared" si="866"/>
        <v>1256660</v>
      </c>
      <c r="H1233" s="27">
        <f t="shared" si="866"/>
        <v>1220060</v>
      </c>
      <c r="I1233" s="27">
        <f t="shared" si="866"/>
        <v>1220060</v>
      </c>
      <c r="J1233" s="16">
        <f>'БА в тыс. руб.'!G1233*1000</f>
        <v>1256659.9999999998</v>
      </c>
      <c r="K1233" s="169">
        <f t="shared" si="860"/>
        <v>0</v>
      </c>
      <c r="L1233" s="16">
        <f>'БА в тыс. руб.'!H1233*1000</f>
        <v>1220060</v>
      </c>
      <c r="M1233" s="169">
        <f t="shared" si="861"/>
        <v>0</v>
      </c>
      <c r="N1233" s="16">
        <f>'БА в тыс. руб.'!I1233*1000</f>
        <v>1220060</v>
      </c>
      <c r="O1233" s="169">
        <f t="shared" si="862"/>
        <v>0</v>
      </c>
      <c r="S1233" s="30"/>
      <c r="T1233" s="30"/>
      <c r="U1233" s="30"/>
    </row>
    <row r="1234" spans="1:21" s="3" customFormat="1" ht="25.5">
      <c r="A1234" s="11" t="s">
        <v>155</v>
      </c>
      <c r="B1234" s="25" t="s">
        <v>12</v>
      </c>
      <c r="C1234" s="26" t="s">
        <v>8</v>
      </c>
      <c r="D1234" s="26" t="s">
        <v>65</v>
      </c>
      <c r="E1234" s="26" t="s">
        <v>495</v>
      </c>
      <c r="F1234" s="26" t="s">
        <v>58</v>
      </c>
      <c r="G1234" s="27">
        <f>G1237</f>
        <v>1256660</v>
      </c>
      <c r="H1234" s="27">
        <f>H1237</f>
        <v>1220060</v>
      </c>
      <c r="I1234" s="27">
        <f>I1237</f>
        <v>1220060</v>
      </c>
      <c r="J1234" s="16">
        <f>'БА в тыс. руб.'!G1234*1000</f>
        <v>1256659.9999999998</v>
      </c>
      <c r="K1234" s="169">
        <f t="shared" si="860"/>
        <v>0</v>
      </c>
      <c r="L1234" s="16">
        <f>'БА в тыс. руб.'!H1234*1000</f>
        <v>1220060</v>
      </c>
      <c r="M1234" s="169">
        <f t="shared" si="861"/>
        <v>0</v>
      </c>
      <c r="N1234" s="16">
        <f>'БА в тыс. руб.'!I1234*1000</f>
        <v>1220060</v>
      </c>
      <c r="O1234" s="169">
        <f t="shared" si="862"/>
        <v>0</v>
      </c>
      <c r="S1234" s="30"/>
      <c r="T1234" s="30"/>
      <c r="U1234" s="30"/>
    </row>
    <row r="1235" spans="1:21" s="3" customFormat="1" ht="38.25">
      <c r="A1235" s="40" t="s">
        <v>522</v>
      </c>
      <c r="B1235" s="35" t="s">
        <v>12</v>
      </c>
      <c r="C1235" s="36" t="s">
        <v>8</v>
      </c>
      <c r="D1235" s="36" t="s">
        <v>65</v>
      </c>
      <c r="E1235" s="36" t="s">
        <v>497</v>
      </c>
      <c r="F1235" s="36" t="s">
        <v>58</v>
      </c>
      <c r="G1235" s="37">
        <f t="shared" ref="G1235:I1236" si="867">G1236</f>
        <v>1256660</v>
      </c>
      <c r="H1235" s="37">
        <f t="shared" si="867"/>
        <v>1220060</v>
      </c>
      <c r="I1235" s="37">
        <f t="shared" si="867"/>
        <v>1220060</v>
      </c>
      <c r="J1235" s="16">
        <f>'БА в тыс. руб.'!G1235*1000</f>
        <v>1256659.9999999998</v>
      </c>
      <c r="K1235" s="169">
        <f t="shared" si="860"/>
        <v>0</v>
      </c>
      <c r="L1235" s="16">
        <f>'БА в тыс. руб.'!H1235*1000</f>
        <v>1220060</v>
      </c>
      <c r="M1235" s="169">
        <f t="shared" si="861"/>
        <v>0</v>
      </c>
      <c r="N1235" s="16">
        <f>'БА в тыс. руб.'!I1235*1000</f>
        <v>1220060</v>
      </c>
      <c r="O1235" s="169">
        <f t="shared" si="862"/>
        <v>0</v>
      </c>
      <c r="S1235" s="30"/>
      <c r="T1235" s="30"/>
      <c r="U1235" s="30"/>
    </row>
    <row r="1236" spans="1:21" s="3" customFormat="1" ht="25.5">
      <c r="A1236" s="12" t="s">
        <v>148</v>
      </c>
      <c r="B1236" s="25" t="s">
        <v>12</v>
      </c>
      <c r="C1236" s="26" t="s">
        <v>8</v>
      </c>
      <c r="D1236" s="26" t="s">
        <v>65</v>
      </c>
      <c r="E1236" s="26" t="s">
        <v>498</v>
      </c>
      <c r="F1236" s="26" t="s">
        <v>58</v>
      </c>
      <c r="G1236" s="27">
        <f t="shared" si="867"/>
        <v>1256660</v>
      </c>
      <c r="H1236" s="27">
        <f t="shared" si="867"/>
        <v>1220060</v>
      </c>
      <c r="I1236" s="27">
        <f t="shared" si="867"/>
        <v>1220060</v>
      </c>
      <c r="J1236" s="16">
        <f>'БА в тыс. руб.'!G1236*1000</f>
        <v>1256659.9999999998</v>
      </c>
      <c r="K1236" s="169">
        <f t="shared" si="860"/>
        <v>0</v>
      </c>
      <c r="L1236" s="16">
        <f>'БА в тыс. руб.'!H1236*1000</f>
        <v>1220060</v>
      </c>
      <c r="M1236" s="169">
        <f t="shared" si="861"/>
        <v>0</v>
      </c>
      <c r="N1236" s="16">
        <f>'БА в тыс. руб.'!I1236*1000</f>
        <v>1220060</v>
      </c>
      <c r="O1236" s="169">
        <f t="shared" si="862"/>
        <v>0</v>
      </c>
      <c r="S1236" s="30"/>
      <c r="T1236" s="30"/>
      <c r="U1236" s="30"/>
    </row>
    <row r="1237" spans="1:21" s="3" customFormat="1" ht="25.5">
      <c r="A1237" s="11" t="s">
        <v>108</v>
      </c>
      <c r="B1237" s="25" t="s">
        <v>12</v>
      </c>
      <c r="C1237" s="26" t="s">
        <v>8</v>
      </c>
      <c r="D1237" s="26" t="s">
        <v>65</v>
      </c>
      <c r="E1237" s="26" t="s">
        <v>498</v>
      </c>
      <c r="F1237" s="26" t="s">
        <v>116</v>
      </c>
      <c r="G1237" s="27">
        <f>SUM(G1238:G1239)</f>
        <v>1256660</v>
      </c>
      <c r="H1237" s="27">
        <f t="shared" ref="H1237:I1237" si="868">SUM(H1238:H1239)</f>
        <v>1220060</v>
      </c>
      <c r="I1237" s="27">
        <f t="shared" si="868"/>
        <v>1220060</v>
      </c>
      <c r="J1237" s="16">
        <f>'БА в тыс. руб.'!G1237*1000</f>
        <v>1256659.9999999998</v>
      </c>
      <c r="K1237" s="169">
        <f t="shared" si="860"/>
        <v>0</v>
      </c>
      <c r="L1237" s="16">
        <f>'БА в тыс. руб.'!H1237*1000</f>
        <v>1220060</v>
      </c>
      <c r="M1237" s="169">
        <f t="shared" si="861"/>
        <v>0</v>
      </c>
      <c r="N1237" s="16">
        <f>'БА в тыс. руб.'!I1237*1000</f>
        <v>1220060</v>
      </c>
      <c r="O1237" s="169">
        <f t="shared" si="862"/>
        <v>0</v>
      </c>
      <c r="S1237" s="30"/>
      <c r="T1237" s="30"/>
      <c r="U1237" s="30"/>
    </row>
    <row r="1238" spans="1:21" s="3" customFormat="1">
      <c r="A1238" s="11"/>
      <c r="B1238" s="25" t="s">
        <v>12</v>
      </c>
      <c r="C1238" s="26" t="s">
        <v>8</v>
      </c>
      <c r="D1238" s="26" t="s">
        <v>65</v>
      </c>
      <c r="E1238" s="26" t="s">
        <v>498</v>
      </c>
      <c r="F1238" s="26" t="s">
        <v>1070</v>
      </c>
      <c r="G1238" s="27">
        <f t="shared" ref="G1238:G1239" si="869">J1238</f>
        <v>259120</v>
      </c>
      <c r="H1238" s="27">
        <f t="shared" ref="H1238:H1239" si="870">L1238</f>
        <v>222520</v>
      </c>
      <c r="I1238" s="27">
        <f t="shared" ref="I1238:I1239" si="871">N1238</f>
        <v>222520</v>
      </c>
      <c r="J1238" s="16">
        <f>'БА в тыс. руб.'!G1238*1000</f>
        <v>259120</v>
      </c>
      <c r="K1238" s="169"/>
      <c r="L1238" s="16">
        <f>'БА в тыс. руб.'!H1238*1000</f>
        <v>222520</v>
      </c>
      <c r="M1238" s="169"/>
      <c r="N1238" s="16">
        <f>'БА в тыс. руб.'!I1238*1000</f>
        <v>222520</v>
      </c>
      <c r="O1238" s="169"/>
      <c r="S1238" s="30"/>
      <c r="T1238" s="30"/>
      <c r="U1238" s="30"/>
    </row>
    <row r="1239" spans="1:21" s="3" customFormat="1" ht="25.5">
      <c r="A1239" s="12" t="s">
        <v>973</v>
      </c>
      <c r="B1239" s="25" t="s">
        <v>12</v>
      </c>
      <c r="C1239" s="26" t="s">
        <v>8</v>
      </c>
      <c r="D1239" s="26" t="s">
        <v>65</v>
      </c>
      <c r="E1239" s="26" t="s">
        <v>498</v>
      </c>
      <c r="F1239" s="26" t="s">
        <v>1043</v>
      </c>
      <c r="G1239" s="27">
        <f t="shared" si="869"/>
        <v>997540</v>
      </c>
      <c r="H1239" s="27">
        <f t="shared" si="870"/>
        <v>997540</v>
      </c>
      <c r="I1239" s="27">
        <f t="shared" si="871"/>
        <v>997540</v>
      </c>
      <c r="J1239" s="16">
        <f>'БА в тыс. руб.'!G1239*1000</f>
        <v>997540</v>
      </c>
      <c r="K1239" s="169">
        <f t="shared" si="860"/>
        <v>0</v>
      </c>
      <c r="L1239" s="16">
        <f>'БА в тыс. руб.'!H1239*1000</f>
        <v>997540</v>
      </c>
      <c r="M1239" s="169">
        <f t="shared" si="861"/>
        <v>0</v>
      </c>
      <c r="N1239" s="16">
        <f>'БА в тыс. руб.'!I1239*1000</f>
        <v>997540</v>
      </c>
      <c r="O1239" s="169">
        <f t="shared" si="862"/>
        <v>0</v>
      </c>
      <c r="S1239" s="30"/>
      <c r="T1239" s="30"/>
      <c r="U1239" s="30"/>
    </row>
    <row r="1240" spans="1:21" s="3" customFormat="1">
      <c r="A1240" s="21" t="s">
        <v>1</v>
      </c>
      <c r="B1240" s="22" t="s">
        <v>12</v>
      </c>
      <c r="C1240" s="23" t="s">
        <v>8</v>
      </c>
      <c r="D1240" s="23" t="s">
        <v>53</v>
      </c>
      <c r="E1240" s="23" t="s">
        <v>196</v>
      </c>
      <c r="F1240" s="23" t="s">
        <v>58</v>
      </c>
      <c r="G1240" s="24">
        <f t="shared" ref="G1240:I1242" si="872">G1241</f>
        <v>19121960</v>
      </c>
      <c r="H1240" s="24">
        <f t="shared" si="872"/>
        <v>18537810</v>
      </c>
      <c r="I1240" s="24">
        <f t="shared" si="872"/>
        <v>18537810</v>
      </c>
      <c r="J1240" s="16">
        <f>'БА в тыс. руб.'!G1240*1000</f>
        <v>19121960</v>
      </c>
      <c r="K1240" s="169">
        <f t="shared" si="860"/>
        <v>0</v>
      </c>
      <c r="L1240" s="16">
        <f>'БА в тыс. руб.'!H1240*1000</f>
        <v>18537809.999999996</v>
      </c>
      <c r="M1240" s="169">
        <f t="shared" si="861"/>
        <v>0</v>
      </c>
      <c r="N1240" s="16">
        <f>'БА в тыс. руб.'!I1240*1000</f>
        <v>18537809.999999996</v>
      </c>
      <c r="O1240" s="169">
        <f t="shared" si="862"/>
        <v>0</v>
      </c>
      <c r="S1240" s="30"/>
      <c r="T1240" s="30"/>
      <c r="U1240" s="30"/>
    </row>
    <row r="1241" spans="1:21" s="3" customFormat="1" ht="38.25">
      <c r="A1241" s="12" t="s">
        <v>722</v>
      </c>
      <c r="B1241" s="25" t="s">
        <v>12</v>
      </c>
      <c r="C1241" s="26" t="s">
        <v>8</v>
      </c>
      <c r="D1241" s="26" t="s">
        <v>53</v>
      </c>
      <c r="E1241" s="26" t="s">
        <v>300</v>
      </c>
      <c r="F1241" s="26" t="s">
        <v>58</v>
      </c>
      <c r="G1241" s="27">
        <f t="shared" si="872"/>
        <v>19121960</v>
      </c>
      <c r="H1241" s="27">
        <f t="shared" si="872"/>
        <v>18537810</v>
      </c>
      <c r="I1241" s="27">
        <f t="shared" si="872"/>
        <v>18537810</v>
      </c>
      <c r="J1241" s="16">
        <f>'БА в тыс. руб.'!G1241*1000</f>
        <v>19121960</v>
      </c>
      <c r="K1241" s="169">
        <f t="shared" si="860"/>
        <v>0</v>
      </c>
      <c r="L1241" s="16">
        <f>'БА в тыс. руб.'!H1241*1000</f>
        <v>18537809.999999996</v>
      </c>
      <c r="M1241" s="169">
        <f t="shared" si="861"/>
        <v>0</v>
      </c>
      <c r="N1241" s="16">
        <f>'БА в тыс. руб.'!I1241*1000</f>
        <v>18537809.999999996</v>
      </c>
      <c r="O1241" s="169">
        <f t="shared" si="862"/>
        <v>0</v>
      </c>
      <c r="S1241" s="30"/>
      <c r="T1241" s="30"/>
      <c r="U1241" s="30"/>
    </row>
    <row r="1242" spans="1:21" s="3" customFormat="1">
      <c r="A1242" s="11" t="s">
        <v>142</v>
      </c>
      <c r="B1242" s="25" t="s">
        <v>12</v>
      </c>
      <c r="C1242" s="26" t="s">
        <v>8</v>
      </c>
      <c r="D1242" s="26" t="s">
        <v>53</v>
      </c>
      <c r="E1242" s="26" t="s">
        <v>453</v>
      </c>
      <c r="F1242" s="26" t="s">
        <v>58</v>
      </c>
      <c r="G1242" s="27">
        <f t="shared" si="872"/>
        <v>19121960</v>
      </c>
      <c r="H1242" s="27">
        <f t="shared" si="872"/>
        <v>18537810</v>
      </c>
      <c r="I1242" s="27">
        <f t="shared" si="872"/>
        <v>18537810</v>
      </c>
      <c r="J1242" s="16">
        <f>'БА в тыс. руб.'!G1242*1000</f>
        <v>19121960</v>
      </c>
      <c r="K1242" s="169">
        <f t="shared" si="860"/>
        <v>0</v>
      </c>
      <c r="L1242" s="16">
        <f>'БА в тыс. руб.'!H1242*1000</f>
        <v>18537809.999999996</v>
      </c>
      <c r="M1242" s="169">
        <f t="shared" si="861"/>
        <v>0</v>
      </c>
      <c r="N1242" s="16">
        <f>'БА в тыс. руб.'!I1242*1000</f>
        <v>18537809.999999996</v>
      </c>
      <c r="O1242" s="169">
        <f t="shared" si="862"/>
        <v>0</v>
      </c>
      <c r="S1242" s="30"/>
      <c r="T1242" s="30"/>
      <c r="U1242" s="30"/>
    </row>
    <row r="1243" spans="1:21" s="3" customFormat="1" ht="25.5">
      <c r="A1243" s="40" t="s">
        <v>454</v>
      </c>
      <c r="B1243" s="35" t="s">
        <v>12</v>
      </c>
      <c r="C1243" s="36" t="s">
        <v>8</v>
      </c>
      <c r="D1243" s="36" t="s">
        <v>53</v>
      </c>
      <c r="E1243" s="26" t="s">
        <v>645</v>
      </c>
      <c r="F1243" s="36" t="s">
        <v>58</v>
      </c>
      <c r="G1243" s="37">
        <f>G1244+G1247+G1250</f>
        <v>19121960</v>
      </c>
      <c r="H1243" s="37">
        <f>H1244+H1247+H1250</f>
        <v>18537810</v>
      </c>
      <c r="I1243" s="37">
        <f>I1244+I1247+I1250</f>
        <v>18537810</v>
      </c>
      <c r="J1243" s="16">
        <f>'БА в тыс. руб.'!G1243*1000</f>
        <v>19121960</v>
      </c>
      <c r="K1243" s="169">
        <f t="shared" si="860"/>
        <v>0</v>
      </c>
      <c r="L1243" s="16">
        <f>'БА в тыс. руб.'!H1243*1000</f>
        <v>18537809.999999996</v>
      </c>
      <c r="M1243" s="169">
        <f t="shared" si="861"/>
        <v>0</v>
      </c>
      <c r="N1243" s="16">
        <f>'БА в тыс. руб.'!I1243*1000</f>
        <v>18537809.999999996</v>
      </c>
      <c r="O1243" s="169">
        <f t="shared" si="862"/>
        <v>0</v>
      </c>
      <c r="S1243" s="30"/>
      <c r="T1243" s="30"/>
      <c r="U1243" s="30"/>
    </row>
    <row r="1244" spans="1:21" s="3" customFormat="1" ht="25.5">
      <c r="A1244" s="11" t="s">
        <v>158</v>
      </c>
      <c r="B1244" s="25" t="s">
        <v>12</v>
      </c>
      <c r="C1244" s="26" t="s">
        <v>8</v>
      </c>
      <c r="D1244" s="26" t="s">
        <v>53</v>
      </c>
      <c r="E1244" s="26" t="s">
        <v>646</v>
      </c>
      <c r="F1244" s="26" t="s">
        <v>58</v>
      </c>
      <c r="G1244" s="27">
        <f>G1245</f>
        <v>11078740</v>
      </c>
      <c r="H1244" s="27">
        <f>H1245</f>
        <v>10599220</v>
      </c>
      <c r="I1244" s="27">
        <f>I1245</f>
        <v>10599220</v>
      </c>
      <c r="J1244" s="16">
        <f>'БА в тыс. руб.'!G1244*1000</f>
        <v>11078740</v>
      </c>
      <c r="K1244" s="169">
        <f t="shared" si="860"/>
        <v>0</v>
      </c>
      <c r="L1244" s="16">
        <f>'БА в тыс. руб.'!H1244*1000</f>
        <v>10599220</v>
      </c>
      <c r="M1244" s="169">
        <f t="shared" si="861"/>
        <v>0</v>
      </c>
      <c r="N1244" s="16">
        <f>'БА в тыс. руб.'!I1244*1000</f>
        <v>10599220</v>
      </c>
      <c r="O1244" s="169">
        <f t="shared" si="862"/>
        <v>0</v>
      </c>
      <c r="S1244" s="30"/>
      <c r="T1244" s="30"/>
      <c r="U1244" s="30"/>
    </row>
    <row r="1245" spans="1:21" s="3" customFormat="1" ht="25.5">
      <c r="A1245" s="11" t="s">
        <v>108</v>
      </c>
      <c r="B1245" s="25" t="s">
        <v>12</v>
      </c>
      <c r="C1245" s="26" t="s">
        <v>8</v>
      </c>
      <c r="D1245" s="26" t="s">
        <v>53</v>
      </c>
      <c r="E1245" s="26" t="s">
        <v>646</v>
      </c>
      <c r="F1245" s="26" t="s">
        <v>116</v>
      </c>
      <c r="G1245" s="27">
        <f>G1246</f>
        <v>11078740</v>
      </c>
      <c r="H1245" s="27">
        <f t="shared" ref="H1245:I1245" si="873">H1246</f>
        <v>10599220</v>
      </c>
      <c r="I1245" s="27">
        <f t="shared" si="873"/>
        <v>10599220</v>
      </c>
      <c r="J1245" s="16">
        <f>'БА в тыс. руб.'!G1245*1000</f>
        <v>11078740</v>
      </c>
      <c r="K1245" s="169">
        <f t="shared" si="860"/>
        <v>0</v>
      </c>
      <c r="L1245" s="16">
        <f>'БА в тыс. руб.'!H1245*1000</f>
        <v>10599220</v>
      </c>
      <c r="M1245" s="169">
        <f t="shared" si="861"/>
        <v>0</v>
      </c>
      <c r="N1245" s="16">
        <f>'БА в тыс. руб.'!I1245*1000</f>
        <v>10599220</v>
      </c>
      <c r="O1245" s="169">
        <f t="shared" si="862"/>
        <v>0</v>
      </c>
      <c r="S1245" s="30"/>
      <c r="T1245" s="30"/>
      <c r="U1245" s="30"/>
    </row>
    <row r="1246" spans="1:21" s="4" customFormat="1" ht="25.5">
      <c r="A1246" s="12" t="s">
        <v>973</v>
      </c>
      <c r="B1246" s="25" t="s">
        <v>12</v>
      </c>
      <c r="C1246" s="26" t="s">
        <v>8</v>
      </c>
      <c r="D1246" s="26" t="s">
        <v>53</v>
      </c>
      <c r="E1246" s="26" t="s">
        <v>646</v>
      </c>
      <c r="F1246" s="26" t="s">
        <v>1043</v>
      </c>
      <c r="G1246" s="27">
        <f t="shared" ref="G1246" si="874">J1246</f>
        <v>11078740</v>
      </c>
      <c r="H1246" s="27">
        <f>L1246</f>
        <v>10599220</v>
      </c>
      <c r="I1246" s="27">
        <f>N1246</f>
        <v>10599220</v>
      </c>
      <c r="J1246" s="16">
        <f>'БА в тыс. руб.'!G1246*1000</f>
        <v>11078740</v>
      </c>
      <c r="K1246" s="169">
        <f t="shared" si="860"/>
        <v>0</v>
      </c>
      <c r="L1246" s="16">
        <f>'БА в тыс. руб.'!H1246*1000</f>
        <v>10599220</v>
      </c>
      <c r="M1246" s="169">
        <f t="shared" si="861"/>
        <v>0</v>
      </c>
      <c r="N1246" s="16">
        <f>'БА в тыс. руб.'!I1246*1000</f>
        <v>10599220</v>
      </c>
      <c r="O1246" s="169">
        <f t="shared" si="862"/>
        <v>0</v>
      </c>
      <c r="S1246" s="83"/>
      <c r="T1246" s="83"/>
      <c r="U1246" s="83"/>
    </row>
    <row r="1247" spans="1:21" s="3" customFormat="1">
      <c r="A1247" s="12" t="s">
        <v>890</v>
      </c>
      <c r="B1247" s="25" t="s">
        <v>12</v>
      </c>
      <c r="C1247" s="36" t="s">
        <v>8</v>
      </c>
      <c r="D1247" s="36" t="s">
        <v>53</v>
      </c>
      <c r="E1247" s="36" t="s">
        <v>910</v>
      </c>
      <c r="F1247" s="36" t="s">
        <v>58</v>
      </c>
      <c r="G1247" s="27">
        <f>G1248</f>
        <v>1046349.9999999999</v>
      </c>
      <c r="H1247" s="27">
        <f>H1248</f>
        <v>941720</v>
      </c>
      <c r="I1247" s="27">
        <f>I1248</f>
        <v>941720</v>
      </c>
      <c r="J1247" s="16">
        <f>'БА в тыс. руб.'!G1247*1000</f>
        <v>1046349.9999999999</v>
      </c>
      <c r="K1247" s="169">
        <f t="shared" si="860"/>
        <v>0</v>
      </c>
      <c r="L1247" s="16">
        <f>'БА в тыс. руб.'!H1247*1000</f>
        <v>941720</v>
      </c>
      <c r="M1247" s="169">
        <f t="shared" si="861"/>
        <v>0</v>
      </c>
      <c r="N1247" s="16">
        <f>'БА в тыс. руб.'!I1247*1000</f>
        <v>941720</v>
      </c>
      <c r="O1247" s="169">
        <f t="shared" si="862"/>
        <v>0</v>
      </c>
      <c r="S1247" s="30"/>
      <c r="T1247" s="30"/>
      <c r="U1247" s="30"/>
    </row>
    <row r="1248" spans="1:21" s="3" customFormat="1" ht="25.5">
      <c r="A1248" s="11" t="s">
        <v>108</v>
      </c>
      <c r="B1248" s="25" t="s">
        <v>12</v>
      </c>
      <c r="C1248" s="36" t="s">
        <v>8</v>
      </c>
      <c r="D1248" s="36" t="s">
        <v>53</v>
      </c>
      <c r="E1248" s="36" t="s">
        <v>910</v>
      </c>
      <c r="F1248" s="36" t="s">
        <v>116</v>
      </c>
      <c r="G1248" s="27">
        <f>G1249</f>
        <v>1046349.9999999999</v>
      </c>
      <c r="H1248" s="27">
        <f t="shared" ref="H1248:I1248" si="875">H1249</f>
        <v>941720</v>
      </c>
      <c r="I1248" s="27">
        <f t="shared" si="875"/>
        <v>941720</v>
      </c>
      <c r="J1248" s="16">
        <f>'БА в тыс. руб.'!G1248*1000</f>
        <v>1046349.9999999999</v>
      </c>
      <c r="K1248" s="169">
        <f t="shared" si="860"/>
        <v>0</v>
      </c>
      <c r="L1248" s="16">
        <f>'БА в тыс. руб.'!H1248*1000</f>
        <v>941720</v>
      </c>
      <c r="M1248" s="169">
        <f t="shared" si="861"/>
        <v>0</v>
      </c>
      <c r="N1248" s="16">
        <f>'БА в тыс. руб.'!I1248*1000</f>
        <v>941720</v>
      </c>
      <c r="O1248" s="169">
        <f t="shared" si="862"/>
        <v>0</v>
      </c>
      <c r="S1248" s="30"/>
      <c r="T1248" s="30"/>
      <c r="U1248" s="30"/>
    </row>
    <row r="1249" spans="1:21" s="4" customFormat="1" ht="25.5">
      <c r="A1249" s="12" t="s">
        <v>973</v>
      </c>
      <c r="B1249" s="25" t="s">
        <v>12</v>
      </c>
      <c r="C1249" s="36" t="s">
        <v>8</v>
      </c>
      <c r="D1249" s="36" t="s">
        <v>53</v>
      </c>
      <c r="E1249" s="36" t="s">
        <v>910</v>
      </c>
      <c r="F1249" s="36" t="s">
        <v>1043</v>
      </c>
      <c r="G1249" s="27">
        <f t="shared" ref="G1249" si="876">J1249</f>
        <v>1046349.9999999999</v>
      </c>
      <c r="H1249" s="27">
        <f>L1249</f>
        <v>941720</v>
      </c>
      <c r="I1249" s="27">
        <f>N1249</f>
        <v>941720</v>
      </c>
      <c r="J1249" s="16">
        <f>'БА в тыс. руб.'!G1249*1000</f>
        <v>1046349.9999999999</v>
      </c>
      <c r="K1249" s="169">
        <f t="shared" si="860"/>
        <v>0</v>
      </c>
      <c r="L1249" s="16">
        <f>'БА в тыс. руб.'!H1249*1000</f>
        <v>941720</v>
      </c>
      <c r="M1249" s="169">
        <f t="shared" si="861"/>
        <v>0</v>
      </c>
      <c r="N1249" s="16">
        <f>'БА в тыс. руб.'!I1249*1000</f>
        <v>941720</v>
      </c>
      <c r="O1249" s="169">
        <f t="shared" si="862"/>
        <v>0</v>
      </c>
      <c r="S1249" s="83"/>
      <c r="T1249" s="83"/>
      <c r="U1249" s="83"/>
    </row>
    <row r="1250" spans="1:21" s="3" customFormat="1" ht="51">
      <c r="A1250" s="12" t="s">
        <v>891</v>
      </c>
      <c r="B1250" s="35" t="s">
        <v>12</v>
      </c>
      <c r="C1250" s="36" t="s">
        <v>8</v>
      </c>
      <c r="D1250" s="36" t="s">
        <v>53</v>
      </c>
      <c r="E1250" s="26" t="s">
        <v>911</v>
      </c>
      <c r="F1250" s="36" t="s">
        <v>58</v>
      </c>
      <c r="G1250" s="37">
        <f>G1251</f>
        <v>6996870</v>
      </c>
      <c r="H1250" s="37">
        <f>H1251</f>
        <v>6996870</v>
      </c>
      <c r="I1250" s="37">
        <f>I1251</f>
        <v>6996870</v>
      </c>
      <c r="J1250" s="16">
        <f>'БА в тыс. руб.'!G1250*1000</f>
        <v>6996870</v>
      </c>
      <c r="K1250" s="169">
        <f t="shared" si="860"/>
        <v>0</v>
      </c>
      <c r="L1250" s="16">
        <f>'БА в тыс. руб.'!H1250*1000</f>
        <v>6996870</v>
      </c>
      <c r="M1250" s="169">
        <f t="shared" si="861"/>
        <v>0</v>
      </c>
      <c r="N1250" s="16">
        <f>'БА в тыс. руб.'!I1250*1000</f>
        <v>6996870</v>
      </c>
      <c r="O1250" s="169">
        <f t="shared" si="862"/>
        <v>0</v>
      </c>
      <c r="S1250" s="30"/>
      <c r="T1250" s="30"/>
      <c r="U1250" s="30"/>
    </row>
    <row r="1251" spans="1:21" s="3" customFormat="1" ht="25.5">
      <c r="A1251" s="11" t="s">
        <v>108</v>
      </c>
      <c r="B1251" s="25" t="s">
        <v>12</v>
      </c>
      <c r="C1251" s="26" t="s">
        <v>8</v>
      </c>
      <c r="D1251" s="26" t="s">
        <v>53</v>
      </c>
      <c r="E1251" s="26" t="s">
        <v>911</v>
      </c>
      <c r="F1251" s="26" t="s">
        <v>116</v>
      </c>
      <c r="G1251" s="27">
        <f>G1252</f>
        <v>6996870</v>
      </c>
      <c r="H1251" s="27">
        <f t="shared" ref="H1251:I1251" si="877">H1252</f>
        <v>6996870</v>
      </c>
      <c r="I1251" s="27">
        <f t="shared" si="877"/>
        <v>6996870</v>
      </c>
      <c r="J1251" s="16">
        <f>'БА в тыс. руб.'!G1251*1000</f>
        <v>6996870</v>
      </c>
      <c r="K1251" s="169">
        <f t="shared" si="860"/>
        <v>0</v>
      </c>
      <c r="L1251" s="16">
        <f>'БА в тыс. руб.'!H1251*1000</f>
        <v>6996870</v>
      </c>
      <c r="M1251" s="169">
        <f t="shared" si="861"/>
        <v>0</v>
      </c>
      <c r="N1251" s="16">
        <f>'БА в тыс. руб.'!I1251*1000</f>
        <v>6996870</v>
      </c>
      <c r="O1251" s="169">
        <f t="shared" si="862"/>
        <v>0</v>
      </c>
      <c r="S1251" s="30"/>
      <c r="T1251" s="30"/>
      <c r="U1251" s="30"/>
    </row>
    <row r="1252" spans="1:21" s="94" customFormat="1" ht="25.5">
      <c r="A1252" s="12" t="s">
        <v>973</v>
      </c>
      <c r="B1252" s="25" t="s">
        <v>12</v>
      </c>
      <c r="C1252" s="26" t="s">
        <v>8</v>
      </c>
      <c r="D1252" s="26" t="s">
        <v>53</v>
      </c>
      <c r="E1252" s="26" t="s">
        <v>911</v>
      </c>
      <c r="F1252" s="26" t="s">
        <v>1043</v>
      </c>
      <c r="G1252" s="27">
        <f t="shared" ref="G1252" si="878">J1252</f>
        <v>6996870</v>
      </c>
      <c r="H1252" s="27">
        <f>L1252</f>
        <v>6996870</v>
      </c>
      <c r="I1252" s="27">
        <f>N1252</f>
        <v>6996870</v>
      </c>
      <c r="J1252" s="16">
        <f>'БА в тыс. руб.'!G1252*1000</f>
        <v>6996870</v>
      </c>
      <c r="K1252" s="169">
        <f t="shared" si="860"/>
        <v>0</v>
      </c>
      <c r="L1252" s="16">
        <f>'БА в тыс. руб.'!H1252*1000</f>
        <v>6996870</v>
      </c>
      <c r="M1252" s="169">
        <f t="shared" si="861"/>
        <v>0</v>
      </c>
      <c r="N1252" s="16">
        <f>'БА в тыс. руб.'!I1252*1000</f>
        <v>6996870</v>
      </c>
      <c r="O1252" s="169">
        <f t="shared" si="862"/>
        <v>0</v>
      </c>
      <c r="S1252" s="103"/>
      <c r="T1252" s="103"/>
      <c r="U1252" s="103"/>
    </row>
    <row r="1253" spans="1:21" s="3" customFormat="1">
      <c r="A1253" s="17" t="s">
        <v>499</v>
      </c>
      <c r="B1253" s="18" t="s">
        <v>12</v>
      </c>
      <c r="C1253" s="19" t="s">
        <v>50</v>
      </c>
      <c r="D1253" s="19" t="s">
        <v>51</v>
      </c>
      <c r="E1253" s="19" t="s">
        <v>196</v>
      </c>
      <c r="F1253" s="19" t="s">
        <v>58</v>
      </c>
      <c r="G1253" s="20">
        <f t="shared" ref="G1253:I1256" si="879">G1254</f>
        <v>1536000</v>
      </c>
      <c r="H1253" s="20">
        <f t="shared" si="879"/>
        <v>1480000</v>
      </c>
      <c r="I1253" s="20">
        <f t="shared" si="879"/>
        <v>1480000</v>
      </c>
      <c r="J1253" s="16">
        <f>'БА в тыс. руб.'!G1253*1000</f>
        <v>1536000</v>
      </c>
      <c r="K1253" s="169">
        <f t="shared" si="860"/>
        <v>0</v>
      </c>
      <c r="L1253" s="16">
        <f>'БА в тыс. руб.'!H1253*1000</f>
        <v>1480000</v>
      </c>
      <c r="M1253" s="169">
        <f t="shared" si="861"/>
        <v>0</v>
      </c>
      <c r="N1253" s="16">
        <f>'БА в тыс. руб.'!I1253*1000</f>
        <v>1480000</v>
      </c>
      <c r="O1253" s="169">
        <f t="shared" si="862"/>
        <v>0</v>
      </c>
      <c r="S1253" s="30"/>
      <c r="T1253" s="30"/>
      <c r="U1253" s="30"/>
    </row>
    <row r="1254" spans="1:21" s="3" customFormat="1">
      <c r="A1254" s="21" t="s">
        <v>27</v>
      </c>
      <c r="B1254" s="22" t="s">
        <v>12</v>
      </c>
      <c r="C1254" s="23" t="s">
        <v>50</v>
      </c>
      <c r="D1254" s="23" t="s">
        <v>65</v>
      </c>
      <c r="E1254" s="23" t="s">
        <v>196</v>
      </c>
      <c r="F1254" s="23" t="s">
        <v>58</v>
      </c>
      <c r="G1254" s="24">
        <f t="shared" si="879"/>
        <v>1536000</v>
      </c>
      <c r="H1254" s="24">
        <f t="shared" si="879"/>
        <v>1480000</v>
      </c>
      <c r="I1254" s="24">
        <f t="shared" si="879"/>
        <v>1480000</v>
      </c>
      <c r="J1254" s="16">
        <f>'БА в тыс. руб.'!G1254*1000</f>
        <v>1536000</v>
      </c>
      <c r="K1254" s="169">
        <f t="shared" si="860"/>
        <v>0</v>
      </c>
      <c r="L1254" s="16">
        <f>'БА в тыс. руб.'!H1254*1000</f>
        <v>1480000</v>
      </c>
      <c r="M1254" s="169">
        <f t="shared" si="861"/>
        <v>0</v>
      </c>
      <c r="N1254" s="16">
        <f>'БА в тыс. руб.'!I1254*1000</f>
        <v>1480000</v>
      </c>
      <c r="O1254" s="169">
        <f t="shared" si="862"/>
        <v>0</v>
      </c>
      <c r="S1254" s="30"/>
      <c r="T1254" s="30"/>
      <c r="U1254" s="30"/>
    </row>
    <row r="1255" spans="1:21" s="3" customFormat="1">
      <c r="A1255" s="11" t="s">
        <v>739</v>
      </c>
      <c r="B1255" s="25" t="s">
        <v>12</v>
      </c>
      <c r="C1255" s="26" t="s">
        <v>50</v>
      </c>
      <c r="D1255" s="26" t="s">
        <v>65</v>
      </c>
      <c r="E1255" s="26" t="s">
        <v>277</v>
      </c>
      <c r="F1255" s="26" t="s">
        <v>58</v>
      </c>
      <c r="G1255" s="27">
        <f t="shared" si="879"/>
        <v>1536000</v>
      </c>
      <c r="H1255" s="27">
        <f t="shared" si="879"/>
        <v>1480000</v>
      </c>
      <c r="I1255" s="27">
        <f t="shared" si="879"/>
        <v>1480000</v>
      </c>
      <c r="J1255" s="16">
        <f>'БА в тыс. руб.'!G1255*1000</f>
        <v>1536000</v>
      </c>
      <c r="K1255" s="169">
        <f t="shared" si="860"/>
        <v>0</v>
      </c>
      <c r="L1255" s="16">
        <f>'БА в тыс. руб.'!H1255*1000</f>
        <v>1480000</v>
      </c>
      <c r="M1255" s="169">
        <f t="shared" si="861"/>
        <v>0</v>
      </c>
      <c r="N1255" s="16">
        <f>'БА в тыс. руб.'!I1255*1000</f>
        <v>1480000</v>
      </c>
      <c r="O1255" s="169">
        <f t="shared" si="862"/>
        <v>0</v>
      </c>
      <c r="S1255" s="30"/>
      <c r="T1255" s="30"/>
      <c r="U1255" s="30"/>
    </row>
    <row r="1256" spans="1:21" s="3" customFormat="1" ht="51">
      <c r="A1256" s="12" t="s">
        <v>194</v>
      </c>
      <c r="B1256" s="25" t="s">
        <v>12</v>
      </c>
      <c r="C1256" s="26" t="s">
        <v>50</v>
      </c>
      <c r="D1256" s="26" t="s">
        <v>65</v>
      </c>
      <c r="E1256" s="26" t="s">
        <v>278</v>
      </c>
      <c r="F1256" s="26" t="s">
        <v>58</v>
      </c>
      <c r="G1256" s="27">
        <f t="shared" si="879"/>
        <v>1536000</v>
      </c>
      <c r="H1256" s="27">
        <f t="shared" si="879"/>
        <v>1480000</v>
      </c>
      <c r="I1256" s="27">
        <f t="shared" si="879"/>
        <v>1480000</v>
      </c>
      <c r="J1256" s="16">
        <f>'БА в тыс. руб.'!G1256*1000</f>
        <v>1536000</v>
      </c>
      <c r="K1256" s="169">
        <f t="shared" si="860"/>
        <v>0</v>
      </c>
      <c r="L1256" s="16">
        <f>'БА в тыс. руб.'!H1256*1000</f>
        <v>1480000</v>
      </c>
      <c r="M1256" s="169">
        <f t="shared" si="861"/>
        <v>0</v>
      </c>
      <c r="N1256" s="16">
        <f>'БА в тыс. руб.'!I1256*1000</f>
        <v>1480000</v>
      </c>
      <c r="O1256" s="169">
        <f t="shared" si="862"/>
        <v>0</v>
      </c>
      <c r="S1256" s="30"/>
      <c r="T1256" s="30"/>
      <c r="U1256" s="30"/>
    </row>
    <row r="1257" spans="1:21" s="3" customFormat="1" ht="63.75">
      <c r="A1257" s="40" t="s">
        <v>605</v>
      </c>
      <c r="B1257" s="35" t="s">
        <v>12</v>
      </c>
      <c r="C1257" s="36" t="s">
        <v>50</v>
      </c>
      <c r="D1257" s="36" t="s">
        <v>65</v>
      </c>
      <c r="E1257" s="36" t="s">
        <v>279</v>
      </c>
      <c r="F1257" s="36" t="s">
        <v>58</v>
      </c>
      <c r="G1257" s="37">
        <f>G1258+G1261</f>
        <v>1536000</v>
      </c>
      <c r="H1257" s="37">
        <f>H1258+H1261</f>
        <v>1480000</v>
      </c>
      <c r="I1257" s="37">
        <f>I1258+I1261</f>
        <v>1480000</v>
      </c>
      <c r="J1257" s="16">
        <f>'БА в тыс. руб.'!G1257*1000</f>
        <v>1536000</v>
      </c>
      <c r="K1257" s="169">
        <f t="shared" si="860"/>
        <v>0</v>
      </c>
      <c r="L1257" s="16">
        <f>'БА в тыс. руб.'!H1257*1000</f>
        <v>1480000</v>
      </c>
      <c r="M1257" s="169">
        <f t="shared" si="861"/>
        <v>0</v>
      </c>
      <c r="N1257" s="16">
        <f>'БА в тыс. руб.'!I1257*1000</f>
        <v>1480000</v>
      </c>
      <c r="O1257" s="169">
        <f t="shared" si="862"/>
        <v>0</v>
      </c>
      <c r="S1257" s="30"/>
      <c r="T1257" s="30"/>
      <c r="U1257" s="30"/>
    </row>
    <row r="1258" spans="1:21" s="3" customFormat="1" ht="25.5">
      <c r="A1258" s="11" t="s">
        <v>161</v>
      </c>
      <c r="B1258" s="25" t="s">
        <v>12</v>
      </c>
      <c r="C1258" s="26" t="s">
        <v>50</v>
      </c>
      <c r="D1258" s="26" t="s">
        <v>65</v>
      </c>
      <c r="E1258" s="26" t="s">
        <v>320</v>
      </c>
      <c r="F1258" s="26" t="s">
        <v>58</v>
      </c>
      <c r="G1258" s="27">
        <f>G1259</f>
        <v>975000</v>
      </c>
      <c r="H1258" s="27">
        <f>H1259</f>
        <v>919000</v>
      </c>
      <c r="I1258" s="27">
        <f>I1259</f>
        <v>919000</v>
      </c>
      <c r="J1258" s="16">
        <f>'БА в тыс. руб.'!G1258*1000</f>
        <v>975000</v>
      </c>
      <c r="K1258" s="169">
        <f t="shared" si="860"/>
        <v>0</v>
      </c>
      <c r="L1258" s="16">
        <f>'БА в тыс. руб.'!H1258*1000</f>
        <v>919000</v>
      </c>
      <c r="M1258" s="169">
        <f t="shared" si="861"/>
        <v>0</v>
      </c>
      <c r="N1258" s="16">
        <f>'БА в тыс. руб.'!I1258*1000</f>
        <v>919000</v>
      </c>
      <c r="O1258" s="169">
        <f t="shared" si="862"/>
        <v>0</v>
      </c>
      <c r="S1258" s="30"/>
      <c r="T1258" s="30"/>
      <c r="U1258" s="30"/>
    </row>
    <row r="1259" spans="1:21" s="3" customFormat="1" ht="25.5">
      <c r="A1259" s="11" t="s">
        <v>108</v>
      </c>
      <c r="B1259" s="25" t="s">
        <v>12</v>
      </c>
      <c r="C1259" s="26" t="s">
        <v>50</v>
      </c>
      <c r="D1259" s="26" t="s">
        <v>65</v>
      </c>
      <c r="E1259" s="26" t="s">
        <v>320</v>
      </c>
      <c r="F1259" s="26" t="s">
        <v>116</v>
      </c>
      <c r="G1259" s="27">
        <f>G1260</f>
        <v>975000</v>
      </c>
      <c r="H1259" s="27">
        <f t="shared" ref="H1259:I1259" si="880">H1260</f>
        <v>919000</v>
      </c>
      <c r="I1259" s="27">
        <f t="shared" si="880"/>
        <v>919000</v>
      </c>
      <c r="J1259" s="16">
        <f>'БА в тыс. руб.'!G1259*1000</f>
        <v>975000</v>
      </c>
      <c r="K1259" s="169">
        <f t="shared" si="860"/>
        <v>0</v>
      </c>
      <c r="L1259" s="16">
        <f>'БА в тыс. руб.'!H1259*1000</f>
        <v>919000</v>
      </c>
      <c r="M1259" s="169">
        <f t="shared" si="861"/>
        <v>0</v>
      </c>
      <c r="N1259" s="16">
        <f>'БА в тыс. руб.'!I1259*1000</f>
        <v>919000</v>
      </c>
      <c r="O1259" s="169">
        <f t="shared" si="862"/>
        <v>0</v>
      </c>
      <c r="S1259" s="30"/>
      <c r="T1259" s="30"/>
      <c r="U1259" s="30"/>
    </row>
    <row r="1260" spans="1:21" s="4" customFormat="1" ht="25.5">
      <c r="A1260" s="12" t="s">
        <v>973</v>
      </c>
      <c r="B1260" s="25" t="s">
        <v>12</v>
      </c>
      <c r="C1260" s="26" t="s">
        <v>50</v>
      </c>
      <c r="D1260" s="26" t="s">
        <v>65</v>
      </c>
      <c r="E1260" s="26" t="s">
        <v>320</v>
      </c>
      <c r="F1260" s="26" t="s">
        <v>1043</v>
      </c>
      <c r="G1260" s="27">
        <f t="shared" ref="G1260" si="881">J1260</f>
        <v>975000</v>
      </c>
      <c r="H1260" s="27">
        <f>L1260</f>
        <v>919000</v>
      </c>
      <c r="I1260" s="27">
        <f>N1260</f>
        <v>919000</v>
      </c>
      <c r="J1260" s="16">
        <f>'БА в тыс. руб.'!G1260*1000</f>
        <v>975000</v>
      </c>
      <c r="K1260" s="169">
        <f t="shared" si="860"/>
        <v>0</v>
      </c>
      <c r="L1260" s="16">
        <f>'БА в тыс. руб.'!H1260*1000</f>
        <v>919000</v>
      </c>
      <c r="M1260" s="169">
        <f t="shared" si="861"/>
        <v>0</v>
      </c>
      <c r="N1260" s="16">
        <f>'БА в тыс. руб.'!I1260*1000</f>
        <v>919000</v>
      </c>
      <c r="O1260" s="169">
        <f t="shared" si="862"/>
        <v>0</v>
      </c>
      <c r="S1260" s="83"/>
      <c r="T1260" s="83"/>
      <c r="U1260" s="83"/>
    </row>
    <row r="1261" spans="1:21" s="3" customFormat="1" ht="25.5">
      <c r="A1261" s="12" t="s">
        <v>892</v>
      </c>
      <c r="B1261" s="25" t="s">
        <v>12</v>
      </c>
      <c r="C1261" s="26" t="s">
        <v>50</v>
      </c>
      <c r="D1261" s="26" t="s">
        <v>65</v>
      </c>
      <c r="E1261" s="26" t="s">
        <v>500</v>
      </c>
      <c r="F1261" s="26" t="s">
        <v>58</v>
      </c>
      <c r="G1261" s="27">
        <f>G1262</f>
        <v>561000</v>
      </c>
      <c r="H1261" s="27">
        <f>H1262</f>
        <v>561000</v>
      </c>
      <c r="I1261" s="27">
        <f>I1262</f>
        <v>561000</v>
      </c>
      <c r="J1261" s="16">
        <f>'БА в тыс. руб.'!G1261*1000</f>
        <v>561000</v>
      </c>
      <c r="K1261" s="169">
        <f t="shared" si="860"/>
        <v>0</v>
      </c>
      <c r="L1261" s="16">
        <f>'БА в тыс. руб.'!H1261*1000</f>
        <v>561000</v>
      </c>
      <c r="M1261" s="169">
        <f t="shared" si="861"/>
        <v>0</v>
      </c>
      <c r="N1261" s="16">
        <f>'БА в тыс. руб.'!I1261*1000</f>
        <v>561000</v>
      </c>
      <c r="O1261" s="169">
        <f t="shared" si="862"/>
        <v>0</v>
      </c>
      <c r="S1261" s="30"/>
      <c r="T1261" s="30"/>
      <c r="U1261" s="30"/>
    </row>
    <row r="1262" spans="1:21" s="3" customFormat="1" ht="25.5">
      <c r="A1262" s="11" t="s">
        <v>108</v>
      </c>
      <c r="B1262" s="25" t="s">
        <v>12</v>
      </c>
      <c r="C1262" s="26" t="s">
        <v>50</v>
      </c>
      <c r="D1262" s="26" t="s">
        <v>65</v>
      </c>
      <c r="E1262" s="26" t="s">
        <v>500</v>
      </c>
      <c r="F1262" s="26" t="s">
        <v>116</v>
      </c>
      <c r="G1262" s="27">
        <f>G1263</f>
        <v>561000</v>
      </c>
      <c r="H1262" s="27">
        <f t="shared" ref="H1262:I1262" si="882">H1263</f>
        <v>561000</v>
      </c>
      <c r="I1262" s="27">
        <f t="shared" si="882"/>
        <v>561000</v>
      </c>
      <c r="J1262" s="16">
        <f>'БА в тыс. руб.'!G1262*1000</f>
        <v>561000</v>
      </c>
      <c r="K1262" s="169">
        <f t="shared" si="860"/>
        <v>0</v>
      </c>
      <c r="L1262" s="16">
        <f>'БА в тыс. руб.'!H1262*1000</f>
        <v>561000</v>
      </c>
      <c r="M1262" s="169">
        <f t="shared" si="861"/>
        <v>0</v>
      </c>
      <c r="N1262" s="16">
        <f>'БА в тыс. руб.'!I1262*1000</f>
        <v>561000</v>
      </c>
      <c r="O1262" s="169">
        <f t="shared" si="862"/>
        <v>0</v>
      </c>
      <c r="S1262" s="30"/>
      <c r="T1262" s="30"/>
      <c r="U1262" s="30"/>
    </row>
    <row r="1263" spans="1:21" s="4" customFormat="1" ht="25.5">
      <c r="A1263" s="12" t="s">
        <v>973</v>
      </c>
      <c r="B1263" s="25" t="s">
        <v>12</v>
      </c>
      <c r="C1263" s="26" t="s">
        <v>50</v>
      </c>
      <c r="D1263" s="26" t="s">
        <v>65</v>
      </c>
      <c r="E1263" s="26" t="s">
        <v>500</v>
      </c>
      <c r="F1263" s="26" t="s">
        <v>1043</v>
      </c>
      <c r="G1263" s="27">
        <f t="shared" ref="G1263" si="883">J1263</f>
        <v>561000</v>
      </c>
      <c r="H1263" s="27">
        <f t="shared" ref="H1263" si="884">L1263</f>
        <v>561000</v>
      </c>
      <c r="I1263" s="27">
        <f t="shared" ref="I1263" si="885">N1263</f>
        <v>561000</v>
      </c>
      <c r="J1263" s="16">
        <f>'БА в тыс. руб.'!G1263*1000</f>
        <v>561000</v>
      </c>
      <c r="K1263" s="169">
        <f t="shared" si="860"/>
        <v>0</v>
      </c>
      <c r="L1263" s="16">
        <f>'БА в тыс. руб.'!H1263*1000</f>
        <v>561000</v>
      </c>
      <c r="M1263" s="169">
        <f t="shared" si="861"/>
        <v>0</v>
      </c>
      <c r="N1263" s="16">
        <f>'БА в тыс. руб.'!I1263*1000</f>
        <v>561000</v>
      </c>
      <c r="O1263" s="169">
        <f t="shared" si="862"/>
        <v>0</v>
      </c>
      <c r="S1263" s="83"/>
      <c r="T1263" s="83"/>
      <c r="U1263" s="83"/>
    </row>
    <row r="1264" spans="1:21" s="3" customFormat="1">
      <c r="A1264" s="11"/>
      <c r="B1264" s="25"/>
      <c r="C1264" s="26"/>
      <c r="D1264" s="26"/>
      <c r="E1264" s="26"/>
      <c r="F1264" s="26"/>
      <c r="G1264" s="27"/>
      <c r="H1264" s="27"/>
      <c r="I1264" s="27"/>
      <c r="J1264" s="16">
        <f>'БА в тыс. руб.'!G1264*1000</f>
        <v>0</v>
      </c>
      <c r="K1264" s="169">
        <f t="shared" si="860"/>
        <v>0</v>
      </c>
      <c r="L1264" s="16">
        <f>'БА в тыс. руб.'!H1264*1000</f>
        <v>0</v>
      </c>
      <c r="M1264" s="169">
        <f t="shared" si="861"/>
        <v>0</v>
      </c>
      <c r="N1264" s="16">
        <f>'БА в тыс. руб.'!I1264*1000</f>
        <v>0</v>
      </c>
      <c r="O1264" s="169">
        <f t="shared" si="862"/>
        <v>0</v>
      </c>
      <c r="S1264" s="30"/>
      <c r="T1264" s="30"/>
      <c r="U1264" s="30"/>
    </row>
    <row r="1265" spans="1:21" s="3" customFormat="1">
      <c r="A1265" s="9" t="s">
        <v>17</v>
      </c>
      <c r="B1265" s="14" t="s">
        <v>18</v>
      </c>
      <c r="C1265" s="15" t="s">
        <v>51</v>
      </c>
      <c r="D1265" s="15" t="s">
        <v>51</v>
      </c>
      <c r="E1265" s="143" t="s">
        <v>196</v>
      </c>
      <c r="F1265" s="15" t="s">
        <v>58</v>
      </c>
      <c r="G1265" s="29">
        <f>G1266+G1303+G1317+G1336</f>
        <v>167614750</v>
      </c>
      <c r="H1265" s="29">
        <f>H1266+H1303+H1317+H1336</f>
        <v>156136920</v>
      </c>
      <c r="I1265" s="29">
        <f>I1266+I1303+I1317+I1336</f>
        <v>156136920</v>
      </c>
      <c r="J1265" s="16">
        <f>'БА в тыс. руб.'!G1265*1000</f>
        <v>167614750.00000003</v>
      </c>
      <c r="K1265" s="169">
        <f t="shared" si="860"/>
        <v>0</v>
      </c>
      <c r="L1265" s="16">
        <f>'БА в тыс. руб.'!H1265*1000</f>
        <v>156136919.99999997</v>
      </c>
      <c r="M1265" s="169">
        <f t="shared" si="861"/>
        <v>0</v>
      </c>
      <c r="N1265" s="16">
        <f>'БА в тыс. руб.'!I1265*1000</f>
        <v>156136919.99999997</v>
      </c>
      <c r="O1265" s="169">
        <f t="shared" si="862"/>
        <v>0</v>
      </c>
      <c r="S1265" s="30"/>
      <c r="T1265" s="30"/>
      <c r="U1265" s="30"/>
    </row>
    <row r="1266" spans="1:21" s="3" customFormat="1">
      <c r="A1266" s="139" t="s">
        <v>64</v>
      </c>
      <c r="B1266" s="18" t="s">
        <v>18</v>
      </c>
      <c r="C1266" s="19" t="s">
        <v>65</v>
      </c>
      <c r="D1266" s="19" t="s">
        <v>51</v>
      </c>
      <c r="E1266" s="19" t="s">
        <v>196</v>
      </c>
      <c r="F1266" s="19" t="s">
        <v>58</v>
      </c>
      <c r="G1266" s="20">
        <f>G1267+G1293</f>
        <v>41675890</v>
      </c>
      <c r="H1266" s="20">
        <f>H1267+H1293</f>
        <v>41705760</v>
      </c>
      <c r="I1266" s="20">
        <f>I1267+I1293</f>
        <v>41705760</v>
      </c>
      <c r="J1266" s="16">
        <f>'БА в тыс. руб.'!G1266*1000</f>
        <v>41675890</v>
      </c>
      <c r="K1266" s="169">
        <f t="shared" si="860"/>
        <v>0</v>
      </c>
      <c r="L1266" s="16">
        <f>'БА в тыс. руб.'!H1266*1000</f>
        <v>41705760</v>
      </c>
      <c r="M1266" s="169">
        <f t="shared" si="861"/>
        <v>0</v>
      </c>
      <c r="N1266" s="16">
        <f>'БА в тыс. руб.'!I1266*1000</f>
        <v>41705760</v>
      </c>
      <c r="O1266" s="169">
        <f t="shared" si="862"/>
        <v>0</v>
      </c>
      <c r="S1266" s="30"/>
      <c r="T1266" s="30"/>
      <c r="U1266" s="30"/>
    </row>
    <row r="1267" spans="1:21" s="3" customFormat="1" ht="39">
      <c r="A1267" s="144" t="s">
        <v>31</v>
      </c>
      <c r="B1267" s="22" t="s">
        <v>18</v>
      </c>
      <c r="C1267" s="23" t="s">
        <v>65</v>
      </c>
      <c r="D1267" s="23" t="s">
        <v>37</v>
      </c>
      <c r="E1267" s="23" t="s">
        <v>196</v>
      </c>
      <c r="F1267" s="23" t="s">
        <v>58</v>
      </c>
      <c r="G1267" s="24">
        <f t="shared" ref="G1267:I1268" si="886">G1268</f>
        <v>41120820</v>
      </c>
      <c r="H1267" s="24">
        <f t="shared" si="886"/>
        <v>41146860</v>
      </c>
      <c r="I1267" s="24">
        <f t="shared" si="886"/>
        <v>41146860</v>
      </c>
      <c r="J1267" s="16">
        <f>'БА в тыс. руб.'!G1267*1000</f>
        <v>41120820</v>
      </c>
      <c r="K1267" s="169">
        <f t="shared" si="860"/>
        <v>0</v>
      </c>
      <c r="L1267" s="16">
        <f>'БА в тыс. руб.'!H1267*1000</f>
        <v>41146860</v>
      </c>
      <c r="M1267" s="169">
        <f t="shared" si="861"/>
        <v>0</v>
      </c>
      <c r="N1267" s="16">
        <f>'БА в тыс. руб.'!I1267*1000</f>
        <v>41146860</v>
      </c>
      <c r="O1267" s="169">
        <f t="shared" si="862"/>
        <v>0</v>
      </c>
      <c r="S1267" s="30"/>
      <c r="T1267" s="30"/>
      <c r="U1267" s="30"/>
    </row>
    <row r="1268" spans="1:21" s="3" customFormat="1" ht="25.5">
      <c r="A1268" s="11" t="s">
        <v>151</v>
      </c>
      <c r="B1268" s="26" t="s">
        <v>18</v>
      </c>
      <c r="C1268" s="26" t="s">
        <v>65</v>
      </c>
      <c r="D1268" s="26" t="s">
        <v>37</v>
      </c>
      <c r="E1268" s="26" t="s">
        <v>553</v>
      </c>
      <c r="F1268" s="26" t="s">
        <v>58</v>
      </c>
      <c r="G1268" s="27">
        <f t="shared" si="886"/>
        <v>41120820</v>
      </c>
      <c r="H1268" s="27">
        <f t="shared" si="886"/>
        <v>41146860</v>
      </c>
      <c r="I1268" s="27">
        <f t="shared" si="886"/>
        <v>41146860</v>
      </c>
      <c r="J1268" s="16">
        <f>'БА в тыс. руб.'!G1268*1000</f>
        <v>41120820</v>
      </c>
      <c r="K1268" s="169">
        <f t="shared" si="860"/>
        <v>0</v>
      </c>
      <c r="L1268" s="16">
        <f>'БА в тыс. руб.'!H1268*1000</f>
        <v>41146860</v>
      </c>
      <c r="M1268" s="169">
        <f t="shared" si="861"/>
        <v>0</v>
      </c>
      <c r="N1268" s="16">
        <f>'БА в тыс. руб.'!I1268*1000</f>
        <v>41146860</v>
      </c>
      <c r="O1268" s="169">
        <f t="shared" si="862"/>
        <v>0</v>
      </c>
      <c r="S1268" s="30"/>
      <c r="T1268" s="30"/>
      <c r="U1268" s="30"/>
    </row>
    <row r="1269" spans="1:21" s="3" customFormat="1" ht="25.5">
      <c r="A1269" s="11" t="s">
        <v>152</v>
      </c>
      <c r="B1269" s="26" t="s">
        <v>18</v>
      </c>
      <c r="C1269" s="26" t="s">
        <v>65</v>
      </c>
      <c r="D1269" s="26" t="s">
        <v>37</v>
      </c>
      <c r="E1269" s="26" t="s">
        <v>554</v>
      </c>
      <c r="F1269" s="26" t="s">
        <v>58</v>
      </c>
      <c r="G1269" s="37">
        <f>G1290+G1283+G1279+G1270</f>
        <v>41120820</v>
      </c>
      <c r="H1269" s="37">
        <f>H1290+H1283+H1279+H1270</f>
        <v>41146860</v>
      </c>
      <c r="I1269" s="37">
        <f>I1290+I1283+I1279+I1270</f>
        <v>41146860</v>
      </c>
      <c r="J1269" s="16">
        <f>'БА в тыс. руб.'!G1269*1000</f>
        <v>41120820</v>
      </c>
      <c r="K1269" s="169">
        <f t="shared" si="860"/>
        <v>0</v>
      </c>
      <c r="L1269" s="16">
        <f>'БА в тыс. руб.'!H1269*1000</f>
        <v>41146860</v>
      </c>
      <c r="M1269" s="169">
        <f t="shared" si="861"/>
        <v>0</v>
      </c>
      <c r="N1269" s="16">
        <f>'БА в тыс. руб.'!I1269*1000</f>
        <v>41146860</v>
      </c>
      <c r="O1269" s="169">
        <f t="shared" si="862"/>
        <v>0</v>
      </c>
      <c r="S1269" s="30"/>
      <c r="T1269" s="30"/>
      <c r="U1269" s="30"/>
    </row>
    <row r="1270" spans="1:21" s="3" customFormat="1" ht="25.5">
      <c r="A1270" s="11" t="s">
        <v>114</v>
      </c>
      <c r="B1270" s="26" t="s">
        <v>18</v>
      </c>
      <c r="C1270" s="26" t="s">
        <v>65</v>
      </c>
      <c r="D1270" s="26" t="s">
        <v>37</v>
      </c>
      <c r="E1270" s="26" t="s">
        <v>555</v>
      </c>
      <c r="F1270" s="26" t="s">
        <v>58</v>
      </c>
      <c r="G1270" s="37">
        <f>G1271+G1274+G1276</f>
        <v>4553030</v>
      </c>
      <c r="H1270" s="37">
        <f t="shared" ref="H1270:I1270" si="887">H1271+H1274+H1276</f>
        <v>4579070</v>
      </c>
      <c r="I1270" s="37">
        <f t="shared" si="887"/>
        <v>4579070</v>
      </c>
      <c r="J1270" s="16">
        <f>'БА в тыс. руб.'!G1270*1000</f>
        <v>4553030</v>
      </c>
      <c r="K1270" s="169">
        <f t="shared" si="860"/>
        <v>0</v>
      </c>
      <c r="L1270" s="16">
        <f>'БА в тыс. руб.'!H1270*1000</f>
        <v>4579070.0000000009</v>
      </c>
      <c r="M1270" s="169">
        <f t="shared" si="861"/>
        <v>0</v>
      </c>
      <c r="N1270" s="16">
        <f>'БА в тыс. руб.'!I1270*1000</f>
        <v>4579070.0000000009</v>
      </c>
      <c r="O1270" s="169">
        <f t="shared" si="862"/>
        <v>0</v>
      </c>
      <c r="S1270" s="30"/>
      <c r="T1270" s="30"/>
      <c r="U1270" s="30"/>
    </row>
    <row r="1271" spans="1:21" s="145" customFormat="1" ht="25.5">
      <c r="A1271" s="34" t="s">
        <v>107</v>
      </c>
      <c r="B1271" s="36" t="s">
        <v>18</v>
      </c>
      <c r="C1271" s="36" t="s">
        <v>65</v>
      </c>
      <c r="D1271" s="36" t="s">
        <v>37</v>
      </c>
      <c r="E1271" s="26" t="s">
        <v>555</v>
      </c>
      <c r="F1271" s="36" t="s">
        <v>115</v>
      </c>
      <c r="G1271" s="37">
        <f>SUM(G1272:G1273)</f>
        <v>803310</v>
      </c>
      <c r="H1271" s="37">
        <f t="shared" ref="H1271:I1271" si="888">SUM(H1272:H1273)</f>
        <v>803310</v>
      </c>
      <c r="I1271" s="37">
        <f t="shared" si="888"/>
        <v>803310</v>
      </c>
      <c r="J1271" s="16">
        <f>'БА в тыс. руб.'!G1271*1000</f>
        <v>803310.00000000012</v>
      </c>
      <c r="K1271" s="169">
        <f t="shared" si="860"/>
        <v>0</v>
      </c>
      <c r="L1271" s="16">
        <f>'БА в тыс. руб.'!H1271*1000</f>
        <v>803310.00000000012</v>
      </c>
      <c r="M1271" s="169">
        <f t="shared" si="861"/>
        <v>0</v>
      </c>
      <c r="N1271" s="16">
        <f>'БА в тыс. руб.'!I1271*1000</f>
        <v>803310.00000000012</v>
      </c>
      <c r="O1271" s="169">
        <f t="shared" si="862"/>
        <v>0</v>
      </c>
      <c r="S1271" s="190"/>
      <c r="T1271" s="190"/>
      <c r="U1271" s="190"/>
    </row>
    <row r="1272" spans="1:21" s="4" customFormat="1" ht="25.5">
      <c r="A1272" s="12" t="s">
        <v>937</v>
      </c>
      <c r="B1272" s="36" t="s">
        <v>18</v>
      </c>
      <c r="C1272" s="36" t="s">
        <v>65</v>
      </c>
      <c r="D1272" s="36" t="s">
        <v>37</v>
      </c>
      <c r="E1272" s="26" t="s">
        <v>555</v>
      </c>
      <c r="F1272" s="26" t="s">
        <v>1059</v>
      </c>
      <c r="G1272" s="27">
        <f t="shared" ref="G1272:G1273" si="889">J1272</f>
        <v>616980</v>
      </c>
      <c r="H1272" s="27">
        <f t="shared" ref="H1272:H1273" si="890">L1272</f>
        <v>616980</v>
      </c>
      <c r="I1272" s="27">
        <f t="shared" ref="I1272:I1273" si="891">N1272</f>
        <v>616980</v>
      </c>
      <c r="J1272" s="16">
        <f>'БА в тыс. руб.'!G1272*1000</f>
        <v>616980</v>
      </c>
      <c r="K1272" s="169">
        <f t="shared" si="860"/>
        <v>0</v>
      </c>
      <c r="L1272" s="16">
        <f>'БА в тыс. руб.'!H1272*1000</f>
        <v>616980</v>
      </c>
      <c r="M1272" s="169">
        <f t="shared" si="861"/>
        <v>0</v>
      </c>
      <c r="N1272" s="16">
        <f>'БА в тыс. руб.'!I1272*1000</f>
        <v>616980</v>
      </c>
      <c r="O1272" s="169">
        <f t="shared" si="862"/>
        <v>0</v>
      </c>
      <c r="S1272" s="83"/>
      <c r="T1272" s="83"/>
      <c r="U1272" s="83"/>
    </row>
    <row r="1273" spans="1:21" s="4" customFormat="1" ht="38.25">
      <c r="A1273" s="12" t="s">
        <v>939</v>
      </c>
      <c r="B1273" s="36" t="s">
        <v>18</v>
      </c>
      <c r="C1273" s="36" t="s">
        <v>65</v>
      </c>
      <c r="D1273" s="36" t="s">
        <v>37</v>
      </c>
      <c r="E1273" s="26" t="s">
        <v>555</v>
      </c>
      <c r="F1273" s="26" t="s">
        <v>1060</v>
      </c>
      <c r="G1273" s="27">
        <f t="shared" si="889"/>
        <v>186330</v>
      </c>
      <c r="H1273" s="27">
        <f t="shared" si="890"/>
        <v>186330</v>
      </c>
      <c r="I1273" s="27">
        <f t="shared" si="891"/>
        <v>186330</v>
      </c>
      <c r="J1273" s="16">
        <f>'БА в тыс. руб.'!G1273*1000</f>
        <v>186330</v>
      </c>
      <c r="K1273" s="169">
        <f t="shared" si="860"/>
        <v>0</v>
      </c>
      <c r="L1273" s="16">
        <f>'БА в тыс. руб.'!H1273*1000</f>
        <v>186330</v>
      </c>
      <c r="M1273" s="169">
        <f t="shared" si="861"/>
        <v>0</v>
      </c>
      <c r="N1273" s="16">
        <f>'БА в тыс. руб.'!I1273*1000</f>
        <v>186330</v>
      </c>
      <c r="O1273" s="169">
        <f t="shared" si="862"/>
        <v>0</v>
      </c>
      <c r="S1273" s="83"/>
      <c r="T1273" s="83"/>
      <c r="U1273" s="83"/>
    </row>
    <row r="1274" spans="1:21" s="3" customFormat="1" ht="25.5">
      <c r="A1274" s="11" t="s">
        <v>108</v>
      </c>
      <c r="B1274" s="26" t="s">
        <v>18</v>
      </c>
      <c r="C1274" s="26" t="s">
        <v>65</v>
      </c>
      <c r="D1274" s="26" t="s">
        <v>37</v>
      </c>
      <c r="E1274" s="26" t="s">
        <v>555</v>
      </c>
      <c r="F1274" s="26" t="s">
        <v>116</v>
      </c>
      <c r="G1274" s="37">
        <f>G1275</f>
        <v>3469720</v>
      </c>
      <c r="H1274" s="37">
        <f t="shared" ref="H1274:I1274" si="892">H1275</f>
        <v>3495760</v>
      </c>
      <c r="I1274" s="37">
        <f t="shared" si="892"/>
        <v>3495760</v>
      </c>
      <c r="J1274" s="16">
        <f>'БА в тыс. руб.'!G1274*1000</f>
        <v>3469720</v>
      </c>
      <c r="K1274" s="169">
        <f t="shared" si="860"/>
        <v>0</v>
      </c>
      <c r="L1274" s="16">
        <f>'БА в тыс. руб.'!H1274*1000</f>
        <v>3495760</v>
      </c>
      <c r="M1274" s="169">
        <f t="shared" si="861"/>
        <v>0</v>
      </c>
      <c r="N1274" s="16">
        <f>'БА в тыс. руб.'!I1274*1000</f>
        <v>3495760</v>
      </c>
      <c r="O1274" s="169">
        <f t="shared" si="862"/>
        <v>0</v>
      </c>
      <c r="S1274" s="30"/>
      <c r="T1274" s="30"/>
      <c r="U1274" s="30"/>
    </row>
    <row r="1275" spans="1:21" s="4" customFormat="1" ht="25.5">
      <c r="A1275" s="12" t="s">
        <v>973</v>
      </c>
      <c r="B1275" s="26" t="s">
        <v>18</v>
      </c>
      <c r="C1275" s="26" t="s">
        <v>65</v>
      </c>
      <c r="D1275" s="26" t="s">
        <v>37</v>
      </c>
      <c r="E1275" s="26" t="s">
        <v>555</v>
      </c>
      <c r="F1275" s="26" t="s">
        <v>1043</v>
      </c>
      <c r="G1275" s="27">
        <f t="shared" ref="G1275" si="893">J1275</f>
        <v>3469720</v>
      </c>
      <c r="H1275" s="27">
        <f>L1275</f>
        <v>3495760</v>
      </c>
      <c r="I1275" s="27">
        <f>N1275</f>
        <v>3495760</v>
      </c>
      <c r="J1275" s="16">
        <f>'БА в тыс. руб.'!G1275*1000</f>
        <v>3469720</v>
      </c>
      <c r="K1275" s="169">
        <f t="shared" si="860"/>
        <v>0</v>
      </c>
      <c r="L1275" s="16">
        <f>'БА в тыс. руб.'!H1275*1000</f>
        <v>3495760</v>
      </c>
      <c r="M1275" s="169">
        <f t="shared" si="861"/>
        <v>0</v>
      </c>
      <c r="N1275" s="16">
        <f>'БА в тыс. руб.'!I1275*1000</f>
        <v>3495760</v>
      </c>
      <c r="O1275" s="169">
        <f t="shared" si="862"/>
        <v>0</v>
      </c>
      <c r="S1275" s="83"/>
      <c r="T1275" s="83"/>
      <c r="U1275" s="83"/>
    </row>
    <row r="1276" spans="1:21" s="3" customFormat="1">
      <c r="A1276" s="11" t="s">
        <v>97</v>
      </c>
      <c r="B1276" s="36" t="s">
        <v>18</v>
      </c>
      <c r="C1276" s="36" t="s">
        <v>65</v>
      </c>
      <c r="D1276" s="36" t="s">
        <v>37</v>
      </c>
      <c r="E1276" s="26" t="s">
        <v>555</v>
      </c>
      <c r="F1276" s="36" t="s">
        <v>118</v>
      </c>
      <c r="G1276" s="37">
        <f>SUM(G1277:G1278)</f>
        <v>280000</v>
      </c>
      <c r="H1276" s="37">
        <f t="shared" ref="H1276:I1276" si="894">SUM(H1277:H1278)</f>
        <v>280000</v>
      </c>
      <c r="I1276" s="37">
        <f t="shared" si="894"/>
        <v>280000</v>
      </c>
      <c r="J1276" s="16">
        <f>'БА в тыс. руб.'!G1276*1000</f>
        <v>280000</v>
      </c>
      <c r="K1276" s="169">
        <f t="shared" si="860"/>
        <v>0</v>
      </c>
      <c r="L1276" s="16">
        <f>'БА в тыс. руб.'!H1276*1000</f>
        <v>280000</v>
      </c>
      <c r="M1276" s="169">
        <f t="shared" si="861"/>
        <v>0</v>
      </c>
      <c r="N1276" s="16">
        <f>'БА в тыс. руб.'!I1276*1000</f>
        <v>280000</v>
      </c>
      <c r="O1276" s="169">
        <f t="shared" si="862"/>
        <v>0</v>
      </c>
      <c r="S1276" s="30"/>
      <c r="T1276" s="30"/>
      <c r="U1276" s="30"/>
    </row>
    <row r="1277" spans="1:21" s="4" customFormat="1">
      <c r="A1277" s="12" t="s">
        <v>1036</v>
      </c>
      <c r="B1277" s="36" t="s">
        <v>18</v>
      </c>
      <c r="C1277" s="36" t="s">
        <v>65</v>
      </c>
      <c r="D1277" s="36" t="s">
        <v>37</v>
      </c>
      <c r="E1277" s="26" t="s">
        <v>555</v>
      </c>
      <c r="F1277" s="26" t="s">
        <v>1061</v>
      </c>
      <c r="G1277" s="27">
        <f t="shared" ref="G1277:G1278" si="895">J1277</f>
        <v>260000</v>
      </c>
      <c r="H1277" s="27">
        <f t="shared" ref="H1277:H1278" si="896">L1277</f>
        <v>260000</v>
      </c>
      <c r="I1277" s="27">
        <f t="shared" ref="I1277:I1278" si="897">N1277</f>
        <v>260000</v>
      </c>
      <c r="J1277" s="16">
        <f>'БА в тыс. руб.'!G1277*1000</f>
        <v>260000</v>
      </c>
      <c r="K1277" s="169">
        <f t="shared" si="860"/>
        <v>0</v>
      </c>
      <c r="L1277" s="16">
        <f>'БА в тыс. руб.'!H1277*1000</f>
        <v>260000</v>
      </c>
      <c r="M1277" s="169">
        <f t="shared" si="861"/>
        <v>0</v>
      </c>
      <c r="N1277" s="16">
        <f>'БА в тыс. руб.'!I1277*1000</f>
        <v>260000</v>
      </c>
      <c r="O1277" s="169">
        <f t="shared" si="862"/>
        <v>0</v>
      </c>
      <c r="S1277" s="83"/>
      <c r="T1277" s="83"/>
      <c r="U1277" s="83"/>
    </row>
    <row r="1278" spans="1:21" s="4" customFormat="1">
      <c r="A1278" s="12" t="s">
        <v>1037</v>
      </c>
      <c r="B1278" s="36" t="s">
        <v>18</v>
      </c>
      <c r="C1278" s="36" t="s">
        <v>65</v>
      </c>
      <c r="D1278" s="36" t="s">
        <v>37</v>
      </c>
      <c r="E1278" s="26" t="s">
        <v>555</v>
      </c>
      <c r="F1278" s="26" t="s">
        <v>1062</v>
      </c>
      <c r="G1278" s="27">
        <f t="shared" si="895"/>
        <v>20000</v>
      </c>
      <c r="H1278" s="27">
        <f t="shared" si="896"/>
        <v>20000</v>
      </c>
      <c r="I1278" s="27">
        <f t="shared" si="897"/>
        <v>20000</v>
      </c>
      <c r="J1278" s="16">
        <f>'БА в тыс. руб.'!G1278*1000</f>
        <v>20000</v>
      </c>
      <c r="K1278" s="169">
        <f t="shared" si="860"/>
        <v>0</v>
      </c>
      <c r="L1278" s="16">
        <f>'БА в тыс. руб.'!H1278*1000</f>
        <v>20000</v>
      </c>
      <c r="M1278" s="169">
        <f t="shared" si="861"/>
        <v>0</v>
      </c>
      <c r="N1278" s="16">
        <f>'БА в тыс. руб.'!I1278*1000</f>
        <v>20000</v>
      </c>
      <c r="O1278" s="169">
        <f t="shared" si="862"/>
        <v>0</v>
      </c>
      <c r="S1278" s="83"/>
      <c r="T1278" s="83"/>
      <c r="U1278" s="83"/>
    </row>
    <row r="1279" spans="1:21" s="127" customFormat="1" ht="25.5">
      <c r="A1279" s="34" t="s">
        <v>504</v>
      </c>
      <c r="B1279" s="36" t="s">
        <v>18</v>
      </c>
      <c r="C1279" s="36" t="s">
        <v>65</v>
      </c>
      <c r="D1279" s="36" t="s">
        <v>37</v>
      </c>
      <c r="E1279" s="36" t="s">
        <v>556</v>
      </c>
      <c r="F1279" s="36" t="s">
        <v>58</v>
      </c>
      <c r="G1279" s="37">
        <f>G1280</f>
        <v>34981070</v>
      </c>
      <c r="H1279" s="37">
        <f>H1280</f>
        <v>34981070</v>
      </c>
      <c r="I1279" s="37">
        <f>I1280</f>
        <v>34981070</v>
      </c>
      <c r="J1279" s="16">
        <f>'БА в тыс. руб.'!G1279*1000</f>
        <v>34981070</v>
      </c>
      <c r="K1279" s="169">
        <f t="shared" si="860"/>
        <v>0</v>
      </c>
      <c r="L1279" s="16">
        <f>'БА в тыс. руб.'!H1279*1000</f>
        <v>34981070</v>
      </c>
      <c r="M1279" s="169">
        <f t="shared" si="861"/>
        <v>0</v>
      </c>
      <c r="N1279" s="16">
        <f>'БА в тыс. руб.'!I1279*1000</f>
        <v>34981070</v>
      </c>
      <c r="O1279" s="169">
        <f t="shared" si="862"/>
        <v>0</v>
      </c>
      <c r="S1279" s="188"/>
      <c r="T1279" s="188"/>
      <c r="U1279" s="188"/>
    </row>
    <row r="1280" spans="1:21" s="145" customFormat="1" ht="25.5">
      <c r="A1280" s="34" t="s">
        <v>107</v>
      </c>
      <c r="B1280" s="36" t="s">
        <v>18</v>
      </c>
      <c r="C1280" s="36" t="s">
        <v>65</v>
      </c>
      <c r="D1280" s="36" t="s">
        <v>37</v>
      </c>
      <c r="E1280" s="36" t="s">
        <v>556</v>
      </c>
      <c r="F1280" s="36" t="s">
        <v>115</v>
      </c>
      <c r="G1280" s="37">
        <f>SUM(G1281:G1282)</f>
        <v>34981070</v>
      </c>
      <c r="H1280" s="37">
        <f t="shared" ref="H1280:I1280" si="898">SUM(H1281:H1282)</f>
        <v>34981070</v>
      </c>
      <c r="I1280" s="37">
        <f t="shared" si="898"/>
        <v>34981070</v>
      </c>
      <c r="J1280" s="16">
        <f>'БА в тыс. руб.'!G1280*1000</f>
        <v>34981070</v>
      </c>
      <c r="K1280" s="169">
        <f t="shared" si="860"/>
        <v>0</v>
      </c>
      <c r="L1280" s="16">
        <f>'БА в тыс. руб.'!H1280*1000</f>
        <v>34981070</v>
      </c>
      <c r="M1280" s="169">
        <f t="shared" si="861"/>
        <v>0</v>
      </c>
      <c r="N1280" s="16">
        <f>'БА в тыс. руб.'!I1280*1000</f>
        <v>34981070</v>
      </c>
      <c r="O1280" s="169">
        <f t="shared" si="862"/>
        <v>0</v>
      </c>
      <c r="S1280" s="190"/>
      <c r="T1280" s="190"/>
      <c r="U1280" s="190"/>
    </row>
    <row r="1281" spans="1:21" s="4" customFormat="1">
      <c r="A1281" s="12" t="s">
        <v>936</v>
      </c>
      <c r="B1281" s="36" t="s">
        <v>18</v>
      </c>
      <c r="C1281" s="36" t="s">
        <v>65</v>
      </c>
      <c r="D1281" s="36" t="s">
        <v>37</v>
      </c>
      <c r="E1281" s="36" t="s">
        <v>556</v>
      </c>
      <c r="F1281" s="26" t="s">
        <v>1063</v>
      </c>
      <c r="G1281" s="27">
        <f t="shared" ref="G1281:G1282" si="899">J1281</f>
        <v>26867180</v>
      </c>
      <c r="H1281" s="27">
        <f t="shared" ref="H1281:H1282" si="900">L1281</f>
        <v>26867180</v>
      </c>
      <c r="I1281" s="27">
        <f t="shared" ref="I1281:I1282" si="901">N1281</f>
        <v>26867180</v>
      </c>
      <c r="J1281" s="16">
        <f>'БА в тыс. руб.'!G1281*1000</f>
        <v>26867180</v>
      </c>
      <c r="K1281" s="169">
        <f t="shared" si="860"/>
        <v>0</v>
      </c>
      <c r="L1281" s="16">
        <f>'БА в тыс. руб.'!H1281*1000</f>
        <v>26867180</v>
      </c>
      <c r="M1281" s="169">
        <f t="shared" si="861"/>
        <v>0</v>
      </c>
      <c r="N1281" s="16">
        <f>'БА в тыс. руб.'!I1281*1000</f>
        <v>26867180</v>
      </c>
      <c r="O1281" s="169">
        <f t="shared" si="862"/>
        <v>0</v>
      </c>
      <c r="S1281" s="83"/>
      <c r="T1281" s="83"/>
      <c r="U1281" s="83"/>
    </row>
    <row r="1282" spans="1:21" s="4" customFormat="1" ht="38.25">
      <c r="A1282" s="12" t="s">
        <v>939</v>
      </c>
      <c r="B1282" s="36" t="s">
        <v>18</v>
      </c>
      <c r="C1282" s="36" t="s">
        <v>65</v>
      </c>
      <c r="D1282" s="36" t="s">
        <v>37</v>
      </c>
      <c r="E1282" s="36" t="s">
        <v>556</v>
      </c>
      <c r="F1282" s="26" t="s">
        <v>1060</v>
      </c>
      <c r="G1282" s="27">
        <f t="shared" si="899"/>
        <v>8113890</v>
      </c>
      <c r="H1282" s="27">
        <f t="shared" si="900"/>
        <v>8113890</v>
      </c>
      <c r="I1282" s="27">
        <f t="shared" si="901"/>
        <v>8113890</v>
      </c>
      <c r="J1282" s="16">
        <f>'БА в тыс. руб.'!G1282*1000</f>
        <v>8113890</v>
      </c>
      <c r="K1282" s="169">
        <f t="shared" si="860"/>
        <v>0</v>
      </c>
      <c r="L1282" s="16">
        <f>'БА в тыс. руб.'!H1282*1000</f>
        <v>8113890</v>
      </c>
      <c r="M1282" s="169">
        <f t="shared" si="861"/>
        <v>0</v>
      </c>
      <c r="N1282" s="16">
        <f>'БА в тыс. руб.'!I1282*1000</f>
        <v>8113890</v>
      </c>
      <c r="O1282" s="169">
        <f t="shared" si="862"/>
        <v>0</v>
      </c>
      <c r="S1282" s="83"/>
      <c r="T1282" s="83"/>
      <c r="U1282" s="83"/>
    </row>
    <row r="1283" spans="1:21" s="127" customFormat="1" ht="51">
      <c r="A1283" s="126" t="s">
        <v>598</v>
      </c>
      <c r="B1283" s="36" t="s">
        <v>18</v>
      </c>
      <c r="C1283" s="36" t="s">
        <v>65</v>
      </c>
      <c r="D1283" s="36" t="s">
        <v>37</v>
      </c>
      <c r="E1283" s="36" t="s">
        <v>557</v>
      </c>
      <c r="F1283" s="36" t="s">
        <v>58</v>
      </c>
      <c r="G1283" s="37">
        <f>G1284+G1288</f>
        <v>1534980</v>
      </c>
      <c r="H1283" s="37">
        <f>H1284+H1288</f>
        <v>1534980</v>
      </c>
      <c r="I1283" s="37">
        <f>I1284+I1288</f>
        <v>1534980</v>
      </c>
      <c r="J1283" s="16">
        <f>'БА в тыс. руб.'!G1283*1000</f>
        <v>1534980</v>
      </c>
      <c r="K1283" s="169">
        <f t="shared" si="860"/>
        <v>0</v>
      </c>
      <c r="L1283" s="16">
        <f>'БА в тыс. руб.'!H1283*1000</f>
        <v>1534980</v>
      </c>
      <c r="M1283" s="169">
        <f t="shared" si="861"/>
        <v>0</v>
      </c>
      <c r="N1283" s="16">
        <f>'БА в тыс. руб.'!I1283*1000</f>
        <v>1534980</v>
      </c>
      <c r="O1283" s="169">
        <f t="shared" si="862"/>
        <v>0</v>
      </c>
      <c r="S1283" s="188"/>
      <c r="T1283" s="188"/>
      <c r="U1283" s="188"/>
    </row>
    <row r="1284" spans="1:21" s="145" customFormat="1" ht="25.5">
      <c r="A1284" s="34" t="s">
        <v>107</v>
      </c>
      <c r="B1284" s="36" t="s">
        <v>18</v>
      </c>
      <c r="C1284" s="36" t="s">
        <v>65</v>
      </c>
      <c r="D1284" s="36" t="s">
        <v>37</v>
      </c>
      <c r="E1284" s="36" t="s">
        <v>557</v>
      </c>
      <c r="F1284" s="36" t="s">
        <v>115</v>
      </c>
      <c r="G1284" s="37">
        <f>SUM(G1285:G1287)</f>
        <v>1338680</v>
      </c>
      <c r="H1284" s="37">
        <f t="shared" ref="H1284:I1284" si="902">SUM(H1285:H1287)</f>
        <v>1338680</v>
      </c>
      <c r="I1284" s="37">
        <f t="shared" si="902"/>
        <v>1338680</v>
      </c>
      <c r="J1284" s="16">
        <f>'БА в тыс. руб.'!G1284*1000</f>
        <v>1338680</v>
      </c>
      <c r="K1284" s="169">
        <f t="shared" si="860"/>
        <v>0</v>
      </c>
      <c r="L1284" s="16">
        <f>'БА в тыс. руб.'!H1284*1000</f>
        <v>1338680</v>
      </c>
      <c r="M1284" s="169">
        <f t="shared" si="861"/>
        <v>0</v>
      </c>
      <c r="N1284" s="16">
        <f>'БА в тыс. руб.'!I1284*1000</f>
        <v>1338680</v>
      </c>
      <c r="O1284" s="169">
        <f t="shared" si="862"/>
        <v>0</v>
      </c>
      <c r="S1284" s="190"/>
      <c r="T1284" s="190"/>
      <c r="U1284" s="190"/>
    </row>
    <row r="1285" spans="1:21" s="145" customFormat="1">
      <c r="A1285" s="11" t="s">
        <v>936</v>
      </c>
      <c r="B1285" s="36" t="s">
        <v>18</v>
      </c>
      <c r="C1285" s="36" t="s">
        <v>65</v>
      </c>
      <c r="D1285" s="36" t="s">
        <v>37</v>
      </c>
      <c r="E1285" s="36" t="s">
        <v>557</v>
      </c>
      <c r="F1285" s="26" t="s">
        <v>1063</v>
      </c>
      <c r="G1285" s="27">
        <f t="shared" ref="G1285:G1287" si="903">J1285</f>
        <v>977110</v>
      </c>
      <c r="H1285" s="27">
        <f t="shared" ref="H1285:H1287" si="904">L1285</f>
        <v>977110</v>
      </c>
      <c r="I1285" s="27">
        <f t="shared" ref="I1285:I1287" si="905">N1285</f>
        <v>977110</v>
      </c>
      <c r="J1285" s="16">
        <f>'БА в тыс. руб.'!G1285*1000</f>
        <v>977110</v>
      </c>
      <c r="K1285" s="169"/>
      <c r="L1285" s="16">
        <f>'БА в тыс. руб.'!H1285*1000</f>
        <v>977110</v>
      </c>
      <c r="M1285" s="169"/>
      <c r="N1285" s="16">
        <f>'БА в тыс. руб.'!I1285*1000</f>
        <v>977110</v>
      </c>
      <c r="O1285" s="169"/>
      <c r="S1285" s="190"/>
      <c r="T1285" s="190"/>
      <c r="U1285" s="190"/>
    </row>
    <row r="1286" spans="1:21" s="4" customFormat="1" ht="15" customHeight="1">
      <c r="A1286" s="12" t="s">
        <v>937</v>
      </c>
      <c r="B1286" s="36" t="s">
        <v>18</v>
      </c>
      <c r="C1286" s="36" t="s">
        <v>65</v>
      </c>
      <c r="D1286" s="36" t="s">
        <v>37</v>
      </c>
      <c r="E1286" s="36" t="s">
        <v>557</v>
      </c>
      <c r="F1286" s="26" t="s">
        <v>1059</v>
      </c>
      <c r="G1286" s="27">
        <f t="shared" si="903"/>
        <v>51060</v>
      </c>
      <c r="H1286" s="27">
        <f t="shared" si="904"/>
        <v>51060</v>
      </c>
      <c r="I1286" s="27">
        <f t="shared" si="905"/>
        <v>51060</v>
      </c>
      <c r="J1286" s="16">
        <f>'БА в тыс. руб.'!G1286*1000</f>
        <v>51060</v>
      </c>
      <c r="K1286" s="169">
        <f t="shared" si="860"/>
        <v>0</v>
      </c>
      <c r="L1286" s="16">
        <f>'БА в тыс. руб.'!H1286*1000</f>
        <v>51060</v>
      </c>
      <c r="M1286" s="169">
        <f t="shared" si="861"/>
        <v>0</v>
      </c>
      <c r="N1286" s="16">
        <f>'БА в тыс. руб.'!I1286*1000</f>
        <v>51060</v>
      </c>
      <c r="O1286" s="169">
        <f t="shared" si="862"/>
        <v>0</v>
      </c>
      <c r="S1286" s="83"/>
      <c r="T1286" s="83"/>
      <c r="U1286" s="83"/>
    </row>
    <row r="1287" spans="1:21" s="4" customFormat="1" ht="38.25">
      <c r="A1287" s="11" t="s">
        <v>939</v>
      </c>
      <c r="B1287" s="36" t="s">
        <v>18</v>
      </c>
      <c r="C1287" s="36" t="s">
        <v>65</v>
      </c>
      <c r="D1287" s="36" t="s">
        <v>37</v>
      </c>
      <c r="E1287" s="36" t="s">
        <v>557</v>
      </c>
      <c r="F1287" s="26" t="s">
        <v>1060</v>
      </c>
      <c r="G1287" s="27">
        <f t="shared" si="903"/>
        <v>310510</v>
      </c>
      <c r="H1287" s="27">
        <f t="shared" si="904"/>
        <v>310510</v>
      </c>
      <c r="I1287" s="27">
        <f t="shared" si="905"/>
        <v>310510</v>
      </c>
      <c r="J1287" s="16">
        <f>'БА в тыс. руб.'!G1287*1000</f>
        <v>310510</v>
      </c>
      <c r="K1287" s="169">
        <f t="shared" si="860"/>
        <v>0</v>
      </c>
      <c r="L1287" s="16">
        <f>'БА в тыс. руб.'!H1287*1000</f>
        <v>310510</v>
      </c>
      <c r="M1287" s="169">
        <f t="shared" si="861"/>
        <v>0</v>
      </c>
      <c r="N1287" s="16">
        <f>'БА в тыс. руб.'!I1287*1000</f>
        <v>310510</v>
      </c>
      <c r="O1287" s="169">
        <f t="shared" si="862"/>
        <v>0</v>
      </c>
      <c r="S1287" s="83"/>
      <c r="T1287" s="83"/>
      <c r="U1287" s="83"/>
    </row>
    <row r="1288" spans="1:21" s="145" customFormat="1" ht="25.5">
      <c r="A1288" s="11" t="s">
        <v>108</v>
      </c>
      <c r="B1288" s="36" t="s">
        <v>18</v>
      </c>
      <c r="C1288" s="36" t="s">
        <v>65</v>
      </c>
      <c r="D1288" s="36" t="s">
        <v>37</v>
      </c>
      <c r="E1288" s="36" t="s">
        <v>557</v>
      </c>
      <c r="F1288" s="36" t="s">
        <v>116</v>
      </c>
      <c r="G1288" s="37">
        <f>G1289</f>
        <v>196300</v>
      </c>
      <c r="H1288" s="37">
        <f t="shared" ref="H1288:I1288" si="906">H1289</f>
        <v>196300</v>
      </c>
      <c r="I1288" s="37">
        <f t="shared" si="906"/>
        <v>196300</v>
      </c>
      <c r="J1288" s="16">
        <f>'БА в тыс. руб.'!G1288*1000</f>
        <v>196300</v>
      </c>
      <c r="K1288" s="169">
        <f t="shared" si="860"/>
        <v>0</v>
      </c>
      <c r="L1288" s="16">
        <f>'БА в тыс. руб.'!H1288*1000</f>
        <v>196300</v>
      </c>
      <c r="M1288" s="169">
        <f t="shared" si="861"/>
        <v>0</v>
      </c>
      <c r="N1288" s="16">
        <f>'БА в тыс. руб.'!I1288*1000</f>
        <v>196300</v>
      </c>
      <c r="O1288" s="169">
        <f t="shared" si="862"/>
        <v>0</v>
      </c>
      <c r="S1288" s="190"/>
      <c r="T1288" s="190"/>
      <c r="U1288" s="190"/>
    </row>
    <row r="1289" spans="1:21" s="4" customFormat="1" ht="25.5">
      <c r="A1289" s="12" t="s">
        <v>973</v>
      </c>
      <c r="B1289" s="36" t="s">
        <v>18</v>
      </c>
      <c r="C1289" s="36" t="s">
        <v>65</v>
      </c>
      <c r="D1289" s="36" t="s">
        <v>37</v>
      </c>
      <c r="E1289" s="36" t="s">
        <v>557</v>
      </c>
      <c r="F1289" s="36" t="s">
        <v>1043</v>
      </c>
      <c r="G1289" s="27">
        <f t="shared" ref="G1289" si="907">J1289</f>
        <v>196300</v>
      </c>
      <c r="H1289" s="27">
        <f>L1289</f>
        <v>196300</v>
      </c>
      <c r="I1289" s="27">
        <f>N1289</f>
        <v>196300</v>
      </c>
      <c r="J1289" s="16">
        <f>'БА в тыс. руб.'!G1289*1000</f>
        <v>196300</v>
      </c>
      <c r="K1289" s="169">
        <f t="shared" si="860"/>
        <v>0</v>
      </c>
      <c r="L1289" s="16">
        <f>'БА в тыс. руб.'!H1289*1000</f>
        <v>196300</v>
      </c>
      <c r="M1289" s="169">
        <f t="shared" si="861"/>
        <v>0</v>
      </c>
      <c r="N1289" s="16">
        <f>'БА в тыс. руб.'!I1289*1000</f>
        <v>196300</v>
      </c>
      <c r="O1289" s="169">
        <f t="shared" si="862"/>
        <v>0</v>
      </c>
      <c r="S1289" s="83"/>
      <c r="T1289" s="83"/>
      <c r="U1289" s="83"/>
    </row>
    <row r="1290" spans="1:21" s="127" customFormat="1" ht="51">
      <c r="A1290" s="34" t="s">
        <v>870</v>
      </c>
      <c r="B1290" s="36" t="s">
        <v>18</v>
      </c>
      <c r="C1290" s="36" t="s">
        <v>65</v>
      </c>
      <c r="D1290" s="36" t="s">
        <v>37</v>
      </c>
      <c r="E1290" s="36" t="s">
        <v>558</v>
      </c>
      <c r="F1290" s="36" t="s">
        <v>58</v>
      </c>
      <c r="G1290" s="37">
        <f>G1291</f>
        <v>51740</v>
      </c>
      <c r="H1290" s="37">
        <f>H1291</f>
        <v>51740</v>
      </c>
      <c r="I1290" s="37">
        <f>I1291</f>
        <v>51740</v>
      </c>
      <c r="J1290" s="16">
        <f>'БА в тыс. руб.'!G1290*1000</f>
        <v>51740</v>
      </c>
      <c r="K1290" s="169">
        <f t="shared" ref="K1290:K1354" si="908">J1290-G1290</f>
        <v>0</v>
      </c>
      <c r="L1290" s="16">
        <f>'БА в тыс. руб.'!H1290*1000</f>
        <v>51740</v>
      </c>
      <c r="M1290" s="169">
        <f t="shared" ref="M1290:M1354" si="909">L1290-H1290</f>
        <v>0</v>
      </c>
      <c r="N1290" s="16">
        <f>'БА в тыс. руб.'!I1290*1000</f>
        <v>51740</v>
      </c>
      <c r="O1290" s="169">
        <f t="shared" ref="O1290:O1354" si="910">N1290-I1290</f>
        <v>0</v>
      </c>
      <c r="S1290" s="188"/>
      <c r="T1290" s="188"/>
      <c r="U1290" s="188"/>
    </row>
    <row r="1291" spans="1:21" s="145" customFormat="1" ht="25.5">
      <c r="A1291" s="11" t="s">
        <v>108</v>
      </c>
      <c r="B1291" s="36" t="s">
        <v>18</v>
      </c>
      <c r="C1291" s="36" t="s">
        <v>65</v>
      </c>
      <c r="D1291" s="36" t="s">
        <v>37</v>
      </c>
      <c r="E1291" s="36" t="s">
        <v>558</v>
      </c>
      <c r="F1291" s="36" t="s">
        <v>116</v>
      </c>
      <c r="G1291" s="37">
        <f>G1292</f>
        <v>51740</v>
      </c>
      <c r="H1291" s="37">
        <f t="shared" ref="H1291:I1291" si="911">H1292</f>
        <v>51740</v>
      </c>
      <c r="I1291" s="37">
        <f t="shared" si="911"/>
        <v>51740</v>
      </c>
      <c r="J1291" s="16">
        <f>'БА в тыс. руб.'!G1291*1000</f>
        <v>51740</v>
      </c>
      <c r="K1291" s="169">
        <f t="shared" si="908"/>
        <v>0</v>
      </c>
      <c r="L1291" s="16">
        <f>'БА в тыс. руб.'!H1291*1000</f>
        <v>51740</v>
      </c>
      <c r="M1291" s="169">
        <f t="shared" si="909"/>
        <v>0</v>
      </c>
      <c r="N1291" s="16">
        <f>'БА в тыс. руб.'!I1291*1000</f>
        <v>51740</v>
      </c>
      <c r="O1291" s="169">
        <f t="shared" si="910"/>
        <v>0</v>
      </c>
      <c r="S1291" s="190"/>
      <c r="T1291" s="190"/>
      <c r="U1291" s="190"/>
    </row>
    <row r="1292" spans="1:21" s="4" customFormat="1" ht="25.5">
      <c r="A1292" s="12" t="s">
        <v>973</v>
      </c>
      <c r="B1292" s="36" t="s">
        <v>18</v>
      </c>
      <c r="C1292" s="36" t="s">
        <v>65</v>
      </c>
      <c r="D1292" s="36" t="s">
        <v>37</v>
      </c>
      <c r="E1292" s="36" t="s">
        <v>558</v>
      </c>
      <c r="F1292" s="36" t="s">
        <v>1043</v>
      </c>
      <c r="G1292" s="27">
        <f t="shared" ref="G1292" si="912">J1292</f>
        <v>51740</v>
      </c>
      <c r="H1292" s="27">
        <f>L1292</f>
        <v>51740</v>
      </c>
      <c r="I1292" s="27">
        <f>N1292</f>
        <v>51740</v>
      </c>
      <c r="J1292" s="16">
        <f>'БА в тыс. руб.'!G1292*1000</f>
        <v>51740</v>
      </c>
      <c r="K1292" s="169">
        <f t="shared" si="908"/>
        <v>0</v>
      </c>
      <c r="L1292" s="16">
        <f>'БА в тыс. руб.'!H1292*1000</f>
        <v>51740</v>
      </c>
      <c r="M1292" s="169">
        <f t="shared" si="909"/>
        <v>0</v>
      </c>
      <c r="N1292" s="16">
        <f>'БА в тыс. руб.'!I1292*1000</f>
        <v>51740</v>
      </c>
      <c r="O1292" s="169">
        <f t="shared" si="910"/>
        <v>0</v>
      </c>
      <c r="S1292" s="83"/>
      <c r="T1292" s="83"/>
      <c r="U1292" s="83"/>
    </row>
    <row r="1293" spans="1:21" s="3" customFormat="1">
      <c r="A1293" s="128" t="s">
        <v>38</v>
      </c>
      <c r="B1293" s="22" t="s">
        <v>18</v>
      </c>
      <c r="C1293" s="23" t="s">
        <v>65</v>
      </c>
      <c r="D1293" s="23" t="s">
        <v>84</v>
      </c>
      <c r="E1293" s="23" t="s">
        <v>196</v>
      </c>
      <c r="F1293" s="23" t="s">
        <v>58</v>
      </c>
      <c r="G1293" s="24">
        <f>G1294</f>
        <v>555070</v>
      </c>
      <c r="H1293" s="24">
        <f t="shared" ref="H1293:I1298" si="913">H1294</f>
        <v>558900</v>
      </c>
      <c r="I1293" s="24">
        <f t="shared" si="913"/>
        <v>558900</v>
      </c>
      <c r="J1293" s="16">
        <f>'БА в тыс. руб.'!G1293*1000</f>
        <v>555070</v>
      </c>
      <c r="K1293" s="169">
        <f t="shared" si="908"/>
        <v>0</v>
      </c>
      <c r="L1293" s="16">
        <f>'БА в тыс. руб.'!H1293*1000</f>
        <v>558900</v>
      </c>
      <c r="M1293" s="169">
        <f t="shared" si="909"/>
        <v>0</v>
      </c>
      <c r="N1293" s="16">
        <f>'БА в тыс. руб.'!I1293*1000</f>
        <v>558900</v>
      </c>
      <c r="O1293" s="169">
        <f t="shared" si="910"/>
        <v>0</v>
      </c>
      <c r="S1293" s="30"/>
      <c r="T1293" s="30"/>
      <c r="U1293" s="30"/>
    </row>
    <row r="1294" spans="1:21" s="3" customFormat="1" ht="38.25">
      <c r="A1294" s="13" t="s">
        <v>745</v>
      </c>
      <c r="B1294" s="26" t="s">
        <v>18</v>
      </c>
      <c r="C1294" s="26" t="s">
        <v>65</v>
      </c>
      <c r="D1294" s="26" t="s">
        <v>84</v>
      </c>
      <c r="E1294" s="26" t="s">
        <v>280</v>
      </c>
      <c r="F1294" s="26" t="s">
        <v>58</v>
      </c>
      <c r="G1294" s="27">
        <f>G1295</f>
        <v>555070</v>
      </c>
      <c r="H1294" s="27">
        <f t="shared" si="913"/>
        <v>558900</v>
      </c>
      <c r="I1294" s="27">
        <f t="shared" si="913"/>
        <v>558900</v>
      </c>
      <c r="J1294" s="16">
        <f>'БА в тыс. руб.'!G1294*1000</f>
        <v>555070</v>
      </c>
      <c r="K1294" s="169">
        <f t="shared" si="908"/>
        <v>0</v>
      </c>
      <c r="L1294" s="16">
        <f>'БА в тыс. руб.'!H1294*1000</f>
        <v>558900</v>
      </c>
      <c r="M1294" s="169">
        <f t="shared" si="909"/>
        <v>0</v>
      </c>
      <c r="N1294" s="16">
        <f>'БА в тыс. руб.'!I1294*1000</f>
        <v>558900</v>
      </c>
      <c r="O1294" s="169">
        <f t="shared" si="910"/>
        <v>0</v>
      </c>
      <c r="S1294" s="30"/>
      <c r="T1294" s="30"/>
      <c r="U1294" s="30"/>
    </row>
    <row r="1295" spans="1:21" s="3" customFormat="1" ht="51">
      <c r="A1295" s="13" t="s">
        <v>746</v>
      </c>
      <c r="B1295" s="141" t="s">
        <v>18</v>
      </c>
      <c r="C1295" s="26" t="s">
        <v>65</v>
      </c>
      <c r="D1295" s="26" t="s">
        <v>84</v>
      </c>
      <c r="E1295" s="26" t="s">
        <v>281</v>
      </c>
      <c r="F1295" s="26" t="s">
        <v>58</v>
      </c>
      <c r="G1295" s="27">
        <f>G1296</f>
        <v>555070</v>
      </c>
      <c r="H1295" s="27">
        <f t="shared" si="913"/>
        <v>558900</v>
      </c>
      <c r="I1295" s="27">
        <f t="shared" si="913"/>
        <v>558900</v>
      </c>
      <c r="J1295" s="16">
        <f>'БА в тыс. руб.'!G1295*1000</f>
        <v>555070</v>
      </c>
      <c r="K1295" s="169">
        <f t="shared" si="908"/>
        <v>0</v>
      </c>
      <c r="L1295" s="16">
        <f>'БА в тыс. руб.'!H1295*1000</f>
        <v>558900</v>
      </c>
      <c r="M1295" s="169">
        <f t="shared" si="909"/>
        <v>0</v>
      </c>
      <c r="N1295" s="16">
        <f>'БА в тыс. руб.'!I1295*1000</f>
        <v>558900</v>
      </c>
      <c r="O1295" s="169">
        <f t="shared" si="910"/>
        <v>0</v>
      </c>
      <c r="S1295" s="30"/>
      <c r="T1295" s="30"/>
      <c r="U1295" s="30"/>
    </row>
    <row r="1296" spans="1:21" s="3" customFormat="1" ht="38.25">
      <c r="A1296" s="140" t="s">
        <v>282</v>
      </c>
      <c r="B1296" s="141" t="s">
        <v>18</v>
      </c>
      <c r="C1296" s="26" t="s">
        <v>65</v>
      </c>
      <c r="D1296" s="26" t="s">
        <v>84</v>
      </c>
      <c r="E1296" s="26" t="s">
        <v>283</v>
      </c>
      <c r="F1296" s="26" t="s">
        <v>58</v>
      </c>
      <c r="G1296" s="27">
        <f>G1297+G1300</f>
        <v>555070</v>
      </c>
      <c r="H1296" s="27">
        <f>H1297+H1300</f>
        <v>558900</v>
      </c>
      <c r="I1296" s="27">
        <f>I1297+I1300</f>
        <v>558900</v>
      </c>
      <c r="J1296" s="16">
        <f>'БА в тыс. руб.'!G1296*1000</f>
        <v>555070</v>
      </c>
      <c r="K1296" s="169">
        <f t="shared" si="908"/>
        <v>0</v>
      </c>
      <c r="L1296" s="16">
        <f>'БА в тыс. руб.'!H1296*1000</f>
        <v>558900</v>
      </c>
      <c r="M1296" s="169">
        <f t="shared" si="909"/>
        <v>0</v>
      </c>
      <c r="N1296" s="16">
        <f>'БА в тыс. руб.'!I1296*1000</f>
        <v>558900</v>
      </c>
      <c r="O1296" s="169">
        <f t="shared" si="910"/>
        <v>0</v>
      </c>
      <c r="S1296" s="30"/>
      <c r="T1296" s="30"/>
      <c r="U1296" s="30"/>
    </row>
    <row r="1297" spans="1:21" s="3" customFormat="1" ht="25.5">
      <c r="A1297" s="120" t="s">
        <v>167</v>
      </c>
      <c r="B1297" s="141" t="s">
        <v>18</v>
      </c>
      <c r="C1297" s="26" t="s">
        <v>65</v>
      </c>
      <c r="D1297" s="26" t="s">
        <v>84</v>
      </c>
      <c r="E1297" s="26" t="s">
        <v>491</v>
      </c>
      <c r="F1297" s="26" t="s">
        <v>58</v>
      </c>
      <c r="G1297" s="27">
        <f>G1298</f>
        <v>472810.00000000006</v>
      </c>
      <c r="H1297" s="27">
        <f t="shared" si="913"/>
        <v>476640</v>
      </c>
      <c r="I1297" s="27">
        <f t="shared" si="913"/>
        <v>476640</v>
      </c>
      <c r="J1297" s="16">
        <f>'БА в тыс. руб.'!G1297*1000</f>
        <v>472810.00000000006</v>
      </c>
      <c r="K1297" s="169">
        <f t="shared" si="908"/>
        <v>0</v>
      </c>
      <c r="L1297" s="16">
        <f>'БА в тыс. руб.'!H1297*1000</f>
        <v>476640</v>
      </c>
      <c r="M1297" s="169">
        <f t="shared" si="909"/>
        <v>0</v>
      </c>
      <c r="N1297" s="16">
        <f>'БА в тыс. руб.'!I1297*1000</f>
        <v>476640</v>
      </c>
      <c r="O1297" s="169">
        <f t="shared" si="910"/>
        <v>0</v>
      </c>
      <c r="S1297" s="30"/>
      <c r="T1297" s="30"/>
      <c r="U1297" s="30"/>
    </row>
    <row r="1298" spans="1:21" s="3" customFormat="1" ht="25.5">
      <c r="A1298" s="11" t="s">
        <v>108</v>
      </c>
      <c r="B1298" s="141" t="s">
        <v>18</v>
      </c>
      <c r="C1298" s="26" t="s">
        <v>65</v>
      </c>
      <c r="D1298" s="26" t="s">
        <v>84</v>
      </c>
      <c r="E1298" s="26" t="s">
        <v>491</v>
      </c>
      <c r="F1298" s="26" t="s">
        <v>116</v>
      </c>
      <c r="G1298" s="37">
        <f>G1299</f>
        <v>472810.00000000006</v>
      </c>
      <c r="H1298" s="37">
        <f t="shared" si="913"/>
        <v>476640</v>
      </c>
      <c r="I1298" s="37">
        <f t="shared" si="913"/>
        <v>476640</v>
      </c>
      <c r="J1298" s="16">
        <f>'БА в тыс. руб.'!G1298*1000</f>
        <v>472810.00000000006</v>
      </c>
      <c r="K1298" s="169">
        <f t="shared" si="908"/>
        <v>0</v>
      </c>
      <c r="L1298" s="16">
        <f>'БА в тыс. руб.'!H1298*1000</f>
        <v>476640</v>
      </c>
      <c r="M1298" s="169">
        <f t="shared" si="909"/>
        <v>0</v>
      </c>
      <c r="N1298" s="16">
        <f>'БА в тыс. руб.'!I1298*1000</f>
        <v>476640</v>
      </c>
      <c r="O1298" s="169">
        <f t="shared" si="910"/>
        <v>0</v>
      </c>
      <c r="S1298" s="30"/>
      <c r="T1298" s="30"/>
      <c r="U1298" s="30"/>
    </row>
    <row r="1299" spans="1:21" s="4" customFormat="1" ht="25.5">
      <c r="A1299" s="12" t="s">
        <v>973</v>
      </c>
      <c r="B1299" s="141" t="s">
        <v>18</v>
      </c>
      <c r="C1299" s="26" t="s">
        <v>65</v>
      </c>
      <c r="D1299" s="26" t="s">
        <v>84</v>
      </c>
      <c r="E1299" s="26" t="s">
        <v>491</v>
      </c>
      <c r="F1299" s="26" t="s">
        <v>1043</v>
      </c>
      <c r="G1299" s="27">
        <f t="shared" ref="G1299" si="914">J1299</f>
        <v>472810.00000000006</v>
      </c>
      <c r="H1299" s="27">
        <f>L1299</f>
        <v>476640</v>
      </c>
      <c r="I1299" s="27">
        <f>N1299</f>
        <v>476640</v>
      </c>
      <c r="J1299" s="16">
        <f>'БА в тыс. руб.'!G1299*1000</f>
        <v>472810.00000000006</v>
      </c>
      <c r="K1299" s="169">
        <f t="shared" si="908"/>
        <v>0</v>
      </c>
      <c r="L1299" s="16">
        <f>'БА в тыс. руб.'!H1299*1000</f>
        <v>476640</v>
      </c>
      <c r="M1299" s="169">
        <f t="shared" si="909"/>
        <v>0</v>
      </c>
      <c r="N1299" s="16">
        <f>'БА в тыс. руб.'!I1299*1000</f>
        <v>476640</v>
      </c>
      <c r="O1299" s="169">
        <f t="shared" si="910"/>
        <v>0</v>
      </c>
      <c r="S1299" s="83"/>
      <c r="T1299" s="83"/>
      <c r="U1299" s="83"/>
    </row>
    <row r="1300" spans="1:21" s="3" customFormat="1" ht="25.5">
      <c r="A1300" s="11" t="s">
        <v>859</v>
      </c>
      <c r="B1300" s="141" t="s">
        <v>18</v>
      </c>
      <c r="C1300" s="36" t="s">
        <v>65</v>
      </c>
      <c r="D1300" s="36" t="s">
        <v>84</v>
      </c>
      <c r="E1300" s="43" t="s">
        <v>858</v>
      </c>
      <c r="F1300" s="26" t="s">
        <v>58</v>
      </c>
      <c r="G1300" s="27">
        <f>G1301</f>
        <v>82260</v>
      </c>
      <c r="H1300" s="27">
        <f t="shared" ref="H1300:I1301" si="915">H1301</f>
        <v>82260</v>
      </c>
      <c r="I1300" s="27">
        <f t="shared" si="915"/>
        <v>82260</v>
      </c>
      <c r="J1300" s="16">
        <f>'БА в тыс. руб.'!G1300*1000</f>
        <v>82260</v>
      </c>
      <c r="K1300" s="169">
        <f t="shared" si="908"/>
        <v>0</v>
      </c>
      <c r="L1300" s="16">
        <f>'БА в тыс. руб.'!H1300*1000</f>
        <v>82260</v>
      </c>
      <c r="M1300" s="169">
        <f t="shared" si="909"/>
        <v>0</v>
      </c>
      <c r="N1300" s="16">
        <f>'БА в тыс. руб.'!I1300*1000</f>
        <v>82260</v>
      </c>
      <c r="O1300" s="169">
        <f t="shared" si="910"/>
        <v>0</v>
      </c>
      <c r="S1300" s="30"/>
      <c r="T1300" s="30"/>
      <c r="U1300" s="30"/>
    </row>
    <row r="1301" spans="1:21" s="3" customFormat="1" ht="25.5">
      <c r="A1301" s="11" t="s">
        <v>108</v>
      </c>
      <c r="B1301" s="141" t="s">
        <v>18</v>
      </c>
      <c r="C1301" s="36" t="s">
        <v>65</v>
      </c>
      <c r="D1301" s="36" t="s">
        <v>84</v>
      </c>
      <c r="E1301" s="43" t="s">
        <v>858</v>
      </c>
      <c r="F1301" s="26" t="s">
        <v>116</v>
      </c>
      <c r="G1301" s="27">
        <f>G1302</f>
        <v>82260</v>
      </c>
      <c r="H1301" s="27">
        <f t="shared" si="915"/>
        <v>82260</v>
      </c>
      <c r="I1301" s="27">
        <f t="shared" si="915"/>
        <v>82260</v>
      </c>
      <c r="J1301" s="16">
        <f>'БА в тыс. руб.'!G1301*1000</f>
        <v>82260</v>
      </c>
      <c r="K1301" s="169">
        <f t="shared" si="908"/>
        <v>0</v>
      </c>
      <c r="L1301" s="16">
        <f>'БА в тыс. руб.'!H1301*1000</f>
        <v>82260</v>
      </c>
      <c r="M1301" s="169">
        <f t="shared" si="909"/>
        <v>0</v>
      </c>
      <c r="N1301" s="16">
        <f>'БА в тыс. руб.'!I1301*1000</f>
        <v>82260</v>
      </c>
      <c r="O1301" s="169">
        <f t="shared" si="910"/>
        <v>0</v>
      </c>
      <c r="S1301" s="30"/>
      <c r="T1301" s="30"/>
      <c r="U1301" s="30"/>
    </row>
    <row r="1302" spans="1:21" s="4" customFormat="1" ht="25.5">
      <c r="A1302" s="12" t="s">
        <v>973</v>
      </c>
      <c r="B1302" s="141" t="s">
        <v>18</v>
      </c>
      <c r="C1302" s="36" t="s">
        <v>65</v>
      </c>
      <c r="D1302" s="36" t="s">
        <v>84</v>
      </c>
      <c r="E1302" s="43" t="s">
        <v>858</v>
      </c>
      <c r="F1302" s="26" t="s">
        <v>1043</v>
      </c>
      <c r="G1302" s="27">
        <f t="shared" ref="G1302" si="916">J1302</f>
        <v>82260</v>
      </c>
      <c r="H1302" s="27">
        <f>L1302</f>
        <v>82260</v>
      </c>
      <c r="I1302" s="27">
        <f>N1302</f>
        <v>82260</v>
      </c>
      <c r="J1302" s="16">
        <f>'БА в тыс. руб.'!G1302*1000</f>
        <v>82260</v>
      </c>
      <c r="K1302" s="169">
        <f t="shared" si="908"/>
        <v>0</v>
      </c>
      <c r="L1302" s="16">
        <f>'БА в тыс. руб.'!H1302*1000</f>
        <v>82260</v>
      </c>
      <c r="M1302" s="169">
        <f t="shared" si="909"/>
        <v>0</v>
      </c>
      <c r="N1302" s="16">
        <f>'БА в тыс. руб.'!I1302*1000</f>
        <v>82260</v>
      </c>
      <c r="O1302" s="169">
        <f t="shared" si="910"/>
        <v>0</v>
      </c>
      <c r="S1302" s="83"/>
      <c r="T1302" s="83"/>
      <c r="U1302" s="83"/>
    </row>
    <row r="1303" spans="1:21" s="3" customFormat="1">
      <c r="A1303" s="139" t="s">
        <v>35</v>
      </c>
      <c r="B1303" s="18" t="s">
        <v>18</v>
      </c>
      <c r="C1303" s="19" t="s">
        <v>37</v>
      </c>
      <c r="D1303" s="19" t="s">
        <v>51</v>
      </c>
      <c r="E1303" s="19" t="s">
        <v>196</v>
      </c>
      <c r="F1303" s="19" t="s">
        <v>58</v>
      </c>
      <c r="G1303" s="20">
        <f t="shared" ref="G1303:I1305" si="917">G1304</f>
        <v>104824570</v>
      </c>
      <c r="H1303" s="20">
        <f t="shared" si="917"/>
        <v>94442440</v>
      </c>
      <c r="I1303" s="20">
        <f t="shared" si="917"/>
        <v>94442440</v>
      </c>
      <c r="J1303" s="16">
        <f>'БА в тыс. руб.'!G1303*1000</f>
        <v>104824570</v>
      </c>
      <c r="K1303" s="169">
        <f t="shared" si="908"/>
        <v>0</v>
      </c>
      <c r="L1303" s="16">
        <f>'БА в тыс. руб.'!H1303*1000</f>
        <v>94442439.999999985</v>
      </c>
      <c r="M1303" s="169">
        <f t="shared" si="909"/>
        <v>0</v>
      </c>
      <c r="N1303" s="16">
        <f>'БА в тыс. руб.'!I1303*1000</f>
        <v>94442439.999999985</v>
      </c>
      <c r="O1303" s="169">
        <f t="shared" si="910"/>
        <v>0</v>
      </c>
      <c r="S1303" s="30"/>
      <c r="T1303" s="30"/>
      <c r="U1303" s="30"/>
    </row>
    <row r="1304" spans="1:21" s="3" customFormat="1">
      <c r="A1304" s="144" t="s">
        <v>88</v>
      </c>
      <c r="B1304" s="22" t="s">
        <v>18</v>
      </c>
      <c r="C1304" s="23" t="s">
        <v>37</v>
      </c>
      <c r="D1304" s="23" t="s">
        <v>25</v>
      </c>
      <c r="E1304" s="23" t="s">
        <v>196</v>
      </c>
      <c r="F1304" s="23" t="s">
        <v>58</v>
      </c>
      <c r="G1304" s="24">
        <f>G1305</f>
        <v>104824570</v>
      </c>
      <c r="H1304" s="24">
        <f t="shared" si="917"/>
        <v>94442440</v>
      </c>
      <c r="I1304" s="24">
        <f t="shared" si="917"/>
        <v>94442440</v>
      </c>
      <c r="J1304" s="16">
        <f>'БА в тыс. руб.'!G1304*1000</f>
        <v>104824570</v>
      </c>
      <c r="K1304" s="169">
        <f t="shared" si="908"/>
        <v>0</v>
      </c>
      <c r="L1304" s="16">
        <f>'БА в тыс. руб.'!H1304*1000</f>
        <v>94442439.999999985</v>
      </c>
      <c r="M1304" s="169">
        <f t="shared" si="909"/>
        <v>0</v>
      </c>
      <c r="N1304" s="16">
        <f>'БА в тыс. руб.'!I1304*1000</f>
        <v>94442439.999999985</v>
      </c>
      <c r="O1304" s="169">
        <f t="shared" si="910"/>
        <v>0</v>
      </c>
      <c r="S1304" s="30"/>
      <c r="T1304" s="30"/>
      <c r="U1304" s="30"/>
    </row>
    <row r="1305" spans="1:21" s="3" customFormat="1" ht="38.25">
      <c r="A1305" s="12" t="s">
        <v>722</v>
      </c>
      <c r="B1305" s="36" t="s">
        <v>18</v>
      </c>
      <c r="C1305" s="35" t="s">
        <v>37</v>
      </c>
      <c r="D1305" s="35" t="s">
        <v>25</v>
      </c>
      <c r="E1305" s="35" t="s">
        <v>300</v>
      </c>
      <c r="F1305" s="36" t="s">
        <v>58</v>
      </c>
      <c r="G1305" s="146">
        <f t="shared" si="917"/>
        <v>104824570</v>
      </c>
      <c r="H1305" s="146">
        <f t="shared" si="917"/>
        <v>94442440</v>
      </c>
      <c r="I1305" s="146">
        <f t="shared" si="917"/>
        <v>94442440</v>
      </c>
      <c r="J1305" s="16">
        <f>'БА в тыс. руб.'!G1305*1000</f>
        <v>104824570</v>
      </c>
      <c r="K1305" s="169">
        <f t="shared" si="908"/>
        <v>0</v>
      </c>
      <c r="L1305" s="16">
        <f>'БА в тыс. руб.'!H1305*1000</f>
        <v>94442439.999999985</v>
      </c>
      <c r="M1305" s="169">
        <f t="shared" si="909"/>
        <v>0</v>
      </c>
      <c r="N1305" s="16">
        <f>'БА в тыс. руб.'!I1305*1000</f>
        <v>94442439.999999985</v>
      </c>
      <c r="O1305" s="169">
        <f t="shared" si="910"/>
        <v>0</v>
      </c>
      <c r="S1305" s="30"/>
      <c r="T1305" s="30"/>
      <c r="U1305" s="30"/>
    </row>
    <row r="1306" spans="1:21" s="3" customFormat="1" ht="38.25">
      <c r="A1306" s="40" t="s">
        <v>729</v>
      </c>
      <c r="B1306" s="36" t="s">
        <v>18</v>
      </c>
      <c r="C1306" s="35" t="s">
        <v>37</v>
      </c>
      <c r="D1306" s="35" t="s">
        <v>25</v>
      </c>
      <c r="E1306" s="147" t="s">
        <v>301</v>
      </c>
      <c r="F1306" s="147" t="s">
        <v>58</v>
      </c>
      <c r="G1306" s="37">
        <f>G1307</f>
        <v>104824570</v>
      </c>
      <c r="H1306" s="37">
        <f>H1307</f>
        <v>94442440</v>
      </c>
      <c r="I1306" s="37">
        <f>I1307</f>
        <v>94442440</v>
      </c>
      <c r="J1306" s="16">
        <f>'БА в тыс. руб.'!G1306*1000</f>
        <v>104824570</v>
      </c>
      <c r="K1306" s="169">
        <f t="shared" si="908"/>
        <v>0</v>
      </c>
      <c r="L1306" s="16">
        <f>'БА в тыс. руб.'!H1306*1000</f>
        <v>94442439.999999985</v>
      </c>
      <c r="M1306" s="169">
        <f t="shared" si="909"/>
        <v>0</v>
      </c>
      <c r="N1306" s="16">
        <f>'БА в тыс. руб.'!I1306*1000</f>
        <v>94442439.999999985</v>
      </c>
      <c r="O1306" s="169">
        <f t="shared" si="910"/>
        <v>0</v>
      </c>
      <c r="S1306" s="30"/>
      <c r="T1306" s="30"/>
      <c r="U1306" s="30"/>
    </row>
    <row r="1307" spans="1:21" s="3" customFormat="1" ht="38.25">
      <c r="A1307" s="34" t="s">
        <v>644</v>
      </c>
      <c r="B1307" s="36" t="s">
        <v>18</v>
      </c>
      <c r="C1307" s="36" t="s">
        <v>37</v>
      </c>
      <c r="D1307" s="36" t="s">
        <v>25</v>
      </c>
      <c r="E1307" s="36" t="s">
        <v>302</v>
      </c>
      <c r="F1307" s="36" t="s">
        <v>58</v>
      </c>
      <c r="G1307" s="37">
        <f>G1314+G1308+G1311</f>
        <v>104824570</v>
      </c>
      <c r="H1307" s="37">
        <f>H1314+H1308+H1311</f>
        <v>94442440</v>
      </c>
      <c r="I1307" s="37">
        <f>I1314+I1308+I1311</f>
        <v>94442440</v>
      </c>
      <c r="J1307" s="16">
        <f>'БА в тыс. руб.'!G1307*1000</f>
        <v>104824570</v>
      </c>
      <c r="K1307" s="169">
        <f t="shared" si="908"/>
        <v>0</v>
      </c>
      <c r="L1307" s="16">
        <f>'БА в тыс. руб.'!H1307*1000</f>
        <v>94442439.999999985</v>
      </c>
      <c r="M1307" s="169">
        <f t="shared" si="909"/>
        <v>0</v>
      </c>
      <c r="N1307" s="16">
        <f>'БА в тыс. руб.'!I1307*1000</f>
        <v>94442439.999999985</v>
      </c>
      <c r="O1307" s="169">
        <f t="shared" si="910"/>
        <v>0</v>
      </c>
      <c r="S1307" s="30"/>
      <c r="T1307" s="30"/>
      <c r="U1307" s="30"/>
    </row>
    <row r="1308" spans="1:21" s="3" customFormat="1" ht="25.5">
      <c r="A1308" s="112" t="s">
        <v>493</v>
      </c>
      <c r="B1308" s="36" t="s">
        <v>18</v>
      </c>
      <c r="C1308" s="36" t="s">
        <v>37</v>
      </c>
      <c r="D1308" s="36" t="s">
        <v>25</v>
      </c>
      <c r="E1308" s="36" t="s">
        <v>494</v>
      </c>
      <c r="F1308" s="36" t="s">
        <v>58</v>
      </c>
      <c r="G1308" s="37">
        <f>G1309</f>
        <v>10900210</v>
      </c>
      <c r="H1308" s="37">
        <f>H1309</f>
        <v>9495510</v>
      </c>
      <c r="I1308" s="37">
        <f>I1309</f>
        <v>9495510</v>
      </c>
      <c r="J1308" s="16">
        <f>'БА в тыс. руб.'!G1308*1000</f>
        <v>10900210</v>
      </c>
      <c r="K1308" s="169">
        <f t="shared" si="908"/>
        <v>0</v>
      </c>
      <c r="L1308" s="16">
        <f>'БА в тыс. руб.'!H1308*1000</f>
        <v>9495510</v>
      </c>
      <c r="M1308" s="169">
        <f t="shared" si="909"/>
        <v>0</v>
      </c>
      <c r="N1308" s="16">
        <f>'БА в тыс. руб.'!I1308*1000</f>
        <v>9495510</v>
      </c>
      <c r="O1308" s="169">
        <f t="shared" si="910"/>
        <v>0</v>
      </c>
      <c r="S1308" s="30"/>
      <c r="T1308" s="30"/>
      <c r="U1308" s="30"/>
    </row>
    <row r="1309" spans="1:21" s="127" customFormat="1" ht="25.5">
      <c r="A1309" s="11" t="s">
        <v>108</v>
      </c>
      <c r="B1309" s="36" t="s">
        <v>18</v>
      </c>
      <c r="C1309" s="36" t="s">
        <v>37</v>
      </c>
      <c r="D1309" s="36" t="s">
        <v>25</v>
      </c>
      <c r="E1309" s="36" t="s">
        <v>494</v>
      </c>
      <c r="F1309" s="36" t="s">
        <v>116</v>
      </c>
      <c r="G1309" s="37">
        <f>G1310</f>
        <v>10900210</v>
      </c>
      <c r="H1309" s="37">
        <f t="shared" ref="H1309:I1309" si="918">H1310</f>
        <v>9495510</v>
      </c>
      <c r="I1309" s="37">
        <f t="shared" si="918"/>
        <v>9495510</v>
      </c>
      <c r="J1309" s="16">
        <f>'БА в тыс. руб.'!G1309*1000</f>
        <v>10900210</v>
      </c>
      <c r="K1309" s="169">
        <f t="shared" si="908"/>
        <v>0</v>
      </c>
      <c r="L1309" s="16">
        <f>'БА в тыс. руб.'!H1309*1000</f>
        <v>9495510</v>
      </c>
      <c r="M1309" s="169">
        <f t="shared" si="909"/>
        <v>0</v>
      </c>
      <c r="N1309" s="16">
        <f>'БА в тыс. руб.'!I1309*1000</f>
        <v>9495510</v>
      </c>
      <c r="O1309" s="169">
        <f t="shared" si="910"/>
        <v>0</v>
      </c>
      <c r="S1309" s="188"/>
      <c r="T1309" s="188"/>
      <c r="U1309" s="188"/>
    </row>
    <row r="1310" spans="1:21" s="4" customFormat="1" ht="25.5">
      <c r="A1310" s="12" t="s">
        <v>973</v>
      </c>
      <c r="B1310" s="36" t="s">
        <v>18</v>
      </c>
      <c r="C1310" s="36" t="s">
        <v>37</v>
      </c>
      <c r="D1310" s="36" t="s">
        <v>25</v>
      </c>
      <c r="E1310" s="36" t="s">
        <v>494</v>
      </c>
      <c r="F1310" s="36" t="s">
        <v>1043</v>
      </c>
      <c r="G1310" s="27">
        <f t="shared" ref="G1310" si="919">J1310</f>
        <v>10900210</v>
      </c>
      <c r="H1310" s="27">
        <f>L1310</f>
        <v>9495510</v>
      </c>
      <c r="I1310" s="27">
        <f>N1310</f>
        <v>9495510</v>
      </c>
      <c r="J1310" s="16">
        <f>'БА в тыс. руб.'!G1310*1000</f>
        <v>10900210</v>
      </c>
      <c r="K1310" s="169">
        <f t="shared" si="908"/>
        <v>0</v>
      </c>
      <c r="L1310" s="16">
        <f>'БА в тыс. руб.'!H1310*1000</f>
        <v>9495510</v>
      </c>
      <c r="M1310" s="169">
        <f t="shared" si="909"/>
        <v>0</v>
      </c>
      <c r="N1310" s="16">
        <f>'БА в тыс. руб.'!I1310*1000</f>
        <v>9495510</v>
      </c>
      <c r="O1310" s="169">
        <f t="shared" si="910"/>
        <v>0</v>
      </c>
      <c r="S1310" s="83"/>
      <c r="T1310" s="83"/>
      <c r="U1310" s="83"/>
    </row>
    <row r="1311" spans="1:21" s="127" customFormat="1" ht="63.75">
      <c r="A1311" s="11" t="s">
        <v>889</v>
      </c>
      <c r="B1311" s="36" t="s">
        <v>18</v>
      </c>
      <c r="C1311" s="26" t="s">
        <v>37</v>
      </c>
      <c r="D1311" s="26" t="s">
        <v>25</v>
      </c>
      <c r="E1311" s="26" t="s">
        <v>834</v>
      </c>
      <c r="F1311" s="26" t="s">
        <v>58</v>
      </c>
      <c r="G1311" s="27">
        <f>G1312</f>
        <v>23816000</v>
      </c>
      <c r="H1311" s="27">
        <f t="shared" ref="H1311:I1312" si="920">H1312</f>
        <v>0</v>
      </c>
      <c r="I1311" s="27">
        <f t="shared" si="920"/>
        <v>0</v>
      </c>
      <c r="J1311" s="16">
        <f>'БА в тыс. руб.'!G1311*1000</f>
        <v>23816000</v>
      </c>
      <c r="K1311" s="169">
        <f t="shared" si="908"/>
        <v>0</v>
      </c>
      <c r="L1311" s="16">
        <f>'БА в тыс. руб.'!H1311*1000</f>
        <v>0</v>
      </c>
      <c r="M1311" s="169">
        <f t="shared" si="909"/>
        <v>0</v>
      </c>
      <c r="N1311" s="16">
        <f>'БА в тыс. руб.'!I1311*1000</f>
        <v>0</v>
      </c>
      <c r="O1311" s="169">
        <f t="shared" si="910"/>
        <v>0</v>
      </c>
      <c r="S1311" s="188"/>
      <c r="T1311" s="188"/>
      <c r="U1311" s="188"/>
    </row>
    <row r="1312" spans="1:21" s="127" customFormat="1" ht="25.5">
      <c r="A1312" s="11" t="s">
        <v>108</v>
      </c>
      <c r="B1312" s="36" t="s">
        <v>18</v>
      </c>
      <c r="C1312" s="26" t="s">
        <v>37</v>
      </c>
      <c r="D1312" s="26" t="s">
        <v>25</v>
      </c>
      <c r="E1312" s="26" t="s">
        <v>834</v>
      </c>
      <c r="F1312" s="26" t="s">
        <v>116</v>
      </c>
      <c r="G1312" s="27">
        <f>G1313</f>
        <v>23816000</v>
      </c>
      <c r="H1312" s="27">
        <f t="shared" si="920"/>
        <v>0</v>
      </c>
      <c r="I1312" s="27">
        <f t="shared" si="920"/>
        <v>0</v>
      </c>
      <c r="J1312" s="16">
        <f>'БА в тыс. руб.'!G1312*1000</f>
        <v>23816000</v>
      </c>
      <c r="K1312" s="169">
        <f t="shared" si="908"/>
        <v>0</v>
      </c>
      <c r="L1312" s="16">
        <f>'БА в тыс. руб.'!H1312*1000</f>
        <v>0</v>
      </c>
      <c r="M1312" s="169">
        <f t="shared" si="909"/>
        <v>0</v>
      </c>
      <c r="N1312" s="16">
        <f>'БА в тыс. руб.'!I1312*1000</f>
        <v>0</v>
      </c>
      <c r="O1312" s="169">
        <f t="shared" si="910"/>
        <v>0</v>
      </c>
      <c r="S1312" s="188"/>
      <c r="T1312" s="188"/>
      <c r="U1312" s="188"/>
    </row>
    <row r="1313" spans="1:21" s="4" customFormat="1" ht="25.5">
      <c r="A1313" s="12" t="s">
        <v>973</v>
      </c>
      <c r="B1313" s="36" t="s">
        <v>18</v>
      </c>
      <c r="C1313" s="26" t="s">
        <v>37</v>
      </c>
      <c r="D1313" s="26" t="s">
        <v>25</v>
      </c>
      <c r="E1313" s="26" t="s">
        <v>834</v>
      </c>
      <c r="F1313" s="26" t="s">
        <v>1043</v>
      </c>
      <c r="G1313" s="27">
        <f t="shared" ref="G1313" si="921">J1313</f>
        <v>23816000</v>
      </c>
      <c r="H1313" s="27">
        <f>L1313</f>
        <v>0</v>
      </c>
      <c r="I1313" s="27">
        <f>N1313</f>
        <v>0</v>
      </c>
      <c r="J1313" s="16">
        <f>'БА в тыс. руб.'!G1313*1000</f>
        <v>23816000</v>
      </c>
      <c r="K1313" s="169">
        <f t="shared" si="908"/>
        <v>0</v>
      </c>
      <c r="L1313" s="16">
        <f>'БА в тыс. руб.'!H1313*1000</f>
        <v>0</v>
      </c>
      <c r="M1313" s="169">
        <f t="shared" si="909"/>
        <v>0</v>
      </c>
      <c r="N1313" s="16">
        <f>'БА в тыс. руб.'!I1313*1000</f>
        <v>0</v>
      </c>
      <c r="O1313" s="169">
        <f t="shared" si="910"/>
        <v>0</v>
      </c>
      <c r="S1313" s="83"/>
      <c r="T1313" s="83"/>
      <c r="U1313" s="83"/>
    </row>
    <row r="1314" spans="1:21" s="3" customFormat="1" ht="25.5">
      <c r="A1314" s="11" t="s">
        <v>902</v>
      </c>
      <c r="B1314" s="36" t="s">
        <v>18</v>
      </c>
      <c r="C1314" s="36" t="s">
        <v>37</v>
      </c>
      <c r="D1314" s="36" t="s">
        <v>25</v>
      </c>
      <c r="E1314" s="26" t="s">
        <v>909</v>
      </c>
      <c r="F1314" s="36" t="s">
        <v>58</v>
      </c>
      <c r="G1314" s="37">
        <f>G1315</f>
        <v>70108360</v>
      </c>
      <c r="H1314" s="37">
        <f>H1315</f>
        <v>84946930</v>
      </c>
      <c r="I1314" s="37">
        <f>I1315</f>
        <v>84946930</v>
      </c>
      <c r="J1314" s="16">
        <f>'БА в тыс. руб.'!G1314*1000</f>
        <v>70108360</v>
      </c>
      <c r="K1314" s="169">
        <f t="shared" si="908"/>
        <v>0</v>
      </c>
      <c r="L1314" s="16">
        <f>'БА в тыс. руб.'!H1314*1000</f>
        <v>84946930</v>
      </c>
      <c r="M1314" s="169">
        <f t="shared" si="909"/>
        <v>0</v>
      </c>
      <c r="N1314" s="16">
        <f>'БА в тыс. руб.'!I1314*1000</f>
        <v>84946930</v>
      </c>
      <c r="O1314" s="169">
        <f t="shared" si="910"/>
        <v>0</v>
      </c>
      <c r="S1314" s="30"/>
      <c r="T1314" s="30"/>
      <c r="U1314" s="30"/>
    </row>
    <row r="1315" spans="1:21" s="3" customFormat="1" ht="25.5">
      <c r="A1315" s="11" t="s">
        <v>108</v>
      </c>
      <c r="B1315" s="36" t="s">
        <v>18</v>
      </c>
      <c r="C1315" s="36" t="s">
        <v>37</v>
      </c>
      <c r="D1315" s="36" t="s">
        <v>25</v>
      </c>
      <c r="E1315" s="26" t="s">
        <v>909</v>
      </c>
      <c r="F1315" s="36" t="s">
        <v>116</v>
      </c>
      <c r="G1315" s="37">
        <f>G1316</f>
        <v>70108360</v>
      </c>
      <c r="H1315" s="37">
        <f t="shared" ref="H1315:I1315" si="922">H1316</f>
        <v>84946930</v>
      </c>
      <c r="I1315" s="37">
        <f t="shared" si="922"/>
        <v>84946930</v>
      </c>
      <c r="J1315" s="16">
        <f>'БА в тыс. руб.'!G1315*1000</f>
        <v>70108360</v>
      </c>
      <c r="K1315" s="169">
        <f t="shared" si="908"/>
        <v>0</v>
      </c>
      <c r="L1315" s="16">
        <f>'БА в тыс. руб.'!H1315*1000</f>
        <v>84946930</v>
      </c>
      <c r="M1315" s="169">
        <f t="shared" si="909"/>
        <v>0</v>
      </c>
      <c r="N1315" s="16">
        <f>'БА в тыс. руб.'!I1315*1000</f>
        <v>84946930</v>
      </c>
      <c r="O1315" s="169">
        <f t="shared" si="910"/>
        <v>0</v>
      </c>
      <c r="S1315" s="30"/>
      <c r="T1315" s="30"/>
      <c r="U1315" s="30"/>
    </row>
    <row r="1316" spans="1:21" s="4" customFormat="1" ht="25.5">
      <c r="A1316" s="12" t="s">
        <v>973</v>
      </c>
      <c r="B1316" s="36" t="s">
        <v>18</v>
      </c>
      <c r="C1316" s="36" t="s">
        <v>37</v>
      </c>
      <c r="D1316" s="36" t="s">
        <v>25</v>
      </c>
      <c r="E1316" s="26" t="s">
        <v>909</v>
      </c>
      <c r="F1316" s="36" t="s">
        <v>1043</v>
      </c>
      <c r="G1316" s="27">
        <f t="shared" ref="G1316" si="923">J1316</f>
        <v>70108360</v>
      </c>
      <c r="H1316" s="27">
        <f>L1316</f>
        <v>84946930</v>
      </c>
      <c r="I1316" s="27">
        <f>N1316</f>
        <v>84946930</v>
      </c>
      <c r="J1316" s="16">
        <f>'БА в тыс. руб.'!G1316*1000</f>
        <v>70108360</v>
      </c>
      <c r="K1316" s="169">
        <f t="shared" si="908"/>
        <v>0</v>
      </c>
      <c r="L1316" s="16">
        <f>'БА в тыс. руб.'!H1316*1000</f>
        <v>84946930</v>
      </c>
      <c r="M1316" s="169">
        <f t="shared" si="909"/>
        <v>0</v>
      </c>
      <c r="N1316" s="16">
        <f>'БА в тыс. руб.'!I1316*1000</f>
        <v>84946930</v>
      </c>
      <c r="O1316" s="169">
        <f t="shared" si="910"/>
        <v>0</v>
      </c>
      <c r="S1316" s="83"/>
      <c r="T1316" s="83"/>
      <c r="U1316" s="83"/>
    </row>
    <row r="1317" spans="1:21" s="127" customFormat="1">
      <c r="A1317" s="139" t="s">
        <v>7</v>
      </c>
      <c r="B1317" s="18" t="s">
        <v>18</v>
      </c>
      <c r="C1317" s="19" t="s">
        <v>8</v>
      </c>
      <c r="D1317" s="19" t="s">
        <v>51</v>
      </c>
      <c r="E1317" s="19" t="s">
        <v>196</v>
      </c>
      <c r="F1317" s="19" t="s">
        <v>58</v>
      </c>
      <c r="G1317" s="20">
        <f>G1318+G1326</f>
        <v>19501790</v>
      </c>
      <c r="H1317" s="20">
        <f>H1318+H1326</f>
        <v>18439720</v>
      </c>
      <c r="I1317" s="20">
        <f>I1318+I1326</f>
        <v>18439720</v>
      </c>
      <c r="J1317" s="16">
        <f>'БА в тыс. руб.'!G1317*1000</f>
        <v>19501790</v>
      </c>
      <c r="K1317" s="169">
        <f t="shared" si="908"/>
        <v>0</v>
      </c>
      <c r="L1317" s="16">
        <f>'БА в тыс. руб.'!H1317*1000</f>
        <v>18439719.999999996</v>
      </c>
      <c r="M1317" s="169">
        <f t="shared" si="909"/>
        <v>0</v>
      </c>
      <c r="N1317" s="16">
        <f>'БА в тыс. руб.'!I1317*1000</f>
        <v>18439719.999999996</v>
      </c>
      <c r="O1317" s="169">
        <f t="shared" si="910"/>
        <v>0</v>
      </c>
      <c r="S1317" s="188"/>
      <c r="T1317" s="188"/>
      <c r="U1317" s="188"/>
    </row>
    <row r="1318" spans="1:21" s="3" customFormat="1">
      <c r="A1318" s="131" t="s">
        <v>9</v>
      </c>
      <c r="B1318" s="132" t="s">
        <v>18</v>
      </c>
      <c r="C1318" s="133" t="s">
        <v>8</v>
      </c>
      <c r="D1318" s="133" t="s">
        <v>65</v>
      </c>
      <c r="E1318" s="133" t="s">
        <v>196</v>
      </c>
      <c r="F1318" s="133" t="s">
        <v>58</v>
      </c>
      <c r="G1318" s="134">
        <f>G1319</f>
        <v>3447930</v>
      </c>
      <c r="H1318" s="134">
        <f t="shared" ref="H1318:I1318" si="924">H1319</f>
        <v>3222930</v>
      </c>
      <c r="I1318" s="134">
        <f t="shared" si="924"/>
        <v>3222930</v>
      </c>
      <c r="J1318" s="16">
        <f>'БА в тыс. руб.'!G1318*1000</f>
        <v>3447930</v>
      </c>
      <c r="K1318" s="169">
        <f t="shared" si="908"/>
        <v>0</v>
      </c>
      <c r="L1318" s="16">
        <f>'БА в тыс. руб.'!H1318*1000</f>
        <v>3222930</v>
      </c>
      <c r="M1318" s="169">
        <f t="shared" si="909"/>
        <v>0</v>
      </c>
      <c r="N1318" s="16">
        <f>'БА в тыс. руб.'!I1318*1000</f>
        <v>3222930</v>
      </c>
      <c r="O1318" s="169">
        <f t="shared" si="910"/>
        <v>0</v>
      </c>
      <c r="S1318" s="30"/>
      <c r="T1318" s="30"/>
      <c r="U1318" s="30"/>
    </row>
    <row r="1319" spans="1:21" s="3" customFormat="1" ht="38.25">
      <c r="A1319" s="12" t="s">
        <v>722</v>
      </c>
      <c r="B1319" s="36" t="s">
        <v>18</v>
      </c>
      <c r="C1319" s="36" t="s">
        <v>8</v>
      </c>
      <c r="D1319" s="36" t="s">
        <v>65</v>
      </c>
      <c r="E1319" s="36" t="s">
        <v>300</v>
      </c>
      <c r="F1319" s="36" t="s">
        <v>58</v>
      </c>
      <c r="G1319" s="44">
        <f>G1320</f>
        <v>3447930</v>
      </c>
      <c r="H1319" s="44">
        <f>H1320</f>
        <v>3222930</v>
      </c>
      <c r="I1319" s="44">
        <f>I1320</f>
        <v>3222930</v>
      </c>
      <c r="J1319" s="16">
        <f>'БА в тыс. руб.'!G1319*1000</f>
        <v>3447930</v>
      </c>
      <c r="K1319" s="169">
        <f t="shared" si="908"/>
        <v>0</v>
      </c>
      <c r="L1319" s="16">
        <f>'БА в тыс. руб.'!H1319*1000</f>
        <v>3222930</v>
      </c>
      <c r="M1319" s="169">
        <f t="shared" si="909"/>
        <v>0</v>
      </c>
      <c r="N1319" s="16">
        <f>'БА в тыс. руб.'!I1319*1000</f>
        <v>3222930</v>
      </c>
      <c r="O1319" s="169">
        <f t="shared" si="910"/>
        <v>0</v>
      </c>
      <c r="S1319" s="30"/>
      <c r="T1319" s="30"/>
      <c r="U1319" s="30"/>
    </row>
    <row r="1320" spans="1:21" s="127" customFormat="1" ht="25.5">
      <c r="A1320" s="135" t="s">
        <v>155</v>
      </c>
      <c r="B1320" s="136" t="s">
        <v>18</v>
      </c>
      <c r="C1320" s="136" t="s">
        <v>8</v>
      </c>
      <c r="D1320" s="136" t="s">
        <v>65</v>
      </c>
      <c r="E1320" s="136" t="s">
        <v>495</v>
      </c>
      <c r="F1320" s="136" t="s">
        <v>58</v>
      </c>
      <c r="G1320" s="137">
        <f>G1321</f>
        <v>3447930</v>
      </c>
      <c r="H1320" s="137">
        <f>H1321</f>
        <v>3222930</v>
      </c>
      <c r="I1320" s="137">
        <f>I1321</f>
        <v>3222930</v>
      </c>
      <c r="J1320" s="16">
        <f>'БА в тыс. руб.'!G1320*1000</f>
        <v>3447930</v>
      </c>
      <c r="K1320" s="169">
        <f t="shared" si="908"/>
        <v>0</v>
      </c>
      <c r="L1320" s="16">
        <f>'БА в тыс. руб.'!H1320*1000</f>
        <v>3222930</v>
      </c>
      <c r="M1320" s="169">
        <f t="shared" si="909"/>
        <v>0</v>
      </c>
      <c r="N1320" s="16">
        <f>'БА в тыс. руб.'!I1320*1000</f>
        <v>3222930</v>
      </c>
      <c r="O1320" s="169">
        <f t="shared" si="910"/>
        <v>0</v>
      </c>
      <c r="S1320" s="188"/>
      <c r="T1320" s="188"/>
      <c r="U1320" s="188"/>
    </row>
    <row r="1321" spans="1:21" s="3" customFormat="1" ht="38.25">
      <c r="A1321" s="34" t="s">
        <v>522</v>
      </c>
      <c r="B1321" s="36" t="s">
        <v>18</v>
      </c>
      <c r="C1321" s="36" t="s">
        <v>8</v>
      </c>
      <c r="D1321" s="36" t="s">
        <v>65</v>
      </c>
      <c r="E1321" s="36" t="s">
        <v>497</v>
      </c>
      <c r="F1321" s="36" t="s">
        <v>58</v>
      </c>
      <c r="G1321" s="37">
        <f>G1322</f>
        <v>3447930</v>
      </c>
      <c r="H1321" s="37">
        <f t="shared" ref="H1321:I1321" si="925">H1322</f>
        <v>3222930</v>
      </c>
      <c r="I1321" s="37">
        <f t="shared" si="925"/>
        <v>3222930</v>
      </c>
      <c r="J1321" s="16">
        <f>'БА в тыс. руб.'!G1321*1000</f>
        <v>3447930</v>
      </c>
      <c r="K1321" s="169">
        <f t="shared" si="908"/>
        <v>0</v>
      </c>
      <c r="L1321" s="16">
        <f>'БА в тыс. руб.'!H1321*1000</f>
        <v>3222930</v>
      </c>
      <c r="M1321" s="169">
        <f t="shared" si="909"/>
        <v>0</v>
      </c>
      <c r="N1321" s="16">
        <f>'БА в тыс. руб.'!I1321*1000</f>
        <v>3222930</v>
      </c>
      <c r="O1321" s="169">
        <f t="shared" si="910"/>
        <v>0</v>
      </c>
      <c r="S1321" s="30"/>
      <c r="T1321" s="30"/>
      <c r="U1321" s="30"/>
    </row>
    <row r="1322" spans="1:21" s="3" customFormat="1" ht="25.5">
      <c r="A1322" s="138" t="s">
        <v>148</v>
      </c>
      <c r="B1322" s="36" t="s">
        <v>18</v>
      </c>
      <c r="C1322" s="36" t="s">
        <v>8</v>
      </c>
      <c r="D1322" s="36" t="s">
        <v>65</v>
      </c>
      <c r="E1322" s="36" t="s">
        <v>498</v>
      </c>
      <c r="F1322" s="36" t="s">
        <v>58</v>
      </c>
      <c r="G1322" s="37">
        <f>G1323</f>
        <v>3447930</v>
      </c>
      <c r="H1322" s="37">
        <f>H1323</f>
        <v>3222930</v>
      </c>
      <c r="I1322" s="37">
        <f>I1323</f>
        <v>3222930</v>
      </c>
      <c r="J1322" s="16">
        <f>'БА в тыс. руб.'!G1322*1000</f>
        <v>3447930</v>
      </c>
      <c r="K1322" s="169">
        <f t="shared" si="908"/>
        <v>0</v>
      </c>
      <c r="L1322" s="16">
        <f>'БА в тыс. руб.'!H1322*1000</f>
        <v>3222930</v>
      </c>
      <c r="M1322" s="169">
        <f t="shared" si="909"/>
        <v>0</v>
      </c>
      <c r="N1322" s="16">
        <f>'БА в тыс. руб.'!I1322*1000</f>
        <v>3222930</v>
      </c>
      <c r="O1322" s="169">
        <f t="shared" si="910"/>
        <v>0</v>
      </c>
      <c r="S1322" s="30"/>
      <c r="T1322" s="30"/>
      <c r="U1322" s="30"/>
    </row>
    <row r="1323" spans="1:21" s="3" customFormat="1" ht="25.5">
      <c r="A1323" s="11" t="s">
        <v>108</v>
      </c>
      <c r="B1323" s="36" t="s">
        <v>18</v>
      </c>
      <c r="C1323" s="36" t="s">
        <v>8</v>
      </c>
      <c r="D1323" s="36" t="s">
        <v>65</v>
      </c>
      <c r="E1323" s="36" t="s">
        <v>498</v>
      </c>
      <c r="F1323" s="36" t="s">
        <v>116</v>
      </c>
      <c r="G1323" s="37">
        <f>SUM(G1324:G1325)</f>
        <v>3447930</v>
      </c>
      <c r="H1323" s="37">
        <f t="shared" ref="H1323:I1323" si="926">SUM(H1324:H1325)</f>
        <v>3222930</v>
      </c>
      <c r="I1323" s="37">
        <f t="shared" si="926"/>
        <v>3222930</v>
      </c>
      <c r="J1323" s="16">
        <f>'БА в тыс. руб.'!G1323*1000</f>
        <v>3447930</v>
      </c>
      <c r="K1323" s="169">
        <f t="shared" si="908"/>
        <v>0</v>
      </c>
      <c r="L1323" s="16">
        <f>'БА в тыс. руб.'!H1323*1000</f>
        <v>3222930</v>
      </c>
      <c r="M1323" s="169">
        <f t="shared" si="909"/>
        <v>0</v>
      </c>
      <c r="N1323" s="16">
        <f>'БА в тыс. руб.'!I1323*1000</f>
        <v>3222930</v>
      </c>
      <c r="O1323" s="169">
        <f t="shared" si="910"/>
        <v>0</v>
      </c>
      <c r="S1323" s="30"/>
      <c r="T1323" s="30"/>
      <c r="U1323" s="30"/>
    </row>
    <row r="1324" spans="1:21" s="3" customFormat="1">
      <c r="A1324" s="11"/>
      <c r="B1324" s="36" t="s">
        <v>18</v>
      </c>
      <c r="C1324" s="36" t="s">
        <v>8</v>
      </c>
      <c r="D1324" s="36" t="s">
        <v>65</v>
      </c>
      <c r="E1324" s="36" t="s">
        <v>498</v>
      </c>
      <c r="F1324" s="26" t="s">
        <v>1070</v>
      </c>
      <c r="G1324" s="27">
        <f t="shared" ref="G1324:G1325" si="927">J1324</f>
        <v>870000</v>
      </c>
      <c r="H1324" s="27">
        <f t="shared" ref="H1324:H1325" si="928">L1324</f>
        <v>730000</v>
      </c>
      <c r="I1324" s="27">
        <f t="shared" ref="I1324:I1325" si="929">N1324</f>
        <v>730000</v>
      </c>
      <c r="J1324" s="16">
        <f>'БА в тыс. руб.'!G1324*1000</f>
        <v>870000</v>
      </c>
      <c r="K1324" s="169"/>
      <c r="L1324" s="16">
        <f>'БА в тыс. руб.'!H1324*1000</f>
        <v>730000</v>
      </c>
      <c r="M1324" s="169"/>
      <c r="N1324" s="16">
        <f>'БА в тыс. руб.'!I1324*1000</f>
        <v>730000</v>
      </c>
      <c r="O1324" s="169"/>
      <c r="S1324" s="30"/>
      <c r="T1324" s="30"/>
      <c r="U1324" s="30"/>
    </row>
    <row r="1325" spans="1:21" s="4" customFormat="1" ht="15" customHeight="1">
      <c r="A1325" s="12" t="s">
        <v>973</v>
      </c>
      <c r="B1325" s="36" t="s">
        <v>18</v>
      </c>
      <c r="C1325" s="36" t="s">
        <v>8</v>
      </c>
      <c r="D1325" s="36" t="s">
        <v>65</v>
      </c>
      <c r="E1325" s="36" t="s">
        <v>498</v>
      </c>
      <c r="F1325" s="26" t="s">
        <v>1043</v>
      </c>
      <c r="G1325" s="27">
        <f t="shared" si="927"/>
        <v>2577930</v>
      </c>
      <c r="H1325" s="27">
        <f t="shared" si="928"/>
        <v>2492930</v>
      </c>
      <c r="I1325" s="27">
        <f t="shared" si="929"/>
        <v>2492930</v>
      </c>
      <c r="J1325" s="16">
        <f>'БА в тыс. руб.'!G1325*1000</f>
        <v>2577930</v>
      </c>
      <c r="K1325" s="169">
        <f t="shared" si="908"/>
        <v>0</v>
      </c>
      <c r="L1325" s="16">
        <f>'БА в тыс. руб.'!H1325*1000</f>
        <v>2492930</v>
      </c>
      <c r="M1325" s="169">
        <f t="shared" si="909"/>
        <v>0</v>
      </c>
      <c r="N1325" s="16">
        <f>'БА в тыс. руб.'!I1325*1000</f>
        <v>2492930</v>
      </c>
      <c r="O1325" s="169">
        <f t="shared" si="910"/>
        <v>0</v>
      </c>
      <c r="S1325" s="83"/>
      <c r="T1325" s="83"/>
      <c r="U1325" s="83"/>
    </row>
    <row r="1326" spans="1:21" s="3" customFormat="1">
      <c r="A1326" s="128" t="s">
        <v>1</v>
      </c>
      <c r="B1326" s="22" t="s">
        <v>18</v>
      </c>
      <c r="C1326" s="23" t="s">
        <v>8</v>
      </c>
      <c r="D1326" s="23" t="s">
        <v>53</v>
      </c>
      <c r="E1326" s="23" t="s">
        <v>196</v>
      </c>
      <c r="F1326" s="23" t="s">
        <v>58</v>
      </c>
      <c r="G1326" s="24">
        <f t="shared" ref="G1326:I1328" si="930">G1327</f>
        <v>16053860</v>
      </c>
      <c r="H1326" s="24">
        <f t="shared" si="930"/>
        <v>15216790</v>
      </c>
      <c r="I1326" s="24">
        <f t="shared" si="930"/>
        <v>15216790</v>
      </c>
      <c r="J1326" s="16">
        <f>'БА в тыс. руб.'!G1326*1000</f>
        <v>16053860</v>
      </c>
      <c r="K1326" s="169">
        <f t="shared" si="908"/>
        <v>0</v>
      </c>
      <c r="L1326" s="16">
        <f>'БА в тыс. руб.'!H1326*1000</f>
        <v>15216789.999999998</v>
      </c>
      <c r="M1326" s="169">
        <f t="shared" si="909"/>
        <v>0</v>
      </c>
      <c r="N1326" s="16">
        <f>'БА в тыс. руб.'!I1326*1000</f>
        <v>15216789.999999998</v>
      </c>
      <c r="O1326" s="169">
        <f t="shared" si="910"/>
        <v>0</v>
      </c>
      <c r="S1326" s="30"/>
      <c r="T1326" s="30"/>
      <c r="U1326" s="30"/>
    </row>
    <row r="1327" spans="1:21" s="3" customFormat="1" ht="38.25">
      <c r="A1327" s="12" t="s">
        <v>722</v>
      </c>
      <c r="B1327" s="36" t="s">
        <v>18</v>
      </c>
      <c r="C1327" s="36" t="s">
        <v>8</v>
      </c>
      <c r="D1327" s="36" t="s">
        <v>53</v>
      </c>
      <c r="E1327" s="36" t="s">
        <v>300</v>
      </c>
      <c r="F1327" s="36" t="s">
        <v>58</v>
      </c>
      <c r="G1327" s="37">
        <f t="shared" si="930"/>
        <v>16053860</v>
      </c>
      <c r="H1327" s="37">
        <f t="shared" si="930"/>
        <v>15216790</v>
      </c>
      <c r="I1327" s="37">
        <f t="shared" si="930"/>
        <v>15216790</v>
      </c>
      <c r="J1327" s="16">
        <f>'БА в тыс. руб.'!G1327*1000</f>
        <v>16053860</v>
      </c>
      <c r="K1327" s="169">
        <f t="shared" si="908"/>
        <v>0</v>
      </c>
      <c r="L1327" s="16">
        <f>'БА в тыс. руб.'!H1327*1000</f>
        <v>15216789.999999998</v>
      </c>
      <c r="M1327" s="169">
        <f t="shared" si="909"/>
        <v>0</v>
      </c>
      <c r="N1327" s="16">
        <f>'БА в тыс. руб.'!I1327*1000</f>
        <v>15216789.999999998</v>
      </c>
      <c r="O1327" s="169">
        <f t="shared" si="910"/>
        <v>0</v>
      </c>
      <c r="S1327" s="30"/>
      <c r="T1327" s="30"/>
      <c r="U1327" s="30"/>
    </row>
    <row r="1328" spans="1:21" s="3" customFormat="1">
      <c r="A1328" s="148" t="s">
        <v>142</v>
      </c>
      <c r="B1328" s="36" t="s">
        <v>18</v>
      </c>
      <c r="C1328" s="36" t="s">
        <v>8</v>
      </c>
      <c r="D1328" s="36" t="s">
        <v>53</v>
      </c>
      <c r="E1328" s="36" t="s">
        <v>453</v>
      </c>
      <c r="F1328" s="36" t="s">
        <v>58</v>
      </c>
      <c r="G1328" s="37">
        <f t="shared" si="930"/>
        <v>16053860</v>
      </c>
      <c r="H1328" s="37">
        <f t="shared" si="930"/>
        <v>15216790</v>
      </c>
      <c r="I1328" s="37">
        <f t="shared" si="930"/>
        <v>15216790</v>
      </c>
      <c r="J1328" s="16">
        <f>'БА в тыс. руб.'!G1328*1000</f>
        <v>16053860</v>
      </c>
      <c r="K1328" s="169">
        <f t="shared" si="908"/>
        <v>0</v>
      </c>
      <c r="L1328" s="16">
        <f>'БА в тыс. руб.'!H1328*1000</f>
        <v>15216789.999999998</v>
      </c>
      <c r="M1328" s="169">
        <f t="shared" si="909"/>
        <v>0</v>
      </c>
      <c r="N1328" s="16">
        <f>'БА в тыс. руб.'!I1328*1000</f>
        <v>15216789.999999998</v>
      </c>
      <c r="O1328" s="169">
        <f t="shared" si="910"/>
        <v>0</v>
      </c>
      <c r="S1328" s="30"/>
      <c r="T1328" s="30"/>
      <c r="U1328" s="30"/>
    </row>
    <row r="1329" spans="1:21" s="3" customFormat="1" ht="25.5">
      <c r="A1329" s="148" t="s">
        <v>454</v>
      </c>
      <c r="B1329" s="36" t="s">
        <v>18</v>
      </c>
      <c r="C1329" s="36" t="s">
        <v>8</v>
      </c>
      <c r="D1329" s="36" t="s">
        <v>53</v>
      </c>
      <c r="E1329" s="26" t="s">
        <v>645</v>
      </c>
      <c r="F1329" s="36" t="s">
        <v>58</v>
      </c>
      <c r="G1329" s="37">
        <f>G1331+G1334</f>
        <v>16053860</v>
      </c>
      <c r="H1329" s="37">
        <f>H1331+H1334</f>
        <v>15216790</v>
      </c>
      <c r="I1329" s="37">
        <f>I1331+I1334</f>
        <v>15216790</v>
      </c>
      <c r="J1329" s="16">
        <f>'БА в тыс. руб.'!G1329*1000</f>
        <v>16053860</v>
      </c>
      <c r="K1329" s="169">
        <f t="shared" si="908"/>
        <v>0</v>
      </c>
      <c r="L1329" s="16">
        <f>'БА в тыс. руб.'!H1329*1000</f>
        <v>15216789.999999998</v>
      </c>
      <c r="M1329" s="169">
        <f t="shared" si="909"/>
        <v>0</v>
      </c>
      <c r="N1329" s="16">
        <f>'БА в тыс. руб.'!I1329*1000</f>
        <v>15216789.999999998</v>
      </c>
      <c r="O1329" s="169">
        <f t="shared" si="910"/>
        <v>0</v>
      </c>
      <c r="S1329" s="30"/>
      <c r="T1329" s="30"/>
      <c r="U1329" s="30"/>
    </row>
    <row r="1330" spans="1:21" s="3" customFormat="1" ht="25.5">
      <c r="A1330" s="148" t="s">
        <v>158</v>
      </c>
      <c r="B1330" s="36" t="s">
        <v>18</v>
      </c>
      <c r="C1330" s="36" t="s">
        <v>8</v>
      </c>
      <c r="D1330" s="36" t="s">
        <v>53</v>
      </c>
      <c r="E1330" s="26" t="s">
        <v>646</v>
      </c>
      <c r="F1330" s="36" t="s">
        <v>58</v>
      </c>
      <c r="G1330" s="37">
        <f>G1331</f>
        <v>15007510</v>
      </c>
      <c r="H1330" s="37">
        <f>H1331</f>
        <v>14275070</v>
      </c>
      <c r="I1330" s="37">
        <f>I1331</f>
        <v>14275070</v>
      </c>
      <c r="J1330" s="16">
        <f>'БА в тыс. руб.'!G1330*1000</f>
        <v>15007510</v>
      </c>
      <c r="K1330" s="169">
        <f t="shared" si="908"/>
        <v>0</v>
      </c>
      <c r="L1330" s="16">
        <f>'БА в тыс. руб.'!H1330*1000</f>
        <v>14275070</v>
      </c>
      <c r="M1330" s="169">
        <f t="shared" si="909"/>
        <v>0</v>
      </c>
      <c r="N1330" s="16">
        <f>'БА в тыс. руб.'!I1330*1000</f>
        <v>14275070</v>
      </c>
      <c r="O1330" s="169">
        <f t="shared" si="910"/>
        <v>0</v>
      </c>
      <c r="S1330" s="30"/>
      <c r="T1330" s="30"/>
      <c r="U1330" s="30"/>
    </row>
    <row r="1331" spans="1:21" s="3" customFormat="1" ht="25.5">
      <c r="A1331" s="11" t="s">
        <v>108</v>
      </c>
      <c r="B1331" s="36" t="s">
        <v>18</v>
      </c>
      <c r="C1331" s="36" t="s">
        <v>8</v>
      </c>
      <c r="D1331" s="36" t="s">
        <v>53</v>
      </c>
      <c r="E1331" s="26" t="s">
        <v>646</v>
      </c>
      <c r="F1331" s="36" t="s">
        <v>116</v>
      </c>
      <c r="G1331" s="27">
        <f>G1332</f>
        <v>15007510</v>
      </c>
      <c r="H1331" s="27">
        <f t="shared" ref="H1331:I1331" si="931">H1332</f>
        <v>14275070</v>
      </c>
      <c r="I1331" s="27">
        <f t="shared" si="931"/>
        <v>14275070</v>
      </c>
      <c r="J1331" s="16">
        <f>'БА в тыс. руб.'!G1331*1000</f>
        <v>15007510</v>
      </c>
      <c r="K1331" s="169">
        <f t="shared" si="908"/>
        <v>0</v>
      </c>
      <c r="L1331" s="16">
        <f>'БА в тыс. руб.'!H1331*1000</f>
        <v>14275070</v>
      </c>
      <c r="M1331" s="169">
        <f t="shared" si="909"/>
        <v>0</v>
      </c>
      <c r="N1331" s="16">
        <f>'БА в тыс. руб.'!I1331*1000</f>
        <v>14275070</v>
      </c>
      <c r="O1331" s="169">
        <f t="shared" si="910"/>
        <v>0</v>
      </c>
      <c r="S1331" s="30"/>
      <c r="T1331" s="30"/>
      <c r="U1331" s="30"/>
    </row>
    <row r="1332" spans="1:21" s="4" customFormat="1" ht="25.5">
      <c r="A1332" s="12" t="s">
        <v>973</v>
      </c>
      <c r="B1332" s="36" t="s">
        <v>18</v>
      </c>
      <c r="C1332" s="36" t="s">
        <v>8</v>
      </c>
      <c r="D1332" s="36" t="s">
        <v>53</v>
      </c>
      <c r="E1332" s="26" t="s">
        <v>646</v>
      </c>
      <c r="F1332" s="36" t="s">
        <v>1043</v>
      </c>
      <c r="G1332" s="27">
        <f t="shared" ref="G1332" si="932">J1332</f>
        <v>15007510</v>
      </c>
      <c r="H1332" s="27">
        <f>L1332</f>
        <v>14275070</v>
      </c>
      <c r="I1332" s="27">
        <f>N1332</f>
        <v>14275070</v>
      </c>
      <c r="J1332" s="16">
        <f>'БА в тыс. руб.'!G1332*1000</f>
        <v>15007510</v>
      </c>
      <c r="K1332" s="169">
        <f t="shared" si="908"/>
        <v>0</v>
      </c>
      <c r="L1332" s="16">
        <f>'БА в тыс. руб.'!H1332*1000</f>
        <v>14275070</v>
      </c>
      <c r="M1332" s="169">
        <f t="shared" si="909"/>
        <v>0</v>
      </c>
      <c r="N1332" s="16">
        <f>'БА в тыс. руб.'!I1332*1000</f>
        <v>14275070</v>
      </c>
      <c r="O1332" s="169">
        <f t="shared" si="910"/>
        <v>0</v>
      </c>
      <c r="S1332" s="83"/>
      <c r="T1332" s="83"/>
      <c r="U1332" s="83"/>
    </row>
    <row r="1333" spans="1:21" s="3" customFormat="1">
      <c r="A1333" s="12" t="s">
        <v>890</v>
      </c>
      <c r="B1333" s="36" t="s">
        <v>18</v>
      </c>
      <c r="C1333" s="36" t="s">
        <v>8</v>
      </c>
      <c r="D1333" s="36" t="s">
        <v>53</v>
      </c>
      <c r="E1333" s="36" t="s">
        <v>910</v>
      </c>
      <c r="F1333" s="36" t="s">
        <v>58</v>
      </c>
      <c r="G1333" s="37">
        <f>G1334</f>
        <v>1046349.9999999999</v>
      </c>
      <c r="H1333" s="37">
        <f>H1334</f>
        <v>941720</v>
      </c>
      <c r="I1333" s="37">
        <f>I1334</f>
        <v>941720</v>
      </c>
      <c r="J1333" s="16">
        <f>'БА в тыс. руб.'!G1333*1000</f>
        <v>1046349.9999999999</v>
      </c>
      <c r="K1333" s="169">
        <f t="shared" si="908"/>
        <v>0</v>
      </c>
      <c r="L1333" s="16">
        <f>'БА в тыс. руб.'!H1333*1000</f>
        <v>941720</v>
      </c>
      <c r="M1333" s="169">
        <f t="shared" si="909"/>
        <v>0</v>
      </c>
      <c r="N1333" s="16">
        <f>'БА в тыс. руб.'!I1333*1000</f>
        <v>941720</v>
      </c>
      <c r="O1333" s="169">
        <f t="shared" si="910"/>
        <v>0</v>
      </c>
      <c r="S1333" s="30"/>
      <c r="T1333" s="30"/>
      <c r="U1333" s="30"/>
    </row>
    <row r="1334" spans="1:21" s="3" customFormat="1" ht="25.5">
      <c r="A1334" s="11" t="s">
        <v>108</v>
      </c>
      <c r="B1334" s="36" t="s">
        <v>18</v>
      </c>
      <c r="C1334" s="36" t="s">
        <v>8</v>
      </c>
      <c r="D1334" s="36" t="s">
        <v>53</v>
      </c>
      <c r="E1334" s="36" t="s">
        <v>910</v>
      </c>
      <c r="F1334" s="36" t="s">
        <v>116</v>
      </c>
      <c r="G1334" s="27">
        <f>G1335</f>
        <v>1046349.9999999999</v>
      </c>
      <c r="H1334" s="27">
        <f t="shared" ref="H1334:I1334" si="933">H1335</f>
        <v>941720</v>
      </c>
      <c r="I1334" s="27">
        <f t="shared" si="933"/>
        <v>941720</v>
      </c>
      <c r="J1334" s="16">
        <f>'БА в тыс. руб.'!G1334*1000</f>
        <v>1046349.9999999999</v>
      </c>
      <c r="K1334" s="169">
        <f t="shared" si="908"/>
        <v>0</v>
      </c>
      <c r="L1334" s="16">
        <f>'БА в тыс. руб.'!H1334*1000</f>
        <v>941720</v>
      </c>
      <c r="M1334" s="169">
        <f t="shared" si="909"/>
        <v>0</v>
      </c>
      <c r="N1334" s="16">
        <f>'БА в тыс. руб.'!I1334*1000</f>
        <v>941720</v>
      </c>
      <c r="O1334" s="169">
        <f t="shared" si="910"/>
        <v>0</v>
      </c>
      <c r="S1334" s="30"/>
      <c r="T1334" s="30"/>
      <c r="U1334" s="30"/>
    </row>
    <row r="1335" spans="1:21" s="4" customFormat="1" ht="25.5">
      <c r="A1335" s="12" t="s">
        <v>973</v>
      </c>
      <c r="B1335" s="36" t="s">
        <v>18</v>
      </c>
      <c r="C1335" s="36" t="s">
        <v>8</v>
      </c>
      <c r="D1335" s="36" t="s">
        <v>53</v>
      </c>
      <c r="E1335" s="36" t="s">
        <v>910</v>
      </c>
      <c r="F1335" s="36" t="s">
        <v>1043</v>
      </c>
      <c r="G1335" s="27">
        <f t="shared" ref="G1335" si="934">J1335</f>
        <v>1046349.9999999999</v>
      </c>
      <c r="H1335" s="27">
        <f>L1335</f>
        <v>941720</v>
      </c>
      <c r="I1335" s="27">
        <f>N1335</f>
        <v>941720</v>
      </c>
      <c r="J1335" s="16">
        <f>'БА в тыс. руб.'!G1335*1000</f>
        <v>1046349.9999999999</v>
      </c>
      <c r="K1335" s="169">
        <f t="shared" si="908"/>
        <v>0</v>
      </c>
      <c r="L1335" s="16">
        <f>'БА в тыс. руб.'!H1335*1000</f>
        <v>941720</v>
      </c>
      <c r="M1335" s="169">
        <f t="shared" si="909"/>
        <v>0</v>
      </c>
      <c r="N1335" s="16">
        <f>'БА в тыс. руб.'!I1335*1000</f>
        <v>941720</v>
      </c>
      <c r="O1335" s="169">
        <f t="shared" si="910"/>
        <v>0</v>
      </c>
      <c r="S1335" s="83"/>
      <c r="T1335" s="83"/>
      <c r="U1335" s="83"/>
    </row>
    <row r="1336" spans="1:21" s="3" customFormat="1">
      <c r="A1336" s="17" t="s">
        <v>83</v>
      </c>
      <c r="B1336" s="18" t="s">
        <v>18</v>
      </c>
      <c r="C1336" s="19" t="s">
        <v>50</v>
      </c>
      <c r="D1336" s="19" t="s">
        <v>51</v>
      </c>
      <c r="E1336" s="19" t="s">
        <v>196</v>
      </c>
      <c r="F1336" s="19" t="s">
        <v>58</v>
      </c>
      <c r="G1336" s="20">
        <f t="shared" ref="G1336:I1339" si="935">G1337</f>
        <v>1612500</v>
      </c>
      <c r="H1336" s="20">
        <f t="shared" si="935"/>
        <v>1549000</v>
      </c>
      <c r="I1336" s="20">
        <f t="shared" si="935"/>
        <v>1549000</v>
      </c>
      <c r="J1336" s="16">
        <f>'БА в тыс. руб.'!G1336*1000</f>
        <v>1612500</v>
      </c>
      <c r="K1336" s="169">
        <f t="shared" si="908"/>
        <v>0</v>
      </c>
      <c r="L1336" s="16">
        <f>'БА в тыс. руб.'!H1336*1000</f>
        <v>1549000</v>
      </c>
      <c r="M1336" s="169">
        <f t="shared" si="909"/>
        <v>0</v>
      </c>
      <c r="N1336" s="16">
        <f>'БА в тыс. руб.'!I1336*1000</f>
        <v>1549000</v>
      </c>
      <c r="O1336" s="169">
        <f t="shared" si="910"/>
        <v>0</v>
      </c>
      <c r="S1336" s="30"/>
      <c r="T1336" s="30"/>
      <c r="U1336" s="30"/>
    </row>
    <row r="1337" spans="1:21" s="3" customFormat="1">
      <c r="A1337" s="128" t="s">
        <v>27</v>
      </c>
      <c r="B1337" s="22" t="s">
        <v>18</v>
      </c>
      <c r="C1337" s="23" t="s">
        <v>50</v>
      </c>
      <c r="D1337" s="23" t="s">
        <v>65</v>
      </c>
      <c r="E1337" s="23" t="s">
        <v>196</v>
      </c>
      <c r="F1337" s="23" t="s">
        <v>58</v>
      </c>
      <c r="G1337" s="24">
        <f t="shared" si="935"/>
        <v>1612500</v>
      </c>
      <c r="H1337" s="24">
        <f t="shared" si="935"/>
        <v>1549000</v>
      </c>
      <c r="I1337" s="24">
        <f t="shared" si="935"/>
        <v>1549000</v>
      </c>
      <c r="J1337" s="16">
        <f>'БА в тыс. руб.'!G1337*1000</f>
        <v>1612500</v>
      </c>
      <c r="K1337" s="169">
        <f t="shared" si="908"/>
        <v>0</v>
      </c>
      <c r="L1337" s="16">
        <f>'БА в тыс. руб.'!H1337*1000</f>
        <v>1549000</v>
      </c>
      <c r="M1337" s="169">
        <f t="shared" si="909"/>
        <v>0</v>
      </c>
      <c r="N1337" s="16">
        <f>'БА в тыс. руб.'!I1337*1000</f>
        <v>1549000</v>
      </c>
      <c r="O1337" s="169">
        <f t="shared" si="910"/>
        <v>0</v>
      </c>
      <c r="S1337" s="30"/>
      <c r="T1337" s="30"/>
      <c r="U1337" s="30"/>
    </row>
    <row r="1338" spans="1:21" s="3" customFormat="1">
      <c r="A1338" s="11" t="s">
        <v>739</v>
      </c>
      <c r="B1338" s="26" t="s">
        <v>18</v>
      </c>
      <c r="C1338" s="26" t="s">
        <v>50</v>
      </c>
      <c r="D1338" s="26" t="s">
        <v>65</v>
      </c>
      <c r="E1338" s="26" t="s">
        <v>277</v>
      </c>
      <c r="F1338" s="26" t="s">
        <v>58</v>
      </c>
      <c r="G1338" s="27">
        <f t="shared" si="935"/>
        <v>1612500</v>
      </c>
      <c r="H1338" s="27">
        <f t="shared" si="935"/>
        <v>1549000</v>
      </c>
      <c r="I1338" s="27">
        <f t="shared" si="935"/>
        <v>1549000</v>
      </c>
      <c r="J1338" s="16">
        <f>'БА в тыс. руб.'!G1338*1000</f>
        <v>1612500</v>
      </c>
      <c r="K1338" s="169">
        <f t="shared" si="908"/>
        <v>0</v>
      </c>
      <c r="L1338" s="16">
        <f>'БА в тыс. руб.'!H1338*1000</f>
        <v>1549000</v>
      </c>
      <c r="M1338" s="169">
        <f t="shared" si="909"/>
        <v>0</v>
      </c>
      <c r="N1338" s="16">
        <f>'БА в тыс. руб.'!I1338*1000</f>
        <v>1549000</v>
      </c>
      <c r="O1338" s="169">
        <f t="shared" si="910"/>
        <v>0</v>
      </c>
      <c r="S1338" s="30"/>
      <c r="T1338" s="30"/>
      <c r="U1338" s="30"/>
    </row>
    <row r="1339" spans="1:21" s="3" customFormat="1" ht="51">
      <c r="A1339" s="34" t="s">
        <v>559</v>
      </c>
      <c r="B1339" s="36" t="s">
        <v>18</v>
      </c>
      <c r="C1339" s="36" t="s">
        <v>50</v>
      </c>
      <c r="D1339" s="36" t="s">
        <v>65</v>
      </c>
      <c r="E1339" s="36" t="s">
        <v>278</v>
      </c>
      <c r="F1339" s="36" t="s">
        <v>58</v>
      </c>
      <c r="G1339" s="37">
        <f t="shared" si="935"/>
        <v>1612500</v>
      </c>
      <c r="H1339" s="37">
        <f t="shared" si="935"/>
        <v>1549000</v>
      </c>
      <c r="I1339" s="37">
        <f t="shared" si="935"/>
        <v>1549000</v>
      </c>
      <c r="J1339" s="16">
        <f>'БА в тыс. руб.'!G1339*1000</f>
        <v>1612500</v>
      </c>
      <c r="K1339" s="169">
        <f t="shared" si="908"/>
        <v>0</v>
      </c>
      <c r="L1339" s="16">
        <f>'БА в тыс. руб.'!H1339*1000</f>
        <v>1549000</v>
      </c>
      <c r="M1339" s="169">
        <f t="shared" si="909"/>
        <v>0</v>
      </c>
      <c r="N1339" s="16">
        <f>'БА в тыс. руб.'!I1339*1000</f>
        <v>1549000</v>
      </c>
      <c r="O1339" s="169">
        <f t="shared" si="910"/>
        <v>0</v>
      </c>
      <c r="S1339" s="30"/>
      <c r="T1339" s="30"/>
      <c r="U1339" s="30"/>
    </row>
    <row r="1340" spans="1:21" s="3" customFormat="1" ht="63.75">
      <c r="A1340" s="135" t="s">
        <v>605</v>
      </c>
      <c r="B1340" s="36" t="s">
        <v>18</v>
      </c>
      <c r="C1340" s="36" t="s">
        <v>50</v>
      </c>
      <c r="D1340" s="36" t="s">
        <v>65</v>
      </c>
      <c r="E1340" s="36" t="s">
        <v>279</v>
      </c>
      <c r="F1340" s="36" t="s">
        <v>58</v>
      </c>
      <c r="G1340" s="37">
        <f>G1341+G1344</f>
        <v>1612500</v>
      </c>
      <c r="H1340" s="37">
        <f>H1341+H1344</f>
        <v>1549000</v>
      </c>
      <c r="I1340" s="37">
        <f>I1341+I1344</f>
        <v>1549000</v>
      </c>
      <c r="J1340" s="16">
        <f>'БА в тыс. руб.'!G1340*1000</f>
        <v>1612500</v>
      </c>
      <c r="K1340" s="169">
        <f t="shared" si="908"/>
        <v>0</v>
      </c>
      <c r="L1340" s="16">
        <f>'БА в тыс. руб.'!H1340*1000</f>
        <v>1549000</v>
      </c>
      <c r="M1340" s="169">
        <f t="shared" si="909"/>
        <v>0</v>
      </c>
      <c r="N1340" s="16">
        <f>'БА в тыс. руб.'!I1340*1000</f>
        <v>1549000</v>
      </c>
      <c r="O1340" s="169">
        <f t="shared" si="910"/>
        <v>0</v>
      </c>
      <c r="S1340" s="30"/>
      <c r="T1340" s="30"/>
      <c r="U1340" s="30"/>
    </row>
    <row r="1341" spans="1:21" s="3" customFormat="1" ht="25.5">
      <c r="A1341" s="34" t="s">
        <v>161</v>
      </c>
      <c r="B1341" s="36" t="s">
        <v>18</v>
      </c>
      <c r="C1341" s="36" t="s">
        <v>50</v>
      </c>
      <c r="D1341" s="36" t="s">
        <v>65</v>
      </c>
      <c r="E1341" s="36" t="s">
        <v>320</v>
      </c>
      <c r="F1341" s="36" t="s">
        <v>58</v>
      </c>
      <c r="G1341" s="37">
        <f>G1342</f>
        <v>975000</v>
      </c>
      <c r="H1341" s="37">
        <f>H1342</f>
        <v>911500</v>
      </c>
      <c r="I1341" s="37">
        <f>I1342</f>
        <v>911500</v>
      </c>
      <c r="J1341" s="16">
        <f>'БА в тыс. руб.'!G1341*1000</f>
        <v>975000</v>
      </c>
      <c r="K1341" s="169">
        <f t="shared" si="908"/>
        <v>0</v>
      </c>
      <c r="L1341" s="16">
        <f>'БА в тыс. руб.'!H1341*1000</f>
        <v>911500</v>
      </c>
      <c r="M1341" s="169">
        <f t="shared" si="909"/>
        <v>0</v>
      </c>
      <c r="N1341" s="16">
        <f>'БА в тыс. руб.'!I1341*1000</f>
        <v>911500</v>
      </c>
      <c r="O1341" s="169">
        <f t="shared" si="910"/>
        <v>0</v>
      </c>
      <c r="S1341" s="30"/>
      <c r="T1341" s="30"/>
      <c r="U1341" s="30"/>
    </row>
    <row r="1342" spans="1:21" s="3" customFormat="1" ht="25.5">
      <c r="A1342" s="11" t="s">
        <v>108</v>
      </c>
      <c r="B1342" s="36" t="s">
        <v>18</v>
      </c>
      <c r="C1342" s="36" t="s">
        <v>50</v>
      </c>
      <c r="D1342" s="36" t="s">
        <v>65</v>
      </c>
      <c r="E1342" s="36" t="s">
        <v>320</v>
      </c>
      <c r="F1342" s="36" t="s">
        <v>116</v>
      </c>
      <c r="G1342" s="27">
        <f>G1343</f>
        <v>975000</v>
      </c>
      <c r="H1342" s="27">
        <f t="shared" ref="H1342:I1342" si="936">H1343</f>
        <v>911500</v>
      </c>
      <c r="I1342" s="27">
        <f t="shared" si="936"/>
        <v>911500</v>
      </c>
      <c r="J1342" s="16">
        <f>'БА в тыс. руб.'!G1342*1000</f>
        <v>975000</v>
      </c>
      <c r="K1342" s="169">
        <f t="shared" si="908"/>
        <v>0</v>
      </c>
      <c r="L1342" s="16">
        <f>'БА в тыс. руб.'!H1342*1000</f>
        <v>911500</v>
      </c>
      <c r="M1342" s="169">
        <f t="shared" si="909"/>
        <v>0</v>
      </c>
      <c r="N1342" s="16">
        <f>'БА в тыс. руб.'!I1342*1000</f>
        <v>911500</v>
      </c>
      <c r="O1342" s="169">
        <f t="shared" si="910"/>
        <v>0</v>
      </c>
      <c r="S1342" s="30"/>
      <c r="T1342" s="30"/>
      <c r="U1342" s="30"/>
    </row>
    <row r="1343" spans="1:21" s="4" customFormat="1" ht="25.5">
      <c r="A1343" s="12" t="s">
        <v>973</v>
      </c>
      <c r="B1343" s="36" t="s">
        <v>18</v>
      </c>
      <c r="C1343" s="36" t="s">
        <v>50</v>
      </c>
      <c r="D1343" s="36" t="s">
        <v>65</v>
      </c>
      <c r="E1343" s="36" t="s">
        <v>320</v>
      </c>
      <c r="F1343" s="36" t="s">
        <v>1043</v>
      </c>
      <c r="G1343" s="27">
        <f t="shared" ref="G1343" si="937">J1343</f>
        <v>975000</v>
      </c>
      <c r="H1343" s="27">
        <f>L1343</f>
        <v>911500</v>
      </c>
      <c r="I1343" s="27">
        <f>N1343</f>
        <v>911500</v>
      </c>
      <c r="J1343" s="16">
        <f>'БА в тыс. руб.'!G1343*1000</f>
        <v>975000</v>
      </c>
      <c r="K1343" s="169">
        <f t="shared" si="908"/>
        <v>0</v>
      </c>
      <c r="L1343" s="16">
        <f>'БА в тыс. руб.'!H1343*1000</f>
        <v>911500</v>
      </c>
      <c r="M1343" s="169">
        <f t="shared" si="909"/>
        <v>0</v>
      </c>
      <c r="N1343" s="16">
        <f>'БА в тыс. руб.'!I1343*1000</f>
        <v>911500</v>
      </c>
      <c r="O1343" s="169">
        <f t="shared" si="910"/>
        <v>0</v>
      </c>
      <c r="S1343" s="83"/>
      <c r="T1343" s="83"/>
      <c r="U1343" s="83"/>
    </row>
    <row r="1344" spans="1:21" s="3" customFormat="1" ht="25.5">
      <c r="A1344" s="12" t="s">
        <v>892</v>
      </c>
      <c r="B1344" s="36" t="s">
        <v>18</v>
      </c>
      <c r="C1344" s="36" t="s">
        <v>50</v>
      </c>
      <c r="D1344" s="36" t="s">
        <v>65</v>
      </c>
      <c r="E1344" s="36" t="s">
        <v>500</v>
      </c>
      <c r="F1344" s="36" t="s">
        <v>58</v>
      </c>
      <c r="G1344" s="149">
        <f>G1345</f>
        <v>637500</v>
      </c>
      <c r="H1344" s="149">
        <f>H1345</f>
        <v>637500</v>
      </c>
      <c r="I1344" s="149">
        <f>I1345</f>
        <v>637500</v>
      </c>
      <c r="J1344" s="16">
        <f>'БА в тыс. руб.'!G1344*1000</f>
        <v>637500</v>
      </c>
      <c r="K1344" s="169">
        <f t="shared" si="908"/>
        <v>0</v>
      </c>
      <c r="L1344" s="16">
        <f>'БА в тыс. руб.'!H1344*1000</f>
        <v>637500</v>
      </c>
      <c r="M1344" s="169">
        <f t="shared" si="909"/>
        <v>0</v>
      </c>
      <c r="N1344" s="16">
        <f>'БА в тыс. руб.'!I1344*1000</f>
        <v>637500</v>
      </c>
      <c r="O1344" s="169">
        <f t="shared" si="910"/>
        <v>0</v>
      </c>
      <c r="S1344" s="30"/>
      <c r="T1344" s="30"/>
      <c r="U1344" s="30"/>
    </row>
    <row r="1345" spans="1:21" s="3" customFormat="1" ht="25.5">
      <c r="A1345" s="11" t="s">
        <v>108</v>
      </c>
      <c r="B1345" s="36" t="s">
        <v>18</v>
      </c>
      <c r="C1345" s="36" t="s">
        <v>50</v>
      </c>
      <c r="D1345" s="36" t="s">
        <v>65</v>
      </c>
      <c r="E1345" s="36" t="s">
        <v>500</v>
      </c>
      <c r="F1345" s="36" t="s">
        <v>116</v>
      </c>
      <c r="G1345" s="27">
        <f>G1346</f>
        <v>637500</v>
      </c>
      <c r="H1345" s="27">
        <f t="shared" ref="H1345:I1345" si="938">H1346</f>
        <v>637500</v>
      </c>
      <c r="I1345" s="27">
        <f t="shared" si="938"/>
        <v>637500</v>
      </c>
      <c r="J1345" s="16">
        <f>'БА в тыс. руб.'!G1345*1000</f>
        <v>637500</v>
      </c>
      <c r="K1345" s="169">
        <f t="shared" si="908"/>
        <v>0</v>
      </c>
      <c r="L1345" s="16">
        <f>'БА в тыс. руб.'!H1345*1000</f>
        <v>637500</v>
      </c>
      <c r="M1345" s="169">
        <f t="shared" si="909"/>
        <v>0</v>
      </c>
      <c r="N1345" s="16">
        <f>'БА в тыс. руб.'!I1345*1000</f>
        <v>637500</v>
      </c>
      <c r="O1345" s="169">
        <f t="shared" si="910"/>
        <v>0</v>
      </c>
      <c r="S1345" s="30"/>
      <c r="T1345" s="30"/>
      <c r="U1345" s="30"/>
    </row>
    <row r="1346" spans="1:21" s="4" customFormat="1" ht="25.5">
      <c r="A1346" s="12" t="s">
        <v>973</v>
      </c>
      <c r="B1346" s="36" t="s">
        <v>18</v>
      </c>
      <c r="C1346" s="36" t="s">
        <v>50</v>
      </c>
      <c r="D1346" s="36" t="s">
        <v>65</v>
      </c>
      <c r="E1346" s="36" t="s">
        <v>500</v>
      </c>
      <c r="F1346" s="36" t="s">
        <v>1043</v>
      </c>
      <c r="G1346" s="27">
        <f t="shared" ref="G1346" si="939">J1346</f>
        <v>637500</v>
      </c>
      <c r="H1346" s="27">
        <f t="shared" ref="H1346" si="940">L1346</f>
        <v>637500</v>
      </c>
      <c r="I1346" s="27">
        <f t="shared" ref="I1346" si="941">N1346</f>
        <v>637500</v>
      </c>
      <c r="J1346" s="16">
        <f>'БА в тыс. руб.'!G1346*1000</f>
        <v>637500</v>
      </c>
      <c r="K1346" s="169">
        <f t="shared" si="908"/>
        <v>0</v>
      </c>
      <c r="L1346" s="16">
        <f>'БА в тыс. руб.'!H1346*1000</f>
        <v>637500</v>
      </c>
      <c r="M1346" s="169">
        <f t="shared" si="909"/>
        <v>0</v>
      </c>
      <c r="N1346" s="16">
        <f>'БА в тыс. руб.'!I1346*1000</f>
        <v>637500</v>
      </c>
      <c r="O1346" s="169">
        <f t="shared" si="910"/>
        <v>0</v>
      </c>
      <c r="S1346" s="83"/>
      <c r="T1346" s="83"/>
      <c r="U1346" s="83"/>
    </row>
    <row r="1347" spans="1:21" s="3" customFormat="1">
      <c r="A1347" s="11"/>
      <c r="B1347" s="36"/>
      <c r="C1347" s="36"/>
      <c r="D1347" s="36"/>
      <c r="E1347" s="36"/>
      <c r="F1347" s="36"/>
      <c r="G1347" s="27"/>
      <c r="H1347" s="27"/>
      <c r="I1347" s="27"/>
      <c r="J1347" s="16">
        <f>'БА в тыс. руб.'!G1347*1000</f>
        <v>0</v>
      </c>
      <c r="K1347" s="169">
        <f t="shared" si="908"/>
        <v>0</v>
      </c>
      <c r="L1347" s="16">
        <f>'БА в тыс. руб.'!H1347*1000</f>
        <v>0</v>
      </c>
      <c r="M1347" s="169">
        <f t="shared" si="909"/>
        <v>0</v>
      </c>
      <c r="N1347" s="16">
        <f>'БА в тыс. руб.'!I1347*1000</f>
        <v>0</v>
      </c>
      <c r="O1347" s="169">
        <f t="shared" si="910"/>
        <v>0</v>
      </c>
      <c r="S1347" s="30"/>
      <c r="T1347" s="30"/>
      <c r="U1347" s="30"/>
    </row>
    <row r="1348" spans="1:21" s="3" customFormat="1">
      <c r="A1348" s="28" t="s">
        <v>19</v>
      </c>
      <c r="B1348" s="14" t="s">
        <v>20</v>
      </c>
      <c r="C1348" s="15" t="s">
        <v>51</v>
      </c>
      <c r="D1348" s="15" t="s">
        <v>51</v>
      </c>
      <c r="E1348" s="15" t="s">
        <v>196</v>
      </c>
      <c r="F1348" s="15" t="s">
        <v>58</v>
      </c>
      <c r="G1348" s="50">
        <f>G1349+G1365+G1428+G1503</f>
        <v>533176720</v>
      </c>
      <c r="H1348" s="50">
        <f>H1349+H1365+H1428+H1503</f>
        <v>505260590</v>
      </c>
      <c r="I1348" s="50">
        <f>I1349+I1365+I1428+I1503</f>
        <v>505260590</v>
      </c>
      <c r="J1348" s="16">
        <f>'БА в тыс. руб.'!G1348*1000</f>
        <v>533176720</v>
      </c>
      <c r="K1348" s="169">
        <f t="shared" si="908"/>
        <v>0</v>
      </c>
      <c r="L1348" s="16">
        <f>'БА в тыс. руб.'!H1348*1000</f>
        <v>505260589.99999994</v>
      </c>
      <c r="M1348" s="169">
        <f t="shared" si="909"/>
        <v>0</v>
      </c>
      <c r="N1348" s="16">
        <f>'БА в тыс. руб.'!I1348*1000</f>
        <v>505260589.99999994</v>
      </c>
      <c r="O1348" s="169">
        <f t="shared" si="910"/>
        <v>0</v>
      </c>
      <c r="S1348" s="30"/>
      <c r="T1348" s="30"/>
      <c r="U1348" s="30"/>
    </row>
    <row r="1349" spans="1:21" s="3" customFormat="1">
      <c r="A1349" s="17" t="s">
        <v>64</v>
      </c>
      <c r="B1349" s="18" t="s">
        <v>20</v>
      </c>
      <c r="C1349" s="19" t="s">
        <v>65</v>
      </c>
      <c r="D1349" s="19" t="s">
        <v>51</v>
      </c>
      <c r="E1349" s="19" t="s">
        <v>196</v>
      </c>
      <c r="F1349" s="19" t="s">
        <v>58</v>
      </c>
      <c r="G1349" s="20">
        <f t="shared" ref="G1349:I1357" si="942">G1350</f>
        <v>1874730</v>
      </c>
      <c r="H1349" s="20">
        <f t="shared" si="942"/>
        <v>1719730</v>
      </c>
      <c r="I1349" s="20">
        <f t="shared" si="942"/>
        <v>1719730</v>
      </c>
      <c r="J1349" s="16">
        <f>'БА в тыс. руб.'!G1349*1000</f>
        <v>1874730</v>
      </c>
      <c r="K1349" s="169">
        <f t="shared" si="908"/>
        <v>0</v>
      </c>
      <c r="L1349" s="16">
        <f>'БА в тыс. руб.'!H1349*1000</f>
        <v>1719730</v>
      </c>
      <c r="M1349" s="169">
        <f t="shared" si="909"/>
        <v>0</v>
      </c>
      <c r="N1349" s="16">
        <f>'БА в тыс. руб.'!I1349*1000</f>
        <v>1719730</v>
      </c>
      <c r="O1349" s="169">
        <f t="shared" si="910"/>
        <v>0</v>
      </c>
      <c r="S1349" s="30"/>
      <c r="T1349" s="30"/>
      <c r="U1349" s="30"/>
    </row>
    <row r="1350" spans="1:21" s="3" customFormat="1">
      <c r="A1350" s="21" t="s">
        <v>38</v>
      </c>
      <c r="B1350" s="22" t="s">
        <v>20</v>
      </c>
      <c r="C1350" s="23" t="s">
        <v>65</v>
      </c>
      <c r="D1350" s="23" t="s">
        <v>84</v>
      </c>
      <c r="E1350" s="23" t="s">
        <v>196</v>
      </c>
      <c r="F1350" s="23" t="s">
        <v>58</v>
      </c>
      <c r="G1350" s="24">
        <f>G1357+G1351</f>
        <v>1874730</v>
      </c>
      <c r="H1350" s="24">
        <f t="shared" ref="H1350:I1350" si="943">H1357+H1351</f>
        <v>1719730</v>
      </c>
      <c r="I1350" s="24">
        <f t="shared" si="943"/>
        <v>1719730</v>
      </c>
      <c r="J1350" s="16">
        <f>'БА в тыс. руб.'!G1350*1000</f>
        <v>1874730</v>
      </c>
      <c r="K1350" s="169">
        <f t="shared" si="908"/>
        <v>0</v>
      </c>
      <c r="L1350" s="16">
        <f>'БА в тыс. руб.'!H1350*1000</f>
        <v>1719730</v>
      </c>
      <c r="M1350" s="169">
        <f t="shared" si="909"/>
        <v>0</v>
      </c>
      <c r="N1350" s="16">
        <f>'БА в тыс. руб.'!I1350*1000</f>
        <v>1719730</v>
      </c>
      <c r="O1350" s="169">
        <f t="shared" si="910"/>
        <v>0</v>
      </c>
      <c r="S1350" s="30"/>
      <c r="T1350" s="30"/>
      <c r="U1350" s="30"/>
    </row>
    <row r="1351" spans="1:21" s="3" customFormat="1" ht="38.25">
      <c r="A1351" s="11" t="s">
        <v>745</v>
      </c>
      <c r="B1351" s="25" t="s">
        <v>20</v>
      </c>
      <c r="C1351" s="26" t="s">
        <v>65</v>
      </c>
      <c r="D1351" s="26" t="s">
        <v>84</v>
      </c>
      <c r="E1351" s="43" t="s">
        <v>280</v>
      </c>
      <c r="F1351" s="26" t="s">
        <v>58</v>
      </c>
      <c r="G1351" s="27">
        <f>G1352</f>
        <v>57230</v>
      </c>
      <c r="H1351" s="27">
        <f t="shared" ref="H1351:I1355" si="944">H1352</f>
        <v>57230</v>
      </c>
      <c r="I1351" s="27">
        <f t="shared" si="944"/>
        <v>57230</v>
      </c>
      <c r="J1351" s="16">
        <f>'БА в тыс. руб.'!G1351*1000</f>
        <v>57230</v>
      </c>
      <c r="K1351" s="169">
        <f t="shared" si="908"/>
        <v>0</v>
      </c>
      <c r="L1351" s="16">
        <f>'БА в тыс. руб.'!H1351*1000</f>
        <v>57230</v>
      </c>
      <c r="M1351" s="169">
        <f t="shared" si="909"/>
        <v>0</v>
      </c>
      <c r="N1351" s="16">
        <f>'БА в тыс. руб.'!I1351*1000</f>
        <v>57230</v>
      </c>
      <c r="O1351" s="169">
        <f t="shared" si="910"/>
        <v>0</v>
      </c>
      <c r="S1351" s="30"/>
      <c r="T1351" s="30"/>
      <c r="U1351" s="30"/>
    </row>
    <row r="1352" spans="1:21" s="3" customFormat="1" ht="51">
      <c r="A1352" s="11" t="s">
        <v>746</v>
      </c>
      <c r="B1352" s="25" t="s">
        <v>20</v>
      </c>
      <c r="C1352" s="26" t="s">
        <v>65</v>
      </c>
      <c r="D1352" s="26" t="s">
        <v>84</v>
      </c>
      <c r="E1352" s="43" t="s">
        <v>281</v>
      </c>
      <c r="F1352" s="26" t="s">
        <v>58</v>
      </c>
      <c r="G1352" s="27">
        <f>G1353</f>
        <v>57230</v>
      </c>
      <c r="H1352" s="27">
        <f t="shared" si="944"/>
        <v>57230</v>
      </c>
      <c r="I1352" s="27">
        <f t="shared" si="944"/>
        <v>57230</v>
      </c>
      <c r="J1352" s="16">
        <f>'БА в тыс. руб.'!G1352*1000</f>
        <v>57230</v>
      </c>
      <c r="K1352" s="169">
        <f t="shared" si="908"/>
        <v>0</v>
      </c>
      <c r="L1352" s="16">
        <f>'БА в тыс. руб.'!H1352*1000</f>
        <v>57230</v>
      </c>
      <c r="M1352" s="169">
        <f t="shared" si="909"/>
        <v>0</v>
      </c>
      <c r="N1352" s="16">
        <f>'БА в тыс. руб.'!I1352*1000</f>
        <v>57230</v>
      </c>
      <c r="O1352" s="169">
        <f t="shared" si="910"/>
        <v>0</v>
      </c>
      <c r="S1352" s="30"/>
      <c r="T1352" s="30"/>
      <c r="U1352" s="30"/>
    </row>
    <row r="1353" spans="1:21" s="3" customFormat="1" ht="38.25">
      <c r="A1353" s="11" t="s">
        <v>282</v>
      </c>
      <c r="B1353" s="25" t="s">
        <v>20</v>
      </c>
      <c r="C1353" s="26" t="s">
        <v>65</v>
      </c>
      <c r="D1353" s="26" t="s">
        <v>84</v>
      </c>
      <c r="E1353" s="43" t="s">
        <v>283</v>
      </c>
      <c r="F1353" s="26" t="s">
        <v>58</v>
      </c>
      <c r="G1353" s="27">
        <f>G1354</f>
        <v>57230</v>
      </c>
      <c r="H1353" s="27">
        <f t="shared" si="944"/>
        <v>57230</v>
      </c>
      <c r="I1353" s="27">
        <f t="shared" si="944"/>
        <v>57230</v>
      </c>
      <c r="J1353" s="16">
        <f>'БА в тыс. руб.'!G1353*1000</f>
        <v>57230</v>
      </c>
      <c r="K1353" s="169">
        <f t="shared" si="908"/>
        <v>0</v>
      </c>
      <c r="L1353" s="16">
        <f>'БА в тыс. руб.'!H1353*1000</f>
        <v>57230</v>
      </c>
      <c r="M1353" s="169">
        <f t="shared" si="909"/>
        <v>0</v>
      </c>
      <c r="N1353" s="16">
        <f>'БА в тыс. руб.'!I1353*1000</f>
        <v>57230</v>
      </c>
      <c r="O1353" s="169">
        <f t="shared" si="910"/>
        <v>0</v>
      </c>
      <c r="S1353" s="30"/>
      <c r="T1353" s="30"/>
      <c r="U1353" s="30"/>
    </row>
    <row r="1354" spans="1:21" s="3" customFormat="1" ht="25.5">
      <c r="A1354" s="11" t="s">
        <v>859</v>
      </c>
      <c r="B1354" s="25" t="s">
        <v>20</v>
      </c>
      <c r="C1354" s="26" t="s">
        <v>65</v>
      </c>
      <c r="D1354" s="26" t="s">
        <v>84</v>
      </c>
      <c r="E1354" s="43" t="s">
        <v>858</v>
      </c>
      <c r="F1354" s="26" t="s">
        <v>58</v>
      </c>
      <c r="G1354" s="27">
        <f>G1355</f>
        <v>57230</v>
      </c>
      <c r="H1354" s="27">
        <f t="shared" si="944"/>
        <v>57230</v>
      </c>
      <c r="I1354" s="27">
        <f t="shared" si="944"/>
        <v>57230</v>
      </c>
      <c r="J1354" s="16">
        <f>'БА в тыс. руб.'!G1354*1000</f>
        <v>57230</v>
      </c>
      <c r="K1354" s="169">
        <f t="shared" si="908"/>
        <v>0</v>
      </c>
      <c r="L1354" s="16">
        <f>'БА в тыс. руб.'!H1354*1000</f>
        <v>57230</v>
      </c>
      <c r="M1354" s="169">
        <f t="shared" si="909"/>
        <v>0</v>
      </c>
      <c r="N1354" s="16">
        <f>'БА в тыс. руб.'!I1354*1000</f>
        <v>57230</v>
      </c>
      <c r="O1354" s="169">
        <f t="shared" si="910"/>
        <v>0</v>
      </c>
      <c r="S1354" s="30"/>
      <c r="T1354" s="30"/>
      <c r="U1354" s="30"/>
    </row>
    <row r="1355" spans="1:21" s="3" customFormat="1" ht="25.5">
      <c r="A1355" s="11" t="s">
        <v>108</v>
      </c>
      <c r="B1355" s="25" t="s">
        <v>20</v>
      </c>
      <c r="C1355" s="26" t="s">
        <v>65</v>
      </c>
      <c r="D1355" s="26" t="s">
        <v>84</v>
      </c>
      <c r="E1355" s="43" t="s">
        <v>858</v>
      </c>
      <c r="F1355" s="26" t="s">
        <v>116</v>
      </c>
      <c r="G1355" s="27">
        <f>G1356</f>
        <v>57230</v>
      </c>
      <c r="H1355" s="27">
        <f t="shared" si="944"/>
        <v>57230</v>
      </c>
      <c r="I1355" s="27">
        <f t="shared" si="944"/>
        <v>57230</v>
      </c>
      <c r="J1355" s="16">
        <f>'БА в тыс. руб.'!G1355*1000</f>
        <v>57230</v>
      </c>
      <c r="K1355" s="169">
        <f t="shared" ref="K1355:K1418" si="945">J1355-G1355</f>
        <v>0</v>
      </c>
      <c r="L1355" s="16">
        <f>'БА в тыс. руб.'!H1355*1000</f>
        <v>57230</v>
      </c>
      <c r="M1355" s="169">
        <f t="shared" ref="M1355:M1418" si="946">L1355-H1355</f>
        <v>0</v>
      </c>
      <c r="N1355" s="16">
        <f>'БА в тыс. руб.'!I1355*1000</f>
        <v>57230</v>
      </c>
      <c r="O1355" s="169">
        <f t="shared" ref="O1355:O1418" si="947">N1355-I1355</f>
        <v>0</v>
      </c>
      <c r="S1355" s="30"/>
      <c r="T1355" s="30"/>
      <c r="U1355" s="30"/>
    </row>
    <row r="1356" spans="1:21" s="3" customFormat="1" ht="25.5">
      <c r="A1356" s="11" t="s">
        <v>973</v>
      </c>
      <c r="B1356" s="25" t="s">
        <v>20</v>
      </c>
      <c r="C1356" s="26" t="s">
        <v>65</v>
      </c>
      <c r="D1356" s="26" t="s">
        <v>84</v>
      </c>
      <c r="E1356" s="43" t="s">
        <v>858</v>
      </c>
      <c r="F1356" s="26" t="s">
        <v>1043</v>
      </c>
      <c r="G1356" s="27">
        <f t="shared" ref="G1356" si="948">J1356</f>
        <v>57230</v>
      </c>
      <c r="H1356" s="27">
        <f>L1356</f>
        <v>57230</v>
      </c>
      <c r="I1356" s="27">
        <f>N1356</f>
        <v>57230</v>
      </c>
      <c r="J1356" s="16">
        <f>'БА в тыс. руб.'!G1356*1000</f>
        <v>57230</v>
      </c>
      <c r="K1356" s="169">
        <f t="shared" si="945"/>
        <v>0</v>
      </c>
      <c r="L1356" s="16">
        <f>'БА в тыс. руб.'!H1356*1000</f>
        <v>57230</v>
      </c>
      <c r="M1356" s="169">
        <f t="shared" si="946"/>
        <v>0</v>
      </c>
      <c r="N1356" s="16">
        <f>'БА в тыс. руб.'!I1356*1000</f>
        <v>57230</v>
      </c>
      <c r="O1356" s="169">
        <f t="shared" si="947"/>
        <v>0</v>
      </c>
      <c r="S1356" s="30"/>
      <c r="T1356" s="30"/>
      <c r="U1356" s="30"/>
    </row>
    <row r="1357" spans="1:21" s="3" customFormat="1" ht="25.5">
      <c r="A1357" s="11" t="s">
        <v>143</v>
      </c>
      <c r="B1357" s="26" t="s">
        <v>20</v>
      </c>
      <c r="C1357" s="26" t="s">
        <v>65</v>
      </c>
      <c r="D1357" s="26" t="s">
        <v>84</v>
      </c>
      <c r="E1357" s="26" t="s">
        <v>508</v>
      </c>
      <c r="F1357" s="26" t="s">
        <v>58</v>
      </c>
      <c r="G1357" s="27">
        <f t="shared" si="942"/>
        <v>1817500</v>
      </c>
      <c r="H1357" s="27">
        <f t="shared" si="942"/>
        <v>1662500</v>
      </c>
      <c r="I1357" s="27">
        <f t="shared" si="942"/>
        <v>1662500</v>
      </c>
      <c r="J1357" s="16">
        <f>'БА в тыс. руб.'!G1357*1000</f>
        <v>1817500</v>
      </c>
      <c r="K1357" s="169">
        <f t="shared" si="945"/>
        <v>0</v>
      </c>
      <c r="L1357" s="16">
        <f>'БА в тыс. руб.'!H1357*1000</f>
        <v>1662500</v>
      </c>
      <c r="M1357" s="169">
        <f t="shared" si="946"/>
        <v>0</v>
      </c>
      <c r="N1357" s="16">
        <f>'БА в тыс. руб.'!I1357*1000</f>
        <v>1662500</v>
      </c>
      <c r="O1357" s="169">
        <f t="shared" si="947"/>
        <v>0</v>
      </c>
      <c r="S1357" s="30"/>
      <c r="T1357" s="30"/>
      <c r="U1357" s="30"/>
    </row>
    <row r="1358" spans="1:21" s="3" customFormat="1" ht="25.5">
      <c r="A1358" s="11" t="s">
        <v>144</v>
      </c>
      <c r="B1358" s="26" t="s">
        <v>20</v>
      </c>
      <c r="C1358" s="26" t="s">
        <v>65</v>
      </c>
      <c r="D1358" s="26" t="s">
        <v>84</v>
      </c>
      <c r="E1358" s="26" t="s">
        <v>509</v>
      </c>
      <c r="F1358" s="26" t="s">
        <v>58</v>
      </c>
      <c r="G1358" s="27">
        <f>G1362+G1359</f>
        <v>1817500</v>
      </c>
      <c r="H1358" s="27">
        <f t="shared" ref="H1358:I1358" si="949">H1362+H1359</f>
        <v>1662500</v>
      </c>
      <c r="I1358" s="27">
        <f t="shared" si="949"/>
        <v>1662500</v>
      </c>
      <c r="J1358" s="16">
        <f>'БА в тыс. руб.'!G1358*1000</f>
        <v>1817500</v>
      </c>
      <c r="K1358" s="169">
        <f t="shared" si="945"/>
        <v>0</v>
      </c>
      <c r="L1358" s="16">
        <f>'БА в тыс. руб.'!H1358*1000</f>
        <v>1662500</v>
      </c>
      <c r="M1358" s="169">
        <f t="shared" si="946"/>
        <v>0</v>
      </c>
      <c r="N1358" s="16">
        <f>'БА в тыс. руб.'!I1358*1000</f>
        <v>1662500</v>
      </c>
      <c r="O1358" s="169">
        <f t="shared" si="947"/>
        <v>0</v>
      </c>
      <c r="S1358" s="30"/>
      <c r="T1358" s="30"/>
      <c r="U1358" s="30"/>
    </row>
    <row r="1359" spans="1:21" s="3" customFormat="1" ht="25.5">
      <c r="A1359" s="11" t="s">
        <v>114</v>
      </c>
      <c r="B1359" s="26" t="s">
        <v>20</v>
      </c>
      <c r="C1359" s="26" t="s">
        <v>65</v>
      </c>
      <c r="D1359" s="26" t="s">
        <v>84</v>
      </c>
      <c r="E1359" s="26" t="s">
        <v>531</v>
      </c>
      <c r="F1359" s="26" t="s">
        <v>58</v>
      </c>
      <c r="G1359" s="27">
        <f>G1360</f>
        <v>1317500</v>
      </c>
      <c r="H1359" s="27">
        <f t="shared" ref="H1359:I1360" si="950">H1360</f>
        <v>1162500</v>
      </c>
      <c r="I1359" s="27">
        <f t="shared" si="950"/>
        <v>1162500</v>
      </c>
      <c r="J1359" s="16">
        <f>'БА в тыс. руб.'!G1359*1000</f>
        <v>1317500</v>
      </c>
      <c r="K1359" s="169">
        <f t="shared" si="945"/>
        <v>0</v>
      </c>
      <c r="L1359" s="16">
        <f>'БА в тыс. руб.'!H1359*1000</f>
        <v>1162500</v>
      </c>
      <c r="M1359" s="169">
        <f t="shared" si="946"/>
        <v>0</v>
      </c>
      <c r="N1359" s="16">
        <f>'БА в тыс. руб.'!I1359*1000</f>
        <v>1162500</v>
      </c>
      <c r="O1359" s="169">
        <f t="shared" si="947"/>
        <v>0</v>
      </c>
      <c r="S1359" s="30"/>
      <c r="T1359" s="30"/>
      <c r="U1359" s="30"/>
    </row>
    <row r="1360" spans="1:21" s="3" customFormat="1" ht="25.5">
      <c r="A1360" s="11" t="s">
        <v>108</v>
      </c>
      <c r="B1360" s="26" t="s">
        <v>20</v>
      </c>
      <c r="C1360" s="26" t="s">
        <v>65</v>
      </c>
      <c r="D1360" s="26" t="s">
        <v>84</v>
      </c>
      <c r="E1360" s="26" t="s">
        <v>531</v>
      </c>
      <c r="F1360" s="26" t="s">
        <v>116</v>
      </c>
      <c r="G1360" s="27">
        <f>G1361</f>
        <v>1317500</v>
      </c>
      <c r="H1360" s="27">
        <f t="shared" si="950"/>
        <v>1162500</v>
      </c>
      <c r="I1360" s="27">
        <f t="shared" si="950"/>
        <v>1162500</v>
      </c>
      <c r="J1360" s="16">
        <f>'БА в тыс. руб.'!G1360*1000</f>
        <v>1317500</v>
      </c>
      <c r="K1360" s="169">
        <f t="shared" si="945"/>
        <v>0</v>
      </c>
      <c r="L1360" s="16">
        <f>'БА в тыс. руб.'!H1360*1000</f>
        <v>1162500</v>
      </c>
      <c r="M1360" s="169">
        <f t="shared" si="946"/>
        <v>0</v>
      </c>
      <c r="N1360" s="16">
        <f>'БА в тыс. руб.'!I1360*1000</f>
        <v>1162500</v>
      </c>
      <c r="O1360" s="169">
        <f t="shared" si="947"/>
        <v>0</v>
      </c>
      <c r="S1360" s="30"/>
      <c r="T1360" s="30"/>
      <c r="U1360" s="30"/>
    </row>
    <row r="1361" spans="1:21" s="4" customFormat="1" ht="25.5">
      <c r="A1361" s="11" t="s">
        <v>973</v>
      </c>
      <c r="B1361" s="26" t="s">
        <v>20</v>
      </c>
      <c r="C1361" s="26" t="s">
        <v>65</v>
      </c>
      <c r="D1361" s="26" t="s">
        <v>84</v>
      </c>
      <c r="E1361" s="26" t="s">
        <v>531</v>
      </c>
      <c r="F1361" s="26" t="s">
        <v>1043</v>
      </c>
      <c r="G1361" s="27">
        <f t="shared" ref="G1361" si="951">J1361</f>
        <v>1317500</v>
      </c>
      <c r="H1361" s="27">
        <f>L1361</f>
        <v>1162500</v>
      </c>
      <c r="I1361" s="27">
        <f>N1361</f>
        <v>1162500</v>
      </c>
      <c r="J1361" s="16">
        <f>'БА в тыс. руб.'!G1361*1000</f>
        <v>1317500</v>
      </c>
      <c r="K1361" s="169">
        <f t="shared" si="945"/>
        <v>0</v>
      </c>
      <c r="L1361" s="16">
        <f>'БА в тыс. руб.'!H1361*1000</f>
        <v>1162500</v>
      </c>
      <c r="M1361" s="169">
        <f t="shared" si="946"/>
        <v>0</v>
      </c>
      <c r="N1361" s="16">
        <f>'БА в тыс. руб.'!I1361*1000</f>
        <v>1162500</v>
      </c>
      <c r="O1361" s="169">
        <f t="shared" si="947"/>
        <v>0</v>
      </c>
      <c r="S1361" s="83"/>
      <c r="T1361" s="83"/>
      <c r="U1361" s="83"/>
    </row>
    <row r="1362" spans="1:21" s="3" customFormat="1" ht="25.5">
      <c r="A1362" s="11" t="s">
        <v>130</v>
      </c>
      <c r="B1362" s="26" t="s">
        <v>20</v>
      </c>
      <c r="C1362" s="26" t="s">
        <v>65</v>
      </c>
      <c r="D1362" s="26" t="s">
        <v>84</v>
      </c>
      <c r="E1362" s="26" t="s">
        <v>510</v>
      </c>
      <c r="F1362" s="26" t="s">
        <v>58</v>
      </c>
      <c r="G1362" s="27">
        <f>G1363</f>
        <v>500000</v>
      </c>
      <c r="H1362" s="27">
        <f>H1363</f>
        <v>500000</v>
      </c>
      <c r="I1362" s="27">
        <f>I1363</f>
        <v>500000</v>
      </c>
      <c r="J1362" s="16">
        <f>'БА в тыс. руб.'!G1362*1000</f>
        <v>500000</v>
      </c>
      <c r="K1362" s="169">
        <f t="shared" si="945"/>
        <v>0</v>
      </c>
      <c r="L1362" s="16">
        <f>'БА в тыс. руб.'!H1362*1000</f>
        <v>500000</v>
      </c>
      <c r="M1362" s="169">
        <f t="shared" si="946"/>
        <v>0</v>
      </c>
      <c r="N1362" s="16">
        <f>'БА в тыс. руб.'!I1362*1000</f>
        <v>500000</v>
      </c>
      <c r="O1362" s="169">
        <f t="shared" si="947"/>
        <v>0</v>
      </c>
      <c r="S1362" s="30"/>
      <c r="T1362" s="30"/>
      <c r="U1362" s="30"/>
    </row>
    <row r="1363" spans="1:21" s="3" customFormat="1">
      <c r="A1363" s="11" t="s">
        <v>96</v>
      </c>
      <c r="B1363" s="26" t="s">
        <v>20</v>
      </c>
      <c r="C1363" s="26" t="s">
        <v>65</v>
      </c>
      <c r="D1363" s="26" t="s">
        <v>84</v>
      </c>
      <c r="E1363" s="26" t="s">
        <v>510</v>
      </c>
      <c r="F1363" s="26" t="s">
        <v>131</v>
      </c>
      <c r="G1363" s="27">
        <f>G1364</f>
        <v>500000</v>
      </c>
      <c r="H1363" s="27">
        <f t="shared" ref="H1363:I1363" si="952">H1364</f>
        <v>500000</v>
      </c>
      <c r="I1363" s="27">
        <f t="shared" si="952"/>
        <v>500000</v>
      </c>
      <c r="J1363" s="16">
        <f>'БА в тыс. руб.'!G1363*1000</f>
        <v>500000</v>
      </c>
      <c r="K1363" s="169">
        <f t="shared" si="945"/>
        <v>0</v>
      </c>
      <c r="L1363" s="16">
        <f>'БА в тыс. руб.'!H1363*1000</f>
        <v>500000</v>
      </c>
      <c r="M1363" s="169">
        <f t="shared" si="946"/>
        <v>0</v>
      </c>
      <c r="N1363" s="16">
        <f>'БА в тыс. руб.'!I1363*1000</f>
        <v>500000</v>
      </c>
      <c r="O1363" s="169">
        <f t="shared" si="947"/>
        <v>0</v>
      </c>
      <c r="S1363" s="30"/>
      <c r="T1363" s="30"/>
      <c r="U1363" s="30"/>
    </row>
    <row r="1364" spans="1:21" s="4" customFormat="1" ht="25.5">
      <c r="A1364" s="11" t="s">
        <v>1044</v>
      </c>
      <c r="B1364" s="26" t="s">
        <v>20</v>
      </c>
      <c r="C1364" s="26" t="s">
        <v>65</v>
      </c>
      <c r="D1364" s="26" t="s">
        <v>84</v>
      </c>
      <c r="E1364" s="26" t="s">
        <v>510</v>
      </c>
      <c r="F1364" s="26" t="s">
        <v>1045</v>
      </c>
      <c r="G1364" s="27">
        <f t="shared" ref="G1364" si="953">J1364</f>
        <v>500000</v>
      </c>
      <c r="H1364" s="27">
        <f>L1364</f>
        <v>500000</v>
      </c>
      <c r="I1364" s="27">
        <f>N1364</f>
        <v>500000</v>
      </c>
      <c r="J1364" s="16">
        <f>'БА в тыс. руб.'!G1364*1000</f>
        <v>500000</v>
      </c>
      <c r="K1364" s="169">
        <f t="shared" si="945"/>
        <v>0</v>
      </c>
      <c r="L1364" s="16">
        <f>'БА в тыс. руб.'!H1364*1000</f>
        <v>500000</v>
      </c>
      <c r="M1364" s="169">
        <f t="shared" si="946"/>
        <v>0</v>
      </c>
      <c r="N1364" s="16">
        <f>'БА в тыс. руб.'!I1364*1000</f>
        <v>500000</v>
      </c>
      <c r="O1364" s="169">
        <f t="shared" si="947"/>
        <v>0</v>
      </c>
      <c r="S1364" s="83"/>
      <c r="T1364" s="83"/>
      <c r="U1364" s="83"/>
    </row>
    <row r="1365" spans="1:21" s="3" customFormat="1">
      <c r="A1365" s="17" t="s">
        <v>35</v>
      </c>
      <c r="B1365" s="18" t="s">
        <v>20</v>
      </c>
      <c r="C1365" s="19" t="s">
        <v>37</v>
      </c>
      <c r="D1365" s="19" t="s">
        <v>51</v>
      </c>
      <c r="E1365" s="19" t="s">
        <v>196</v>
      </c>
      <c r="F1365" s="19" t="s">
        <v>58</v>
      </c>
      <c r="G1365" s="20">
        <f>G1366+G1374+G1390</f>
        <v>201142250</v>
      </c>
      <c r="H1365" s="20">
        <f>H1366+H1374+H1390</f>
        <v>201140140</v>
      </c>
      <c r="I1365" s="20">
        <f>I1366+I1374+I1390</f>
        <v>201140140</v>
      </c>
      <c r="J1365" s="16">
        <f>'БА в тыс. руб.'!G1365*1000</f>
        <v>201142250</v>
      </c>
      <c r="K1365" s="169">
        <f t="shared" si="945"/>
        <v>0</v>
      </c>
      <c r="L1365" s="16">
        <f>'БА в тыс. руб.'!H1365*1000</f>
        <v>201140139.99999997</v>
      </c>
      <c r="M1365" s="169">
        <f t="shared" si="946"/>
        <v>0</v>
      </c>
      <c r="N1365" s="16">
        <f>'БА в тыс. руб.'!I1365*1000</f>
        <v>201140139.99999997</v>
      </c>
      <c r="O1365" s="169">
        <f t="shared" si="947"/>
        <v>0</v>
      </c>
      <c r="S1365" s="30"/>
      <c r="T1365" s="30"/>
      <c r="U1365" s="30"/>
    </row>
    <row r="1366" spans="1:21" s="3" customFormat="1">
      <c r="A1366" s="21" t="s">
        <v>76</v>
      </c>
      <c r="B1366" s="22" t="s">
        <v>20</v>
      </c>
      <c r="C1366" s="23" t="s">
        <v>37</v>
      </c>
      <c r="D1366" s="23" t="s">
        <v>71</v>
      </c>
      <c r="E1366" s="23" t="s">
        <v>196</v>
      </c>
      <c r="F1366" s="23" t="s">
        <v>58</v>
      </c>
      <c r="G1366" s="24">
        <f t="shared" ref="G1366:I1370" si="954">G1367</f>
        <v>12526360</v>
      </c>
      <c r="H1366" s="24">
        <f t="shared" si="954"/>
        <v>12528970</v>
      </c>
      <c r="I1366" s="24">
        <f t="shared" si="954"/>
        <v>12528970</v>
      </c>
      <c r="J1366" s="16">
        <f>'БА в тыс. руб.'!G1366*1000</f>
        <v>12526360</v>
      </c>
      <c r="K1366" s="169">
        <f t="shared" si="945"/>
        <v>0</v>
      </c>
      <c r="L1366" s="16">
        <f>'БА в тыс. руб.'!H1366*1000</f>
        <v>12528970</v>
      </c>
      <c r="M1366" s="169">
        <f t="shared" si="946"/>
        <v>0</v>
      </c>
      <c r="N1366" s="16">
        <f>'БА в тыс. руб.'!I1366*1000</f>
        <v>12528970</v>
      </c>
      <c r="O1366" s="169">
        <f t="shared" si="947"/>
        <v>0</v>
      </c>
      <c r="S1366" s="30"/>
      <c r="T1366" s="30"/>
      <c r="U1366" s="30"/>
    </row>
    <row r="1367" spans="1:21" s="3" customFormat="1" ht="38.25">
      <c r="A1367" s="12" t="s">
        <v>722</v>
      </c>
      <c r="B1367" s="26" t="s">
        <v>20</v>
      </c>
      <c r="C1367" s="26" t="s">
        <v>37</v>
      </c>
      <c r="D1367" s="26" t="s">
        <v>71</v>
      </c>
      <c r="E1367" s="26" t="s">
        <v>300</v>
      </c>
      <c r="F1367" s="26" t="s">
        <v>58</v>
      </c>
      <c r="G1367" s="27">
        <f t="shared" si="954"/>
        <v>12526360</v>
      </c>
      <c r="H1367" s="27">
        <f t="shared" si="954"/>
        <v>12528970</v>
      </c>
      <c r="I1367" s="27">
        <f t="shared" si="954"/>
        <v>12528970</v>
      </c>
      <c r="J1367" s="16">
        <f>'БА в тыс. руб.'!G1367*1000</f>
        <v>12526360</v>
      </c>
      <c r="K1367" s="169">
        <f t="shared" si="945"/>
        <v>0</v>
      </c>
      <c r="L1367" s="16">
        <f>'БА в тыс. руб.'!H1367*1000</f>
        <v>12528970</v>
      </c>
      <c r="M1367" s="169">
        <f t="shared" si="946"/>
        <v>0</v>
      </c>
      <c r="N1367" s="16">
        <f>'БА в тыс. руб.'!I1367*1000</f>
        <v>12528970</v>
      </c>
      <c r="O1367" s="169">
        <f t="shared" si="947"/>
        <v>0</v>
      </c>
      <c r="S1367" s="30"/>
      <c r="T1367" s="30"/>
      <c r="U1367" s="30"/>
    </row>
    <row r="1368" spans="1:21" s="3" customFormat="1">
      <c r="A1368" s="11" t="s">
        <v>142</v>
      </c>
      <c r="B1368" s="26" t="s">
        <v>20</v>
      </c>
      <c r="C1368" s="26" t="s">
        <v>37</v>
      </c>
      <c r="D1368" s="26" t="s">
        <v>71</v>
      </c>
      <c r="E1368" s="26" t="s">
        <v>453</v>
      </c>
      <c r="F1368" s="26" t="s">
        <v>58</v>
      </c>
      <c r="G1368" s="27">
        <f t="shared" si="954"/>
        <v>12526360</v>
      </c>
      <c r="H1368" s="27">
        <f t="shared" si="954"/>
        <v>12528970</v>
      </c>
      <c r="I1368" s="27">
        <f t="shared" si="954"/>
        <v>12528970</v>
      </c>
      <c r="J1368" s="16">
        <f>'БА в тыс. руб.'!G1368*1000</f>
        <v>12526360</v>
      </c>
      <c r="K1368" s="169">
        <f t="shared" si="945"/>
        <v>0</v>
      </c>
      <c r="L1368" s="16">
        <f>'БА в тыс. руб.'!H1368*1000</f>
        <v>12528970</v>
      </c>
      <c r="M1368" s="169">
        <f t="shared" si="946"/>
        <v>0</v>
      </c>
      <c r="N1368" s="16">
        <f>'БА в тыс. руб.'!I1368*1000</f>
        <v>12528970</v>
      </c>
      <c r="O1368" s="169">
        <f t="shared" si="947"/>
        <v>0</v>
      </c>
      <c r="S1368" s="30"/>
      <c r="T1368" s="30"/>
      <c r="U1368" s="30"/>
    </row>
    <row r="1369" spans="1:21" s="3" customFormat="1" ht="38.25">
      <c r="A1369" s="11" t="s">
        <v>649</v>
      </c>
      <c r="B1369" s="26" t="s">
        <v>20</v>
      </c>
      <c r="C1369" s="26" t="s">
        <v>37</v>
      </c>
      <c r="D1369" s="26" t="s">
        <v>71</v>
      </c>
      <c r="E1369" s="26" t="s">
        <v>455</v>
      </c>
      <c r="F1369" s="26" t="s">
        <v>58</v>
      </c>
      <c r="G1369" s="27">
        <f>G1370</f>
        <v>12526360</v>
      </c>
      <c r="H1369" s="27">
        <f>H1370</f>
        <v>12528970</v>
      </c>
      <c r="I1369" s="27">
        <f>I1370</f>
        <v>12528970</v>
      </c>
      <c r="J1369" s="16">
        <f>'БА в тыс. руб.'!G1369*1000</f>
        <v>12526360</v>
      </c>
      <c r="K1369" s="169">
        <f t="shared" si="945"/>
        <v>0</v>
      </c>
      <c r="L1369" s="16">
        <f>'БА в тыс. руб.'!H1369*1000</f>
        <v>12528970</v>
      </c>
      <c r="M1369" s="169">
        <f t="shared" si="946"/>
        <v>0</v>
      </c>
      <c r="N1369" s="16">
        <f>'БА в тыс. руб.'!I1369*1000</f>
        <v>12528970</v>
      </c>
      <c r="O1369" s="169">
        <f t="shared" si="947"/>
        <v>0</v>
      </c>
      <c r="S1369" s="30"/>
      <c r="T1369" s="30"/>
      <c r="U1369" s="30"/>
    </row>
    <row r="1370" spans="1:21" s="3" customFormat="1" ht="25.5">
      <c r="A1370" s="11" t="s">
        <v>247</v>
      </c>
      <c r="B1370" s="26" t="s">
        <v>20</v>
      </c>
      <c r="C1370" s="26" t="s">
        <v>37</v>
      </c>
      <c r="D1370" s="26" t="s">
        <v>71</v>
      </c>
      <c r="E1370" s="26" t="s">
        <v>511</v>
      </c>
      <c r="F1370" s="26" t="s">
        <v>58</v>
      </c>
      <c r="G1370" s="27">
        <f t="shared" si="954"/>
        <v>12526360</v>
      </c>
      <c r="H1370" s="27">
        <f t="shared" si="954"/>
        <v>12528970</v>
      </c>
      <c r="I1370" s="27">
        <f t="shared" si="954"/>
        <v>12528970</v>
      </c>
      <c r="J1370" s="16">
        <f>'БА в тыс. руб.'!G1370*1000</f>
        <v>12526360</v>
      </c>
      <c r="K1370" s="169">
        <f t="shared" si="945"/>
        <v>0</v>
      </c>
      <c r="L1370" s="16">
        <f>'БА в тыс. руб.'!H1370*1000</f>
        <v>12528970</v>
      </c>
      <c r="M1370" s="169">
        <f t="shared" si="946"/>
        <v>0</v>
      </c>
      <c r="N1370" s="16">
        <f>'БА в тыс. руб.'!I1370*1000</f>
        <v>12528970</v>
      </c>
      <c r="O1370" s="169">
        <f t="shared" si="947"/>
        <v>0</v>
      </c>
      <c r="S1370" s="30"/>
      <c r="T1370" s="30"/>
      <c r="U1370" s="30"/>
    </row>
    <row r="1371" spans="1:21" s="3" customFormat="1">
      <c r="A1371" s="13" t="s">
        <v>92</v>
      </c>
      <c r="B1371" s="26" t="s">
        <v>20</v>
      </c>
      <c r="C1371" s="26" t="s">
        <v>37</v>
      </c>
      <c r="D1371" s="26" t="s">
        <v>71</v>
      </c>
      <c r="E1371" s="26" t="s">
        <v>511</v>
      </c>
      <c r="F1371" s="26" t="s">
        <v>138</v>
      </c>
      <c r="G1371" s="27">
        <f>SUM(G1372:G1373)</f>
        <v>12526360</v>
      </c>
      <c r="H1371" s="27">
        <f>SUM(H1372:H1373)</f>
        <v>12528970</v>
      </c>
      <c r="I1371" s="27">
        <f>N1371</f>
        <v>12528970</v>
      </c>
      <c r="J1371" s="16">
        <f>'БА в тыс. руб.'!G1371*1000</f>
        <v>12526360</v>
      </c>
      <c r="K1371" s="169">
        <f t="shared" si="945"/>
        <v>0</v>
      </c>
      <c r="L1371" s="16">
        <f>'БА в тыс. руб.'!H1371*1000</f>
        <v>12528970</v>
      </c>
      <c r="M1371" s="169">
        <f t="shared" si="946"/>
        <v>0</v>
      </c>
      <c r="N1371" s="16">
        <f>'БА в тыс. руб.'!I1371*1000</f>
        <v>12528970</v>
      </c>
      <c r="O1371" s="169">
        <f t="shared" si="947"/>
        <v>0</v>
      </c>
      <c r="S1371" s="30"/>
      <c r="T1371" s="30"/>
      <c r="U1371" s="30"/>
    </row>
    <row r="1372" spans="1:21" s="4" customFormat="1" ht="38.25">
      <c r="A1372" s="13" t="s">
        <v>1015</v>
      </c>
      <c r="B1372" s="26" t="s">
        <v>20</v>
      </c>
      <c r="C1372" s="26" t="s">
        <v>37</v>
      </c>
      <c r="D1372" s="26" t="s">
        <v>71</v>
      </c>
      <c r="E1372" s="26" t="s">
        <v>511</v>
      </c>
      <c r="F1372" s="26" t="s">
        <v>67</v>
      </c>
      <c r="G1372" s="27">
        <f t="shared" ref="G1372:G1373" si="955">J1372</f>
        <v>11976360</v>
      </c>
      <c r="H1372" s="27">
        <f t="shared" ref="H1372:H1373" si="956">L1372</f>
        <v>11978970</v>
      </c>
      <c r="I1372" s="27">
        <f t="shared" ref="I1372:I1373" si="957">N1372</f>
        <v>11978970</v>
      </c>
      <c r="J1372" s="16">
        <f>'БА в тыс. руб.'!G1372*1000</f>
        <v>11976360</v>
      </c>
      <c r="K1372" s="169">
        <f t="shared" si="945"/>
        <v>0</v>
      </c>
      <c r="L1372" s="16">
        <f>'БА в тыс. руб.'!H1372*1000</f>
        <v>11978970</v>
      </c>
      <c r="M1372" s="169">
        <f t="shared" si="946"/>
        <v>0</v>
      </c>
      <c r="N1372" s="16">
        <f>'БА в тыс. руб.'!I1372*1000</f>
        <v>11978970</v>
      </c>
      <c r="O1372" s="169">
        <f t="shared" si="947"/>
        <v>0</v>
      </c>
      <c r="S1372" s="83"/>
      <c r="T1372" s="83"/>
      <c r="U1372" s="83"/>
    </row>
    <row r="1373" spans="1:21" s="4" customFormat="1">
      <c r="A1373" s="13" t="s">
        <v>1016</v>
      </c>
      <c r="B1373" s="26" t="s">
        <v>20</v>
      </c>
      <c r="C1373" s="26" t="s">
        <v>37</v>
      </c>
      <c r="D1373" s="26" t="s">
        <v>71</v>
      </c>
      <c r="E1373" s="26" t="s">
        <v>511</v>
      </c>
      <c r="F1373" s="26" t="s">
        <v>1046</v>
      </c>
      <c r="G1373" s="27">
        <f t="shared" si="955"/>
        <v>550000</v>
      </c>
      <c r="H1373" s="27">
        <f t="shared" si="956"/>
        <v>550000</v>
      </c>
      <c r="I1373" s="27">
        <f t="shared" si="957"/>
        <v>550000</v>
      </c>
      <c r="J1373" s="16">
        <f>'БА в тыс. руб.'!G1373*1000</f>
        <v>550000</v>
      </c>
      <c r="K1373" s="169">
        <f t="shared" si="945"/>
        <v>0</v>
      </c>
      <c r="L1373" s="16">
        <f>'БА в тыс. руб.'!H1373*1000</f>
        <v>550000</v>
      </c>
      <c r="M1373" s="169">
        <f t="shared" si="946"/>
        <v>0</v>
      </c>
      <c r="N1373" s="16">
        <f>'БА в тыс. руб.'!I1373*1000</f>
        <v>550000</v>
      </c>
      <c r="O1373" s="169">
        <f t="shared" si="947"/>
        <v>0</v>
      </c>
      <c r="S1373" s="83"/>
      <c r="T1373" s="83"/>
      <c r="U1373" s="83"/>
    </row>
    <row r="1374" spans="1:21" s="3" customFormat="1">
      <c r="A1374" s="21" t="s">
        <v>6</v>
      </c>
      <c r="B1374" s="22" t="s">
        <v>20</v>
      </c>
      <c r="C1374" s="23" t="s">
        <v>37</v>
      </c>
      <c r="D1374" s="23" t="s">
        <v>50</v>
      </c>
      <c r="E1374" s="23" t="s">
        <v>196</v>
      </c>
      <c r="F1374" s="23" t="s">
        <v>58</v>
      </c>
      <c r="G1374" s="24">
        <f>G1375+G1381</f>
        <v>29431250</v>
      </c>
      <c r="H1374" s="24">
        <f>H1375+H1381</f>
        <v>26463870</v>
      </c>
      <c r="I1374" s="24">
        <f>I1375+I1381</f>
        <v>26463870</v>
      </c>
      <c r="J1374" s="16">
        <f>'БА в тыс. руб.'!G1374*1000</f>
        <v>29431250</v>
      </c>
      <c r="K1374" s="169">
        <f t="shared" si="945"/>
        <v>0</v>
      </c>
      <c r="L1374" s="16">
        <f>'БА в тыс. руб.'!H1374*1000</f>
        <v>26463870</v>
      </c>
      <c r="M1374" s="169">
        <f t="shared" si="946"/>
        <v>0</v>
      </c>
      <c r="N1374" s="16">
        <f>'БА в тыс. руб.'!I1374*1000</f>
        <v>26463870</v>
      </c>
      <c r="O1374" s="169">
        <f t="shared" si="947"/>
        <v>0</v>
      </c>
      <c r="S1374" s="30"/>
      <c r="T1374" s="30"/>
      <c r="U1374" s="30"/>
    </row>
    <row r="1375" spans="1:21" s="3" customFormat="1" ht="25.5">
      <c r="A1375" s="31" t="s">
        <v>727</v>
      </c>
      <c r="B1375" s="26" t="s">
        <v>20</v>
      </c>
      <c r="C1375" s="26" t="s">
        <v>37</v>
      </c>
      <c r="D1375" s="26" t="s">
        <v>50</v>
      </c>
      <c r="E1375" s="26" t="s">
        <v>327</v>
      </c>
      <c r="F1375" s="26" t="s">
        <v>58</v>
      </c>
      <c r="G1375" s="27">
        <f>G1376</f>
        <v>973250</v>
      </c>
      <c r="H1375" s="27">
        <f>H1376</f>
        <v>875930</v>
      </c>
      <c r="I1375" s="27">
        <f>I1376</f>
        <v>875930</v>
      </c>
      <c r="J1375" s="16">
        <f>'БА в тыс. руб.'!G1375*1000</f>
        <v>973250</v>
      </c>
      <c r="K1375" s="169">
        <f t="shared" si="945"/>
        <v>0</v>
      </c>
      <c r="L1375" s="16">
        <f>'БА в тыс. руб.'!H1375*1000</f>
        <v>875930</v>
      </c>
      <c r="M1375" s="169">
        <f t="shared" si="946"/>
        <v>0</v>
      </c>
      <c r="N1375" s="16">
        <f>'БА в тыс. руб.'!I1375*1000</f>
        <v>875930</v>
      </c>
      <c r="O1375" s="169">
        <f t="shared" si="947"/>
        <v>0</v>
      </c>
      <c r="S1375" s="30"/>
      <c r="T1375" s="30"/>
      <c r="U1375" s="30"/>
    </row>
    <row r="1376" spans="1:21" s="3" customFormat="1">
      <c r="A1376" s="31" t="s">
        <v>145</v>
      </c>
      <c r="B1376" s="26" t="s">
        <v>20</v>
      </c>
      <c r="C1376" s="26" t="s">
        <v>37</v>
      </c>
      <c r="D1376" s="26" t="s">
        <v>50</v>
      </c>
      <c r="E1376" s="26" t="s">
        <v>437</v>
      </c>
      <c r="F1376" s="26" t="s">
        <v>58</v>
      </c>
      <c r="G1376" s="27">
        <f>G1377</f>
        <v>973250</v>
      </c>
      <c r="H1376" s="27">
        <f t="shared" ref="H1376:I1377" si="958">H1377</f>
        <v>875930</v>
      </c>
      <c r="I1376" s="27">
        <f t="shared" si="958"/>
        <v>875930</v>
      </c>
      <c r="J1376" s="16">
        <f>'БА в тыс. руб.'!G1376*1000</f>
        <v>973250</v>
      </c>
      <c r="K1376" s="169">
        <f t="shared" si="945"/>
        <v>0</v>
      </c>
      <c r="L1376" s="16">
        <f>'БА в тыс. руб.'!H1376*1000</f>
        <v>875930</v>
      </c>
      <c r="M1376" s="169">
        <f t="shared" si="946"/>
        <v>0</v>
      </c>
      <c r="N1376" s="16">
        <f>'БА в тыс. руб.'!I1376*1000</f>
        <v>875930</v>
      </c>
      <c r="O1376" s="169">
        <f t="shared" si="947"/>
        <v>0</v>
      </c>
      <c r="S1376" s="30"/>
      <c r="T1376" s="30"/>
      <c r="U1376" s="30"/>
    </row>
    <row r="1377" spans="1:21" s="3" customFormat="1" ht="38.25">
      <c r="A1377" s="31" t="s">
        <v>513</v>
      </c>
      <c r="B1377" s="26" t="s">
        <v>20</v>
      </c>
      <c r="C1377" s="26" t="s">
        <v>37</v>
      </c>
      <c r="D1377" s="26" t="s">
        <v>50</v>
      </c>
      <c r="E1377" s="26" t="s">
        <v>438</v>
      </c>
      <c r="F1377" s="26" t="s">
        <v>58</v>
      </c>
      <c r="G1377" s="27">
        <f>G1378</f>
        <v>973250</v>
      </c>
      <c r="H1377" s="27">
        <f t="shared" si="958"/>
        <v>875930</v>
      </c>
      <c r="I1377" s="27">
        <f t="shared" si="958"/>
        <v>875930</v>
      </c>
      <c r="J1377" s="16">
        <f>'БА в тыс. руб.'!G1377*1000</f>
        <v>973250</v>
      </c>
      <c r="K1377" s="169">
        <f t="shared" si="945"/>
        <v>0</v>
      </c>
      <c r="L1377" s="16">
        <f>'БА в тыс. руб.'!H1377*1000</f>
        <v>875930</v>
      </c>
      <c r="M1377" s="169">
        <f t="shared" si="946"/>
        <v>0</v>
      </c>
      <c r="N1377" s="16">
        <f>'БА в тыс. руб.'!I1377*1000</f>
        <v>875930</v>
      </c>
      <c r="O1377" s="169">
        <f t="shared" si="947"/>
        <v>0</v>
      </c>
      <c r="S1377" s="30"/>
      <c r="T1377" s="30"/>
      <c r="U1377" s="30"/>
    </row>
    <row r="1378" spans="1:21" s="3" customFormat="1" ht="38.25">
      <c r="A1378" s="31" t="s">
        <v>706</v>
      </c>
      <c r="B1378" s="26" t="s">
        <v>20</v>
      </c>
      <c r="C1378" s="26" t="s">
        <v>37</v>
      </c>
      <c r="D1378" s="26" t="s">
        <v>50</v>
      </c>
      <c r="E1378" s="26" t="s">
        <v>766</v>
      </c>
      <c r="F1378" s="26" t="s">
        <v>58</v>
      </c>
      <c r="G1378" s="27">
        <f>G1379</f>
        <v>973250</v>
      </c>
      <c r="H1378" s="27">
        <f>H1379</f>
        <v>875930</v>
      </c>
      <c r="I1378" s="27">
        <f>I1379</f>
        <v>875930</v>
      </c>
      <c r="J1378" s="16">
        <f>'БА в тыс. руб.'!G1378*1000</f>
        <v>973250</v>
      </c>
      <c r="K1378" s="169">
        <f t="shared" si="945"/>
        <v>0</v>
      </c>
      <c r="L1378" s="16">
        <f>'БА в тыс. руб.'!H1378*1000</f>
        <v>875930</v>
      </c>
      <c r="M1378" s="169">
        <f t="shared" si="946"/>
        <v>0</v>
      </c>
      <c r="N1378" s="16">
        <f>'БА в тыс. руб.'!I1378*1000</f>
        <v>875930</v>
      </c>
      <c r="O1378" s="169">
        <f t="shared" si="947"/>
        <v>0</v>
      </c>
      <c r="S1378" s="30"/>
      <c r="T1378" s="30"/>
      <c r="U1378" s="30"/>
    </row>
    <row r="1379" spans="1:21" s="3" customFormat="1" ht="25.5">
      <c r="A1379" s="11" t="s">
        <v>108</v>
      </c>
      <c r="B1379" s="26" t="s">
        <v>20</v>
      </c>
      <c r="C1379" s="26" t="s">
        <v>37</v>
      </c>
      <c r="D1379" s="26" t="s">
        <v>50</v>
      </c>
      <c r="E1379" s="26" t="s">
        <v>766</v>
      </c>
      <c r="F1379" s="26" t="s">
        <v>116</v>
      </c>
      <c r="G1379" s="27">
        <f>G1380</f>
        <v>973250</v>
      </c>
      <c r="H1379" s="27">
        <f t="shared" ref="H1379:I1379" si="959">H1380</f>
        <v>875930</v>
      </c>
      <c r="I1379" s="27">
        <f t="shared" si="959"/>
        <v>875930</v>
      </c>
      <c r="J1379" s="16">
        <f>'БА в тыс. руб.'!G1379*1000</f>
        <v>973250</v>
      </c>
      <c r="K1379" s="169">
        <f t="shared" si="945"/>
        <v>0</v>
      </c>
      <c r="L1379" s="16">
        <f>'БА в тыс. руб.'!H1379*1000</f>
        <v>875930</v>
      </c>
      <c r="M1379" s="169">
        <f t="shared" si="946"/>
        <v>0</v>
      </c>
      <c r="N1379" s="16">
        <f>'БА в тыс. руб.'!I1379*1000</f>
        <v>875930</v>
      </c>
      <c r="O1379" s="169">
        <f t="shared" si="947"/>
        <v>0</v>
      </c>
      <c r="S1379" s="30"/>
      <c r="T1379" s="30"/>
      <c r="U1379" s="30"/>
    </row>
    <row r="1380" spans="1:21" s="4" customFormat="1" ht="25.5">
      <c r="A1380" s="11" t="s">
        <v>973</v>
      </c>
      <c r="B1380" s="26" t="s">
        <v>20</v>
      </c>
      <c r="C1380" s="26" t="s">
        <v>37</v>
      </c>
      <c r="D1380" s="26" t="s">
        <v>50</v>
      </c>
      <c r="E1380" s="26" t="s">
        <v>766</v>
      </c>
      <c r="F1380" s="26" t="s">
        <v>1043</v>
      </c>
      <c r="G1380" s="27">
        <f t="shared" ref="G1380" si="960">J1380</f>
        <v>973250</v>
      </c>
      <c r="H1380" s="27">
        <f>L1380</f>
        <v>875930</v>
      </c>
      <c r="I1380" s="27">
        <f>N1380</f>
        <v>875930</v>
      </c>
      <c r="J1380" s="16">
        <f>'БА в тыс. руб.'!G1380*1000</f>
        <v>973250</v>
      </c>
      <c r="K1380" s="169">
        <f t="shared" si="945"/>
        <v>0</v>
      </c>
      <c r="L1380" s="16">
        <f>'БА в тыс. руб.'!H1380*1000</f>
        <v>875930</v>
      </c>
      <c r="M1380" s="169">
        <f t="shared" si="946"/>
        <v>0</v>
      </c>
      <c r="N1380" s="16">
        <f>'БА в тыс. руб.'!I1380*1000</f>
        <v>875930</v>
      </c>
      <c r="O1380" s="169">
        <f t="shared" si="947"/>
        <v>0</v>
      </c>
      <c r="S1380" s="83"/>
      <c r="T1380" s="83"/>
      <c r="U1380" s="83"/>
    </row>
    <row r="1381" spans="1:21" s="3" customFormat="1" ht="38.25">
      <c r="A1381" s="12" t="s">
        <v>722</v>
      </c>
      <c r="B1381" s="26" t="s">
        <v>20</v>
      </c>
      <c r="C1381" s="26" t="s">
        <v>37</v>
      </c>
      <c r="D1381" s="26" t="s">
        <v>50</v>
      </c>
      <c r="E1381" s="26" t="s">
        <v>300</v>
      </c>
      <c r="F1381" s="26" t="s">
        <v>58</v>
      </c>
      <c r="G1381" s="27">
        <f t="shared" ref="G1381:I1382" si="961">G1382</f>
        <v>28458000</v>
      </c>
      <c r="H1381" s="27">
        <f t="shared" si="961"/>
        <v>25587940</v>
      </c>
      <c r="I1381" s="27">
        <f t="shared" si="961"/>
        <v>25587940</v>
      </c>
      <c r="J1381" s="16">
        <f>'БА в тыс. руб.'!G1381*1000</f>
        <v>28458000</v>
      </c>
      <c r="K1381" s="169">
        <f t="shared" si="945"/>
        <v>0</v>
      </c>
      <c r="L1381" s="16">
        <f>'БА в тыс. руб.'!H1381*1000</f>
        <v>25587940</v>
      </c>
      <c r="M1381" s="169">
        <f t="shared" si="946"/>
        <v>0</v>
      </c>
      <c r="N1381" s="16">
        <f>'БА в тыс. руб.'!I1381*1000</f>
        <v>25587940</v>
      </c>
      <c r="O1381" s="169">
        <f t="shared" si="947"/>
        <v>0</v>
      </c>
      <c r="S1381" s="30"/>
      <c r="T1381" s="30"/>
      <c r="U1381" s="30"/>
    </row>
    <row r="1382" spans="1:21" s="3" customFormat="1" ht="38.25">
      <c r="A1382" s="40" t="s">
        <v>729</v>
      </c>
      <c r="B1382" s="26" t="s">
        <v>20</v>
      </c>
      <c r="C1382" s="26" t="s">
        <v>37</v>
      </c>
      <c r="D1382" s="26" t="s">
        <v>50</v>
      </c>
      <c r="E1382" s="26" t="s">
        <v>301</v>
      </c>
      <c r="F1382" s="26" t="s">
        <v>58</v>
      </c>
      <c r="G1382" s="27">
        <f t="shared" si="961"/>
        <v>28458000</v>
      </c>
      <c r="H1382" s="27">
        <f t="shared" si="961"/>
        <v>25587940</v>
      </c>
      <c r="I1382" s="27">
        <f t="shared" si="961"/>
        <v>25587940</v>
      </c>
      <c r="J1382" s="16">
        <f>'БА в тыс. руб.'!G1382*1000</f>
        <v>28458000</v>
      </c>
      <c r="K1382" s="169">
        <f t="shared" si="945"/>
        <v>0</v>
      </c>
      <c r="L1382" s="16">
        <f>'БА в тыс. руб.'!H1382*1000</f>
        <v>25587940</v>
      </c>
      <c r="M1382" s="169">
        <f t="shared" si="946"/>
        <v>0</v>
      </c>
      <c r="N1382" s="16">
        <f>'БА в тыс. руб.'!I1382*1000</f>
        <v>25587940</v>
      </c>
      <c r="O1382" s="169">
        <f t="shared" si="947"/>
        <v>0</v>
      </c>
      <c r="S1382" s="30"/>
      <c r="T1382" s="30"/>
      <c r="U1382" s="30"/>
    </row>
    <row r="1383" spans="1:21" s="3" customFormat="1" ht="38.25">
      <c r="A1383" s="31" t="s">
        <v>654</v>
      </c>
      <c r="B1383" s="26" t="s">
        <v>20</v>
      </c>
      <c r="C1383" s="26" t="s">
        <v>37</v>
      </c>
      <c r="D1383" s="26" t="s">
        <v>50</v>
      </c>
      <c r="E1383" s="26" t="s">
        <v>514</v>
      </c>
      <c r="F1383" s="26" t="s">
        <v>58</v>
      </c>
      <c r="G1383" s="27">
        <f>G1384+G1387</f>
        <v>28458000</v>
      </c>
      <c r="H1383" s="27">
        <f>H1384+H1387</f>
        <v>25587940</v>
      </c>
      <c r="I1383" s="27">
        <f>I1384+I1387</f>
        <v>25587940</v>
      </c>
      <c r="J1383" s="16">
        <f>'БА в тыс. руб.'!G1383*1000</f>
        <v>28458000</v>
      </c>
      <c r="K1383" s="169">
        <f t="shared" si="945"/>
        <v>0</v>
      </c>
      <c r="L1383" s="16">
        <f>'БА в тыс. руб.'!H1383*1000</f>
        <v>25587940</v>
      </c>
      <c r="M1383" s="169">
        <f t="shared" si="946"/>
        <v>0</v>
      </c>
      <c r="N1383" s="16">
        <f>'БА в тыс. руб.'!I1383*1000</f>
        <v>25587940</v>
      </c>
      <c r="O1383" s="169">
        <f t="shared" si="947"/>
        <v>0</v>
      </c>
      <c r="S1383" s="30"/>
      <c r="T1383" s="30"/>
      <c r="U1383" s="30"/>
    </row>
    <row r="1384" spans="1:21" s="3" customFormat="1" ht="25.5">
      <c r="A1384" s="31" t="s">
        <v>247</v>
      </c>
      <c r="B1384" s="26" t="s">
        <v>20</v>
      </c>
      <c r="C1384" s="26" t="s">
        <v>37</v>
      </c>
      <c r="D1384" s="26" t="s">
        <v>50</v>
      </c>
      <c r="E1384" s="26" t="s">
        <v>515</v>
      </c>
      <c r="F1384" s="26" t="s">
        <v>58</v>
      </c>
      <c r="G1384" s="27">
        <f>G1385</f>
        <v>4018800</v>
      </c>
      <c r="H1384" s="27">
        <f>H1385</f>
        <v>4023940</v>
      </c>
      <c r="I1384" s="27">
        <f>I1385</f>
        <v>4023940</v>
      </c>
      <c r="J1384" s="16">
        <f>'БА в тыс. руб.'!G1384*1000</f>
        <v>4018800</v>
      </c>
      <c r="K1384" s="169">
        <f t="shared" si="945"/>
        <v>0</v>
      </c>
      <c r="L1384" s="16">
        <f>'БА в тыс. руб.'!H1384*1000</f>
        <v>4023940</v>
      </c>
      <c r="M1384" s="169">
        <f t="shared" si="946"/>
        <v>0</v>
      </c>
      <c r="N1384" s="16">
        <f>'БА в тыс. руб.'!I1384*1000</f>
        <v>4023940</v>
      </c>
      <c r="O1384" s="169">
        <f t="shared" si="947"/>
        <v>0</v>
      </c>
      <c r="S1384" s="30"/>
      <c r="T1384" s="30"/>
      <c r="U1384" s="30"/>
    </row>
    <row r="1385" spans="1:21" s="3" customFormat="1">
      <c r="A1385" s="13" t="s">
        <v>92</v>
      </c>
      <c r="B1385" s="26" t="s">
        <v>20</v>
      </c>
      <c r="C1385" s="26" t="s">
        <v>37</v>
      </c>
      <c r="D1385" s="26" t="s">
        <v>50</v>
      </c>
      <c r="E1385" s="26" t="s">
        <v>515</v>
      </c>
      <c r="F1385" s="26" t="s">
        <v>138</v>
      </c>
      <c r="G1385" s="27">
        <f>G1386</f>
        <v>4018800</v>
      </c>
      <c r="H1385" s="27">
        <f t="shared" ref="H1385:I1385" si="962">H1386</f>
        <v>4023940</v>
      </c>
      <c r="I1385" s="27">
        <f t="shared" si="962"/>
        <v>4023940</v>
      </c>
      <c r="J1385" s="16">
        <f>'БА в тыс. руб.'!G1385*1000</f>
        <v>4018800</v>
      </c>
      <c r="K1385" s="169">
        <f t="shared" si="945"/>
        <v>0</v>
      </c>
      <c r="L1385" s="16">
        <f>'БА в тыс. руб.'!H1385*1000</f>
        <v>4023940</v>
      </c>
      <c r="M1385" s="169">
        <f t="shared" si="946"/>
        <v>0</v>
      </c>
      <c r="N1385" s="16">
        <f>'БА в тыс. руб.'!I1385*1000</f>
        <v>4023940</v>
      </c>
      <c r="O1385" s="169">
        <f t="shared" si="947"/>
        <v>0</v>
      </c>
      <c r="S1385" s="30"/>
      <c r="T1385" s="30"/>
      <c r="U1385" s="30"/>
    </row>
    <row r="1386" spans="1:21" s="4" customFormat="1" ht="38.25">
      <c r="A1386" s="13" t="s">
        <v>1015</v>
      </c>
      <c r="B1386" s="26" t="s">
        <v>20</v>
      </c>
      <c r="C1386" s="26" t="s">
        <v>37</v>
      </c>
      <c r="D1386" s="26" t="s">
        <v>50</v>
      </c>
      <c r="E1386" s="26" t="s">
        <v>515</v>
      </c>
      <c r="F1386" s="26" t="s">
        <v>67</v>
      </c>
      <c r="G1386" s="27">
        <f t="shared" ref="G1386" si="963">J1386</f>
        <v>4018800</v>
      </c>
      <c r="H1386" s="27">
        <f>L1386</f>
        <v>4023940</v>
      </c>
      <c r="I1386" s="27">
        <f>N1386</f>
        <v>4023940</v>
      </c>
      <c r="J1386" s="16">
        <f>'БА в тыс. руб.'!G1386*1000</f>
        <v>4018800</v>
      </c>
      <c r="K1386" s="169">
        <f t="shared" si="945"/>
        <v>0</v>
      </c>
      <c r="L1386" s="16">
        <f>'БА в тыс. руб.'!H1386*1000</f>
        <v>4023940</v>
      </c>
      <c r="M1386" s="169">
        <f t="shared" si="946"/>
        <v>0</v>
      </c>
      <c r="N1386" s="16">
        <f>'БА в тыс. руб.'!I1386*1000</f>
        <v>4023940</v>
      </c>
      <c r="O1386" s="169">
        <f t="shared" si="947"/>
        <v>0</v>
      </c>
      <c r="S1386" s="83"/>
      <c r="T1386" s="83"/>
      <c r="U1386" s="83"/>
    </row>
    <row r="1387" spans="1:21" s="3" customFormat="1" ht="25.5">
      <c r="A1387" s="31" t="s">
        <v>768</v>
      </c>
      <c r="B1387" s="26" t="s">
        <v>20</v>
      </c>
      <c r="C1387" s="26" t="s">
        <v>37</v>
      </c>
      <c r="D1387" s="26" t="s">
        <v>50</v>
      </c>
      <c r="E1387" s="26" t="s">
        <v>516</v>
      </c>
      <c r="F1387" s="26" t="s">
        <v>58</v>
      </c>
      <c r="G1387" s="27">
        <f>G1388</f>
        <v>24439200</v>
      </c>
      <c r="H1387" s="27">
        <f>H1388</f>
        <v>21564000</v>
      </c>
      <c r="I1387" s="27">
        <f>I1388</f>
        <v>21564000</v>
      </c>
      <c r="J1387" s="16">
        <f>'БА в тыс. руб.'!G1387*1000</f>
        <v>24439200</v>
      </c>
      <c r="K1387" s="169">
        <f t="shared" si="945"/>
        <v>0</v>
      </c>
      <c r="L1387" s="16">
        <f>'БА в тыс. руб.'!H1387*1000</f>
        <v>21564000</v>
      </c>
      <c r="M1387" s="169">
        <f t="shared" si="946"/>
        <v>0</v>
      </c>
      <c r="N1387" s="16">
        <f>'БА в тыс. руб.'!I1387*1000</f>
        <v>21564000</v>
      </c>
      <c r="O1387" s="169">
        <f t="shared" si="947"/>
        <v>0</v>
      </c>
      <c r="S1387" s="30"/>
      <c r="T1387" s="30"/>
      <c r="U1387" s="30"/>
    </row>
    <row r="1388" spans="1:21" s="3" customFormat="1" ht="38.25">
      <c r="A1388" s="46" t="s">
        <v>561</v>
      </c>
      <c r="B1388" s="26" t="s">
        <v>20</v>
      </c>
      <c r="C1388" s="26" t="s">
        <v>37</v>
      </c>
      <c r="D1388" s="26" t="s">
        <v>50</v>
      </c>
      <c r="E1388" s="26" t="s">
        <v>516</v>
      </c>
      <c r="F1388" s="26" t="s">
        <v>101</v>
      </c>
      <c r="G1388" s="27">
        <f>G1389</f>
        <v>24439200</v>
      </c>
      <c r="H1388" s="27">
        <f t="shared" ref="H1388:I1388" si="964">H1389</f>
        <v>21564000</v>
      </c>
      <c r="I1388" s="27">
        <f t="shared" si="964"/>
        <v>21564000</v>
      </c>
      <c r="J1388" s="16">
        <f>'БА в тыс. руб.'!G1388*1000</f>
        <v>24439200</v>
      </c>
      <c r="K1388" s="169">
        <f t="shared" si="945"/>
        <v>0</v>
      </c>
      <c r="L1388" s="16">
        <f>'БА в тыс. руб.'!H1388*1000</f>
        <v>21564000</v>
      </c>
      <c r="M1388" s="169">
        <f t="shared" si="946"/>
        <v>0</v>
      </c>
      <c r="N1388" s="16">
        <f>'БА в тыс. руб.'!I1388*1000</f>
        <v>21564000</v>
      </c>
      <c r="O1388" s="169">
        <f t="shared" si="947"/>
        <v>0</v>
      </c>
      <c r="S1388" s="30"/>
      <c r="T1388" s="30"/>
      <c r="U1388" s="30"/>
    </row>
    <row r="1389" spans="1:21" s="4" customFormat="1" ht="76.5">
      <c r="A1389" s="46" t="s">
        <v>1048</v>
      </c>
      <c r="B1389" s="26" t="s">
        <v>20</v>
      </c>
      <c r="C1389" s="26" t="s">
        <v>37</v>
      </c>
      <c r="D1389" s="26" t="s">
        <v>50</v>
      </c>
      <c r="E1389" s="26" t="s">
        <v>516</v>
      </c>
      <c r="F1389" s="26" t="s">
        <v>1051</v>
      </c>
      <c r="G1389" s="27">
        <f t="shared" ref="G1389" si="965">J1389</f>
        <v>24439200</v>
      </c>
      <c r="H1389" s="27">
        <f>L1389</f>
        <v>21564000</v>
      </c>
      <c r="I1389" s="27">
        <f>N1389</f>
        <v>21564000</v>
      </c>
      <c r="J1389" s="16">
        <f>'БА в тыс. руб.'!G1389*1000</f>
        <v>24439200</v>
      </c>
      <c r="K1389" s="169">
        <f t="shared" si="945"/>
        <v>0</v>
      </c>
      <c r="L1389" s="16">
        <f>'БА в тыс. руб.'!H1389*1000</f>
        <v>21564000</v>
      </c>
      <c r="M1389" s="169">
        <f t="shared" si="946"/>
        <v>0</v>
      </c>
      <c r="N1389" s="16">
        <f>'БА в тыс. руб.'!I1389*1000</f>
        <v>21564000</v>
      </c>
      <c r="O1389" s="169">
        <f t="shared" si="947"/>
        <v>0</v>
      </c>
      <c r="S1389" s="83"/>
      <c r="T1389" s="83"/>
      <c r="U1389" s="83"/>
    </row>
    <row r="1390" spans="1:21" s="3" customFormat="1">
      <c r="A1390" s="21" t="s">
        <v>88</v>
      </c>
      <c r="B1390" s="22" t="s">
        <v>20</v>
      </c>
      <c r="C1390" s="23" t="s">
        <v>37</v>
      </c>
      <c r="D1390" s="23" t="s">
        <v>25</v>
      </c>
      <c r="E1390" s="23" t="s">
        <v>196</v>
      </c>
      <c r="F1390" s="23" t="s">
        <v>58</v>
      </c>
      <c r="G1390" s="24">
        <f>G1391+G1397</f>
        <v>159184640</v>
      </c>
      <c r="H1390" s="24">
        <f>H1391+H1397</f>
        <v>162147300</v>
      </c>
      <c r="I1390" s="24">
        <f>I1391+I1397</f>
        <v>162147300</v>
      </c>
      <c r="J1390" s="16">
        <f>'БА в тыс. руб.'!G1390*1000</f>
        <v>159184639.99999997</v>
      </c>
      <c r="K1390" s="169">
        <f t="shared" si="945"/>
        <v>0</v>
      </c>
      <c r="L1390" s="16">
        <f>'БА в тыс. руб.'!H1390*1000</f>
        <v>162147300</v>
      </c>
      <c r="M1390" s="169">
        <f t="shared" si="946"/>
        <v>0</v>
      </c>
      <c r="N1390" s="16">
        <f>'БА в тыс. руб.'!I1390*1000</f>
        <v>162147300</v>
      </c>
      <c r="O1390" s="169">
        <f t="shared" si="947"/>
        <v>0</v>
      </c>
      <c r="S1390" s="30"/>
      <c r="T1390" s="30"/>
      <c r="U1390" s="30"/>
    </row>
    <row r="1391" spans="1:21" s="3" customFormat="1" ht="38.25">
      <c r="A1391" s="31" t="s">
        <v>725</v>
      </c>
      <c r="B1391" s="25" t="s">
        <v>20</v>
      </c>
      <c r="C1391" s="25" t="s">
        <v>37</v>
      </c>
      <c r="D1391" s="25" t="s">
        <v>25</v>
      </c>
      <c r="E1391" s="25" t="s">
        <v>296</v>
      </c>
      <c r="F1391" s="25" t="s">
        <v>58</v>
      </c>
      <c r="G1391" s="42">
        <f t="shared" ref="G1391:I1395" si="966">G1392</f>
        <v>5251460</v>
      </c>
      <c r="H1391" s="42">
        <f t="shared" si="966"/>
        <v>5251460</v>
      </c>
      <c r="I1391" s="42">
        <f t="shared" si="966"/>
        <v>5251460</v>
      </c>
      <c r="J1391" s="16">
        <f>'БА в тыс. руб.'!G1391*1000</f>
        <v>5251460</v>
      </c>
      <c r="K1391" s="169">
        <f t="shared" si="945"/>
        <v>0</v>
      </c>
      <c r="L1391" s="16">
        <f>'БА в тыс. руб.'!H1391*1000</f>
        <v>5251460</v>
      </c>
      <c r="M1391" s="169">
        <f t="shared" si="946"/>
        <v>0</v>
      </c>
      <c r="N1391" s="16">
        <f>'БА в тыс. руб.'!I1391*1000</f>
        <v>5251460</v>
      </c>
      <c r="O1391" s="169">
        <f t="shared" si="947"/>
        <v>0</v>
      </c>
      <c r="S1391" s="30"/>
      <c r="T1391" s="30"/>
      <c r="U1391" s="30"/>
    </row>
    <row r="1392" spans="1:21" s="3" customFormat="1" ht="51">
      <c r="A1392" s="11" t="s">
        <v>726</v>
      </c>
      <c r="B1392" s="25" t="s">
        <v>20</v>
      </c>
      <c r="C1392" s="25" t="s">
        <v>37</v>
      </c>
      <c r="D1392" s="25" t="s">
        <v>25</v>
      </c>
      <c r="E1392" s="25" t="s">
        <v>297</v>
      </c>
      <c r="F1392" s="25" t="s">
        <v>58</v>
      </c>
      <c r="G1392" s="42">
        <f t="shared" si="966"/>
        <v>5251460</v>
      </c>
      <c r="H1392" s="42">
        <f t="shared" si="966"/>
        <v>5251460</v>
      </c>
      <c r="I1392" s="42">
        <f t="shared" si="966"/>
        <v>5251460</v>
      </c>
      <c r="J1392" s="16">
        <f>'БА в тыс. руб.'!G1392*1000</f>
        <v>5251460</v>
      </c>
      <c r="K1392" s="169">
        <f t="shared" si="945"/>
        <v>0</v>
      </c>
      <c r="L1392" s="16">
        <f>'БА в тыс. руб.'!H1392*1000</f>
        <v>5251460</v>
      </c>
      <c r="M1392" s="169">
        <f t="shared" si="946"/>
        <v>0</v>
      </c>
      <c r="N1392" s="16">
        <f>'БА в тыс. руб.'!I1392*1000</f>
        <v>5251460</v>
      </c>
      <c r="O1392" s="169">
        <f t="shared" si="947"/>
        <v>0</v>
      </c>
      <c r="S1392" s="30"/>
      <c r="T1392" s="30"/>
      <c r="U1392" s="30"/>
    </row>
    <row r="1393" spans="1:21" s="3" customFormat="1" ht="51">
      <c r="A1393" s="12" t="s">
        <v>620</v>
      </c>
      <c r="B1393" s="25" t="s">
        <v>20</v>
      </c>
      <c r="C1393" s="25" t="s">
        <v>37</v>
      </c>
      <c r="D1393" s="25" t="s">
        <v>25</v>
      </c>
      <c r="E1393" s="25" t="s">
        <v>512</v>
      </c>
      <c r="F1393" s="25" t="s">
        <v>58</v>
      </c>
      <c r="G1393" s="42">
        <f t="shared" si="966"/>
        <v>5251460</v>
      </c>
      <c r="H1393" s="42">
        <f t="shared" si="966"/>
        <v>5251460</v>
      </c>
      <c r="I1393" s="42">
        <f t="shared" si="966"/>
        <v>5251460</v>
      </c>
      <c r="J1393" s="16">
        <f>'БА в тыс. руб.'!G1393*1000</f>
        <v>5251460</v>
      </c>
      <c r="K1393" s="169">
        <f t="shared" si="945"/>
        <v>0</v>
      </c>
      <c r="L1393" s="16">
        <f>'БА в тыс. руб.'!H1393*1000</f>
        <v>5251460</v>
      </c>
      <c r="M1393" s="169">
        <f t="shared" si="946"/>
        <v>0</v>
      </c>
      <c r="N1393" s="16">
        <f>'БА в тыс. руб.'!I1393*1000</f>
        <v>5251460</v>
      </c>
      <c r="O1393" s="169">
        <f t="shared" si="947"/>
        <v>0</v>
      </c>
      <c r="S1393" s="30"/>
      <c r="T1393" s="30"/>
      <c r="U1393" s="30"/>
    </row>
    <row r="1394" spans="1:21" s="3" customFormat="1" ht="51">
      <c r="A1394" s="12" t="s">
        <v>893</v>
      </c>
      <c r="B1394" s="25" t="s">
        <v>20</v>
      </c>
      <c r="C1394" s="25" t="s">
        <v>37</v>
      </c>
      <c r="D1394" s="25" t="s">
        <v>25</v>
      </c>
      <c r="E1394" s="25" t="s">
        <v>517</v>
      </c>
      <c r="F1394" s="25" t="s">
        <v>58</v>
      </c>
      <c r="G1394" s="42">
        <f t="shared" si="966"/>
        <v>5251460</v>
      </c>
      <c r="H1394" s="42">
        <f t="shared" si="966"/>
        <v>5251460</v>
      </c>
      <c r="I1394" s="42">
        <f t="shared" si="966"/>
        <v>5251460</v>
      </c>
      <c r="J1394" s="16">
        <f>'БА в тыс. руб.'!G1394*1000</f>
        <v>5251460</v>
      </c>
      <c r="K1394" s="169">
        <f t="shared" si="945"/>
        <v>0</v>
      </c>
      <c r="L1394" s="16">
        <f>'БА в тыс. руб.'!H1394*1000</f>
        <v>5251460</v>
      </c>
      <c r="M1394" s="169">
        <f t="shared" si="946"/>
        <v>0</v>
      </c>
      <c r="N1394" s="16">
        <f>'БА в тыс. руб.'!I1394*1000</f>
        <v>5251460</v>
      </c>
      <c r="O1394" s="169">
        <f t="shared" si="947"/>
        <v>0</v>
      </c>
      <c r="S1394" s="30"/>
      <c r="T1394" s="30"/>
      <c r="U1394" s="30"/>
    </row>
    <row r="1395" spans="1:21" s="3" customFormat="1" ht="25.5">
      <c r="A1395" s="11" t="s">
        <v>108</v>
      </c>
      <c r="B1395" s="25" t="s">
        <v>20</v>
      </c>
      <c r="C1395" s="25" t="s">
        <v>37</v>
      </c>
      <c r="D1395" s="25" t="s">
        <v>25</v>
      </c>
      <c r="E1395" s="25" t="s">
        <v>517</v>
      </c>
      <c r="F1395" s="25" t="s">
        <v>116</v>
      </c>
      <c r="G1395" s="42">
        <f>G1396</f>
        <v>5251460</v>
      </c>
      <c r="H1395" s="42">
        <f t="shared" si="966"/>
        <v>5251460</v>
      </c>
      <c r="I1395" s="42">
        <f t="shared" si="966"/>
        <v>5251460</v>
      </c>
      <c r="J1395" s="16">
        <f>'БА в тыс. руб.'!G1395*1000</f>
        <v>5251460</v>
      </c>
      <c r="K1395" s="169">
        <f t="shared" si="945"/>
        <v>0</v>
      </c>
      <c r="L1395" s="16">
        <f>'БА в тыс. руб.'!H1395*1000</f>
        <v>5251460</v>
      </c>
      <c r="M1395" s="169">
        <f t="shared" si="946"/>
        <v>0</v>
      </c>
      <c r="N1395" s="16">
        <f>'БА в тыс. руб.'!I1395*1000</f>
        <v>5251460</v>
      </c>
      <c r="O1395" s="169">
        <f t="shared" si="947"/>
        <v>0</v>
      </c>
      <c r="S1395" s="30"/>
      <c r="T1395" s="30"/>
      <c r="U1395" s="30"/>
    </row>
    <row r="1396" spans="1:21" s="4" customFormat="1" ht="25.5">
      <c r="A1396" s="12" t="s">
        <v>973</v>
      </c>
      <c r="B1396" s="25" t="s">
        <v>20</v>
      </c>
      <c r="C1396" s="25" t="s">
        <v>37</v>
      </c>
      <c r="D1396" s="25" t="s">
        <v>25</v>
      </c>
      <c r="E1396" s="25" t="s">
        <v>517</v>
      </c>
      <c r="F1396" s="25" t="s">
        <v>1043</v>
      </c>
      <c r="G1396" s="27">
        <f t="shared" ref="G1396" si="967">J1396</f>
        <v>5251460</v>
      </c>
      <c r="H1396" s="27">
        <f>L1396</f>
        <v>5251460</v>
      </c>
      <c r="I1396" s="27">
        <f>N1396</f>
        <v>5251460</v>
      </c>
      <c r="J1396" s="16">
        <f>'БА в тыс. руб.'!G1396*1000</f>
        <v>5251460</v>
      </c>
      <c r="K1396" s="169">
        <f t="shared" si="945"/>
        <v>0</v>
      </c>
      <c r="L1396" s="16">
        <f>'БА в тыс. руб.'!H1396*1000</f>
        <v>5251460</v>
      </c>
      <c r="M1396" s="169">
        <f t="shared" si="946"/>
        <v>0</v>
      </c>
      <c r="N1396" s="16">
        <f>'БА в тыс. руб.'!I1396*1000</f>
        <v>5251460</v>
      </c>
      <c r="O1396" s="169">
        <f t="shared" si="947"/>
        <v>0</v>
      </c>
      <c r="S1396" s="83"/>
      <c r="T1396" s="83"/>
      <c r="U1396" s="83"/>
    </row>
    <row r="1397" spans="1:21" s="3" customFormat="1" ht="38.25">
      <c r="A1397" s="12" t="s">
        <v>722</v>
      </c>
      <c r="B1397" s="26" t="s">
        <v>20</v>
      </c>
      <c r="C1397" s="26" t="s">
        <v>37</v>
      </c>
      <c r="D1397" s="26" t="s">
        <v>25</v>
      </c>
      <c r="E1397" s="26" t="s">
        <v>300</v>
      </c>
      <c r="F1397" s="25" t="s">
        <v>58</v>
      </c>
      <c r="G1397" s="42">
        <f>G1398</f>
        <v>153933180</v>
      </c>
      <c r="H1397" s="42">
        <f>H1398</f>
        <v>156895840</v>
      </c>
      <c r="I1397" s="42">
        <f>I1398</f>
        <v>156895840</v>
      </c>
      <c r="J1397" s="16">
        <f>'БА в тыс. руб.'!G1397*1000</f>
        <v>153933180</v>
      </c>
      <c r="K1397" s="169">
        <f t="shared" si="945"/>
        <v>0</v>
      </c>
      <c r="L1397" s="16">
        <f>'БА в тыс. руб.'!H1397*1000</f>
        <v>156895840</v>
      </c>
      <c r="M1397" s="169">
        <f t="shared" si="946"/>
        <v>0</v>
      </c>
      <c r="N1397" s="16">
        <f>'БА в тыс. руб.'!I1397*1000</f>
        <v>156895840</v>
      </c>
      <c r="O1397" s="169">
        <f t="shared" si="947"/>
        <v>0</v>
      </c>
      <c r="S1397" s="30"/>
      <c r="T1397" s="30"/>
      <c r="U1397" s="30"/>
    </row>
    <row r="1398" spans="1:21" s="3" customFormat="1" ht="38.25">
      <c r="A1398" s="40" t="s">
        <v>729</v>
      </c>
      <c r="B1398" s="26" t="s">
        <v>20</v>
      </c>
      <c r="C1398" s="26" t="s">
        <v>37</v>
      </c>
      <c r="D1398" s="26" t="s">
        <v>25</v>
      </c>
      <c r="E1398" s="26" t="s">
        <v>301</v>
      </c>
      <c r="F1398" s="25" t="s">
        <v>58</v>
      </c>
      <c r="G1398" s="42">
        <f>G1399+G1421</f>
        <v>153933180</v>
      </c>
      <c r="H1398" s="42">
        <f>H1399+H1421</f>
        <v>156895840</v>
      </c>
      <c r="I1398" s="42">
        <f>I1399+I1421</f>
        <v>156895840</v>
      </c>
      <c r="J1398" s="16">
        <f>'БА в тыс. руб.'!G1398*1000</f>
        <v>153933180</v>
      </c>
      <c r="K1398" s="169">
        <f t="shared" si="945"/>
        <v>0</v>
      </c>
      <c r="L1398" s="16">
        <f>'БА в тыс. руб.'!H1398*1000</f>
        <v>156895840</v>
      </c>
      <c r="M1398" s="169">
        <f t="shared" si="946"/>
        <v>0</v>
      </c>
      <c r="N1398" s="16">
        <f>'БА в тыс. руб.'!I1398*1000</f>
        <v>156895840</v>
      </c>
      <c r="O1398" s="169">
        <f t="shared" si="947"/>
        <v>0</v>
      </c>
      <c r="S1398" s="30"/>
      <c r="T1398" s="30"/>
      <c r="U1398" s="30"/>
    </row>
    <row r="1399" spans="1:21" s="3" customFormat="1" ht="38.25">
      <c r="A1399" s="11" t="s">
        <v>644</v>
      </c>
      <c r="B1399" s="26" t="s">
        <v>20</v>
      </c>
      <c r="C1399" s="26" t="s">
        <v>37</v>
      </c>
      <c r="D1399" s="26" t="s">
        <v>25</v>
      </c>
      <c r="E1399" s="26" t="s">
        <v>302</v>
      </c>
      <c r="F1399" s="25" t="s">
        <v>58</v>
      </c>
      <c r="G1399" s="42">
        <f>G1400+G1403+G1406+G1412+G1415+G1418+G1409</f>
        <v>109687520</v>
      </c>
      <c r="H1399" s="42">
        <f>H1400+H1403+H1406+H1412+H1415+H1418+H1409</f>
        <v>117871230</v>
      </c>
      <c r="I1399" s="42">
        <f>I1400+I1403+I1406+I1412+I1415+I1418+I1409</f>
        <v>117871230</v>
      </c>
      <c r="J1399" s="16">
        <f>'БА в тыс. руб.'!G1399*1000</f>
        <v>109687519.99999999</v>
      </c>
      <c r="K1399" s="169">
        <f t="shared" si="945"/>
        <v>0</v>
      </c>
      <c r="L1399" s="16">
        <f>'БА в тыс. руб.'!H1399*1000</f>
        <v>117871230</v>
      </c>
      <c r="M1399" s="169">
        <f t="shared" si="946"/>
        <v>0</v>
      </c>
      <c r="N1399" s="16">
        <f>'БА в тыс. руб.'!I1399*1000</f>
        <v>117871230</v>
      </c>
      <c r="O1399" s="169">
        <f t="shared" si="947"/>
        <v>0</v>
      </c>
      <c r="S1399" s="30"/>
      <c r="T1399" s="30"/>
      <c r="U1399" s="30"/>
    </row>
    <row r="1400" spans="1:21" s="3" customFormat="1" ht="25.5">
      <c r="A1400" s="11" t="s">
        <v>896</v>
      </c>
      <c r="B1400" s="26" t="s">
        <v>20</v>
      </c>
      <c r="C1400" s="26" t="s">
        <v>37</v>
      </c>
      <c r="D1400" s="26" t="s">
        <v>25</v>
      </c>
      <c r="E1400" s="26" t="s">
        <v>492</v>
      </c>
      <c r="F1400" s="25" t="s">
        <v>58</v>
      </c>
      <c r="G1400" s="42">
        <f>G1401</f>
        <v>36181840</v>
      </c>
      <c r="H1400" s="42">
        <f t="shared" ref="H1400:I1401" si="968">H1401</f>
        <v>62280580</v>
      </c>
      <c r="I1400" s="42">
        <f t="shared" si="968"/>
        <v>62280580</v>
      </c>
      <c r="J1400" s="16">
        <f>'БА в тыс. руб.'!G1400*1000</f>
        <v>36181840</v>
      </c>
      <c r="K1400" s="169">
        <f t="shared" si="945"/>
        <v>0</v>
      </c>
      <c r="L1400" s="16">
        <f>'БА в тыс. руб.'!H1400*1000</f>
        <v>62280580</v>
      </c>
      <c r="M1400" s="169">
        <f t="shared" si="946"/>
        <v>0</v>
      </c>
      <c r="N1400" s="16">
        <f>'БА в тыс. руб.'!I1400*1000</f>
        <v>62280580</v>
      </c>
      <c r="O1400" s="169">
        <f t="shared" si="947"/>
        <v>0</v>
      </c>
      <c r="S1400" s="30"/>
      <c r="T1400" s="30"/>
      <c r="U1400" s="30"/>
    </row>
    <row r="1401" spans="1:21" s="3" customFormat="1" ht="25.5">
      <c r="A1401" s="11" t="s">
        <v>108</v>
      </c>
      <c r="B1401" s="26" t="s">
        <v>20</v>
      </c>
      <c r="C1401" s="26" t="s">
        <v>37</v>
      </c>
      <c r="D1401" s="26" t="s">
        <v>25</v>
      </c>
      <c r="E1401" s="26" t="s">
        <v>492</v>
      </c>
      <c r="F1401" s="25" t="s">
        <v>116</v>
      </c>
      <c r="G1401" s="42">
        <f>G1402</f>
        <v>36181840</v>
      </c>
      <c r="H1401" s="42">
        <f t="shared" si="968"/>
        <v>62280580</v>
      </c>
      <c r="I1401" s="42">
        <f t="shared" si="968"/>
        <v>62280580</v>
      </c>
      <c r="J1401" s="16">
        <f>'БА в тыс. руб.'!G1401*1000</f>
        <v>36181840</v>
      </c>
      <c r="K1401" s="169">
        <f t="shared" si="945"/>
        <v>0</v>
      </c>
      <c r="L1401" s="16">
        <f>'БА в тыс. руб.'!H1401*1000</f>
        <v>62280580</v>
      </c>
      <c r="M1401" s="169">
        <f t="shared" si="946"/>
        <v>0</v>
      </c>
      <c r="N1401" s="16">
        <f>'БА в тыс. руб.'!I1401*1000</f>
        <v>62280580</v>
      </c>
      <c r="O1401" s="169">
        <f t="shared" si="947"/>
        <v>0</v>
      </c>
      <c r="S1401" s="30"/>
      <c r="T1401" s="30"/>
      <c r="U1401" s="30"/>
    </row>
    <row r="1402" spans="1:21" s="4" customFormat="1" ht="25.5">
      <c r="A1402" s="12" t="s">
        <v>973</v>
      </c>
      <c r="B1402" s="26" t="s">
        <v>20</v>
      </c>
      <c r="C1402" s="26" t="s">
        <v>37</v>
      </c>
      <c r="D1402" s="26" t="s">
        <v>25</v>
      </c>
      <c r="E1402" s="26" t="s">
        <v>492</v>
      </c>
      <c r="F1402" s="25" t="s">
        <v>1043</v>
      </c>
      <c r="G1402" s="27">
        <f t="shared" ref="G1402" si="969">J1402</f>
        <v>36181840</v>
      </c>
      <c r="H1402" s="27">
        <f>L1402</f>
        <v>62280580</v>
      </c>
      <c r="I1402" s="27">
        <f>N1402</f>
        <v>62280580</v>
      </c>
      <c r="J1402" s="16">
        <f>'БА в тыс. руб.'!G1402*1000</f>
        <v>36181840</v>
      </c>
      <c r="K1402" s="169">
        <f t="shared" si="945"/>
        <v>0</v>
      </c>
      <c r="L1402" s="16">
        <f>'БА в тыс. руб.'!H1402*1000</f>
        <v>62280580</v>
      </c>
      <c r="M1402" s="169">
        <f t="shared" si="946"/>
        <v>0</v>
      </c>
      <c r="N1402" s="16">
        <f>'БА в тыс. руб.'!I1402*1000</f>
        <v>62280580</v>
      </c>
      <c r="O1402" s="169">
        <f t="shared" si="947"/>
        <v>0</v>
      </c>
      <c r="S1402" s="83"/>
      <c r="T1402" s="83"/>
      <c r="U1402" s="83"/>
    </row>
    <row r="1403" spans="1:21" s="3" customFormat="1" ht="63.75">
      <c r="A1403" s="11" t="s">
        <v>589</v>
      </c>
      <c r="B1403" s="26" t="s">
        <v>20</v>
      </c>
      <c r="C1403" s="26" t="s">
        <v>37</v>
      </c>
      <c r="D1403" s="26" t="s">
        <v>25</v>
      </c>
      <c r="E1403" s="26" t="s">
        <v>518</v>
      </c>
      <c r="F1403" s="25" t="s">
        <v>58</v>
      </c>
      <c r="G1403" s="42">
        <f>G1404</f>
        <v>40000000</v>
      </c>
      <c r="H1403" s="42">
        <f>H1404</f>
        <v>17586290</v>
      </c>
      <c r="I1403" s="42">
        <f>I1404</f>
        <v>17586290</v>
      </c>
      <c r="J1403" s="16">
        <f>'БА в тыс. руб.'!G1403*1000</f>
        <v>40000000</v>
      </c>
      <c r="K1403" s="169">
        <f t="shared" si="945"/>
        <v>0</v>
      </c>
      <c r="L1403" s="16">
        <f>'БА в тыс. руб.'!H1403*1000</f>
        <v>17586290</v>
      </c>
      <c r="M1403" s="169">
        <f t="shared" si="946"/>
        <v>0</v>
      </c>
      <c r="N1403" s="16">
        <f>'БА в тыс. руб.'!I1403*1000</f>
        <v>17586290</v>
      </c>
      <c r="O1403" s="169">
        <f t="shared" si="947"/>
        <v>0</v>
      </c>
      <c r="S1403" s="30"/>
      <c r="T1403" s="30"/>
      <c r="U1403" s="30"/>
    </row>
    <row r="1404" spans="1:21" s="3" customFormat="1" ht="25.5">
      <c r="A1404" s="11" t="s">
        <v>108</v>
      </c>
      <c r="B1404" s="26" t="s">
        <v>20</v>
      </c>
      <c r="C1404" s="26" t="s">
        <v>37</v>
      </c>
      <c r="D1404" s="26" t="s">
        <v>25</v>
      </c>
      <c r="E1404" s="26" t="s">
        <v>518</v>
      </c>
      <c r="F1404" s="25" t="s">
        <v>116</v>
      </c>
      <c r="G1404" s="42">
        <f>G1405</f>
        <v>40000000</v>
      </c>
      <c r="H1404" s="42">
        <f t="shared" ref="H1404:I1404" si="970">H1405</f>
        <v>17586290</v>
      </c>
      <c r="I1404" s="42">
        <f t="shared" si="970"/>
        <v>17586290</v>
      </c>
      <c r="J1404" s="16">
        <f>'БА в тыс. руб.'!G1404*1000</f>
        <v>40000000</v>
      </c>
      <c r="K1404" s="169">
        <f t="shared" si="945"/>
        <v>0</v>
      </c>
      <c r="L1404" s="16">
        <f>'БА в тыс. руб.'!H1404*1000</f>
        <v>17586290</v>
      </c>
      <c r="M1404" s="169">
        <f t="shared" si="946"/>
        <v>0</v>
      </c>
      <c r="N1404" s="16">
        <f>'БА в тыс. руб.'!I1404*1000</f>
        <v>17586290</v>
      </c>
      <c r="O1404" s="169">
        <f t="shared" si="947"/>
        <v>0</v>
      </c>
      <c r="S1404" s="30"/>
      <c r="T1404" s="30"/>
      <c r="U1404" s="30"/>
    </row>
    <row r="1405" spans="1:21" s="4" customFormat="1" ht="25.5">
      <c r="A1405" s="12" t="s">
        <v>973</v>
      </c>
      <c r="B1405" s="26" t="s">
        <v>20</v>
      </c>
      <c r="C1405" s="26" t="s">
        <v>37</v>
      </c>
      <c r="D1405" s="26" t="s">
        <v>25</v>
      </c>
      <c r="E1405" s="26" t="s">
        <v>518</v>
      </c>
      <c r="F1405" s="25" t="s">
        <v>1043</v>
      </c>
      <c r="G1405" s="27">
        <f t="shared" ref="G1405" si="971">J1405</f>
        <v>40000000</v>
      </c>
      <c r="H1405" s="27">
        <f>L1405</f>
        <v>17586290</v>
      </c>
      <c r="I1405" s="27">
        <f>N1405</f>
        <v>17586290</v>
      </c>
      <c r="J1405" s="16">
        <f>'БА в тыс. руб.'!G1405*1000</f>
        <v>40000000</v>
      </c>
      <c r="K1405" s="169">
        <f t="shared" si="945"/>
        <v>0</v>
      </c>
      <c r="L1405" s="16">
        <f>'БА в тыс. руб.'!H1405*1000</f>
        <v>17586290</v>
      </c>
      <c r="M1405" s="169">
        <f t="shared" si="946"/>
        <v>0</v>
      </c>
      <c r="N1405" s="16">
        <f>'БА в тыс. руб.'!I1405*1000</f>
        <v>17586290</v>
      </c>
      <c r="O1405" s="169">
        <f t="shared" si="947"/>
        <v>0</v>
      </c>
      <c r="S1405" s="83"/>
      <c r="T1405" s="83"/>
      <c r="U1405" s="83"/>
    </row>
    <row r="1406" spans="1:21" s="3" customFormat="1">
      <c r="A1406" s="11" t="s">
        <v>519</v>
      </c>
      <c r="B1406" s="26" t="s">
        <v>20</v>
      </c>
      <c r="C1406" s="26" t="s">
        <v>37</v>
      </c>
      <c r="D1406" s="26" t="s">
        <v>25</v>
      </c>
      <c r="E1406" s="26" t="s">
        <v>520</v>
      </c>
      <c r="F1406" s="25" t="s">
        <v>58</v>
      </c>
      <c r="G1406" s="42">
        <f>G1407</f>
        <v>0</v>
      </c>
      <c r="H1406" s="42">
        <f>H1407</f>
        <v>1350000</v>
      </c>
      <c r="I1406" s="42">
        <f>I1407</f>
        <v>1350000</v>
      </c>
      <c r="J1406" s="16">
        <f>'БА в тыс. руб.'!G1406*1000</f>
        <v>0</v>
      </c>
      <c r="K1406" s="169">
        <f t="shared" si="945"/>
        <v>0</v>
      </c>
      <c r="L1406" s="16">
        <f>'БА в тыс. руб.'!H1406*1000</f>
        <v>1350000</v>
      </c>
      <c r="M1406" s="169">
        <f t="shared" si="946"/>
        <v>0</v>
      </c>
      <c r="N1406" s="16">
        <f>'БА в тыс. руб.'!I1406*1000</f>
        <v>1350000</v>
      </c>
      <c r="O1406" s="169">
        <f t="shared" si="947"/>
        <v>0</v>
      </c>
      <c r="S1406" s="30"/>
      <c r="T1406" s="30"/>
      <c r="U1406" s="30"/>
    </row>
    <row r="1407" spans="1:21" s="3" customFormat="1" ht="25.5">
      <c r="A1407" s="11" t="s">
        <v>108</v>
      </c>
      <c r="B1407" s="26" t="s">
        <v>20</v>
      </c>
      <c r="C1407" s="26" t="s">
        <v>37</v>
      </c>
      <c r="D1407" s="26" t="s">
        <v>25</v>
      </c>
      <c r="E1407" s="26" t="s">
        <v>520</v>
      </c>
      <c r="F1407" s="25" t="s">
        <v>116</v>
      </c>
      <c r="G1407" s="42">
        <f>G1408</f>
        <v>0</v>
      </c>
      <c r="H1407" s="42">
        <f t="shared" ref="H1407:I1407" si="972">H1408</f>
        <v>1350000</v>
      </c>
      <c r="I1407" s="42">
        <f t="shared" si="972"/>
        <v>1350000</v>
      </c>
      <c r="J1407" s="16">
        <f>'БА в тыс. руб.'!G1407*1000</f>
        <v>0</v>
      </c>
      <c r="K1407" s="169">
        <f t="shared" si="945"/>
        <v>0</v>
      </c>
      <c r="L1407" s="16">
        <f>'БА в тыс. руб.'!H1407*1000</f>
        <v>1350000</v>
      </c>
      <c r="M1407" s="169">
        <f t="shared" si="946"/>
        <v>0</v>
      </c>
      <c r="N1407" s="16">
        <f>'БА в тыс. руб.'!I1407*1000</f>
        <v>1350000</v>
      </c>
      <c r="O1407" s="169">
        <f t="shared" si="947"/>
        <v>0</v>
      </c>
      <c r="S1407" s="30"/>
      <c r="T1407" s="30"/>
      <c r="U1407" s="30"/>
    </row>
    <row r="1408" spans="1:21" s="4" customFormat="1" ht="25.5">
      <c r="A1408" s="12" t="s">
        <v>973</v>
      </c>
      <c r="B1408" s="26" t="s">
        <v>20</v>
      </c>
      <c r="C1408" s="26" t="s">
        <v>37</v>
      </c>
      <c r="D1408" s="26" t="s">
        <v>25</v>
      </c>
      <c r="E1408" s="26" t="s">
        <v>520</v>
      </c>
      <c r="F1408" s="25" t="s">
        <v>1043</v>
      </c>
      <c r="G1408" s="27">
        <f t="shared" ref="G1408" si="973">J1408</f>
        <v>0</v>
      </c>
      <c r="H1408" s="27">
        <f>L1408</f>
        <v>1350000</v>
      </c>
      <c r="I1408" s="27">
        <f>N1408</f>
        <v>1350000</v>
      </c>
      <c r="J1408" s="16">
        <f>'БА в тыс. руб.'!G1408*1000</f>
        <v>0</v>
      </c>
      <c r="K1408" s="169">
        <f t="shared" si="945"/>
        <v>0</v>
      </c>
      <c r="L1408" s="16">
        <f>'БА в тыс. руб.'!H1408*1000</f>
        <v>1350000</v>
      </c>
      <c r="M1408" s="169">
        <f t="shared" si="946"/>
        <v>0</v>
      </c>
      <c r="N1408" s="16">
        <f>'БА в тыс. руб.'!I1408*1000</f>
        <v>1350000</v>
      </c>
      <c r="O1408" s="169">
        <f t="shared" si="947"/>
        <v>0</v>
      </c>
      <c r="S1408" s="83"/>
      <c r="T1408" s="83"/>
      <c r="U1408" s="83"/>
    </row>
    <row r="1409" spans="1:21" s="3" customFormat="1" ht="25.5">
      <c r="A1409" s="11" t="s">
        <v>894</v>
      </c>
      <c r="B1409" s="26" t="s">
        <v>20</v>
      </c>
      <c r="C1409" s="26" t="s">
        <v>37</v>
      </c>
      <c r="D1409" s="26" t="s">
        <v>25</v>
      </c>
      <c r="E1409" s="26" t="s">
        <v>895</v>
      </c>
      <c r="F1409" s="25" t="s">
        <v>58</v>
      </c>
      <c r="G1409" s="42">
        <v>0</v>
      </c>
      <c r="H1409" s="42">
        <f t="shared" ref="H1409:I1410" si="974">H1410</f>
        <v>13566600</v>
      </c>
      <c r="I1409" s="42">
        <f t="shared" si="974"/>
        <v>13566600</v>
      </c>
      <c r="J1409" s="16">
        <f>'БА в тыс. руб.'!G1409*1000</f>
        <v>0</v>
      </c>
      <c r="K1409" s="169">
        <f t="shared" si="945"/>
        <v>0</v>
      </c>
      <c r="L1409" s="16">
        <f>'БА в тыс. руб.'!H1409*1000</f>
        <v>13566600</v>
      </c>
      <c r="M1409" s="169">
        <f t="shared" si="946"/>
        <v>0</v>
      </c>
      <c r="N1409" s="16">
        <f>'БА в тыс. руб.'!I1409*1000</f>
        <v>13566600</v>
      </c>
      <c r="O1409" s="169">
        <f t="shared" si="947"/>
        <v>0</v>
      </c>
      <c r="S1409" s="30"/>
      <c r="T1409" s="30"/>
      <c r="U1409" s="30"/>
    </row>
    <row r="1410" spans="1:21" s="3" customFormat="1">
      <c r="A1410" s="11" t="s">
        <v>190</v>
      </c>
      <c r="B1410" s="26" t="s">
        <v>20</v>
      </c>
      <c r="C1410" s="26" t="s">
        <v>37</v>
      </c>
      <c r="D1410" s="26" t="s">
        <v>25</v>
      </c>
      <c r="E1410" s="26" t="s">
        <v>895</v>
      </c>
      <c r="F1410" s="25" t="s">
        <v>103</v>
      </c>
      <c r="G1410" s="42">
        <f>G1411</f>
        <v>0</v>
      </c>
      <c r="H1410" s="42">
        <f t="shared" si="974"/>
        <v>13566600</v>
      </c>
      <c r="I1410" s="42">
        <f t="shared" si="974"/>
        <v>13566600</v>
      </c>
      <c r="J1410" s="16">
        <f>'БА в тыс. руб.'!G1410*1000</f>
        <v>0</v>
      </c>
      <c r="K1410" s="169">
        <f t="shared" si="945"/>
        <v>0</v>
      </c>
      <c r="L1410" s="16">
        <f>'БА в тыс. руб.'!H1410*1000</f>
        <v>13566600</v>
      </c>
      <c r="M1410" s="169">
        <f t="shared" si="946"/>
        <v>0</v>
      </c>
      <c r="N1410" s="16">
        <f>'БА в тыс. руб.'!I1410*1000</f>
        <v>13566600</v>
      </c>
      <c r="O1410" s="169">
        <f t="shared" si="947"/>
        <v>0</v>
      </c>
      <c r="S1410" s="30"/>
      <c r="T1410" s="30"/>
      <c r="U1410" s="30"/>
    </row>
    <row r="1411" spans="1:21" s="4" customFormat="1" ht="25.5">
      <c r="A1411" s="12" t="s">
        <v>987</v>
      </c>
      <c r="B1411" s="26" t="s">
        <v>20</v>
      </c>
      <c r="C1411" s="26" t="s">
        <v>37</v>
      </c>
      <c r="D1411" s="26" t="s">
        <v>25</v>
      </c>
      <c r="E1411" s="26" t="s">
        <v>895</v>
      </c>
      <c r="F1411" s="25" t="s">
        <v>1052</v>
      </c>
      <c r="G1411" s="27">
        <f t="shared" ref="G1411" si="975">J1411</f>
        <v>0</v>
      </c>
      <c r="H1411" s="27">
        <f>L1411</f>
        <v>13566600</v>
      </c>
      <c r="I1411" s="27">
        <f>N1411</f>
        <v>13566600</v>
      </c>
      <c r="J1411" s="16">
        <f>'БА в тыс. руб.'!G1411*1000</f>
        <v>0</v>
      </c>
      <c r="K1411" s="169">
        <f t="shared" si="945"/>
        <v>0</v>
      </c>
      <c r="L1411" s="16">
        <f>'БА в тыс. руб.'!H1411*1000</f>
        <v>13566600</v>
      </c>
      <c r="M1411" s="169">
        <f t="shared" si="946"/>
        <v>0</v>
      </c>
      <c r="N1411" s="16">
        <f>'БА в тыс. руб.'!I1411*1000</f>
        <v>13566600</v>
      </c>
      <c r="O1411" s="169">
        <f t="shared" si="947"/>
        <v>0</v>
      </c>
      <c r="S1411" s="83"/>
      <c r="T1411" s="83"/>
      <c r="U1411" s="83"/>
    </row>
    <row r="1412" spans="1:21" s="3" customFormat="1" ht="63.75">
      <c r="A1412" s="11" t="s">
        <v>912</v>
      </c>
      <c r="B1412" s="25" t="s">
        <v>20</v>
      </c>
      <c r="C1412" s="26" t="s">
        <v>37</v>
      </c>
      <c r="D1412" s="26" t="s">
        <v>25</v>
      </c>
      <c r="E1412" s="43" t="s">
        <v>521</v>
      </c>
      <c r="F1412" s="25" t="s">
        <v>58</v>
      </c>
      <c r="G1412" s="42">
        <f>G1413</f>
        <v>20119440</v>
      </c>
      <c r="H1412" s="42">
        <f>H1413</f>
        <v>23087760</v>
      </c>
      <c r="I1412" s="42">
        <f>I1413</f>
        <v>23087760</v>
      </c>
      <c r="J1412" s="16">
        <f>'БА в тыс. руб.'!G1412*1000</f>
        <v>20119440</v>
      </c>
      <c r="K1412" s="169">
        <f t="shared" si="945"/>
        <v>0</v>
      </c>
      <c r="L1412" s="16">
        <f>'БА в тыс. руб.'!H1412*1000</f>
        <v>23087760</v>
      </c>
      <c r="M1412" s="169">
        <f t="shared" si="946"/>
        <v>0</v>
      </c>
      <c r="N1412" s="16">
        <f>'БА в тыс. руб.'!I1412*1000</f>
        <v>23087760</v>
      </c>
      <c r="O1412" s="169">
        <f t="shared" si="947"/>
        <v>0</v>
      </c>
      <c r="S1412" s="30"/>
      <c r="T1412" s="30"/>
      <c r="U1412" s="30"/>
    </row>
    <row r="1413" spans="1:21" s="3" customFormat="1" ht="38.25">
      <c r="A1413" s="46" t="s">
        <v>561</v>
      </c>
      <c r="B1413" s="25" t="s">
        <v>20</v>
      </c>
      <c r="C1413" s="26" t="s">
        <v>37</v>
      </c>
      <c r="D1413" s="26" t="s">
        <v>25</v>
      </c>
      <c r="E1413" s="43" t="s">
        <v>521</v>
      </c>
      <c r="F1413" s="25" t="s">
        <v>101</v>
      </c>
      <c r="G1413" s="42">
        <f>G1414</f>
        <v>20119440</v>
      </c>
      <c r="H1413" s="42">
        <f t="shared" ref="H1413:I1413" si="976">H1414</f>
        <v>23087760</v>
      </c>
      <c r="I1413" s="42">
        <f t="shared" si="976"/>
        <v>23087760</v>
      </c>
      <c r="J1413" s="16">
        <f>'БА в тыс. руб.'!G1413*1000</f>
        <v>20119440</v>
      </c>
      <c r="K1413" s="169">
        <f t="shared" si="945"/>
        <v>0</v>
      </c>
      <c r="L1413" s="16">
        <f>'БА в тыс. руб.'!H1413*1000</f>
        <v>23087760</v>
      </c>
      <c r="M1413" s="169">
        <f t="shared" si="946"/>
        <v>0</v>
      </c>
      <c r="N1413" s="16">
        <f>'БА в тыс. руб.'!I1413*1000</f>
        <v>23087760</v>
      </c>
      <c r="O1413" s="169">
        <f t="shared" si="947"/>
        <v>0</v>
      </c>
      <c r="S1413" s="30"/>
      <c r="T1413" s="30"/>
      <c r="U1413" s="30"/>
    </row>
    <row r="1414" spans="1:21" s="4" customFormat="1" ht="51">
      <c r="A1414" s="12" t="s">
        <v>1047</v>
      </c>
      <c r="B1414" s="25" t="s">
        <v>20</v>
      </c>
      <c r="C1414" s="26" t="s">
        <v>37</v>
      </c>
      <c r="D1414" s="26" t="s">
        <v>25</v>
      </c>
      <c r="E1414" s="43" t="s">
        <v>521</v>
      </c>
      <c r="F1414" s="25" t="s">
        <v>1050</v>
      </c>
      <c r="G1414" s="27">
        <f t="shared" ref="G1414" si="977">J1414</f>
        <v>20119440</v>
      </c>
      <c r="H1414" s="27">
        <f>L1414</f>
        <v>23087760</v>
      </c>
      <c r="I1414" s="27">
        <f>N1414</f>
        <v>23087760</v>
      </c>
      <c r="J1414" s="16">
        <f>'БА в тыс. руб.'!G1414*1000</f>
        <v>20119440</v>
      </c>
      <c r="K1414" s="169">
        <f t="shared" si="945"/>
        <v>0</v>
      </c>
      <c r="L1414" s="16">
        <f>'БА в тыс. руб.'!H1414*1000</f>
        <v>23087760</v>
      </c>
      <c r="M1414" s="169">
        <f t="shared" si="946"/>
        <v>0</v>
      </c>
      <c r="N1414" s="16">
        <f>'БА в тыс. руб.'!I1414*1000</f>
        <v>23087760</v>
      </c>
      <c r="O1414" s="169">
        <f t="shared" si="947"/>
        <v>0</v>
      </c>
      <c r="S1414" s="83"/>
      <c r="T1414" s="83"/>
      <c r="U1414" s="83"/>
    </row>
    <row r="1415" spans="1:21" s="3" customFormat="1" ht="38.25">
      <c r="A1415" s="11" t="s">
        <v>913</v>
      </c>
      <c r="B1415" s="25" t="s">
        <v>20</v>
      </c>
      <c r="C1415" s="26" t="s">
        <v>37</v>
      </c>
      <c r="D1415" s="26" t="s">
        <v>25</v>
      </c>
      <c r="E1415" s="43" t="s">
        <v>691</v>
      </c>
      <c r="F1415" s="25" t="s">
        <v>58</v>
      </c>
      <c r="G1415" s="42">
        <f>G1416</f>
        <v>11640210</v>
      </c>
      <c r="H1415" s="42">
        <f>H1416</f>
        <v>0</v>
      </c>
      <c r="I1415" s="42">
        <f>I1416</f>
        <v>0</v>
      </c>
      <c r="J1415" s="16">
        <f>'БА в тыс. руб.'!G1415*1000</f>
        <v>11640210</v>
      </c>
      <c r="K1415" s="169">
        <f t="shared" si="945"/>
        <v>0</v>
      </c>
      <c r="L1415" s="16">
        <f>'БА в тыс. руб.'!H1415*1000</f>
        <v>0</v>
      </c>
      <c r="M1415" s="169">
        <f t="shared" si="946"/>
        <v>0</v>
      </c>
      <c r="N1415" s="16">
        <f>'БА в тыс. руб.'!I1415*1000</f>
        <v>0</v>
      </c>
      <c r="O1415" s="169">
        <f t="shared" si="947"/>
        <v>0</v>
      </c>
      <c r="S1415" s="30"/>
      <c r="T1415" s="30"/>
      <c r="U1415" s="30"/>
    </row>
    <row r="1416" spans="1:21" s="3" customFormat="1" ht="25.5">
      <c r="A1416" s="11" t="s">
        <v>108</v>
      </c>
      <c r="B1416" s="25" t="s">
        <v>20</v>
      </c>
      <c r="C1416" s="26" t="s">
        <v>37</v>
      </c>
      <c r="D1416" s="26" t="s">
        <v>25</v>
      </c>
      <c r="E1416" s="43" t="s">
        <v>691</v>
      </c>
      <c r="F1416" s="25" t="s">
        <v>116</v>
      </c>
      <c r="G1416" s="42">
        <f>G1417</f>
        <v>11640210</v>
      </c>
      <c r="H1416" s="42">
        <f t="shared" ref="H1416:I1416" si="978">H1417</f>
        <v>0</v>
      </c>
      <c r="I1416" s="42">
        <f t="shared" si="978"/>
        <v>0</v>
      </c>
      <c r="J1416" s="16">
        <f>'БА в тыс. руб.'!G1416*1000</f>
        <v>11640210</v>
      </c>
      <c r="K1416" s="169">
        <f t="shared" si="945"/>
        <v>0</v>
      </c>
      <c r="L1416" s="16">
        <f>'БА в тыс. руб.'!H1416*1000</f>
        <v>0</v>
      </c>
      <c r="M1416" s="169">
        <f t="shared" si="946"/>
        <v>0</v>
      </c>
      <c r="N1416" s="16">
        <f>'БА в тыс. руб.'!I1416*1000</f>
        <v>0</v>
      </c>
      <c r="O1416" s="169">
        <f t="shared" si="947"/>
        <v>0</v>
      </c>
      <c r="S1416" s="30"/>
      <c r="T1416" s="30"/>
      <c r="U1416" s="30"/>
    </row>
    <row r="1417" spans="1:21" s="4" customFormat="1" ht="25.5">
      <c r="A1417" s="12" t="s">
        <v>973</v>
      </c>
      <c r="B1417" s="25" t="s">
        <v>20</v>
      </c>
      <c r="C1417" s="26" t="s">
        <v>37</v>
      </c>
      <c r="D1417" s="26" t="s">
        <v>25</v>
      </c>
      <c r="E1417" s="43" t="s">
        <v>691</v>
      </c>
      <c r="F1417" s="25" t="s">
        <v>1043</v>
      </c>
      <c r="G1417" s="27">
        <f t="shared" ref="G1417" si="979">J1417</f>
        <v>11640210</v>
      </c>
      <c r="H1417" s="27">
        <f>L1417</f>
        <v>0</v>
      </c>
      <c r="I1417" s="27">
        <f>N1417</f>
        <v>0</v>
      </c>
      <c r="J1417" s="16">
        <f>'БА в тыс. руб.'!G1417*1000</f>
        <v>11640210</v>
      </c>
      <c r="K1417" s="169">
        <f t="shared" si="945"/>
        <v>0</v>
      </c>
      <c r="L1417" s="16">
        <f>'БА в тыс. руб.'!H1417*1000</f>
        <v>0</v>
      </c>
      <c r="M1417" s="169">
        <f t="shared" si="946"/>
        <v>0</v>
      </c>
      <c r="N1417" s="16">
        <f>'БА в тыс. руб.'!I1417*1000</f>
        <v>0</v>
      </c>
      <c r="O1417" s="169">
        <f t="shared" si="947"/>
        <v>0</v>
      </c>
      <c r="S1417" s="83"/>
      <c r="T1417" s="83"/>
      <c r="U1417" s="83"/>
    </row>
    <row r="1418" spans="1:21" s="3" customFormat="1" ht="51">
      <c r="A1418" s="11" t="s">
        <v>914</v>
      </c>
      <c r="B1418" s="25" t="s">
        <v>20</v>
      </c>
      <c r="C1418" s="26" t="s">
        <v>37</v>
      </c>
      <c r="D1418" s="26" t="s">
        <v>25</v>
      </c>
      <c r="E1418" s="43" t="s">
        <v>692</v>
      </c>
      <c r="F1418" s="25" t="s">
        <v>58</v>
      </c>
      <c r="G1418" s="42">
        <f>G1419</f>
        <v>1746030</v>
      </c>
      <c r="H1418" s="42">
        <f>H1419</f>
        <v>0</v>
      </c>
      <c r="I1418" s="42">
        <f>I1419</f>
        <v>0</v>
      </c>
      <c r="J1418" s="16">
        <f>'БА в тыс. руб.'!G1418*1000</f>
        <v>1746030</v>
      </c>
      <c r="K1418" s="169">
        <f t="shared" si="945"/>
        <v>0</v>
      </c>
      <c r="L1418" s="16">
        <f>'БА в тыс. руб.'!H1418*1000</f>
        <v>0</v>
      </c>
      <c r="M1418" s="169">
        <f t="shared" si="946"/>
        <v>0</v>
      </c>
      <c r="N1418" s="16">
        <f>'БА в тыс. руб.'!I1418*1000</f>
        <v>0</v>
      </c>
      <c r="O1418" s="169">
        <f t="shared" si="947"/>
        <v>0</v>
      </c>
      <c r="S1418" s="30"/>
      <c r="T1418" s="30"/>
      <c r="U1418" s="30"/>
    </row>
    <row r="1419" spans="1:21" s="3" customFormat="1" ht="25.5">
      <c r="A1419" s="11" t="s">
        <v>108</v>
      </c>
      <c r="B1419" s="25" t="s">
        <v>20</v>
      </c>
      <c r="C1419" s="26" t="s">
        <v>37</v>
      </c>
      <c r="D1419" s="26" t="s">
        <v>25</v>
      </c>
      <c r="E1419" s="43" t="s">
        <v>692</v>
      </c>
      <c r="F1419" s="25" t="s">
        <v>116</v>
      </c>
      <c r="G1419" s="42">
        <f>G1420</f>
        <v>1746030</v>
      </c>
      <c r="H1419" s="42">
        <f t="shared" ref="H1419:I1419" si="980">H1420</f>
        <v>0</v>
      </c>
      <c r="I1419" s="42">
        <f t="shared" si="980"/>
        <v>0</v>
      </c>
      <c r="J1419" s="16">
        <f>'БА в тыс. руб.'!G1419*1000</f>
        <v>1746030</v>
      </c>
      <c r="K1419" s="169">
        <f t="shared" ref="K1419:K1482" si="981">J1419-G1419</f>
        <v>0</v>
      </c>
      <c r="L1419" s="16">
        <f>'БА в тыс. руб.'!H1419*1000</f>
        <v>0</v>
      </c>
      <c r="M1419" s="169">
        <f t="shared" ref="M1419:M1482" si="982">L1419-H1419</f>
        <v>0</v>
      </c>
      <c r="N1419" s="16">
        <f>'БА в тыс. руб.'!I1419*1000</f>
        <v>0</v>
      </c>
      <c r="O1419" s="169">
        <f t="shared" ref="O1419:O1482" si="983">N1419-I1419</f>
        <v>0</v>
      </c>
      <c r="S1419" s="30"/>
      <c r="T1419" s="30"/>
      <c r="U1419" s="30"/>
    </row>
    <row r="1420" spans="1:21" s="4" customFormat="1" ht="25.5">
      <c r="A1420" s="12" t="s">
        <v>973</v>
      </c>
      <c r="B1420" s="25" t="s">
        <v>20</v>
      </c>
      <c r="C1420" s="26" t="s">
        <v>37</v>
      </c>
      <c r="D1420" s="26" t="s">
        <v>25</v>
      </c>
      <c r="E1420" s="43" t="s">
        <v>692</v>
      </c>
      <c r="F1420" s="25" t="s">
        <v>1043</v>
      </c>
      <c r="G1420" s="27">
        <f t="shared" ref="G1420" si="984">J1420</f>
        <v>1746030</v>
      </c>
      <c r="H1420" s="27">
        <f>L1420</f>
        <v>0</v>
      </c>
      <c r="I1420" s="27">
        <f>N1420</f>
        <v>0</v>
      </c>
      <c r="J1420" s="16">
        <f>'БА в тыс. руб.'!G1420*1000</f>
        <v>1746030</v>
      </c>
      <c r="K1420" s="169">
        <f t="shared" si="981"/>
        <v>0</v>
      </c>
      <c r="L1420" s="16">
        <f>'БА в тыс. руб.'!H1420*1000</f>
        <v>0</v>
      </c>
      <c r="M1420" s="169">
        <f t="shared" si="982"/>
        <v>0</v>
      </c>
      <c r="N1420" s="16">
        <f>'БА в тыс. руб.'!I1420*1000</f>
        <v>0</v>
      </c>
      <c r="O1420" s="169">
        <f t="shared" si="983"/>
        <v>0</v>
      </c>
      <c r="S1420" s="83"/>
      <c r="T1420" s="83"/>
      <c r="U1420" s="83"/>
    </row>
    <row r="1421" spans="1:21" s="3" customFormat="1" ht="25.5">
      <c r="A1421" s="11" t="s">
        <v>653</v>
      </c>
      <c r="B1421" s="26" t="s">
        <v>20</v>
      </c>
      <c r="C1421" s="26" t="s">
        <v>37</v>
      </c>
      <c r="D1421" s="26" t="s">
        <v>25</v>
      </c>
      <c r="E1421" s="26" t="s">
        <v>650</v>
      </c>
      <c r="F1421" s="25" t="s">
        <v>58</v>
      </c>
      <c r="G1421" s="42">
        <f>G1422+G1425</f>
        <v>44245659.999999993</v>
      </c>
      <c r="H1421" s="42">
        <f>H1422+H1425</f>
        <v>39024610</v>
      </c>
      <c r="I1421" s="42">
        <f>I1422+I1425</f>
        <v>39024610</v>
      </c>
      <c r="J1421" s="16">
        <f>'БА в тыс. руб.'!G1421*1000</f>
        <v>44245659.999999993</v>
      </c>
      <c r="K1421" s="169">
        <f t="shared" si="981"/>
        <v>0</v>
      </c>
      <c r="L1421" s="16">
        <f>'БА в тыс. руб.'!H1421*1000</f>
        <v>39024610</v>
      </c>
      <c r="M1421" s="169">
        <f t="shared" si="982"/>
        <v>0</v>
      </c>
      <c r="N1421" s="16">
        <f>'БА в тыс. руб.'!I1421*1000</f>
        <v>39024610</v>
      </c>
      <c r="O1421" s="169">
        <f t="shared" si="983"/>
        <v>0</v>
      </c>
      <c r="S1421" s="30"/>
      <c r="T1421" s="30"/>
      <c r="U1421" s="30"/>
    </row>
    <row r="1422" spans="1:21" s="3" customFormat="1" ht="38.25">
      <c r="A1422" s="11" t="s">
        <v>187</v>
      </c>
      <c r="B1422" s="26" t="s">
        <v>20</v>
      </c>
      <c r="C1422" s="26" t="s">
        <v>37</v>
      </c>
      <c r="D1422" s="26" t="s">
        <v>25</v>
      </c>
      <c r="E1422" s="26" t="s">
        <v>651</v>
      </c>
      <c r="F1422" s="25" t="s">
        <v>58</v>
      </c>
      <c r="G1422" s="42">
        <f>G1423</f>
        <v>44245659.999999993</v>
      </c>
      <c r="H1422" s="42">
        <f>H1423</f>
        <v>37921910</v>
      </c>
      <c r="I1422" s="42">
        <f>I1423</f>
        <v>37921910</v>
      </c>
      <c r="J1422" s="16">
        <f>'БА в тыс. руб.'!G1422*1000</f>
        <v>44245659.999999993</v>
      </c>
      <c r="K1422" s="169">
        <f t="shared" si="981"/>
        <v>0</v>
      </c>
      <c r="L1422" s="16">
        <f>'БА в тыс. руб.'!H1422*1000</f>
        <v>37921910</v>
      </c>
      <c r="M1422" s="169">
        <f t="shared" si="982"/>
        <v>0</v>
      </c>
      <c r="N1422" s="16">
        <f>'БА в тыс. руб.'!I1422*1000</f>
        <v>37921910</v>
      </c>
      <c r="O1422" s="169">
        <f t="shared" si="983"/>
        <v>0</v>
      </c>
      <c r="S1422" s="30"/>
      <c r="T1422" s="30"/>
      <c r="U1422" s="30"/>
    </row>
    <row r="1423" spans="1:21" s="3" customFormat="1" ht="25.5">
      <c r="A1423" s="11" t="s">
        <v>108</v>
      </c>
      <c r="B1423" s="26" t="s">
        <v>20</v>
      </c>
      <c r="C1423" s="26" t="s">
        <v>37</v>
      </c>
      <c r="D1423" s="26" t="s">
        <v>25</v>
      </c>
      <c r="E1423" s="26" t="s">
        <v>651</v>
      </c>
      <c r="F1423" s="25" t="s">
        <v>116</v>
      </c>
      <c r="G1423" s="42">
        <f>G1424</f>
        <v>44245659.999999993</v>
      </c>
      <c r="H1423" s="42">
        <f t="shared" ref="H1423:I1423" si="985">H1424</f>
        <v>37921910</v>
      </c>
      <c r="I1423" s="42">
        <f t="shared" si="985"/>
        <v>37921910</v>
      </c>
      <c r="J1423" s="16">
        <f>'БА в тыс. руб.'!G1423*1000</f>
        <v>44245659.999999993</v>
      </c>
      <c r="K1423" s="169">
        <f t="shared" si="981"/>
        <v>0</v>
      </c>
      <c r="L1423" s="16">
        <f>'БА в тыс. руб.'!H1423*1000</f>
        <v>37921910</v>
      </c>
      <c r="M1423" s="169">
        <f t="shared" si="982"/>
        <v>0</v>
      </c>
      <c r="N1423" s="16">
        <f>'БА в тыс. руб.'!I1423*1000</f>
        <v>37921910</v>
      </c>
      <c r="O1423" s="169">
        <f t="shared" si="983"/>
        <v>0</v>
      </c>
      <c r="S1423" s="30"/>
      <c r="T1423" s="30"/>
      <c r="U1423" s="30"/>
    </row>
    <row r="1424" spans="1:21" s="4" customFormat="1" ht="25.5">
      <c r="A1424" s="12" t="s">
        <v>973</v>
      </c>
      <c r="B1424" s="26" t="s">
        <v>20</v>
      </c>
      <c r="C1424" s="26" t="s">
        <v>37</v>
      </c>
      <c r="D1424" s="26" t="s">
        <v>25</v>
      </c>
      <c r="E1424" s="26" t="s">
        <v>651</v>
      </c>
      <c r="F1424" s="25" t="s">
        <v>1043</v>
      </c>
      <c r="G1424" s="27">
        <f t="shared" ref="G1424" si="986">J1424</f>
        <v>44245659.999999993</v>
      </c>
      <c r="H1424" s="27">
        <f>L1424</f>
        <v>37921910</v>
      </c>
      <c r="I1424" s="27">
        <f>N1424</f>
        <v>37921910</v>
      </c>
      <c r="J1424" s="16">
        <f>'БА в тыс. руб.'!G1424*1000</f>
        <v>44245659.999999993</v>
      </c>
      <c r="K1424" s="169">
        <f t="shared" si="981"/>
        <v>0</v>
      </c>
      <c r="L1424" s="16">
        <f>'БА в тыс. руб.'!H1424*1000</f>
        <v>37921910</v>
      </c>
      <c r="M1424" s="169">
        <f t="shared" si="982"/>
        <v>0</v>
      </c>
      <c r="N1424" s="16">
        <f>'БА в тыс. руб.'!I1424*1000</f>
        <v>37921910</v>
      </c>
      <c r="O1424" s="169">
        <f t="shared" si="983"/>
        <v>0</v>
      </c>
      <c r="S1424" s="83"/>
      <c r="T1424" s="83"/>
      <c r="U1424" s="83"/>
    </row>
    <row r="1425" spans="1:21" s="3" customFormat="1" ht="76.5">
      <c r="A1425" s="32" t="s">
        <v>590</v>
      </c>
      <c r="B1425" s="26" t="s">
        <v>20</v>
      </c>
      <c r="C1425" s="26" t="s">
        <v>37</v>
      </c>
      <c r="D1425" s="26" t="s">
        <v>25</v>
      </c>
      <c r="E1425" s="26" t="s">
        <v>652</v>
      </c>
      <c r="F1425" s="25" t="s">
        <v>58</v>
      </c>
      <c r="G1425" s="42">
        <f>G1426</f>
        <v>0</v>
      </c>
      <c r="H1425" s="42">
        <f>H1426</f>
        <v>1102700</v>
      </c>
      <c r="I1425" s="42">
        <f>I1426</f>
        <v>1102700</v>
      </c>
      <c r="J1425" s="16">
        <f>'БА в тыс. руб.'!G1425*1000</f>
        <v>0</v>
      </c>
      <c r="K1425" s="169">
        <f t="shared" si="981"/>
        <v>0</v>
      </c>
      <c r="L1425" s="16">
        <f>'БА в тыс. руб.'!H1425*1000</f>
        <v>1102700</v>
      </c>
      <c r="M1425" s="169">
        <f t="shared" si="982"/>
        <v>0</v>
      </c>
      <c r="N1425" s="16">
        <f>'БА в тыс. руб.'!I1425*1000</f>
        <v>1102700</v>
      </c>
      <c r="O1425" s="169">
        <f t="shared" si="983"/>
        <v>0</v>
      </c>
      <c r="S1425" s="30"/>
      <c r="T1425" s="30"/>
      <c r="U1425" s="30"/>
    </row>
    <row r="1426" spans="1:21" s="3" customFormat="1" ht="25.5">
      <c r="A1426" s="11" t="s">
        <v>108</v>
      </c>
      <c r="B1426" s="26" t="s">
        <v>20</v>
      </c>
      <c r="C1426" s="26" t="s">
        <v>37</v>
      </c>
      <c r="D1426" s="26" t="s">
        <v>25</v>
      </c>
      <c r="E1426" s="26" t="s">
        <v>652</v>
      </c>
      <c r="F1426" s="25" t="s">
        <v>116</v>
      </c>
      <c r="G1426" s="42">
        <f>G1427</f>
        <v>0</v>
      </c>
      <c r="H1426" s="42">
        <f t="shared" ref="H1426:I1426" si="987">H1427</f>
        <v>1102700</v>
      </c>
      <c r="I1426" s="42">
        <f t="shared" si="987"/>
        <v>1102700</v>
      </c>
      <c r="J1426" s="16">
        <f>'БА в тыс. руб.'!G1426*1000</f>
        <v>0</v>
      </c>
      <c r="K1426" s="169">
        <f t="shared" si="981"/>
        <v>0</v>
      </c>
      <c r="L1426" s="16">
        <f>'БА в тыс. руб.'!H1426*1000</f>
        <v>1102700</v>
      </c>
      <c r="M1426" s="169">
        <f t="shared" si="982"/>
        <v>0</v>
      </c>
      <c r="N1426" s="16">
        <f>'БА в тыс. руб.'!I1426*1000</f>
        <v>1102700</v>
      </c>
      <c r="O1426" s="169">
        <f t="shared" si="983"/>
        <v>0</v>
      </c>
      <c r="S1426" s="30"/>
      <c r="T1426" s="30"/>
      <c r="U1426" s="30"/>
    </row>
    <row r="1427" spans="1:21" s="4" customFormat="1" ht="25.5">
      <c r="A1427" s="12" t="s">
        <v>973</v>
      </c>
      <c r="B1427" s="26" t="s">
        <v>20</v>
      </c>
      <c r="C1427" s="26" t="s">
        <v>37</v>
      </c>
      <c r="D1427" s="26" t="s">
        <v>25</v>
      </c>
      <c r="E1427" s="26" t="s">
        <v>652</v>
      </c>
      <c r="F1427" s="25" t="s">
        <v>1043</v>
      </c>
      <c r="G1427" s="27">
        <f t="shared" ref="G1427" si="988">J1427</f>
        <v>0</v>
      </c>
      <c r="H1427" s="27">
        <f>L1427</f>
        <v>1102700</v>
      </c>
      <c r="I1427" s="27">
        <f>N1427</f>
        <v>1102700</v>
      </c>
      <c r="J1427" s="16">
        <f>'БА в тыс. руб.'!G1427*1000</f>
        <v>0</v>
      </c>
      <c r="K1427" s="169">
        <f t="shared" si="981"/>
        <v>0</v>
      </c>
      <c r="L1427" s="16">
        <f>'БА в тыс. руб.'!H1427*1000</f>
        <v>1102700</v>
      </c>
      <c r="M1427" s="169">
        <f t="shared" si="982"/>
        <v>0</v>
      </c>
      <c r="N1427" s="16">
        <f>'БА в тыс. руб.'!I1427*1000</f>
        <v>1102700</v>
      </c>
      <c r="O1427" s="169">
        <f t="shared" si="983"/>
        <v>0</v>
      </c>
      <c r="S1427" s="83"/>
      <c r="T1427" s="83"/>
      <c r="U1427" s="83"/>
    </row>
    <row r="1428" spans="1:21" s="3" customFormat="1">
      <c r="A1428" s="17" t="s">
        <v>7</v>
      </c>
      <c r="B1428" s="18" t="s">
        <v>20</v>
      </c>
      <c r="C1428" s="19" t="s">
        <v>8</v>
      </c>
      <c r="D1428" s="19" t="s">
        <v>51</v>
      </c>
      <c r="E1428" s="19" t="s">
        <v>196</v>
      </c>
      <c r="F1428" s="19" t="s">
        <v>58</v>
      </c>
      <c r="G1428" s="20">
        <f>G1429+G1436+G1443+G1481</f>
        <v>292259120</v>
      </c>
      <c r="H1428" s="20">
        <f>H1429+H1436+H1443+H1481</f>
        <v>268902200</v>
      </c>
      <c r="I1428" s="20">
        <f>I1429+I1436+I1443+I1481</f>
        <v>268902200</v>
      </c>
      <c r="J1428" s="16">
        <f>'БА в тыс. руб.'!G1428*1000</f>
        <v>292259120</v>
      </c>
      <c r="K1428" s="169">
        <f t="shared" si="981"/>
        <v>0</v>
      </c>
      <c r="L1428" s="16">
        <f>'БА в тыс. руб.'!H1428*1000</f>
        <v>268902199.99999994</v>
      </c>
      <c r="M1428" s="169">
        <f t="shared" si="982"/>
        <v>0</v>
      </c>
      <c r="N1428" s="16">
        <f>'БА в тыс. руб.'!I1428*1000</f>
        <v>268902199.99999994</v>
      </c>
      <c r="O1428" s="169">
        <f t="shared" si="983"/>
        <v>0</v>
      </c>
      <c r="S1428" s="30"/>
      <c r="T1428" s="30"/>
      <c r="U1428" s="30"/>
    </row>
    <row r="1429" spans="1:21" s="3" customFormat="1">
      <c r="A1429" s="21" t="s">
        <v>9</v>
      </c>
      <c r="B1429" s="22" t="s">
        <v>20</v>
      </c>
      <c r="C1429" s="23" t="s">
        <v>8</v>
      </c>
      <c r="D1429" s="23" t="s">
        <v>65</v>
      </c>
      <c r="E1429" s="23" t="s">
        <v>196</v>
      </c>
      <c r="F1429" s="23" t="s">
        <v>58</v>
      </c>
      <c r="G1429" s="24">
        <f t="shared" ref="G1429:I1434" si="989">G1430</f>
        <v>90000</v>
      </c>
      <c r="H1429" s="24">
        <f t="shared" si="989"/>
        <v>90000</v>
      </c>
      <c r="I1429" s="24">
        <f t="shared" si="989"/>
        <v>90000</v>
      </c>
      <c r="J1429" s="16">
        <f>'БА в тыс. руб.'!G1429*1000</f>
        <v>90000</v>
      </c>
      <c r="K1429" s="169">
        <f t="shared" si="981"/>
        <v>0</v>
      </c>
      <c r="L1429" s="16">
        <f>'БА в тыс. руб.'!H1429*1000</f>
        <v>90000</v>
      </c>
      <c r="M1429" s="169">
        <f t="shared" si="982"/>
        <v>0</v>
      </c>
      <c r="N1429" s="16">
        <f>'БА в тыс. руб.'!I1429*1000</f>
        <v>90000</v>
      </c>
      <c r="O1429" s="169">
        <f t="shared" si="983"/>
        <v>0</v>
      </c>
      <c r="S1429" s="30"/>
      <c r="T1429" s="30"/>
      <c r="U1429" s="30"/>
    </row>
    <row r="1430" spans="1:21" s="3" customFormat="1" ht="38.25">
      <c r="A1430" s="12" t="s">
        <v>722</v>
      </c>
      <c r="B1430" s="25" t="s">
        <v>20</v>
      </c>
      <c r="C1430" s="26" t="s">
        <v>8</v>
      </c>
      <c r="D1430" s="26" t="s">
        <v>65</v>
      </c>
      <c r="E1430" s="43" t="s">
        <v>300</v>
      </c>
      <c r="F1430" s="26" t="s">
        <v>58</v>
      </c>
      <c r="G1430" s="42">
        <f t="shared" si="989"/>
        <v>90000</v>
      </c>
      <c r="H1430" s="42">
        <f>H1431</f>
        <v>90000</v>
      </c>
      <c r="I1430" s="42">
        <f>I1431</f>
        <v>90000</v>
      </c>
      <c r="J1430" s="16">
        <f>'БА в тыс. руб.'!G1430*1000</f>
        <v>90000</v>
      </c>
      <c r="K1430" s="169">
        <f t="shared" si="981"/>
        <v>0</v>
      </c>
      <c r="L1430" s="16">
        <f>'БА в тыс. руб.'!H1430*1000</f>
        <v>90000</v>
      </c>
      <c r="M1430" s="169">
        <f t="shared" si="982"/>
        <v>0</v>
      </c>
      <c r="N1430" s="16">
        <f>'БА в тыс. руб.'!I1430*1000</f>
        <v>90000</v>
      </c>
      <c r="O1430" s="169">
        <f t="shared" si="983"/>
        <v>0</v>
      </c>
      <c r="S1430" s="30"/>
      <c r="T1430" s="30"/>
      <c r="U1430" s="30"/>
    </row>
    <row r="1431" spans="1:21" s="3" customFormat="1" ht="25.5">
      <c r="A1431" s="11" t="s">
        <v>155</v>
      </c>
      <c r="B1431" s="25" t="s">
        <v>20</v>
      </c>
      <c r="C1431" s="26" t="s">
        <v>8</v>
      </c>
      <c r="D1431" s="26" t="s">
        <v>65</v>
      </c>
      <c r="E1431" s="43" t="s">
        <v>495</v>
      </c>
      <c r="F1431" s="26" t="s">
        <v>58</v>
      </c>
      <c r="G1431" s="42">
        <f t="shared" si="989"/>
        <v>90000</v>
      </c>
      <c r="H1431" s="42">
        <f>H1432</f>
        <v>90000</v>
      </c>
      <c r="I1431" s="42">
        <f>I1432</f>
        <v>90000</v>
      </c>
      <c r="J1431" s="16">
        <f>'БА в тыс. руб.'!G1431*1000</f>
        <v>90000</v>
      </c>
      <c r="K1431" s="169">
        <f t="shared" si="981"/>
        <v>0</v>
      </c>
      <c r="L1431" s="16">
        <f>'БА в тыс. руб.'!H1431*1000</f>
        <v>90000</v>
      </c>
      <c r="M1431" s="169">
        <f t="shared" si="982"/>
        <v>0</v>
      </c>
      <c r="N1431" s="16">
        <f>'БА в тыс. руб.'!I1431*1000</f>
        <v>90000</v>
      </c>
      <c r="O1431" s="169">
        <f t="shared" si="983"/>
        <v>0</v>
      </c>
      <c r="S1431" s="30"/>
      <c r="T1431" s="30"/>
      <c r="U1431" s="30"/>
    </row>
    <row r="1432" spans="1:21" s="3" customFormat="1" ht="38.25">
      <c r="A1432" s="11" t="s">
        <v>522</v>
      </c>
      <c r="B1432" s="25" t="s">
        <v>20</v>
      </c>
      <c r="C1432" s="26" t="s">
        <v>8</v>
      </c>
      <c r="D1432" s="26" t="s">
        <v>65</v>
      </c>
      <c r="E1432" s="43" t="s">
        <v>497</v>
      </c>
      <c r="F1432" s="26" t="s">
        <v>58</v>
      </c>
      <c r="G1432" s="42">
        <f t="shared" si="989"/>
        <v>90000</v>
      </c>
      <c r="H1432" s="42">
        <f t="shared" si="989"/>
        <v>90000</v>
      </c>
      <c r="I1432" s="42">
        <f t="shared" si="989"/>
        <v>90000</v>
      </c>
      <c r="J1432" s="16">
        <f>'БА в тыс. руб.'!G1432*1000</f>
        <v>90000</v>
      </c>
      <c r="K1432" s="169">
        <f t="shared" si="981"/>
        <v>0</v>
      </c>
      <c r="L1432" s="16">
        <f>'БА в тыс. руб.'!H1432*1000</f>
        <v>90000</v>
      </c>
      <c r="M1432" s="169">
        <f t="shared" si="982"/>
        <v>0</v>
      </c>
      <c r="N1432" s="16">
        <f>'БА в тыс. руб.'!I1432*1000</f>
        <v>90000</v>
      </c>
      <c r="O1432" s="169">
        <f t="shared" si="983"/>
        <v>0</v>
      </c>
      <c r="S1432" s="30"/>
      <c r="T1432" s="30"/>
      <c r="U1432" s="30"/>
    </row>
    <row r="1433" spans="1:21" s="3" customFormat="1">
      <c r="A1433" s="11" t="s">
        <v>188</v>
      </c>
      <c r="B1433" s="25" t="s">
        <v>20</v>
      </c>
      <c r="C1433" s="26" t="s">
        <v>8</v>
      </c>
      <c r="D1433" s="26" t="s">
        <v>65</v>
      </c>
      <c r="E1433" s="43" t="s">
        <v>523</v>
      </c>
      <c r="F1433" s="26" t="s">
        <v>58</v>
      </c>
      <c r="G1433" s="42">
        <f t="shared" si="989"/>
        <v>90000</v>
      </c>
      <c r="H1433" s="42">
        <f t="shared" si="989"/>
        <v>90000</v>
      </c>
      <c r="I1433" s="42">
        <f t="shared" si="989"/>
        <v>90000</v>
      </c>
      <c r="J1433" s="16">
        <f>'БА в тыс. руб.'!G1433*1000</f>
        <v>90000</v>
      </c>
      <c r="K1433" s="169">
        <f t="shared" si="981"/>
        <v>0</v>
      </c>
      <c r="L1433" s="16">
        <f>'БА в тыс. руб.'!H1433*1000</f>
        <v>90000</v>
      </c>
      <c r="M1433" s="169">
        <f t="shared" si="982"/>
        <v>0</v>
      </c>
      <c r="N1433" s="16">
        <f>'БА в тыс. руб.'!I1433*1000</f>
        <v>90000</v>
      </c>
      <c r="O1433" s="169">
        <f t="shared" si="983"/>
        <v>0</v>
      </c>
      <c r="S1433" s="30"/>
      <c r="T1433" s="30"/>
      <c r="U1433" s="30"/>
    </row>
    <row r="1434" spans="1:21" s="3" customFormat="1" ht="25.5">
      <c r="A1434" s="11" t="s">
        <v>108</v>
      </c>
      <c r="B1434" s="26" t="s">
        <v>20</v>
      </c>
      <c r="C1434" s="26" t="s">
        <v>8</v>
      </c>
      <c r="D1434" s="26" t="s">
        <v>65</v>
      </c>
      <c r="E1434" s="43" t="s">
        <v>523</v>
      </c>
      <c r="F1434" s="26" t="s">
        <v>116</v>
      </c>
      <c r="G1434" s="42">
        <f t="shared" si="989"/>
        <v>90000</v>
      </c>
      <c r="H1434" s="42">
        <f t="shared" si="989"/>
        <v>90000</v>
      </c>
      <c r="I1434" s="42">
        <f t="shared" si="989"/>
        <v>90000</v>
      </c>
      <c r="J1434" s="16">
        <f>'БА в тыс. руб.'!G1434*1000</f>
        <v>90000</v>
      </c>
      <c r="K1434" s="169">
        <f t="shared" si="981"/>
        <v>0</v>
      </c>
      <c r="L1434" s="16">
        <f>'БА в тыс. руб.'!H1434*1000</f>
        <v>90000</v>
      </c>
      <c r="M1434" s="169">
        <f t="shared" si="982"/>
        <v>0</v>
      </c>
      <c r="N1434" s="16">
        <f>'БА в тыс. руб.'!I1434*1000</f>
        <v>90000</v>
      </c>
      <c r="O1434" s="169">
        <f t="shared" si="983"/>
        <v>0</v>
      </c>
      <c r="S1434" s="30"/>
      <c r="T1434" s="30"/>
      <c r="U1434" s="30"/>
    </row>
    <row r="1435" spans="1:21" s="4" customFormat="1" ht="25.5">
      <c r="A1435" s="12" t="s">
        <v>973</v>
      </c>
      <c r="B1435" s="26" t="s">
        <v>20</v>
      </c>
      <c r="C1435" s="26" t="s">
        <v>8</v>
      </c>
      <c r="D1435" s="26" t="s">
        <v>65</v>
      </c>
      <c r="E1435" s="43" t="s">
        <v>523</v>
      </c>
      <c r="F1435" s="26" t="s">
        <v>1043</v>
      </c>
      <c r="G1435" s="27">
        <f t="shared" ref="G1435" si="990">J1435</f>
        <v>90000</v>
      </c>
      <c r="H1435" s="27">
        <f>L1435</f>
        <v>90000</v>
      </c>
      <c r="I1435" s="27">
        <f>N1435</f>
        <v>90000</v>
      </c>
      <c r="J1435" s="16">
        <f>'БА в тыс. руб.'!G1435*1000</f>
        <v>90000</v>
      </c>
      <c r="K1435" s="169">
        <f t="shared" si="981"/>
        <v>0</v>
      </c>
      <c r="L1435" s="16">
        <f>'БА в тыс. руб.'!H1435*1000</f>
        <v>90000</v>
      </c>
      <c r="M1435" s="169">
        <f t="shared" si="982"/>
        <v>0</v>
      </c>
      <c r="N1435" s="16">
        <f>'БА в тыс. руб.'!I1435*1000</f>
        <v>90000</v>
      </c>
      <c r="O1435" s="169">
        <f t="shared" si="983"/>
        <v>0</v>
      </c>
      <c r="S1435" s="83"/>
      <c r="T1435" s="83"/>
      <c r="U1435" s="83"/>
    </row>
    <row r="1436" spans="1:21" s="3" customFormat="1">
      <c r="A1436" s="21" t="s">
        <v>10</v>
      </c>
      <c r="B1436" s="22">
        <v>620</v>
      </c>
      <c r="C1436" s="23" t="s">
        <v>8</v>
      </c>
      <c r="D1436" s="23" t="s">
        <v>66</v>
      </c>
      <c r="E1436" s="23" t="s">
        <v>196</v>
      </c>
      <c r="F1436" s="23" t="s">
        <v>58</v>
      </c>
      <c r="G1436" s="24">
        <f t="shared" ref="G1436:I1441" si="991">G1437</f>
        <v>20000</v>
      </c>
      <c r="H1436" s="24">
        <f t="shared" si="991"/>
        <v>20000</v>
      </c>
      <c r="I1436" s="24">
        <f t="shared" si="991"/>
        <v>20000</v>
      </c>
      <c r="J1436" s="16">
        <f>'БА в тыс. руб.'!G1436*1000</f>
        <v>20000</v>
      </c>
      <c r="K1436" s="169">
        <f t="shared" si="981"/>
        <v>0</v>
      </c>
      <c r="L1436" s="16">
        <f>'БА в тыс. руб.'!H1436*1000</f>
        <v>20000</v>
      </c>
      <c r="M1436" s="169">
        <f t="shared" si="982"/>
        <v>0</v>
      </c>
      <c r="N1436" s="16">
        <f>'БА в тыс. руб.'!I1436*1000</f>
        <v>20000</v>
      </c>
      <c r="O1436" s="169">
        <f t="shared" si="983"/>
        <v>0</v>
      </c>
      <c r="S1436" s="30"/>
      <c r="T1436" s="30"/>
      <c r="U1436" s="30"/>
    </row>
    <row r="1437" spans="1:21" s="3" customFormat="1" ht="38.25">
      <c r="A1437" s="12" t="s">
        <v>722</v>
      </c>
      <c r="B1437" s="47">
        <v>620</v>
      </c>
      <c r="C1437" s="26" t="s">
        <v>8</v>
      </c>
      <c r="D1437" s="26" t="s">
        <v>66</v>
      </c>
      <c r="E1437" s="43" t="s">
        <v>300</v>
      </c>
      <c r="F1437" s="26" t="s">
        <v>58</v>
      </c>
      <c r="G1437" s="42">
        <f t="shared" si="991"/>
        <v>20000</v>
      </c>
      <c r="H1437" s="42">
        <f t="shared" si="991"/>
        <v>20000</v>
      </c>
      <c r="I1437" s="42">
        <f t="shared" si="991"/>
        <v>20000</v>
      </c>
      <c r="J1437" s="16">
        <f>'БА в тыс. руб.'!G1437*1000</f>
        <v>20000</v>
      </c>
      <c r="K1437" s="169">
        <f t="shared" si="981"/>
        <v>0</v>
      </c>
      <c r="L1437" s="16">
        <f>'БА в тыс. руб.'!H1437*1000</f>
        <v>20000</v>
      </c>
      <c r="M1437" s="169">
        <f t="shared" si="982"/>
        <v>0</v>
      </c>
      <c r="N1437" s="16">
        <f>'БА в тыс. руб.'!I1437*1000</f>
        <v>20000</v>
      </c>
      <c r="O1437" s="169">
        <f t="shared" si="983"/>
        <v>0</v>
      </c>
      <c r="S1437" s="30"/>
      <c r="T1437" s="30"/>
      <c r="U1437" s="30"/>
    </row>
    <row r="1438" spans="1:21" s="3" customFormat="1" ht="25.5">
      <c r="A1438" s="11" t="s">
        <v>155</v>
      </c>
      <c r="B1438" s="47">
        <v>620</v>
      </c>
      <c r="C1438" s="26" t="s">
        <v>8</v>
      </c>
      <c r="D1438" s="26" t="s">
        <v>66</v>
      </c>
      <c r="E1438" s="43" t="s">
        <v>495</v>
      </c>
      <c r="F1438" s="26" t="s">
        <v>58</v>
      </c>
      <c r="G1438" s="42">
        <f t="shared" si="991"/>
        <v>20000</v>
      </c>
      <c r="H1438" s="42">
        <f t="shared" si="991"/>
        <v>20000</v>
      </c>
      <c r="I1438" s="42">
        <f t="shared" si="991"/>
        <v>20000</v>
      </c>
      <c r="J1438" s="16">
        <f>'БА в тыс. руб.'!G1438*1000</f>
        <v>20000</v>
      </c>
      <c r="K1438" s="169">
        <f t="shared" si="981"/>
        <v>0</v>
      </c>
      <c r="L1438" s="16">
        <f>'БА в тыс. руб.'!H1438*1000</f>
        <v>20000</v>
      </c>
      <c r="M1438" s="169">
        <f t="shared" si="982"/>
        <v>0</v>
      </c>
      <c r="N1438" s="16">
        <f>'БА в тыс. руб.'!I1438*1000</f>
        <v>20000</v>
      </c>
      <c r="O1438" s="169">
        <f t="shared" si="983"/>
        <v>0</v>
      </c>
      <c r="S1438" s="30"/>
      <c r="T1438" s="30"/>
      <c r="U1438" s="30"/>
    </row>
    <row r="1439" spans="1:21" s="3" customFormat="1" ht="38.25">
      <c r="A1439" s="11" t="s">
        <v>669</v>
      </c>
      <c r="B1439" s="47">
        <v>620</v>
      </c>
      <c r="C1439" s="26" t="s">
        <v>8</v>
      </c>
      <c r="D1439" s="26" t="s">
        <v>66</v>
      </c>
      <c r="E1439" s="43" t="s">
        <v>525</v>
      </c>
      <c r="F1439" s="26" t="s">
        <v>58</v>
      </c>
      <c r="G1439" s="42">
        <f t="shared" si="991"/>
        <v>20000</v>
      </c>
      <c r="H1439" s="42">
        <f t="shared" si="991"/>
        <v>20000</v>
      </c>
      <c r="I1439" s="42">
        <f t="shared" si="991"/>
        <v>20000</v>
      </c>
      <c r="J1439" s="16">
        <f>'БА в тыс. руб.'!G1439*1000</f>
        <v>20000</v>
      </c>
      <c r="K1439" s="169">
        <f t="shared" si="981"/>
        <v>0</v>
      </c>
      <c r="L1439" s="16">
        <f>'БА в тыс. руб.'!H1439*1000</f>
        <v>20000</v>
      </c>
      <c r="M1439" s="169">
        <f t="shared" si="982"/>
        <v>0</v>
      </c>
      <c r="N1439" s="16">
        <f>'БА в тыс. руб.'!I1439*1000</f>
        <v>20000</v>
      </c>
      <c r="O1439" s="169">
        <f t="shared" si="983"/>
        <v>0</v>
      </c>
      <c r="S1439" s="30"/>
      <c r="T1439" s="30"/>
      <c r="U1439" s="30"/>
    </row>
    <row r="1440" spans="1:21" s="3" customFormat="1">
      <c r="A1440" s="11" t="s">
        <v>671</v>
      </c>
      <c r="B1440" s="47">
        <v>620</v>
      </c>
      <c r="C1440" s="26" t="s">
        <v>8</v>
      </c>
      <c r="D1440" s="26" t="s">
        <v>66</v>
      </c>
      <c r="E1440" s="43" t="s">
        <v>526</v>
      </c>
      <c r="F1440" s="26" t="s">
        <v>58</v>
      </c>
      <c r="G1440" s="42">
        <f>G1441</f>
        <v>20000</v>
      </c>
      <c r="H1440" s="42">
        <f t="shared" si="991"/>
        <v>20000</v>
      </c>
      <c r="I1440" s="42">
        <f t="shared" si="991"/>
        <v>20000</v>
      </c>
      <c r="J1440" s="16">
        <f>'БА в тыс. руб.'!G1440*1000</f>
        <v>20000</v>
      </c>
      <c r="K1440" s="169">
        <f t="shared" si="981"/>
        <v>0</v>
      </c>
      <c r="L1440" s="16">
        <f>'БА в тыс. руб.'!H1440*1000</f>
        <v>20000</v>
      </c>
      <c r="M1440" s="169">
        <f t="shared" si="982"/>
        <v>0</v>
      </c>
      <c r="N1440" s="16">
        <f>'БА в тыс. руб.'!I1440*1000</f>
        <v>20000</v>
      </c>
      <c r="O1440" s="169">
        <f t="shared" si="983"/>
        <v>0</v>
      </c>
      <c r="S1440" s="30"/>
      <c r="T1440" s="30"/>
      <c r="U1440" s="30"/>
    </row>
    <row r="1441" spans="1:21" s="3" customFormat="1" ht="25.5">
      <c r="A1441" s="11" t="s">
        <v>108</v>
      </c>
      <c r="B1441" s="26" t="s">
        <v>20</v>
      </c>
      <c r="C1441" s="26" t="s">
        <v>8</v>
      </c>
      <c r="D1441" s="26" t="s">
        <v>66</v>
      </c>
      <c r="E1441" s="43" t="s">
        <v>526</v>
      </c>
      <c r="F1441" s="26" t="s">
        <v>116</v>
      </c>
      <c r="G1441" s="42">
        <f>G1442</f>
        <v>20000</v>
      </c>
      <c r="H1441" s="42">
        <f t="shared" si="991"/>
        <v>20000</v>
      </c>
      <c r="I1441" s="42">
        <f t="shared" si="991"/>
        <v>20000</v>
      </c>
      <c r="J1441" s="16">
        <f>'БА в тыс. руб.'!G1441*1000</f>
        <v>20000</v>
      </c>
      <c r="K1441" s="169">
        <f t="shared" si="981"/>
        <v>0</v>
      </c>
      <c r="L1441" s="16">
        <f>'БА в тыс. руб.'!H1441*1000</f>
        <v>20000</v>
      </c>
      <c r="M1441" s="169">
        <f t="shared" si="982"/>
        <v>0</v>
      </c>
      <c r="N1441" s="16">
        <f>'БА в тыс. руб.'!I1441*1000</f>
        <v>20000</v>
      </c>
      <c r="O1441" s="169">
        <f t="shared" si="983"/>
        <v>0</v>
      </c>
      <c r="S1441" s="30"/>
      <c r="T1441" s="30"/>
      <c r="U1441" s="30"/>
    </row>
    <row r="1442" spans="1:21" s="4" customFormat="1" ht="25.5">
      <c r="A1442" s="12" t="s">
        <v>973</v>
      </c>
      <c r="B1442" s="26" t="s">
        <v>20</v>
      </c>
      <c r="C1442" s="26" t="s">
        <v>8</v>
      </c>
      <c r="D1442" s="26" t="s">
        <v>66</v>
      </c>
      <c r="E1442" s="43" t="s">
        <v>526</v>
      </c>
      <c r="F1442" s="26" t="s">
        <v>1043</v>
      </c>
      <c r="G1442" s="27">
        <f t="shared" ref="G1442" si="992">J1442</f>
        <v>20000</v>
      </c>
      <c r="H1442" s="27">
        <f>L1442</f>
        <v>20000</v>
      </c>
      <c r="I1442" s="27">
        <f>N1442</f>
        <v>20000</v>
      </c>
      <c r="J1442" s="16">
        <f>'БА в тыс. руб.'!G1442*1000</f>
        <v>20000</v>
      </c>
      <c r="K1442" s="169">
        <f t="shared" si="981"/>
        <v>0</v>
      </c>
      <c r="L1442" s="16">
        <f>'БА в тыс. руб.'!H1442*1000</f>
        <v>20000</v>
      </c>
      <c r="M1442" s="169">
        <f t="shared" si="982"/>
        <v>0</v>
      </c>
      <c r="N1442" s="16">
        <f>'БА в тыс. руб.'!I1442*1000</f>
        <v>20000</v>
      </c>
      <c r="O1442" s="169">
        <f t="shared" si="983"/>
        <v>0</v>
      </c>
      <c r="S1442" s="83"/>
      <c r="T1442" s="83"/>
      <c r="U1442" s="83"/>
    </row>
    <row r="1443" spans="1:21" s="3" customFormat="1">
      <c r="A1443" s="21" t="s">
        <v>1</v>
      </c>
      <c r="B1443" s="22" t="s">
        <v>20</v>
      </c>
      <c r="C1443" s="23" t="s">
        <v>8</v>
      </c>
      <c r="D1443" s="23" t="s">
        <v>53</v>
      </c>
      <c r="E1443" s="23" t="s">
        <v>196</v>
      </c>
      <c r="F1443" s="23" t="s">
        <v>58</v>
      </c>
      <c r="G1443" s="24">
        <f>G1444+G1475</f>
        <v>234942320</v>
      </c>
      <c r="H1443" s="24">
        <f>H1444+H1475</f>
        <v>212657170</v>
      </c>
      <c r="I1443" s="24">
        <f>I1444+I1475</f>
        <v>212657170</v>
      </c>
      <c r="J1443" s="16">
        <f>'БА в тыс. руб.'!G1443*1000</f>
        <v>234942320</v>
      </c>
      <c r="K1443" s="169">
        <f t="shared" si="981"/>
        <v>0</v>
      </c>
      <c r="L1443" s="16">
        <f>'БА в тыс. руб.'!H1443*1000</f>
        <v>212657169.99999997</v>
      </c>
      <c r="M1443" s="169">
        <f t="shared" si="982"/>
        <v>0</v>
      </c>
      <c r="N1443" s="16">
        <f>'БА в тыс. руб.'!I1443*1000</f>
        <v>212657169.99999997</v>
      </c>
      <c r="O1443" s="169">
        <f t="shared" si="983"/>
        <v>0</v>
      </c>
      <c r="S1443" s="30"/>
      <c r="T1443" s="30"/>
      <c r="U1443" s="30"/>
    </row>
    <row r="1444" spans="1:21" s="3" customFormat="1" ht="38.25">
      <c r="A1444" s="12" t="s">
        <v>722</v>
      </c>
      <c r="B1444" s="26" t="s">
        <v>20</v>
      </c>
      <c r="C1444" s="26" t="s">
        <v>8</v>
      </c>
      <c r="D1444" s="26" t="s">
        <v>53</v>
      </c>
      <c r="E1444" s="26" t="s">
        <v>300</v>
      </c>
      <c r="F1444" s="26" t="s">
        <v>58</v>
      </c>
      <c r="G1444" s="42">
        <f>G1445</f>
        <v>231180640</v>
      </c>
      <c r="H1444" s="42">
        <f>H1445</f>
        <v>209271650</v>
      </c>
      <c r="I1444" s="42">
        <f>I1445</f>
        <v>209271650</v>
      </c>
      <c r="J1444" s="16">
        <f>'БА в тыс. руб.'!G1444*1000</f>
        <v>231180640</v>
      </c>
      <c r="K1444" s="169">
        <f t="shared" si="981"/>
        <v>0</v>
      </c>
      <c r="L1444" s="16">
        <f>'БА в тыс. руб.'!H1444*1000</f>
        <v>209271650</v>
      </c>
      <c r="M1444" s="169">
        <f t="shared" si="982"/>
        <v>0</v>
      </c>
      <c r="N1444" s="16">
        <f>'БА в тыс. руб.'!I1444*1000</f>
        <v>209271650</v>
      </c>
      <c r="O1444" s="169">
        <f t="shared" si="983"/>
        <v>0</v>
      </c>
      <c r="S1444" s="30"/>
      <c r="T1444" s="30"/>
      <c r="U1444" s="30"/>
    </row>
    <row r="1445" spans="1:21" s="3" customFormat="1">
      <c r="A1445" s="11" t="s">
        <v>142</v>
      </c>
      <c r="B1445" s="26" t="s">
        <v>20</v>
      </c>
      <c r="C1445" s="26" t="s">
        <v>8</v>
      </c>
      <c r="D1445" s="26" t="s">
        <v>53</v>
      </c>
      <c r="E1445" s="26" t="s">
        <v>453</v>
      </c>
      <c r="F1445" s="26" t="s">
        <v>58</v>
      </c>
      <c r="G1445" s="42">
        <f>G1446+G1452+G1456</f>
        <v>231180640</v>
      </c>
      <c r="H1445" s="42">
        <f>H1446+H1452+H1456</f>
        <v>209271650</v>
      </c>
      <c r="I1445" s="42">
        <f>I1446+I1452+I1456</f>
        <v>209271650</v>
      </c>
      <c r="J1445" s="16">
        <f>'БА в тыс. руб.'!G1445*1000</f>
        <v>231180640</v>
      </c>
      <c r="K1445" s="169">
        <f t="shared" si="981"/>
        <v>0</v>
      </c>
      <c r="L1445" s="16">
        <f>'БА в тыс. руб.'!H1445*1000</f>
        <v>209271650</v>
      </c>
      <c r="M1445" s="169">
        <f t="shared" si="982"/>
        <v>0</v>
      </c>
      <c r="N1445" s="16">
        <f>'БА в тыс. руб.'!I1445*1000</f>
        <v>209271650</v>
      </c>
      <c r="O1445" s="169">
        <f t="shared" si="983"/>
        <v>0</v>
      </c>
      <c r="S1445" s="30"/>
      <c r="T1445" s="30"/>
      <c r="U1445" s="30"/>
    </row>
    <row r="1446" spans="1:21" s="3" customFormat="1" ht="25.5">
      <c r="A1446" s="11" t="s">
        <v>718</v>
      </c>
      <c r="B1446" s="26" t="s">
        <v>20</v>
      </c>
      <c r="C1446" s="26" t="s">
        <v>8</v>
      </c>
      <c r="D1446" s="26" t="s">
        <v>53</v>
      </c>
      <c r="E1446" s="26" t="s">
        <v>655</v>
      </c>
      <c r="F1446" s="26" t="s">
        <v>58</v>
      </c>
      <c r="G1446" s="42">
        <f>G1447</f>
        <v>24087120</v>
      </c>
      <c r="H1446" s="42">
        <f>H1447</f>
        <v>14107150</v>
      </c>
      <c r="I1446" s="42">
        <f>I1447</f>
        <v>14107150</v>
      </c>
      <c r="J1446" s="16">
        <f>'БА в тыс. руб.'!G1446*1000</f>
        <v>24087120.000000004</v>
      </c>
      <c r="K1446" s="169">
        <f t="shared" si="981"/>
        <v>0</v>
      </c>
      <c r="L1446" s="16">
        <f>'БА в тыс. руб.'!H1446*1000</f>
        <v>14107150</v>
      </c>
      <c r="M1446" s="169">
        <f t="shared" si="982"/>
        <v>0</v>
      </c>
      <c r="N1446" s="16">
        <f>'БА в тыс. руб.'!I1446*1000</f>
        <v>14107150</v>
      </c>
      <c r="O1446" s="169">
        <f t="shared" si="983"/>
        <v>0</v>
      </c>
      <c r="S1446" s="30"/>
      <c r="T1446" s="30"/>
      <c r="U1446" s="30"/>
    </row>
    <row r="1447" spans="1:21" s="3" customFormat="1" ht="38.25">
      <c r="A1447" s="11" t="s">
        <v>905</v>
      </c>
      <c r="B1447" s="26" t="s">
        <v>20</v>
      </c>
      <c r="C1447" s="26" t="s">
        <v>8</v>
      </c>
      <c r="D1447" s="26" t="s">
        <v>53</v>
      </c>
      <c r="E1447" s="26" t="s">
        <v>656</v>
      </c>
      <c r="F1447" s="26" t="s">
        <v>58</v>
      </c>
      <c r="G1447" s="42">
        <f>G1448+G1450</f>
        <v>24087120</v>
      </c>
      <c r="H1447" s="42">
        <f>H1448+H1450</f>
        <v>14107150</v>
      </c>
      <c r="I1447" s="42">
        <f>I1448+I1450</f>
        <v>14107150</v>
      </c>
      <c r="J1447" s="16">
        <f>'БА в тыс. руб.'!G1447*1000</f>
        <v>24087120.000000004</v>
      </c>
      <c r="K1447" s="169">
        <f t="shared" si="981"/>
        <v>0</v>
      </c>
      <c r="L1447" s="16">
        <f>'БА в тыс. руб.'!H1447*1000</f>
        <v>14107150</v>
      </c>
      <c r="M1447" s="169">
        <f t="shared" si="982"/>
        <v>0</v>
      </c>
      <c r="N1447" s="16">
        <f>'БА в тыс. руб.'!I1447*1000</f>
        <v>14107150</v>
      </c>
      <c r="O1447" s="169">
        <f t="shared" si="983"/>
        <v>0</v>
      </c>
      <c r="S1447" s="30"/>
      <c r="T1447" s="30"/>
      <c r="U1447" s="30"/>
    </row>
    <row r="1448" spans="1:21" s="3" customFormat="1" ht="25.5">
      <c r="A1448" s="11" t="s">
        <v>108</v>
      </c>
      <c r="B1448" s="26" t="s">
        <v>20</v>
      </c>
      <c r="C1448" s="26" t="s">
        <v>8</v>
      </c>
      <c r="D1448" s="26" t="s">
        <v>53</v>
      </c>
      <c r="E1448" s="26" t="s">
        <v>656</v>
      </c>
      <c r="F1448" s="26" t="s">
        <v>116</v>
      </c>
      <c r="G1448" s="42">
        <f>G1449</f>
        <v>14087120</v>
      </c>
      <c r="H1448" s="42">
        <f t="shared" ref="H1448:I1448" si="993">H1449</f>
        <v>14107150</v>
      </c>
      <c r="I1448" s="42">
        <f t="shared" si="993"/>
        <v>14107150</v>
      </c>
      <c r="J1448" s="16">
        <f>'БА в тыс. руб.'!G1448*1000</f>
        <v>14087120</v>
      </c>
      <c r="K1448" s="169">
        <f t="shared" si="981"/>
        <v>0</v>
      </c>
      <c r="L1448" s="16">
        <f>'БА в тыс. руб.'!H1448*1000</f>
        <v>14107150</v>
      </c>
      <c r="M1448" s="169">
        <f t="shared" si="982"/>
        <v>0</v>
      </c>
      <c r="N1448" s="16">
        <f>'БА в тыс. руб.'!I1448*1000</f>
        <v>14107150</v>
      </c>
      <c r="O1448" s="169">
        <f t="shared" si="983"/>
        <v>0</v>
      </c>
      <c r="S1448" s="30"/>
      <c r="T1448" s="30"/>
      <c r="U1448" s="30"/>
    </row>
    <row r="1449" spans="1:21" s="4" customFormat="1" ht="25.5">
      <c r="A1449" s="12" t="s">
        <v>973</v>
      </c>
      <c r="B1449" s="26" t="s">
        <v>20</v>
      </c>
      <c r="C1449" s="26" t="s">
        <v>8</v>
      </c>
      <c r="D1449" s="26" t="s">
        <v>53</v>
      </c>
      <c r="E1449" s="26" t="s">
        <v>656</v>
      </c>
      <c r="F1449" s="26" t="s">
        <v>1043</v>
      </c>
      <c r="G1449" s="27">
        <f t="shared" ref="G1449" si="994">J1449</f>
        <v>14087120</v>
      </c>
      <c r="H1449" s="27">
        <f>L1449</f>
        <v>14107150</v>
      </c>
      <c r="I1449" s="27">
        <f>N1449</f>
        <v>14107150</v>
      </c>
      <c r="J1449" s="16">
        <f>'БА в тыс. руб.'!G1449*1000</f>
        <v>14087120</v>
      </c>
      <c r="K1449" s="169">
        <f t="shared" si="981"/>
        <v>0</v>
      </c>
      <c r="L1449" s="16">
        <f>'БА в тыс. руб.'!H1449*1000</f>
        <v>14107150</v>
      </c>
      <c r="M1449" s="169">
        <f t="shared" si="982"/>
        <v>0</v>
      </c>
      <c r="N1449" s="16">
        <f>'БА в тыс. руб.'!I1449*1000</f>
        <v>14107150</v>
      </c>
      <c r="O1449" s="169">
        <f t="shared" si="983"/>
        <v>0</v>
      </c>
      <c r="S1449" s="83"/>
      <c r="T1449" s="83"/>
      <c r="U1449" s="83"/>
    </row>
    <row r="1450" spans="1:21" s="3" customFormat="1">
      <c r="A1450" s="11" t="s">
        <v>190</v>
      </c>
      <c r="B1450" s="26" t="s">
        <v>20</v>
      </c>
      <c r="C1450" s="26" t="s">
        <v>8</v>
      </c>
      <c r="D1450" s="26" t="s">
        <v>53</v>
      </c>
      <c r="E1450" s="26" t="s">
        <v>656</v>
      </c>
      <c r="F1450" s="26" t="s">
        <v>103</v>
      </c>
      <c r="G1450" s="42">
        <f>G1451</f>
        <v>10000000</v>
      </c>
      <c r="H1450" s="42">
        <f t="shared" ref="H1450:I1450" si="995">H1451</f>
        <v>0</v>
      </c>
      <c r="I1450" s="42">
        <f t="shared" si="995"/>
        <v>0</v>
      </c>
      <c r="J1450" s="16">
        <f>'БА в тыс. руб.'!G1450*1000</f>
        <v>10000000</v>
      </c>
      <c r="K1450" s="169">
        <f t="shared" si="981"/>
        <v>0</v>
      </c>
      <c r="L1450" s="16">
        <f>'БА в тыс. руб.'!H1450*1000</f>
        <v>0</v>
      </c>
      <c r="M1450" s="169">
        <f t="shared" si="982"/>
        <v>0</v>
      </c>
      <c r="N1450" s="16">
        <f>'БА в тыс. руб.'!I1450*1000</f>
        <v>0</v>
      </c>
      <c r="O1450" s="169">
        <f t="shared" si="983"/>
        <v>0</v>
      </c>
      <c r="S1450" s="30"/>
      <c r="T1450" s="30"/>
      <c r="U1450" s="30"/>
    </row>
    <row r="1451" spans="1:21" s="4" customFormat="1" ht="25.5">
      <c r="A1451" s="12" t="s">
        <v>987</v>
      </c>
      <c r="B1451" s="26" t="s">
        <v>20</v>
      </c>
      <c r="C1451" s="26" t="s">
        <v>8</v>
      </c>
      <c r="D1451" s="26" t="s">
        <v>53</v>
      </c>
      <c r="E1451" s="26" t="s">
        <v>656</v>
      </c>
      <c r="F1451" s="26" t="s">
        <v>1052</v>
      </c>
      <c r="G1451" s="27">
        <f t="shared" ref="G1451" si="996">J1451</f>
        <v>10000000</v>
      </c>
      <c r="H1451" s="27">
        <f>L1451</f>
        <v>0</v>
      </c>
      <c r="I1451" s="27">
        <f>N1451</f>
        <v>0</v>
      </c>
      <c r="J1451" s="16">
        <f>'БА в тыс. руб.'!G1451*1000</f>
        <v>10000000</v>
      </c>
      <c r="K1451" s="169">
        <f t="shared" si="981"/>
        <v>0</v>
      </c>
      <c r="L1451" s="16">
        <f>'БА в тыс. руб.'!H1451*1000</f>
        <v>0</v>
      </c>
      <c r="M1451" s="169">
        <f t="shared" si="982"/>
        <v>0</v>
      </c>
      <c r="N1451" s="16">
        <f>'БА в тыс. руб.'!I1451*1000</f>
        <v>0</v>
      </c>
      <c r="O1451" s="169">
        <f t="shared" si="983"/>
        <v>0</v>
      </c>
      <c r="S1451" s="83"/>
      <c r="T1451" s="83"/>
      <c r="U1451" s="83"/>
    </row>
    <row r="1452" spans="1:21" s="3" customFormat="1" ht="38.25">
      <c r="A1452" s="11" t="s">
        <v>657</v>
      </c>
      <c r="B1452" s="26" t="s">
        <v>20</v>
      </c>
      <c r="C1452" s="26" t="s">
        <v>8</v>
      </c>
      <c r="D1452" s="26" t="s">
        <v>53</v>
      </c>
      <c r="E1452" s="26" t="s">
        <v>658</v>
      </c>
      <c r="F1452" s="26" t="s">
        <v>58</v>
      </c>
      <c r="G1452" s="42">
        <f t="shared" ref="G1452:I1454" si="997">G1453</f>
        <v>2284560</v>
      </c>
      <c r="H1452" s="42">
        <f t="shared" si="997"/>
        <v>2284560</v>
      </c>
      <c r="I1452" s="42">
        <f t="shared" si="997"/>
        <v>2284560</v>
      </c>
      <c r="J1452" s="16">
        <f>'БА в тыс. руб.'!G1452*1000</f>
        <v>2284560</v>
      </c>
      <c r="K1452" s="169">
        <f t="shared" si="981"/>
        <v>0</v>
      </c>
      <c r="L1452" s="16">
        <f>'БА в тыс. руб.'!H1452*1000</f>
        <v>2284560</v>
      </c>
      <c r="M1452" s="169">
        <f t="shared" si="982"/>
        <v>0</v>
      </c>
      <c r="N1452" s="16">
        <f>'БА в тыс. руб.'!I1452*1000</f>
        <v>2284560</v>
      </c>
      <c r="O1452" s="169">
        <f t="shared" si="983"/>
        <v>0</v>
      </c>
      <c r="S1452" s="30"/>
      <c r="T1452" s="30"/>
      <c r="U1452" s="30"/>
    </row>
    <row r="1453" spans="1:21" s="3" customFormat="1" ht="25.5">
      <c r="A1453" s="11" t="s">
        <v>592</v>
      </c>
      <c r="B1453" s="26" t="s">
        <v>20</v>
      </c>
      <c r="C1453" s="26" t="s">
        <v>8</v>
      </c>
      <c r="D1453" s="26" t="s">
        <v>53</v>
      </c>
      <c r="E1453" s="26" t="s">
        <v>659</v>
      </c>
      <c r="F1453" s="26" t="s">
        <v>58</v>
      </c>
      <c r="G1453" s="42">
        <f t="shared" si="997"/>
        <v>2284560</v>
      </c>
      <c r="H1453" s="42">
        <f t="shared" si="997"/>
        <v>2284560</v>
      </c>
      <c r="I1453" s="42">
        <f t="shared" si="997"/>
        <v>2284560</v>
      </c>
      <c r="J1453" s="16">
        <f>'БА в тыс. руб.'!G1453*1000</f>
        <v>2284560</v>
      </c>
      <c r="K1453" s="169">
        <f t="shared" si="981"/>
        <v>0</v>
      </c>
      <c r="L1453" s="16">
        <f>'БА в тыс. руб.'!H1453*1000</f>
        <v>2284560</v>
      </c>
      <c r="M1453" s="169">
        <f t="shared" si="982"/>
        <v>0</v>
      </c>
      <c r="N1453" s="16">
        <f>'БА в тыс. руб.'!I1453*1000</f>
        <v>2284560</v>
      </c>
      <c r="O1453" s="169">
        <f t="shared" si="983"/>
        <v>0</v>
      </c>
      <c r="S1453" s="30"/>
      <c r="T1453" s="30"/>
      <c r="U1453" s="30"/>
    </row>
    <row r="1454" spans="1:21" s="3" customFormat="1" ht="25.5">
      <c r="A1454" s="11" t="s">
        <v>108</v>
      </c>
      <c r="B1454" s="26" t="s">
        <v>20</v>
      </c>
      <c r="C1454" s="26" t="s">
        <v>8</v>
      </c>
      <c r="D1454" s="26" t="s">
        <v>53</v>
      </c>
      <c r="E1454" s="26" t="s">
        <v>659</v>
      </c>
      <c r="F1454" s="26" t="s">
        <v>116</v>
      </c>
      <c r="G1454" s="42">
        <f>G1455</f>
        <v>2284560</v>
      </c>
      <c r="H1454" s="42">
        <f t="shared" si="997"/>
        <v>2284560</v>
      </c>
      <c r="I1454" s="42">
        <f t="shared" si="997"/>
        <v>2284560</v>
      </c>
      <c r="J1454" s="16">
        <f>'БА в тыс. руб.'!G1454*1000</f>
        <v>2284560</v>
      </c>
      <c r="K1454" s="169">
        <f t="shared" si="981"/>
        <v>0</v>
      </c>
      <c r="L1454" s="16">
        <f>'БА в тыс. руб.'!H1454*1000</f>
        <v>2284560</v>
      </c>
      <c r="M1454" s="169">
        <f t="shared" si="982"/>
        <v>0</v>
      </c>
      <c r="N1454" s="16">
        <f>'БА в тыс. руб.'!I1454*1000</f>
        <v>2284560</v>
      </c>
      <c r="O1454" s="169">
        <f t="shared" si="983"/>
        <v>0</v>
      </c>
      <c r="S1454" s="30"/>
      <c r="T1454" s="30"/>
      <c r="U1454" s="30"/>
    </row>
    <row r="1455" spans="1:21" s="4" customFormat="1" ht="25.5">
      <c r="A1455" s="12" t="s">
        <v>973</v>
      </c>
      <c r="B1455" s="26" t="s">
        <v>20</v>
      </c>
      <c r="C1455" s="26" t="s">
        <v>8</v>
      </c>
      <c r="D1455" s="26" t="s">
        <v>53</v>
      </c>
      <c r="E1455" s="26" t="s">
        <v>659</v>
      </c>
      <c r="F1455" s="26" t="s">
        <v>1043</v>
      </c>
      <c r="G1455" s="27">
        <f t="shared" ref="G1455" si="998">J1455</f>
        <v>2284560</v>
      </c>
      <c r="H1455" s="27">
        <f>L1455</f>
        <v>2284560</v>
      </c>
      <c r="I1455" s="27">
        <f>N1455</f>
        <v>2284560</v>
      </c>
      <c r="J1455" s="16">
        <f>'БА в тыс. руб.'!G1455*1000</f>
        <v>2284560</v>
      </c>
      <c r="K1455" s="169">
        <f t="shared" si="981"/>
        <v>0</v>
      </c>
      <c r="L1455" s="16">
        <f>'БА в тыс. руб.'!H1455*1000</f>
        <v>2284560</v>
      </c>
      <c r="M1455" s="169">
        <f t="shared" si="982"/>
        <v>0</v>
      </c>
      <c r="N1455" s="16">
        <f>'БА в тыс. руб.'!I1455*1000</f>
        <v>2284560</v>
      </c>
      <c r="O1455" s="169">
        <f t="shared" si="983"/>
        <v>0</v>
      </c>
      <c r="S1455" s="83"/>
      <c r="T1455" s="83"/>
      <c r="U1455" s="83"/>
    </row>
    <row r="1456" spans="1:21" s="3" customFormat="1" ht="25.5">
      <c r="A1456" s="11" t="s">
        <v>527</v>
      </c>
      <c r="B1456" s="26" t="s">
        <v>20</v>
      </c>
      <c r="C1456" s="26" t="s">
        <v>8</v>
      </c>
      <c r="D1456" s="26" t="s">
        <v>53</v>
      </c>
      <c r="E1456" s="26" t="s">
        <v>645</v>
      </c>
      <c r="F1456" s="26" t="s">
        <v>58</v>
      </c>
      <c r="G1456" s="42">
        <f>G1457+G1460+G1463+G1469+G1472</f>
        <v>204808960</v>
      </c>
      <c r="H1456" s="42">
        <f>H1457+H1460+H1463+H1469+H1472</f>
        <v>192879940</v>
      </c>
      <c r="I1456" s="42">
        <f>I1457+I1460+I1463+I1469+I1472</f>
        <v>192879940</v>
      </c>
      <c r="J1456" s="16">
        <f>'БА в тыс. руб.'!G1456*1000</f>
        <v>204808960.00000003</v>
      </c>
      <c r="K1456" s="169">
        <f t="shared" si="981"/>
        <v>0</v>
      </c>
      <c r="L1456" s="16">
        <f>'БА в тыс. руб.'!H1456*1000</f>
        <v>192879940</v>
      </c>
      <c r="M1456" s="169">
        <f t="shared" si="982"/>
        <v>0</v>
      </c>
      <c r="N1456" s="16">
        <f>'БА в тыс. руб.'!I1456*1000</f>
        <v>192879940</v>
      </c>
      <c r="O1456" s="169">
        <f t="shared" si="983"/>
        <v>0</v>
      </c>
      <c r="S1456" s="30"/>
      <c r="T1456" s="30"/>
      <c r="U1456" s="30"/>
    </row>
    <row r="1457" spans="1:21" s="3" customFormat="1" ht="25.5">
      <c r="A1457" s="11" t="s">
        <v>247</v>
      </c>
      <c r="B1457" s="26" t="s">
        <v>20</v>
      </c>
      <c r="C1457" s="26" t="s">
        <v>8</v>
      </c>
      <c r="D1457" s="26" t="s">
        <v>53</v>
      </c>
      <c r="E1457" s="26" t="s">
        <v>660</v>
      </c>
      <c r="F1457" s="26" t="s">
        <v>58</v>
      </c>
      <c r="G1457" s="42">
        <f>G1458</f>
        <v>10982050</v>
      </c>
      <c r="H1457" s="42">
        <f>H1458</f>
        <v>10984230</v>
      </c>
      <c r="I1457" s="42">
        <f>I1458</f>
        <v>10984230</v>
      </c>
      <c r="J1457" s="16">
        <f>'БА в тыс. руб.'!G1457*1000</f>
        <v>10982050</v>
      </c>
      <c r="K1457" s="169">
        <f t="shared" si="981"/>
        <v>0</v>
      </c>
      <c r="L1457" s="16">
        <f>'БА в тыс. руб.'!H1457*1000</f>
        <v>10984230</v>
      </c>
      <c r="M1457" s="169">
        <f t="shared" si="982"/>
        <v>0</v>
      </c>
      <c r="N1457" s="16">
        <f>'БА в тыс. руб.'!I1457*1000</f>
        <v>10984230</v>
      </c>
      <c r="O1457" s="169">
        <f t="shared" si="983"/>
        <v>0</v>
      </c>
      <c r="S1457" s="30"/>
      <c r="T1457" s="30"/>
      <c r="U1457" s="30"/>
    </row>
    <row r="1458" spans="1:21" s="3" customFormat="1">
      <c r="A1458" s="13" t="s">
        <v>92</v>
      </c>
      <c r="B1458" s="26" t="s">
        <v>20</v>
      </c>
      <c r="C1458" s="26" t="s">
        <v>8</v>
      </c>
      <c r="D1458" s="26" t="s">
        <v>53</v>
      </c>
      <c r="E1458" s="26" t="s">
        <v>660</v>
      </c>
      <c r="F1458" s="26" t="s">
        <v>138</v>
      </c>
      <c r="G1458" s="42">
        <f>G1459</f>
        <v>10982050</v>
      </c>
      <c r="H1458" s="42">
        <f t="shared" ref="H1458:I1458" si="999">H1459</f>
        <v>10984230</v>
      </c>
      <c r="I1458" s="42">
        <f t="shared" si="999"/>
        <v>10984230</v>
      </c>
      <c r="J1458" s="16">
        <f>'БА в тыс. руб.'!G1458*1000</f>
        <v>10982050</v>
      </c>
      <c r="K1458" s="169">
        <f t="shared" si="981"/>
        <v>0</v>
      </c>
      <c r="L1458" s="16">
        <f>'БА в тыс. руб.'!H1458*1000</f>
        <v>10984230</v>
      </c>
      <c r="M1458" s="169">
        <f t="shared" si="982"/>
        <v>0</v>
      </c>
      <c r="N1458" s="16">
        <f>'БА в тыс. руб.'!I1458*1000</f>
        <v>10984230</v>
      </c>
      <c r="O1458" s="169">
        <f t="shared" si="983"/>
        <v>0</v>
      </c>
      <c r="S1458" s="30"/>
      <c r="T1458" s="30"/>
      <c r="U1458" s="30"/>
    </row>
    <row r="1459" spans="1:21" s="4" customFormat="1" ht="38.25">
      <c r="A1459" s="12" t="s">
        <v>1015</v>
      </c>
      <c r="B1459" s="26" t="s">
        <v>20</v>
      </c>
      <c r="C1459" s="26" t="s">
        <v>8</v>
      </c>
      <c r="D1459" s="26" t="s">
        <v>53</v>
      </c>
      <c r="E1459" s="26" t="s">
        <v>660</v>
      </c>
      <c r="F1459" s="26" t="s">
        <v>67</v>
      </c>
      <c r="G1459" s="27">
        <f t="shared" ref="G1459" si="1000">J1459</f>
        <v>10982050</v>
      </c>
      <c r="H1459" s="27">
        <f>L1459</f>
        <v>10984230</v>
      </c>
      <c r="I1459" s="27">
        <f>N1459</f>
        <v>10984230</v>
      </c>
      <c r="J1459" s="16">
        <f>'БА в тыс. руб.'!G1459*1000</f>
        <v>10982050</v>
      </c>
      <c r="K1459" s="169">
        <f t="shared" si="981"/>
        <v>0</v>
      </c>
      <c r="L1459" s="16">
        <f>'БА в тыс. руб.'!H1459*1000</f>
        <v>10984230</v>
      </c>
      <c r="M1459" s="169">
        <f t="shared" si="982"/>
        <v>0</v>
      </c>
      <c r="N1459" s="16">
        <f>'БА в тыс. руб.'!I1459*1000</f>
        <v>10984230</v>
      </c>
      <c r="O1459" s="169">
        <f t="shared" si="983"/>
        <v>0</v>
      </c>
      <c r="S1459" s="83"/>
      <c r="T1459" s="83"/>
      <c r="U1459" s="83"/>
    </row>
    <row r="1460" spans="1:21" s="3" customFormat="1" ht="25.5">
      <c r="A1460" s="11" t="s">
        <v>897</v>
      </c>
      <c r="B1460" s="26" t="s">
        <v>20</v>
      </c>
      <c r="C1460" s="26" t="s">
        <v>8</v>
      </c>
      <c r="D1460" s="26" t="s">
        <v>53</v>
      </c>
      <c r="E1460" s="26" t="s">
        <v>661</v>
      </c>
      <c r="F1460" s="26" t="s">
        <v>58</v>
      </c>
      <c r="G1460" s="42">
        <f>G1461</f>
        <v>109804480</v>
      </c>
      <c r="H1460" s="42">
        <f t="shared" ref="H1460:I1461" si="1001">H1461</f>
        <v>105492620</v>
      </c>
      <c r="I1460" s="42">
        <f t="shared" si="1001"/>
        <v>105492620</v>
      </c>
      <c r="J1460" s="16">
        <f>'БА в тыс. руб.'!G1460*1000</f>
        <v>109804480</v>
      </c>
      <c r="K1460" s="169">
        <f t="shared" si="981"/>
        <v>0</v>
      </c>
      <c r="L1460" s="16">
        <f>'БА в тыс. руб.'!H1460*1000</f>
        <v>105492620</v>
      </c>
      <c r="M1460" s="169">
        <f t="shared" si="982"/>
        <v>0</v>
      </c>
      <c r="N1460" s="16">
        <f>'БА в тыс. руб.'!I1460*1000</f>
        <v>105492620</v>
      </c>
      <c r="O1460" s="169">
        <f t="shared" si="983"/>
        <v>0</v>
      </c>
      <c r="S1460" s="30"/>
      <c r="T1460" s="30"/>
      <c r="U1460" s="30"/>
    </row>
    <row r="1461" spans="1:21" s="3" customFormat="1" ht="25.5">
      <c r="A1461" s="11" t="s">
        <v>108</v>
      </c>
      <c r="B1461" s="26" t="s">
        <v>20</v>
      </c>
      <c r="C1461" s="26" t="s">
        <v>8</v>
      </c>
      <c r="D1461" s="26" t="s">
        <v>53</v>
      </c>
      <c r="E1461" s="26" t="s">
        <v>661</v>
      </c>
      <c r="F1461" s="26" t="s">
        <v>116</v>
      </c>
      <c r="G1461" s="42">
        <f>G1462</f>
        <v>109804480</v>
      </c>
      <c r="H1461" s="42">
        <f t="shared" si="1001"/>
        <v>105492620</v>
      </c>
      <c r="I1461" s="42">
        <f t="shared" si="1001"/>
        <v>105492620</v>
      </c>
      <c r="J1461" s="16">
        <f>'БА в тыс. руб.'!G1461*1000</f>
        <v>109804480</v>
      </c>
      <c r="K1461" s="169">
        <f t="shared" si="981"/>
        <v>0</v>
      </c>
      <c r="L1461" s="16">
        <f>'БА в тыс. руб.'!H1461*1000</f>
        <v>105492620</v>
      </c>
      <c r="M1461" s="169">
        <f t="shared" si="982"/>
        <v>0</v>
      </c>
      <c r="N1461" s="16">
        <f>'БА в тыс. руб.'!I1461*1000</f>
        <v>105492620</v>
      </c>
      <c r="O1461" s="169">
        <f t="shared" si="983"/>
        <v>0</v>
      </c>
      <c r="S1461" s="30"/>
      <c r="T1461" s="30"/>
      <c r="U1461" s="30"/>
    </row>
    <row r="1462" spans="1:21" s="3" customFormat="1" ht="25.5">
      <c r="A1462" s="12" t="s">
        <v>973</v>
      </c>
      <c r="B1462" s="26" t="s">
        <v>20</v>
      </c>
      <c r="C1462" s="26" t="s">
        <v>8</v>
      </c>
      <c r="D1462" s="26" t="s">
        <v>53</v>
      </c>
      <c r="E1462" s="26" t="s">
        <v>661</v>
      </c>
      <c r="F1462" s="26" t="s">
        <v>1043</v>
      </c>
      <c r="G1462" s="27">
        <f t="shared" ref="G1462" si="1002">J1462</f>
        <v>109804480</v>
      </c>
      <c r="H1462" s="27">
        <f>L1462</f>
        <v>105492620</v>
      </c>
      <c r="I1462" s="27">
        <f>N1462</f>
        <v>105492620</v>
      </c>
      <c r="J1462" s="16">
        <f>'БА в тыс. руб.'!G1462*1000</f>
        <v>109804480</v>
      </c>
      <c r="K1462" s="169"/>
      <c r="L1462" s="16">
        <f>'БА в тыс. руб.'!H1462*1000</f>
        <v>105492620</v>
      </c>
      <c r="M1462" s="169"/>
      <c r="N1462" s="16">
        <f>'БА в тыс. руб.'!I1462*1000</f>
        <v>105492620</v>
      </c>
      <c r="O1462" s="169"/>
      <c r="S1462" s="30"/>
      <c r="T1462" s="30"/>
      <c r="U1462" s="30"/>
    </row>
    <row r="1463" spans="1:21" s="3" customFormat="1" ht="25.5">
      <c r="A1463" s="11" t="s">
        <v>158</v>
      </c>
      <c r="B1463" s="26" t="s">
        <v>20</v>
      </c>
      <c r="C1463" s="26" t="s">
        <v>8</v>
      </c>
      <c r="D1463" s="26" t="s">
        <v>53</v>
      </c>
      <c r="E1463" s="26" t="s">
        <v>646</v>
      </c>
      <c r="F1463" s="26" t="s">
        <v>58</v>
      </c>
      <c r="G1463" s="42">
        <f>G1464+G1468+G1466</f>
        <v>21562670</v>
      </c>
      <c r="H1463" s="42">
        <f>H1464+H1468</f>
        <v>19405340</v>
      </c>
      <c r="I1463" s="42">
        <f>I1464+I1468</f>
        <v>19405340</v>
      </c>
      <c r="J1463" s="16">
        <f>'БА в тыс. руб.'!G1463*1000</f>
        <v>21562670</v>
      </c>
      <c r="K1463" s="169">
        <f t="shared" si="981"/>
        <v>0</v>
      </c>
      <c r="L1463" s="16">
        <f>'БА в тыс. руб.'!H1463*1000</f>
        <v>19405340</v>
      </c>
      <c r="M1463" s="169">
        <f t="shared" si="982"/>
        <v>0</v>
      </c>
      <c r="N1463" s="16">
        <f>'БА в тыс. руб.'!I1463*1000</f>
        <v>19405340</v>
      </c>
      <c r="O1463" s="169">
        <f t="shared" si="983"/>
        <v>0</v>
      </c>
      <c r="S1463" s="30"/>
      <c r="T1463" s="30"/>
      <c r="U1463" s="30"/>
    </row>
    <row r="1464" spans="1:21" s="3" customFormat="1" ht="25.5">
      <c r="A1464" s="11" t="s">
        <v>108</v>
      </c>
      <c r="B1464" s="26" t="s">
        <v>20</v>
      </c>
      <c r="C1464" s="26" t="s">
        <v>8</v>
      </c>
      <c r="D1464" s="26" t="s">
        <v>53</v>
      </c>
      <c r="E1464" s="26" t="s">
        <v>646</v>
      </c>
      <c r="F1464" s="26" t="s">
        <v>116</v>
      </c>
      <c r="G1464" s="42">
        <f>G1465</f>
        <v>19955030</v>
      </c>
      <c r="H1464" s="42">
        <f t="shared" ref="H1464:I1464" si="1003">H1465</f>
        <v>19255340</v>
      </c>
      <c r="I1464" s="42">
        <f t="shared" si="1003"/>
        <v>19255340</v>
      </c>
      <c r="J1464" s="16">
        <f>'БА в тыс. руб.'!G1464*1000</f>
        <v>19955030</v>
      </c>
      <c r="K1464" s="169">
        <f t="shared" si="981"/>
        <v>0</v>
      </c>
      <c r="L1464" s="16">
        <f>'БА в тыс. руб.'!H1464*1000</f>
        <v>19255340</v>
      </c>
      <c r="M1464" s="169">
        <f t="shared" si="982"/>
        <v>0</v>
      </c>
      <c r="N1464" s="16">
        <f>'БА в тыс. руб.'!I1464*1000</f>
        <v>19255340</v>
      </c>
      <c r="O1464" s="169">
        <f t="shared" si="983"/>
        <v>0</v>
      </c>
      <c r="S1464" s="30"/>
      <c r="T1464" s="30"/>
      <c r="U1464" s="30"/>
    </row>
    <row r="1465" spans="1:21" s="4" customFormat="1" ht="25.5">
      <c r="A1465" s="12" t="s">
        <v>973</v>
      </c>
      <c r="B1465" s="26" t="s">
        <v>20</v>
      </c>
      <c r="C1465" s="26" t="s">
        <v>8</v>
      </c>
      <c r="D1465" s="26" t="s">
        <v>53</v>
      </c>
      <c r="E1465" s="26" t="s">
        <v>646</v>
      </c>
      <c r="F1465" s="26" t="s">
        <v>1043</v>
      </c>
      <c r="G1465" s="27">
        <f t="shared" ref="G1465" si="1004">J1465</f>
        <v>19955030</v>
      </c>
      <c r="H1465" s="27">
        <f>L1465</f>
        <v>19255340</v>
      </c>
      <c r="I1465" s="27">
        <f>N1465</f>
        <v>19255340</v>
      </c>
      <c r="J1465" s="16">
        <f>'БА в тыс. руб.'!G1465*1000</f>
        <v>19955030</v>
      </c>
      <c r="K1465" s="169">
        <f t="shared" si="981"/>
        <v>0</v>
      </c>
      <c r="L1465" s="16">
        <f>'БА в тыс. руб.'!H1465*1000</f>
        <v>19255340</v>
      </c>
      <c r="M1465" s="169">
        <f t="shared" si="982"/>
        <v>0</v>
      </c>
      <c r="N1465" s="16">
        <f>'БА в тыс. руб.'!I1465*1000</f>
        <v>19255340</v>
      </c>
      <c r="O1465" s="169">
        <f t="shared" si="983"/>
        <v>0</v>
      </c>
      <c r="S1465" s="83"/>
      <c r="T1465" s="83"/>
      <c r="U1465" s="83"/>
    </row>
    <row r="1466" spans="1:21" s="3" customFormat="1">
      <c r="A1466" s="76" t="s">
        <v>21</v>
      </c>
      <c r="B1466" s="26" t="s">
        <v>20</v>
      </c>
      <c r="C1466" s="26" t="s">
        <v>8</v>
      </c>
      <c r="D1466" s="26" t="s">
        <v>53</v>
      </c>
      <c r="E1466" s="26" t="s">
        <v>646</v>
      </c>
      <c r="F1466" s="26" t="s">
        <v>103</v>
      </c>
      <c r="G1466" s="42">
        <f>G1467</f>
        <v>1607640</v>
      </c>
      <c r="H1466" s="42">
        <f t="shared" ref="H1466:I1466" si="1005">H1467</f>
        <v>0</v>
      </c>
      <c r="I1466" s="42">
        <f t="shared" si="1005"/>
        <v>0</v>
      </c>
      <c r="J1466" s="16">
        <f>'БА в тыс. руб.'!G1466*1000</f>
        <v>1607640</v>
      </c>
      <c r="K1466" s="169">
        <f t="shared" si="981"/>
        <v>0</v>
      </c>
      <c r="L1466" s="16">
        <f>'БА в тыс. руб.'!H1466*1000</f>
        <v>0</v>
      </c>
      <c r="M1466" s="169">
        <f t="shared" si="982"/>
        <v>0</v>
      </c>
      <c r="N1466" s="16">
        <f>'БА в тыс. руб.'!I1466*1000</f>
        <v>0</v>
      </c>
      <c r="O1466" s="169">
        <f t="shared" si="983"/>
        <v>0</v>
      </c>
      <c r="S1466" s="30"/>
      <c r="T1466" s="30"/>
      <c r="U1466" s="30"/>
    </row>
    <row r="1467" spans="1:21" s="4" customFormat="1" ht="25.5">
      <c r="A1467" s="12" t="s">
        <v>987</v>
      </c>
      <c r="B1467" s="26" t="s">
        <v>20</v>
      </c>
      <c r="C1467" s="26" t="s">
        <v>8</v>
      </c>
      <c r="D1467" s="26" t="s">
        <v>53</v>
      </c>
      <c r="E1467" s="26" t="s">
        <v>646</v>
      </c>
      <c r="F1467" s="26" t="s">
        <v>1052</v>
      </c>
      <c r="G1467" s="27">
        <f t="shared" ref="G1467:G1468" si="1006">J1467</f>
        <v>1607640</v>
      </c>
      <c r="H1467" s="27">
        <f t="shared" ref="H1467:H1468" si="1007">L1467</f>
        <v>0</v>
      </c>
      <c r="I1467" s="27">
        <f t="shared" ref="I1467:I1468" si="1008">N1467</f>
        <v>0</v>
      </c>
      <c r="J1467" s="16">
        <f>'БА в тыс. руб.'!G1467*1000</f>
        <v>1607640</v>
      </c>
      <c r="K1467" s="169">
        <f t="shared" si="981"/>
        <v>0</v>
      </c>
      <c r="L1467" s="16">
        <f>'БА в тыс. руб.'!H1467*1000</f>
        <v>0</v>
      </c>
      <c r="M1467" s="169">
        <f t="shared" si="982"/>
        <v>0</v>
      </c>
      <c r="N1467" s="16">
        <f>'БА в тыс. руб.'!I1467*1000</f>
        <v>0</v>
      </c>
      <c r="O1467" s="169">
        <f t="shared" si="983"/>
        <v>0</v>
      </c>
      <c r="S1467" s="83"/>
      <c r="T1467" s="83"/>
      <c r="U1467" s="83"/>
    </row>
    <row r="1468" spans="1:21" s="3" customFormat="1">
      <c r="A1468" s="11" t="s">
        <v>99</v>
      </c>
      <c r="B1468" s="26" t="s">
        <v>20</v>
      </c>
      <c r="C1468" s="26" t="s">
        <v>8</v>
      </c>
      <c r="D1468" s="26" t="s">
        <v>53</v>
      </c>
      <c r="E1468" s="26" t="s">
        <v>646</v>
      </c>
      <c r="F1468" s="26" t="s">
        <v>105</v>
      </c>
      <c r="G1468" s="27">
        <f t="shared" si="1006"/>
        <v>0</v>
      </c>
      <c r="H1468" s="27">
        <f t="shared" si="1007"/>
        <v>150000</v>
      </c>
      <c r="I1468" s="27">
        <f t="shared" si="1008"/>
        <v>150000</v>
      </c>
      <c r="J1468" s="16">
        <f>'БА в тыс. руб.'!G1468*1000</f>
        <v>0</v>
      </c>
      <c r="K1468" s="169">
        <f t="shared" si="981"/>
        <v>0</v>
      </c>
      <c r="L1468" s="16">
        <f>'БА в тыс. руб.'!H1468*1000</f>
        <v>150000</v>
      </c>
      <c r="M1468" s="169">
        <f t="shared" si="982"/>
        <v>0</v>
      </c>
      <c r="N1468" s="16">
        <f>'БА в тыс. руб.'!I1468*1000</f>
        <v>150000</v>
      </c>
      <c r="O1468" s="169">
        <f t="shared" si="983"/>
        <v>0</v>
      </c>
      <c r="S1468" s="30"/>
      <c r="T1468" s="30"/>
      <c r="U1468" s="30"/>
    </row>
    <row r="1469" spans="1:21" s="3" customFormat="1" ht="25.5">
      <c r="A1469" s="31" t="s">
        <v>159</v>
      </c>
      <c r="B1469" s="26" t="s">
        <v>20</v>
      </c>
      <c r="C1469" s="26" t="s">
        <v>8</v>
      </c>
      <c r="D1469" s="26" t="s">
        <v>53</v>
      </c>
      <c r="E1469" s="26" t="s">
        <v>647</v>
      </c>
      <c r="F1469" s="26" t="s">
        <v>58</v>
      </c>
      <c r="G1469" s="42">
        <f>G1470</f>
        <v>25550000</v>
      </c>
      <c r="H1469" s="42">
        <f t="shared" ref="H1469:I1470" si="1009">H1470</f>
        <v>42159690</v>
      </c>
      <c r="I1469" s="42">
        <f t="shared" si="1009"/>
        <v>42159690</v>
      </c>
      <c r="J1469" s="16">
        <f>'БА в тыс. руб.'!G1469*1000</f>
        <v>25550000</v>
      </c>
      <c r="K1469" s="169">
        <f t="shared" si="981"/>
        <v>0</v>
      </c>
      <c r="L1469" s="16">
        <f>'БА в тыс. руб.'!H1469*1000</f>
        <v>42159690</v>
      </c>
      <c r="M1469" s="169">
        <f t="shared" si="982"/>
        <v>0</v>
      </c>
      <c r="N1469" s="16">
        <f>'БА в тыс. руб.'!I1469*1000</f>
        <v>42159690</v>
      </c>
      <c r="O1469" s="169">
        <f t="shared" si="983"/>
        <v>0</v>
      </c>
      <c r="S1469" s="30"/>
      <c r="T1469" s="30"/>
      <c r="U1469" s="30"/>
    </row>
    <row r="1470" spans="1:21" s="3" customFormat="1" ht="25.5">
      <c r="A1470" s="11" t="s">
        <v>108</v>
      </c>
      <c r="B1470" s="26" t="s">
        <v>20</v>
      </c>
      <c r="C1470" s="26" t="s">
        <v>8</v>
      </c>
      <c r="D1470" s="26" t="s">
        <v>53</v>
      </c>
      <c r="E1470" s="26" t="s">
        <v>647</v>
      </c>
      <c r="F1470" s="26" t="s">
        <v>116</v>
      </c>
      <c r="G1470" s="42">
        <f>G1471</f>
        <v>25550000</v>
      </c>
      <c r="H1470" s="42">
        <f t="shared" si="1009"/>
        <v>42159690</v>
      </c>
      <c r="I1470" s="42">
        <f t="shared" si="1009"/>
        <v>42159690</v>
      </c>
      <c r="J1470" s="16">
        <f>'БА в тыс. руб.'!G1470*1000</f>
        <v>25550000</v>
      </c>
      <c r="K1470" s="169">
        <f t="shared" si="981"/>
        <v>0</v>
      </c>
      <c r="L1470" s="16">
        <f>'БА в тыс. руб.'!H1470*1000</f>
        <v>42159690</v>
      </c>
      <c r="M1470" s="169">
        <f t="shared" si="982"/>
        <v>0</v>
      </c>
      <c r="N1470" s="16">
        <f>'БА в тыс. руб.'!I1470*1000</f>
        <v>42159690</v>
      </c>
      <c r="O1470" s="169">
        <f t="shared" si="983"/>
        <v>0</v>
      </c>
      <c r="S1470" s="30"/>
      <c r="T1470" s="30"/>
      <c r="U1470" s="30"/>
    </row>
    <row r="1471" spans="1:21" s="4" customFormat="1" ht="25.5">
      <c r="A1471" s="12" t="s">
        <v>973</v>
      </c>
      <c r="B1471" s="26" t="s">
        <v>20</v>
      </c>
      <c r="C1471" s="26" t="s">
        <v>8</v>
      </c>
      <c r="D1471" s="26" t="s">
        <v>53</v>
      </c>
      <c r="E1471" s="26" t="s">
        <v>647</v>
      </c>
      <c r="F1471" s="26" t="s">
        <v>1043</v>
      </c>
      <c r="G1471" s="27">
        <f t="shared" ref="G1471" si="1010">J1471</f>
        <v>25550000</v>
      </c>
      <c r="H1471" s="27">
        <f>L1471</f>
        <v>42159690</v>
      </c>
      <c r="I1471" s="27">
        <f>N1471</f>
        <v>42159690</v>
      </c>
      <c r="J1471" s="16">
        <f>'БА в тыс. руб.'!G1471*1000</f>
        <v>25550000</v>
      </c>
      <c r="K1471" s="169">
        <f t="shared" si="981"/>
        <v>0</v>
      </c>
      <c r="L1471" s="16">
        <f>'БА в тыс. руб.'!H1471*1000</f>
        <v>42159690</v>
      </c>
      <c r="M1471" s="169">
        <f t="shared" si="982"/>
        <v>0</v>
      </c>
      <c r="N1471" s="16">
        <f>'БА в тыс. руб.'!I1471*1000</f>
        <v>42159690</v>
      </c>
      <c r="O1471" s="169">
        <f t="shared" si="983"/>
        <v>0</v>
      </c>
      <c r="S1471" s="83"/>
      <c r="T1471" s="83"/>
      <c r="U1471" s="83"/>
    </row>
    <row r="1472" spans="1:21" s="3" customFormat="1" ht="63.75">
      <c r="A1472" s="11" t="s">
        <v>591</v>
      </c>
      <c r="B1472" s="26" t="s">
        <v>20</v>
      </c>
      <c r="C1472" s="26" t="s">
        <v>8</v>
      </c>
      <c r="D1472" s="26" t="s">
        <v>53</v>
      </c>
      <c r="E1472" s="26" t="s">
        <v>662</v>
      </c>
      <c r="F1472" s="26" t="s">
        <v>58</v>
      </c>
      <c r="G1472" s="42">
        <f>G1473</f>
        <v>36909760</v>
      </c>
      <c r="H1472" s="42">
        <f>H1473</f>
        <v>14838060</v>
      </c>
      <c r="I1472" s="42">
        <f>I1473</f>
        <v>14838060</v>
      </c>
      <c r="J1472" s="16">
        <f>'БА в тыс. руб.'!G1472*1000</f>
        <v>36909760</v>
      </c>
      <c r="K1472" s="169">
        <f t="shared" si="981"/>
        <v>0</v>
      </c>
      <c r="L1472" s="16">
        <f>'БА в тыс. руб.'!H1472*1000</f>
        <v>14838060</v>
      </c>
      <c r="M1472" s="169">
        <f t="shared" si="982"/>
        <v>0</v>
      </c>
      <c r="N1472" s="16">
        <f>'БА в тыс. руб.'!I1472*1000</f>
        <v>14838060</v>
      </c>
      <c r="O1472" s="169">
        <f t="shared" si="983"/>
        <v>0</v>
      </c>
      <c r="S1472" s="30"/>
      <c r="T1472" s="30"/>
      <c r="U1472" s="30"/>
    </row>
    <row r="1473" spans="1:21" s="3" customFormat="1" ht="25.5">
      <c r="A1473" s="11" t="s">
        <v>108</v>
      </c>
      <c r="B1473" s="26" t="s">
        <v>20</v>
      </c>
      <c r="C1473" s="26" t="s">
        <v>8</v>
      </c>
      <c r="D1473" s="26" t="s">
        <v>53</v>
      </c>
      <c r="E1473" s="26" t="s">
        <v>662</v>
      </c>
      <c r="F1473" s="26" t="s">
        <v>116</v>
      </c>
      <c r="G1473" s="42">
        <f>G1474</f>
        <v>36909760</v>
      </c>
      <c r="H1473" s="42">
        <f t="shared" ref="H1473:I1473" si="1011">H1474</f>
        <v>14838060</v>
      </c>
      <c r="I1473" s="42">
        <f t="shared" si="1011"/>
        <v>14838060</v>
      </c>
      <c r="J1473" s="16">
        <f>'БА в тыс. руб.'!G1473*1000</f>
        <v>36909760</v>
      </c>
      <c r="K1473" s="169">
        <f t="shared" si="981"/>
        <v>0</v>
      </c>
      <c r="L1473" s="16">
        <f>'БА в тыс. руб.'!H1473*1000</f>
        <v>14838060</v>
      </c>
      <c r="M1473" s="169">
        <f t="shared" si="982"/>
        <v>0</v>
      </c>
      <c r="N1473" s="16">
        <f>'БА в тыс. руб.'!I1473*1000</f>
        <v>14838060</v>
      </c>
      <c r="O1473" s="169">
        <f t="shared" si="983"/>
        <v>0</v>
      </c>
      <c r="S1473" s="30"/>
      <c r="T1473" s="30"/>
      <c r="U1473" s="30"/>
    </row>
    <row r="1474" spans="1:21" s="4" customFormat="1" ht="25.5">
      <c r="A1474" s="12" t="s">
        <v>973</v>
      </c>
      <c r="B1474" s="26" t="s">
        <v>20</v>
      </c>
      <c r="C1474" s="26" t="s">
        <v>8</v>
      </c>
      <c r="D1474" s="26" t="s">
        <v>53</v>
      </c>
      <c r="E1474" s="26" t="s">
        <v>662</v>
      </c>
      <c r="F1474" s="26" t="s">
        <v>1043</v>
      </c>
      <c r="G1474" s="27">
        <f t="shared" ref="G1474" si="1012">J1474</f>
        <v>36909760</v>
      </c>
      <c r="H1474" s="27">
        <f>L1474</f>
        <v>14838060</v>
      </c>
      <c r="I1474" s="27">
        <f>N1474</f>
        <v>14838060</v>
      </c>
      <c r="J1474" s="16">
        <f>'БА в тыс. руб.'!G1474*1000</f>
        <v>36909760</v>
      </c>
      <c r="K1474" s="169">
        <f t="shared" si="981"/>
        <v>0</v>
      </c>
      <c r="L1474" s="16">
        <f>'БА в тыс. руб.'!H1474*1000</f>
        <v>14838060</v>
      </c>
      <c r="M1474" s="169">
        <f t="shared" si="982"/>
        <v>0</v>
      </c>
      <c r="N1474" s="16">
        <f>'БА в тыс. руб.'!I1474*1000</f>
        <v>14838060</v>
      </c>
      <c r="O1474" s="169">
        <f t="shared" si="983"/>
        <v>0</v>
      </c>
      <c r="S1474" s="83"/>
      <c r="T1474" s="83"/>
      <c r="U1474" s="83"/>
    </row>
    <row r="1475" spans="1:21" s="3" customFormat="1" ht="25.5">
      <c r="A1475" s="11" t="s">
        <v>757</v>
      </c>
      <c r="B1475" s="36" t="s">
        <v>20</v>
      </c>
      <c r="C1475" s="36" t="s">
        <v>8</v>
      </c>
      <c r="D1475" s="36" t="s">
        <v>53</v>
      </c>
      <c r="E1475" s="36" t="s">
        <v>342</v>
      </c>
      <c r="F1475" s="36" t="s">
        <v>58</v>
      </c>
      <c r="G1475" s="44">
        <f t="shared" ref="G1475:I1479" si="1013">G1476</f>
        <v>3761680</v>
      </c>
      <c r="H1475" s="44">
        <f t="shared" si="1013"/>
        <v>3385520</v>
      </c>
      <c r="I1475" s="44">
        <f t="shared" si="1013"/>
        <v>3385520</v>
      </c>
      <c r="J1475" s="16">
        <f>'БА в тыс. руб.'!G1475*1000</f>
        <v>3761680</v>
      </c>
      <c r="K1475" s="169">
        <f t="shared" si="981"/>
        <v>0</v>
      </c>
      <c r="L1475" s="16">
        <f>'БА в тыс. руб.'!H1475*1000</f>
        <v>3385520</v>
      </c>
      <c r="M1475" s="169">
        <f t="shared" si="982"/>
        <v>0</v>
      </c>
      <c r="N1475" s="16">
        <f>'БА в тыс. руб.'!I1475*1000</f>
        <v>3385520</v>
      </c>
      <c r="O1475" s="169">
        <f t="shared" si="983"/>
        <v>0</v>
      </c>
      <c r="S1475" s="30"/>
      <c r="T1475" s="30"/>
      <c r="U1475" s="30"/>
    </row>
    <row r="1476" spans="1:21" s="3" customFormat="1" ht="38.25">
      <c r="A1476" s="34" t="s">
        <v>758</v>
      </c>
      <c r="B1476" s="36" t="s">
        <v>20</v>
      </c>
      <c r="C1476" s="36" t="s">
        <v>8</v>
      </c>
      <c r="D1476" s="36" t="s">
        <v>53</v>
      </c>
      <c r="E1476" s="36" t="s">
        <v>343</v>
      </c>
      <c r="F1476" s="36" t="s">
        <v>58</v>
      </c>
      <c r="G1476" s="44">
        <f t="shared" si="1013"/>
        <v>3761680</v>
      </c>
      <c r="H1476" s="44">
        <f t="shared" si="1013"/>
        <v>3385520</v>
      </c>
      <c r="I1476" s="44">
        <f t="shared" si="1013"/>
        <v>3385520</v>
      </c>
      <c r="J1476" s="16">
        <f>'БА в тыс. руб.'!G1476*1000</f>
        <v>3761680</v>
      </c>
      <c r="K1476" s="169">
        <f t="shared" si="981"/>
        <v>0</v>
      </c>
      <c r="L1476" s="16">
        <f>'БА в тыс. руб.'!H1476*1000</f>
        <v>3385520</v>
      </c>
      <c r="M1476" s="169">
        <f t="shared" si="982"/>
        <v>0</v>
      </c>
      <c r="N1476" s="16">
        <f>'БА в тыс. руб.'!I1476*1000</f>
        <v>3385520</v>
      </c>
      <c r="O1476" s="169">
        <f t="shared" si="983"/>
        <v>0</v>
      </c>
      <c r="S1476" s="30"/>
      <c r="T1476" s="30"/>
      <c r="U1476" s="30"/>
    </row>
    <row r="1477" spans="1:21" s="3" customFormat="1" ht="25.5">
      <c r="A1477" s="34" t="s">
        <v>528</v>
      </c>
      <c r="B1477" s="36" t="s">
        <v>20</v>
      </c>
      <c r="C1477" s="36" t="s">
        <v>8</v>
      </c>
      <c r="D1477" s="36" t="s">
        <v>53</v>
      </c>
      <c r="E1477" s="36" t="s">
        <v>529</v>
      </c>
      <c r="F1477" s="36" t="s">
        <v>58</v>
      </c>
      <c r="G1477" s="44">
        <f t="shared" si="1013"/>
        <v>3761680</v>
      </c>
      <c r="H1477" s="44">
        <f t="shared" si="1013"/>
        <v>3385520</v>
      </c>
      <c r="I1477" s="44">
        <f t="shared" si="1013"/>
        <v>3385520</v>
      </c>
      <c r="J1477" s="16">
        <f>'БА в тыс. руб.'!G1477*1000</f>
        <v>3761680</v>
      </c>
      <c r="K1477" s="169">
        <f t="shared" si="981"/>
        <v>0</v>
      </c>
      <c r="L1477" s="16">
        <f>'БА в тыс. руб.'!H1477*1000</f>
        <v>3385520</v>
      </c>
      <c r="M1477" s="169">
        <f t="shared" si="982"/>
        <v>0</v>
      </c>
      <c r="N1477" s="16">
        <f>'БА в тыс. руб.'!I1477*1000</f>
        <v>3385520</v>
      </c>
      <c r="O1477" s="169">
        <f t="shared" si="983"/>
        <v>0</v>
      </c>
      <c r="S1477" s="30"/>
      <c r="T1477" s="30"/>
      <c r="U1477" s="30"/>
    </row>
    <row r="1478" spans="1:21" s="3" customFormat="1" ht="25.5">
      <c r="A1478" s="12" t="s">
        <v>174</v>
      </c>
      <c r="B1478" s="26" t="s">
        <v>20</v>
      </c>
      <c r="C1478" s="26" t="s">
        <v>8</v>
      </c>
      <c r="D1478" s="26" t="s">
        <v>53</v>
      </c>
      <c r="E1478" s="26" t="s">
        <v>530</v>
      </c>
      <c r="F1478" s="26" t="s">
        <v>58</v>
      </c>
      <c r="G1478" s="45">
        <f t="shared" si="1013"/>
        <v>3761680</v>
      </c>
      <c r="H1478" s="45">
        <f t="shared" si="1013"/>
        <v>3385520</v>
      </c>
      <c r="I1478" s="45">
        <f t="shared" si="1013"/>
        <v>3385520</v>
      </c>
      <c r="J1478" s="16">
        <f>'БА в тыс. руб.'!G1478*1000</f>
        <v>3761680</v>
      </c>
      <c r="K1478" s="169">
        <f t="shared" si="981"/>
        <v>0</v>
      </c>
      <c r="L1478" s="16">
        <f>'БА в тыс. руб.'!H1478*1000</f>
        <v>3385520</v>
      </c>
      <c r="M1478" s="169">
        <f t="shared" si="982"/>
        <v>0</v>
      </c>
      <c r="N1478" s="16">
        <f>'БА в тыс. руб.'!I1478*1000</f>
        <v>3385520</v>
      </c>
      <c r="O1478" s="169">
        <f t="shared" si="983"/>
        <v>0</v>
      </c>
      <c r="S1478" s="30"/>
      <c r="T1478" s="30"/>
      <c r="U1478" s="30"/>
    </row>
    <row r="1479" spans="1:21" s="3" customFormat="1" ht="25.5">
      <c r="A1479" s="11" t="s">
        <v>108</v>
      </c>
      <c r="B1479" s="26" t="s">
        <v>20</v>
      </c>
      <c r="C1479" s="26" t="s">
        <v>8</v>
      </c>
      <c r="D1479" s="26" t="s">
        <v>53</v>
      </c>
      <c r="E1479" s="26" t="s">
        <v>530</v>
      </c>
      <c r="F1479" s="26" t="s">
        <v>116</v>
      </c>
      <c r="G1479" s="45">
        <f>G1480</f>
        <v>3761680</v>
      </c>
      <c r="H1479" s="45">
        <f t="shared" si="1013"/>
        <v>3385520</v>
      </c>
      <c r="I1479" s="45">
        <f t="shared" si="1013"/>
        <v>3385520</v>
      </c>
      <c r="J1479" s="16">
        <f>'БА в тыс. руб.'!G1479*1000</f>
        <v>3761680</v>
      </c>
      <c r="K1479" s="169">
        <f t="shared" si="981"/>
        <v>0</v>
      </c>
      <c r="L1479" s="16">
        <f>'БА в тыс. руб.'!H1479*1000</f>
        <v>3385520</v>
      </c>
      <c r="M1479" s="169">
        <f t="shared" si="982"/>
        <v>0</v>
      </c>
      <c r="N1479" s="16">
        <f>'БА в тыс. руб.'!I1479*1000</f>
        <v>3385520</v>
      </c>
      <c r="O1479" s="169">
        <f t="shared" si="983"/>
        <v>0</v>
      </c>
      <c r="S1479" s="30"/>
      <c r="T1479" s="30"/>
      <c r="U1479" s="30"/>
    </row>
    <row r="1480" spans="1:21" s="4" customFormat="1" ht="25.5">
      <c r="A1480" s="12" t="s">
        <v>973</v>
      </c>
      <c r="B1480" s="26" t="s">
        <v>20</v>
      </c>
      <c r="C1480" s="26" t="s">
        <v>8</v>
      </c>
      <c r="D1480" s="26" t="s">
        <v>53</v>
      </c>
      <c r="E1480" s="26" t="s">
        <v>530</v>
      </c>
      <c r="F1480" s="26" t="s">
        <v>1043</v>
      </c>
      <c r="G1480" s="27">
        <f t="shared" ref="G1480" si="1014">J1480</f>
        <v>3761680</v>
      </c>
      <c r="H1480" s="27">
        <f>L1480</f>
        <v>3385520</v>
      </c>
      <c r="I1480" s="27">
        <f>N1480</f>
        <v>3385520</v>
      </c>
      <c r="J1480" s="16">
        <f>'БА в тыс. руб.'!G1480*1000</f>
        <v>3761680</v>
      </c>
      <c r="K1480" s="169">
        <f t="shared" si="981"/>
        <v>0</v>
      </c>
      <c r="L1480" s="16">
        <f>'БА в тыс. руб.'!H1480*1000</f>
        <v>3385520</v>
      </c>
      <c r="M1480" s="169">
        <f t="shared" si="982"/>
        <v>0</v>
      </c>
      <c r="N1480" s="16">
        <f>'БА в тыс. руб.'!I1480*1000</f>
        <v>3385520</v>
      </c>
      <c r="O1480" s="169">
        <f t="shared" si="983"/>
        <v>0</v>
      </c>
      <c r="S1480" s="83"/>
      <c r="T1480" s="83"/>
      <c r="U1480" s="83"/>
    </row>
    <row r="1481" spans="1:21" s="3" customFormat="1" ht="16.899999999999999" customHeight="1">
      <c r="A1481" s="21" t="s">
        <v>3</v>
      </c>
      <c r="B1481" s="22" t="s">
        <v>20</v>
      </c>
      <c r="C1481" s="23" t="s">
        <v>8</v>
      </c>
      <c r="D1481" s="23" t="s">
        <v>8</v>
      </c>
      <c r="E1481" s="23" t="s">
        <v>196</v>
      </c>
      <c r="F1481" s="23" t="s">
        <v>58</v>
      </c>
      <c r="G1481" s="24">
        <f>G1482+G1488</f>
        <v>57206800</v>
      </c>
      <c r="H1481" s="24">
        <f>H1482+H1488</f>
        <v>56135030</v>
      </c>
      <c r="I1481" s="24">
        <f>I1482+I1488</f>
        <v>56135030</v>
      </c>
      <c r="J1481" s="16">
        <f>'БА в тыс. руб.'!G1481*1000</f>
        <v>57206799.999999993</v>
      </c>
      <c r="K1481" s="169">
        <f t="shared" si="981"/>
        <v>0</v>
      </c>
      <c r="L1481" s="16">
        <f>'БА в тыс. руб.'!H1481*1000</f>
        <v>56135030</v>
      </c>
      <c r="M1481" s="169">
        <f t="shared" si="982"/>
        <v>0</v>
      </c>
      <c r="N1481" s="16">
        <f>'БА в тыс. руб.'!I1481*1000</f>
        <v>56135030</v>
      </c>
      <c r="O1481" s="169">
        <f t="shared" si="983"/>
        <v>0</v>
      </c>
      <c r="S1481" s="30"/>
      <c r="T1481" s="30"/>
      <c r="U1481" s="30"/>
    </row>
    <row r="1482" spans="1:21" s="3" customFormat="1" ht="25.5">
      <c r="A1482" s="11" t="s">
        <v>736</v>
      </c>
      <c r="B1482" s="25" t="s">
        <v>20</v>
      </c>
      <c r="C1482" s="26" t="s">
        <v>8</v>
      </c>
      <c r="D1482" s="26" t="s">
        <v>8</v>
      </c>
      <c r="E1482" s="43" t="s">
        <v>737</v>
      </c>
      <c r="F1482" s="26" t="s">
        <v>58</v>
      </c>
      <c r="G1482" s="27">
        <f>G1483</f>
        <v>1100000</v>
      </c>
      <c r="H1482" s="27">
        <f>H1484</f>
        <v>0</v>
      </c>
      <c r="I1482" s="27">
        <f>I1484</f>
        <v>0</v>
      </c>
      <c r="J1482" s="16">
        <f>'БА в тыс. руб.'!G1482*1000</f>
        <v>1100000</v>
      </c>
      <c r="K1482" s="169">
        <f t="shared" si="981"/>
        <v>0</v>
      </c>
      <c r="L1482" s="16">
        <f>'БА в тыс. руб.'!H1482*1000</f>
        <v>0</v>
      </c>
      <c r="M1482" s="169">
        <f t="shared" si="982"/>
        <v>0</v>
      </c>
      <c r="N1482" s="16">
        <f>'БА в тыс. руб.'!I1482*1000</f>
        <v>0</v>
      </c>
      <c r="O1482" s="169">
        <f t="shared" si="983"/>
        <v>0</v>
      </c>
      <c r="S1482" s="30"/>
      <c r="T1482" s="30"/>
      <c r="U1482" s="30"/>
    </row>
    <row r="1483" spans="1:21" s="3" customFormat="1" ht="38.25">
      <c r="A1483" s="11" t="s">
        <v>764</v>
      </c>
      <c r="B1483" s="25" t="s">
        <v>20</v>
      </c>
      <c r="C1483" s="26" t="s">
        <v>8</v>
      </c>
      <c r="D1483" s="26" t="s">
        <v>8</v>
      </c>
      <c r="E1483" s="43" t="s">
        <v>762</v>
      </c>
      <c r="F1483" s="26" t="s">
        <v>58</v>
      </c>
      <c r="G1483" s="27">
        <f>G1484</f>
        <v>1100000</v>
      </c>
      <c r="H1483" s="27">
        <f t="shared" ref="H1483:I1483" si="1015">H1484</f>
        <v>0</v>
      </c>
      <c r="I1483" s="27">
        <f t="shared" si="1015"/>
        <v>0</v>
      </c>
      <c r="J1483" s="16">
        <f>'БА в тыс. руб.'!G1483*1000</f>
        <v>1100000</v>
      </c>
      <c r="K1483" s="169">
        <f t="shared" ref="K1483:K1546" si="1016">J1483-G1483</f>
        <v>0</v>
      </c>
      <c r="L1483" s="16">
        <f>'БА в тыс. руб.'!H1483*1000</f>
        <v>0</v>
      </c>
      <c r="M1483" s="169">
        <f t="shared" ref="M1483:M1546" si="1017">L1483-H1483</f>
        <v>0</v>
      </c>
      <c r="N1483" s="16">
        <f>'БА в тыс. руб.'!I1483*1000</f>
        <v>0</v>
      </c>
      <c r="O1483" s="169">
        <f t="shared" ref="O1483:O1546" si="1018">N1483-I1483</f>
        <v>0</v>
      </c>
      <c r="S1483" s="30"/>
      <c r="T1483" s="30"/>
      <c r="U1483" s="30"/>
    </row>
    <row r="1484" spans="1:21" s="3" customFormat="1" ht="51">
      <c r="A1484" s="11" t="s">
        <v>861</v>
      </c>
      <c r="B1484" s="25" t="s">
        <v>20</v>
      </c>
      <c r="C1484" s="26" t="s">
        <v>8</v>
      </c>
      <c r="D1484" s="26" t="s">
        <v>8</v>
      </c>
      <c r="E1484" s="43" t="s">
        <v>738</v>
      </c>
      <c r="F1484" s="26" t="s">
        <v>58</v>
      </c>
      <c r="G1484" s="27">
        <f t="shared" ref="G1484:I1484" si="1019">G1485</f>
        <v>1100000</v>
      </c>
      <c r="H1484" s="27">
        <f t="shared" si="1019"/>
        <v>0</v>
      </c>
      <c r="I1484" s="27">
        <f t="shared" si="1019"/>
        <v>0</v>
      </c>
      <c r="J1484" s="16">
        <f>'БА в тыс. руб.'!G1484*1000</f>
        <v>1100000</v>
      </c>
      <c r="K1484" s="169">
        <f t="shared" si="1016"/>
        <v>0</v>
      </c>
      <c r="L1484" s="16">
        <f>'БА в тыс. руб.'!H1484*1000</f>
        <v>0</v>
      </c>
      <c r="M1484" s="169">
        <f t="shared" si="1017"/>
        <v>0</v>
      </c>
      <c r="N1484" s="16">
        <f>'БА в тыс. руб.'!I1484*1000</f>
        <v>0</v>
      </c>
      <c r="O1484" s="169">
        <f t="shared" si="1018"/>
        <v>0</v>
      </c>
      <c r="S1484" s="30"/>
      <c r="T1484" s="30"/>
      <c r="U1484" s="30"/>
    </row>
    <row r="1485" spans="1:21" s="3" customFormat="1" ht="25.5">
      <c r="A1485" s="11" t="s">
        <v>160</v>
      </c>
      <c r="B1485" s="25" t="s">
        <v>20</v>
      </c>
      <c r="C1485" s="26" t="s">
        <v>8</v>
      </c>
      <c r="D1485" s="26" t="s">
        <v>8</v>
      </c>
      <c r="E1485" s="43" t="s">
        <v>763</v>
      </c>
      <c r="F1485" s="26" t="s">
        <v>58</v>
      </c>
      <c r="G1485" s="27">
        <f>G1486</f>
        <v>1100000</v>
      </c>
      <c r="H1485" s="27">
        <f>H1486</f>
        <v>0</v>
      </c>
      <c r="I1485" s="27">
        <f>I1486</f>
        <v>0</v>
      </c>
      <c r="J1485" s="16">
        <f>'БА в тыс. руб.'!G1485*1000</f>
        <v>1100000</v>
      </c>
      <c r="K1485" s="169">
        <f t="shared" si="1016"/>
        <v>0</v>
      </c>
      <c r="L1485" s="16">
        <f>'БА в тыс. руб.'!H1485*1000</f>
        <v>0</v>
      </c>
      <c r="M1485" s="169">
        <f t="shared" si="1017"/>
        <v>0</v>
      </c>
      <c r="N1485" s="16">
        <f>'БА в тыс. руб.'!I1485*1000</f>
        <v>0</v>
      </c>
      <c r="O1485" s="169">
        <f t="shared" si="1018"/>
        <v>0</v>
      </c>
      <c r="S1485" s="30"/>
      <c r="T1485" s="30"/>
      <c r="U1485" s="30"/>
    </row>
    <row r="1486" spans="1:21" s="3" customFormat="1" ht="25.5">
      <c r="A1486" s="11" t="s">
        <v>108</v>
      </c>
      <c r="B1486" s="25" t="s">
        <v>20</v>
      </c>
      <c r="C1486" s="26" t="s">
        <v>8</v>
      </c>
      <c r="D1486" s="26" t="s">
        <v>8</v>
      </c>
      <c r="E1486" s="43" t="s">
        <v>763</v>
      </c>
      <c r="F1486" s="26" t="s">
        <v>116</v>
      </c>
      <c r="G1486" s="42">
        <f>G1487</f>
        <v>1100000</v>
      </c>
      <c r="H1486" s="42">
        <f t="shared" ref="H1486:I1486" si="1020">H1487</f>
        <v>0</v>
      </c>
      <c r="I1486" s="42">
        <f t="shared" si="1020"/>
        <v>0</v>
      </c>
      <c r="J1486" s="16">
        <f>'БА в тыс. руб.'!G1486*1000</f>
        <v>1100000</v>
      </c>
      <c r="K1486" s="169">
        <f t="shared" si="1016"/>
        <v>0</v>
      </c>
      <c r="L1486" s="16">
        <f>'БА в тыс. руб.'!H1486*1000</f>
        <v>0</v>
      </c>
      <c r="M1486" s="169">
        <f t="shared" si="1017"/>
        <v>0</v>
      </c>
      <c r="N1486" s="16">
        <f>'БА в тыс. руб.'!I1486*1000</f>
        <v>0</v>
      </c>
      <c r="O1486" s="169">
        <f t="shared" si="1018"/>
        <v>0</v>
      </c>
      <c r="S1486" s="30"/>
      <c r="T1486" s="30"/>
      <c r="U1486" s="30"/>
    </row>
    <row r="1487" spans="1:21" s="4" customFormat="1" ht="25.5">
      <c r="A1487" s="12" t="s">
        <v>973</v>
      </c>
      <c r="B1487" s="25" t="s">
        <v>20</v>
      </c>
      <c r="C1487" s="26" t="s">
        <v>8</v>
      </c>
      <c r="D1487" s="26" t="s">
        <v>8</v>
      </c>
      <c r="E1487" s="43" t="s">
        <v>763</v>
      </c>
      <c r="F1487" s="26" t="s">
        <v>1043</v>
      </c>
      <c r="G1487" s="27">
        <f t="shared" ref="G1487" si="1021">J1487</f>
        <v>1100000</v>
      </c>
      <c r="H1487" s="27">
        <f>L1487</f>
        <v>0</v>
      </c>
      <c r="I1487" s="27">
        <f>N1487</f>
        <v>0</v>
      </c>
      <c r="J1487" s="16">
        <f>'БА в тыс. руб.'!G1487*1000</f>
        <v>1100000</v>
      </c>
      <c r="K1487" s="169">
        <f t="shared" si="1016"/>
        <v>0</v>
      </c>
      <c r="L1487" s="16">
        <f>'БА в тыс. руб.'!H1487*1000</f>
        <v>0</v>
      </c>
      <c r="M1487" s="169">
        <f t="shared" si="1017"/>
        <v>0</v>
      </c>
      <c r="N1487" s="16">
        <f>'БА в тыс. руб.'!I1487*1000</f>
        <v>0</v>
      </c>
      <c r="O1487" s="169">
        <f t="shared" si="1018"/>
        <v>0</v>
      </c>
      <c r="S1487" s="83"/>
      <c r="T1487" s="83"/>
      <c r="U1487" s="83"/>
    </row>
    <row r="1488" spans="1:21" s="3" customFormat="1" ht="25.5">
      <c r="A1488" s="11" t="s">
        <v>143</v>
      </c>
      <c r="B1488" s="26" t="s">
        <v>20</v>
      </c>
      <c r="C1488" s="26" t="s">
        <v>8</v>
      </c>
      <c r="D1488" s="26" t="s">
        <v>8</v>
      </c>
      <c r="E1488" s="26" t="s">
        <v>508</v>
      </c>
      <c r="F1488" s="26" t="s">
        <v>58</v>
      </c>
      <c r="G1488" s="45">
        <f>G1489</f>
        <v>56106800</v>
      </c>
      <c r="H1488" s="45">
        <f t="shared" ref="H1488:I1488" si="1022">H1489</f>
        <v>56135030</v>
      </c>
      <c r="I1488" s="45">
        <f t="shared" si="1022"/>
        <v>56135030</v>
      </c>
      <c r="J1488" s="16">
        <f>'БА в тыс. руб.'!G1488*1000</f>
        <v>56106799.999999993</v>
      </c>
      <c r="K1488" s="169">
        <f t="shared" si="1016"/>
        <v>0</v>
      </c>
      <c r="L1488" s="16">
        <f>'БА в тыс. руб.'!H1488*1000</f>
        <v>56135030</v>
      </c>
      <c r="M1488" s="169">
        <f t="shared" si="1017"/>
        <v>0</v>
      </c>
      <c r="N1488" s="16">
        <f>'БА в тыс. руб.'!I1488*1000</f>
        <v>56135030</v>
      </c>
      <c r="O1488" s="169">
        <f t="shared" si="1018"/>
        <v>0</v>
      </c>
      <c r="S1488" s="30"/>
      <c r="T1488" s="30"/>
      <c r="U1488" s="30"/>
    </row>
    <row r="1489" spans="1:21" s="3" customFormat="1" ht="25.5">
      <c r="A1489" s="11" t="s">
        <v>144</v>
      </c>
      <c r="B1489" s="26" t="s">
        <v>20</v>
      </c>
      <c r="C1489" s="26" t="s">
        <v>8</v>
      </c>
      <c r="D1489" s="26" t="s">
        <v>8</v>
      </c>
      <c r="E1489" s="26" t="s">
        <v>509</v>
      </c>
      <c r="F1489" s="26" t="s">
        <v>58</v>
      </c>
      <c r="G1489" s="45">
        <f>G1490+G1499</f>
        <v>56106800</v>
      </c>
      <c r="H1489" s="45">
        <f>H1490+H1499</f>
        <v>56135030</v>
      </c>
      <c r="I1489" s="45">
        <f>I1490+I1499</f>
        <v>56135030</v>
      </c>
      <c r="J1489" s="16">
        <f>'БА в тыс. руб.'!G1489*1000</f>
        <v>56106799.999999993</v>
      </c>
      <c r="K1489" s="169">
        <f t="shared" si="1016"/>
        <v>0</v>
      </c>
      <c r="L1489" s="16">
        <f>'БА в тыс. руб.'!H1489*1000</f>
        <v>56135030</v>
      </c>
      <c r="M1489" s="169">
        <f t="shared" si="1017"/>
        <v>0</v>
      </c>
      <c r="N1489" s="16">
        <f>'БА в тыс. руб.'!I1489*1000</f>
        <v>56135030</v>
      </c>
      <c r="O1489" s="169">
        <f t="shared" si="1018"/>
        <v>0</v>
      </c>
      <c r="S1489" s="30"/>
      <c r="T1489" s="30"/>
      <c r="U1489" s="30"/>
    </row>
    <row r="1490" spans="1:21" s="3" customFormat="1" ht="25.5">
      <c r="A1490" s="11" t="s">
        <v>114</v>
      </c>
      <c r="B1490" s="26" t="s">
        <v>20</v>
      </c>
      <c r="C1490" s="26" t="s">
        <v>8</v>
      </c>
      <c r="D1490" s="26" t="s">
        <v>8</v>
      </c>
      <c r="E1490" s="26" t="s">
        <v>531</v>
      </c>
      <c r="F1490" s="26" t="s">
        <v>58</v>
      </c>
      <c r="G1490" s="45">
        <f>G1491+G1494+G1496</f>
        <v>7110040</v>
      </c>
      <c r="H1490" s="45">
        <f t="shared" ref="H1490:I1490" si="1023">H1491+H1494+H1496</f>
        <v>7138270</v>
      </c>
      <c r="I1490" s="45">
        <f t="shared" si="1023"/>
        <v>7138270</v>
      </c>
      <c r="J1490" s="16">
        <f>'БА в тыс. руб.'!G1490*1000</f>
        <v>7110040.0000000009</v>
      </c>
      <c r="K1490" s="169">
        <f t="shared" si="1016"/>
        <v>0</v>
      </c>
      <c r="L1490" s="16">
        <f>'БА в тыс. руб.'!H1490*1000</f>
        <v>7138270</v>
      </c>
      <c r="M1490" s="169">
        <f t="shared" si="1017"/>
        <v>0</v>
      </c>
      <c r="N1490" s="16">
        <f>'БА в тыс. руб.'!I1490*1000</f>
        <v>7138270</v>
      </c>
      <c r="O1490" s="169">
        <f t="shared" si="1018"/>
        <v>0</v>
      </c>
      <c r="S1490" s="30"/>
      <c r="T1490" s="30"/>
      <c r="U1490" s="30"/>
    </row>
    <row r="1491" spans="1:21" s="3" customFormat="1" ht="25.5">
      <c r="A1491" s="12" t="s">
        <v>107</v>
      </c>
      <c r="B1491" s="26" t="s">
        <v>20</v>
      </c>
      <c r="C1491" s="26" t="s">
        <v>8</v>
      </c>
      <c r="D1491" s="26" t="s">
        <v>8</v>
      </c>
      <c r="E1491" s="26" t="s">
        <v>531</v>
      </c>
      <c r="F1491" s="26" t="s">
        <v>115</v>
      </c>
      <c r="G1491" s="27">
        <f>SUM(G1492:G1493)</f>
        <v>1409900</v>
      </c>
      <c r="H1491" s="27">
        <f t="shared" ref="H1491:I1491" si="1024">SUM(H1492:H1493)</f>
        <v>1409900</v>
      </c>
      <c r="I1491" s="27">
        <f t="shared" si="1024"/>
        <v>1409900</v>
      </c>
      <c r="J1491" s="16">
        <f>'БА в тыс. руб.'!G1491*1000</f>
        <v>1409900</v>
      </c>
      <c r="K1491" s="169">
        <f t="shared" si="1016"/>
        <v>0</v>
      </c>
      <c r="L1491" s="16">
        <f>'БА в тыс. руб.'!H1491*1000</f>
        <v>1409900</v>
      </c>
      <c r="M1491" s="169">
        <f t="shared" si="1017"/>
        <v>0</v>
      </c>
      <c r="N1491" s="16">
        <f>'БА в тыс. руб.'!I1491*1000</f>
        <v>1409900</v>
      </c>
      <c r="O1491" s="169">
        <f t="shared" si="1018"/>
        <v>0</v>
      </c>
      <c r="S1491" s="30"/>
      <c r="T1491" s="30"/>
      <c r="U1491" s="30"/>
    </row>
    <row r="1492" spans="1:21" s="4" customFormat="1" ht="25.5">
      <c r="A1492" s="12" t="s">
        <v>937</v>
      </c>
      <c r="B1492" s="26" t="s">
        <v>20</v>
      </c>
      <c r="C1492" s="26" t="s">
        <v>8</v>
      </c>
      <c r="D1492" s="26" t="s">
        <v>8</v>
      </c>
      <c r="E1492" s="26" t="s">
        <v>531</v>
      </c>
      <c r="F1492" s="26" t="s">
        <v>1059</v>
      </c>
      <c r="G1492" s="27">
        <f t="shared" ref="G1492:G1493" si="1025">J1492</f>
        <v>1082900</v>
      </c>
      <c r="H1492" s="27">
        <f t="shared" ref="H1492:H1493" si="1026">L1492</f>
        <v>1082900</v>
      </c>
      <c r="I1492" s="27">
        <f t="shared" ref="I1492:I1493" si="1027">N1492</f>
        <v>1082900</v>
      </c>
      <c r="J1492" s="16">
        <f>'БА в тыс. руб.'!G1492*1000</f>
        <v>1082900</v>
      </c>
      <c r="K1492" s="169">
        <f t="shared" si="1016"/>
        <v>0</v>
      </c>
      <c r="L1492" s="16">
        <f>'БА в тыс. руб.'!H1492*1000</f>
        <v>1082900</v>
      </c>
      <c r="M1492" s="169">
        <f t="shared" si="1017"/>
        <v>0</v>
      </c>
      <c r="N1492" s="16">
        <f>'БА в тыс. руб.'!I1492*1000</f>
        <v>1082900</v>
      </c>
      <c r="O1492" s="169">
        <f t="shared" si="1018"/>
        <v>0</v>
      </c>
      <c r="S1492" s="83"/>
      <c r="T1492" s="83"/>
      <c r="U1492" s="83"/>
    </row>
    <row r="1493" spans="1:21" s="4" customFormat="1" ht="38.25">
      <c r="A1493" s="12" t="s">
        <v>939</v>
      </c>
      <c r="B1493" s="26" t="s">
        <v>20</v>
      </c>
      <c r="C1493" s="26" t="s">
        <v>8</v>
      </c>
      <c r="D1493" s="26" t="s">
        <v>8</v>
      </c>
      <c r="E1493" s="26" t="s">
        <v>531</v>
      </c>
      <c r="F1493" s="26" t="s">
        <v>1060</v>
      </c>
      <c r="G1493" s="27">
        <f t="shared" si="1025"/>
        <v>327000</v>
      </c>
      <c r="H1493" s="27">
        <f t="shared" si="1026"/>
        <v>327000</v>
      </c>
      <c r="I1493" s="27">
        <f t="shared" si="1027"/>
        <v>327000</v>
      </c>
      <c r="J1493" s="16">
        <f>'БА в тыс. руб.'!G1493*1000</f>
        <v>327000</v>
      </c>
      <c r="K1493" s="169">
        <f t="shared" si="1016"/>
        <v>0</v>
      </c>
      <c r="L1493" s="16">
        <f>'БА в тыс. руб.'!H1493*1000</f>
        <v>327000</v>
      </c>
      <c r="M1493" s="169">
        <f t="shared" si="1017"/>
        <v>0</v>
      </c>
      <c r="N1493" s="16">
        <f>'БА в тыс. руб.'!I1493*1000</f>
        <v>327000</v>
      </c>
      <c r="O1493" s="169">
        <f t="shared" si="1018"/>
        <v>0</v>
      </c>
      <c r="S1493" s="83"/>
      <c r="T1493" s="83"/>
      <c r="U1493" s="83"/>
    </row>
    <row r="1494" spans="1:21" s="3" customFormat="1" ht="25.5">
      <c r="A1494" s="11" t="s">
        <v>108</v>
      </c>
      <c r="B1494" s="26" t="s">
        <v>20</v>
      </c>
      <c r="C1494" s="26" t="s">
        <v>8</v>
      </c>
      <c r="D1494" s="26" t="s">
        <v>8</v>
      </c>
      <c r="E1494" s="26" t="s">
        <v>531</v>
      </c>
      <c r="F1494" s="26" t="s">
        <v>116</v>
      </c>
      <c r="G1494" s="27">
        <f>G1495</f>
        <v>5591140</v>
      </c>
      <c r="H1494" s="27">
        <f t="shared" ref="H1494:I1494" si="1028">H1495</f>
        <v>5619370</v>
      </c>
      <c r="I1494" s="27">
        <f t="shared" si="1028"/>
        <v>5619370</v>
      </c>
      <c r="J1494" s="16">
        <f>'БА в тыс. руб.'!G1494*1000</f>
        <v>5591140</v>
      </c>
      <c r="K1494" s="169">
        <f t="shared" si="1016"/>
        <v>0</v>
      </c>
      <c r="L1494" s="16">
        <f>'БА в тыс. руб.'!H1494*1000</f>
        <v>5619370</v>
      </c>
      <c r="M1494" s="169">
        <f t="shared" si="1017"/>
        <v>0</v>
      </c>
      <c r="N1494" s="16">
        <f>'БА в тыс. руб.'!I1494*1000</f>
        <v>5619370</v>
      </c>
      <c r="O1494" s="169">
        <f t="shared" si="1018"/>
        <v>0</v>
      </c>
      <c r="S1494" s="30"/>
      <c r="T1494" s="30"/>
      <c r="U1494" s="30"/>
    </row>
    <row r="1495" spans="1:21" s="4" customFormat="1" ht="25.5">
      <c r="A1495" s="12" t="s">
        <v>973</v>
      </c>
      <c r="B1495" s="26" t="s">
        <v>20</v>
      </c>
      <c r="C1495" s="26" t="s">
        <v>8</v>
      </c>
      <c r="D1495" s="26" t="s">
        <v>8</v>
      </c>
      <c r="E1495" s="26" t="s">
        <v>531</v>
      </c>
      <c r="F1495" s="26" t="s">
        <v>1043</v>
      </c>
      <c r="G1495" s="27">
        <f t="shared" ref="G1495" si="1029">J1495</f>
        <v>5591140</v>
      </c>
      <c r="H1495" s="27">
        <f>L1495</f>
        <v>5619370</v>
      </c>
      <c r="I1495" s="27">
        <f>N1495</f>
        <v>5619370</v>
      </c>
      <c r="J1495" s="16">
        <f>'БА в тыс. руб.'!G1495*1000</f>
        <v>5591140</v>
      </c>
      <c r="K1495" s="169">
        <f t="shared" si="1016"/>
        <v>0</v>
      </c>
      <c r="L1495" s="16">
        <f>'БА в тыс. руб.'!H1495*1000</f>
        <v>5619370</v>
      </c>
      <c r="M1495" s="169">
        <f t="shared" si="1017"/>
        <v>0</v>
      </c>
      <c r="N1495" s="16">
        <f>'БА в тыс. руб.'!I1495*1000</f>
        <v>5619370</v>
      </c>
      <c r="O1495" s="169">
        <f t="shared" si="1018"/>
        <v>0</v>
      </c>
      <c r="S1495" s="83"/>
      <c r="T1495" s="83"/>
      <c r="U1495" s="83"/>
    </row>
    <row r="1496" spans="1:21" s="3" customFormat="1">
      <c r="A1496" s="11" t="s">
        <v>97</v>
      </c>
      <c r="B1496" s="26" t="s">
        <v>20</v>
      </c>
      <c r="C1496" s="26" t="s">
        <v>8</v>
      </c>
      <c r="D1496" s="26" t="s">
        <v>8</v>
      </c>
      <c r="E1496" s="26" t="s">
        <v>531</v>
      </c>
      <c r="F1496" s="26" t="s">
        <v>118</v>
      </c>
      <c r="G1496" s="27">
        <f>SUM(G1497:G1498)</f>
        <v>109000</v>
      </c>
      <c r="H1496" s="27">
        <f t="shared" ref="H1496:I1496" si="1030">SUM(H1497:H1498)</f>
        <v>109000</v>
      </c>
      <c r="I1496" s="27">
        <f t="shared" si="1030"/>
        <v>109000</v>
      </c>
      <c r="J1496" s="16">
        <f>'БА в тыс. руб.'!G1496*1000</f>
        <v>109000</v>
      </c>
      <c r="K1496" s="169">
        <f t="shared" si="1016"/>
        <v>0</v>
      </c>
      <c r="L1496" s="16">
        <f>'БА в тыс. руб.'!H1496*1000</f>
        <v>109000</v>
      </c>
      <c r="M1496" s="169">
        <f t="shared" si="1017"/>
        <v>0</v>
      </c>
      <c r="N1496" s="16">
        <f>'БА в тыс. руб.'!I1496*1000</f>
        <v>109000</v>
      </c>
      <c r="O1496" s="169">
        <f t="shared" si="1018"/>
        <v>0</v>
      </c>
      <c r="S1496" s="30"/>
      <c r="T1496" s="30"/>
      <c r="U1496" s="30"/>
    </row>
    <row r="1497" spans="1:21" s="4" customFormat="1">
      <c r="A1497" s="12" t="s">
        <v>1036</v>
      </c>
      <c r="B1497" s="26" t="s">
        <v>20</v>
      </c>
      <c r="C1497" s="26" t="s">
        <v>8</v>
      </c>
      <c r="D1497" s="26" t="s">
        <v>8</v>
      </c>
      <c r="E1497" s="26" t="s">
        <v>531</v>
      </c>
      <c r="F1497" s="26" t="s">
        <v>1061</v>
      </c>
      <c r="G1497" s="27">
        <f t="shared" ref="G1497:G1498" si="1031">J1497</f>
        <v>69000</v>
      </c>
      <c r="H1497" s="27">
        <f t="shared" ref="H1497:H1498" si="1032">L1497</f>
        <v>69000</v>
      </c>
      <c r="I1497" s="27">
        <f t="shared" ref="I1497:I1498" si="1033">N1497</f>
        <v>69000</v>
      </c>
      <c r="J1497" s="16">
        <f>'БА в тыс. руб.'!G1497*1000</f>
        <v>69000</v>
      </c>
      <c r="K1497" s="169">
        <f t="shared" si="1016"/>
        <v>0</v>
      </c>
      <c r="L1497" s="16">
        <f>'БА в тыс. руб.'!H1497*1000</f>
        <v>69000</v>
      </c>
      <c r="M1497" s="169">
        <f t="shared" si="1017"/>
        <v>0</v>
      </c>
      <c r="N1497" s="16">
        <f>'БА в тыс. руб.'!I1497*1000</f>
        <v>69000</v>
      </c>
      <c r="O1497" s="169">
        <f t="shared" si="1018"/>
        <v>0</v>
      </c>
      <c r="S1497" s="83"/>
      <c r="T1497" s="83"/>
      <c r="U1497" s="83"/>
    </row>
    <row r="1498" spans="1:21" s="4" customFormat="1">
      <c r="A1498" s="12" t="s">
        <v>1037</v>
      </c>
      <c r="B1498" s="26" t="s">
        <v>20</v>
      </c>
      <c r="C1498" s="26" t="s">
        <v>8</v>
      </c>
      <c r="D1498" s="26" t="s">
        <v>8</v>
      </c>
      <c r="E1498" s="26" t="s">
        <v>531</v>
      </c>
      <c r="F1498" s="26" t="s">
        <v>1062</v>
      </c>
      <c r="G1498" s="27">
        <f t="shared" si="1031"/>
        <v>40000</v>
      </c>
      <c r="H1498" s="27">
        <f t="shared" si="1032"/>
        <v>40000</v>
      </c>
      <c r="I1498" s="27">
        <f t="shared" si="1033"/>
        <v>40000</v>
      </c>
      <c r="J1498" s="16">
        <f>'БА в тыс. руб.'!G1498*1000</f>
        <v>40000</v>
      </c>
      <c r="K1498" s="169">
        <f t="shared" si="1016"/>
        <v>0</v>
      </c>
      <c r="L1498" s="16">
        <f>'БА в тыс. руб.'!H1498*1000</f>
        <v>40000</v>
      </c>
      <c r="M1498" s="169">
        <f t="shared" si="1017"/>
        <v>0</v>
      </c>
      <c r="N1498" s="16">
        <f>'БА в тыс. руб.'!I1498*1000</f>
        <v>40000</v>
      </c>
      <c r="O1498" s="169">
        <f t="shared" si="1018"/>
        <v>0</v>
      </c>
      <c r="S1498" s="83"/>
      <c r="T1498" s="83"/>
      <c r="U1498" s="83"/>
    </row>
    <row r="1499" spans="1:21" s="3" customFormat="1" ht="25.5">
      <c r="A1499" s="11" t="s">
        <v>126</v>
      </c>
      <c r="B1499" s="26" t="s">
        <v>20</v>
      </c>
      <c r="C1499" s="26" t="s">
        <v>8</v>
      </c>
      <c r="D1499" s="26" t="s">
        <v>8</v>
      </c>
      <c r="E1499" s="26" t="s">
        <v>532</v>
      </c>
      <c r="F1499" s="26" t="s">
        <v>58</v>
      </c>
      <c r="G1499" s="27">
        <f>G1500</f>
        <v>48996760</v>
      </c>
      <c r="H1499" s="27">
        <f>H1500</f>
        <v>48996760</v>
      </c>
      <c r="I1499" s="27">
        <f>I1500</f>
        <v>48996760</v>
      </c>
      <c r="J1499" s="16">
        <f>'БА в тыс. руб.'!G1499*1000</f>
        <v>48996759.999999993</v>
      </c>
      <c r="K1499" s="169">
        <f t="shared" si="1016"/>
        <v>0</v>
      </c>
      <c r="L1499" s="16">
        <f>'БА в тыс. руб.'!H1499*1000</f>
        <v>48996759.999999993</v>
      </c>
      <c r="M1499" s="169">
        <f t="shared" si="1017"/>
        <v>0</v>
      </c>
      <c r="N1499" s="16">
        <f>'БА в тыс. руб.'!I1499*1000</f>
        <v>48996759.999999993</v>
      </c>
      <c r="O1499" s="169">
        <f t="shared" si="1018"/>
        <v>0</v>
      </c>
      <c r="S1499" s="30"/>
      <c r="T1499" s="30"/>
      <c r="U1499" s="30"/>
    </row>
    <row r="1500" spans="1:21" s="3" customFormat="1" ht="25.5">
      <c r="A1500" s="12" t="s">
        <v>107</v>
      </c>
      <c r="B1500" s="26" t="s">
        <v>20</v>
      </c>
      <c r="C1500" s="26" t="s">
        <v>8</v>
      </c>
      <c r="D1500" s="26" t="s">
        <v>8</v>
      </c>
      <c r="E1500" s="26" t="s">
        <v>532</v>
      </c>
      <c r="F1500" s="26" t="s">
        <v>115</v>
      </c>
      <c r="G1500" s="27">
        <f>SUM(G1501:G1502)</f>
        <v>48996760</v>
      </c>
      <c r="H1500" s="27">
        <f t="shared" ref="H1500:I1500" si="1034">SUM(H1501:H1502)</f>
        <v>48996760</v>
      </c>
      <c r="I1500" s="27">
        <f t="shared" si="1034"/>
        <v>48996760</v>
      </c>
      <c r="J1500" s="16">
        <f>'БА в тыс. руб.'!G1500*1000</f>
        <v>48996759.999999993</v>
      </c>
      <c r="K1500" s="169">
        <f t="shared" si="1016"/>
        <v>0</v>
      </c>
      <c r="L1500" s="16">
        <f>'БА в тыс. руб.'!H1500*1000</f>
        <v>48996759.999999993</v>
      </c>
      <c r="M1500" s="169">
        <f t="shared" si="1017"/>
        <v>0</v>
      </c>
      <c r="N1500" s="16">
        <f>'БА в тыс. руб.'!I1500*1000</f>
        <v>48996759.999999993</v>
      </c>
      <c r="O1500" s="169">
        <f t="shared" si="1018"/>
        <v>0</v>
      </c>
      <c r="S1500" s="30"/>
      <c r="T1500" s="30"/>
      <c r="U1500" s="30"/>
    </row>
    <row r="1501" spans="1:21" s="4" customFormat="1">
      <c r="A1501" s="12" t="s">
        <v>936</v>
      </c>
      <c r="B1501" s="26" t="s">
        <v>20</v>
      </c>
      <c r="C1501" s="26" t="s">
        <v>8</v>
      </c>
      <c r="D1501" s="26" t="s">
        <v>8</v>
      </c>
      <c r="E1501" s="26" t="s">
        <v>532</v>
      </c>
      <c r="F1501" s="26" t="s">
        <v>1063</v>
      </c>
      <c r="G1501" s="27">
        <f t="shared" ref="G1501:G1502" si="1035">J1501</f>
        <v>37631920</v>
      </c>
      <c r="H1501" s="27">
        <f t="shared" ref="H1501:H1502" si="1036">L1501</f>
        <v>37631920</v>
      </c>
      <c r="I1501" s="27">
        <f t="shared" ref="I1501:I1502" si="1037">N1501</f>
        <v>37631920</v>
      </c>
      <c r="J1501" s="16">
        <f>'БА в тыс. руб.'!G1501*1000</f>
        <v>37631920</v>
      </c>
      <c r="K1501" s="169">
        <f t="shared" si="1016"/>
        <v>0</v>
      </c>
      <c r="L1501" s="16">
        <f>'БА в тыс. руб.'!H1501*1000</f>
        <v>37631920</v>
      </c>
      <c r="M1501" s="169">
        <f t="shared" si="1017"/>
        <v>0</v>
      </c>
      <c r="N1501" s="16">
        <f>'БА в тыс. руб.'!I1501*1000</f>
        <v>37631920</v>
      </c>
      <c r="O1501" s="169">
        <f t="shared" si="1018"/>
        <v>0</v>
      </c>
      <c r="S1501" s="83"/>
      <c r="T1501" s="83"/>
      <c r="U1501" s="83"/>
    </row>
    <row r="1502" spans="1:21" s="4" customFormat="1" ht="38.25">
      <c r="A1502" s="12" t="s">
        <v>939</v>
      </c>
      <c r="B1502" s="26" t="s">
        <v>20</v>
      </c>
      <c r="C1502" s="26" t="s">
        <v>8</v>
      </c>
      <c r="D1502" s="26" t="s">
        <v>8</v>
      </c>
      <c r="E1502" s="26" t="s">
        <v>532</v>
      </c>
      <c r="F1502" s="26" t="s">
        <v>1060</v>
      </c>
      <c r="G1502" s="27">
        <f t="shared" si="1035"/>
        <v>11364840</v>
      </c>
      <c r="H1502" s="27">
        <f t="shared" si="1036"/>
        <v>11364840</v>
      </c>
      <c r="I1502" s="27">
        <f t="shared" si="1037"/>
        <v>11364840</v>
      </c>
      <c r="J1502" s="16">
        <f>'БА в тыс. руб.'!G1502*1000</f>
        <v>11364840</v>
      </c>
      <c r="K1502" s="169">
        <f t="shared" si="1016"/>
        <v>0</v>
      </c>
      <c r="L1502" s="16">
        <f>'БА в тыс. руб.'!H1502*1000</f>
        <v>11364840</v>
      </c>
      <c r="M1502" s="169">
        <f t="shared" si="1017"/>
        <v>0</v>
      </c>
      <c r="N1502" s="16">
        <f>'БА в тыс. руб.'!I1502*1000</f>
        <v>11364840</v>
      </c>
      <c r="O1502" s="169">
        <f t="shared" si="1018"/>
        <v>0</v>
      </c>
      <c r="S1502" s="83"/>
      <c r="T1502" s="83"/>
      <c r="U1502" s="83"/>
    </row>
    <row r="1503" spans="1:21" s="3" customFormat="1">
      <c r="A1503" s="17" t="s">
        <v>49</v>
      </c>
      <c r="B1503" s="18" t="s">
        <v>20</v>
      </c>
      <c r="C1503" s="19" t="s">
        <v>14</v>
      </c>
      <c r="D1503" s="19" t="s">
        <v>51</v>
      </c>
      <c r="E1503" s="19" t="s">
        <v>196</v>
      </c>
      <c r="F1503" s="19" t="s">
        <v>58</v>
      </c>
      <c r="G1503" s="20">
        <f>G1504</f>
        <v>37900620</v>
      </c>
      <c r="H1503" s="20">
        <f>H1504</f>
        <v>33498520</v>
      </c>
      <c r="I1503" s="20">
        <f>I1504</f>
        <v>33498520</v>
      </c>
      <c r="J1503" s="16">
        <f>'БА в тыс. руб.'!G1503*1000</f>
        <v>37900619.999999993</v>
      </c>
      <c r="K1503" s="169">
        <f t="shared" si="1016"/>
        <v>0</v>
      </c>
      <c r="L1503" s="16">
        <f>'БА в тыс. руб.'!H1503*1000</f>
        <v>33498519.999999996</v>
      </c>
      <c r="M1503" s="169">
        <f t="shared" si="1017"/>
        <v>0</v>
      </c>
      <c r="N1503" s="16">
        <f>'БА в тыс. руб.'!I1503*1000</f>
        <v>33498519.999999996</v>
      </c>
      <c r="O1503" s="169">
        <f t="shared" si="1018"/>
        <v>0</v>
      </c>
      <c r="S1503" s="30"/>
      <c r="T1503" s="30"/>
      <c r="U1503" s="30"/>
    </row>
    <row r="1504" spans="1:21" s="3" customFormat="1">
      <c r="A1504" s="21" t="s">
        <v>63</v>
      </c>
      <c r="B1504" s="22" t="s">
        <v>20</v>
      </c>
      <c r="C1504" s="23">
        <v>10</v>
      </c>
      <c r="D1504" s="23" t="s">
        <v>53</v>
      </c>
      <c r="E1504" s="23" t="s">
        <v>196</v>
      </c>
      <c r="F1504" s="23" t="s">
        <v>58</v>
      </c>
      <c r="G1504" s="24">
        <f>G1505+G1515</f>
        <v>37900620</v>
      </c>
      <c r="H1504" s="24">
        <f>H1505+H1515</f>
        <v>33498520</v>
      </c>
      <c r="I1504" s="24">
        <f>I1505+I1515</f>
        <v>33498520</v>
      </c>
      <c r="J1504" s="16">
        <f>'БА в тыс. руб.'!G1504*1000</f>
        <v>37900619.999999993</v>
      </c>
      <c r="K1504" s="169">
        <f t="shared" si="1016"/>
        <v>0</v>
      </c>
      <c r="L1504" s="16">
        <f>'БА в тыс. руб.'!H1504*1000</f>
        <v>33498519.999999996</v>
      </c>
      <c r="M1504" s="169">
        <f t="shared" si="1017"/>
        <v>0</v>
      </c>
      <c r="N1504" s="16">
        <f>'БА в тыс. руб.'!I1504*1000</f>
        <v>33498519.999999996</v>
      </c>
      <c r="O1504" s="169">
        <f t="shared" si="1018"/>
        <v>0</v>
      </c>
      <c r="S1504" s="30"/>
      <c r="T1504" s="30"/>
      <c r="U1504" s="30"/>
    </row>
    <row r="1505" spans="1:21" s="3" customFormat="1" ht="25.5">
      <c r="A1505" s="31" t="s">
        <v>727</v>
      </c>
      <c r="B1505" s="36" t="s">
        <v>20</v>
      </c>
      <c r="C1505" s="36">
        <v>10</v>
      </c>
      <c r="D1505" s="36" t="s">
        <v>53</v>
      </c>
      <c r="E1505" s="36" t="s">
        <v>327</v>
      </c>
      <c r="F1505" s="36" t="s">
        <v>58</v>
      </c>
      <c r="G1505" s="37">
        <f>G1506</f>
        <v>34739920</v>
      </c>
      <c r="H1505" s="37">
        <f>H1506</f>
        <v>30893890</v>
      </c>
      <c r="I1505" s="37">
        <f>I1506</f>
        <v>30893890</v>
      </c>
      <c r="J1505" s="16">
        <f>'БА в тыс. руб.'!G1505*1000</f>
        <v>34739920</v>
      </c>
      <c r="K1505" s="169">
        <f t="shared" si="1016"/>
        <v>0</v>
      </c>
      <c r="L1505" s="16">
        <f>'БА в тыс. руб.'!H1505*1000</f>
        <v>30893890</v>
      </c>
      <c r="M1505" s="169">
        <f t="shared" si="1017"/>
        <v>0</v>
      </c>
      <c r="N1505" s="16">
        <f>'БА в тыс. руб.'!I1505*1000</f>
        <v>30893890</v>
      </c>
      <c r="O1505" s="169">
        <f t="shared" si="1018"/>
        <v>0</v>
      </c>
      <c r="S1505" s="30"/>
      <c r="T1505" s="30"/>
      <c r="U1505" s="30"/>
    </row>
    <row r="1506" spans="1:21" s="3" customFormat="1" ht="38.25">
      <c r="A1506" s="31" t="s">
        <v>842</v>
      </c>
      <c r="B1506" s="36" t="s">
        <v>20</v>
      </c>
      <c r="C1506" s="36">
        <v>10</v>
      </c>
      <c r="D1506" s="36" t="s">
        <v>53</v>
      </c>
      <c r="E1506" s="36" t="s">
        <v>328</v>
      </c>
      <c r="F1506" s="36" t="s">
        <v>58</v>
      </c>
      <c r="G1506" s="37">
        <f>G1507+G1511</f>
        <v>34739920</v>
      </c>
      <c r="H1506" s="37">
        <f>H1507+H1511</f>
        <v>30893890</v>
      </c>
      <c r="I1506" s="37">
        <f>I1507+I1511</f>
        <v>30893890</v>
      </c>
      <c r="J1506" s="16">
        <f>'БА в тыс. руб.'!G1506*1000</f>
        <v>34739920</v>
      </c>
      <c r="K1506" s="169">
        <f t="shared" si="1016"/>
        <v>0</v>
      </c>
      <c r="L1506" s="16">
        <f>'БА в тыс. руб.'!H1506*1000</f>
        <v>30893890</v>
      </c>
      <c r="M1506" s="169">
        <f t="shared" si="1017"/>
        <v>0</v>
      </c>
      <c r="N1506" s="16">
        <f>'БА в тыс. руб.'!I1506*1000</f>
        <v>30893890</v>
      </c>
      <c r="O1506" s="169">
        <f t="shared" si="1018"/>
        <v>0</v>
      </c>
      <c r="S1506" s="30"/>
      <c r="T1506" s="30"/>
      <c r="U1506" s="30"/>
    </row>
    <row r="1507" spans="1:21" s="3" customFormat="1" ht="38.25">
      <c r="A1507" s="34" t="s">
        <v>638</v>
      </c>
      <c r="B1507" s="36" t="s">
        <v>20</v>
      </c>
      <c r="C1507" s="36">
        <v>10</v>
      </c>
      <c r="D1507" s="36" t="s">
        <v>53</v>
      </c>
      <c r="E1507" s="36" t="s">
        <v>634</v>
      </c>
      <c r="F1507" s="36" t="s">
        <v>58</v>
      </c>
      <c r="G1507" s="37">
        <f t="shared" ref="G1507:I1509" si="1038">G1508</f>
        <v>2757000</v>
      </c>
      <c r="H1507" s="37">
        <f t="shared" si="1038"/>
        <v>2109260</v>
      </c>
      <c r="I1507" s="37">
        <f t="shared" si="1038"/>
        <v>2109260</v>
      </c>
      <c r="J1507" s="16">
        <f>'БА в тыс. руб.'!G1507*1000</f>
        <v>2757000</v>
      </c>
      <c r="K1507" s="169">
        <f t="shared" si="1016"/>
        <v>0</v>
      </c>
      <c r="L1507" s="16">
        <f>'БА в тыс. руб.'!H1507*1000</f>
        <v>2109260</v>
      </c>
      <c r="M1507" s="169">
        <f t="shared" si="1017"/>
        <v>0</v>
      </c>
      <c r="N1507" s="16">
        <f>'БА в тыс. руб.'!I1507*1000</f>
        <v>2109260</v>
      </c>
      <c r="O1507" s="169">
        <f t="shared" si="1018"/>
        <v>0</v>
      </c>
      <c r="S1507" s="30"/>
      <c r="T1507" s="30"/>
      <c r="U1507" s="30"/>
    </row>
    <row r="1508" spans="1:21" s="3" customFormat="1" ht="38.25">
      <c r="A1508" s="11" t="s">
        <v>533</v>
      </c>
      <c r="B1508" s="26" t="s">
        <v>20</v>
      </c>
      <c r="C1508" s="26">
        <v>10</v>
      </c>
      <c r="D1508" s="26" t="s">
        <v>53</v>
      </c>
      <c r="E1508" s="26" t="s">
        <v>639</v>
      </c>
      <c r="F1508" s="26" t="s">
        <v>58</v>
      </c>
      <c r="G1508" s="27">
        <f t="shared" si="1038"/>
        <v>2757000</v>
      </c>
      <c r="H1508" s="27">
        <f t="shared" si="1038"/>
        <v>2109260</v>
      </c>
      <c r="I1508" s="27">
        <f t="shared" si="1038"/>
        <v>2109260</v>
      </c>
      <c r="J1508" s="16">
        <f>'БА в тыс. руб.'!G1508*1000</f>
        <v>2757000</v>
      </c>
      <c r="K1508" s="169">
        <f t="shared" si="1016"/>
        <v>0</v>
      </c>
      <c r="L1508" s="16">
        <f>'БА в тыс. руб.'!H1508*1000</f>
        <v>2109260</v>
      </c>
      <c r="M1508" s="169">
        <f t="shared" si="1017"/>
        <v>0</v>
      </c>
      <c r="N1508" s="16">
        <f>'БА в тыс. руб.'!I1508*1000</f>
        <v>2109260</v>
      </c>
      <c r="O1508" s="169">
        <f t="shared" si="1018"/>
        <v>0</v>
      </c>
      <c r="S1508" s="30"/>
      <c r="T1508" s="30"/>
      <c r="U1508" s="30"/>
    </row>
    <row r="1509" spans="1:21" s="3" customFormat="1" ht="38.25">
      <c r="A1509" s="41" t="s">
        <v>561</v>
      </c>
      <c r="B1509" s="26" t="s">
        <v>20</v>
      </c>
      <c r="C1509" s="26">
        <v>10</v>
      </c>
      <c r="D1509" s="26" t="s">
        <v>53</v>
      </c>
      <c r="E1509" s="26" t="s">
        <v>639</v>
      </c>
      <c r="F1509" s="26" t="s">
        <v>101</v>
      </c>
      <c r="G1509" s="27">
        <f>G1510</f>
        <v>2757000</v>
      </c>
      <c r="H1509" s="27">
        <f t="shared" si="1038"/>
        <v>2109260</v>
      </c>
      <c r="I1509" s="27">
        <f t="shared" si="1038"/>
        <v>2109260</v>
      </c>
      <c r="J1509" s="16">
        <f>'БА в тыс. руб.'!G1509*1000</f>
        <v>2757000</v>
      </c>
      <c r="K1509" s="169">
        <f t="shared" si="1016"/>
        <v>0</v>
      </c>
      <c r="L1509" s="16">
        <f>'БА в тыс. руб.'!H1509*1000</f>
        <v>2109260</v>
      </c>
      <c r="M1509" s="169">
        <f t="shared" si="1017"/>
        <v>0</v>
      </c>
      <c r="N1509" s="16">
        <f>'БА в тыс. руб.'!I1509*1000</f>
        <v>2109260</v>
      </c>
      <c r="O1509" s="169">
        <f t="shared" si="1018"/>
        <v>0</v>
      </c>
      <c r="S1509" s="30"/>
      <c r="T1509" s="30"/>
      <c r="U1509" s="30"/>
    </row>
    <row r="1510" spans="1:21" s="4" customFormat="1" ht="51">
      <c r="A1510" s="12" t="s">
        <v>1047</v>
      </c>
      <c r="B1510" s="26" t="s">
        <v>20</v>
      </c>
      <c r="C1510" s="26">
        <v>10</v>
      </c>
      <c r="D1510" s="26" t="s">
        <v>53</v>
      </c>
      <c r="E1510" s="26" t="s">
        <v>639</v>
      </c>
      <c r="F1510" s="26" t="s">
        <v>1050</v>
      </c>
      <c r="G1510" s="27">
        <f t="shared" ref="G1510" si="1039">J1510</f>
        <v>2757000</v>
      </c>
      <c r="H1510" s="27">
        <f>L1510</f>
        <v>2109260</v>
      </c>
      <c r="I1510" s="27">
        <f>N1510</f>
        <v>2109260</v>
      </c>
      <c r="J1510" s="16">
        <f>'БА в тыс. руб.'!G1510*1000</f>
        <v>2757000</v>
      </c>
      <c r="K1510" s="169">
        <f t="shared" si="1016"/>
        <v>0</v>
      </c>
      <c r="L1510" s="16">
        <f>'БА в тыс. руб.'!H1510*1000</f>
        <v>2109260</v>
      </c>
      <c r="M1510" s="169">
        <f t="shared" si="1017"/>
        <v>0</v>
      </c>
      <c r="N1510" s="16">
        <f>'БА в тыс. руб.'!I1510*1000</f>
        <v>2109260</v>
      </c>
      <c r="O1510" s="169">
        <f t="shared" si="1018"/>
        <v>0</v>
      </c>
      <c r="S1510" s="83"/>
      <c r="T1510" s="83"/>
      <c r="U1510" s="83"/>
    </row>
    <row r="1511" spans="1:21" s="3" customFormat="1" ht="51">
      <c r="A1511" s="34" t="s">
        <v>641</v>
      </c>
      <c r="B1511" s="36" t="s">
        <v>20</v>
      </c>
      <c r="C1511" s="36">
        <v>10</v>
      </c>
      <c r="D1511" s="36" t="s">
        <v>53</v>
      </c>
      <c r="E1511" s="36" t="s">
        <v>637</v>
      </c>
      <c r="F1511" s="36" t="s">
        <v>58</v>
      </c>
      <c r="G1511" s="37">
        <f t="shared" ref="G1511:I1513" si="1040">G1512</f>
        <v>31982920</v>
      </c>
      <c r="H1511" s="37">
        <f t="shared" si="1040"/>
        <v>28784630</v>
      </c>
      <c r="I1511" s="37">
        <f t="shared" si="1040"/>
        <v>28784630</v>
      </c>
      <c r="J1511" s="16">
        <f>'БА в тыс. руб.'!G1511*1000</f>
        <v>31982920</v>
      </c>
      <c r="K1511" s="169">
        <f t="shared" si="1016"/>
        <v>0</v>
      </c>
      <c r="L1511" s="16">
        <f>'БА в тыс. руб.'!H1511*1000</f>
        <v>28784630</v>
      </c>
      <c r="M1511" s="169">
        <f t="shared" si="1017"/>
        <v>0</v>
      </c>
      <c r="N1511" s="16">
        <f>'БА в тыс. руб.'!I1511*1000</f>
        <v>28784630</v>
      </c>
      <c r="O1511" s="169">
        <f t="shared" si="1018"/>
        <v>0</v>
      </c>
      <c r="S1511" s="30"/>
      <c r="T1511" s="30"/>
      <c r="U1511" s="30"/>
    </row>
    <row r="1512" spans="1:21" s="3" customFormat="1" ht="38.25">
      <c r="A1512" s="11" t="s">
        <v>534</v>
      </c>
      <c r="B1512" s="26" t="s">
        <v>20</v>
      </c>
      <c r="C1512" s="26">
        <v>10</v>
      </c>
      <c r="D1512" s="26" t="s">
        <v>53</v>
      </c>
      <c r="E1512" s="26" t="s">
        <v>640</v>
      </c>
      <c r="F1512" s="26" t="s">
        <v>58</v>
      </c>
      <c r="G1512" s="27">
        <f t="shared" si="1040"/>
        <v>31982920</v>
      </c>
      <c r="H1512" s="27">
        <f t="shared" si="1040"/>
        <v>28784630</v>
      </c>
      <c r="I1512" s="27">
        <f t="shared" si="1040"/>
        <v>28784630</v>
      </c>
      <c r="J1512" s="16">
        <f>'БА в тыс. руб.'!G1512*1000</f>
        <v>31982920</v>
      </c>
      <c r="K1512" s="169">
        <f t="shared" si="1016"/>
        <v>0</v>
      </c>
      <c r="L1512" s="16">
        <f>'БА в тыс. руб.'!H1512*1000</f>
        <v>28784630</v>
      </c>
      <c r="M1512" s="169">
        <f t="shared" si="1017"/>
        <v>0</v>
      </c>
      <c r="N1512" s="16">
        <f>'БА в тыс. руб.'!I1512*1000</f>
        <v>28784630</v>
      </c>
      <c r="O1512" s="169">
        <f t="shared" si="1018"/>
        <v>0</v>
      </c>
      <c r="S1512" s="30"/>
      <c r="T1512" s="30"/>
      <c r="U1512" s="30"/>
    </row>
    <row r="1513" spans="1:21" s="3" customFormat="1" ht="38.25">
      <c r="A1513" s="41" t="s">
        <v>561</v>
      </c>
      <c r="B1513" s="26" t="s">
        <v>20</v>
      </c>
      <c r="C1513" s="26">
        <v>10</v>
      </c>
      <c r="D1513" s="26" t="s">
        <v>53</v>
      </c>
      <c r="E1513" s="26" t="s">
        <v>640</v>
      </c>
      <c r="F1513" s="26" t="s">
        <v>101</v>
      </c>
      <c r="G1513" s="27">
        <f>G1514</f>
        <v>31982920</v>
      </c>
      <c r="H1513" s="27">
        <f t="shared" si="1040"/>
        <v>28784630</v>
      </c>
      <c r="I1513" s="27">
        <f t="shared" si="1040"/>
        <v>28784630</v>
      </c>
      <c r="J1513" s="16">
        <f>'БА в тыс. руб.'!G1513*1000</f>
        <v>31982920</v>
      </c>
      <c r="K1513" s="169">
        <f t="shared" si="1016"/>
        <v>0</v>
      </c>
      <c r="L1513" s="16">
        <f>'БА в тыс. руб.'!H1513*1000</f>
        <v>28784630</v>
      </c>
      <c r="M1513" s="169">
        <f t="shared" si="1017"/>
        <v>0</v>
      </c>
      <c r="N1513" s="16">
        <f>'БА в тыс. руб.'!I1513*1000</f>
        <v>28784630</v>
      </c>
      <c r="O1513" s="169">
        <f t="shared" si="1018"/>
        <v>0</v>
      </c>
      <c r="S1513" s="30"/>
      <c r="T1513" s="30"/>
      <c r="U1513" s="30"/>
    </row>
    <row r="1514" spans="1:21" s="4" customFormat="1" ht="76.5">
      <c r="A1514" s="12" t="s">
        <v>1048</v>
      </c>
      <c r="B1514" s="26" t="s">
        <v>20</v>
      </c>
      <c r="C1514" s="26">
        <v>10</v>
      </c>
      <c r="D1514" s="26" t="s">
        <v>53</v>
      </c>
      <c r="E1514" s="26" t="s">
        <v>640</v>
      </c>
      <c r="F1514" s="26" t="s">
        <v>1051</v>
      </c>
      <c r="G1514" s="27">
        <f t="shared" ref="G1514" si="1041">J1514</f>
        <v>31982920</v>
      </c>
      <c r="H1514" s="27">
        <f>L1514</f>
        <v>28784630</v>
      </c>
      <c r="I1514" s="27">
        <f>N1514</f>
        <v>28784630</v>
      </c>
      <c r="J1514" s="16">
        <f>'БА в тыс. руб.'!G1514*1000</f>
        <v>31982920</v>
      </c>
      <c r="K1514" s="169">
        <f t="shared" si="1016"/>
        <v>0</v>
      </c>
      <c r="L1514" s="16">
        <f>'БА в тыс. руб.'!H1514*1000</f>
        <v>28784630</v>
      </c>
      <c r="M1514" s="169">
        <f t="shared" si="1017"/>
        <v>0</v>
      </c>
      <c r="N1514" s="16">
        <f>'БА в тыс. руб.'!I1514*1000</f>
        <v>28784630</v>
      </c>
      <c r="O1514" s="169">
        <f t="shared" si="1018"/>
        <v>0</v>
      </c>
      <c r="S1514" s="83"/>
      <c r="T1514" s="83"/>
      <c r="U1514" s="83"/>
    </row>
    <row r="1515" spans="1:21" s="3" customFormat="1" ht="25.5">
      <c r="A1515" s="11" t="s">
        <v>733</v>
      </c>
      <c r="B1515" s="36" t="s">
        <v>20</v>
      </c>
      <c r="C1515" s="36" t="s">
        <v>14</v>
      </c>
      <c r="D1515" s="36" t="s">
        <v>53</v>
      </c>
      <c r="E1515" s="36" t="s">
        <v>524</v>
      </c>
      <c r="F1515" s="36" t="s">
        <v>58</v>
      </c>
      <c r="G1515" s="37">
        <f t="shared" ref="G1515:I1515" si="1042">G1516</f>
        <v>3160700</v>
      </c>
      <c r="H1515" s="37">
        <f t="shared" si="1042"/>
        <v>2604630</v>
      </c>
      <c r="I1515" s="37">
        <f t="shared" si="1042"/>
        <v>2604630</v>
      </c>
      <c r="J1515" s="16">
        <f>'БА в тыс. руб.'!G1515*1000</f>
        <v>3160700</v>
      </c>
      <c r="K1515" s="169">
        <f t="shared" si="1016"/>
        <v>0</v>
      </c>
      <c r="L1515" s="16">
        <f>'БА в тыс. руб.'!H1515*1000</f>
        <v>2604630</v>
      </c>
      <c r="M1515" s="169">
        <f t="shared" si="1017"/>
        <v>0</v>
      </c>
      <c r="N1515" s="16">
        <f>'БА в тыс. руб.'!I1515*1000</f>
        <v>2604630</v>
      </c>
      <c r="O1515" s="169">
        <f t="shared" si="1018"/>
        <v>0</v>
      </c>
      <c r="S1515" s="30"/>
      <c r="T1515" s="30"/>
      <c r="U1515" s="30"/>
    </row>
    <row r="1516" spans="1:21" s="3" customFormat="1" ht="25.5">
      <c r="A1516" s="34" t="s">
        <v>735</v>
      </c>
      <c r="B1516" s="36" t="s">
        <v>20</v>
      </c>
      <c r="C1516" s="36" t="s">
        <v>14</v>
      </c>
      <c r="D1516" s="36" t="s">
        <v>53</v>
      </c>
      <c r="E1516" s="36" t="s">
        <v>734</v>
      </c>
      <c r="F1516" s="36" t="s">
        <v>58</v>
      </c>
      <c r="G1516" s="37">
        <f>G1517</f>
        <v>3160700</v>
      </c>
      <c r="H1516" s="37">
        <f>H1517</f>
        <v>2604630</v>
      </c>
      <c r="I1516" s="37">
        <f>I1517</f>
        <v>2604630</v>
      </c>
      <c r="J1516" s="16">
        <f>'БА в тыс. руб.'!G1516*1000</f>
        <v>3160700</v>
      </c>
      <c r="K1516" s="169">
        <f t="shared" si="1016"/>
        <v>0</v>
      </c>
      <c r="L1516" s="16">
        <f>'БА в тыс. руб.'!H1516*1000</f>
        <v>2604630</v>
      </c>
      <c r="M1516" s="169">
        <f t="shared" si="1017"/>
        <v>0</v>
      </c>
      <c r="N1516" s="16">
        <f>'БА в тыс. руб.'!I1516*1000</f>
        <v>2604630</v>
      </c>
      <c r="O1516" s="169">
        <f t="shared" si="1018"/>
        <v>0</v>
      </c>
      <c r="S1516" s="30"/>
      <c r="T1516" s="30"/>
      <c r="U1516" s="30"/>
    </row>
    <row r="1517" spans="1:21" s="3" customFormat="1" ht="25.5">
      <c r="A1517" s="34" t="s">
        <v>535</v>
      </c>
      <c r="B1517" s="36" t="s">
        <v>20</v>
      </c>
      <c r="C1517" s="36" t="s">
        <v>14</v>
      </c>
      <c r="D1517" s="36" t="s">
        <v>53</v>
      </c>
      <c r="E1517" s="36" t="s">
        <v>761</v>
      </c>
      <c r="F1517" s="36" t="s">
        <v>58</v>
      </c>
      <c r="G1517" s="37">
        <f>G1518</f>
        <v>3160700</v>
      </c>
      <c r="H1517" s="37">
        <f t="shared" ref="H1517:I1517" si="1043">H1518</f>
        <v>2604630</v>
      </c>
      <c r="I1517" s="37">
        <f t="shared" si="1043"/>
        <v>2604630</v>
      </c>
      <c r="J1517" s="16">
        <f>'БА в тыс. руб.'!G1517*1000</f>
        <v>3160700</v>
      </c>
      <c r="K1517" s="169">
        <f t="shared" si="1016"/>
        <v>0</v>
      </c>
      <c r="L1517" s="16">
        <f>'БА в тыс. руб.'!H1517*1000</f>
        <v>2604630</v>
      </c>
      <c r="M1517" s="169">
        <f t="shared" si="1017"/>
        <v>0</v>
      </c>
      <c r="N1517" s="16">
        <f>'БА в тыс. руб.'!I1517*1000</f>
        <v>2604630</v>
      </c>
      <c r="O1517" s="169">
        <f t="shared" si="1018"/>
        <v>0</v>
      </c>
      <c r="S1517" s="30"/>
      <c r="T1517" s="30"/>
      <c r="U1517" s="30"/>
    </row>
    <row r="1518" spans="1:21" s="3" customFormat="1" ht="38.25">
      <c r="A1518" s="11" t="s">
        <v>898</v>
      </c>
      <c r="B1518" s="36" t="s">
        <v>20</v>
      </c>
      <c r="C1518" s="36" t="s">
        <v>14</v>
      </c>
      <c r="D1518" s="36" t="s">
        <v>53</v>
      </c>
      <c r="E1518" s="36" t="s">
        <v>769</v>
      </c>
      <c r="F1518" s="36" t="s">
        <v>58</v>
      </c>
      <c r="G1518" s="37">
        <f>G1519</f>
        <v>3160700</v>
      </c>
      <c r="H1518" s="37">
        <f>H1519</f>
        <v>2604630</v>
      </c>
      <c r="I1518" s="37">
        <f>I1519</f>
        <v>2604630</v>
      </c>
      <c r="J1518" s="16">
        <f>'БА в тыс. руб.'!G1518*1000</f>
        <v>3160700</v>
      </c>
      <c r="K1518" s="169">
        <f t="shared" si="1016"/>
        <v>0</v>
      </c>
      <c r="L1518" s="16">
        <f>'БА в тыс. руб.'!H1518*1000</f>
        <v>2604630</v>
      </c>
      <c r="M1518" s="169">
        <f t="shared" si="1017"/>
        <v>0</v>
      </c>
      <c r="N1518" s="16">
        <f>'БА в тыс. руб.'!I1518*1000</f>
        <v>2604630</v>
      </c>
      <c r="O1518" s="169">
        <f t="shared" si="1018"/>
        <v>0</v>
      </c>
      <c r="S1518" s="30"/>
      <c r="T1518" s="30"/>
      <c r="U1518" s="30"/>
    </row>
    <row r="1519" spans="1:21" s="3" customFormat="1" ht="25.5">
      <c r="A1519" s="13" t="s">
        <v>110</v>
      </c>
      <c r="B1519" s="36" t="s">
        <v>20</v>
      </c>
      <c r="C1519" s="36" t="s">
        <v>14</v>
      </c>
      <c r="D1519" s="36" t="s">
        <v>53</v>
      </c>
      <c r="E1519" s="36" t="s">
        <v>769</v>
      </c>
      <c r="F1519" s="36" t="s">
        <v>117</v>
      </c>
      <c r="G1519" s="37">
        <f>G1520</f>
        <v>3160700</v>
      </c>
      <c r="H1519" s="37">
        <f t="shared" ref="H1519:I1519" si="1044">H1520</f>
        <v>2604630</v>
      </c>
      <c r="I1519" s="37">
        <f t="shared" si="1044"/>
        <v>2604630</v>
      </c>
      <c r="J1519" s="16">
        <f>'БА в тыс. руб.'!G1519*1000</f>
        <v>3160700</v>
      </c>
      <c r="K1519" s="169">
        <f t="shared" si="1016"/>
        <v>0</v>
      </c>
      <c r="L1519" s="16">
        <f>'БА в тыс. руб.'!H1519*1000</f>
        <v>2604630</v>
      </c>
      <c r="M1519" s="169">
        <f t="shared" si="1017"/>
        <v>0</v>
      </c>
      <c r="N1519" s="16">
        <f>'БА в тыс. руб.'!I1519*1000</f>
        <v>2604630</v>
      </c>
      <c r="O1519" s="169">
        <f t="shared" si="1018"/>
        <v>0</v>
      </c>
      <c r="S1519" s="30"/>
      <c r="T1519" s="30"/>
      <c r="U1519" s="30"/>
    </row>
    <row r="1520" spans="1:21" s="4" customFormat="1">
      <c r="A1520" s="12" t="s">
        <v>980</v>
      </c>
      <c r="B1520" s="36" t="s">
        <v>20</v>
      </c>
      <c r="C1520" s="36" t="s">
        <v>14</v>
      </c>
      <c r="D1520" s="36" t="s">
        <v>53</v>
      </c>
      <c r="E1520" s="36" t="s">
        <v>769</v>
      </c>
      <c r="F1520" s="36" t="s">
        <v>1053</v>
      </c>
      <c r="G1520" s="27">
        <f t="shared" ref="G1520" si="1045">J1520</f>
        <v>3160700</v>
      </c>
      <c r="H1520" s="27">
        <f t="shared" ref="H1520" si="1046">L1520</f>
        <v>2604630</v>
      </c>
      <c r="I1520" s="27">
        <f t="shared" ref="I1520" si="1047">N1520</f>
        <v>2604630</v>
      </c>
      <c r="J1520" s="16">
        <f>'БА в тыс. руб.'!G1520*1000</f>
        <v>3160700</v>
      </c>
      <c r="K1520" s="169">
        <f t="shared" si="1016"/>
        <v>0</v>
      </c>
      <c r="L1520" s="16">
        <f>'БА в тыс. руб.'!H1520*1000</f>
        <v>2604630</v>
      </c>
      <c r="M1520" s="169">
        <f t="shared" si="1017"/>
        <v>0</v>
      </c>
      <c r="N1520" s="16">
        <f>'БА в тыс. руб.'!I1520*1000</f>
        <v>2604630</v>
      </c>
      <c r="O1520" s="169">
        <f t="shared" si="1018"/>
        <v>0</v>
      </c>
      <c r="S1520" s="83"/>
      <c r="T1520" s="83"/>
      <c r="U1520" s="83"/>
    </row>
    <row r="1521" spans="1:21" s="3" customFormat="1">
      <c r="A1521" s="13"/>
      <c r="B1521" s="36"/>
      <c r="C1521" s="36"/>
      <c r="D1521" s="36"/>
      <c r="E1521" s="36"/>
      <c r="F1521" s="36"/>
      <c r="G1521" s="27"/>
      <c r="H1521" s="27"/>
      <c r="I1521" s="27"/>
      <c r="J1521" s="16">
        <f>'БА в тыс. руб.'!G1521*1000</f>
        <v>0</v>
      </c>
      <c r="K1521" s="169">
        <f t="shared" si="1016"/>
        <v>0</v>
      </c>
      <c r="L1521" s="16">
        <f>'БА в тыс. руб.'!H1521*1000</f>
        <v>0</v>
      </c>
      <c r="M1521" s="169">
        <f t="shared" si="1017"/>
        <v>0</v>
      </c>
      <c r="N1521" s="16">
        <f>'БА в тыс. руб.'!I1521*1000</f>
        <v>0</v>
      </c>
      <c r="O1521" s="169">
        <f t="shared" si="1018"/>
        <v>0</v>
      </c>
      <c r="S1521" s="30"/>
      <c r="T1521" s="30"/>
      <c r="U1521" s="30"/>
    </row>
    <row r="1522" spans="1:21" s="3" customFormat="1">
      <c r="A1522" s="28" t="s">
        <v>15</v>
      </c>
      <c r="B1522" s="14" t="s">
        <v>16</v>
      </c>
      <c r="C1522" s="15" t="s">
        <v>51</v>
      </c>
      <c r="D1522" s="15" t="s">
        <v>51</v>
      </c>
      <c r="E1522" s="15" t="s">
        <v>196</v>
      </c>
      <c r="F1522" s="15" t="s">
        <v>58</v>
      </c>
      <c r="G1522" s="29">
        <f>G1523+G1553+G1578+G1599+G1570</f>
        <v>1139651510</v>
      </c>
      <c r="H1522" s="29">
        <f>H1523+H1553+H1578+H1599+H1570</f>
        <v>71889250</v>
      </c>
      <c r="I1522" s="29">
        <f>I1523+I1553+I1578+I1599+I1570</f>
        <v>77315300</v>
      </c>
      <c r="J1522" s="16">
        <f>'БА в тыс. руб.'!G1522*1000</f>
        <v>1139651510</v>
      </c>
      <c r="K1522" s="169">
        <f t="shared" si="1016"/>
        <v>0</v>
      </c>
      <c r="L1522" s="16">
        <f>'БА в тыс. руб.'!H1522*1000</f>
        <v>71889250</v>
      </c>
      <c r="M1522" s="169">
        <f t="shared" si="1017"/>
        <v>0</v>
      </c>
      <c r="N1522" s="16">
        <f>'БА в тыс. руб.'!I1522*1000</f>
        <v>77315300</v>
      </c>
      <c r="O1522" s="169">
        <f t="shared" si="1018"/>
        <v>0</v>
      </c>
      <c r="S1522" s="30"/>
      <c r="T1522" s="30"/>
      <c r="U1522" s="30"/>
    </row>
    <row r="1523" spans="1:21" s="3" customFormat="1">
      <c r="A1523" s="17" t="s">
        <v>64</v>
      </c>
      <c r="B1523" s="18" t="s">
        <v>16</v>
      </c>
      <c r="C1523" s="19" t="s">
        <v>65</v>
      </c>
      <c r="D1523" s="19" t="s">
        <v>51</v>
      </c>
      <c r="E1523" s="19" t="s">
        <v>196</v>
      </c>
      <c r="F1523" s="19" t="s">
        <v>58</v>
      </c>
      <c r="G1523" s="20">
        <f>G1524</f>
        <v>52002390</v>
      </c>
      <c r="H1523" s="20">
        <f>H1524</f>
        <v>51780950</v>
      </c>
      <c r="I1523" s="20">
        <f>I1524</f>
        <v>51780950</v>
      </c>
      <c r="J1523" s="16">
        <f>'БА в тыс. руб.'!G1523*1000</f>
        <v>52002389.999999993</v>
      </c>
      <c r="K1523" s="169">
        <f t="shared" si="1016"/>
        <v>0</v>
      </c>
      <c r="L1523" s="16">
        <f>'БА в тыс. руб.'!H1523*1000</f>
        <v>51780950</v>
      </c>
      <c r="M1523" s="169">
        <f t="shared" si="1017"/>
        <v>0</v>
      </c>
      <c r="N1523" s="16">
        <f>'БА в тыс. руб.'!I1523*1000</f>
        <v>51780950</v>
      </c>
      <c r="O1523" s="169">
        <f t="shared" si="1018"/>
        <v>0</v>
      </c>
      <c r="S1523" s="30"/>
      <c r="T1523" s="30"/>
      <c r="U1523" s="30"/>
    </row>
    <row r="1524" spans="1:21" s="3" customFormat="1">
      <c r="A1524" s="21" t="s">
        <v>38</v>
      </c>
      <c r="B1524" s="22" t="s">
        <v>16</v>
      </c>
      <c r="C1524" s="23" t="s">
        <v>65</v>
      </c>
      <c r="D1524" s="23" t="s">
        <v>84</v>
      </c>
      <c r="E1524" s="23" t="s">
        <v>196</v>
      </c>
      <c r="F1524" s="23" t="s">
        <v>58</v>
      </c>
      <c r="G1524" s="24">
        <f>G1525+G1531</f>
        <v>52002390</v>
      </c>
      <c r="H1524" s="24">
        <f>H1525+H1531</f>
        <v>51780950</v>
      </c>
      <c r="I1524" s="24">
        <f>I1525+I1531</f>
        <v>51780950</v>
      </c>
      <c r="J1524" s="16">
        <f>'БА в тыс. руб.'!G1524*1000</f>
        <v>52002389.999999993</v>
      </c>
      <c r="K1524" s="169">
        <f t="shared" si="1016"/>
        <v>0</v>
      </c>
      <c r="L1524" s="16">
        <f>'БА в тыс. руб.'!H1524*1000</f>
        <v>51780950</v>
      </c>
      <c r="M1524" s="169">
        <f t="shared" si="1017"/>
        <v>0</v>
      </c>
      <c r="N1524" s="16">
        <f>'БА в тыс. руб.'!I1524*1000</f>
        <v>51780950</v>
      </c>
      <c r="O1524" s="169">
        <f t="shared" si="1018"/>
        <v>0</v>
      </c>
      <c r="S1524" s="30"/>
      <c r="T1524" s="30"/>
      <c r="U1524" s="30"/>
    </row>
    <row r="1525" spans="1:21" s="3" customFormat="1" ht="38.25">
      <c r="A1525" s="34" t="s">
        <v>751</v>
      </c>
      <c r="B1525" s="25" t="s">
        <v>16</v>
      </c>
      <c r="C1525" s="26" t="s">
        <v>65</v>
      </c>
      <c r="D1525" s="26" t="s">
        <v>84</v>
      </c>
      <c r="E1525" s="26" t="s">
        <v>229</v>
      </c>
      <c r="F1525" s="26" t="s">
        <v>58</v>
      </c>
      <c r="G1525" s="27">
        <f t="shared" ref="G1525:I1529" si="1048">G1526</f>
        <v>1000000</v>
      </c>
      <c r="H1525" s="27">
        <f t="shared" si="1048"/>
        <v>765000</v>
      </c>
      <c r="I1525" s="27">
        <f t="shared" si="1048"/>
        <v>765000</v>
      </c>
      <c r="J1525" s="16">
        <f>'БА в тыс. руб.'!G1525*1000</f>
        <v>1000000</v>
      </c>
      <c r="K1525" s="169">
        <f t="shared" si="1016"/>
        <v>0</v>
      </c>
      <c r="L1525" s="16">
        <f>'БА в тыс. руб.'!H1525*1000</f>
        <v>765000</v>
      </c>
      <c r="M1525" s="169">
        <f t="shared" si="1017"/>
        <v>0</v>
      </c>
      <c r="N1525" s="16">
        <f>'БА в тыс. руб.'!I1525*1000</f>
        <v>765000</v>
      </c>
      <c r="O1525" s="169">
        <f t="shared" si="1018"/>
        <v>0</v>
      </c>
      <c r="S1525" s="30"/>
      <c r="T1525" s="30"/>
      <c r="U1525" s="30"/>
    </row>
    <row r="1526" spans="1:21" s="3" customFormat="1" ht="25.5">
      <c r="A1526" s="11" t="s">
        <v>119</v>
      </c>
      <c r="B1526" s="25" t="s">
        <v>16</v>
      </c>
      <c r="C1526" s="26" t="s">
        <v>65</v>
      </c>
      <c r="D1526" s="26" t="s">
        <v>84</v>
      </c>
      <c r="E1526" s="26" t="s">
        <v>230</v>
      </c>
      <c r="F1526" s="26" t="s">
        <v>58</v>
      </c>
      <c r="G1526" s="27">
        <f t="shared" si="1048"/>
        <v>1000000</v>
      </c>
      <c r="H1526" s="27">
        <f t="shared" si="1048"/>
        <v>765000</v>
      </c>
      <c r="I1526" s="27">
        <f t="shared" si="1048"/>
        <v>765000</v>
      </c>
      <c r="J1526" s="16">
        <f>'БА в тыс. руб.'!G1526*1000</f>
        <v>1000000</v>
      </c>
      <c r="K1526" s="169">
        <f t="shared" si="1016"/>
        <v>0</v>
      </c>
      <c r="L1526" s="16">
        <f>'БА в тыс. руб.'!H1526*1000</f>
        <v>765000</v>
      </c>
      <c r="M1526" s="169">
        <f t="shared" si="1017"/>
        <v>0</v>
      </c>
      <c r="N1526" s="16">
        <f>'БА в тыс. руб.'!I1526*1000</f>
        <v>765000</v>
      </c>
      <c r="O1526" s="169">
        <f t="shared" si="1018"/>
        <v>0</v>
      </c>
      <c r="S1526" s="30"/>
      <c r="T1526" s="30"/>
      <c r="U1526" s="30"/>
    </row>
    <row r="1527" spans="1:21" s="3" customFormat="1" ht="38.25">
      <c r="A1527" s="11" t="s">
        <v>579</v>
      </c>
      <c r="B1527" s="25" t="s">
        <v>16</v>
      </c>
      <c r="C1527" s="26" t="s">
        <v>65</v>
      </c>
      <c r="D1527" s="26" t="s">
        <v>84</v>
      </c>
      <c r="E1527" s="26" t="s">
        <v>235</v>
      </c>
      <c r="F1527" s="26" t="s">
        <v>58</v>
      </c>
      <c r="G1527" s="27">
        <f t="shared" si="1048"/>
        <v>1000000</v>
      </c>
      <c r="H1527" s="27">
        <f t="shared" si="1048"/>
        <v>765000</v>
      </c>
      <c r="I1527" s="27">
        <f t="shared" si="1048"/>
        <v>765000</v>
      </c>
      <c r="J1527" s="16">
        <f>'БА в тыс. руб.'!G1527*1000</f>
        <v>1000000</v>
      </c>
      <c r="K1527" s="169">
        <f t="shared" si="1016"/>
        <v>0</v>
      </c>
      <c r="L1527" s="16">
        <f>'БА в тыс. руб.'!H1527*1000</f>
        <v>765000</v>
      </c>
      <c r="M1527" s="169">
        <f t="shared" si="1017"/>
        <v>0</v>
      </c>
      <c r="N1527" s="16">
        <f>'БА в тыс. руб.'!I1527*1000</f>
        <v>765000</v>
      </c>
      <c r="O1527" s="169">
        <f t="shared" si="1018"/>
        <v>0</v>
      </c>
      <c r="S1527" s="30"/>
      <c r="T1527" s="30"/>
      <c r="U1527" s="30"/>
    </row>
    <row r="1528" spans="1:21" s="3" customFormat="1" ht="25.5">
      <c r="A1528" s="11" t="s">
        <v>170</v>
      </c>
      <c r="B1528" s="25" t="s">
        <v>16</v>
      </c>
      <c r="C1528" s="26" t="s">
        <v>65</v>
      </c>
      <c r="D1528" s="26" t="s">
        <v>84</v>
      </c>
      <c r="E1528" s="26" t="s">
        <v>236</v>
      </c>
      <c r="F1528" s="26" t="s">
        <v>58</v>
      </c>
      <c r="G1528" s="27">
        <f t="shared" si="1048"/>
        <v>1000000</v>
      </c>
      <c r="H1528" s="27">
        <f t="shared" si="1048"/>
        <v>765000</v>
      </c>
      <c r="I1528" s="27">
        <f t="shared" si="1048"/>
        <v>765000</v>
      </c>
      <c r="J1528" s="16">
        <f>'БА в тыс. руб.'!G1528*1000</f>
        <v>1000000</v>
      </c>
      <c r="K1528" s="169">
        <f t="shared" si="1016"/>
        <v>0</v>
      </c>
      <c r="L1528" s="16">
        <f>'БА в тыс. руб.'!H1528*1000</f>
        <v>765000</v>
      </c>
      <c r="M1528" s="169">
        <f t="shared" si="1017"/>
        <v>0</v>
      </c>
      <c r="N1528" s="16">
        <f>'БА в тыс. руб.'!I1528*1000</f>
        <v>765000</v>
      </c>
      <c r="O1528" s="169">
        <f t="shared" si="1018"/>
        <v>0</v>
      </c>
      <c r="S1528" s="30"/>
      <c r="T1528" s="30"/>
      <c r="U1528" s="30"/>
    </row>
    <row r="1529" spans="1:21" s="3" customFormat="1" ht="25.5">
      <c r="A1529" s="11" t="s">
        <v>108</v>
      </c>
      <c r="B1529" s="25" t="s">
        <v>16</v>
      </c>
      <c r="C1529" s="26" t="s">
        <v>65</v>
      </c>
      <c r="D1529" s="26" t="s">
        <v>84</v>
      </c>
      <c r="E1529" s="26" t="s">
        <v>236</v>
      </c>
      <c r="F1529" s="26" t="s">
        <v>116</v>
      </c>
      <c r="G1529" s="27">
        <f>G1530</f>
        <v>1000000</v>
      </c>
      <c r="H1529" s="27">
        <f t="shared" si="1048"/>
        <v>765000</v>
      </c>
      <c r="I1529" s="27">
        <f t="shared" si="1048"/>
        <v>765000</v>
      </c>
      <c r="J1529" s="16">
        <f>'БА в тыс. руб.'!G1529*1000</f>
        <v>1000000</v>
      </c>
      <c r="K1529" s="169">
        <f t="shared" si="1016"/>
        <v>0</v>
      </c>
      <c r="L1529" s="16">
        <f>'БА в тыс. руб.'!H1529*1000</f>
        <v>765000</v>
      </c>
      <c r="M1529" s="169">
        <f t="shared" si="1017"/>
        <v>0</v>
      </c>
      <c r="N1529" s="16">
        <f>'БА в тыс. руб.'!I1529*1000</f>
        <v>765000</v>
      </c>
      <c r="O1529" s="169">
        <f t="shared" si="1018"/>
        <v>0</v>
      </c>
      <c r="S1529" s="30"/>
      <c r="T1529" s="30"/>
      <c r="U1529" s="30"/>
    </row>
    <row r="1530" spans="1:21" s="4" customFormat="1" ht="25.5">
      <c r="A1530" s="12" t="s">
        <v>973</v>
      </c>
      <c r="B1530" s="25" t="s">
        <v>16</v>
      </c>
      <c r="C1530" s="26" t="s">
        <v>65</v>
      </c>
      <c r="D1530" s="26" t="s">
        <v>84</v>
      </c>
      <c r="E1530" s="26" t="s">
        <v>236</v>
      </c>
      <c r="F1530" s="26" t="s">
        <v>1043</v>
      </c>
      <c r="G1530" s="27">
        <f t="shared" ref="G1530" si="1049">J1530</f>
        <v>1000000</v>
      </c>
      <c r="H1530" s="27">
        <f>L1530</f>
        <v>765000</v>
      </c>
      <c r="I1530" s="27">
        <f>N1530</f>
        <v>765000</v>
      </c>
      <c r="J1530" s="16">
        <f>'БА в тыс. руб.'!G1530*1000</f>
        <v>1000000</v>
      </c>
      <c r="K1530" s="169">
        <f t="shared" si="1016"/>
        <v>0</v>
      </c>
      <c r="L1530" s="16">
        <f>'БА в тыс. руб.'!H1530*1000</f>
        <v>765000</v>
      </c>
      <c r="M1530" s="169">
        <f t="shared" si="1017"/>
        <v>0</v>
      </c>
      <c r="N1530" s="16">
        <f>'БА в тыс. руб.'!I1530*1000</f>
        <v>765000</v>
      </c>
      <c r="O1530" s="169">
        <f t="shared" si="1018"/>
        <v>0</v>
      </c>
      <c r="S1530" s="83"/>
      <c r="T1530" s="83"/>
      <c r="U1530" s="83"/>
    </row>
    <row r="1531" spans="1:21" s="3" customFormat="1" ht="25.5">
      <c r="A1531" s="150" t="s">
        <v>195</v>
      </c>
      <c r="B1531" s="25" t="s">
        <v>16</v>
      </c>
      <c r="C1531" s="26" t="s">
        <v>65</v>
      </c>
      <c r="D1531" s="26" t="s">
        <v>84</v>
      </c>
      <c r="E1531" s="26" t="s">
        <v>572</v>
      </c>
      <c r="F1531" s="26" t="s">
        <v>58</v>
      </c>
      <c r="G1531" s="27">
        <f>G1532+G1546</f>
        <v>51002390</v>
      </c>
      <c r="H1531" s="27">
        <f>H1532+H1546</f>
        <v>51015950</v>
      </c>
      <c r="I1531" s="27">
        <f>I1532+I1546</f>
        <v>51015950</v>
      </c>
      <c r="J1531" s="16">
        <f>'БА в тыс. руб.'!G1531*1000</f>
        <v>51002389.999999993</v>
      </c>
      <c r="K1531" s="169">
        <f t="shared" si="1016"/>
        <v>0</v>
      </c>
      <c r="L1531" s="16">
        <f>'БА в тыс. руб.'!H1531*1000</f>
        <v>51015950</v>
      </c>
      <c r="M1531" s="169">
        <f t="shared" si="1017"/>
        <v>0</v>
      </c>
      <c r="N1531" s="16">
        <f>'БА в тыс. руб.'!I1531*1000</f>
        <v>51015950</v>
      </c>
      <c r="O1531" s="169">
        <f t="shared" si="1018"/>
        <v>0</v>
      </c>
      <c r="S1531" s="30"/>
      <c r="T1531" s="30"/>
      <c r="U1531" s="30"/>
    </row>
    <row r="1532" spans="1:21" s="3" customFormat="1" ht="25.5">
      <c r="A1532" s="151" t="s">
        <v>580</v>
      </c>
      <c r="B1532" s="25" t="s">
        <v>16</v>
      </c>
      <c r="C1532" s="26" t="s">
        <v>65</v>
      </c>
      <c r="D1532" s="26" t="s">
        <v>84</v>
      </c>
      <c r="E1532" s="26" t="s">
        <v>573</v>
      </c>
      <c r="F1532" s="26" t="s">
        <v>58</v>
      </c>
      <c r="G1532" s="27">
        <f>G1533+G1542</f>
        <v>46902390</v>
      </c>
      <c r="H1532" s="27">
        <f>H1533+H1542</f>
        <v>46915950</v>
      </c>
      <c r="I1532" s="27">
        <f>I1533+I1542</f>
        <v>46915950</v>
      </c>
      <c r="J1532" s="16">
        <f>'БА в тыс. руб.'!G1532*1000</f>
        <v>46902389.999999993</v>
      </c>
      <c r="K1532" s="169">
        <f t="shared" si="1016"/>
        <v>0</v>
      </c>
      <c r="L1532" s="16">
        <f>'БА в тыс. руб.'!H1532*1000</f>
        <v>46915950</v>
      </c>
      <c r="M1532" s="169">
        <f t="shared" si="1017"/>
        <v>0</v>
      </c>
      <c r="N1532" s="16">
        <f>'БА в тыс. руб.'!I1532*1000</f>
        <v>46915950</v>
      </c>
      <c r="O1532" s="169">
        <f t="shared" si="1018"/>
        <v>0</v>
      </c>
      <c r="S1532" s="30"/>
      <c r="T1532" s="30"/>
      <c r="U1532" s="30"/>
    </row>
    <row r="1533" spans="1:21" s="3" customFormat="1" ht="25.5">
      <c r="A1533" s="150" t="s">
        <v>114</v>
      </c>
      <c r="B1533" s="25" t="s">
        <v>16</v>
      </c>
      <c r="C1533" s="26" t="s">
        <v>65</v>
      </c>
      <c r="D1533" s="26" t="s">
        <v>84</v>
      </c>
      <c r="E1533" s="26" t="s">
        <v>574</v>
      </c>
      <c r="F1533" s="26" t="s">
        <v>58</v>
      </c>
      <c r="G1533" s="27">
        <f>G1534+G1537+G1539</f>
        <v>4071019.9999999995</v>
      </c>
      <c r="H1533" s="27">
        <f t="shared" ref="H1533:I1533" si="1050">H1534+H1537+H1539</f>
        <v>4084580</v>
      </c>
      <c r="I1533" s="27">
        <f t="shared" si="1050"/>
        <v>4084580</v>
      </c>
      <c r="J1533" s="16">
        <f>'БА в тыс. руб.'!G1533*1000</f>
        <v>4071019.9999999995</v>
      </c>
      <c r="K1533" s="169">
        <f t="shared" si="1016"/>
        <v>0</v>
      </c>
      <c r="L1533" s="16">
        <f>'БА в тыс. руб.'!H1533*1000</f>
        <v>4084580</v>
      </c>
      <c r="M1533" s="169">
        <f t="shared" si="1017"/>
        <v>0</v>
      </c>
      <c r="N1533" s="16">
        <f>'БА в тыс. руб.'!I1533*1000</f>
        <v>4084580</v>
      </c>
      <c r="O1533" s="169">
        <f t="shared" si="1018"/>
        <v>0</v>
      </c>
      <c r="S1533" s="30"/>
      <c r="T1533" s="30"/>
      <c r="U1533" s="30"/>
    </row>
    <row r="1534" spans="1:21" s="3" customFormat="1" ht="25.5">
      <c r="A1534" s="13" t="s">
        <v>107</v>
      </c>
      <c r="B1534" s="25" t="s">
        <v>16</v>
      </c>
      <c r="C1534" s="26" t="s">
        <v>65</v>
      </c>
      <c r="D1534" s="26" t="s">
        <v>84</v>
      </c>
      <c r="E1534" s="26" t="s">
        <v>574</v>
      </c>
      <c r="F1534" s="26" t="s">
        <v>115</v>
      </c>
      <c r="G1534" s="27">
        <f>SUM(G1535:G1536)</f>
        <v>994430</v>
      </c>
      <c r="H1534" s="27">
        <f t="shared" ref="H1534:I1534" si="1051">SUM(H1535:H1536)</f>
        <v>994430</v>
      </c>
      <c r="I1534" s="27">
        <f t="shared" si="1051"/>
        <v>994430</v>
      </c>
      <c r="J1534" s="16">
        <f>'БА в тыс. руб.'!G1534*1000</f>
        <v>994430</v>
      </c>
      <c r="K1534" s="169">
        <f t="shared" si="1016"/>
        <v>0</v>
      </c>
      <c r="L1534" s="16">
        <f>'БА в тыс. руб.'!H1534*1000</f>
        <v>994430</v>
      </c>
      <c r="M1534" s="169">
        <f t="shared" si="1017"/>
        <v>0</v>
      </c>
      <c r="N1534" s="16">
        <f>'БА в тыс. руб.'!I1534*1000</f>
        <v>994430</v>
      </c>
      <c r="O1534" s="169">
        <f t="shared" si="1018"/>
        <v>0</v>
      </c>
      <c r="S1534" s="30"/>
      <c r="T1534" s="30"/>
      <c r="U1534" s="30"/>
    </row>
    <row r="1535" spans="1:21" s="3" customFormat="1" ht="25.5">
      <c r="A1535" s="11" t="s">
        <v>937</v>
      </c>
      <c r="B1535" s="25" t="s">
        <v>16</v>
      </c>
      <c r="C1535" s="26" t="s">
        <v>65</v>
      </c>
      <c r="D1535" s="26" t="s">
        <v>84</v>
      </c>
      <c r="E1535" s="26" t="s">
        <v>574</v>
      </c>
      <c r="F1535" s="26" t="s">
        <v>1059</v>
      </c>
      <c r="G1535" s="27">
        <f t="shared" ref="G1535:G1536" si="1052">J1535</f>
        <v>763770</v>
      </c>
      <c r="H1535" s="27">
        <f t="shared" ref="H1535:H1536" si="1053">L1535</f>
        <v>763770</v>
      </c>
      <c r="I1535" s="27">
        <f t="shared" ref="I1535:I1536" si="1054">N1535</f>
        <v>763770</v>
      </c>
      <c r="J1535" s="16">
        <f>'БА в тыс. руб.'!G1535*1000</f>
        <v>763770</v>
      </c>
      <c r="K1535" s="169">
        <f t="shared" si="1016"/>
        <v>0</v>
      </c>
      <c r="L1535" s="16">
        <f>'БА в тыс. руб.'!H1535*1000</f>
        <v>763770</v>
      </c>
      <c r="M1535" s="169">
        <f t="shared" si="1017"/>
        <v>0</v>
      </c>
      <c r="N1535" s="16">
        <f>'БА в тыс. руб.'!I1535*1000</f>
        <v>763770</v>
      </c>
      <c r="O1535" s="169">
        <f t="shared" si="1018"/>
        <v>0</v>
      </c>
      <c r="S1535" s="30"/>
      <c r="T1535" s="30"/>
      <c r="U1535" s="30"/>
    </row>
    <row r="1536" spans="1:21" s="3" customFormat="1" ht="38.25">
      <c r="A1536" s="11" t="s">
        <v>939</v>
      </c>
      <c r="B1536" s="25" t="s">
        <v>16</v>
      </c>
      <c r="C1536" s="26" t="s">
        <v>65</v>
      </c>
      <c r="D1536" s="26" t="s">
        <v>84</v>
      </c>
      <c r="E1536" s="26" t="s">
        <v>574</v>
      </c>
      <c r="F1536" s="26" t="s">
        <v>1060</v>
      </c>
      <c r="G1536" s="27">
        <f t="shared" si="1052"/>
        <v>230660</v>
      </c>
      <c r="H1536" s="27">
        <f t="shared" si="1053"/>
        <v>230660</v>
      </c>
      <c r="I1536" s="27">
        <f t="shared" si="1054"/>
        <v>230660</v>
      </c>
      <c r="J1536" s="16">
        <f>'БА в тыс. руб.'!G1536*1000</f>
        <v>230660</v>
      </c>
      <c r="K1536" s="169">
        <f t="shared" si="1016"/>
        <v>0</v>
      </c>
      <c r="L1536" s="16">
        <f>'БА в тыс. руб.'!H1536*1000</f>
        <v>230660</v>
      </c>
      <c r="M1536" s="169">
        <f t="shared" si="1017"/>
        <v>0</v>
      </c>
      <c r="N1536" s="16">
        <f>'БА в тыс. руб.'!I1536*1000</f>
        <v>230660</v>
      </c>
      <c r="O1536" s="169">
        <f t="shared" si="1018"/>
        <v>0</v>
      </c>
      <c r="S1536" s="30"/>
      <c r="T1536" s="30"/>
      <c r="U1536" s="30"/>
    </row>
    <row r="1537" spans="1:21" s="3" customFormat="1" ht="25.5">
      <c r="A1537" s="13" t="s">
        <v>108</v>
      </c>
      <c r="B1537" s="25" t="s">
        <v>16</v>
      </c>
      <c r="C1537" s="26" t="s">
        <v>65</v>
      </c>
      <c r="D1537" s="26" t="s">
        <v>84</v>
      </c>
      <c r="E1537" s="26" t="s">
        <v>574</v>
      </c>
      <c r="F1537" s="26" t="s">
        <v>116</v>
      </c>
      <c r="G1537" s="27">
        <f>G1538</f>
        <v>2829939.9999999995</v>
      </c>
      <c r="H1537" s="27">
        <f t="shared" ref="H1537:I1537" si="1055">H1538</f>
        <v>2843500</v>
      </c>
      <c r="I1537" s="27">
        <f t="shared" si="1055"/>
        <v>2843500</v>
      </c>
      <c r="J1537" s="16">
        <f>'БА в тыс. руб.'!G1537*1000</f>
        <v>2829939.9999999995</v>
      </c>
      <c r="K1537" s="169">
        <f t="shared" si="1016"/>
        <v>0</v>
      </c>
      <c r="L1537" s="16">
        <f>'БА в тыс. руб.'!H1537*1000</f>
        <v>2843500</v>
      </c>
      <c r="M1537" s="169">
        <f t="shared" si="1017"/>
        <v>0</v>
      </c>
      <c r="N1537" s="16">
        <f>'БА в тыс. руб.'!I1537*1000</f>
        <v>2843500</v>
      </c>
      <c r="O1537" s="169">
        <f t="shared" si="1018"/>
        <v>0</v>
      </c>
      <c r="S1537" s="30"/>
      <c r="T1537" s="30"/>
      <c r="U1537" s="30"/>
    </row>
    <row r="1538" spans="1:21" s="94" customFormat="1" ht="25.5">
      <c r="A1538" s="12" t="s">
        <v>973</v>
      </c>
      <c r="B1538" s="25" t="s">
        <v>16</v>
      </c>
      <c r="C1538" s="26" t="s">
        <v>65</v>
      </c>
      <c r="D1538" s="26" t="s">
        <v>84</v>
      </c>
      <c r="E1538" s="26" t="s">
        <v>574</v>
      </c>
      <c r="F1538" s="26" t="s">
        <v>1043</v>
      </c>
      <c r="G1538" s="27">
        <f t="shared" ref="G1538" si="1056">J1538</f>
        <v>2829939.9999999995</v>
      </c>
      <c r="H1538" s="27">
        <f>L1538</f>
        <v>2843500</v>
      </c>
      <c r="I1538" s="27">
        <f>N1538</f>
        <v>2843500</v>
      </c>
      <c r="J1538" s="16">
        <f>'БА в тыс. руб.'!G1538*1000</f>
        <v>2829939.9999999995</v>
      </c>
      <c r="K1538" s="169">
        <f t="shared" si="1016"/>
        <v>0</v>
      </c>
      <c r="L1538" s="16">
        <f>'БА в тыс. руб.'!H1538*1000</f>
        <v>2843500</v>
      </c>
      <c r="M1538" s="169">
        <f t="shared" si="1017"/>
        <v>0</v>
      </c>
      <c r="N1538" s="16">
        <f>'БА в тыс. руб.'!I1538*1000</f>
        <v>2843500</v>
      </c>
      <c r="O1538" s="169">
        <f t="shared" si="1018"/>
        <v>0</v>
      </c>
      <c r="S1538" s="103"/>
      <c r="T1538" s="103"/>
      <c r="U1538" s="103"/>
    </row>
    <row r="1539" spans="1:21" s="3" customFormat="1">
      <c r="A1539" s="13" t="s">
        <v>97</v>
      </c>
      <c r="B1539" s="25" t="s">
        <v>16</v>
      </c>
      <c r="C1539" s="26" t="s">
        <v>65</v>
      </c>
      <c r="D1539" s="26" t="s">
        <v>84</v>
      </c>
      <c r="E1539" s="26" t="s">
        <v>574</v>
      </c>
      <c r="F1539" s="26" t="s">
        <v>118</v>
      </c>
      <c r="G1539" s="27">
        <f>SUM(G1540:G1541)</f>
        <v>246650</v>
      </c>
      <c r="H1539" s="27">
        <f t="shared" ref="H1539:I1539" si="1057">SUM(H1540:H1541)</f>
        <v>246650</v>
      </c>
      <c r="I1539" s="27">
        <f t="shared" si="1057"/>
        <v>246650</v>
      </c>
      <c r="J1539" s="16">
        <f>'БА в тыс. руб.'!G1539*1000</f>
        <v>246650</v>
      </c>
      <c r="K1539" s="169">
        <f t="shared" si="1016"/>
        <v>0</v>
      </c>
      <c r="L1539" s="16">
        <f>'БА в тыс. руб.'!H1539*1000</f>
        <v>246650</v>
      </c>
      <c r="M1539" s="169">
        <f t="shared" si="1017"/>
        <v>0</v>
      </c>
      <c r="N1539" s="16">
        <f>'БА в тыс. руб.'!I1539*1000</f>
        <v>246650</v>
      </c>
      <c r="O1539" s="169">
        <f t="shared" si="1018"/>
        <v>0</v>
      </c>
      <c r="S1539" s="30"/>
      <c r="T1539" s="30"/>
      <c r="U1539" s="30"/>
    </row>
    <row r="1540" spans="1:21" s="3" customFormat="1">
      <c r="A1540" s="11" t="s">
        <v>1036</v>
      </c>
      <c r="B1540" s="25" t="s">
        <v>16</v>
      </c>
      <c r="C1540" s="26" t="s">
        <v>65</v>
      </c>
      <c r="D1540" s="26" t="s">
        <v>84</v>
      </c>
      <c r="E1540" s="26" t="s">
        <v>574</v>
      </c>
      <c r="F1540" s="26" t="s">
        <v>1061</v>
      </c>
      <c r="G1540" s="27">
        <f t="shared" ref="G1540:G1541" si="1058">J1540</f>
        <v>226350</v>
      </c>
      <c r="H1540" s="27">
        <f t="shared" ref="H1540:H1541" si="1059">L1540</f>
        <v>226350</v>
      </c>
      <c r="I1540" s="27">
        <f t="shared" ref="I1540:I1541" si="1060">N1540</f>
        <v>226350</v>
      </c>
      <c r="J1540" s="16">
        <f>'БА в тыс. руб.'!G1540*1000</f>
        <v>226350</v>
      </c>
      <c r="K1540" s="169">
        <f t="shared" si="1016"/>
        <v>0</v>
      </c>
      <c r="L1540" s="16">
        <f>'БА в тыс. руб.'!H1540*1000</f>
        <v>226350</v>
      </c>
      <c r="M1540" s="169">
        <f t="shared" si="1017"/>
        <v>0</v>
      </c>
      <c r="N1540" s="16">
        <f>'БА в тыс. руб.'!I1540*1000</f>
        <v>226350</v>
      </c>
      <c r="O1540" s="169">
        <f t="shared" si="1018"/>
        <v>0</v>
      </c>
      <c r="S1540" s="30"/>
      <c r="T1540" s="30"/>
      <c r="U1540" s="30"/>
    </row>
    <row r="1541" spans="1:21" s="3" customFormat="1">
      <c r="A1541" s="11" t="s">
        <v>1037</v>
      </c>
      <c r="B1541" s="25" t="s">
        <v>16</v>
      </c>
      <c r="C1541" s="26" t="s">
        <v>65</v>
      </c>
      <c r="D1541" s="26" t="s">
        <v>84</v>
      </c>
      <c r="E1541" s="26" t="s">
        <v>574</v>
      </c>
      <c r="F1541" s="26" t="s">
        <v>1062</v>
      </c>
      <c r="G1541" s="27">
        <f t="shared" si="1058"/>
        <v>20300</v>
      </c>
      <c r="H1541" s="27">
        <f t="shared" si="1059"/>
        <v>20300</v>
      </c>
      <c r="I1541" s="27">
        <f t="shared" si="1060"/>
        <v>20300</v>
      </c>
      <c r="J1541" s="16">
        <f>'БА в тыс. руб.'!G1541*1000</f>
        <v>20300</v>
      </c>
      <c r="K1541" s="169">
        <f t="shared" si="1016"/>
        <v>0</v>
      </c>
      <c r="L1541" s="16">
        <f>'БА в тыс. руб.'!H1541*1000</f>
        <v>20300</v>
      </c>
      <c r="M1541" s="169">
        <f t="shared" si="1017"/>
        <v>0</v>
      </c>
      <c r="N1541" s="16">
        <f>'БА в тыс. руб.'!I1541*1000</f>
        <v>20300</v>
      </c>
      <c r="O1541" s="169">
        <f t="shared" si="1018"/>
        <v>0</v>
      </c>
      <c r="S1541" s="30"/>
      <c r="T1541" s="30"/>
      <c r="U1541" s="30"/>
    </row>
    <row r="1542" spans="1:21" s="3" customFormat="1" ht="25.5">
      <c r="A1542" s="13" t="s">
        <v>126</v>
      </c>
      <c r="B1542" s="25" t="s">
        <v>16</v>
      </c>
      <c r="C1542" s="26" t="s">
        <v>65</v>
      </c>
      <c r="D1542" s="26" t="s">
        <v>84</v>
      </c>
      <c r="E1542" s="26" t="s">
        <v>575</v>
      </c>
      <c r="F1542" s="26" t="s">
        <v>58</v>
      </c>
      <c r="G1542" s="27">
        <f>G1543</f>
        <v>42831370</v>
      </c>
      <c r="H1542" s="27">
        <f>H1543</f>
        <v>42831370</v>
      </c>
      <c r="I1542" s="27">
        <f>I1543</f>
        <v>42831370</v>
      </c>
      <c r="J1542" s="16">
        <f>'БА в тыс. руб.'!G1542*1000</f>
        <v>42831369.999999993</v>
      </c>
      <c r="K1542" s="169">
        <f t="shared" si="1016"/>
        <v>0</v>
      </c>
      <c r="L1542" s="16">
        <f>'БА в тыс. руб.'!H1542*1000</f>
        <v>42831369.999999993</v>
      </c>
      <c r="M1542" s="169">
        <f t="shared" si="1017"/>
        <v>0</v>
      </c>
      <c r="N1542" s="16">
        <f>'БА в тыс. руб.'!I1542*1000</f>
        <v>42831369.999999993</v>
      </c>
      <c r="O1542" s="169">
        <f t="shared" si="1018"/>
        <v>0</v>
      </c>
      <c r="S1542" s="30"/>
      <c r="T1542" s="30"/>
      <c r="U1542" s="30"/>
    </row>
    <row r="1543" spans="1:21" s="3" customFormat="1" ht="25.5">
      <c r="A1543" s="13" t="s">
        <v>107</v>
      </c>
      <c r="B1543" s="25" t="s">
        <v>16</v>
      </c>
      <c r="C1543" s="26" t="s">
        <v>65</v>
      </c>
      <c r="D1543" s="26" t="s">
        <v>84</v>
      </c>
      <c r="E1543" s="26" t="s">
        <v>575</v>
      </c>
      <c r="F1543" s="26" t="s">
        <v>115</v>
      </c>
      <c r="G1543" s="27">
        <f>SUM(G1544:G1545)</f>
        <v>42831370</v>
      </c>
      <c r="H1543" s="27">
        <f t="shared" ref="H1543:I1543" si="1061">SUM(H1544:H1545)</f>
        <v>42831370</v>
      </c>
      <c r="I1543" s="27">
        <f t="shared" si="1061"/>
        <v>42831370</v>
      </c>
      <c r="J1543" s="16">
        <f>'БА в тыс. руб.'!G1543*1000</f>
        <v>42831369.999999993</v>
      </c>
      <c r="K1543" s="169">
        <f t="shared" si="1016"/>
        <v>0</v>
      </c>
      <c r="L1543" s="16">
        <f>'БА в тыс. руб.'!H1543*1000</f>
        <v>42831369.999999993</v>
      </c>
      <c r="M1543" s="169">
        <f t="shared" si="1017"/>
        <v>0</v>
      </c>
      <c r="N1543" s="16">
        <f>'БА в тыс. руб.'!I1543*1000</f>
        <v>42831369.999999993</v>
      </c>
      <c r="O1543" s="169">
        <f t="shared" si="1018"/>
        <v>0</v>
      </c>
      <c r="S1543" s="30"/>
      <c r="T1543" s="30"/>
      <c r="U1543" s="30"/>
    </row>
    <row r="1544" spans="1:21" s="3" customFormat="1">
      <c r="A1544" s="11" t="s">
        <v>936</v>
      </c>
      <c r="B1544" s="25" t="s">
        <v>16</v>
      </c>
      <c r="C1544" s="26" t="s">
        <v>65</v>
      </c>
      <c r="D1544" s="26" t="s">
        <v>84</v>
      </c>
      <c r="E1544" s="26" t="s">
        <v>575</v>
      </c>
      <c r="F1544" s="26" t="s">
        <v>1063</v>
      </c>
      <c r="G1544" s="27">
        <f t="shared" ref="G1544:G1545" si="1062">J1544</f>
        <v>32896600</v>
      </c>
      <c r="H1544" s="27">
        <f t="shared" ref="H1544:H1545" si="1063">L1544</f>
        <v>32896600</v>
      </c>
      <c r="I1544" s="27">
        <f t="shared" ref="I1544:I1545" si="1064">N1544</f>
        <v>32896600</v>
      </c>
      <c r="J1544" s="16">
        <f>'БА в тыс. руб.'!G1544*1000</f>
        <v>32896600</v>
      </c>
      <c r="K1544" s="169">
        <f t="shared" si="1016"/>
        <v>0</v>
      </c>
      <c r="L1544" s="16">
        <f>'БА в тыс. руб.'!H1544*1000</f>
        <v>32896600</v>
      </c>
      <c r="M1544" s="169">
        <f t="shared" si="1017"/>
        <v>0</v>
      </c>
      <c r="N1544" s="16">
        <f>'БА в тыс. руб.'!I1544*1000</f>
        <v>32896600</v>
      </c>
      <c r="O1544" s="169">
        <f t="shared" si="1018"/>
        <v>0</v>
      </c>
      <c r="S1544" s="30"/>
      <c r="T1544" s="30"/>
      <c r="U1544" s="30"/>
    </row>
    <row r="1545" spans="1:21" s="3" customFormat="1" ht="38.25">
      <c r="A1545" s="11" t="s">
        <v>939</v>
      </c>
      <c r="B1545" s="25" t="s">
        <v>16</v>
      </c>
      <c r="C1545" s="26" t="s">
        <v>65</v>
      </c>
      <c r="D1545" s="26" t="s">
        <v>84</v>
      </c>
      <c r="E1545" s="26" t="s">
        <v>575</v>
      </c>
      <c r="F1545" s="26" t="s">
        <v>1060</v>
      </c>
      <c r="G1545" s="27">
        <f t="shared" si="1062"/>
        <v>9934770</v>
      </c>
      <c r="H1545" s="27">
        <f t="shared" si="1063"/>
        <v>9934770</v>
      </c>
      <c r="I1545" s="27">
        <f t="shared" si="1064"/>
        <v>9934770</v>
      </c>
      <c r="J1545" s="16">
        <f>'БА в тыс. руб.'!G1545*1000</f>
        <v>9934770</v>
      </c>
      <c r="K1545" s="169">
        <f t="shared" si="1016"/>
        <v>0</v>
      </c>
      <c r="L1545" s="16">
        <f>'БА в тыс. руб.'!H1545*1000</f>
        <v>9934770</v>
      </c>
      <c r="M1545" s="169">
        <f t="shared" si="1017"/>
        <v>0</v>
      </c>
      <c r="N1545" s="16">
        <f>'БА в тыс. руб.'!I1545*1000</f>
        <v>9934770</v>
      </c>
      <c r="O1545" s="169">
        <f t="shared" si="1018"/>
        <v>0</v>
      </c>
      <c r="S1545" s="30"/>
      <c r="T1545" s="30"/>
      <c r="U1545" s="30"/>
    </row>
    <row r="1546" spans="1:21" s="3" customFormat="1">
      <c r="A1546" s="151" t="s">
        <v>175</v>
      </c>
      <c r="B1546" s="25" t="s">
        <v>16</v>
      </c>
      <c r="C1546" s="26" t="s">
        <v>65</v>
      </c>
      <c r="D1546" s="26" t="s">
        <v>84</v>
      </c>
      <c r="E1546" s="26" t="s">
        <v>576</v>
      </c>
      <c r="F1546" s="26" t="s">
        <v>58</v>
      </c>
      <c r="G1546" s="27">
        <f>G1550+G1547</f>
        <v>4100000</v>
      </c>
      <c r="H1546" s="27">
        <f t="shared" ref="H1546:I1546" si="1065">H1550+H1547</f>
        <v>4100000</v>
      </c>
      <c r="I1546" s="27">
        <f t="shared" si="1065"/>
        <v>4100000</v>
      </c>
      <c r="J1546" s="16">
        <f>'БА в тыс. руб.'!G1546*1000</f>
        <v>4100000</v>
      </c>
      <c r="K1546" s="169">
        <f t="shared" si="1016"/>
        <v>0</v>
      </c>
      <c r="L1546" s="16">
        <f>'БА в тыс. руб.'!H1546*1000</f>
        <v>4100000</v>
      </c>
      <c r="M1546" s="169">
        <f t="shared" si="1017"/>
        <v>0</v>
      </c>
      <c r="N1546" s="16">
        <f>'БА в тыс. руб.'!I1546*1000</f>
        <v>4100000</v>
      </c>
      <c r="O1546" s="169">
        <f t="shared" si="1018"/>
        <v>0</v>
      </c>
      <c r="S1546" s="30"/>
      <c r="T1546" s="30"/>
      <c r="U1546" s="30"/>
    </row>
    <row r="1547" spans="1:21" s="3" customFormat="1" ht="38.25">
      <c r="A1547" s="150" t="s">
        <v>176</v>
      </c>
      <c r="B1547" s="25" t="s">
        <v>16</v>
      </c>
      <c r="C1547" s="26" t="s">
        <v>65</v>
      </c>
      <c r="D1547" s="26" t="s">
        <v>84</v>
      </c>
      <c r="E1547" s="26" t="s">
        <v>835</v>
      </c>
      <c r="F1547" s="26" t="s">
        <v>58</v>
      </c>
      <c r="G1547" s="27">
        <f>G1548</f>
        <v>600000</v>
      </c>
      <c r="H1547" s="27">
        <f t="shared" ref="H1547:I1548" si="1066">H1548</f>
        <v>600000</v>
      </c>
      <c r="I1547" s="27">
        <f t="shared" si="1066"/>
        <v>600000</v>
      </c>
      <c r="J1547" s="16">
        <f>'БА в тыс. руб.'!G1547*1000</f>
        <v>600000</v>
      </c>
      <c r="K1547" s="169">
        <f t="shared" ref="K1547:K1610" si="1067">J1547-G1547</f>
        <v>0</v>
      </c>
      <c r="L1547" s="16">
        <f>'БА в тыс. руб.'!H1547*1000</f>
        <v>600000</v>
      </c>
      <c r="M1547" s="169">
        <f t="shared" ref="M1547:M1610" si="1068">L1547-H1547</f>
        <v>0</v>
      </c>
      <c r="N1547" s="16">
        <f>'БА в тыс. руб.'!I1547*1000</f>
        <v>600000</v>
      </c>
      <c r="O1547" s="169">
        <f t="shared" ref="O1547:O1610" si="1069">N1547-I1547</f>
        <v>0</v>
      </c>
      <c r="S1547" s="30"/>
      <c r="T1547" s="30"/>
      <c r="U1547" s="30"/>
    </row>
    <row r="1548" spans="1:21" s="3" customFormat="1" ht="25.5">
      <c r="A1548" s="11" t="s">
        <v>108</v>
      </c>
      <c r="B1548" s="25" t="s">
        <v>16</v>
      </c>
      <c r="C1548" s="26" t="s">
        <v>65</v>
      </c>
      <c r="D1548" s="26" t="s">
        <v>84</v>
      </c>
      <c r="E1548" s="26" t="s">
        <v>835</v>
      </c>
      <c r="F1548" s="26" t="s">
        <v>116</v>
      </c>
      <c r="G1548" s="27">
        <f>G1549</f>
        <v>600000</v>
      </c>
      <c r="H1548" s="27">
        <f t="shared" si="1066"/>
        <v>600000</v>
      </c>
      <c r="I1548" s="27">
        <f t="shared" si="1066"/>
        <v>600000</v>
      </c>
      <c r="J1548" s="16">
        <f>'БА в тыс. руб.'!G1548*1000</f>
        <v>600000</v>
      </c>
      <c r="K1548" s="169">
        <f t="shared" si="1067"/>
        <v>0</v>
      </c>
      <c r="L1548" s="16">
        <f>'БА в тыс. руб.'!H1548*1000</f>
        <v>600000</v>
      </c>
      <c r="M1548" s="169">
        <f t="shared" si="1068"/>
        <v>0</v>
      </c>
      <c r="N1548" s="16">
        <f>'БА в тыс. руб.'!I1548*1000</f>
        <v>600000</v>
      </c>
      <c r="O1548" s="169">
        <f t="shared" si="1069"/>
        <v>0</v>
      </c>
      <c r="S1548" s="30"/>
      <c r="T1548" s="30"/>
      <c r="U1548" s="30"/>
    </row>
    <row r="1549" spans="1:21" s="4" customFormat="1" ht="25.5">
      <c r="A1549" s="12" t="s">
        <v>973</v>
      </c>
      <c r="B1549" s="25" t="s">
        <v>16</v>
      </c>
      <c r="C1549" s="26" t="s">
        <v>65</v>
      </c>
      <c r="D1549" s="26" t="s">
        <v>84</v>
      </c>
      <c r="E1549" s="26" t="s">
        <v>835</v>
      </c>
      <c r="F1549" s="26" t="s">
        <v>1043</v>
      </c>
      <c r="G1549" s="27">
        <f t="shared" ref="G1549" si="1070">J1549</f>
        <v>600000</v>
      </c>
      <c r="H1549" s="27">
        <f>L1549</f>
        <v>600000</v>
      </c>
      <c r="I1549" s="27">
        <f>N1549</f>
        <v>600000</v>
      </c>
      <c r="J1549" s="16">
        <f>'БА в тыс. руб.'!G1549*1000</f>
        <v>600000</v>
      </c>
      <c r="K1549" s="169">
        <f t="shared" si="1067"/>
        <v>0</v>
      </c>
      <c r="L1549" s="16">
        <f>'БА в тыс. руб.'!H1549*1000</f>
        <v>600000</v>
      </c>
      <c r="M1549" s="169">
        <f t="shared" si="1068"/>
        <v>0</v>
      </c>
      <c r="N1549" s="16">
        <f>'БА в тыс. руб.'!I1549*1000</f>
        <v>600000</v>
      </c>
      <c r="O1549" s="169">
        <f t="shared" si="1069"/>
        <v>0</v>
      </c>
      <c r="S1549" s="83"/>
      <c r="T1549" s="83"/>
      <c r="U1549" s="83"/>
    </row>
    <row r="1550" spans="1:21" s="3" customFormat="1" ht="25.5">
      <c r="A1550" s="13" t="s">
        <v>899</v>
      </c>
      <c r="B1550" s="25" t="s">
        <v>16</v>
      </c>
      <c r="C1550" s="26" t="s">
        <v>65</v>
      </c>
      <c r="D1550" s="26" t="s">
        <v>84</v>
      </c>
      <c r="E1550" s="26" t="s">
        <v>577</v>
      </c>
      <c r="F1550" s="26" t="s">
        <v>58</v>
      </c>
      <c r="G1550" s="27">
        <f t="shared" ref="G1550:I1551" si="1071">G1551</f>
        <v>3500000</v>
      </c>
      <c r="H1550" s="27">
        <f t="shared" si="1071"/>
        <v>3500000</v>
      </c>
      <c r="I1550" s="27">
        <f t="shared" si="1071"/>
        <v>3500000</v>
      </c>
      <c r="J1550" s="16">
        <f>'БА в тыс. руб.'!G1550*1000</f>
        <v>3500000</v>
      </c>
      <c r="K1550" s="169">
        <f t="shared" si="1067"/>
        <v>0</v>
      </c>
      <c r="L1550" s="16">
        <f>'БА в тыс. руб.'!H1550*1000</f>
        <v>3500000</v>
      </c>
      <c r="M1550" s="169">
        <f t="shared" si="1068"/>
        <v>0</v>
      </c>
      <c r="N1550" s="16">
        <f>'БА в тыс. руб.'!I1550*1000</f>
        <v>3500000</v>
      </c>
      <c r="O1550" s="169">
        <f t="shared" si="1069"/>
        <v>0</v>
      </c>
      <c r="S1550" s="30"/>
      <c r="T1550" s="30"/>
      <c r="U1550" s="30"/>
    </row>
    <row r="1551" spans="1:21" s="3" customFormat="1" ht="25.5">
      <c r="A1551" s="11" t="s">
        <v>108</v>
      </c>
      <c r="B1551" s="25" t="s">
        <v>16</v>
      </c>
      <c r="C1551" s="26" t="s">
        <v>65</v>
      </c>
      <c r="D1551" s="26" t="s">
        <v>84</v>
      </c>
      <c r="E1551" s="26" t="s">
        <v>577</v>
      </c>
      <c r="F1551" s="26" t="s">
        <v>116</v>
      </c>
      <c r="G1551" s="27">
        <f>G1552</f>
        <v>3500000</v>
      </c>
      <c r="H1551" s="27">
        <f t="shared" si="1071"/>
        <v>3500000</v>
      </c>
      <c r="I1551" s="27">
        <f t="shared" si="1071"/>
        <v>3500000</v>
      </c>
      <c r="J1551" s="16">
        <f>'БА в тыс. руб.'!G1551*1000</f>
        <v>3500000</v>
      </c>
      <c r="K1551" s="169">
        <f t="shared" si="1067"/>
        <v>0</v>
      </c>
      <c r="L1551" s="16">
        <f>'БА в тыс. руб.'!H1551*1000</f>
        <v>3500000</v>
      </c>
      <c r="M1551" s="169">
        <f t="shared" si="1068"/>
        <v>0</v>
      </c>
      <c r="N1551" s="16">
        <f>'БА в тыс. руб.'!I1551*1000</f>
        <v>3500000</v>
      </c>
      <c r="O1551" s="169">
        <f t="shared" si="1069"/>
        <v>0</v>
      </c>
      <c r="S1551" s="30"/>
      <c r="T1551" s="30"/>
      <c r="U1551" s="30"/>
    </row>
    <row r="1552" spans="1:21" s="4" customFormat="1" ht="25.5">
      <c r="A1552" s="12" t="s">
        <v>973</v>
      </c>
      <c r="B1552" s="25" t="s">
        <v>16</v>
      </c>
      <c r="C1552" s="26" t="s">
        <v>65</v>
      </c>
      <c r="D1552" s="26" t="s">
        <v>84</v>
      </c>
      <c r="E1552" s="26" t="s">
        <v>577</v>
      </c>
      <c r="F1552" s="26" t="s">
        <v>1043</v>
      </c>
      <c r="G1552" s="27">
        <f t="shared" ref="G1552" si="1072">J1552</f>
        <v>3500000</v>
      </c>
      <c r="H1552" s="27">
        <f>L1552</f>
        <v>3500000</v>
      </c>
      <c r="I1552" s="27">
        <f>N1552</f>
        <v>3500000</v>
      </c>
      <c r="J1552" s="16">
        <f>'БА в тыс. руб.'!G1552*1000</f>
        <v>3500000</v>
      </c>
      <c r="K1552" s="169">
        <f t="shared" si="1067"/>
        <v>0</v>
      </c>
      <c r="L1552" s="16">
        <f>'БА в тыс. руб.'!H1552*1000</f>
        <v>3500000</v>
      </c>
      <c r="M1552" s="169">
        <f t="shared" si="1068"/>
        <v>0</v>
      </c>
      <c r="N1552" s="16">
        <f>'БА в тыс. руб.'!I1552*1000</f>
        <v>3500000</v>
      </c>
      <c r="O1552" s="169">
        <f t="shared" si="1069"/>
        <v>0</v>
      </c>
      <c r="S1552" s="83"/>
      <c r="T1552" s="83"/>
      <c r="U1552" s="83"/>
    </row>
    <row r="1553" spans="1:21" s="3" customFormat="1">
      <c r="A1553" s="17" t="s">
        <v>35</v>
      </c>
      <c r="B1553" s="18" t="s">
        <v>16</v>
      </c>
      <c r="C1553" s="19" t="s">
        <v>37</v>
      </c>
      <c r="D1553" s="19" t="s">
        <v>51</v>
      </c>
      <c r="E1553" s="19" t="s">
        <v>196</v>
      </c>
      <c r="F1553" s="19" t="s">
        <v>58</v>
      </c>
      <c r="G1553" s="20">
        <f>G1554</f>
        <v>6503000</v>
      </c>
      <c r="H1553" s="20">
        <f>H1554</f>
        <v>9588300</v>
      </c>
      <c r="I1553" s="20">
        <f>I1554</f>
        <v>9588300</v>
      </c>
      <c r="J1553" s="16">
        <f>'БА в тыс. руб.'!G1553*1000</f>
        <v>6503000</v>
      </c>
      <c r="K1553" s="169">
        <f t="shared" si="1067"/>
        <v>0</v>
      </c>
      <c r="L1553" s="16">
        <f>'БА в тыс. руб.'!H1553*1000</f>
        <v>9588300</v>
      </c>
      <c r="M1553" s="169">
        <f t="shared" si="1068"/>
        <v>0</v>
      </c>
      <c r="N1553" s="16">
        <f>'БА в тыс. руб.'!I1553*1000</f>
        <v>9588300</v>
      </c>
      <c r="O1553" s="169">
        <f t="shared" si="1069"/>
        <v>0</v>
      </c>
      <c r="S1553" s="30"/>
      <c r="T1553" s="30"/>
      <c r="U1553" s="30"/>
    </row>
    <row r="1554" spans="1:21" s="3" customFormat="1">
      <c r="A1554" s="21" t="s">
        <v>73</v>
      </c>
      <c r="B1554" s="22" t="s">
        <v>16</v>
      </c>
      <c r="C1554" s="23" t="s">
        <v>37</v>
      </c>
      <c r="D1554" s="23" t="s">
        <v>40</v>
      </c>
      <c r="E1554" s="23" t="s">
        <v>196</v>
      </c>
      <c r="F1554" s="23" t="s">
        <v>58</v>
      </c>
      <c r="G1554" s="24">
        <f>G1555+G1565</f>
        <v>6503000</v>
      </c>
      <c r="H1554" s="24">
        <f>H1555+H1565</f>
        <v>9588300</v>
      </c>
      <c r="I1554" s="24">
        <f>I1555+I1565</f>
        <v>9588300</v>
      </c>
      <c r="J1554" s="16">
        <f>'БА в тыс. руб.'!G1554*1000</f>
        <v>6503000</v>
      </c>
      <c r="K1554" s="169">
        <f t="shared" si="1067"/>
        <v>0</v>
      </c>
      <c r="L1554" s="16">
        <f>'БА в тыс. руб.'!H1554*1000</f>
        <v>9588300</v>
      </c>
      <c r="M1554" s="169">
        <f t="shared" si="1068"/>
        <v>0</v>
      </c>
      <c r="N1554" s="16">
        <f>'БА в тыс. руб.'!I1554*1000</f>
        <v>9588300</v>
      </c>
      <c r="O1554" s="169">
        <f t="shared" si="1069"/>
        <v>0</v>
      </c>
      <c r="S1554" s="30"/>
      <c r="T1554" s="30"/>
      <c r="U1554" s="30"/>
    </row>
    <row r="1555" spans="1:21" s="3" customFormat="1" ht="25.5">
      <c r="A1555" s="11" t="s">
        <v>730</v>
      </c>
      <c r="B1555" s="25" t="s">
        <v>16</v>
      </c>
      <c r="C1555" s="25" t="s">
        <v>37</v>
      </c>
      <c r="D1555" s="25" t="s">
        <v>40</v>
      </c>
      <c r="E1555" s="25" t="s">
        <v>565</v>
      </c>
      <c r="F1555" s="25" t="s">
        <v>58</v>
      </c>
      <c r="G1555" s="42">
        <f>G1556</f>
        <v>6403000</v>
      </c>
      <c r="H1555" s="42">
        <f>H1556</f>
        <v>9488300</v>
      </c>
      <c r="I1555" s="42">
        <f>I1556</f>
        <v>9488300</v>
      </c>
      <c r="J1555" s="16">
        <f>'БА в тыс. руб.'!G1555*1000</f>
        <v>6403000</v>
      </c>
      <c r="K1555" s="169">
        <f t="shared" si="1067"/>
        <v>0</v>
      </c>
      <c r="L1555" s="16">
        <f>'БА в тыс. руб.'!H1555*1000</f>
        <v>9488300</v>
      </c>
      <c r="M1555" s="169">
        <f t="shared" si="1068"/>
        <v>0</v>
      </c>
      <c r="N1555" s="16">
        <f>'БА в тыс. руб.'!I1555*1000</f>
        <v>9488300</v>
      </c>
      <c r="O1555" s="169">
        <f t="shared" si="1069"/>
        <v>0</v>
      </c>
      <c r="S1555" s="30"/>
      <c r="T1555" s="30"/>
      <c r="U1555" s="30"/>
    </row>
    <row r="1556" spans="1:21" s="3" customFormat="1" ht="25.5">
      <c r="A1556" s="11" t="s">
        <v>732</v>
      </c>
      <c r="B1556" s="25" t="s">
        <v>16</v>
      </c>
      <c r="C1556" s="25" t="s">
        <v>37</v>
      </c>
      <c r="D1556" s="25" t="s">
        <v>40</v>
      </c>
      <c r="E1556" s="25" t="s">
        <v>731</v>
      </c>
      <c r="F1556" s="25" t="s">
        <v>58</v>
      </c>
      <c r="G1556" s="42">
        <f>G1557+G1561</f>
        <v>6403000</v>
      </c>
      <c r="H1556" s="42">
        <f>H1557+H1561</f>
        <v>9488300</v>
      </c>
      <c r="I1556" s="42">
        <f>I1557+I1561</f>
        <v>9488300</v>
      </c>
      <c r="J1556" s="16">
        <f>'БА в тыс. руб.'!G1556*1000</f>
        <v>6403000</v>
      </c>
      <c r="K1556" s="169">
        <f t="shared" si="1067"/>
        <v>0</v>
      </c>
      <c r="L1556" s="16">
        <f>'БА в тыс. руб.'!H1556*1000</f>
        <v>9488300</v>
      </c>
      <c r="M1556" s="169">
        <f t="shared" si="1068"/>
        <v>0</v>
      </c>
      <c r="N1556" s="16">
        <f>'БА в тыс. руб.'!I1556*1000</f>
        <v>9488300</v>
      </c>
      <c r="O1556" s="169">
        <f t="shared" si="1069"/>
        <v>0</v>
      </c>
      <c r="S1556" s="30"/>
      <c r="T1556" s="30"/>
      <c r="U1556" s="30"/>
    </row>
    <row r="1557" spans="1:21" s="3" customFormat="1" ht="51">
      <c r="A1557" s="11" t="s">
        <v>566</v>
      </c>
      <c r="B1557" s="25" t="s">
        <v>16</v>
      </c>
      <c r="C1557" s="25" t="s">
        <v>37</v>
      </c>
      <c r="D1557" s="25" t="s">
        <v>40</v>
      </c>
      <c r="E1557" s="25" t="s">
        <v>836</v>
      </c>
      <c r="F1557" s="25" t="s">
        <v>58</v>
      </c>
      <c r="G1557" s="42">
        <f t="shared" ref="G1557:I1559" si="1073">G1558</f>
        <v>403000</v>
      </c>
      <c r="H1557" s="42">
        <f t="shared" si="1073"/>
        <v>403000</v>
      </c>
      <c r="I1557" s="42">
        <f t="shared" si="1073"/>
        <v>9488300</v>
      </c>
      <c r="J1557" s="16">
        <f>'БА в тыс. руб.'!G1557*1000</f>
        <v>403000</v>
      </c>
      <c r="K1557" s="169">
        <f t="shared" si="1067"/>
        <v>0</v>
      </c>
      <c r="L1557" s="16">
        <f>'БА в тыс. руб.'!H1557*1000</f>
        <v>403000</v>
      </c>
      <c r="M1557" s="169">
        <f t="shared" si="1068"/>
        <v>0</v>
      </c>
      <c r="N1557" s="16">
        <f>'БА в тыс. руб.'!I1557*1000</f>
        <v>9488300</v>
      </c>
      <c r="O1557" s="169">
        <f t="shared" si="1069"/>
        <v>0</v>
      </c>
      <c r="S1557" s="30"/>
      <c r="T1557" s="30"/>
      <c r="U1557" s="30"/>
    </row>
    <row r="1558" spans="1:21" s="3" customFormat="1" ht="25.5">
      <c r="A1558" s="12" t="s">
        <v>915</v>
      </c>
      <c r="B1558" s="25" t="s">
        <v>16</v>
      </c>
      <c r="C1558" s="25" t="s">
        <v>37</v>
      </c>
      <c r="D1558" s="25" t="s">
        <v>40</v>
      </c>
      <c r="E1558" s="25" t="s">
        <v>837</v>
      </c>
      <c r="F1558" s="25" t="s">
        <v>58</v>
      </c>
      <c r="G1558" s="42">
        <f t="shared" si="1073"/>
        <v>403000</v>
      </c>
      <c r="H1558" s="42">
        <f t="shared" si="1073"/>
        <v>403000</v>
      </c>
      <c r="I1558" s="42">
        <f t="shared" si="1073"/>
        <v>9488300</v>
      </c>
      <c r="J1558" s="16">
        <f>'БА в тыс. руб.'!G1558*1000</f>
        <v>403000</v>
      </c>
      <c r="K1558" s="169">
        <f t="shared" si="1067"/>
        <v>0</v>
      </c>
      <c r="L1558" s="16">
        <f>'БА в тыс. руб.'!H1558*1000</f>
        <v>403000</v>
      </c>
      <c r="M1558" s="169">
        <f t="shared" si="1068"/>
        <v>0</v>
      </c>
      <c r="N1558" s="16">
        <f>'БА в тыс. руб.'!I1558*1000</f>
        <v>9488300</v>
      </c>
      <c r="O1558" s="169">
        <f t="shared" si="1069"/>
        <v>0</v>
      </c>
      <c r="S1558" s="30"/>
      <c r="T1558" s="30"/>
      <c r="U1558" s="30"/>
    </row>
    <row r="1559" spans="1:21" s="3" customFormat="1" ht="25.5">
      <c r="A1559" s="11" t="s">
        <v>108</v>
      </c>
      <c r="B1559" s="25" t="s">
        <v>16</v>
      </c>
      <c r="C1559" s="25" t="s">
        <v>37</v>
      </c>
      <c r="D1559" s="25" t="s">
        <v>40</v>
      </c>
      <c r="E1559" s="25" t="s">
        <v>837</v>
      </c>
      <c r="F1559" s="25" t="s">
        <v>116</v>
      </c>
      <c r="G1559" s="42">
        <f>G1560</f>
        <v>403000</v>
      </c>
      <c r="H1559" s="42">
        <f t="shared" si="1073"/>
        <v>403000</v>
      </c>
      <c r="I1559" s="42">
        <f t="shared" si="1073"/>
        <v>9488300</v>
      </c>
      <c r="J1559" s="16">
        <f>'БА в тыс. руб.'!G1559*1000</f>
        <v>403000</v>
      </c>
      <c r="K1559" s="169">
        <f t="shared" si="1067"/>
        <v>0</v>
      </c>
      <c r="L1559" s="16">
        <f>'БА в тыс. руб.'!H1559*1000</f>
        <v>403000</v>
      </c>
      <c r="M1559" s="169">
        <f t="shared" si="1068"/>
        <v>0</v>
      </c>
      <c r="N1559" s="16">
        <f>'БА в тыс. руб.'!I1559*1000</f>
        <v>9488300</v>
      </c>
      <c r="O1559" s="169">
        <f t="shared" si="1069"/>
        <v>0</v>
      </c>
      <c r="S1559" s="30"/>
      <c r="T1559" s="30"/>
      <c r="U1559" s="30"/>
    </row>
    <row r="1560" spans="1:21" s="4" customFormat="1" ht="25.5">
      <c r="A1560" s="12" t="s">
        <v>973</v>
      </c>
      <c r="B1560" s="25" t="s">
        <v>16</v>
      </c>
      <c r="C1560" s="25" t="s">
        <v>37</v>
      </c>
      <c r="D1560" s="25" t="s">
        <v>40</v>
      </c>
      <c r="E1560" s="25" t="s">
        <v>837</v>
      </c>
      <c r="F1560" s="25" t="s">
        <v>1043</v>
      </c>
      <c r="G1560" s="27">
        <f t="shared" ref="G1560" si="1074">J1560</f>
        <v>403000</v>
      </c>
      <c r="H1560" s="27">
        <f>L1560</f>
        <v>403000</v>
      </c>
      <c r="I1560" s="27">
        <f>N1560</f>
        <v>9488300</v>
      </c>
      <c r="J1560" s="16">
        <f>'БА в тыс. руб.'!G1560*1000</f>
        <v>403000</v>
      </c>
      <c r="K1560" s="169">
        <f t="shared" si="1067"/>
        <v>0</v>
      </c>
      <c r="L1560" s="16">
        <f>'БА в тыс. руб.'!H1560*1000</f>
        <v>403000</v>
      </c>
      <c r="M1560" s="169">
        <f t="shared" si="1068"/>
        <v>0</v>
      </c>
      <c r="N1560" s="16">
        <f>'БА в тыс. руб.'!I1560*1000</f>
        <v>9488300</v>
      </c>
      <c r="O1560" s="169">
        <f t="shared" si="1069"/>
        <v>0</v>
      </c>
      <c r="S1560" s="83"/>
      <c r="T1560" s="83"/>
      <c r="U1560" s="83"/>
    </row>
    <row r="1561" spans="1:21" s="3" customFormat="1" ht="51">
      <c r="A1561" s="11" t="s">
        <v>867</v>
      </c>
      <c r="B1561" s="25" t="s">
        <v>16</v>
      </c>
      <c r="C1561" s="25" t="s">
        <v>37</v>
      </c>
      <c r="D1561" s="25" t="s">
        <v>40</v>
      </c>
      <c r="E1561" s="25" t="s">
        <v>838</v>
      </c>
      <c r="F1561" s="25" t="s">
        <v>58</v>
      </c>
      <c r="G1561" s="42">
        <f t="shared" ref="G1561:I1563" si="1075">G1562</f>
        <v>6000000</v>
      </c>
      <c r="H1561" s="42">
        <f t="shared" si="1075"/>
        <v>9085300</v>
      </c>
      <c r="I1561" s="42">
        <f t="shared" si="1075"/>
        <v>0</v>
      </c>
      <c r="J1561" s="16">
        <f>'БА в тыс. руб.'!G1561*1000</f>
        <v>6000000</v>
      </c>
      <c r="K1561" s="169">
        <f t="shared" si="1067"/>
        <v>0</v>
      </c>
      <c r="L1561" s="16">
        <f>'БА в тыс. руб.'!H1561*1000</f>
        <v>9085300</v>
      </c>
      <c r="M1561" s="169">
        <f t="shared" si="1068"/>
        <v>0</v>
      </c>
      <c r="N1561" s="16">
        <f>'БА в тыс. руб.'!I1561*1000</f>
        <v>0</v>
      </c>
      <c r="O1561" s="169">
        <f t="shared" si="1069"/>
        <v>0</v>
      </c>
      <c r="S1561" s="30"/>
      <c r="T1561" s="30"/>
      <c r="U1561" s="30"/>
    </row>
    <row r="1562" spans="1:21" s="3" customFormat="1">
      <c r="A1562" s="11" t="s">
        <v>900</v>
      </c>
      <c r="B1562" s="25" t="s">
        <v>16</v>
      </c>
      <c r="C1562" s="25" t="s">
        <v>37</v>
      </c>
      <c r="D1562" s="25" t="s">
        <v>40</v>
      </c>
      <c r="E1562" s="25" t="s">
        <v>916</v>
      </c>
      <c r="F1562" s="25" t="s">
        <v>58</v>
      </c>
      <c r="G1562" s="42">
        <f t="shared" si="1075"/>
        <v>6000000</v>
      </c>
      <c r="H1562" s="42">
        <f t="shared" si="1075"/>
        <v>9085300</v>
      </c>
      <c r="I1562" s="42">
        <f t="shared" si="1075"/>
        <v>0</v>
      </c>
      <c r="J1562" s="16">
        <f>'БА в тыс. руб.'!G1562*1000</f>
        <v>6000000</v>
      </c>
      <c r="K1562" s="169">
        <f t="shared" si="1067"/>
        <v>0</v>
      </c>
      <c r="L1562" s="16">
        <f>'БА в тыс. руб.'!H1562*1000</f>
        <v>9085300</v>
      </c>
      <c r="M1562" s="169">
        <f t="shared" si="1068"/>
        <v>0</v>
      </c>
      <c r="N1562" s="16">
        <f>'БА в тыс. руб.'!I1562*1000</f>
        <v>0</v>
      </c>
      <c r="O1562" s="169">
        <f t="shared" si="1069"/>
        <v>0</v>
      </c>
      <c r="S1562" s="30"/>
      <c r="T1562" s="30"/>
      <c r="U1562" s="30"/>
    </row>
    <row r="1563" spans="1:21" s="3" customFormat="1" ht="25.5">
      <c r="A1563" s="11" t="s">
        <v>108</v>
      </c>
      <c r="B1563" s="25" t="s">
        <v>16</v>
      </c>
      <c r="C1563" s="25" t="s">
        <v>37</v>
      </c>
      <c r="D1563" s="25" t="s">
        <v>40</v>
      </c>
      <c r="E1563" s="25" t="s">
        <v>916</v>
      </c>
      <c r="F1563" s="25" t="s">
        <v>116</v>
      </c>
      <c r="G1563" s="42">
        <f>G1564</f>
        <v>6000000</v>
      </c>
      <c r="H1563" s="42">
        <f t="shared" si="1075"/>
        <v>9085300</v>
      </c>
      <c r="I1563" s="42">
        <f t="shared" si="1075"/>
        <v>0</v>
      </c>
      <c r="J1563" s="16">
        <f>'БА в тыс. руб.'!G1563*1000</f>
        <v>6000000</v>
      </c>
      <c r="K1563" s="169">
        <f t="shared" si="1067"/>
        <v>0</v>
      </c>
      <c r="L1563" s="16">
        <f>'БА в тыс. руб.'!H1563*1000</f>
        <v>9085300</v>
      </c>
      <c r="M1563" s="169">
        <f t="shared" si="1068"/>
        <v>0</v>
      </c>
      <c r="N1563" s="16">
        <f>'БА в тыс. руб.'!I1563*1000</f>
        <v>0</v>
      </c>
      <c r="O1563" s="169">
        <f t="shared" si="1069"/>
        <v>0</v>
      </c>
      <c r="S1563" s="30"/>
      <c r="T1563" s="30"/>
      <c r="U1563" s="30"/>
    </row>
    <row r="1564" spans="1:21" s="4" customFormat="1" ht="25.5">
      <c r="A1564" s="12" t="s">
        <v>973</v>
      </c>
      <c r="B1564" s="25" t="s">
        <v>16</v>
      </c>
      <c r="C1564" s="25" t="s">
        <v>37</v>
      </c>
      <c r="D1564" s="25" t="s">
        <v>40</v>
      </c>
      <c r="E1564" s="25" t="s">
        <v>916</v>
      </c>
      <c r="F1564" s="25" t="s">
        <v>1043</v>
      </c>
      <c r="G1564" s="27">
        <f t="shared" ref="G1564" si="1076">J1564</f>
        <v>6000000</v>
      </c>
      <c r="H1564" s="27">
        <f>L1564</f>
        <v>9085300</v>
      </c>
      <c r="I1564" s="27">
        <f>N1564</f>
        <v>0</v>
      </c>
      <c r="J1564" s="16">
        <f>'БА в тыс. руб.'!G1564*1000</f>
        <v>6000000</v>
      </c>
      <c r="K1564" s="169">
        <f t="shared" si="1067"/>
        <v>0</v>
      </c>
      <c r="L1564" s="16">
        <f>'БА в тыс. руб.'!H1564*1000</f>
        <v>9085300</v>
      </c>
      <c r="M1564" s="169">
        <f t="shared" si="1068"/>
        <v>0</v>
      </c>
      <c r="N1564" s="16">
        <f>'БА в тыс. руб.'!I1564*1000</f>
        <v>0</v>
      </c>
      <c r="O1564" s="169">
        <f t="shared" si="1069"/>
        <v>0</v>
      </c>
      <c r="S1564" s="83"/>
      <c r="T1564" s="83"/>
      <c r="U1564" s="83"/>
    </row>
    <row r="1565" spans="1:21" s="3" customFormat="1" ht="25.5">
      <c r="A1565" s="150" t="s">
        <v>195</v>
      </c>
      <c r="B1565" s="25" t="s">
        <v>16</v>
      </c>
      <c r="C1565" s="25" t="s">
        <v>37</v>
      </c>
      <c r="D1565" s="25" t="s">
        <v>40</v>
      </c>
      <c r="E1565" s="26" t="s">
        <v>572</v>
      </c>
      <c r="F1565" s="26" t="s">
        <v>58</v>
      </c>
      <c r="G1565" s="27">
        <f t="shared" ref="G1565:I1568" si="1077">G1566</f>
        <v>100000</v>
      </c>
      <c r="H1565" s="27">
        <f t="shared" si="1077"/>
        <v>100000</v>
      </c>
      <c r="I1565" s="27">
        <f t="shared" si="1077"/>
        <v>100000</v>
      </c>
      <c r="J1565" s="16">
        <f>'БА в тыс. руб.'!G1565*1000</f>
        <v>100000</v>
      </c>
      <c r="K1565" s="169">
        <f t="shared" si="1067"/>
        <v>0</v>
      </c>
      <c r="L1565" s="16">
        <f>'БА в тыс. руб.'!H1565*1000</f>
        <v>100000</v>
      </c>
      <c r="M1565" s="169">
        <f t="shared" si="1068"/>
        <v>0</v>
      </c>
      <c r="N1565" s="16">
        <f>'БА в тыс. руб.'!I1565*1000</f>
        <v>100000</v>
      </c>
      <c r="O1565" s="169">
        <f t="shared" si="1069"/>
        <v>0</v>
      </c>
      <c r="S1565" s="30"/>
      <c r="T1565" s="30"/>
      <c r="U1565" s="30"/>
    </row>
    <row r="1566" spans="1:21" s="3" customFormat="1">
      <c r="A1566" s="151" t="s">
        <v>175</v>
      </c>
      <c r="B1566" s="25" t="s">
        <v>16</v>
      </c>
      <c r="C1566" s="25" t="s">
        <v>37</v>
      </c>
      <c r="D1566" s="25" t="s">
        <v>40</v>
      </c>
      <c r="E1566" s="26" t="s">
        <v>576</v>
      </c>
      <c r="F1566" s="26" t="s">
        <v>58</v>
      </c>
      <c r="G1566" s="27">
        <f t="shared" si="1077"/>
        <v>100000</v>
      </c>
      <c r="H1566" s="27">
        <f t="shared" si="1077"/>
        <v>100000</v>
      </c>
      <c r="I1566" s="27">
        <f t="shared" si="1077"/>
        <v>100000</v>
      </c>
      <c r="J1566" s="16">
        <f>'БА в тыс. руб.'!G1566*1000</f>
        <v>100000</v>
      </c>
      <c r="K1566" s="169">
        <f t="shared" si="1067"/>
        <v>0</v>
      </c>
      <c r="L1566" s="16">
        <f>'БА в тыс. руб.'!H1566*1000</f>
        <v>100000</v>
      </c>
      <c r="M1566" s="169">
        <f t="shared" si="1068"/>
        <v>0</v>
      </c>
      <c r="N1566" s="16">
        <f>'БА в тыс. руб.'!I1566*1000</f>
        <v>100000</v>
      </c>
      <c r="O1566" s="169">
        <f t="shared" si="1069"/>
        <v>0</v>
      </c>
      <c r="S1566" s="30"/>
      <c r="T1566" s="30"/>
      <c r="U1566" s="30"/>
    </row>
    <row r="1567" spans="1:21" s="3" customFormat="1" ht="25.5">
      <c r="A1567" s="150" t="s">
        <v>705</v>
      </c>
      <c r="B1567" s="25" t="s">
        <v>16</v>
      </c>
      <c r="C1567" s="25" t="s">
        <v>37</v>
      </c>
      <c r="D1567" s="25" t="s">
        <v>40</v>
      </c>
      <c r="E1567" s="26" t="s">
        <v>578</v>
      </c>
      <c r="F1567" s="26" t="s">
        <v>58</v>
      </c>
      <c r="G1567" s="27">
        <f t="shared" si="1077"/>
        <v>100000</v>
      </c>
      <c r="H1567" s="27">
        <f t="shared" si="1077"/>
        <v>100000</v>
      </c>
      <c r="I1567" s="27">
        <f t="shared" si="1077"/>
        <v>100000</v>
      </c>
      <c r="J1567" s="16">
        <f>'БА в тыс. руб.'!G1567*1000</f>
        <v>100000</v>
      </c>
      <c r="K1567" s="169">
        <f t="shared" si="1067"/>
        <v>0</v>
      </c>
      <c r="L1567" s="16">
        <f>'БА в тыс. руб.'!H1567*1000</f>
        <v>100000</v>
      </c>
      <c r="M1567" s="169">
        <f t="shared" si="1068"/>
        <v>0</v>
      </c>
      <c r="N1567" s="16">
        <f>'БА в тыс. руб.'!I1567*1000</f>
        <v>100000</v>
      </c>
      <c r="O1567" s="169">
        <f t="shared" si="1069"/>
        <v>0</v>
      </c>
      <c r="S1567" s="30"/>
      <c r="T1567" s="30"/>
      <c r="U1567" s="30"/>
    </row>
    <row r="1568" spans="1:21" s="3" customFormat="1" ht="25.5">
      <c r="A1568" s="11" t="s">
        <v>108</v>
      </c>
      <c r="B1568" s="25" t="s">
        <v>16</v>
      </c>
      <c r="C1568" s="25" t="s">
        <v>37</v>
      </c>
      <c r="D1568" s="25" t="s">
        <v>40</v>
      </c>
      <c r="E1568" s="26" t="s">
        <v>578</v>
      </c>
      <c r="F1568" s="26" t="s">
        <v>116</v>
      </c>
      <c r="G1568" s="27">
        <f>G1569</f>
        <v>100000</v>
      </c>
      <c r="H1568" s="27">
        <f t="shared" si="1077"/>
        <v>100000</v>
      </c>
      <c r="I1568" s="27">
        <f t="shared" si="1077"/>
        <v>100000</v>
      </c>
      <c r="J1568" s="16">
        <f>'БА в тыс. руб.'!G1568*1000</f>
        <v>100000</v>
      </c>
      <c r="K1568" s="169">
        <f t="shared" si="1067"/>
        <v>0</v>
      </c>
      <c r="L1568" s="16">
        <f>'БА в тыс. руб.'!H1568*1000</f>
        <v>100000</v>
      </c>
      <c r="M1568" s="169">
        <f t="shared" si="1068"/>
        <v>0</v>
      </c>
      <c r="N1568" s="16">
        <f>'БА в тыс. руб.'!I1568*1000</f>
        <v>100000</v>
      </c>
      <c r="O1568" s="169">
        <f t="shared" si="1069"/>
        <v>0</v>
      </c>
      <c r="S1568" s="30"/>
      <c r="T1568" s="30"/>
      <c r="U1568" s="30"/>
    </row>
    <row r="1569" spans="1:21" s="4" customFormat="1" ht="25.5">
      <c r="A1569" s="12" t="s">
        <v>973</v>
      </c>
      <c r="B1569" s="25" t="s">
        <v>16</v>
      </c>
      <c r="C1569" s="25" t="s">
        <v>37</v>
      </c>
      <c r="D1569" s="25" t="s">
        <v>40</v>
      </c>
      <c r="E1569" s="26" t="s">
        <v>578</v>
      </c>
      <c r="F1569" s="26" t="s">
        <v>1043</v>
      </c>
      <c r="G1569" s="27">
        <f t="shared" ref="G1569" si="1078">J1569</f>
        <v>100000</v>
      </c>
      <c r="H1569" s="27">
        <f>L1569</f>
        <v>100000</v>
      </c>
      <c r="I1569" s="27">
        <f>N1569</f>
        <v>100000</v>
      </c>
      <c r="J1569" s="16">
        <f>'БА в тыс. руб.'!G1569*1000</f>
        <v>100000</v>
      </c>
      <c r="K1569" s="169">
        <f t="shared" si="1067"/>
        <v>0</v>
      </c>
      <c r="L1569" s="16">
        <f>'БА в тыс. руб.'!H1569*1000</f>
        <v>100000</v>
      </c>
      <c r="M1569" s="169">
        <f t="shared" si="1068"/>
        <v>0</v>
      </c>
      <c r="N1569" s="16">
        <f>'БА в тыс. руб.'!I1569*1000</f>
        <v>100000</v>
      </c>
      <c r="O1569" s="169">
        <f t="shared" si="1069"/>
        <v>0</v>
      </c>
      <c r="S1569" s="83"/>
      <c r="T1569" s="83"/>
      <c r="U1569" s="83"/>
    </row>
    <row r="1570" spans="1:21" s="3" customFormat="1">
      <c r="A1570" s="17" t="s">
        <v>7</v>
      </c>
      <c r="B1570" s="18" t="s">
        <v>16</v>
      </c>
      <c r="C1570" s="19" t="s">
        <v>8</v>
      </c>
      <c r="D1570" s="19" t="s">
        <v>51</v>
      </c>
      <c r="E1570" s="19" t="s">
        <v>196</v>
      </c>
      <c r="F1570" s="19" t="s">
        <v>58</v>
      </c>
      <c r="G1570" s="20">
        <f t="shared" ref="G1570:I1576" si="1079">G1571</f>
        <v>200000000</v>
      </c>
      <c r="H1570" s="20">
        <f t="shared" si="1079"/>
        <v>0</v>
      </c>
      <c r="I1570" s="20">
        <f t="shared" si="1079"/>
        <v>0</v>
      </c>
      <c r="J1570" s="16">
        <f>'БА в тыс. руб.'!G1570*1000</f>
        <v>200000000</v>
      </c>
      <c r="K1570" s="169">
        <f t="shared" si="1067"/>
        <v>0</v>
      </c>
      <c r="L1570" s="16">
        <f>'БА в тыс. руб.'!H1570*1000</f>
        <v>0</v>
      </c>
      <c r="M1570" s="169">
        <f t="shared" si="1068"/>
        <v>0</v>
      </c>
      <c r="N1570" s="16">
        <f>'БА в тыс. руб.'!I1570*1000</f>
        <v>0</v>
      </c>
      <c r="O1570" s="169">
        <f t="shared" si="1069"/>
        <v>0</v>
      </c>
      <c r="S1570" s="30"/>
      <c r="T1570" s="30"/>
      <c r="U1570" s="30"/>
    </row>
    <row r="1571" spans="1:21" s="3" customFormat="1">
      <c r="A1571" s="21" t="s">
        <v>1</v>
      </c>
      <c r="B1571" s="22" t="s">
        <v>16</v>
      </c>
      <c r="C1571" s="23" t="s">
        <v>8</v>
      </c>
      <c r="D1571" s="23" t="s">
        <v>53</v>
      </c>
      <c r="E1571" s="23" t="s">
        <v>196</v>
      </c>
      <c r="F1571" s="23" t="s">
        <v>58</v>
      </c>
      <c r="G1571" s="24">
        <f t="shared" si="1079"/>
        <v>200000000</v>
      </c>
      <c r="H1571" s="24">
        <f t="shared" si="1079"/>
        <v>0</v>
      </c>
      <c r="I1571" s="24">
        <f t="shared" si="1079"/>
        <v>0</v>
      </c>
      <c r="J1571" s="16">
        <f>'БА в тыс. руб.'!G1571*1000</f>
        <v>200000000</v>
      </c>
      <c r="K1571" s="169">
        <f t="shared" si="1067"/>
        <v>0</v>
      </c>
      <c r="L1571" s="16">
        <f>'БА в тыс. руб.'!H1571*1000</f>
        <v>0</v>
      </c>
      <c r="M1571" s="169">
        <f t="shared" si="1068"/>
        <v>0</v>
      </c>
      <c r="N1571" s="16">
        <f>'БА в тыс. руб.'!I1571*1000</f>
        <v>0</v>
      </c>
      <c r="O1571" s="169">
        <f t="shared" si="1069"/>
        <v>0</v>
      </c>
      <c r="S1571" s="30"/>
      <c r="T1571" s="30"/>
      <c r="U1571" s="30"/>
    </row>
    <row r="1572" spans="1:21" s="3" customFormat="1" ht="38.25">
      <c r="A1572" s="12" t="s">
        <v>722</v>
      </c>
      <c r="B1572" s="26" t="s">
        <v>16</v>
      </c>
      <c r="C1572" s="26" t="s">
        <v>8</v>
      </c>
      <c r="D1572" s="26" t="s">
        <v>53</v>
      </c>
      <c r="E1572" s="26" t="s">
        <v>300</v>
      </c>
      <c r="F1572" s="26" t="s">
        <v>58</v>
      </c>
      <c r="G1572" s="42">
        <f t="shared" si="1079"/>
        <v>200000000</v>
      </c>
      <c r="H1572" s="42">
        <f t="shared" si="1079"/>
        <v>0</v>
      </c>
      <c r="I1572" s="42">
        <f t="shared" si="1079"/>
        <v>0</v>
      </c>
      <c r="J1572" s="16">
        <f>'БА в тыс. руб.'!G1572*1000</f>
        <v>200000000</v>
      </c>
      <c r="K1572" s="169">
        <f t="shared" si="1067"/>
        <v>0</v>
      </c>
      <c r="L1572" s="16">
        <f>'БА в тыс. руб.'!H1572*1000</f>
        <v>0</v>
      </c>
      <c r="M1572" s="169">
        <f t="shared" si="1068"/>
        <v>0</v>
      </c>
      <c r="N1572" s="16">
        <f>'БА в тыс. руб.'!I1572*1000</f>
        <v>0</v>
      </c>
      <c r="O1572" s="169">
        <f t="shared" si="1069"/>
        <v>0</v>
      </c>
      <c r="S1572" s="30"/>
      <c r="T1572" s="30"/>
      <c r="U1572" s="30"/>
    </row>
    <row r="1573" spans="1:21" s="3" customFormat="1">
      <c r="A1573" s="11" t="s">
        <v>142</v>
      </c>
      <c r="B1573" s="26" t="s">
        <v>16</v>
      </c>
      <c r="C1573" s="26" t="s">
        <v>8</v>
      </c>
      <c r="D1573" s="26" t="s">
        <v>53</v>
      </c>
      <c r="E1573" s="26" t="s">
        <v>453</v>
      </c>
      <c r="F1573" s="26" t="s">
        <v>58</v>
      </c>
      <c r="G1573" s="42">
        <f t="shared" si="1079"/>
        <v>200000000</v>
      </c>
      <c r="H1573" s="42">
        <f t="shared" si="1079"/>
        <v>0</v>
      </c>
      <c r="I1573" s="42">
        <f t="shared" si="1079"/>
        <v>0</v>
      </c>
      <c r="J1573" s="16">
        <f>'БА в тыс. руб.'!G1573*1000</f>
        <v>200000000</v>
      </c>
      <c r="K1573" s="169">
        <f t="shared" si="1067"/>
        <v>0</v>
      </c>
      <c r="L1573" s="16">
        <f>'БА в тыс. руб.'!H1573*1000</f>
        <v>0</v>
      </c>
      <c r="M1573" s="169">
        <f t="shared" si="1068"/>
        <v>0</v>
      </c>
      <c r="N1573" s="16">
        <f>'БА в тыс. руб.'!I1573*1000</f>
        <v>0</v>
      </c>
      <c r="O1573" s="169">
        <f t="shared" si="1069"/>
        <v>0</v>
      </c>
      <c r="S1573" s="30"/>
      <c r="T1573" s="30"/>
      <c r="U1573" s="30"/>
    </row>
    <row r="1574" spans="1:21" s="3" customFormat="1" ht="25.5">
      <c r="A1574" s="40" t="s">
        <v>454</v>
      </c>
      <c r="B1574" s="35" t="s">
        <v>16</v>
      </c>
      <c r="C1574" s="36" t="s">
        <v>8</v>
      </c>
      <c r="D1574" s="36" t="s">
        <v>53</v>
      </c>
      <c r="E1574" s="26" t="s">
        <v>645</v>
      </c>
      <c r="F1574" s="36" t="s">
        <v>58</v>
      </c>
      <c r="G1574" s="37">
        <f t="shared" si="1079"/>
        <v>200000000</v>
      </c>
      <c r="H1574" s="37">
        <f t="shared" si="1079"/>
        <v>0</v>
      </c>
      <c r="I1574" s="37">
        <f t="shared" si="1079"/>
        <v>0</v>
      </c>
      <c r="J1574" s="16">
        <f>'БА в тыс. руб.'!G1574*1000</f>
        <v>200000000</v>
      </c>
      <c r="K1574" s="169">
        <f t="shared" si="1067"/>
        <v>0</v>
      </c>
      <c r="L1574" s="16">
        <f>'БА в тыс. руб.'!H1574*1000</f>
        <v>0</v>
      </c>
      <c r="M1574" s="169">
        <f t="shared" si="1068"/>
        <v>0</v>
      </c>
      <c r="N1574" s="16">
        <f>'БА в тыс. руб.'!I1574*1000</f>
        <v>0</v>
      </c>
      <c r="O1574" s="169">
        <f t="shared" si="1069"/>
        <v>0</v>
      </c>
      <c r="S1574" s="30"/>
      <c r="T1574" s="30"/>
      <c r="U1574" s="30"/>
    </row>
    <row r="1575" spans="1:21" s="3" customFormat="1" ht="63.75">
      <c r="A1575" s="12" t="s">
        <v>588</v>
      </c>
      <c r="B1575" s="35" t="s">
        <v>16</v>
      </c>
      <c r="C1575" s="36" t="s">
        <v>8</v>
      </c>
      <c r="D1575" s="36" t="s">
        <v>53</v>
      </c>
      <c r="E1575" s="36" t="s">
        <v>648</v>
      </c>
      <c r="F1575" s="36" t="s">
        <v>58</v>
      </c>
      <c r="G1575" s="37">
        <f t="shared" si="1079"/>
        <v>200000000</v>
      </c>
      <c r="H1575" s="37">
        <f t="shared" si="1079"/>
        <v>0</v>
      </c>
      <c r="I1575" s="37">
        <f t="shared" si="1079"/>
        <v>0</v>
      </c>
      <c r="J1575" s="16">
        <f>'БА в тыс. руб.'!G1575*1000</f>
        <v>200000000</v>
      </c>
      <c r="K1575" s="169">
        <f t="shared" si="1067"/>
        <v>0</v>
      </c>
      <c r="L1575" s="16">
        <f>'БА в тыс. руб.'!H1575*1000</f>
        <v>0</v>
      </c>
      <c r="M1575" s="169">
        <f t="shared" si="1068"/>
        <v>0</v>
      </c>
      <c r="N1575" s="16">
        <f>'БА в тыс. руб.'!I1575*1000</f>
        <v>0</v>
      </c>
      <c r="O1575" s="169">
        <f t="shared" si="1069"/>
        <v>0</v>
      </c>
      <c r="S1575" s="30"/>
      <c r="T1575" s="30"/>
      <c r="U1575" s="30"/>
    </row>
    <row r="1576" spans="1:21" s="3" customFormat="1" ht="25.5">
      <c r="A1576" s="11" t="s">
        <v>108</v>
      </c>
      <c r="B1576" s="35" t="s">
        <v>16</v>
      </c>
      <c r="C1576" s="36" t="s">
        <v>8</v>
      </c>
      <c r="D1576" s="36" t="s">
        <v>53</v>
      </c>
      <c r="E1576" s="36" t="s">
        <v>648</v>
      </c>
      <c r="F1576" s="36" t="s">
        <v>116</v>
      </c>
      <c r="G1576" s="37">
        <f>G1577</f>
        <v>200000000</v>
      </c>
      <c r="H1576" s="37">
        <f t="shared" si="1079"/>
        <v>0</v>
      </c>
      <c r="I1576" s="37">
        <f t="shared" si="1079"/>
        <v>0</v>
      </c>
      <c r="J1576" s="16">
        <f>'БА в тыс. руб.'!G1576*1000</f>
        <v>200000000</v>
      </c>
      <c r="K1576" s="169">
        <f t="shared" si="1067"/>
        <v>0</v>
      </c>
      <c r="L1576" s="16">
        <f>'БА в тыс. руб.'!H1576*1000</f>
        <v>0</v>
      </c>
      <c r="M1576" s="169">
        <f t="shared" si="1068"/>
        <v>0</v>
      </c>
      <c r="N1576" s="16">
        <f>'БА в тыс. руб.'!I1576*1000</f>
        <v>0</v>
      </c>
      <c r="O1576" s="169">
        <f t="shared" si="1069"/>
        <v>0</v>
      </c>
      <c r="S1576" s="30"/>
      <c r="T1576" s="30"/>
      <c r="U1576" s="30"/>
    </row>
    <row r="1577" spans="1:21" s="4" customFormat="1" ht="25.5">
      <c r="A1577" s="12" t="s">
        <v>973</v>
      </c>
      <c r="B1577" s="35" t="s">
        <v>16</v>
      </c>
      <c r="C1577" s="36" t="s">
        <v>8</v>
      </c>
      <c r="D1577" s="36" t="s">
        <v>53</v>
      </c>
      <c r="E1577" s="36" t="s">
        <v>648</v>
      </c>
      <c r="F1577" s="36" t="s">
        <v>1043</v>
      </c>
      <c r="G1577" s="27">
        <f t="shared" ref="G1577" si="1080">J1577</f>
        <v>200000000</v>
      </c>
      <c r="H1577" s="27">
        <f>L1577</f>
        <v>0</v>
      </c>
      <c r="I1577" s="27">
        <f>N1577</f>
        <v>0</v>
      </c>
      <c r="J1577" s="16">
        <f>'БА в тыс. руб.'!G1577*1000</f>
        <v>200000000</v>
      </c>
      <c r="K1577" s="169">
        <f t="shared" si="1067"/>
        <v>0</v>
      </c>
      <c r="L1577" s="16">
        <f>'БА в тыс. руб.'!H1577*1000</f>
        <v>0</v>
      </c>
      <c r="M1577" s="169">
        <f t="shared" si="1068"/>
        <v>0</v>
      </c>
      <c r="N1577" s="16">
        <f>'БА в тыс. руб.'!I1577*1000</f>
        <v>0</v>
      </c>
      <c r="O1577" s="169">
        <f t="shared" si="1069"/>
        <v>0</v>
      </c>
      <c r="S1577" s="83"/>
      <c r="T1577" s="83"/>
      <c r="U1577" s="83"/>
    </row>
    <row r="1578" spans="1:21" s="3" customFormat="1">
      <c r="A1578" s="17" t="s">
        <v>70</v>
      </c>
      <c r="B1578" s="18" t="s">
        <v>16</v>
      </c>
      <c r="C1578" s="19" t="s">
        <v>71</v>
      </c>
      <c r="D1578" s="19" t="s">
        <v>51</v>
      </c>
      <c r="E1578" s="19" t="s">
        <v>196</v>
      </c>
      <c r="F1578" s="19" t="s">
        <v>58</v>
      </c>
      <c r="G1578" s="20">
        <f>G1579+G1586</f>
        <v>830346120</v>
      </c>
      <c r="H1578" s="20">
        <f>H1579+H1586</f>
        <v>9800000</v>
      </c>
      <c r="I1578" s="20">
        <f>I1579+I1586</f>
        <v>15226050</v>
      </c>
      <c r="J1578" s="16">
        <f>'БА в тыс. руб.'!G1578*1000</f>
        <v>830346120</v>
      </c>
      <c r="K1578" s="169">
        <f t="shared" si="1067"/>
        <v>0</v>
      </c>
      <c r="L1578" s="16">
        <f>'БА в тыс. руб.'!H1578*1000</f>
        <v>9800000</v>
      </c>
      <c r="M1578" s="169">
        <f t="shared" si="1068"/>
        <v>0</v>
      </c>
      <c r="N1578" s="16">
        <f>'БА в тыс. руб.'!I1578*1000</f>
        <v>15226050</v>
      </c>
      <c r="O1578" s="169">
        <f t="shared" si="1069"/>
        <v>0</v>
      </c>
      <c r="S1578" s="30"/>
      <c r="T1578" s="30"/>
      <c r="U1578" s="30"/>
    </row>
    <row r="1579" spans="1:21" s="3" customFormat="1">
      <c r="A1579" s="21" t="s">
        <v>72</v>
      </c>
      <c r="B1579" s="22" t="s">
        <v>16</v>
      </c>
      <c r="C1579" s="23" t="s">
        <v>71</v>
      </c>
      <c r="D1579" s="23" t="s">
        <v>65</v>
      </c>
      <c r="E1579" s="23" t="s">
        <v>196</v>
      </c>
      <c r="F1579" s="23" t="s">
        <v>58</v>
      </c>
      <c r="G1579" s="24">
        <f t="shared" ref="G1579:I1582" si="1081">G1580</f>
        <v>600000</v>
      </c>
      <c r="H1579" s="24">
        <f t="shared" si="1081"/>
        <v>9800000</v>
      </c>
      <c r="I1579" s="24">
        <f t="shared" si="1081"/>
        <v>7613030</v>
      </c>
      <c r="J1579" s="16">
        <f>'БА в тыс. руб.'!G1579*1000</f>
        <v>600000</v>
      </c>
      <c r="K1579" s="169">
        <f t="shared" si="1067"/>
        <v>0</v>
      </c>
      <c r="L1579" s="16">
        <f>'БА в тыс. руб.'!H1579*1000</f>
        <v>9800000</v>
      </c>
      <c r="M1579" s="169">
        <f t="shared" si="1068"/>
        <v>0</v>
      </c>
      <c r="N1579" s="16">
        <f>'БА в тыс. руб.'!I1579*1000</f>
        <v>7613030</v>
      </c>
      <c r="O1579" s="169">
        <f t="shared" si="1069"/>
        <v>0</v>
      </c>
      <c r="S1579" s="30"/>
      <c r="T1579" s="30"/>
      <c r="U1579" s="30"/>
    </row>
    <row r="1580" spans="1:21" s="3" customFormat="1" ht="25.5">
      <c r="A1580" s="13" t="s">
        <v>723</v>
      </c>
      <c r="B1580" s="25" t="s">
        <v>16</v>
      </c>
      <c r="C1580" s="26" t="s">
        <v>71</v>
      </c>
      <c r="D1580" s="26" t="s">
        <v>65</v>
      </c>
      <c r="E1580" s="26" t="s">
        <v>331</v>
      </c>
      <c r="F1580" s="26" t="s">
        <v>58</v>
      </c>
      <c r="G1580" s="27">
        <f t="shared" si="1081"/>
        <v>600000</v>
      </c>
      <c r="H1580" s="27">
        <f t="shared" si="1081"/>
        <v>9800000</v>
      </c>
      <c r="I1580" s="27">
        <f t="shared" si="1081"/>
        <v>7613030</v>
      </c>
      <c r="J1580" s="16">
        <f>'БА в тыс. руб.'!G1580*1000</f>
        <v>600000</v>
      </c>
      <c r="K1580" s="169">
        <f t="shared" si="1067"/>
        <v>0</v>
      </c>
      <c r="L1580" s="16">
        <f>'БА в тыс. руб.'!H1580*1000</f>
        <v>9800000</v>
      </c>
      <c r="M1580" s="169">
        <f t="shared" si="1068"/>
        <v>0</v>
      </c>
      <c r="N1580" s="16">
        <f>'БА в тыс. руб.'!I1580*1000</f>
        <v>7613030</v>
      </c>
      <c r="O1580" s="169">
        <f t="shared" si="1069"/>
        <v>0</v>
      </c>
      <c r="S1580" s="30"/>
      <c r="T1580" s="30"/>
      <c r="U1580" s="30"/>
    </row>
    <row r="1581" spans="1:21" s="3" customFormat="1" ht="25.5">
      <c r="A1581" s="11" t="s">
        <v>724</v>
      </c>
      <c r="B1581" s="25" t="s">
        <v>16</v>
      </c>
      <c r="C1581" s="26" t="s">
        <v>71</v>
      </c>
      <c r="D1581" s="26" t="s">
        <v>65</v>
      </c>
      <c r="E1581" s="26" t="s">
        <v>562</v>
      </c>
      <c r="F1581" s="26" t="s">
        <v>58</v>
      </c>
      <c r="G1581" s="27">
        <f t="shared" si="1081"/>
        <v>600000</v>
      </c>
      <c r="H1581" s="27">
        <f t="shared" si="1081"/>
        <v>9800000</v>
      </c>
      <c r="I1581" s="27">
        <f t="shared" si="1081"/>
        <v>7613030</v>
      </c>
      <c r="J1581" s="16">
        <f>'БА в тыс. руб.'!G1581*1000</f>
        <v>600000</v>
      </c>
      <c r="K1581" s="169">
        <f t="shared" si="1067"/>
        <v>0</v>
      </c>
      <c r="L1581" s="16">
        <f>'БА в тыс. руб.'!H1581*1000</f>
        <v>9800000</v>
      </c>
      <c r="M1581" s="169">
        <f t="shared" si="1068"/>
        <v>0</v>
      </c>
      <c r="N1581" s="16">
        <f>'БА в тыс. руб.'!I1581*1000</f>
        <v>7613030</v>
      </c>
      <c r="O1581" s="169">
        <f t="shared" si="1069"/>
        <v>0</v>
      </c>
      <c r="S1581" s="30"/>
      <c r="T1581" s="30"/>
      <c r="U1581" s="30"/>
    </row>
    <row r="1582" spans="1:21" s="3" customFormat="1" ht="38.25">
      <c r="A1582" s="11" t="s">
        <v>612</v>
      </c>
      <c r="B1582" s="25" t="s">
        <v>16</v>
      </c>
      <c r="C1582" s="26" t="s">
        <v>71</v>
      </c>
      <c r="D1582" s="26" t="s">
        <v>65</v>
      </c>
      <c r="E1582" s="26" t="s">
        <v>563</v>
      </c>
      <c r="F1582" s="26" t="s">
        <v>58</v>
      </c>
      <c r="G1582" s="27">
        <f t="shared" si="1081"/>
        <v>600000</v>
      </c>
      <c r="H1582" s="27">
        <f t="shared" si="1081"/>
        <v>9800000</v>
      </c>
      <c r="I1582" s="27">
        <f t="shared" si="1081"/>
        <v>7613030</v>
      </c>
      <c r="J1582" s="16">
        <f>'БА в тыс. руб.'!G1582*1000</f>
        <v>600000</v>
      </c>
      <c r="K1582" s="169">
        <f t="shared" si="1067"/>
        <v>0</v>
      </c>
      <c r="L1582" s="16">
        <f>'БА в тыс. руб.'!H1582*1000</f>
        <v>9800000</v>
      </c>
      <c r="M1582" s="169">
        <f t="shared" si="1068"/>
        <v>0</v>
      </c>
      <c r="N1582" s="16">
        <f>'БА в тыс. руб.'!I1582*1000</f>
        <v>7613030</v>
      </c>
      <c r="O1582" s="169">
        <f t="shared" si="1069"/>
        <v>0</v>
      </c>
      <c r="S1582" s="30"/>
      <c r="T1582" s="30"/>
      <c r="U1582" s="30"/>
    </row>
    <row r="1583" spans="1:21" s="3" customFormat="1" ht="38.25">
      <c r="A1583" s="11" t="s">
        <v>154</v>
      </c>
      <c r="B1583" s="25" t="s">
        <v>16</v>
      </c>
      <c r="C1583" s="26" t="s">
        <v>71</v>
      </c>
      <c r="D1583" s="26" t="s">
        <v>65</v>
      </c>
      <c r="E1583" s="26" t="s">
        <v>564</v>
      </c>
      <c r="F1583" s="26" t="s">
        <v>58</v>
      </c>
      <c r="G1583" s="27">
        <f>G1584</f>
        <v>600000</v>
      </c>
      <c r="H1583" s="27">
        <f>H1584</f>
        <v>9800000</v>
      </c>
      <c r="I1583" s="27">
        <f>I1584</f>
        <v>7613030</v>
      </c>
      <c r="J1583" s="16">
        <f>'БА в тыс. руб.'!G1583*1000</f>
        <v>600000</v>
      </c>
      <c r="K1583" s="169">
        <f t="shared" si="1067"/>
        <v>0</v>
      </c>
      <c r="L1583" s="16">
        <f>'БА в тыс. руб.'!H1583*1000</f>
        <v>9800000</v>
      </c>
      <c r="M1583" s="169">
        <f t="shared" si="1068"/>
        <v>0</v>
      </c>
      <c r="N1583" s="16">
        <f>'БА в тыс. руб.'!I1583*1000</f>
        <v>7613030</v>
      </c>
      <c r="O1583" s="169">
        <f t="shared" si="1069"/>
        <v>0</v>
      </c>
      <c r="S1583" s="30"/>
      <c r="T1583" s="30"/>
      <c r="U1583" s="30"/>
    </row>
    <row r="1584" spans="1:21" s="3" customFormat="1">
      <c r="A1584" s="11" t="s">
        <v>21</v>
      </c>
      <c r="B1584" s="25" t="s">
        <v>16</v>
      </c>
      <c r="C1584" s="26" t="s">
        <v>71</v>
      </c>
      <c r="D1584" s="26" t="s">
        <v>65</v>
      </c>
      <c r="E1584" s="26" t="s">
        <v>564</v>
      </c>
      <c r="F1584" s="26" t="s">
        <v>103</v>
      </c>
      <c r="G1584" s="27">
        <f>G1585</f>
        <v>600000</v>
      </c>
      <c r="H1584" s="27">
        <f t="shared" ref="H1584:I1584" si="1082">H1585</f>
        <v>9800000</v>
      </c>
      <c r="I1584" s="27">
        <f t="shared" si="1082"/>
        <v>7613030</v>
      </c>
      <c r="J1584" s="16">
        <f>'БА в тыс. руб.'!G1584*1000</f>
        <v>600000</v>
      </c>
      <c r="K1584" s="169">
        <f t="shared" si="1067"/>
        <v>0</v>
      </c>
      <c r="L1584" s="16">
        <f>'БА в тыс. руб.'!H1584*1000</f>
        <v>9800000</v>
      </c>
      <c r="M1584" s="169">
        <f t="shared" si="1068"/>
        <v>0</v>
      </c>
      <c r="N1584" s="16">
        <f>'БА в тыс. руб.'!I1584*1000</f>
        <v>7613030</v>
      </c>
      <c r="O1584" s="169">
        <f t="shared" si="1069"/>
        <v>0</v>
      </c>
      <c r="S1584" s="30"/>
      <c r="T1584" s="30"/>
      <c r="U1584" s="30"/>
    </row>
    <row r="1585" spans="1:21" s="4" customFormat="1" ht="25.5">
      <c r="A1585" s="12" t="s">
        <v>987</v>
      </c>
      <c r="B1585" s="25" t="s">
        <v>16</v>
      </c>
      <c r="C1585" s="26" t="s">
        <v>71</v>
      </c>
      <c r="D1585" s="26" t="s">
        <v>65</v>
      </c>
      <c r="E1585" s="26" t="s">
        <v>564</v>
      </c>
      <c r="F1585" s="26" t="s">
        <v>1052</v>
      </c>
      <c r="G1585" s="27">
        <f t="shared" ref="G1585" si="1083">J1585</f>
        <v>600000</v>
      </c>
      <c r="H1585" s="27">
        <f>L1585</f>
        <v>9800000</v>
      </c>
      <c r="I1585" s="27">
        <f>N1585</f>
        <v>7613030</v>
      </c>
      <c r="J1585" s="16">
        <f>'БА в тыс. руб.'!G1585*1000</f>
        <v>600000</v>
      </c>
      <c r="K1585" s="169">
        <f t="shared" si="1067"/>
        <v>0</v>
      </c>
      <c r="L1585" s="16">
        <f>'БА в тыс. руб.'!H1585*1000</f>
        <v>9800000</v>
      </c>
      <c r="M1585" s="169">
        <f t="shared" si="1068"/>
        <v>0</v>
      </c>
      <c r="N1585" s="16">
        <f>'БА в тыс. руб.'!I1585*1000</f>
        <v>7613030</v>
      </c>
      <c r="O1585" s="169">
        <f t="shared" si="1069"/>
        <v>0</v>
      </c>
      <c r="S1585" s="83"/>
      <c r="T1585" s="83"/>
      <c r="U1585" s="83"/>
    </row>
    <row r="1586" spans="1:21" s="3" customFormat="1">
      <c r="A1586" s="21" t="s">
        <v>61</v>
      </c>
      <c r="B1586" s="22" t="s">
        <v>16</v>
      </c>
      <c r="C1586" s="23" t="s">
        <v>71</v>
      </c>
      <c r="D1586" s="23" t="s">
        <v>66</v>
      </c>
      <c r="E1586" s="23" t="s">
        <v>196</v>
      </c>
      <c r="F1586" s="23" t="s">
        <v>58</v>
      </c>
      <c r="G1586" s="24">
        <f t="shared" ref="G1586:I1588" si="1084">G1587</f>
        <v>829746120</v>
      </c>
      <c r="H1586" s="24">
        <f t="shared" si="1084"/>
        <v>0</v>
      </c>
      <c r="I1586" s="24">
        <f t="shared" si="1084"/>
        <v>7613020</v>
      </c>
      <c r="J1586" s="16">
        <f>'БА в тыс. руб.'!G1586*1000</f>
        <v>829746120</v>
      </c>
      <c r="K1586" s="169">
        <f t="shared" si="1067"/>
        <v>0</v>
      </c>
      <c r="L1586" s="16">
        <f>'БА в тыс. руб.'!H1586*1000</f>
        <v>0</v>
      </c>
      <c r="M1586" s="169">
        <f t="shared" si="1068"/>
        <v>0</v>
      </c>
      <c r="N1586" s="16">
        <f>'БА в тыс. руб.'!I1586*1000</f>
        <v>7613020</v>
      </c>
      <c r="O1586" s="169">
        <f t="shared" si="1069"/>
        <v>0</v>
      </c>
      <c r="S1586" s="30"/>
      <c r="T1586" s="30"/>
      <c r="U1586" s="30"/>
    </row>
    <row r="1587" spans="1:21" s="3" customFormat="1" ht="25.5">
      <c r="A1587" s="13" t="s">
        <v>723</v>
      </c>
      <c r="B1587" s="25" t="s">
        <v>16</v>
      </c>
      <c r="C1587" s="26" t="s">
        <v>71</v>
      </c>
      <c r="D1587" s="26" t="s">
        <v>66</v>
      </c>
      <c r="E1587" s="26" t="s">
        <v>331</v>
      </c>
      <c r="F1587" s="26" t="s">
        <v>58</v>
      </c>
      <c r="G1587" s="27">
        <f t="shared" si="1084"/>
        <v>829746120</v>
      </c>
      <c r="H1587" s="27">
        <f t="shared" si="1084"/>
        <v>0</v>
      </c>
      <c r="I1587" s="27">
        <f t="shared" si="1084"/>
        <v>7613020</v>
      </c>
      <c r="J1587" s="16">
        <f>'БА в тыс. руб.'!G1587*1000</f>
        <v>829746120</v>
      </c>
      <c r="K1587" s="169">
        <f t="shared" si="1067"/>
        <v>0</v>
      </c>
      <c r="L1587" s="16">
        <f>'БА в тыс. руб.'!H1587*1000</f>
        <v>0</v>
      </c>
      <c r="M1587" s="169">
        <f t="shared" si="1068"/>
        <v>0</v>
      </c>
      <c r="N1587" s="16">
        <f>'БА в тыс. руб.'!I1587*1000</f>
        <v>7613020</v>
      </c>
      <c r="O1587" s="169">
        <f t="shared" si="1069"/>
        <v>0</v>
      </c>
      <c r="S1587" s="30"/>
      <c r="T1587" s="30"/>
      <c r="U1587" s="30"/>
    </row>
    <row r="1588" spans="1:21" s="3" customFormat="1" ht="25.5">
      <c r="A1588" s="11" t="s">
        <v>724</v>
      </c>
      <c r="B1588" s="25" t="s">
        <v>16</v>
      </c>
      <c r="C1588" s="26" t="s">
        <v>71</v>
      </c>
      <c r="D1588" s="26" t="s">
        <v>66</v>
      </c>
      <c r="E1588" s="26" t="s">
        <v>562</v>
      </c>
      <c r="F1588" s="26" t="s">
        <v>58</v>
      </c>
      <c r="G1588" s="27">
        <f t="shared" si="1084"/>
        <v>829746120</v>
      </c>
      <c r="H1588" s="27">
        <f t="shared" si="1084"/>
        <v>0</v>
      </c>
      <c r="I1588" s="27">
        <f t="shared" si="1084"/>
        <v>7613020</v>
      </c>
      <c r="J1588" s="16">
        <f>'БА в тыс. руб.'!G1588*1000</f>
        <v>829746120</v>
      </c>
      <c r="K1588" s="169">
        <f t="shared" si="1067"/>
        <v>0</v>
      </c>
      <c r="L1588" s="16">
        <f>'БА в тыс. руб.'!H1588*1000</f>
        <v>0</v>
      </c>
      <c r="M1588" s="169">
        <f t="shared" si="1068"/>
        <v>0</v>
      </c>
      <c r="N1588" s="16">
        <f>'БА в тыс. руб.'!I1588*1000</f>
        <v>7613020</v>
      </c>
      <c r="O1588" s="169">
        <f t="shared" si="1069"/>
        <v>0</v>
      </c>
      <c r="S1588" s="30"/>
      <c r="T1588" s="30"/>
      <c r="U1588" s="30"/>
    </row>
    <row r="1589" spans="1:21" s="3" customFormat="1" ht="38.25">
      <c r="A1589" s="11" t="s">
        <v>612</v>
      </c>
      <c r="B1589" s="25" t="s">
        <v>16</v>
      </c>
      <c r="C1589" s="26" t="s">
        <v>71</v>
      </c>
      <c r="D1589" s="26" t="s">
        <v>66</v>
      </c>
      <c r="E1589" s="26" t="s">
        <v>563</v>
      </c>
      <c r="F1589" s="26" t="s">
        <v>58</v>
      </c>
      <c r="G1589" s="27">
        <f>G1590+G1593+G1596</f>
        <v>829746120</v>
      </c>
      <c r="H1589" s="27">
        <f>H1590+H1593+H1596</f>
        <v>0</v>
      </c>
      <c r="I1589" s="27">
        <f>I1590+I1593+I1596</f>
        <v>7613020</v>
      </c>
      <c r="J1589" s="16">
        <f>'БА в тыс. руб.'!G1589*1000</f>
        <v>829746120</v>
      </c>
      <c r="K1589" s="169">
        <f t="shared" si="1067"/>
        <v>0</v>
      </c>
      <c r="L1589" s="16">
        <f>'БА в тыс. руб.'!H1589*1000</f>
        <v>0</v>
      </c>
      <c r="M1589" s="169">
        <f t="shared" si="1068"/>
        <v>0</v>
      </c>
      <c r="N1589" s="16">
        <f>'БА в тыс. руб.'!I1589*1000</f>
        <v>7613020</v>
      </c>
      <c r="O1589" s="169">
        <f t="shared" si="1069"/>
        <v>0</v>
      </c>
      <c r="S1589" s="30"/>
      <c r="T1589" s="30"/>
      <c r="U1589" s="30"/>
    </row>
    <row r="1590" spans="1:21" s="3" customFormat="1" ht="38.25">
      <c r="A1590" s="11" t="s">
        <v>154</v>
      </c>
      <c r="B1590" s="25" t="s">
        <v>16</v>
      </c>
      <c r="C1590" s="26" t="s">
        <v>71</v>
      </c>
      <c r="D1590" s="26" t="s">
        <v>66</v>
      </c>
      <c r="E1590" s="26" t="s">
        <v>564</v>
      </c>
      <c r="F1590" s="26" t="s">
        <v>58</v>
      </c>
      <c r="G1590" s="27">
        <f>G1591</f>
        <v>150000</v>
      </c>
      <c r="H1590" s="27">
        <f>H1591</f>
        <v>0</v>
      </c>
      <c r="I1590" s="27">
        <f>I1591</f>
        <v>7613020</v>
      </c>
      <c r="J1590" s="16">
        <f>'БА в тыс. руб.'!G1590*1000</f>
        <v>150000</v>
      </c>
      <c r="K1590" s="169">
        <f t="shared" si="1067"/>
        <v>0</v>
      </c>
      <c r="L1590" s="16">
        <f>'БА в тыс. руб.'!H1590*1000</f>
        <v>0</v>
      </c>
      <c r="M1590" s="169">
        <f t="shared" si="1068"/>
        <v>0</v>
      </c>
      <c r="N1590" s="16">
        <f>'БА в тыс. руб.'!I1590*1000</f>
        <v>7613020</v>
      </c>
      <c r="O1590" s="169">
        <f t="shared" si="1069"/>
        <v>0</v>
      </c>
      <c r="S1590" s="30"/>
      <c r="T1590" s="30"/>
      <c r="U1590" s="30"/>
    </row>
    <row r="1591" spans="1:21" s="3" customFormat="1">
      <c r="A1591" s="11" t="s">
        <v>21</v>
      </c>
      <c r="B1591" s="25" t="s">
        <v>16</v>
      </c>
      <c r="C1591" s="26" t="s">
        <v>71</v>
      </c>
      <c r="D1591" s="26" t="s">
        <v>66</v>
      </c>
      <c r="E1591" s="26" t="s">
        <v>564</v>
      </c>
      <c r="F1591" s="26" t="s">
        <v>103</v>
      </c>
      <c r="G1591" s="27">
        <f>G1592</f>
        <v>150000</v>
      </c>
      <c r="H1591" s="27">
        <f t="shared" ref="H1591:I1591" si="1085">H1592</f>
        <v>0</v>
      </c>
      <c r="I1591" s="27">
        <f t="shared" si="1085"/>
        <v>7613020</v>
      </c>
      <c r="J1591" s="16">
        <f>'БА в тыс. руб.'!G1591*1000</f>
        <v>150000</v>
      </c>
      <c r="K1591" s="169">
        <f t="shared" si="1067"/>
        <v>0</v>
      </c>
      <c r="L1591" s="16">
        <f>'БА в тыс. руб.'!H1591*1000</f>
        <v>0</v>
      </c>
      <c r="M1591" s="169">
        <f t="shared" si="1068"/>
        <v>0</v>
      </c>
      <c r="N1591" s="16">
        <f>'БА в тыс. руб.'!I1591*1000</f>
        <v>7613020</v>
      </c>
      <c r="O1591" s="169">
        <f t="shared" si="1069"/>
        <v>0</v>
      </c>
      <c r="S1591" s="30"/>
      <c r="T1591" s="30"/>
      <c r="U1591" s="30"/>
    </row>
    <row r="1592" spans="1:21" s="4" customFormat="1" ht="25.5">
      <c r="A1592" s="12" t="s">
        <v>987</v>
      </c>
      <c r="B1592" s="25" t="s">
        <v>16</v>
      </c>
      <c r="C1592" s="26" t="s">
        <v>71</v>
      </c>
      <c r="D1592" s="26" t="s">
        <v>66</v>
      </c>
      <c r="E1592" s="26" t="s">
        <v>564</v>
      </c>
      <c r="F1592" s="26" t="s">
        <v>1052</v>
      </c>
      <c r="G1592" s="27">
        <f t="shared" ref="G1592" si="1086">J1592</f>
        <v>150000</v>
      </c>
      <c r="H1592" s="27">
        <f>L1592</f>
        <v>0</v>
      </c>
      <c r="I1592" s="27">
        <f>N1592</f>
        <v>7613020</v>
      </c>
      <c r="J1592" s="16">
        <f>'БА в тыс. руб.'!G1592*1000</f>
        <v>150000</v>
      </c>
      <c r="K1592" s="169">
        <f t="shared" si="1067"/>
        <v>0</v>
      </c>
      <c r="L1592" s="16">
        <f>'БА в тыс. руб.'!H1592*1000</f>
        <v>0</v>
      </c>
      <c r="M1592" s="169">
        <f t="shared" si="1068"/>
        <v>0</v>
      </c>
      <c r="N1592" s="16">
        <f>'БА в тыс. руб.'!I1592*1000</f>
        <v>7613020</v>
      </c>
      <c r="O1592" s="169">
        <f t="shared" si="1069"/>
        <v>0</v>
      </c>
      <c r="S1592" s="83"/>
      <c r="T1592" s="83"/>
      <c r="U1592" s="83"/>
    </row>
    <row r="1593" spans="1:21" s="3" customFormat="1" ht="38.25">
      <c r="A1593" s="11" t="s">
        <v>922</v>
      </c>
      <c r="B1593" s="25" t="s">
        <v>16</v>
      </c>
      <c r="C1593" s="26" t="s">
        <v>71</v>
      </c>
      <c r="D1593" s="26" t="s">
        <v>66</v>
      </c>
      <c r="E1593" s="26" t="s">
        <v>921</v>
      </c>
      <c r="F1593" s="26" t="s">
        <v>58</v>
      </c>
      <c r="G1593" s="27">
        <f>G1594</f>
        <v>2488790</v>
      </c>
      <c r="H1593" s="27">
        <f t="shared" ref="H1593:I1594" si="1087">H1594</f>
        <v>0</v>
      </c>
      <c r="I1593" s="27">
        <f t="shared" si="1087"/>
        <v>0</v>
      </c>
      <c r="J1593" s="16">
        <f>'БА в тыс. руб.'!G1593*1000</f>
        <v>2488790</v>
      </c>
      <c r="K1593" s="169">
        <f t="shared" si="1067"/>
        <v>0</v>
      </c>
      <c r="L1593" s="16">
        <f>'БА в тыс. руб.'!H1593*1000</f>
        <v>0</v>
      </c>
      <c r="M1593" s="169">
        <f t="shared" si="1068"/>
        <v>0</v>
      </c>
      <c r="N1593" s="16">
        <f>'БА в тыс. руб.'!I1593*1000</f>
        <v>0</v>
      </c>
      <c r="O1593" s="169">
        <f t="shared" si="1069"/>
        <v>0</v>
      </c>
      <c r="S1593" s="30"/>
      <c r="T1593" s="30"/>
      <c r="U1593" s="30"/>
    </row>
    <row r="1594" spans="1:21" s="3" customFormat="1">
      <c r="A1594" s="11" t="s">
        <v>21</v>
      </c>
      <c r="B1594" s="25" t="s">
        <v>16</v>
      </c>
      <c r="C1594" s="26" t="s">
        <v>71</v>
      </c>
      <c r="D1594" s="26" t="s">
        <v>66</v>
      </c>
      <c r="E1594" s="26" t="s">
        <v>921</v>
      </c>
      <c r="F1594" s="26" t="s">
        <v>103</v>
      </c>
      <c r="G1594" s="27">
        <f>G1595</f>
        <v>2488790</v>
      </c>
      <c r="H1594" s="27">
        <f t="shared" si="1087"/>
        <v>0</v>
      </c>
      <c r="I1594" s="27">
        <f t="shared" si="1087"/>
        <v>0</v>
      </c>
      <c r="J1594" s="16">
        <f>'БА в тыс. руб.'!G1594*1000</f>
        <v>2488790</v>
      </c>
      <c r="K1594" s="169">
        <f t="shared" si="1067"/>
        <v>0</v>
      </c>
      <c r="L1594" s="16">
        <f>'БА в тыс. руб.'!H1594*1000</f>
        <v>0</v>
      </c>
      <c r="M1594" s="169">
        <f t="shared" si="1068"/>
        <v>0</v>
      </c>
      <c r="N1594" s="16">
        <f>'БА в тыс. руб.'!I1594*1000</f>
        <v>0</v>
      </c>
      <c r="O1594" s="169">
        <f t="shared" si="1069"/>
        <v>0</v>
      </c>
      <c r="S1594" s="30"/>
      <c r="T1594" s="30"/>
      <c r="U1594" s="30"/>
    </row>
    <row r="1595" spans="1:21" s="4" customFormat="1" ht="25.5">
      <c r="A1595" s="12" t="s">
        <v>987</v>
      </c>
      <c r="B1595" s="25" t="s">
        <v>16</v>
      </c>
      <c r="C1595" s="26" t="s">
        <v>71</v>
      </c>
      <c r="D1595" s="26" t="s">
        <v>66</v>
      </c>
      <c r="E1595" s="26" t="s">
        <v>921</v>
      </c>
      <c r="F1595" s="26" t="s">
        <v>1052</v>
      </c>
      <c r="G1595" s="27">
        <f t="shared" ref="G1595" si="1088">J1595</f>
        <v>2488790</v>
      </c>
      <c r="H1595" s="27">
        <f>L1595</f>
        <v>0</v>
      </c>
      <c r="I1595" s="27">
        <f>N1595</f>
        <v>0</v>
      </c>
      <c r="J1595" s="16">
        <f>'БА в тыс. руб.'!G1595*1000</f>
        <v>2488790</v>
      </c>
      <c r="K1595" s="169">
        <f t="shared" si="1067"/>
        <v>0</v>
      </c>
      <c r="L1595" s="16">
        <f>'БА в тыс. руб.'!H1595*1000</f>
        <v>0</v>
      </c>
      <c r="M1595" s="169">
        <f t="shared" si="1068"/>
        <v>0</v>
      </c>
      <c r="N1595" s="16">
        <f>'БА в тыс. руб.'!I1595*1000</f>
        <v>0</v>
      </c>
      <c r="O1595" s="169">
        <f t="shared" si="1069"/>
        <v>0</v>
      </c>
      <c r="S1595" s="83"/>
      <c r="T1595" s="83"/>
      <c r="U1595" s="83"/>
    </row>
    <row r="1596" spans="1:21" s="3" customFormat="1" ht="38.25">
      <c r="A1596" s="11" t="s">
        <v>924</v>
      </c>
      <c r="B1596" s="25" t="s">
        <v>16</v>
      </c>
      <c r="C1596" s="26" t="s">
        <v>71</v>
      </c>
      <c r="D1596" s="26" t="s">
        <v>66</v>
      </c>
      <c r="E1596" s="26" t="s">
        <v>923</v>
      </c>
      <c r="F1596" s="26" t="s">
        <v>58</v>
      </c>
      <c r="G1596" s="27">
        <f>G1597</f>
        <v>827107330</v>
      </c>
      <c r="H1596" s="27">
        <f t="shared" ref="H1596:I1597" si="1089">H1597</f>
        <v>0</v>
      </c>
      <c r="I1596" s="27">
        <f t="shared" si="1089"/>
        <v>0</v>
      </c>
      <c r="J1596" s="16">
        <f>'БА в тыс. руб.'!G1596*1000</f>
        <v>827107330</v>
      </c>
      <c r="K1596" s="169">
        <f t="shared" si="1067"/>
        <v>0</v>
      </c>
      <c r="L1596" s="16">
        <f>'БА в тыс. руб.'!H1596*1000</f>
        <v>0</v>
      </c>
      <c r="M1596" s="169">
        <f t="shared" si="1068"/>
        <v>0</v>
      </c>
      <c r="N1596" s="16">
        <f>'БА в тыс. руб.'!I1596*1000</f>
        <v>0</v>
      </c>
      <c r="O1596" s="169">
        <f t="shared" si="1069"/>
        <v>0</v>
      </c>
      <c r="S1596" s="30"/>
      <c r="T1596" s="30"/>
      <c r="U1596" s="30"/>
    </row>
    <row r="1597" spans="1:21" s="3" customFormat="1">
      <c r="A1597" s="11" t="s">
        <v>21</v>
      </c>
      <c r="B1597" s="25" t="s">
        <v>16</v>
      </c>
      <c r="C1597" s="26" t="s">
        <v>71</v>
      </c>
      <c r="D1597" s="26" t="s">
        <v>66</v>
      </c>
      <c r="E1597" s="26" t="s">
        <v>923</v>
      </c>
      <c r="F1597" s="26" t="s">
        <v>103</v>
      </c>
      <c r="G1597" s="27">
        <f>G1598</f>
        <v>827107330</v>
      </c>
      <c r="H1597" s="27">
        <f t="shared" si="1089"/>
        <v>0</v>
      </c>
      <c r="I1597" s="27">
        <f t="shared" si="1089"/>
        <v>0</v>
      </c>
      <c r="J1597" s="16">
        <f>'БА в тыс. руб.'!G1597*1000</f>
        <v>827107330</v>
      </c>
      <c r="K1597" s="169">
        <f t="shared" si="1067"/>
        <v>0</v>
      </c>
      <c r="L1597" s="16">
        <f>'БА в тыс. руб.'!H1597*1000</f>
        <v>0</v>
      </c>
      <c r="M1597" s="169">
        <f t="shared" si="1068"/>
        <v>0</v>
      </c>
      <c r="N1597" s="16">
        <f>'БА в тыс. руб.'!I1597*1000</f>
        <v>0</v>
      </c>
      <c r="O1597" s="169">
        <f t="shared" si="1069"/>
        <v>0</v>
      </c>
      <c r="S1597" s="30"/>
      <c r="T1597" s="30"/>
      <c r="U1597" s="30"/>
    </row>
    <row r="1598" spans="1:21" s="4" customFormat="1" ht="25.5">
      <c r="A1598" s="12" t="s">
        <v>987</v>
      </c>
      <c r="B1598" s="25" t="s">
        <v>16</v>
      </c>
      <c r="C1598" s="26" t="s">
        <v>71</v>
      </c>
      <c r="D1598" s="26" t="s">
        <v>66</v>
      </c>
      <c r="E1598" s="26" t="s">
        <v>923</v>
      </c>
      <c r="F1598" s="26" t="s">
        <v>1052</v>
      </c>
      <c r="G1598" s="27">
        <f t="shared" ref="G1598" si="1090">J1598</f>
        <v>827107330</v>
      </c>
      <c r="H1598" s="27">
        <f>L1598</f>
        <v>0</v>
      </c>
      <c r="I1598" s="27">
        <f>N1598</f>
        <v>0</v>
      </c>
      <c r="J1598" s="16">
        <f>'БА в тыс. руб.'!G1598*1000</f>
        <v>827107330</v>
      </c>
      <c r="K1598" s="169">
        <f t="shared" si="1067"/>
        <v>0</v>
      </c>
      <c r="L1598" s="16">
        <f>'БА в тыс. руб.'!H1598*1000</f>
        <v>0</v>
      </c>
      <c r="M1598" s="169">
        <f t="shared" si="1068"/>
        <v>0</v>
      </c>
      <c r="N1598" s="16">
        <f>'БА в тыс. руб.'!I1598*1000</f>
        <v>0</v>
      </c>
      <c r="O1598" s="169">
        <f t="shared" si="1069"/>
        <v>0</v>
      </c>
      <c r="S1598" s="83"/>
      <c r="T1598" s="83"/>
      <c r="U1598" s="83"/>
    </row>
    <row r="1599" spans="1:21" s="3" customFormat="1">
      <c r="A1599" s="17" t="s">
        <v>83</v>
      </c>
      <c r="B1599" s="18" t="s">
        <v>16</v>
      </c>
      <c r="C1599" s="19" t="s">
        <v>50</v>
      </c>
      <c r="D1599" s="19" t="s">
        <v>51</v>
      </c>
      <c r="E1599" s="19" t="s">
        <v>196</v>
      </c>
      <c r="F1599" s="19" t="s">
        <v>58</v>
      </c>
      <c r="G1599" s="20">
        <f t="shared" ref="G1599:I1600" si="1091">G1600</f>
        <v>50800000</v>
      </c>
      <c r="H1599" s="20">
        <f t="shared" si="1091"/>
        <v>720000</v>
      </c>
      <c r="I1599" s="20">
        <f t="shared" si="1091"/>
        <v>720000</v>
      </c>
      <c r="J1599" s="16">
        <f>'БА в тыс. руб.'!G1599*1000</f>
        <v>50800000</v>
      </c>
      <c r="K1599" s="169">
        <f t="shared" si="1067"/>
        <v>0</v>
      </c>
      <c r="L1599" s="16">
        <f>'БА в тыс. руб.'!H1599*1000</f>
        <v>720000</v>
      </c>
      <c r="M1599" s="169">
        <f t="shared" si="1068"/>
        <v>0</v>
      </c>
      <c r="N1599" s="16">
        <f>'БА в тыс. руб.'!I1599*1000</f>
        <v>720000</v>
      </c>
      <c r="O1599" s="169">
        <f t="shared" si="1069"/>
        <v>0</v>
      </c>
      <c r="S1599" s="30"/>
      <c r="T1599" s="30"/>
      <c r="U1599" s="30"/>
    </row>
    <row r="1600" spans="1:21" s="3" customFormat="1">
      <c r="A1600" s="21" t="s">
        <v>27</v>
      </c>
      <c r="B1600" s="22" t="s">
        <v>16</v>
      </c>
      <c r="C1600" s="23" t="s">
        <v>50</v>
      </c>
      <c r="D1600" s="23" t="s">
        <v>65</v>
      </c>
      <c r="E1600" s="23" t="s">
        <v>196</v>
      </c>
      <c r="F1600" s="23" t="s">
        <v>58</v>
      </c>
      <c r="G1600" s="24">
        <f t="shared" si="1091"/>
        <v>50800000</v>
      </c>
      <c r="H1600" s="24">
        <f t="shared" si="1091"/>
        <v>720000</v>
      </c>
      <c r="I1600" s="24">
        <f t="shared" si="1091"/>
        <v>720000</v>
      </c>
      <c r="J1600" s="16">
        <f>'БА в тыс. руб.'!G1600*1000</f>
        <v>50800000</v>
      </c>
      <c r="K1600" s="169">
        <f t="shared" si="1067"/>
        <v>0</v>
      </c>
      <c r="L1600" s="16">
        <f>'БА в тыс. руб.'!H1600*1000</f>
        <v>720000</v>
      </c>
      <c r="M1600" s="169">
        <f t="shared" si="1068"/>
        <v>0</v>
      </c>
      <c r="N1600" s="16">
        <f>'БА в тыс. руб.'!I1600*1000</f>
        <v>720000</v>
      </c>
      <c r="O1600" s="169">
        <f t="shared" si="1069"/>
        <v>0</v>
      </c>
      <c r="S1600" s="30"/>
      <c r="T1600" s="30"/>
      <c r="U1600" s="30"/>
    </row>
    <row r="1601" spans="1:21" s="3" customFormat="1">
      <c r="A1601" s="11" t="s">
        <v>739</v>
      </c>
      <c r="B1601" s="25" t="s">
        <v>16</v>
      </c>
      <c r="C1601" s="26" t="s">
        <v>50</v>
      </c>
      <c r="D1601" s="26" t="s">
        <v>65</v>
      </c>
      <c r="E1601" s="36" t="s">
        <v>277</v>
      </c>
      <c r="F1601" s="26" t="s">
        <v>58</v>
      </c>
      <c r="G1601" s="27">
        <f>G1602+G1607</f>
        <v>50800000</v>
      </c>
      <c r="H1601" s="27">
        <f t="shared" ref="H1601:I1601" si="1092">H1602+H1607</f>
        <v>720000</v>
      </c>
      <c r="I1601" s="27">
        <f t="shared" si="1092"/>
        <v>720000</v>
      </c>
      <c r="J1601" s="16">
        <f>'БА в тыс. руб.'!G1601*1000</f>
        <v>50800000</v>
      </c>
      <c r="K1601" s="169">
        <f t="shared" si="1067"/>
        <v>0</v>
      </c>
      <c r="L1601" s="16">
        <f>'БА в тыс. руб.'!H1601*1000</f>
        <v>720000</v>
      </c>
      <c r="M1601" s="169">
        <f t="shared" si="1068"/>
        <v>0</v>
      </c>
      <c r="N1601" s="16">
        <f>'БА в тыс. руб.'!I1601*1000</f>
        <v>720000</v>
      </c>
      <c r="O1601" s="169">
        <f t="shared" si="1069"/>
        <v>0</v>
      </c>
      <c r="S1601" s="30"/>
      <c r="T1601" s="30"/>
      <c r="U1601" s="30"/>
    </row>
    <row r="1602" spans="1:21" s="3" customFormat="1" ht="51">
      <c r="A1602" s="11" t="s">
        <v>194</v>
      </c>
      <c r="B1602" s="25" t="s">
        <v>16</v>
      </c>
      <c r="C1602" s="26" t="s">
        <v>50</v>
      </c>
      <c r="D1602" s="26" t="s">
        <v>65</v>
      </c>
      <c r="E1602" s="36" t="s">
        <v>278</v>
      </c>
      <c r="F1602" s="26" t="s">
        <v>58</v>
      </c>
      <c r="G1602" s="27">
        <f t="shared" ref="G1602:I1605" si="1093">G1603</f>
        <v>800000</v>
      </c>
      <c r="H1602" s="27">
        <f t="shared" si="1093"/>
        <v>720000</v>
      </c>
      <c r="I1602" s="27">
        <f t="shared" si="1093"/>
        <v>720000</v>
      </c>
      <c r="J1602" s="16">
        <f>'БА в тыс. руб.'!G1602*1000</f>
        <v>800000</v>
      </c>
      <c r="K1602" s="169">
        <f t="shared" si="1067"/>
        <v>0</v>
      </c>
      <c r="L1602" s="16">
        <f>'БА в тыс. руб.'!H1602*1000</f>
        <v>720000</v>
      </c>
      <c r="M1602" s="169">
        <f t="shared" si="1068"/>
        <v>0</v>
      </c>
      <c r="N1602" s="16">
        <f>'БА в тыс. руб.'!I1602*1000</f>
        <v>720000</v>
      </c>
      <c r="O1602" s="169">
        <f t="shared" si="1069"/>
        <v>0</v>
      </c>
      <c r="S1602" s="30"/>
      <c r="T1602" s="30"/>
      <c r="U1602" s="30"/>
    </row>
    <row r="1603" spans="1:21" s="3" customFormat="1" ht="63.75">
      <c r="A1603" s="11" t="s">
        <v>605</v>
      </c>
      <c r="B1603" s="25" t="s">
        <v>16</v>
      </c>
      <c r="C1603" s="26" t="s">
        <v>50</v>
      </c>
      <c r="D1603" s="26" t="s">
        <v>65</v>
      </c>
      <c r="E1603" s="36" t="s">
        <v>279</v>
      </c>
      <c r="F1603" s="26" t="s">
        <v>58</v>
      </c>
      <c r="G1603" s="27">
        <f t="shared" si="1093"/>
        <v>800000</v>
      </c>
      <c r="H1603" s="27">
        <f t="shared" si="1093"/>
        <v>720000</v>
      </c>
      <c r="I1603" s="27">
        <f t="shared" si="1093"/>
        <v>720000</v>
      </c>
      <c r="J1603" s="16">
        <f>'БА в тыс. руб.'!G1603*1000</f>
        <v>800000</v>
      </c>
      <c r="K1603" s="169">
        <f t="shared" si="1067"/>
        <v>0</v>
      </c>
      <c r="L1603" s="16">
        <f>'БА в тыс. руб.'!H1603*1000</f>
        <v>720000</v>
      </c>
      <c r="M1603" s="169">
        <f t="shared" si="1068"/>
        <v>0</v>
      </c>
      <c r="N1603" s="16">
        <f>'БА в тыс. руб.'!I1603*1000</f>
        <v>720000</v>
      </c>
      <c r="O1603" s="169">
        <f t="shared" si="1069"/>
        <v>0</v>
      </c>
      <c r="S1603" s="30"/>
      <c r="T1603" s="30"/>
      <c r="U1603" s="30"/>
    </row>
    <row r="1604" spans="1:21" s="3" customFormat="1" ht="25.5">
      <c r="A1604" s="11" t="s">
        <v>161</v>
      </c>
      <c r="B1604" s="25" t="s">
        <v>16</v>
      </c>
      <c r="C1604" s="26" t="s">
        <v>50</v>
      </c>
      <c r="D1604" s="26" t="s">
        <v>65</v>
      </c>
      <c r="E1604" s="36" t="s">
        <v>320</v>
      </c>
      <c r="F1604" s="26" t="s">
        <v>58</v>
      </c>
      <c r="G1604" s="27">
        <f t="shared" si="1093"/>
        <v>800000</v>
      </c>
      <c r="H1604" s="27">
        <f t="shared" si="1093"/>
        <v>720000</v>
      </c>
      <c r="I1604" s="27">
        <f t="shared" si="1093"/>
        <v>720000</v>
      </c>
      <c r="J1604" s="16">
        <f>'БА в тыс. руб.'!G1604*1000</f>
        <v>800000</v>
      </c>
      <c r="K1604" s="169">
        <f t="shared" si="1067"/>
        <v>0</v>
      </c>
      <c r="L1604" s="16">
        <f>'БА в тыс. руб.'!H1604*1000</f>
        <v>720000</v>
      </c>
      <c r="M1604" s="169">
        <f t="shared" si="1068"/>
        <v>0</v>
      </c>
      <c r="N1604" s="16">
        <f>'БА в тыс. руб.'!I1604*1000</f>
        <v>720000</v>
      </c>
      <c r="O1604" s="169">
        <f t="shared" si="1069"/>
        <v>0</v>
      </c>
      <c r="S1604" s="30"/>
      <c r="T1604" s="30"/>
      <c r="U1604" s="30"/>
    </row>
    <row r="1605" spans="1:21" s="3" customFormat="1" ht="25.5">
      <c r="A1605" s="12" t="s">
        <v>108</v>
      </c>
      <c r="B1605" s="25" t="s">
        <v>16</v>
      </c>
      <c r="C1605" s="26" t="s">
        <v>50</v>
      </c>
      <c r="D1605" s="26" t="s">
        <v>65</v>
      </c>
      <c r="E1605" s="36" t="s">
        <v>320</v>
      </c>
      <c r="F1605" s="26" t="s">
        <v>116</v>
      </c>
      <c r="G1605" s="27">
        <f>G1606</f>
        <v>800000</v>
      </c>
      <c r="H1605" s="27">
        <f t="shared" si="1093"/>
        <v>720000</v>
      </c>
      <c r="I1605" s="27">
        <f t="shared" si="1093"/>
        <v>720000</v>
      </c>
      <c r="J1605" s="16">
        <f>'БА в тыс. руб.'!G1605*1000</f>
        <v>800000</v>
      </c>
      <c r="K1605" s="169">
        <f t="shared" si="1067"/>
        <v>0</v>
      </c>
      <c r="L1605" s="16">
        <f>'БА в тыс. руб.'!H1605*1000</f>
        <v>720000</v>
      </c>
      <c r="M1605" s="169">
        <f t="shared" si="1068"/>
        <v>0</v>
      </c>
      <c r="N1605" s="16">
        <f>'БА в тыс. руб.'!I1605*1000</f>
        <v>720000</v>
      </c>
      <c r="O1605" s="169">
        <f t="shared" si="1069"/>
        <v>0</v>
      </c>
      <c r="S1605" s="30"/>
      <c r="T1605" s="30"/>
      <c r="U1605" s="30"/>
    </row>
    <row r="1606" spans="1:21" s="4" customFormat="1" ht="25.5">
      <c r="A1606" s="12" t="s">
        <v>973</v>
      </c>
      <c r="B1606" s="25" t="s">
        <v>16</v>
      </c>
      <c r="C1606" s="26" t="s">
        <v>50</v>
      </c>
      <c r="D1606" s="26" t="s">
        <v>65</v>
      </c>
      <c r="E1606" s="36" t="s">
        <v>320</v>
      </c>
      <c r="F1606" s="26" t="s">
        <v>1043</v>
      </c>
      <c r="G1606" s="27">
        <f t="shared" ref="G1606" si="1094">J1606</f>
        <v>800000</v>
      </c>
      <c r="H1606" s="27">
        <f>L1606</f>
        <v>720000</v>
      </c>
      <c r="I1606" s="27">
        <f>N1606</f>
        <v>720000</v>
      </c>
      <c r="J1606" s="16">
        <f>'БА в тыс. руб.'!G1606*1000</f>
        <v>800000</v>
      </c>
      <c r="K1606" s="169">
        <f t="shared" si="1067"/>
        <v>0</v>
      </c>
      <c r="L1606" s="16">
        <f>'БА в тыс. руб.'!H1606*1000</f>
        <v>720000</v>
      </c>
      <c r="M1606" s="169">
        <f t="shared" si="1068"/>
        <v>0</v>
      </c>
      <c r="N1606" s="16">
        <f>'БА в тыс. руб.'!I1606*1000</f>
        <v>720000</v>
      </c>
      <c r="O1606" s="169">
        <f t="shared" si="1069"/>
        <v>0</v>
      </c>
      <c r="S1606" s="83"/>
      <c r="T1606" s="83"/>
      <c r="U1606" s="83"/>
    </row>
    <row r="1607" spans="1:21" s="3" customFormat="1">
      <c r="A1607" s="12" t="s">
        <v>140</v>
      </c>
      <c r="B1607" s="25" t="s">
        <v>16</v>
      </c>
      <c r="C1607" s="26" t="s">
        <v>50</v>
      </c>
      <c r="D1607" s="26" t="s">
        <v>65</v>
      </c>
      <c r="E1607" s="36" t="s">
        <v>372</v>
      </c>
      <c r="F1607" s="26" t="s">
        <v>58</v>
      </c>
      <c r="G1607" s="27">
        <f>G1608</f>
        <v>50000000</v>
      </c>
      <c r="H1607" s="27">
        <f t="shared" ref="H1607:I1609" si="1095">H1608</f>
        <v>0</v>
      </c>
      <c r="I1607" s="27">
        <f t="shared" si="1095"/>
        <v>0</v>
      </c>
      <c r="J1607" s="16">
        <f>'БА в тыс. руб.'!G1607*1000</f>
        <v>50000000</v>
      </c>
      <c r="K1607" s="169">
        <f t="shared" si="1067"/>
        <v>0</v>
      </c>
      <c r="L1607" s="16">
        <f>'БА в тыс. руб.'!H1607*1000</f>
        <v>0</v>
      </c>
      <c r="M1607" s="169">
        <f t="shared" si="1068"/>
        <v>0</v>
      </c>
      <c r="N1607" s="16">
        <f>'БА в тыс. руб.'!I1607*1000</f>
        <v>0</v>
      </c>
      <c r="O1607" s="169">
        <f t="shared" si="1069"/>
        <v>0</v>
      </c>
      <c r="S1607" s="30"/>
      <c r="T1607" s="30"/>
      <c r="U1607" s="30"/>
    </row>
    <row r="1608" spans="1:21" s="3" customFormat="1" ht="25.5">
      <c r="A1608" s="11" t="s">
        <v>857</v>
      </c>
      <c r="B1608" s="25" t="s">
        <v>16</v>
      </c>
      <c r="C1608" s="26" t="s">
        <v>50</v>
      </c>
      <c r="D1608" s="26" t="s">
        <v>65</v>
      </c>
      <c r="E1608" s="36" t="s">
        <v>839</v>
      </c>
      <c r="F1608" s="26" t="s">
        <v>58</v>
      </c>
      <c r="G1608" s="27">
        <f>G1609</f>
        <v>50000000</v>
      </c>
      <c r="H1608" s="27">
        <f t="shared" si="1095"/>
        <v>0</v>
      </c>
      <c r="I1608" s="27">
        <f t="shared" si="1095"/>
        <v>0</v>
      </c>
      <c r="J1608" s="16">
        <f>'БА в тыс. руб.'!G1608*1000</f>
        <v>50000000</v>
      </c>
      <c r="K1608" s="169">
        <f t="shared" si="1067"/>
        <v>0</v>
      </c>
      <c r="L1608" s="16">
        <f>'БА в тыс. руб.'!H1608*1000</f>
        <v>0</v>
      </c>
      <c r="M1608" s="169">
        <f t="shared" si="1068"/>
        <v>0</v>
      </c>
      <c r="N1608" s="16">
        <f>'БА в тыс. руб.'!I1608*1000</f>
        <v>0</v>
      </c>
      <c r="O1608" s="169">
        <f t="shared" si="1069"/>
        <v>0</v>
      </c>
      <c r="S1608" s="30"/>
      <c r="T1608" s="30"/>
      <c r="U1608" s="30"/>
    </row>
    <row r="1609" spans="1:21" s="3" customFormat="1" ht="63.75">
      <c r="A1609" s="13" t="s">
        <v>840</v>
      </c>
      <c r="B1609" s="25" t="s">
        <v>16</v>
      </c>
      <c r="C1609" s="26" t="s">
        <v>50</v>
      </c>
      <c r="D1609" s="26" t="s">
        <v>65</v>
      </c>
      <c r="E1609" s="36" t="s">
        <v>841</v>
      </c>
      <c r="F1609" s="26" t="s">
        <v>58</v>
      </c>
      <c r="G1609" s="27">
        <f>G1610</f>
        <v>50000000</v>
      </c>
      <c r="H1609" s="27">
        <f t="shared" si="1095"/>
        <v>0</v>
      </c>
      <c r="I1609" s="27">
        <f t="shared" si="1095"/>
        <v>0</v>
      </c>
      <c r="J1609" s="16">
        <f>'БА в тыс. руб.'!G1609*1000</f>
        <v>50000000</v>
      </c>
      <c r="K1609" s="169">
        <f t="shared" si="1067"/>
        <v>0</v>
      </c>
      <c r="L1609" s="16">
        <f>'БА в тыс. руб.'!H1609*1000</f>
        <v>0</v>
      </c>
      <c r="M1609" s="169">
        <f t="shared" si="1068"/>
        <v>0</v>
      </c>
      <c r="N1609" s="16">
        <f>'БА в тыс. руб.'!I1609*1000</f>
        <v>0</v>
      </c>
      <c r="O1609" s="169">
        <f t="shared" si="1069"/>
        <v>0</v>
      </c>
      <c r="S1609" s="30"/>
      <c r="T1609" s="30"/>
      <c r="U1609" s="30"/>
    </row>
    <row r="1610" spans="1:21" s="3" customFormat="1">
      <c r="A1610" s="11" t="s">
        <v>21</v>
      </c>
      <c r="B1610" s="25" t="s">
        <v>16</v>
      </c>
      <c r="C1610" s="26" t="s">
        <v>50</v>
      </c>
      <c r="D1610" s="26" t="s">
        <v>65</v>
      </c>
      <c r="E1610" s="26" t="s">
        <v>841</v>
      </c>
      <c r="F1610" s="26" t="s">
        <v>103</v>
      </c>
      <c r="G1610" s="27">
        <f>G1611</f>
        <v>50000000</v>
      </c>
      <c r="H1610" s="27">
        <v>0</v>
      </c>
      <c r="I1610" s="27">
        <v>0</v>
      </c>
      <c r="J1610" s="16">
        <f>'БА в тыс. руб.'!G1610*1000</f>
        <v>50000000</v>
      </c>
      <c r="K1610" s="169">
        <f t="shared" si="1067"/>
        <v>0</v>
      </c>
      <c r="L1610" s="16">
        <f>'БА в тыс. руб.'!H1610*1000</f>
        <v>0</v>
      </c>
      <c r="M1610" s="169">
        <f t="shared" si="1068"/>
        <v>0</v>
      </c>
      <c r="N1610" s="16">
        <f>'БА в тыс. руб.'!I1610*1000</f>
        <v>0</v>
      </c>
      <c r="O1610" s="169">
        <f t="shared" si="1069"/>
        <v>0</v>
      </c>
      <c r="S1610" s="30"/>
      <c r="T1610" s="30"/>
      <c r="U1610" s="30"/>
    </row>
    <row r="1611" spans="1:21" s="4" customFormat="1" ht="25.5">
      <c r="A1611" s="12" t="s">
        <v>987</v>
      </c>
      <c r="B1611" s="25" t="s">
        <v>16</v>
      </c>
      <c r="C1611" s="26" t="s">
        <v>50</v>
      </c>
      <c r="D1611" s="26" t="s">
        <v>65</v>
      </c>
      <c r="E1611" s="26" t="s">
        <v>841</v>
      </c>
      <c r="F1611" s="26" t="s">
        <v>1052</v>
      </c>
      <c r="G1611" s="27">
        <f t="shared" ref="G1611" si="1096">J1611</f>
        <v>50000000</v>
      </c>
      <c r="H1611" s="27">
        <f t="shared" ref="H1611" si="1097">L1611</f>
        <v>0</v>
      </c>
      <c r="I1611" s="27">
        <f t="shared" ref="I1611" si="1098">N1611</f>
        <v>0</v>
      </c>
      <c r="J1611" s="16">
        <f>'БА в тыс. руб.'!G1611*1000</f>
        <v>50000000</v>
      </c>
      <c r="K1611" s="169">
        <f t="shared" ref="K1611:K1674" si="1099">J1611-G1611</f>
        <v>0</v>
      </c>
      <c r="L1611" s="16">
        <f>'БА в тыс. руб.'!H1611*1000</f>
        <v>0</v>
      </c>
      <c r="M1611" s="169">
        <f t="shared" ref="M1611:M1674" si="1100">L1611-H1611</f>
        <v>0</v>
      </c>
      <c r="N1611" s="16">
        <f>'БА в тыс. руб.'!I1611*1000</f>
        <v>0</v>
      </c>
      <c r="O1611" s="169">
        <f t="shared" ref="O1611:O1674" si="1101">N1611-I1611</f>
        <v>0</v>
      </c>
      <c r="S1611" s="83"/>
      <c r="T1611" s="83"/>
      <c r="U1611" s="83"/>
    </row>
    <row r="1612" spans="1:21" s="71" customFormat="1">
      <c r="A1612" s="79"/>
      <c r="B1612" s="92"/>
      <c r="C1612" s="70"/>
      <c r="D1612" s="70"/>
      <c r="E1612" s="70"/>
      <c r="F1612" s="70"/>
      <c r="G1612" s="27"/>
      <c r="H1612" s="27"/>
      <c r="I1612" s="27"/>
      <c r="J1612" s="16">
        <f>'БА в тыс. руб.'!G1612*1000</f>
        <v>0</v>
      </c>
      <c r="K1612" s="169">
        <f t="shared" si="1099"/>
        <v>0</v>
      </c>
      <c r="L1612" s="16">
        <f>'БА в тыс. руб.'!H1612*1000</f>
        <v>0</v>
      </c>
      <c r="M1612" s="169">
        <f t="shared" si="1100"/>
        <v>0</v>
      </c>
      <c r="N1612" s="16">
        <f>'БА в тыс. руб.'!I1612*1000</f>
        <v>0</v>
      </c>
      <c r="O1612" s="169">
        <f t="shared" si="1101"/>
        <v>0</v>
      </c>
      <c r="S1612" s="181"/>
      <c r="T1612" s="181"/>
      <c r="U1612" s="181"/>
    </row>
    <row r="1613" spans="1:21" s="3" customFormat="1" ht="25.5">
      <c r="A1613" s="28" t="s">
        <v>180</v>
      </c>
      <c r="B1613" s="14" t="s">
        <v>536</v>
      </c>
      <c r="C1613" s="15" t="s">
        <v>51</v>
      </c>
      <c r="D1613" s="15" t="s">
        <v>51</v>
      </c>
      <c r="E1613" s="15" t="s">
        <v>196</v>
      </c>
      <c r="F1613" s="15" t="s">
        <v>58</v>
      </c>
      <c r="G1613" s="29">
        <f t="shared" ref="G1613:I1614" si="1102">G1614</f>
        <v>72707770</v>
      </c>
      <c r="H1613" s="29">
        <f t="shared" si="1102"/>
        <v>68682570</v>
      </c>
      <c r="I1613" s="29">
        <f t="shared" si="1102"/>
        <v>68682570</v>
      </c>
      <c r="J1613" s="16">
        <f>'БА в тыс. руб.'!G1613*1000</f>
        <v>72707770</v>
      </c>
      <c r="K1613" s="169">
        <f t="shared" si="1099"/>
        <v>0</v>
      </c>
      <c r="L1613" s="16">
        <f>'БА в тыс. руб.'!H1613*1000</f>
        <v>68682570</v>
      </c>
      <c r="M1613" s="169">
        <f t="shared" si="1100"/>
        <v>0</v>
      </c>
      <c r="N1613" s="16">
        <f>'БА в тыс. руб.'!I1613*1000</f>
        <v>68682570</v>
      </c>
      <c r="O1613" s="169">
        <f t="shared" si="1101"/>
        <v>0</v>
      </c>
      <c r="S1613" s="30"/>
      <c r="T1613" s="30"/>
      <c r="U1613" s="30"/>
    </row>
    <row r="1614" spans="1:21" s="3" customFormat="1">
      <c r="A1614" s="17" t="s">
        <v>13</v>
      </c>
      <c r="B1614" s="18" t="s">
        <v>536</v>
      </c>
      <c r="C1614" s="19" t="s">
        <v>53</v>
      </c>
      <c r="D1614" s="19" t="s">
        <v>51</v>
      </c>
      <c r="E1614" s="19" t="s">
        <v>196</v>
      </c>
      <c r="F1614" s="19" t="s">
        <v>58</v>
      </c>
      <c r="G1614" s="20">
        <f t="shared" si="1102"/>
        <v>72707770</v>
      </c>
      <c r="H1614" s="20">
        <f t="shared" si="1102"/>
        <v>68682570</v>
      </c>
      <c r="I1614" s="20">
        <f t="shared" si="1102"/>
        <v>68682570</v>
      </c>
      <c r="J1614" s="16">
        <f>'БА в тыс. руб.'!G1614*1000</f>
        <v>72707770</v>
      </c>
      <c r="K1614" s="169">
        <f t="shared" si="1099"/>
        <v>0</v>
      </c>
      <c r="L1614" s="16">
        <f>'БА в тыс. руб.'!H1614*1000</f>
        <v>68682570</v>
      </c>
      <c r="M1614" s="169">
        <f t="shared" si="1100"/>
        <v>0</v>
      </c>
      <c r="N1614" s="16">
        <f>'БА в тыс. руб.'!I1614*1000</f>
        <v>68682570</v>
      </c>
      <c r="O1614" s="169">
        <f t="shared" si="1101"/>
        <v>0</v>
      </c>
      <c r="S1614" s="30"/>
      <c r="T1614" s="30"/>
      <c r="U1614" s="30"/>
    </row>
    <row r="1615" spans="1:21" s="3" customFormat="1" ht="38.25">
      <c r="A1615" s="21" t="s">
        <v>537</v>
      </c>
      <c r="B1615" s="22" t="s">
        <v>536</v>
      </c>
      <c r="C1615" s="23" t="s">
        <v>53</v>
      </c>
      <c r="D1615" s="23" t="s">
        <v>25</v>
      </c>
      <c r="E1615" s="23" t="s">
        <v>196</v>
      </c>
      <c r="F1615" s="23" t="s">
        <v>58</v>
      </c>
      <c r="G1615" s="24">
        <f>G1616+G1622+G1670</f>
        <v>72707770</v>
      </c>
      <c r="H1615" s="24">
        <f>H1616+H1622+H1670</f>
        <v>68682570</v>
      </c>
      <c r="I1615" s="24">
        <f>I1616+I1622+I1670</f>
        <v>68682570</v>
      </c>
      <c r="J1615" s="16">
        <f>'БА в тыс. руб.'!G1615*1000</f>
        <v>72707770</v>
      </c>
      <c r="K1615" s="169">
        <f t="shared" si="1099"/>
        <v>0</v>
      </c>
      <c r="L1615" s="16">
        <f>'БА в тыс. руб.'!H1615*1000</f>
        <v>68682570</v>
      </c>
      <c r="M1615" s="169">
        <f t="shared" si="1100"/>
        <v>0</v>
      </c>
      <c r="N1615" s="16">
        <f>'БА в тыс. руб.'!I1615*1000</f>
        <v>68682570</v>
      </c>
      <c r="O1615" s="169">
        <f t="shared" si="1101"/>
        <v>0</v>
      </c>
      <c r="S1615" s="30"/>
      <c r="T1615" s="30"/>
      <c r="U1615" s="30"/>
    </row>
    <row r="1616" spans="1:21" s="3" customFormat="1" ht="38.25">
      <c r="A1616" s="152" t="s">
        <v>752</v>
      </c>
      <c r="B1616" s="25" t="s">
        <v>536</v>
      </c>
      <c r="C1616" s="26" t="s">
        <v>53</v>
      </c>
      <c r="D1616" s="26" t="s">
        <v>25</v>
      </c>
      <c r="E1616" s="26" t="s">
        <v>249</v>
      </c>
      <c r="F1616" s="26" t="s">
        <v>58</v>
      </c>
      <c r="G1616" s="27">
        <f>G1617</f>
        <v>25500</v>
      </c>
      <c r="H1616" s="27">
        <f t="shared" ref="H1616:I1616" si="1103">H1617</f>
        <v>22950</v>
      </c>
      <c r="I1616" s="27">
        <f t="shared" si="1103"/>
        <v>22950</v>
      </c>
      <c r="J1616" s="16">
        <f>'БА в тыс. руб.'!G1616*1000</f>
        <v>25500</v>
      </c>
      <c r="K1616" s="169">
        <f t="shared" si="1099"/>
        <v>0</v>
      </c>
      <c r="L1616" s="16">
        <f>'БА в тыс. руб.'!H1616*1000</f>
        <v>22950</v>
      </c>
      <c r="M1616" s="169">
        <f t="shared" si="1100"/>
        <v>0</v>
      </c>
      <c r="N1616" s="16">
        <f>'БА в тыс. руб.'!I1616*1000</f>
        <v>22950</v>
      </c>
      <c r="O1616" s="169">
        <f t="shared" si="1101"/>
        <v>0</v>
      </c>
      <c r="S1616" s="30"/>
      <c r="T1616" s="30"/>
      <c r="U1616" s="30"/>
    </row>
    <row r="1617" spans="1:21" s="153" customFormat="1" ht="25.5">
      <c r="A1617" s="11" t="s">
        <v>755</v>
      </c>
      <c r="B1617" s="25" t="s">
        <v>536</v>
      </c>
      <c r="C1617" s="26" t="s">
        <v>53</v>
      </c>
      <c r="D1617" s="26" t="s">
        <v>25</v>
      </c>
      <c r="E1617" s="26" t="s">
        <v>256</v>
      </c>
      <c r="F1617" s="26" t="s">
        <v>58</v>
      </c>
      <c r="G1617" s="27">
        <f t="shared" ref="G1617:I1618" si="1104">G1618</f>
        <v>25500</v>
      </c>
      <c r="H1617" s="27">
        <f t="shared" si="1104"/>
        <v>22950</v>
      </c>
      <c r="I1617" s="27">
        <f t="shared" si="1104"/>
        <v>22950</v>
      </c>
      <c r="J1617" s="16">
        <f>'БА в тыс. руб.'!G1617*1000</f>
        <v>25500</v>
      </c>
      <c r="K1617" s="169">
        <f t="shared" si="1099"/>
        <v>0</v>
      </c>
      <c r="L1617" s="16">
        <f>'БА в тыс. руб.'!H1617*1000</f>
        <v>22950</v>
      </c>
      <c r="M1617" s="169">
        <f t="shared" si="1100"/>
        <v>0</v>
      </c>
      <c r="N1617" s="16">
        <f>'БА в тыс. руб.'!I1617*1000</f>
        <v>22950</v>
      </c>
      <c r="O1617" s="169">
        <f t="shared" si="1101"/>
        <v>0</v>
      </c>
      <c r="S1617" s="191"/>
      <c r="T1617" s="191"/>
      <c r="U1617" s="191"/>
    </row>
    <row r="1618" spans="1:21" s="3" customFormat="1" ht="25.5">
      <c r="A1618" s="152" t="s">
        <v>617</v>
      </c>
      <c r="B1618" s="25" t="s">
        <v>536</v>
      </c>
      <c r="C1618" s="26" t="s">
        <v>53</v>
      </c>
      <c r="D1618" s="26" t="s">
        <v>25</v>
      </c>
      <c r="E1618" s="26" t="s">
        <v>541</v>
      </c>
      <c r="F1618" s="26" t="s">
        <v>58</v>
      </c>
      <c r="G1618" s="27">
        <f t="shared" si="1104"/>
        <v>25500</v>
      </c>
      <c r="H1618" s="27">
        <f t="shared" si="1104"/>
        <v>22950</v>
      </c>
      <c r="I1618" s="27">
        <f t="shared" si="1104"/>
        <v>22950</v>
      </c>
      <c r="J1618" s="16">
        <f>'БА в тыс. руб.'!G1618*1000</f>
        <v>25500</v>
      </c>
      <c r="K1618" s="169">
        <f t="shared" si="1099"/>
        <v>0</v>
      </c>
      <c r="L1618" s="16">
        <f>'БА в тыс. руб.'!H1618*1000</f>
        <v>22950</v>
      </c>
      <c r="M1618" s="169">
        <f t="shared" si="1100"/>
        <v>0</v>
      </c>
      <c r="N1618" s="16">
        <f>'БА в тыс. руб.'!I1618*1000</f>
        <v>22950</v>
      </c>
      <c r="O1618" s="169">
        <f t="shared" si="1101"/>
        <v>0</v>
      </c>
      <c r="S1618" s="30"/>
      <c r="T1618" s="30"/>
      <c r="U1618" s="30"/>
    </row>
    <row r="1619" spans="1:21" s="3" customFormat="1" ht="25.5">
      <c r="A1619" s="152" t="s">
        <v>901</v>
      </c>
      <c r="B1619" s="25" t="s">
        <v>536</v>
      </c>
      <c r="C1619" s="26" t="s">
        <v>53</v>
      </c>
      <c r="D1619" s="26" t="s">
        <v>25</v>
      </c>
      <c r="E1619" s="26" t="s">
        <v>917</v>
      </c>
      <c r="F1619" s="26" t="s">
        <v>58</v>
      </c>
      <c r="G1619" s="27">
        <f>G1620</f>
        <v>25500</v>
      </c>
      <c r="H1619" s="27">
        <f>H1620</f>
        <v>22950</v>
      </c>
      <c r="I1619" s="27">
        <f>I1620</f>
        <v>22950</v>
      </c>
      <c r="J1619" s="16">
        <f>'БА в тыс. руб.'!G1619*1000</f>
        <v>25500</v>
      </c>
      <c r="K1619" s="169">
        <f t="shared" si="1099"/>
        <v>0</v>
      </c>
      <c r="L1619" s="16">
        <f>'БА в тыс. руб.'!H1619*1000</f>
        <v>22950</v>
      </c>
      <c r="M1619" s="169">
        <f t="shared" si="1100"/>
        <v>0</v>
      </c>
      <c r="N1619" s="16">
        <f>'БА в тыс. руб.'!I1619*1000</f>
        <v>22950</v>
      </c>
      <c r="O1619" s="169">
        <f t="shared" si="1101"/>
        <v>0</v>
      </c>
      <c r="S1619" s="30"/>
      <c r="T1619" s="30"/>
      <c r="U1619" s="30"/>
    </row>
    <row r="1620" spans="1:21" s="3" customFormat="1" ht="25.5">
      <c r="A1620" s="152" t="s">
        <v>108</v>
      </c>
      <c r="B1620" s="25" t="s">
        <v>536</v>
      </c>
      <c r="C1620" s="26" t="s">
        <v>53</v>
      </c>
      <c r="D1620" s="26" t="s">
        <v>25</v>
      </c>
      <c r="E1620" s="26" t="s">
        <v>917</v>
      </c>
      <c r="F1620" s="26" t="s">
        <v>116</v>
      </c>
      <c r="G1620" s="27">
        <f>G1621</f>
        <v>25500</v>
      </c>
      <c r="H1620" s="27">
        <f t="shared" ref="H1620:I1620" si="1105">H1621</f>
        <v>22950</v>
      </c>
      <c r="I1620" s="27">
        <f t="shared" si="1105"/>
        <v>22950</v>
      </c>
      <c r="J1620" s="16">
        <f>'БА в тыс. руб.'!G1620*1000</f>
        <v>25500</v>
      </c>
      <c r="K1620" s="169">
        <f t="shared" si="1099"/>
        <v>0</v>
      </c>
      <c r="L1620" s="16">
        <f>'БА в тыс. руб.'!H1620*1000</f>
        <v>22950</v>
      </c>
      <c r="M1620" s="169">
        <f t="shared" si="1100"/>
        <v>0</v>
      </c>
      <c r="N1620" s="16">
        <f>'БА в тыс. руб.'!I1620*1000</f>
        <v>22950</v>
      </c>
      <c r="O1620" s="169">
        <f t="shared" si="1101"/>
        <v>0</v>
      </c>
      <c r="S1620" s="30"/>
      <c r="T1620" s="30"/>
      <c r="U1620" s="30"/>
    </row>
    <row r="1621" spans="1:21" s="94" customFormat="1" ht="25.5">
      <c r="A1621" s="12" t="s">
        <v>973</v>
      </c>
      <c r="B1621" s="25" t="s">
        <v>536</v>
      </c>
      <c r="C1621" s="26" t="s">
        <v>53</v>
      </c>
      <c r="D1621" s="26" t="s">
        <v>25</v>
      </c>
      <c r="E1621" s="26" t="s">
        <v>917</v>
      </c>
      <c r="F1621" s="26" t="s">
        <v>1043</v>
      </c>
      <c r="G1621" s="27">
        <f t="shared" ref="G1621" si="1106">J1621</f>
        <v>25500</v>
      </c>
      <c r="H1621" s="27">
        <f>L1621</f>
        <v>22950</v>
      </c>
      <c r="I1621" s="27">
        <f>N1621</f>
        <v>22950</v>
      </c>
      <c r="J1621" s="16">
        <f>'БА в тыс. руб.'!G1621*1000</f>
        <v>25500</v>
      </c>
      <c r="K1621" s="169">
        <f t="shared" si="1099"/>
        <v>0</v>
      </c>
      <c r="L1621" s="16">
        <f>'БА в тыс. руб.'!H1621*1000</f>
        <v>22950</v>
      </c>
      <c r="M1621" s="169">
        <f t="shared" si="1100"/>
        <v>0</v>
      </c>
      <c r="N1621" s="16">
        <f>'БА в тыс. руб.'!I1621*1000</f>
        <v>22950</v>
      </c>
      <c r="O1621" s="169">
        <f t="shared" si="1101"/>
        <v>0</v>
      </c>
      <c r="S1621" s="103"/>
      <c r="T1621" s="103"/>
      <c r="U1621" s="103"/>
    </row>
    <row r="1622" spans="1:21" s="3" customFormat="1" ht="63.75">
      <c r="A1622" s="11" t="s">
        <v>756</v>
      </c>
      <c r="B1622" s="25" t="s">
        <v>536</v>
      </c>
      <c r="C1622" s="26" t="s">
        <v>53</v>
      </c>
      <c r="D1622" s="26" t="s">
        <v>25</v>
      </c>
      <c r="E1622" s="26" t="s">
        <v>339</v>
      </c>
      <c r="F1622" s="26" t="s">
        <v>58</v>
      </c>
      <c r="G1622" s="27">
        <f>G1623+G1642+G1647</f>
        <v>57332780</v>
      </c>
      <c r="H1622" s="27">
        <f>H1623+H1642+H1647</f>
        <v>53310130</v>
      </c>
      <c r="I1622" s="27">
        <f>I1623+I1642+I1647</f>
        <v>53310130</v>
      </c>
      <c r="J1622" s="16">
        <f>'БА в тыс. руб.'!G1622*1000</f>
        <v>57332780</v>
      </c>
      <c r="K1622" s="169">
        <f t="shared" si="1099"/>
        <v>0</v>
      </c>
      <c r="L1622" s="16">
        <f>'БА в тыс. руб.'!H1622*1000</f>
        <v>53310130.000000007</v>
      </c>
      <c r="M1622" s="169">
        <f t="shared" si="1100"/>
        <v>0</v>
      </c>
      <c r="N1622" s="16">
        <f>'БА в тыс. руб.'!I1622*1000</f>
        <v>53310130.000000007</v>
      </c>
      <c r="O1622" s="169">
        <f t="shared" si="1101"/>
        <v>0</v>
      </c>
      <c r="S1622" s="30"/>
      <c r="T1622" s="30"/>
      <c r="U1622" s="30"/>
    </row>
    <row r="1623" spans="1:21" s="153" customFormat="1" ht="38.25">
      <c r="A1623" s="11" t="s">
        <v>135</v>
      </c>
      <c r="B1623" s="25" t="s">
        <v>536</v>
      </c>
      <c r="C1623" s="26" t="s">
        <v>53</v>
      </c>
      <c r="D1623" s="26" t="s">
        <v>25</v>
      </c>
      <c r="E1623" s="26" t="s">
        <v>542</v>
      </c>
      <c r="F1623" s="26" t="s">
        <v>58</v>
      </c>
      <c r="G1623" s="27">
        <f>G1624+G1628+G1638</f>
        <v>28743790</v>
      </c>
      <c r="H1623" s="27">
        <f>H1624+H1628+H1638</f>
        <v>28785740</v>
      </c>
      <c r="I1623" s="27">
        <f>I1624+I1628+I1638</f>
        <v>28785740</v>
      </c>
      <c r="J1623" s="16">
        <f>'БА в тыс. руб.'!G1623*1000</f>
        <v>28743790</v>
      </c>
      <c r="K1623" s="169">
        <f t="shared" si="1099"/>
        <v>0</v>
      </c>
      <c r="L1623" s="16">
        <f>'БА в тыс. руб.'!H1623*1000</f>
        <v>28785740</v>
      </c>
      <c r="M1623" s="169">
        <f t="shared" si="1100"/>
        <v>0</v>
      </c>
      <c r="N1623" s="16">
        <f>'БА в тыс. руб.'!I1623*1000</f>
        <v>28785740</v>
      </c>
      <c r="O1623" s="169">
        <f t="shared" si="1101"/>
        <v>0</v>
      </c>
      <c r="S1623" s="191"/>
      <c r="T1623" s="191"/>
      <c r="U1623" s="191"/>
    </row>
    <row r="1624" spans="1:21" s="3" customFormat="1" ht="38.25">
      <c r="A1624" s="11" t="s">
        <v>627</v>
      </c>
      <c r="B1624" s="25" t="s">
        <v>536</v>
      </c>
      <c r="C1624" s="26" t="s">
        <v>53</v>
      </c>
      <c r="D1624" s="26" t="s">
        <v>25</v>
      </c>
      <c r="E1624" s="26" t="s">
        <v>543</v>
      </c>
      <c r="F1624" s="26" t="s">
        <v>58</v>
      </c>
      <c r="G1624" s="27">
        <f t="shared" ref="G1624:I1624" si="1107">G1625</f>
        <v>100000</v>
      </c>
      <c r="H1624" s="27">
        <f t="shared" si="1107"/>
        <v>100000</v>
      </c>
      <c r="I1624" s="27">
        <f t="shared" si="1107"/>
        <v>100000</v>
      </c>
      <c r="J1624" s="16">
        <f>'БА в тыс. руб.'!G1624*1000</f>
        <v>100000</v>
      </c>
      <c r="K1624" s="169">
        <f t="shared" si="1099"/>
        <v>0</v>
      </c>
      <c r="L1624" s="16">
        <f>'БА в тыс. руб.'!H1624*1000</f>
        <v>100000</v>
      </c>
      <c r="M1624" s="169">
        <f t="shared" si="1100"/>
        <v>0</v>
      </c>
      <c r="N1624" s="16">
        <f>'БА в тыс. руб.'!I1624*1000</f>
        <v>100000</v>
      </c>
      <c r="O1624" s="169">
        <f t="shared" si="1101"/>
        <v>0</v>
      </c>
      <c r="S1624" s="30"/>
      <c r="T1624" s="30"/>
      <c r="U1624" s="30"/>
    </row>
    <row r="1625" spans="1:21" s="3" customFormat="1" ht="51">
      <c r="A1625" s="152" t="s">
        <v>625</v>
      </c>
      <c r="B1625" s="25" t="s">
        <v>536</v>
      </c>
      <c r="C1625" s="26" t="s">
        <v>53</v>
      </c>
      <c r="D1625" s="26" t="s">
        <v>25</v>
      </c>
      <c r="E1625" s="26" t="s">
        <v>544</v>
      </c>
      <c r="F1625" s="26" t="s">
        <v>58</v>
      </c>
      <c r="G1625" s="27">
        <f>G1626</f>
        <v>100000</v>
      </c>
      <c r="H1625" s="27">
        <f>H1626</f>
        <v>100000</v>
      </c>
      <c r="I1625" s="27">
        <f>I1626</f>
        <v>100000</v>
      </c>
      <c r="J1625" s="16">
        <f>'БА в тыс. руб.'!G1625*1000</f>
        <v>100000</v>
      </c>
      <c r="K1625" s="169">
        <f t="shared" si="1099"/>
        <v>0</v>
      </c>
      <c r="L1625" s="16">
        <f>'БА в тыс. руб.'!H1625*1000</f>
        <v>100000</v>
      </c>
      <c r="M1625" s="169">
        <f t="shared" si="1100"/>
        <v>0</v>
      </c>
      <c r="N1625" s="16">
        <f>'БА в тыс. руб.'!I1625*1000</f>
        <v>100000</v>
      </c>
      <c r="O1625" s="169">
        <f t="shared" si="1101"/>
        <v>0</v>
      </c>
      <c r="S1625" s="30"/>
      <c r="T1625" s="30"/>
      <c r="U1625" s="30"/>
    </row>
    <row r="1626" spans="1:21" s="3" customFormat="1" ht="25.5">
      <c r="A1626" s="11" t="s">
        <v>108</v>
      </c>
      <c r="B1626" s="25" t="s">
        <v>536</v>
      </c>
      <c r="C1626" s="26" t="s">
        <v>53</v>
      </c>
      <c r="D1626" s="26" t="s">
        <v>25</v>
      </c>
      <c r="E1626" s="26" t="s">
        <v>544</v>
      </c>
      <c r="F1626" s="26" t="s">
        <v>116</v>
      </c>
      <c r="G1626" s="27">
        <f>G1627</f>
        <v>100000</v>
      </c>
      <c r="H1626" s="27">
        <f t="shared" ref="H1626:I1626" si="1108">H1627</f>
        <v>100000</v>
      </c>
      <c r="I1626" s="27">
        <f t="shared" si="1108"/>
        <v>100000</v>
      </c>
      <c r="J1626" s="16">
        <f>'БА в тыс. руб.'!G1626*1000</f>
        <v>100000</v>
      </c>
      <c r="K1626" s="169">
        <f t="shared" si="1099"/>
        <v>0</v>
      </c>
      <c r="L1626" s="16">
        <f>'БА в тыс. руб.'!H1626*1000</f>
        <v>100000</v>
      </c>
      <c r="M1626" s="169">
        <f t="shared" si="1100"/>
        <v>0</v>
      </c>
      <c r="N1626" s="16">
        <f>'БА в тыс. руб.'!I1626*1000</f>
        <v>100000</v>
      </c>
      <c r="O1626" s="169">
        <f t="shared" si="1101"/>
        <v>0</v>
      </c>
      <c r="S1626" s="30"/>
      <c r="T1626" s="30"/>
      <c r="U1626" s="30"/>
    </row>
    <row r="1627" spans="1:21" s="4" customFormat="1" ht="25.5">
      <c r="A1627" s="12" t="s">
        <v>973</v>
      </c>
      <c r="B1627" s="25" t="s">
        <v>536</v>
      </c>
      <c r="C1627" s="26" t="s">
        <v>53</v>
      </c>
      <c r="D1627" s="26" t="s">
        <v>25</v>
      </c>
      <c r="E1627" s="26" t="s">
        <v>544</v>
      </c>
      <c r="F1627" s="26" t="s">
        <v>1043</v>
      </c>
      <c r="G1627" s="27">
        <f t="shared" ref="G1627" si="1109">J1627</f>
        <v>100000</v>
      </c>
      <c r="H1627" s="27">
        <f>L1627</f>
        <v>100000</v>
      </c>
      <c r="I1627" s="27">
        <f>N1627</f>
        <v>100000</v>
      </c>
      <c r="J1627" s="16">
        <f>'БА в тыс. руб.'!G1627*1000</f>
        <v>100000</v>
      </c>
      <c r="K1627" s="169">
        <f t="shared" si="1099"/>
        <v>0</v>
      </c>
      <c r="L1627" s="16">
        <f>'БА в тыс. руб.'!H1627*1000</f>
        <v>100000</v>
      </c>
      <c r="M1627" s="169">
        <f t="shared" si="1100"/>
        <v>0</v>
      </c>
      <c r="N1627" s="16">
        <f>'БА в тыс. руб.'!I1627*1000</f>
        <v>100000</v>
      </c>
      <c r="O1627" s="169">
        <f t="shared" si="1101"/>
        <v>0</v>
      </c>
      <c r="S1627" s="83"/>
      <c r="T1627" s="83"/>
      <c r="U1627" s="83"/>
    </row>
    <row r="1628" spans="1:21" s="3" customFormat="1" ht="25.5">
      <c r="A1628" s="152" t="s">
        <v>862</v>
      </c>
      <c r="B1628" s="25" t="s">
        <v>536</v>
      </c>
      <c r="C1628" s="26" t="s">
        <v>53</v>
      </c>
      <c r="D1628" s="26" t="s">
        <v>25</v>
      </c>
      <c r="E1628" s="26" t="s">
        <v>545</v>
      </c>
      <c r="F1628" s="26" t="s">
        <v>58</v>
      </c>
      <c r="G1628" s="27">
        <f>G1629</f>
        <v>28213790</v>
      </c>
      <c r="H1628" s="27">
        <f>H1629</f>
        <v>28255740</v>
      </c>
      <c r="I1628" s="27">
        <f>I1629</f>
        <v>28255740</v>
      </c>
      <c r="J1628" s="16">
        <f>'БА в тыс. руб.'!G1628*1000</f>
        <v>28213790</v>
      </c>
      <c r="K1628" s="169">
        <f t="shared" si="1099"/>
        <v>0</v>
      </c>
      <c r="L1628" s="16">
        <f>'БА в тыс. руб.'!H1628*1000</f>
        <v>28255740</v>
      </c>
      <c r="M1628" s="169">
        <f t="shared" si="1100"/>
        <v>0</v>
      </c>
      <c r="N1628" s="16">
        <f>'БА в тыс. руб.'!I1628*1000</f>
        <v>28255740</v>
      </c>
      <c r="O1628" s="169">
        <f t="shared" si="1101"/>
        <v>0</v>
      </c>
      <c r="S1628" s="30"/>
      <c r="T1628" s="30"/>
      <c r="U1628" s="30"/>
    </row>
    <row r="1629" spans="1:21" s="3" customFormat="1" ht="25.5">
      <c r="A1629" s="152" t="s">
        <v>247</v>
      </c>
      <c r="B1629" s="25" t="s">
        <v>536</v>
      </c>
      <c r="C1629" s="26" t="s">
        <v>53</v>
      </c>
      <c r="D1629" s="26" t="s">
        <v>25</v>
      </c>
      <c r="E1629" s="26" t="s">
        <v>819</v>
      </c>
      <c r="F1629" s="26" t="s">
        <v>58</v>
      </c>
      <c r="G1629" s="27">
        <f>G1630+G1633+G1635</f>
        <v>28213790</v>
      </c>
      <c r="H1629" s="27">
        <f t="shared" ref="H1629:I1629" si="1110">H1630+H1633+H1635</f>
        <v>28255740</v>
      </c>
      <c r="I1629" s="27">
        <f t="shared" si="1110"/>
        <v>28255740</v>
      </c>
      <c r="J1629" s="16">
        <f>'БА в тыс. руб.'!G1629*1000</f>
        <v>28213790</v>
      </c>
      <c r="K1629" s="169">
        <f t="shared" si="1099"/>
        <v>0</v>
      </c>
      <c r="L1629" s="16">
        <f>'БА в тыс. руб.'!H1629*1000</f>
        <v>28255740</v>
      </c>
      <c r="M1629" s="169">
        <f t="shared" si="1100"/>
        <v>0</v>
      </c>
      <c r="N1629" s="16">
        <f>'БА в тыс. руб.'!I1629*1000</f>
        <v>28255740</v>
      </c>
      <c r="O1629" s="169">
        <f t="shared" si="1101"/>
        <v>0</v>
      </c>
      <c r="S1629" s="30"/>
      <c r="T1629" s="30"/>
      <c r="U1629" s="30"/>
    </row>
    <row r="1630" spans="1:21" s="3" customFormat="1">
      <c r="A1630" s="11" t="s">
        <v>106</v>
      </c>
      <c r="B1630" s="25" t="s">
        <v>536</v>
      </c>
      <c r="C1630" s="26" t="s">
        <v>53</v>
      </c>
      <c r="D1630" s="26" t="s">
        <v>25</v>
      </c>
      <c r="E1630" s="26" t="s">
        <v>819</v>
      </c>
      <c r="F1630" s="26" t="s">
        <v>121</v>
      </c>
      <c r="G1630" s="27">
        <f>SUM(G1631:G1632)</f>
        <v>23050520</v>
      </c>
      <c r="H1630" s="27">
        <f t="shared" ref="H1630:I1630" si="1111">SUM(H1631:H1632)</f>
        <v>23050520</v>
      </c>
      <c r="I1630" s="27">
        <f t="shared" si="1111"/>
        <v>23050520</v>
      </c>
      <c r="J1630" s="16">
        <f>'БА в тыс. руб.'!G1630*1000</f>
        <v>23050520</v>
      </c>
      <c r="K1630" s="169">
        <f t="shared" si="1099"/>
        <v>0</v>
      </c>
      <c r="L1630" s="16">
        <f>'БА в тыс. руб.'!H1630*1000</f>
        <v>23050520</v>
      </c>
      <c r="M1630" s="169">
        <f t="shared" si="1100"/>
        <v>0</v>
      </c>
      <c r="N1630" s="16">
        <f>'БА в тыс. руб.'!I1630*1000</f>
        <v>23050520</v>
      </c>
      <c r="O1630" s="169">
        <f t="shared" si="1101"/>
        <v>0</v>
      </c>
      <c r="S1630" s="30"/>
      <c r="T1630" s="30"/>
      <c r="U1630" s="30"/>
    </row>
    <row r="1631" spans="1:21" s="4" customFormat="1">
      <c r="A1631" s="12" t="s">
        <v>932</v>
      </c>
      <c r="B1631" s="25" t="s">
        <v>536</v>
      </c>
      <c r="C1631" s="26" t="s">
        <v>53</v>
      </c>
      <c r="D1631" s="26" t="s">
        <v>25</v>
      </c>
      <c r="E1631" s="26" t="s">
        <v>819</v>
      </c>
      <c r="F1631" s="26" t="s">
        <v>1056</v>
      </c>
      <c r="G1631" s="27">
        <f t="shared" ref="G1631:G1632" si="1112">J1631</f>
        <v>17703930</v>
      </c>
      <c r="H1631" s="27">
        <f t="shared" ref="H1631:H1632" si="1113">L1631</f>
        <v>17703930</v>
      </c>
      <c r="I1631" s="27">
        <f t="shared" ref="I1631:I1632" si="1114">N1631</f>
        <v>17703930</v>
      </c>
      <c r="J1631" s="16">
        <f>'БА в тыс. руб.'!G1631*1000</f>
        <v>17703930</v>
      </c>
      <c r="K1631" s="169">
        <f t="shared" si="1099"/>
        <v>0</v>
      </c>
      <c r="L1631" s="16">
        <f>'БА в тыс. руб.'!H1631*1000</f>
        <v>17703930</v>
      </c>
      <c r="M1631" s="169">
        <f t="shared" si="1100"/>
        <v>0</v>
      </c>
      <c r="N1631" s="16">
        <f>'БА в тыс. руб.'!I1631*1000</f>
        <v>17703930</v>
      </c>
      <c r="O1631" s="169">
        <f t="shared" si="1101"/>
        <v>0</v>
      </c>
      <c r="S1631" s="83"/>
      <c r="T1631" s="83"/>
      <c r="U1631" s="83"/>
    </row>
    <row r="1632" spans="1:21" s="4" customFormat="1" ht="38.25">
      <c r="A1632" s="12" t="s">
        <v>935</v>
      </c>
      <c r="B1632" s="25" t="s">
        <v>536</v>
      </c>
      <c r="C1632" s="26" t="s">
        <v>53</v>
      </c>
      <c r="D1632" s="26" t="s">
        <v>25</v>
      </c>
      <c r="E1632" s="26" t="s">
        <v>819</v>
      </c>
      <c r="F1632" s="26" t="s">
        <v>1057</v>
      </c>
      <c r="G1632" s="27">
        <f t="shared" si="1112"/>
        <v>5346590</v>
      </c>
      <c r="H1632" s="27">
        <f t="shared" si="1113"/>
        <v>5346590</v>
      </c>
      <c r="I1632" s="27">
        <f t="shared" si="1114"/>
        <v>5346590</v>
      </c>
      <c r="J1632" s="16">
        <f>'БА в тыс. руб.'!G1632*1000</f>
        <v>5346590</v>
      </c>
      <c r="K1632" s="169">
        <f t="shared" si="1099"/>
        <v>0</v>
      </c>
      <c r="L1632" s="16">
        <f>'БА в тыс. руб.'!H1632*1000</f>
        <v>5346590</v>
      </c>
      <c r="M1632" s="169">
        <f t="shared" si="1100"/>
        <v>0</v>
      </c>
      <c r="N1632" s="16">
        <f>'БА в тыс. руб.'!I1632*1000</f>
        <v>5346590</v>
      </c>
      <c r="O1632" s="169">
        <f t="shared" si="1101"/>
        <v>0</v>
      </c>
      <c r="S1632" s="83"/>
      <c r="T1632" s="83"/>
      <c r="U1632" s="83"/>
    </row>
    <row r="1633" spans="1:21" s="3" customFormat="1" ht="25.5">
      <c r="A1633" s="152" t="s">
        <v>108</v>
      </c>
      <c r="B1633" s="25" t="s">
        <v>536</v>
      </c>
      <c r="C1633" s="26" t="s">
        <v>53</v>
      </c>
      <c r="D1633" s="26" t="s">
        <v>25</v>
      </c>
      <c r="E1633" s="26" t="s">
        <v>819</v>
      </c>
      <c r="F1633" s="26" t="s">
        <v>116</v>
      </c>
      <c r="G1633" s="27">
        <f>G1634</f>
        <v>4044270</v>
      </c>
      <c r="H1633" s="27">
        <f t="shared" ref="H1633:I1633" si="1115">H1634</f>
        <v>4264220</v>
      </c>
      <c r="I1633" s="27">
        <f t="shared" si="1115"/>
        <v>4264220</v>
      </c>
      <c r="J1633" s="16">
        <f>'БА в тыс. руб.'!G1633*1000</f>
        <v>4044270</v>
      </c>
      <c r="K1633" s="169">
        <f t="shared" si="1099"/>
        <v>0</v>
      </c>
      <c r="L1633" s="16">
        <f>'БА в тыс. руб.'!H1633*1000</f>
        <v>4264220</v>
      </c>
      <c r="M1633" s="169">
        <f t="shared" si="1100"/>
        <v>0</v>
      </c>
      <c r="N1633" s="16">
        <f>'БА в тыс. руб.'!I1633*1000</f>
        <v>4264220</v>
      </c>
      <c r="O1633" s="169">
        <f t="shared" si="1101"/>
        <v>0</v>
      </c>
      <c r="S1633" s="30"/>
      <c r="T1633" s="30"/>
      <c r="U1633" s="30"/>
    </row>
    <row r="1634" spans="1:21" s="4" customFormat="1" ht="25.5">
      <c r="A1634" s="12" t="s">
        <v>973</v>
      </c>
      <c r="B1634" s="25" t="s">
        <v>536</v>
      </c>
      <c r="C1634" s="26" t="s">
        <v>53</v>
      </c>
      <c r="D1634" s="26" t="s">
        <v>25</v>
      </c>
      <c r="E1634" s="26" t="s">
        <v>819</v>
      </c>
      <c r="F1634" s="26" t="s">
        <v>1043</v>
      </c>
      <c r="G1634" s="27">
        <f t="shared" ref="G1634" si="1116">J1634</f>
        <v>4044270</v>
      </c>
      <c r="H1634" s="27">
        <f>L1634</f>
        <v>4264220</v>
      </c>
      <c r="I1634" s="27">
        <f>N1634</f>
        <v>4264220</v>
      </c>
      <c r="J1634" s="16">
        <f>'БА в тыс. руб.'!G1634*1000</f>
        <v>4044270</v>
      </c>
      <c r="K1634" s="169">
        <f t="shared" si="1099"/>
        <v>0</v>
      </c>
      <c r="L1634" s="16">
        <f>'БА в тыс. руб.'!H1634*1000</f>
        <v>4264220</v>
      </c>
      <c r="M1634" s="169">
        <f t="shared" si="1100"/>
        <v>0</v>
      </c>
      <c r="N1634" s="16">
        <f>'БА в тыс. руб.'!I1634*1000</f>
        <v>4264220</v>
      </c>
      <c r="O1634" s="169">
        <f t="shared" si="1101"/>
        <v>0</v>
      </c>
      <c r="S1634" s="83"/>
      <c r="T1634" s="83"/>
      <c r="U1634" s="83"/>
    </row>
    <row r="1635" spans="1:21" s="3" customFormat="1">
      <c r="A1635" s="152" t="s">
        <v>97</v>
      </c>
      <c r="B1635" s="25" t="s">
        <v>536</v>
      </c>
      <c r="C1635" s="26" t="s">
        <v>53</v>
      </c>
      <c r="D1635" s="26" t="s">
        <v>25</v>
      </c>
      <c r="E1635" s="26" t="s">
        <v>819</v>
      </c>
      <c r="F1635" s="26" t="s">
        <v>118</v>
      </c>
      <c r="G1635" s="27">
        <f>SUM(G1636:G1637)</f>
        <v>1119000</v>
      </c>
      <c r="H1635" s="27">
        <f t="shared" ref="H1635:I1635" si="1117">SUM(H1636:H1637)</f>
        <v>941000</v>
      </c>
      <c r="I1635" s="27">
        <f t="shared" si="1117"/>
        <v>941000</v>
      </c>
      <c r="J1635" s="16">
        <f>'БА в тыс. руб.'!G1635*1000</f>
        <v>1119000</v>
      </c>
      <c r="K1635" s="169">
        <f t="shared" si="1099"/>
        <v>0</v>
      </c>
      <c r="L1635" s="16">
        <f>'БА в тыс. руб.'!H1635*1000</f>
        <v>941000</v>
      </c>
      <c r="M1635" s="169">
        <f t="shared" si="1100"/>
        <v>0</v>
      </c>
      <c r="N1635" s="16">
        <f>'БА в тыс. руб.'!I1635*1000</f>
        <v>941000</v>
      </c>
      <c r="O1635" s="169">
        <f t="shared" si="1101"/>
        <v>0</v>
      </c>
      <c r="S1635" s="30"/>
      <c r="T1635" s="30"/>
      <c r="U1635" s="30"/>
    </row>
    <row r="1636" spans="1:21" s="4" customFormat="1">
      <c r="A1636" s="12" t="s">
        <v>1036</v>
      </c>
      <c r="B1636" s="25" t="s">
        <v>536</v>
      </c>
      <c r="C1636" s="26" t="s">
        <v>53</v>
      </c>
      <c r="D1636" s="26" t="s">
        <v>25</v>
      </c>
      <c r="E1636" s="26" t="s">
        <v>819</v>
      </c>
      <c r="F1636" s="26" t="s">
        <v>1061</v>
      </c>
      <c r="G1636" s="27">
        <f t="shared" ref="G1636:G1637" si="1118">J1636</f>
        <v>1080000</v>
      </c>
      <c r="H1636" s="27">
        <f t="shared" ref="H1636:H1637" si="1119">L1636</f>
        <v>901000</v>
      </c>
      <c r="I1636" s="27">
        <f t="shared" ref="I1636:I1637" si="1120">N1636</f>
        <v>901000</v>
      </c>
      <c r="J1636" s="16">
        <f>'БА в тыс. руб.'!G1636*1000</f>
        <v>1080000</v>
      </c>
      <c r="K1636" s="169">
        <f t="shared" si="1099"/>
        <v>0</v>
      </c>
      <c r="L1636" s="16">
        <f>'БА в тыс. руб.'!H1636*1000</f>
        <v>901000</v>
      </c>
      <c r="M1636" s="169">
        <f t="shared" si="1100"/>
        <v>0</v>
      </c>
      <c r="N1636" s="16">
        <f>'БА в тыс. руб.'!I1636*1000</f>
        <v>901000</v>
      </c>
      <c r="O1636" s="169">
        <f t="shared" si="1101"/>
        <v>0</v>
      </c>
      <c r="S1636" s="83"/>
      <c r="T1636" s="83"/>
      <c r="U1636" s="83"/>
    </row>
    <row r="1637" spans="1:21" s="94" customFormat="1">
      <c r="A1637" s="12" t="s">
        <v>1037</v>
      </c>
      <c r="B1637" s="25" t="s">
        <v>536</v>
      </c>
      <c r="C1637" s="26" t="s">
        <v>53</v>
      </c>
      <c r="D1637" s="26" t="s">
        <v>25</v>
      </c>
      <c r="E1637" s="26" t="s">
        <v>819</v>
      </c>
      <c r="F1637" s="26" t="s">
        <v>1062</v>
      </c>
      <c r="G1637" s="27">
        <f t="shared" si="1118"/>
        <v>39000</v>
      </c>
      <c r="H1637" s="27">
        <f t="shared" si="1119"/>
        <v>40000</v>
      </c>
      <c r="I1637" s="27">
        <f t="shared" si="1120"/>
        <v>40000</v>
      </c>
      <c r="J1637" s="16">
        <f>'БА в тыс. руб.'!G1637*1000</f>
        <v>39000</v>
      </c>
      <c r="K1637" s="169">
        <f t="shared" si="1099"/>
        <v>0</v>
      </c>
      <c r="L1637" s="16">
        <f>'БА в тыс. руб.'!H1637*1000</f>
        <v>40000</v>
      </c>
      <c r="M1637" s="169">
        <f t="shared" si="1100"/>
        <v>0</v>
      </c>
      <c r="N1637" s="16">
        <f>'БА в тыс. руб.'!I1637*1000</f>
        <v>40000</v>
      </c>
      <c r="O1637" s="169">
        <f t="shared" si="1101"/>
        <v>0</v>
      </c>
      <c r="S1637" s="103"/>
      <c r="T1637" s="103"/>
      <c r="U1637" s="103"/>
    </row>
    <row r="1638" spans="1:21" s="3" customFormat="1" ht="25.5">
      <c r="A1638" s="152" t="s">
        <v>617</v>
      </c>
      <c r="B1638" s="25" t="s">
        <v>536</v>
      </c>
      <c r="C1638" s="26" t="s">
        <v>53</v>
      </c>
      <c r="D1638" s="26" t="s">
        <v>25</v>
      </c>
      <c r="E1638" s="26" t="s">
        <v>626</v>
      </c>
      <c r="F1638" s="26" t="s">
        <v>58</v>
      </c>
      <c r="G1638" s="27">
        <f t="shared" ref="G1638:I1638" si="1121">G1639</f>
        <v>430000</v>
      </c>
      <c r="H1638" s="27">
        <f t="shared" si="1121"/>
        <v>430000</v>
      </c>
      <c r="I1638" s="27">
        <f t="shared" si="1121"/>
        <v>430000</v>
      </c>
      <c r="J1638" s="16">
        <f>'БА в тыс. руб.'!G1638*1000</f>
        <v>430000</v>
      </c>
      <c r="K1638" s="169">
        <f t="shared" si="1099"/>
        <v>0</v>
      </c>
      <c r="L1638" s="16">
        <f>'БА в тыс. руб.'!H1638*1000</f>
        <v>430000</v>
      </c>
      <c r="M1638" s="169">
        <f t="shared" si="1100"/>
        <v>0</v>
      </c>
      <c r="N1638" s="16">
        <f>'БА в тыс. руб.'!I1638*1000</f>
        <v>430000</v>
      </c>
      <c r="O1638" s="169">
        <f t="shared" si="1101"/>
        <v>0</v>
      </c>
      <c r="S1638" s="30"/>
      <c r="T1638" s="30"/>
      <c r="U1638" s="30"/>
    </row>
    <row r="1639" spans="1:21" s="3" customFormat="1" ht="51">
      <c r="A1639" s="11" t="s">
        <v>172</v>
      </c>
      <c r="B1639" s="25" t="s">
        <v>536</v>
      </c>
      <c r="C1639" s="26" t="s">
        <v>53</v>
      </c>
      <c r="D1639" s="26" t="s">
        <v>25</v>
      </c>
      <c r="E1639" s="26" t="s">
        <v>820</v>
      </c>
      <c r="F1639" s="26" t="s">
        <v>58</v>
      </c>
      <c r="G1639" s="27">
        <f>G1640</f>
        <v>430000</v>
      </c>
      <c r="H1639" s="27">
        <f>H1640</f>
        <v>430000</v>
      </c>
      <c r="I1639" s="27">
        <f>I1640</f>
        <v>430000</v>
      </c>
      <c r="J1639" s="16">
        <f>'БА в тыс. руб.'!G1639*1000</f>
        <v>430000</v>
      </c>
      <c r="K1639" s="169">
        <f t="shared" si="1099"/>
        <v>0</v>
      </c>
      <c r="L1639" s="16">
        <f>'БА в тыс. руб.'!H1639*1000</f>
        <v>430000</v>
      </c>
      <c r="M1639" s="169">
        <f t="shared" si="1100"/>
        <v>0</v>
      </c>
      <c r="N1639" s="16">
        <f>'БА в тыс. руб.'!I1639*1000</f>
        <v>430000</v>
      </c>
      <c r="O1639" s="169">
        <f t="shared" si="1101"/>
        <v>0</v>
      </c>
      <c r="S1639" s="30"/>
      <c r="T1639" s="30"/>
      <c r="U1639" s="30"/>
    </row>
    <row r="1640" spans="1:21" s="3" customFormat="1" ht="25.5">
      <c r="A1640" s="152" t="s">
        <v>108</v>
      </c>
      <c r="B1640" s="25" t="s">
        <v>536</v>
      </c>
      <c r="C1640" s="26" t="s">
        <v>53</v>
      </c>
      <c r="D1640" s="26" t="s">
        <v>25</v>
      </c>
      <c r="E1640" s="26" t="s">
        <v>820</v>
      </c>
      <c r="F1640" s="26" t="s">
        <v>116</v>
      </c>
      <c r="G1640" s="27">
        <f>G1641</f>
        <v>430000</v>
      </c>
      <c r="H1640" s="27">
        <f t="shared" ref="H1640:I1640" si="1122">H1641</f>
        <v>430000</v>
      </c>
      <c r="I1640" s="27">
        <f t="shared" si="1122"/>
        <v>430000</v>
      </c>
      <c r="J1640" s="16">
        <f>'БА в тыс. руб.'!G1640*1000</f>
        <v>430000</v>
      </c>
      <c r="K1640" s="169">
        <f t="shared" si="1099"/>
        <v>0</v>
      </c>
      <c r="L1640" s="16">
        <f>'БА в тыс. руб.'!H1640*1000</f>
        <v>430000</v>
      </c>
      <c r="M1640" s="169">
        <f t="shared" si="1100"/>
        <v>0</v>
      </c>
      <c r="N1640" s="16">
        <f>'БА в тыс. руб.'!I1640*1000</f>
        <v>430000</v>
      </c>
      <c r="O1640" s="169">
        <f t="shared" si="1101"/>
        <v>0</v>
      </c>
      <c r="S1640" s="30"/>
      <c r="T1640" s="30"/>
      <c r="U1640" s="30"/>
    </row>
    <row r="1641" spans="1:21" s="4" customFormat="1" ht="25.5">
      <c r="A1641" s="12" t="s">
        <v>973</v>
      </c>
      <c r="B1641" s="25" t="s">
        <v>536</v>
      </c>
      <c r="C1641" s="26" t="s">
        <v>53</v>
      </c>
      <c r="D1641" s="26" t="s">
        <v>25</v>
      </c>
      <c r="E1641" s="26" t="s">
        <v>820</v>
      </c>
      <c r="F1641" s="26" t="s">
        <v>1043</v>
      </c>
      <c r="G1641" s="27">
        <f t="shared" ref="G1641" si="1123">J1641</f>
        <v>430000</v>
      </c>
      <c r="H1641" s="27">
        <f>L1641</f>
        <v>430000</v>
      </c>
      <c r="I1641" s="27">
        <f>N1641</f>
        <v>430000</v>
      </c>
      <c r="J1641" s="16">
        <f>'БА в тыс. руб.'!G1641*1000</f>
        <v>430000</v>
      </c>
      <c r="K1641" s="169">
        <f t="shared" si="1099"/>
        <v>0</v>
      </c>
      <c r="L1641" s="16">
        <f>'БА в тыс. руб.'!H1641*1000</f>
        <v>430000</v>
      </c>
      <c r="M1641" s="169">
        <f t="shared" si="1100"/>
        <v>0</v>
      </c>
      <c r="N1641" s="16">
        <f>'БА в тыс. руб.'!I1641*1000</f>
        <v>430000</v>
      </c>
      <c r="O1641" s="169">
        <f t="shared" si="1101"/>
        <v>0</v>
      </c>
      <c r="S1641" s="83"/>
      <c r="T1641" s="83"/>
      <c r="U1641" s="83"/>
    </row>
    <row r="1642" spans="1:21" s="153" customFormat="1" ht="25.5">
      <c r="A1642" s="11" t="s">
        <v>136</v>
      </c>
      <c r="B1642" s="25" t="s">
        <v>536</v>
      </c>
      <c r="C1642" s="26" t="s">
        <v>53</v>
      </c>
      <c r="D1642" s="26" t="s">
        <v>25</v>
      </c>
      <c r="E1642" s="26" t="s">
        <v>340</v>
      </c>
      <c r="F1642" s="26" t="s">
        <v>58</v>
      </c>
      <c r="G1642" s="27">
        <f t="shared" ref="G1642:I1643" si="1124">G1643</f>
        <v>1712740</v>
      </c>
      <c r="H1642" s="27">
        <f t="shared" si="1124"/>
        <v>435000</v>
      </c>
      <c r="I1642" s="27">
        <f t="shared" si="1124"/>
        <v>435000</v>
      </c>
      <c r="J1642" s="16">
        <f>'БА в тыс. руб.'!G1642*1000</f>
        <v>1712740</v>
      </c>
      <c r="K1642" s="169">
        <f t="shared" si="1099"/>
        <v>0</v>
      </c>
      <c r="L1642" s="16">
        <f>'БА в тыс. руб.'!H1642*1000</f>
        <v>435000</v>
      </c>
      <c r="M1642" s="169">
        <f t="shared" si="1100"/>
        <v>0</v>
      </c>
      <c r="N1642" s="16">
        <f>'БА в тыс. руб.'!I1642*1000</f>
        <v>435000</v>
      </c>
      <c r="O1642" s="169">
        <f t="shared" si="1101"/>
        <v>0</v>
      </c>
      <c r="S1642" s="191"/>
      <c r="T1642" s="191"/>
      <c r="U1642" s="191"/>
    </row>
    <row r="1643" spans="1:21" s="3" customFormat="1" ht="25.5">
      <c r="A1643" s="152" t="s">
        <v>863</v>
      </c>
      <c r="B1643" s="25" t="s">
        <v>536</v>
      </c>
      <c r="C1643" s="26" t="s">
        <v>53</v>
      </c>
      <c r="D1643" s="26" t="s">
        <v>25</v>
      </c>
      <c r="E1643" s="26" t="s">
        <v>341</v>
      </c>
      <c r="F1643" s="26" t="s">
        <v>58</v>
      </c>
      <c r="G1643" s="27">
        <f t="shared" si="1124"/>
        <v>1712740</v>
      </c>
      <c r="H1643" s="27">
        <f t="shared" si="1124"/>
        <v>435000</v>
      </c>
      <c r="I1643" s="27">
        <f t="shared" si="1124"/>
        <v>435000</v>
      </c>
      <c r="J1643" s="16">
        <f>'БА в тыс. руб.'!G1643*1000</f>
        <v>1712740</v>
      </c>
      <c r="K1643" s="169">
        <f t="shared" si="1099"/>
        <v>0</v>
      </c>
      <c r="L1643" s="16">
        <f>'БА в тыс. руб.'!H1643*1000</f>
        <v>435000</v>
      </c>
      <c r="M1643" s="169">
        <f t="shared" si="1100"/>
        <v>0</v>
      </c>
      <c r="N1643" s="16">
        <f>'БА в тыс. руб.'!I1643*1000</f>
        <v>435000</v>
      </c>
      <c r="O1643" s="169">
        <f t="shared" si="1101"/>
        <v>0</v>
      </c>
      <c r="S1643" s="30"/>
      <c r="T1643" s="30"/>
      <c r="U1643" s="30"/>
    </row>
    <row r="1644" spans="1:21" s="3" customFormat="1" ht="25.5">
      <c r="A1644" s="152" t="s">
        <v>137</v>
      </c>
      <c r="B1644" s="25" t="s">
        <v>536</v>
      </c>
      <c r="C1644" s="26" t="s">
        <v>53</v>
      </c>
      <c r="D1644" s="26" t="s">
        <v>25</v>
      </c>
      <c r="E1644" s="26" t="s">
        <v>546</v>
      </c>
      <c r="F1644" s="26" t="s">
        <v>58</v>
      </c>
      <c r="G1644" s="27">
        <f>G1645</f>
        <v>1712740</v>
      </c>
      <c r="H1644" s="27">
        <f>H1645</f>
        <v>435000</v>
      </c>
      <c r="I1644" s="27">
        <f>I1645</f>
        <v>435000</v>
      </c>
      <c r="J1644" s="16">
        <f>'БА в тыс. руб.'!G1644*1000</f>
        <v>1712740</v>
      </c>
      <c r="K1644" s="169">
        <f t="shared" si="1099"/>
        <v>0</v>
      </c>
      <c r="L1644" s="16">
        <f>'БА в тыс. руб.'!H1644*1000</f>
        <v>435000</v>
      </c>
      <c r="M1644" s="169">
        <f t="shared" si="1100"/>
        <v>0</v>
      </c>
      <c r="N1644" s="16">
        <f>'БА в тыс. руб.'!I1644*1000</f>
        <v>435000</v>
      </c>
      <c r="O1644" s="169">
        <f t="shared" si="1101"/>
        <v>0</v>
      </c>
      <c r="S1644" s="30"/>
      <c r="T1644" s="30"/>
      <c r="U1644" s="30"/>
    </row>
    <row r="1645" spans="1:21" s="3" customFormat="1" ht="25.5">
      <c r="A1645" s="11" t="s">
        <v>108</v>
      </c>
      <c r="B1645" s="25" t="s">
        <v>536</v>
      </c>
      <c r="C1645" s="26" t="s">
        <v>53</v>
      </c>
      <c r="D1645" s="26" t="s">
        <v>25</v>
      </c>
      <c r="E1645" s="26" t="s">
        <v>546</v>
      </c>
      <c r="F1645" s="26" t="s">
        <v>116</v>
      </c>
      <c r="G1645" s="27">
        <f>G1646</f>
        <v>1712740</v>
      </c>
      <c r="H1645" s="27">
        <f t="shared" ref="H1645:I1645" si="1125">H1646</f>
        <v>435000</v>
      </c>
      <c r="I1645" s="27">
        <f t="shared" si="1125"/>
        <v>435000</v>
      </c>
      <c r="J1645" s="16">
        <f>'БА в тыс. руб.'!G1645*1000</f>
        <v>1712740</v>
      </c>
      <c r="K1645" s="169">
        <f t="shared" si="1099"/>
        <v>0</v>
      </c>
      <c r="L1645" s="16">
        <f>'БА в тыс. руб.'!H1645*1000</f>
        <v>435000</v>
      </c>
      <c r="M1645" s="169">
        <f t="shared" si="1100"/>
        <v>0</v>
      </c>
      <c r="N1645" s="16">
        <f>'БА в тыс. руб.'!I1645*1000</f>
        <v>435000</v>
      </c>
      <c r="O1645" s="169">
        <f t="shared" si="1101"/>
        <v>0</v>
      </c>
      <c r="S1645" s="30"/>
      <c r="T1645" s="30"/>
      <c r="U1645" s="30"/>
    </row>
    <row r="1646" spans="1:21" s="4" customFormat="1" ht="25.5">
      <c r="A1646" s="12" t="s">
        <v>973</v>
      </c>
      <c r="B1646" s="25" t="s">
        <v>536</v>
      </c>
      <c r="C1646" s="26" t="s">
        <v>53</v>
      </c>
      <c r="D1646" s="26" t="s">
        <v>25</v>
      </c>
      <c r="E1646" s="26" t="s">
        <v>546</v>
      </c>
      <c r="F1646" s="26" t="s">
        <v>1043</v>
      </c>
      <c r="G1646" s="27">
        <f t="shared" ref="G1646" si="1126">J1646</f>
        <v>1712740</v>
      </c>
      <c r="H1646" s="27">
        <f>L1646</f>
        <v>435000</v>
      </c>
      <c r="I1646" s="27">
        <f>N1646</f>
        <v>435000</v>
      </c>
      <c r="J1646" s="16">
        <f>'БА в тыс. руб.'!G1646*1000</f>
        <v>1712740</v>
      </c>
      <c r="K1646" s="169">
        <f t="shared" si="1099"/>
        <v>0</v>
      </c>
      <c r="L1646" s="16">
        <f>'БА в тыс. руб.'!H1646*1000</f>
        <v>435000</v>
      </c>
      <c r="M1646" s="169">
        <f t="shared" si="1100"/>
        <v>0</v>
      </c>
      <c r="N1646" s="16">
        <f>'БА в тыс. руб.'!I1646*1000</f>
        <v>435000</v>
      </c>
      <c r="O1646" s="169">
        <f t="shared" si="1101"/>
        <v>0</v>
      </c>
      <c r="S1646" s="83"/>
      <c r="T1646" s="83"/>
      <c r="U1646" s="83"/>
    </row>
    <row r="1647" spans="1:21" s="3" customFormat="1" ht="25.5">
      <c r="A1647" s="11" t="s">
        <v>822</v>
      </c>
      <c r="B1647" s="25" t="s">
        <v>536</v>
      </c>
      <c r="C1647" s="26" t="s">
        <v>53</v>
      </c>
      <c r="D1647" s="26" t="s">
        <v>25</v>
      </c>
      <c r="E1647" s="26" t="s">
        <v>821</v>
      </c>
      <c r="F1647" s="26" t="s">
        <v>58</v>
      </c>
      <c r="G1647" s="27">
        <f>G1648+G1658+G1662+G1666</f>
        <v>26876250</v>
      </c>
      <c r="H1647" s="27">
        <f>H1648+H1658+H1662+H1666</f>
        <v>24089390</v>
      </c>
      <c r="I1647" s="27">
        <f>I1648+I1658+I1662+I1666</f>
        <v>24089390</v>
      </c>
      <c r="J1647" s="16">
        <f>'БА в тыс. руб.'!G1647*1000</f>
        <v>26876250</v>
      </c>
      <c r="K1647" s="169">
        <f t="shared" si="1099"/>
        <v>0</v>
      </c>
      <c r="L1647" s="16">
        <f>'БА в тыс. руб.'!H1647*1000</f>
        <v>24089390.000000004</v>
      </c>
      <c r="M1647" s="169">
        <f t="shared" si="1100"/>
        <v>0</v>
      </c>
      <c r="N1647" s="16">
        <f>'БА в тыс. руб.'!I1647*1000</f>
        <v>24089390.000000004</v>
      </c>
      <c r="O1647" s="169">
        <f t="shared" si="1101"/>
        <v>0</v>
      </c>
      <c r="S1647" s="30"/>
      <c r="T1647" s="30"/>
      <c r="U1647" s="30"/>
    </row>
    <row r="1648" spans="1:21" s="3" customFormat="1" ht="38.25">
      <c r="A1648" s="11" t="s">
        <v>864</v>
      </c>
      <c r="B1648" s="25" t="s">
        <v>536</v>
      </c>
      <c r="C1648" s="26" t="s">
        <v>53</v>
      </c>
      <c r="D1648" s="26" t="s">
        <v>25</v>
      </c>
      <c r="E1648" s="26" t="s">
        <v>823</v>
      </c>
      <c r="F1648" s="26" t="s">
        <v>58</v>
      </c>
      <c r="G1648" s="27">
        <f>G1649</f>
        <v>18692580</v>
      </c>
      <c r="H1648" s="27">
        <f>H1649</f>
        <v>18692580</v>
      </c>
      <c r="I1648" s="27">
        <f>I1649</f>
        <v>18692580</v>
      </c>
      <c r="J1648" s="16">
        <f>'БА в тыс. руб.'!G1648*1000</f>
        <v>18692580</v>
      </c>
      <c r="K1648" s="169">
        <f t="shared" si="1099"/>
        <v>0</v>
      </c>
      <c r="L1648" s="16">
        <f>'БА в тыс. руб.'!H1648*1000</f>
        <v>18692580</v>
      </c>
      <c r="M1648" s="169">
        <f t="shared" si="1100"/>
        <v>0</v>
      </c>
      <c r="N1648" s="16">
        <f>'БА в тыс. руб.'!I1648*1000</f>
        <v>18692580</v>
      </c>
      <c r="O1648" s="169">
        <f t="shared" si="1101"/>
        <v>0</v>
      </c>
      <c r="S1648" s="30"/>
      <c r="T1648" s="30"/>
      <c r="U1648" s="30"/>
    </row>
    <row r="1649" spans="1:21" s="3" customFormat="1" ht="25.5">
      <c r="A1649" s="152" t="s">
        <v>247</v>
      </c>
      <c r="B1649" s="25" t="s">
        <v>536</v>
      </c>
      <c r="C1649" s="26" t="s">
        <v>53</v>
      </c>
      <c r="D1649" s="26" t="s">
        <v>25</v>
      </c>
      <c r="E1649" s="26" t="s">
        <v>824</v>
      </c>
      <c r="F1649" s="26" t="s">
        <v>58</v>
      </c>
      <c r="G1649" s="27">
        <f>G1650+G1653+G1655</f>
        <v>18692580</v>
      </c>
      <c r="H1649" s="27">
        <f t="shared" ref="H1649:I1649" si="1127">H1650+H1653+H1655</f>
        <v>18692580</v>
      </c>
      <c r="I1649" s="27">
        <f t="shared" si="1127"/>
        <v>18692580</v>
      </c>
      <c r="J1649" s="16">
        <f>'БА в тыс. руб.'!G1649*1000</f>
        <v>18692580</v>
      </c>
      <c r="K1649" s="169">
        <f t="shared" si="1099"/>
        <v>0</v>
      </c>
      <c r="L1649" s="16">
        <f>'БА в тыс. руб.'!H1649*1000</f>
        <v>18692580</v>
      </c>
      <c r="M1649" s="169">
        <f t="shared" si="1100"/>
        <v>0</v>
      </c>
      <c r="N1649" s="16">
        <f>'БА в тыс. руб.'!I1649*1000</f>
        <v>18692580</v>
      </c>
      <c r="O1649" s="169">
        <f t="shared" si="1101"/>
        <v>0</v>
      </c>
      <c r="S1649" s="30"/>
      <c r="T1649" s="30"/>
      <c r="U1649" s="30"/>
    </row>
    <row r="1650" spans="1:21" s="3" customFormat="1">
      <c r="A1650" s="152" t="s">
        <v>106</v>
      </c>
      <c r="B1650" s="25" t="s">
        <v>536</v>
      </c>
      <c r="C1650" s="26" t="s">
        <v>53</v>
      </c>
      <c r="D1650" s="26" t="s">
        <v>25</v>
      </c>
      <c r="E1650" s="26" t="s">
        <v>824</v>
      </c>
      <c r="F1650" s="26" t="s">
        <v>121</v>
      </c>
      <c r="G1650" s="27">
        <f>SUM(G1651:G1652)</f>
        <v>16997420</v>
      </c>
      <c r="H1650" s="27">
        <f t="shared" ref="H1650:I1650" si="1128">SUM(H1651:H1652)</f>
        <v>16997420</v>
      </c>
      <c r="I1650" s="27">
        <f t="shared" si="1128"/>
        <v>16997420</v>
      </c>
      <c r="J1650" s="16">
        <f>'БА в тыс. руб.'!G1650*1000</f>
        <v>16997420.000000004</v>
      </c>
      <c r="K1650" s="169">
        <f t="shared" si="1099"/>
        <v>0</v>
      </c>
      <c r="L1650" s="16">
        <f>'БА в тыс. руб.'!H1650*1000</f>
        <v>16997420.000000004</v>
      </c>
      <c r="M1650" s="169">
        <f t="shared" si="1100"/>
        <v>0</v>
      </c>
      <c r="N1650" s="16">
        <f>'БА в тыс. руб.'!I1650*1000</f>
        <v>16997420.000000004</v>
      </c>
      <c r="O1650" s="169">
        <f t="shared" si="1101"/>
        <v>0</v>
      </c>
      <c r="S1650" s="30"/>
      <c r="T1650" s="30"/>
      <c r="U1650" s="30"/>
    </row>
    <row r="1651" spans="1:21" s="4" customFormat="1">
      <c r="A1651" s="12" t="s">
        <v>932</v>
      </c>
      <c r="B1651" s="25" t="s">
        <v>536</v>
      </c>
      <c r="C1651" s="26" t="s">
        <v>53</v>
      </c>
      <c r="D1651" s="26" t="s">
        <v>25</v>
      </c>
      <c r="E1651" s="26" t="s">
        <v>824</v>
      </c>
      <c r="F1651" s="26" t="s">
        <v>1056</v>
      </c>
      <c r="G1651" s="27">
        <f t="shared" ref="G1651:G1652" si="1129">J1651</f>
        <v>13054850</v>
      </c>
      <c r="H1651" s="27">
        <f t="shared" ref="H1651:H1652" si="1130">L1651</f>
        <v>13054850</v>
      </c>
      <c r="I1651" s="27">
        <f t="shared" ref="I1651:I1652" si="1131">N1651</f>
        <v>13054850</v>
      </c>
      <c r="J1651" s="16">
        <f>'БА в тыс. руб.'!G1651*1000</f>
        <v>13054850</v>
      </c>
      <c r="K1651" s="169">
        <f t="shared" si="1099"/>
        <v>0</v>
      </c>
      <c r="L1651" s="16">
        <f>'БА в тыс. руб.'!H1651*1000</f>
        <v>13054850</v>
      </c>
      <c r="M1651" s="169">
        <f t="shared" si="1100"/>
        <v>0</v>
      </c>
      <c r="N1651" s="16">
        <f>'БА в тыс. руб.'!I1651*1000</f>
        <v>13054850</v>
      </c>
      <c r="O1651" s="169">
        <f t="shared" si="1101"/>
        <v>0</v>
      </c>
      <c r="S1651" s="83"/>
      <c r="T1651" s="83"/>
      <c r="U1651" s="83"/>
    </row>
    <row r="1652" spans="1:21" s="4" customFormat="1" ht="38.25">
      <c r="A1652" s="12" t="s">
        <v>935</v>
      </c>
      <c r="B1652" s="25" t="s">
        <v>536</v>
      </c>
      <c r="C1652" s="26" t="s">
        <v>53</v>
      </c>
      <c r="D1652" s="26" t="s">
        <v>25</v>
      </c>
      <c r="E1652" s="26" t="s">
        <v>824</v>
      </c>
      <c r="F1652" s="26" t="s">
        <v>1057</v>
      </c>
      <c r="G1652" s="27">
        <f t="shared" si="1129"/>
        <v>3942570</v>
      </c>
      <c r="H1652" s="27">
        <f t="shared" si="1130"/>
        <v>3942570</v>
      </c>
      <c r="I1652" s="27">
        <f t="shared" si="1131"/>
        <v>3942570</v>
      </c>
      <c r="J1652" s="16">
        <f>'БА в тыс. руб.'!G1652*1000</f>
        <v>3942570</v>
      </c>
      <c r="K1652" s="169">
        <f t="shared" si="1099"/>
        <v>0</v>
      </c>
      <c r="L1652" s="16">
        <f>'БА в тыс. руб.'!H1652*1000</f>
        <v>3942570</v>
      </c>
      <c r="M1652" s="169">
        <f t="shared" si="1100"/>
        <v>0</v>
      </c>
      <c r="N1652" s="16">
        <f>'БА в тыс. руб.'!I1652*1000</f>
        <v>3942570</v>
      </c>
      <c r="O1652" s="169">
        <f t="shared" si="1101"/>
        <v>0</v>
      </c>
      <c r="S1652" s="83"/>
      <c r="T1652" s="83"/>
      <c r="U1652" s="83"/>
    </row>
    <row r="1653" spans="1:21" s="3" customFormat="1" ht="25.5">
      <c r="A1653" s="11" t="s">
        <v>108</v>
      </c>
      <c r="B1653" s="25" t="s">
        <v>536</v>
      </c>
      <c r="C1653" s="26" t="s">
        <v>53</v>
      </c>
      <c r="D1653" s="26" t="s">
        <v>25</v>
      </c>
      <c r="E1653" s="26" t="s">
        <v>824</v>
      </c>
      <c r="F1653" s="26" t="s">
        <v>116</v>
      </c>
      <c r="G1653" s="27">
        <f>G1654</f>
        <v>1338160</v>
      </c>
      <c r="H1653" s="27">
        <f t="shared" ref="H1653:I1653" si="1132">H1654</f>
        <v>1338160</v>
      </c>
      <c r="I1653" s="27">
        <f t="shared" si="1132"/>
        <v>1338160</v>
      </c>
      <c r="J1653" s="16">
        <f>'БА в тыс. руб.'!G1653*1000</f>
        <v>1338160</v>
      </c>
      <c r="K1653" s="169">
        <f t="shared" si="1099"/>
        <v>0</v>
      </c>
      <c r="L1653" s="16">
        <f>'БА в тыс. руб.'!H1653*1000</f>
        <v>1338160</v>
      </c>
      <c r="M1653" s="169">
        <f t="shared" si="1100"/>
        <v>0</v>
      </c>
      <c r="N1653" s="16">
        <f>'БА в тыс. руб.'!I1653*1000</f>
        <v>1338160</v>
      </c>
      <c r="O1653" s="169">
        <f t="shared" si="1101"/>
        <v>0</v>
      </c>
      <c r="S1653" s="30"/>
      <c r="T1653" s="30"/>
      <c r="U1653" s="30"/>
    </row>
    <row r="1654" spans="1:21" s="4" customFormat="1" ht="25.5">
      <c r="A1654" s="12" t="s">
        <v>973</v>
      </c>
      <c r="B1654" s="25" t="s">
        <v>536</v>
      </c>
      <c r="C1654" s="26" t="s">
        <v>53</v>
      </c>
      <c r="D1654" s="26" t="s">
        <v>25</v>
      </c>
      <c r="E1654" s="26" t="s">
        <v>824</v>
      </c>
      <c r="F1654" s="26" t="s">
        <v>1043</v>
      </c>
      <c r="G1654" s="27">
        <f t="shared" ref="G1654" si="1133">J1654</f>
        <v>1338160</v>
      </c>
      <c r="H1654" s="27">
        <f>L1654</f>
        <v>1338160</v>
      </c>
      <c r="I1654" s="27">
        <f>N1654</f>
        <v>1338160</v>
      </c>
      <c r="J1654" s="16">
        <f>'БА в тыс. руб.'!G1654*1000</f>
        <v>1338160</v>
      </c>
      <c r="K1654" s="169">
        <f t="shared" si="1099"/>
        <v>0</v>
      </c>
      <c r="L1654" s="16">
        <f>'БА в тыс. руб.'!H1654*1000</f>
        <v>1338160</v>
      </c>
      <c r="M1654" s="169">
        <f t="shared" si="1100"/>
        <v>0</v>
      </c>
      <c r="N1654" s="16">
        <f>'БА в тыс. руб.'!I1654*1000</f>
        <v>1338160</v>
      </c>
      <c r="O1654" s="169">
        <f t="shared" si="1101"/>
        <v>0</v>
      </c>
      <c r="S1654" s="83"/>
      <c r="T1654" s="83"/>
      <c r="U1654" s="83"/>
    </row>
    <row r="1655" spans="1:21" s="3" customFormat="1">
      <c r="A1655" s="152" t="s">
        <v>97</v>
      </c>
      <c r="B1655" s="25" t="s">
        <v>536</v>
      </c>
      <c r="C1655" s="26" t="s">
        <v>53</v>
      </c>
      <c r="D1655" s="26" t="s">
        <v>25</v>
      </c>
      <c r="E1655" s="26" t="s">
        <v>824</v>
      </c>
      <c r="F1655" s="26" t="s">
        <v>118</v>
      </c>
      <c r="G1655" s="27">
        <f>SUM(G1656:G1657)</f>
        <v>357000</v>
      </c>
      <c r="H1655" s="27">
        <f t="shared" ref="H1655:I1655" si="1134">SUM(H1656:H1657)</f>
        <v>357000</v>
      </c>
      <c r="I1655" s="27">
        <f t="shared" si="1134"/>
        <v>357000</v>
      </c>
      <c r="J1655" s="16">
        <f>'БА в тыс. руб.'!G1655*1000</f>
        <v>357000</v>
      </c>
      <c r="K1655" s="169">
        <f t="shared" si="1099"/>
        <v>0</v>
      </c>
      <c r="L1655" s="16">
        <f>'БА в тыс. руб.'!H1655*1000</f>
        <v>357000</v>
      </c>
      <c r="M1655" s="169">
        <f t="shared" si="1100"/>
        <v>0</v>
      </c>
      <c r="N1655" s="16">
        <f>'БА в тыс. руб.'!I1655*1000</f>
        <v>357000</v>
      </c>
      <c r="O1655" s="169">
        <f t="shared" si="1101"/>
        <v>0</v>
      </c>
      <c r="S1655" s="30"/>
      <c r="T1655" s="30"/>
      <c r="U1655" s="30"/>
    </row>
    <row r="1656" spans="1:21" s="4" customFormat="1">
      <c r="A1656" s="12" t="s">
        <v>1036</v>
      </c>
      <c r="B1656" s="25" t="s">
        <v>536</v>
      </c>
      <c r="C1656" s="26" t="s">
        <v>53</v>
      </c>
      <c r="D1656" s="26" t="s">
        <v>25</v>
      </c>
      <c r="E1656" s="26" t="s">
        <v>824</v>
      </c>
      <c r="F1656" s="26" t="s">
        <v>1061</v>
      </c>
      <c r="G1656" s="27">
        <f t="shared" ref="G1656:G1657" si="1135">J1656</f>
        <v>350000</v>
      </c>
      <c r="H1656" s="27">
        <f t="shared" ref="H1656:H1657" si="1136">L1656</f>
        <v>350000</v>
      </c>
      <c r="I1656" s="27">
        <f t="shared" ref="I1656:I1657" si="1137">N1656</f>
        <v>350000</v>
      </c>
      <c r="J1656" s="16">
        <f>'БА в тыс. руб.'!G1656*1000</f>
        <v>350000</v>
      </c>
      <c r="K1656" s="169">
        <f t="shared" si="1099"/>
        <v>0</v>
      </c>
      <c r="L1656" s="16">
        <f>'БА в тыс. руб.'!H1656*1000</f>
        <v>350000</v>
      </c>
      <c r="M1656" s="169">
        <f t="shared" si="1100"/>
        <v>0</v>
      </c>
      <c r="N1656" s="16">
        <f>'БА в тыс. руб.'!I1656*1000</f>
        <v>350000</v>
      </c>
      <c r="O1656" s="169">
        <f t="shared" si="1101"/>
        <v>0</v>
      </c>
      <c r="S1656" s="83"/>
      <c r="T1656" s="83"/>
      <c r="U1656" s="83"/>
    </row>
    <row r="1657" spans="1:21" s="4" customFormat="1">
      <c r="A1657" s="12" t="s">
        <v>1037</v>
      </c>
      <c r="B1657" s="25" t="s">
        <v>536</v>
      </c>
      <c r="C1657" s="26" t="s">
        <v>53</v>
      </c>
      <c r="D1657" s="26" t="s">
        <v>25</v>
      </c>
      <c r="E1657" s="26" t="s">
        <v>824</v>
      </c>
      <c r="F1657" s="26" t="s">
        <v>1062</v>
      </c>
      <c r="G1657" s="27">
        <f t="shared" si="1135"/>
        <v>7000</v>
      </c>
      <c r="H1657" s="27">
        <f t="shared" si="1136"/>
        <v>7000</v>
      </c>
      <c r="I1657" s="27">
        <f t="shared" si="1137"/>
        <v>7000</v>
      </c>
      <c r="J1657" s="16">
        <f>'БА в тыс. руб.'!G1657*1000</f>
        <v>7000</v>
      </c>
      <c r="K1657" s="169">
        <f t="shared" si="1099"/>
        <v>0</v>
      </c>
      <c r="L1657" s="16">
        <f>'БА в тыс. руб.'!H1657*1000</f>
        <v>7000</v>
      </c>
      <c r="M1657" s="169">
        <f t="shared" si="1100"/>
        <v>0</v>
      </c>
      <c r="N1657" s="16">
        <f>'БА в тыс. руб.'!I1657*1000</f>
        <v>7000</v>
      </c>
      <c r="O1657" s="169">
        <f t="shared" si="1101"/>
        <v>0</v>
      </c>
      <c r="S1657" s="83"/>
      <c r="T1657" s="83"/>
      <c r="U1657" s="83"/>
    </row>
    <row r="1658" spans="1:21" s="3" customFormat="1" ht="63.75">
      <c r="A1658" s="152" t="s">
        <v>670</v>
      </c>
      <c r="B1658" s="25" t="s">
        <v>536</v>
      </c>
      <c r="C1658" s="26" t="s">
        <v>53</v>
      </c>
      <c r="D1658" s="26" t="s">
        <v>25</v>
      </c>
      <c r="E1658" s="26" t="s">
        <v>825</v>
      </c>
      <c r="F1658" s="26" t="s">
        <v>58</v>
      </c>
      <c r="G1658" s="27">
        <f>G1659</f>
        <v>2553670</v>
      </c>
      <c r="H1658" s="27">
        <f t="shared" ref="H1658:I1658" si="1138">H1659</f>
        <v>2201810</v>
      </c>
      <c r="I1658" s="27">
        <f t="shared" si="1138"/>
        <v>2201810</v>
      </c>
      <c r="J1658" s="16">
        <f>'БА в тыс. руб.'!G1658*1000</f>
        <v>2553670</v>
      </c>
      <c r="K1658" s="169">
        <f t="shared" si="1099"/>
        <v>0</v>
      </c>
      <c r="L1658" s="16">
        <f>'БА в тыс. руб.'!H1658*1000</f>
        <v>2201810</v>
      </c>
      <c r="M1658" s="169">
        <f t="shared" si="1100"/>
        <v>0</v>
      </c>
      <c r="N1658" s="16">
        <f>'БА в тыс. руб.'!I1658*1000</f>
        <v>2201810</v>
      </c>
      <c r="O1658" s="169">
        <f t="shared" si="1101"/>
        <v>0</v>
      </c>
      <c r="S1658" s="30"/>
      <c r="T1658" s="30"/>
      <c r="U1658" s="30"/>
    </row>
    <row r="1659" spans="1:21" s="3" customFormat="1" ht="51">
      <c r="A1659" s="152" t="s">
        <v>173</v>
      </c>
      <c r="B1659" s="25" t="s">
        <v>536</v>
      </c>
      <c r="C1659" s="26" t="s">
        <v>53</v>
      </c>
      <c r="D1659" s="26" t="s">
        <v>25</v>
      </c>
      <c r="E1659" s="26" t="s">
        <v>826</v>
      </c>
      <c r="F1659" s="26" t="s">
        <v>58</v>
      </c>
      <c r="G1659" s="27">
        <f>G1660</f>
        <v>2553670</v>
      </c>
      <c r="H1659" s="27">
        <f>H1660</f>
        <v>2201810</v>
      </c>
      <c r="I1659" s="27">
        <f>I1660</f>
        <v>2201810</v>
      </c>
      <c r="J1659" s="16">
        <f>'БА в тыс. руб.'!G1659*1000</f>
        <v>2553670</v>
      </c>
      <c r="K1659" s="169">
        <f t="shared" si="1099"/>
        <v>0</v>
      </c>
      <c r="L1659" s="16">
        <f>'БА в тыс. руб.'!H1659*1000</f>
        <v>2201810</v>
      </c>
      <c r="M1659" s="169">
        <f t="shared" si="1100"/>
        <v>0</v>
      </c>
      <c r="N1659" s="16">
        <f>'БА в тыс. руб.'!I1659*1000</f>
        <v>2201810</v>
      </c>
      <c r="O1659" s="169">
        <f t="shared" si="1101"/>
        <v>0</v>
      </c>
      <c r="S1659" s="30"/>
      <c r="T1659" s="30"/>
      <c r="U1659" s="30"/>
    </row>
    <row r="1660" spans="1:21" s="3" customFormat="1" ht="25.5">
      <c r="A1660" s="11" t="s">
        <v>108</v>
      </c>
      <c r="B1660" s="25" t="s">
        <v>536</v>
      </c>
      <c r="C1660" s="26" t="s">
        <v>53</v>
      </c>
      <c r="D1660" s="26" t="s">
        <v>25</v>
      </c>
      <c r="E1660" s="26" t="s">
        <v>826</v>
      </c>
      <c r="F1660" s="26" t="s">
        <v>116</v>
      </c>
      <c r="G1660" s="27">
        <f>G1661</f>
        <v>2553670</v>
      </c>
      <c r="H1660" s="27">
        <f t="shared" ref="H1660:I1660" si="1139">H1661</f>
        <v>2201810</v>
      </c>
      <c r="I1660" s="27">
        <f t="shared" si="1139"/>
        <v>2201810</v>
      </c>
      <c r="J1660" s="16">
        <f>'БА в тыс. руб.'!G1660*1000</f>
        <v>2553670</v>
      </c>
      <c r="K1660" s="169">
        <f t="shared" si="1099"/>
        <v>0</v>
      </c>
      <c r="L1660" s="16">
        <f>'БА в тыс. руб.'!H1660*1000</f>
        <v>2201810</v>
      </c>
      <c r="M1660" s="169">
        <f t="shared" si="1100"/>
        <v>0</v>
      </c>
      <c r="N1660" s="16">
        <f>'БА в тыс. руб.'!I1660*1000</f>
        <v>2201810</v>
      </c>
      <c r="O1660" s="169">
        <f t="shared" si="1101"/>
        <v>0</v>
      </c>
      <c r="S1660" s="30"/>
      <c r="T1660" s="30"/>
      <c r="U1660" s="30"/>
    </row>
    <row r="1661" spans="1:21" s="4" customFormat="1" ht="25.5">
      <c r="A1661" s="12" t="s">
        <v>973</v>
      </c>
      <c r="B1661" s="25" t="s">
        <v>536</v>
      </c>
      <c r="C1661" s="26" t="s">
        <v>53</v>
      </c>
      <c r="D1661" s="26" t="s">
        <v>25</v>
      </c>
      <c r="E1661" s="26" t="s">
        <v>826</v>
      </c>
      <c r="F1661" s="26" t="s">
        <v>1043</v>
      </c>
      <c r="G1661" s="27">
        <f t="shared" ref="G1661" si="1140">J1661</f>
        <v>2553670</v>
      </c>
      <c r="H1661" s="27">
        <f>L1661</f>
        <v>2201810</v>
      </c>
      <c r="I1661" s="27">
        <f>N1661</f>
        <v>2201810</v>
      </c>
      <c r="J1661" s="16">
        <f>'БА в тыс. руб.'!G1661*1000</f>
        <v>2553670</v>
      </c>
      <c r="K1661" s="169">
        <f t="shared" si="1099"/>
        <v>0</v>
      </c>
      <c r="L1661" s="16">
        <f>'БА в тыс. руб.'!H1661*1000</f>
        <v>2201810</v>
      </c>
      <c r="M1661" s="169">
        <f t="shared" si="1100"/>
        <v>0</v>
      </c>
      <c r="N1661" s="16">
        <f>'БА в тыс. руб.'!I1661*1000</f>
        <v>2201810</v>
      </c>
      <c r="O1661" s="169">
        <f t="shared" si="1101"/>
        <v>0</v>
      </c>
      <c r="S1661" s="83"/>
      <c r="T1661" s="83"/>
      <c r="U1661" s="83"/>
    </row>
    <row r="1662" spans="1:21" s="3" customFormat="1" ht="25.5">
      <c r="A1662" s="152" t="s">
        <v>865</v>
      </c>
      <c r="B1662" s="25" t="s">
        <v>536</v>
      </c>
      <c r="C1662" s="26" t="s">
        <v>53</v>
      </c>
      <c r="D1662" s="26" t="s">
        <v>25</v>
      </c>
      <c r="E1662" s="26" t="s">
        <v>827</v>
      </c>
      <c r="F1662" s="26" t="s">
        <v>58</v>
      </c>
      <c r="G1662" s="27">
        <f>G1663</f>
        <v>2700000</v>
      </c>
      <c r="H1662" s="27">
        <f t="shared" ref="H1662:I1662" si="1141">H1663</f>
        <v>2430000</v>
      </c>
      <c r="I1662" s="27">
        <f t="shared" si="1141"/>
        <v>2430000</v>
      </c>
      <c r="J1662" s="16">
        <f>'БА в тыс. руб.'!G1662*1000</f>
        <v>2700000</v>
      </c>
      <c r="K1662" s="169">
        <f t="shared" si="1099"/>
        <v>0</v>
      </c>
      <c r="L1662" s="16">
        <f>'БА в тыс. руб.'!H1662*1000</f>
        <v>2430000</v>
      </c>
      <c r="M1662" s="169">
        <f t="shared" si="1100"/>
        <v>0</v>
      </c>
      <c r="N1662" s="16">
        <f>'БА в тыс. руб.'!I1662*1000</f>
        <v>2430000</v>
      </c>
      <c r="O1662" s="169">
        <f t="shared" si="1101"/>
        <v>0</v>
      </c>
      <c r="S1662" s="30"/>
      <c r="T1662" s="30"/>
      <c r="U1662" s="30"/>
    </row>
    <row r="1663" spans="1:21" s="3" customFormat="1" ht="25.5">
      <c r="A1663" s="152" t="s">
        <v>122</v>
      </c>
      <c r="B1663" s="25" t="s">
        <v>536</v>
      </c>
      <c r="C1663" s="26" t="s">
        <v>53</v>
      </c>
      <c r="D1663" s="26" t="s">
        <v>25</v>
      </c>
      <c r="E1663" s="26" t="s">
        <v>828</v>
      </c>
      <c r="F1663" s="26" t="s">
        <v>58</v>
      </c>
      <c r="G1663" s="27">
        <f>G1664</f>
        <v>2700000</v>
      </c>
      <c r="H1663" s="27">
        <f>H1664</f>
        <v>2430000</v>
      </c>
      <c r="I1663" s="27">
        <f>I1664</f>
        <v>2430000</v>
      </c>
      <c r="J1663" s="16">
        <f>'БА в тыс. руб.'!G1663*1000</f>
        <v>2700000</v>
      </c>
      <c r="K1663" s="169">
        <f t="shared" si="1099"/>
        <v>0</v>
      </c>
      <c r="L1663" s="16">
        <f>'БА в тыс. руб.'!H1663*1000</f>
        <v>2430000</v>
      </c>
      <c r="M1663" s="169">
        <f t="shared" si="1100"/>
        <v>0</v>
      </c>
      <c r="N1663" s="16">
        <f>'БА в тыс. руб.'!I1663*1000</f>
        <v>2430000</v>
      </c>
      <c r="O1663" s="169">
        <f t="shared" si="1101"/>
        <v>0</v>
      </c>
      <c r="S1663" s="30"/>
      <c r="T1663" s="30"/>
      <c r="U1663" s="30"/>
    </row>
    <row r="1664" spans="1:21" s="3" customFormat="1" ht="25.5">
      <c r="A1664" s="152" t="s">
        <v>108</v>
      </c>
      <c r="B1664" s="25" t="s">
        <v>536</v>
      </c>
      <c r="C1664" s="26" t="s">
        <v>53</v>
      </c>
      <c r="D1664" s="26" t="s">
        <v>25</v>
      </c>
      <c r="E1664" s="26" t="s">
        <v>828</v>
      </c>
      <c r="F1664" s="26" t="s">
        <v>116</v>
      </c>
      <c r="G1664" s="27">
        <f>G1665</f>
        <v>2700000</v>
      </c>
      <c r="H1664" s="27">
        <f t="shared" ref="H1664:I1664" si="1142">H1665</f>
        <v>2430000</v>
      </c>
      <c r="I1664" s="27">
        <f t="shared" si="1142"/>
        <v>2430000</v>
      </c>
      <c r="J1664" s="16">
        <f>'БА в тыс. руб.'!G1664*1000</f>
        <v>2700000</v>
      </c>
      <c r="K1664" s="169">
        <f t="shared" si="1099"/>
        <v>0</v>
      </c>
      <c r="L1664" s="16">
        <f>'БА в тыс. руб.'!H1664*1000</f>
        <v>2430000</v>
      </c>
      <c r="M1664" s="169">
        <f t="shared" si="1100"/>
        <v>0</v>
      </c>
      <c r="N1664" s="16">
        <f>'БА в тыс. руб.'!I1664*1000</f>
        <v>2430000</v>
      </c>
      <c r="O1664" s="169">
        <f t="shared" si="1101"/>
        <v>0</v>
      </c>
      <c r="S1664" s="30"/>
      <c r="T1664" s="30"/>
      <c r="U1664" s="30"/>
    </row>
    <row r="1665" spans="1:21" s="4" customFormat="1" ht="25.5">
      <c r="A1665" s="12" t="s">
        <v>973</v>
      </c>
      <c r="B1665" s="25" t="s">
        <v>536</v>
      </c>
      <c r="C1665" s="26" t="s">
        <v>53</v>
      </c>
      <c r="D1665" s="26" t="s">
        <v>25</v>
      </c>
      <c r="E1665" s="26" t="s">
        <v>828</v>
      </c>
      <c r="F1665" s="26" t="s">
        <v>1043</v>
      </c>
      <c r="G1665" s="27">
        <f t="shared" ref="G1665" si="1143">J1665</f>
        <v>2700000</v>
      </c>
      <c r="H1665" s="27">
        <f>L1665</f>
        <v>2430000</v>
      </c>
      <c r="I1665" s="27">
        <f>N1665</f>
        <v>2430000</v>
      </c>
      <c r="J1665" s="16">
        <f>'БА в тыс. руб.'!G1665*1000</f>
        <v>2700000</v>
      </c>
      <c r="K1665" s="169">
        <f t="shared" si="1099"/>
        <v>0</v>
      </c>
      <c r="L1665" s="16">
        <f>'БА в тыс. руб.'!H1665*1000</f>
        <v>2430000</v>
      </c>
      <c r="M1665" s="169">
        <f t="shared" si="1100"/>
        <v>0</v>
      </c>
      <c r="N1665" s="16">
        <f>'БА в тыс. руб.'!I1665*1000</f>
        <v>2430000</v>
      </c>
      <c r="O1665" s="169">
        <f t="shared" si="1101"/>
        <v>0</v>
      </c>
      <c r="S1665" s="83"/>
      <c r="T1665" s="83"/>
      <c r="U1665" s="83"/>
    </row>
    <row r="1666" spans="1:21" s="3" customFormat="1" ht="63.75">
      <c r="A1666" s="152" t="s">
        <v>866</v>
      </c>
      <c r="B1666" s="25" t="s">
        <v>536</v>
      </c>
      <c r="C1666" s="26" t="s">
        <v>53</v>
      </c>
      <c r="D1666" s="26" t="s">
        <v>25</v>
      </c>
      <c r="E1666" s="26" t="s">
        <v>829</v>
      </c>
      <c r="F1666" s="26" t="s">
        <v>58</v>
      </c>
      <c r="G1666" s="27">
        <f>G1667</f>
        <v>2930000</v>
      </c>
      <c r="H1666" s="27">
        <f t="shared" ref="H1666:I1666" si="1144">H1667</f>
        <v>765000</v>
      </c>
      <c r="I1666" s="27">
        <f t="shared" si="1144"/>
        <v>765000</v>
      </c>
      <c r="J1666" s="16">
        <f>'БА в тыс. руб.'!G1666*1000</f>
        <v>2930000</v>
      </c>
      <c r="K1666" s="169">
        <f t="shared" si="1099"/>
        <v>0</v>
      </c>
      <c r="L1666" s="16">
        <f>'БА в тыс. руб.'!H1666*1000</f>
        <v>765000</v>
      </c>
      <c r="M1666" s="169">
        <f t="shared" si="1100"/>
        <v>0</v>
      </c>
      <c r="N1666" s="16">
        <f>'БА в тыс. руб.'!I1666*1000</f>
        <v>765000</v>
      </c>
      <c r="O1666" s="169">
        <f t="shared" si="1101"/>
        <v>0</v>
      </c>
      <c r="S1666" s="30"/>
      <c r="T1666" s="30"/>
      <c r="U1666" s="30"/>
    </row>
    <row r="1667" spans="1:21" s="3" customFormat="1" ht="25.5">
      <c r="A1667" s="152" t="s">
        <v>122</v>
      </c>
      <c r="B1667" s="25" t="s">
        <v>536</v>
      </c>
      <c r="C1667" s="26" t="s">
        <v>53</v>
      </c>
      <c r="D1667" s="26" t="s">
        <v>25</v>
      </c>
      <c r="E1667" s="26" t="s">
        <v>830</v>
      </c>
      <c r="F1667" s="26" t="s">
        <v>58</v>
      </c>
      <c r="G1667" s="27">
        <f>G1668</f>
        <v>2930000</v>
      </c>
      <c r="H1667" s="27">
        <f>H1668</f>
        <v>765000</v>
      </c>
      <c r="I1667" s="27">
        <f>I1668</f>
        <v>765000</v>
      </c>
      <c r="J1667" s="16">
        <f>'БА в тыс. руб.'!G1667*1000</f>
        <v>2930000</v>
      </c>
      <c r="K1667" s="169">
        <f t="shared" si="1099"/>
        <v>0</v>
      </c>
      <c r="L1667" s="16">
        <f>'БА в тыс. руб.'!H1667*1000</f>
        <v>765000</v>
      </c>
      <c r="M1667" s="169">
        <f t="shared" si="1100"/>
        <v>0</v>
      </c>
      <c r="N1667" s="16">
        <f>'БА в тыс. руб.'!I1667*1000</f>
        <v>765000</v>
      </c>
      <c r="O1667" s="169">
        <f t="shared" si="1101"/>
        <v>0</v>
      </c>
      <c r="S1667" s="30"/>
      <c r="T1667" s="30"/>
      <c r="U1667" s="30"/>
    </row>
    <row r="1668" spans="1:21" s="3" customFormat="1" ht="25.5">
      <c r="A1668" s="152" t="s">
        <v>108</v>
      </c>
      <c r="B1668" s="25" t="s">
        <v>536</v>
      </c>
      <c r="C1668" s="26" t="s">
        <v>53</v>
      </c>
      <c r="D1668" s="26" t="s">
        <v>25</v>
      </c>
      <c r="E1668" s="26" t="s">
        <v>830</v>
      </c>
      <c r="F1668" s="26" t="s">
        <v>116</v>
      </c>
      <c r="G1668" s="27">
        <f>G1669</f>
        <v>2930000</v>
      </c>
      <c r="H1668" s="27">
        <f t="shared" ref="H1668:I1668" si="1145">H1669</f>
        <v>765000</v>
      </c>
      <c r="I1668" s="27">
        <f t="shared" si="1145"/>
        <v>765000</v>
      </c>
      <c r="J1668" s="16">
        <f>'БА в тыс. руб.'!G1668*1000</f>
        <v>2930000</v>
      </c>
      <c r="K1668" s="169">
        <f t="shared" si="1099"/>
        <v>0</v>
      </c>
      <c r="L1668" s="16">
        <f>'БА в тыс. руб.'!H1668*1000</f>
        <v>765000</v>
      </c>
      <c r="M1668" s="169">
        <f t="shared" si="1100"/>
        <v>0</v>
      </c>
      <c r="N1668" s="16">
        <f>'БА в тыс. руб.'!I1668*1000</f>
        <v>765000</v>
      </c>
      <c r="O1668" s="169">
        <f t="shared" si="1101"/>
        <v>0</v>
      </c>
      <c r="S1668" s="30"/>
      <c r="T1668" s="30"/>
      <c r="U1668" s="30"/>
    </row>
    <row r="1669" spans="1:21" s="4" customFormat="1" ht="25.5">
      <c r="A1669" s="12" t="s">
        <v>973</v>
      </c>
      <c r="B1669" s="25" t="s">
        <v>536</v>
      </c>
      <c r="C1669" s="26" t="s">
        <v>53</v>
      </c>
      <c r="D1669" s="26" t="s">
        <v>25</v>
      </c>
      <c r="E1669" s="26" t="s">
        <v>830</v>
      </c>
      <c r="F1669" s="26" t="s">
        <v>1043</v>
      </c>
      <c r="G1669" s="27">
        <f t="shared" ref="G1669" si="1146">J1669</f>
        <v>2930000</v>
      </c>
      <c r="H1669" s="27">
        <f>L1669</f>
        <v>765000</v>
      </c>
      <c r="I1669" s="27">
        <f>N1669</f>
        <v>765000</v>
      </c>
      <c r="J1669" s="16">
        <f>'БА в тыс. руб.'!G1669*1000</f>
        <v>2930000</v>
      </c>
      <c r="K1669" s="169">
        <f t="shared" si="1099"/>
        <v>0</v>
      </c>
      <c r="L1669" s="16">
        <f>'БА в тыс. руб.'!H1669*1000</f>
        <v>765000</v>
      </c>
      <c r="M1669" s="169">
        <f t="shared" si="1100"/>
        <v>0</v>
      </c>
      <c r="N1669" s="16">
        <f>'БА в тыс. руб.'!I1669*1000</f>
        <v>765000</v>
      </c>
      <c r="O1669" s="169">
        <f t="shared" si="1101"/>
        <v>0</v>
      </c>
      <c r="S1669" s="83"/>
      <c r="T1669" s="83"/>
      <c r="U1669" s="83"/>
    </row>
    <row r="1670" spans="1:21" s="3" customFormat="1" ht="38.25">
      <c r="A1670" s="120" t="s">
        <v>185</v>
      </c>
      <c r="B1670" s="25" t="s">
        <v>536</v>
      </c>
      <c r="C1670" s="26" t="s">
        <v>53</v>
      </c>
      <c r="D1670" s="26" t="s">
        <v>25</v>
      </c>
      <c r="E1670" s="26" t="s">
        <v>547</v>
      </c>
      <c r="F1670" s="26" t="s">
        <v>58</v>
      </c>
      <c r="G1670" s="27">
        <f>G1671</f>
        <v>15349490</v>
      </c>
      <c r="H1670" s="27">
        <f>H1671</f>
        <v>15349490</v>
      </c>
      <c r="I1670" s="27">
        <f>I1671</f>
        <v>15349490</v>
      </c>
      <c r="J1670" s="16">
        <f>'БА в тыс. руб.'!G1670*1000</f>
        <v>15349490</v>
      </c>
      <c r="K1670" s="169">
        <f t="shared" si="1099"/>
        <v>0</v>
      </c>
      <c r="L1670" s="16">
        <f>'БА в тыс. руб.'!H1670*1000</f>
        <v>15349490</v>
      </c>
      <c r="M1670" s="169">
        <f t="shared" si="1100"/>
        <v>0</v>
      </c>
      <c r="N1670" s="16">
        <f>'БА в тыс. руб.'!I1670*1000</f>
        <v>15349490</v>
      </c>
      <c r="O1670" s="169">
        <f t="shared" si="1101"/>
        <v>0</v>
      </c>
      <c r="S1670" s="30"/>
      <c r="T1670" s="30"/>
      <c r="U1670" s="30"/>
    </row>
    <row r="1671" spans="1:21" s="153" customFormat="1" ht="38.25">
      <c r="A1671" s="11" t="s">
        <v>548</v>
      </c>
      <c r="B1671" s="25" t="s">
        <v>536</v>
      </c>
      <c r="C1671" s="26" t="s">
        <v>53</v>
      </c>
      <c r="D1671" s="26" t="s">
        <v>25</v>
      </c>
      <c r="E1671" s="26" t="s">
        <v>549</v>
      </c>
      <c r="F1671" s="26" t="s">
        <v>58</v>
      </c>
      <c r="G1671" s="27">
        <f>G1672+G1681</f>
        <v>15349490</v>
      </c>
      <c r="H1671" s="27">
        <f>H1672+H1681</f>
        <v>15349490</v>
      </c>
      <c r="I1671" s="27">
        <f>I1672+I1681</f>
        <v>15349490</v>
      </c>
      <c r="J1671" s="16">
        <f>'БА в тыс. руб.'!G1671*1000</f>
        <v>15349490</v>
      </c>
      <c r="K1671" s="169">
        <f t="shared" si="1099"/>
        <v>0</v>
      </c>
      <c r="L1671" s="16">
        <f>'БА в тыс. руб.'!H1671*1000</f>
        <v>15349490</v>
      </c>
      <c r="M1671" s="169">
        <f t="shared" si="1100"/>
        <v>0</v>
      </c>
      <c r="N1671" s="16">
        <f>'БА в тыс. руб.'!I1671*1000</f>
        <v>15349490</v>
      </c>
      <c r="O1671" s="169">
        <f t="shared" si="1101"/>
        <v>0</v>
      </c>
      <c r="S1671" s="191"/>
      <c r="T1671" s="191"/>
      <c r="U1671" s="191"/>
    </row>
    <row r="1672" spans="1:21" s="3" customFormat="1" ht="25.5">
      <c r="A1672" s="157" t="s">
        <v>114</v>
      </c>
      <c r="B1672" s="154" t="s">
        <v>536</v>
      </c>
      <c r="C1672" s="155" t="s">
        <v>53</v>
      </c>
      <c r="D1672" s="155" t="s">
        <v>25</v>
      </c>
      <c r="E1672" s="155" t="s">
        <v>550</v>
      </c>
      <c r="F1672" s="155" t="s">
        <v>58</v>
      </c>
      <c r="G1672" s="156">
        <f>G1673+G1676+G1678</f>
        <v>1772940</v>
      </c>
      <c r="H1672" s="156">
        <f t="shared" ref="H1672:I1672" si="1147">H1673+H1676+H1678</f>
        <v>1772940</v>
      </c>
      <c r="I1672" s="156">
        <f t="shared" si="1147"/>
        <v>1772940</v>
      </c>
      <c r="J1672" s="16">
        <f>'БА в тыс. руб.'!G1672*1000</f>
        <v>1772940</v>
      </c>
      <c r="K1672" s="171">
        <f t="shared" si="1099"/>
        <v>0</v>
      </c>
      <c r="L1672" s="16">
        <f>'БА в тыс. руб.'!H1672*1000</f>
        <v>1772940</v>
      </c>
      <c r="M1672" s="171">
        <f t="shared" si="1100"/>
        <v>0</v>
      </c>
      <c r="N1672" s="16">
        <f>'БА в тыс. руб.'!I1672*1000</f>
        <v>1772940</v>
      </c>
      <c r="O1672" s="171">
        <f t="shared" si="1101"/>
        <v>0</v>
      </c>
      <c r="S1672" s="30"/>
      <c r="T1672" s="30"/>
      <c r="U1672" s="30"/>
    </row>
    <row r="1673" spans="1:21" s="159" customFormat="1" ht="25.5">
      <c r="A1673" s="11" t="s">
        <v>107</v>
      </c>
      <c r="B1673" s="25" t="s">
        <v>536</v>
      </c>
      <c r="C1673" s="26" t="s">
        <v>53</v>
      </c>
      <c r="D1673" s="26" t="s">
        <v>25</v>
      </c>
      <c r="E1673" s="26" t="s">
        <v>550</v>
      </c>
      <c r="F1673" s="26" t="s">
        <v>115</v>
      </c>
      <c r="G1673" s="27">
        <f>SUM(G1674:G1675)</f>
        <v>387250</v>
      </c>
      <c r="H1673" s="27">
        <f t="shared" ref="H1673:I1673" si="1148">SUM(H1674:H1675)</f>
        <v>387250</v>
      </c>
      <c r="I1673" s="27">
        <f t="shared" si="1148"/>
        <v>387250</v>
      </c>
      <c r="J1673" s="16">
        <f>'БА в тыс. руб.'!G1673*1000</f>
        <v>387250</v>
      </c>
      <c r="K1673" s="172">
        <f t="shared" si="1099"/>
        <v>0</v>
      </c>
      <c r="L1673" s="16">
        <f>'БА в тыс. руб.'!H1673*1000</f>
        <v>387250</v>
      </c>
      <c r="M1673" s="172">
        <f t="shared" si="1100"/>
        <v>0</v>
      </c>
      <c r="N1673" s="16">
        <f>'БА в тыс. руб.'!I1673*1000</f>
        <v>387250</v>
      </c>
      <c r="O1673" s="172">
        <f t="shared" si="1101"/>
        <v>0</v>
      </c>
      <c r="S1673" s="192"/>
      <c r="T1673" s="192"/>
      <c r="U1673" s="192"/>
    </row>
    <row r="1674" spans="1:21" s="159" customFormat="1" ht="25.5">
      <c r="A1674" s="11" t="s">
        <v>937</v>
      </c>
      <c r="B1674" s="25" t="s">
        <v>536</v>
      </c>
      <c r="C1674" s="26" t="s">
        <v>53</v>
      </c>
      <c r="D1674" s="26" t="s">
        <v>25</v>
      </c>
      <c r="E1674" s="26" t="s">
        <v>550</v>
      </c>
      <c r="F1674" s="26" t="s">
        <v>1059</v>
      </c>
      <c r="G1674" s="27">
        <f t="shared" ref="G1674:G1675" si="1149">J1674</f>
        <v>303080</v>
      </c>
      <c r="H1674" s="27">
        <f t="shared" ref="H1674:H1675" si="1150">L1674</f>
        <v>303080</v>
      </c>
      <c r="I1674" s="27">
        <f t="shared" ref="I1674:I1675" si="1151">N1674</f>
        <v>303080</v>
      </c>
      <c r="J1674" s="16">
        <f>'БА в тыс. руб.'!G1674*1000</f>
        <v>303080</v>
      </c>
      <c r="K1674" s="172">
        <f t="shared" si="1099"/>
        <v>0</v>
      </c>
      <c r="L1674" s="16">
        <f>'БА в тыс. руб.'!H1674*1000</f>
        <v>303080</v>
      </c>
      <c r="M1674" s="172">
        <f t="shared" si="1100"/>
        <v>0</v>
      </c>
      <c r="N1674" s="16">
        <f>'БА в тыс. руб.'!I1674*1000</f>
        <v>303080</v>
      </c>
      <c r="O1674" s="172">
        <f t="shared" si="1101"/>
        <v>0</v>
      </c>
      <c r="S1674" s="192"/>
      <c r="T1674" s="192"/>
      <c r="U1674" s="192"/>
    </row>
    <row r="1675" spans="1:21" s="159" customFormat="1" ht="38.25">
      <c r="A1675" s="11" t="s">
        <v>939</v>
      </c>
      <c r="B1675" s="25" t="s">
        <v>536</v>
      </c>
      <c r="C1675" s="26" t="s">
        <v>53</v>
      </c>
      <c r="D1675" s="26" t="s">
        <v>25</v>
      </c>
      <c r="E1675" s="26" t="s">
        <v>550</v>
      </c>
      <c r="F1675" s="26" t="s">
        <v>1060</v>
      </c>
      <c r="G1675" s="27">
        <f t="shared" si="1149"/>
        <v>84170</v>
      </c>
      <c r="H1675" s="27">
        <f t="shared" si="1150"/>
        <v>84170</v>
      </c>
      <c r="I1675" s="27">
        <f t="shared" si="1151"/>
        <v>84170</v>
      </c>
      <c r="J1675" s="16">
        <f>'БА в тыс. руб.'!G1675*1000</f>
        <v>84170</v>
      </c>
      <c r="K1675" s="172">
        <f t="shared" ref="K1675:K1706" si="1152">J1675-G1675</f>
        <v>0</v>
      </c>
      <c r="L1675" s="16">
        <f>'БА в тыс. руб.'!H1675*1000</f>
        <v>84170</v>
      </c>
      <c r="M1675" s="172">
        <f t="shared" ref="M1675:M1706" si="1153">L1675-H1675</f>
        <v>0</v>
      </c>
      <c r="N1675" s="16">
        <f>'БА в тыс. руб.'!I1675*1000</f>
        <v>84170</v>
      </c>
      <c r="O1675" s="172">
        <f t="shared" ref="O1675:O1706" si="1154">N1675-I1675</f>
        <v>0</v>
      </c>
      <c r="S1675" s="192"/>
      <c r="T1675" s="192"/>
      <c r="U1675" s="192"/>
    </row>
    <row r="1676" spans="1:21" s="159" customFormat="1" ht="25.5">
      <c r="A1676" s="11" t="s">
        <v>108</v>
      </c>
      <c r="B1676" s="25" t="s">
        <v>536</v>
      </c>
      <c r="C1676" s="26" t="s">
        <v>53</v>
      </c>
      <c r="D1676" s="26" t="s">
        <v>25</v>
      </c>
      <c r="E1676" s="26" t="s">
        <v>550</v>
      </c>
      <c r="F1676" s="26" t="s">
        <v>116</v>
      </c>
      <c r="G1676" s="27">
        <f>G1677</f>
        <v>1183980</v>
      </c>
      <c r="H1676" s="27">
        <f t="shared" ref="H1676:I1676" si="1155">H1677</f>
        <v>1183980</v>
      </c>
      <c r="I1676" s="27">
        <f t="shared" si="1155"/>
        <v>1183980</v>
      </c>
      <c r="J1676" s="16">
        <f>'БА в тыс. руб.'!G1676*1000</f>
        <v>1183980</v>
      </c>
      <c r="K1676" s="172">
        <f t="shared" si="1152"/>
        <v>0</v>
      </c>
      <c r="L1676" s="16">
        <f>'БА в тыс. руб.'!H1676*1000</f>
        <v>1183980</v>
      </c>
      <c r="M1676" s="172">
        <f t="shared" si="1153"/>
        <v>0</v>
      </c>
      <c r="N1676" s="16">
        <f>'БА в тыс. руб.'!I1676*1000</f>
        <v>1183980</v>
      </c>
      <c r="O1676" s="172">
        <f t="shared" si="1154"/>
        <v>0</v>
      </c>
      <c r="S1676" s="192"/>
      <c r="T1676" s="192"/>
      <c r="U1676" s="192"/>
    </row>
    <row r="1677" spans="1:21" s="159" customFormat="1" ht="25.5">
      <c r="A1677" s="12" t="s">
        <v>973</v>
      </c>
      <c r="B1677" s="25" t="s">
        <v>536</v>
      </c>
      <c r="C1677" s="26" t="s">
        <v>53</v>
      </c>
      <c r="D1677" s="26" t="s">
        <v>25</v>
      </c>
      <c r="E1677" s="26" t="s">
        <v>550</v>
      </c>
      <c r="F1677" s="26" t="s">
        <v>1043</v>
      </c>
      <c r="G1677" s="27">
        <f t="shared" ref="G1677" si="1156">J1677</f>
        <v>1183980</v>
      </c>
      <c r="H1677" s="27">
        <f>L1677</f>
        <v>1183980</v>
      </c>
      <c r="I1677" s="27">
        <f>N1677</f>
        <v>1183980</v>
      </c>
      <c r="J1677" s="16">
        <f>'БА в тыс. руб.'!G1677*1000</f>
        <v>1183980</v>
      </c>
      <c r="K1677" s="172">
        <f t="shared" si="1152"/>
        <v>0</v>
      </c>
      <c r="L1677" s="16">
        <f>'БА в тыс. руб.'!H1677*1000</f>
        <v>1183980</v>
      </c>
      <c r="M1677" s="172">
        <f t="shared" si="1153"/>
        <v>0</v>
      </c>
      <c r="N1677" s="16">
        <f>'БА в тыс. руб.'!I1677*1000</f>
        <v>1183980</v>
      </c>
      <c r="O1677" s="172">
        <f t="shared" si="1154"/>
        <v>0</v>
      </c>
      <c r="S1677" s="192"/>
      <c r="T1677" s="192"/>
      <c r="U1677" s="192"/>
    </row>
    <row r="1678" spans="1:21" s="159" customFormat="1">
      <c r="A1678" s="11" t="s">
        <v>97</v>
      </c>
      <c r="B1678" s="25" t="s">
        <v>536</v>
      </c>
      <c r="C1678" s="26" t="s">
        <v>53</v>
      </c>
      <c r="D1678" s="26" t="s">
        <v>25</v>
      </c>
      <c r="E1678" s="26" t="s">
        <v>550</v>
      </c>
      <c r="F1678" s="26" t="s">
        <v>118</v>
      </c>
      <c r="G1678" s="27">
        <f>SUM(G1679:G1680)</f>
        <v>201710</v>
      </c>
      <c r="H1678" s="27">
        <f>SUM(H1679:H1680)</f>
        <v>201710</v>
      </c>
      <c r="I1678" s="27">
        <f>SUM(I1679:I1680)</f>
        <v>201710</v>
      </c>
      <c r="J1678" s="16">
        <f>'БА в тыс. руб.'!G1678*1000</f>
        <v>201710</v>
      </c>
      <c r="K1678" s="172">
        <f t="shared" si="1152"/>
        <v>0</v>
      </c>
      <c r="L1678" s="16">
        <f>'БА в тыс. руб.'!H1678*1000</f>
        <v>201710</v>
      </c>
      <c r="M1678" s="172">
        <f t="shared" si="1153"/>
        <v>0</v>
      </c>
      <c r="N1678" s="16">
        <f>'БА в тыс. руб.'!I1678*1000</f>
        <v>201710</v>
      </c>
      <c r="O1678" s="172">
        <f t="shared" si="1154"/>
        <v>0</v>
      </c>
      <c r="S1678" s="192"/>
      <c r="T1678" s="192"/>
      <c r="U1678" s="192"/>
    </row>
    <row r="1679" spans="1:21" s="159" customFormat="1">
      <c r="A1679" s="11" t="s">
        <v>1036</v>
      </c>
      <c r="B1679" s="25" t="s">
        <v>536</v>
      </c>
      <c r="C1679" s="26" t="s">
        <v>53</v>
      </c>
      <c r="D1679" s="26" t="s">
        <v>25</v>
      </c>
      <c r="E1679" s="26" t="s">
        <v>550</v>
      </c>
      <c r="F1679" s="26" t="s">
        <v>1061</v>
      </c>
      <c r="G1679" s="27">
        <f t="shared" ref="G1679:G1680" si="1157">J1679</f>
        <v>172710</v>
      </c>
      <c r="H1679" s="27">
        <f t="shared" ref="H1679:H1680" si="1158">L1679</f>
        <v>172710</v>
      </c>
      <c r="I1679" s="27">
        <f t="shared" ref="I1679:I1680" si="1159">N1679</f>
        <v>172710</v>
      </c>
      <c r="J1679" s="16">
        <f>'БА в тыс. руб.'!G1679*1000</f>
        <v>172710</v>
      </c>
      <c r="K1679" s="172">
        <f t="shared" si="1152"/>
        <v>0</v>
      </c>
      <c r="L1679" s="16">
        <f>'БА в тыс. руб.'!H1679*1000</f>
        <v>172710</v>
      </c>
      <c r="M1679" s="172">
        <f t="shared" si="1153"/>
        <v>0</v>
      </c>
      <c r="N1679" s="16">
        <f>'БА в тыс. руб.'!I1679*1000</f>
        <v>172710</v>
      </c>
      <c r="O1679" s="172">
        <f t="shared" si="1154"/>
        <v>0</v>
      </c>
      <c r="S1679" s="192"/>
      <c r="T1679" s="192"/>
      <c r="U1679" s="192"/>
    </row>
    <row r="1680" spans="1:21" s="159" customFormat="1">
      <c r="A1680" s="11" t="s">
        <v>1037</v>
      </c>
      <c r="B1680" s="25" t="s">
        <v>536</v>
      </c>
      <c r="C1680" s="26" t="s">
        <v>53</v>
      </c>
      <c r="D1680" s="26" t="s">
        <v>25</v>
      </c>
      <c r="E1680" s="26" t="s">
        <v>550</v>
      </c>
      <c r="F1680" s="26" t="s">
        <v>1062</v>
      </c>
      <c r="G1680" s="27">
        <f t="shared" si="1157"/>
        <v>29000</v>
      </c>
      <c r="H1680" s="27">
        <f t="shared" si="1158"/>
        <v>29000</v>
      </c>
      <c r="I1680" s="27">
        <f t="shared" si="1159"/>
        <v>29000</v>
      </c>
      <c r="J1680" s="16">
        <f>'БА в тыс. руб.'!G1680*1000</f>
        <v>29000</v>
      </c>
      <c r="K1680" s="172">
        <f t="shared" si="1152"/>
        <v>0</v>
      </c>
      <c r="L1680" s="16">
        <f>'БА в тыс. руб.'!H1680*1000</f>
        <v>29000</v>
      </c>
      <c r="M1680" s="172">
        <f t="shared" si="1153"/>
        <v>0</v>
      </c>
      <c r="N1680" s="16">
        <f>'БА в тыс. руб.'!I1680*1000</f>
        <v>29000</v>
      </c>
      <c r="O1680" s="172">
        <f t="shared" si="1154"/>
        <v>0</v>
      </c>
      <c r="S1680" s="192"/>
      <c r="T1680" s="192"/>
      <c r="U1680" s="192"/>
    </row>
    <row r="1681" spans="1:21" s="3" customFormat="1" ht="25.5">
      <c r="A1681" s="152" t="s">
        <v>126</v>
      </c>
      <c r="B1681" s="25" t="s">
        <v>536</v>
      </c>
      <c r="C1681" s="26" t="s">
        <v>53</v>
      </c>
      <c r="D1681" s="26" t="s">
        <v>25</v>
      </c>
      <c r="E1681" s="26" t="s">
        <v>551</v>
      </c>
      <c r="F1681" s="26" t="s">
        <v>58</v>
      </c>
      <c r="G1681" s="27">
        <f>G1682</f>
        <v>13576550</v>
      </c>
      <c r="H1681" s="27">
        <f>H1682</f>
        <v>13576550</v>
      </c>
      <c r="I1681" s="27">
        <f>I1682</f>
        <v>13576550</v>
      </c>
      <c r="J1681" s="16">
        <f>'БА в тыс. руб.'!G1681*1000</f>
        <v>13576550</v>
      </c>
      <c r="K1681" s="169">
        <f t="shared" si="1152"/>
        <v>0</v>
      </c>
      <c r="L1681" s="16">
        <f>'БА в тыс. руб.'!H1681*1000</f>
        <v>13576550</v>
      </c>
      <c r="M1681" s="169">
        <f t="shared" si="1153"/>
        <v>0</v>
      </c>
      <c r="N1681" s="16">
        <f>'БА в тыс. руб.'!I1681*1000</f>
        <v>13576550</v>
      </c>
      <c r="O1681" s="169">
        <f t="shared" si="1154"/>
        <v>0</v>
      </c>
      <c r="S1681" s="30"/>
      <c r="T1681" s="30"/>
      <c r="U1681" s="30"/>
    </row>
    <row r="1682" spans="1:21" s="3" customFormat="1" ht="25.5">
      <c r="A1682" s="11" t="s">
        <v>107</v>
      </c>
      <c r="B1682" s="25" t="s">
        <v>536</v>
      </c>
      <c r="C1682" s="26" t="s">
        <v>53</v>
      </c>
      <c r="D1682" s="26" t="s">
        <v>25</v>
      </c>
      <c r="E1682" s="26" t="s">
        <v>551</v>
      </c>
      <c r="F1682" s="26" t="s">
        <v>115</v>
      </c>
      <c r="G1682" s="27">
        <f>SUM(G1683:G1684)</f>
        <v>13576550</v>
      </c>
      <c r="H1682" s="27">
        <f t="shared" ref="H1682:I1682" si="1160">SUM(H1683:H1684)</f>
        <v>13576550</v>
      </c>
      <c r="I1682" s="27">
        <f t="shared" si="1160"/>
        <v>13576550</v>
      </c>
      <c r="J1682" s="16">
        <f>'БА в тыс. руб.'!G1682*1000</f>
        <v>13576550</v>
      </c>
      <c r="K1682" s="169">
        <f t="shared" si="1152"/>
        <v>0</v>
      </c>
      <c r="L1682" s="16">
        <f>'БА в тыс. руб.'!H1682*1000</f>
        <v>13576550</v>
      </c>
      <c r="M1682" s="169">
        <f t="shared" si="1153"/>
        <v>0</v>
      </c>
      <c r="N1682" s="16">
        <f>'БА в тыс. руб.'!I1682*1000</f>
        <v>13576550</v>
      </c>
      <c r="O1682" s="169">
        <f t="shared" si="1154"/>
        <v>0</v>
      </c>
      <c r="S1682" s="30"/>
      <c r="T1682" s="30"/>
      <c r="U1682" s="30"/>
    </row>
    <row r="1683" spans="1:21" s="94" customFormat="1">
      <c r="A1683" s="12" t="s">
        <v>936</v>
      </c>
      <c r="B1683" s="25" t="s">
        <v>536</v>
      </c>
      <c r="C1683" s="26" t="s">
        <v>53</v>
      </c>
      <c r="D1683" s="26" t="s">
        <v>25</v>
      </c>
      <c r="E1683" s="26" t="s">
        <v>551</v>
      </c>
      <c r="F1683" s="26" t="s">
        <v>1063</v>
      </c>
      <c r="G1683" s="27">
        <f t="shared" ref="G1683:G1684" si="1161">J1683</f>
        <v>10427460</v>
      </c>
      <c r="H1683" s="27">
        <f t="shared" ref="H1683:H1684" si="1162">L1683</f>
        <v>10427460</v>
      </c>
      <c r="I1683" s="27">
        <f t="shared" ref="I1683:I1684" si="1163">N1683</f>
        <v>10427460</v>
      </c>
      <c r="J1683" s="16">
        <f>'БА в тыс. руб.'!G1683*1000</f>
        <v>10427460</v>
      </c>
      <c r="K1683" s="169">
        <f t="shared" si="1152"/>
        <v>0</v>
      </c>
      <c r="L1683" s="16">
        <f>'БА в тыс. руб.'!H1683*1000</f>
        <v>10427460</v>
      </c>
      <c r="M1683" s="169">
        <f t="shared" si="1153"/>
        <v>0</v>
      </c>
      <c r="N1683" s="16">
        <f>'БА в тыс. руб.'!I1683*1000</f>
        <v>10427460</v>
      </c>
      <c r="O1683" s="169">
        <f t="shared" si="1154"/>
        <v>0</v>
      </c>
      <c r="S1683" s="103"/>
      <c r="T1683" s="103"/>
      <c r="U1683" s="103"/>
    </row>
    <row r="1684" spans="1:21" s="94" customFormat="1" ht="38.25">
      <c r="A1684" s="12" t="s">
        <v>939</v>
      </c>
      <c r="B1684" s="25" t="s">
        <v>536</v>
      </c>
      <c r="C1684" s="26" t="s">
        <v>53</v>
      </c>
      <c r="D1684" s="26" t="s">
        <v>25</v>
      </c>
      <c r="E1684" s="26" t="s">
        <v>551</v>
      </c>
      <c r="F1684" s="26" t="s">
        <v>1060</v>
      </c>
      <c r="G1684" s="27">
        <f t="shared" si="1161"/>
        <v>3149090</v>
      </c>
      <c r="H1684" s="27">
        <f t="shared" si="1162"/>
        <v>3149090</v>
      </c>
      <c r="I1684" s="27">
        <f t="shared" si="1163"/>
        <v>3149090</v>
      </c>
      <c r="J1684" s="16">
        <f>'БА в тыс. руб.'!G1684*1000</f>
        <v>3149090</v>
      </c>
      <c r="K1684" s="169">
        <f t="shared" si="1152"/>
        <v>0</v>
      </c>
      <c r="L1684" s="16">
        <f>'БА в тыс. руб.'!H1684*1000</f>
        <v>3149090</v>
      </c>
      <c r="M1684" s="169">
        <f t="shared" si="1153"/>
        <v>0</v>
      </c>
      <c r="N1684" s="16">
        <f>'БА в тыс. руб.'!I1684*1000</f>
        <v>3149090</v>
      </c>
      <c r="O1684" s="169">
        <f t="shared" si="1154"/>
        <v>0</v>
      </c>
      <c r="S1684" s="103"/>
      <c r="T1684" s="103"/>
      <c r="U1684" s="103"/>
    </row>
    <row r="1685" spans="1:21" s="71" customFormat="1" ht="16.899999999999999" customHeight="1">
      <c r="A1685" s="79"/>
      <c r="B1685" s="92"/>
      <c r="C1685" s="70"/>
      <c r="D1685" s="70"/>
      <c r="E1685" s="70"/>
      <c r="F1685" s="70"/>
      <c r="G1685" s="27"/>
      <c r="H1685" s="27"/>
      <c r="I1685" s="27"/>
      <c r="J1685" s="16">
        <f>'БА в тыс. руб.'!G1685*1000</f>
        <v>0</v>
      </c>
      <c r="K1685" s="169">
        <f t="shared" si="1152"/>
        <v>0</v>
      </c>
      <c r="L1685" s="16">
        <f>'БА в тыс. руб.'!H1685*1000</f>
        <v>0</v>
      </c>
      <c r="M1685" s="169">
        <f t="shared" si="1153"/>
        <v>0</v>
      </c>
      <c r="N1685" s="16">
        <f>'БА в тыс. руб.'!I1685*1000</f>
        <v>0</v>
      </c>
      <c r="O1685" s="169">
        <f t="shared" si="1154"/>
        <v>0</v>
      </c>
      <c r="S1685" s="181"/>
      <c r="T1685" s="181"/>
      <c r="U1685" s="181"/>
    </row>
    <row r="1686" spans="1:21" s="3" customFormat="1">
      <c r="A1686" s="28" t="s">
        <v>127</v>
      </c>
      <c r="B1686" s="14" t="s">
        <v>707</v>
      </c>
      <c r="C1686" s="15" t="s">
        <v>51</v>
      </c>
      <c r="D1686" s="15" t="s">
        <v>51</v>
      </c>
      <c r="E1686" s="15" t="s">
        <v>196</v>
      </c>
      <c r="F1686" s="15" t="s">
        <v>58</v>
      </c>
      <c r="G1686" s="29">
        <f t="shared" ref="G1686:I1689" si="1164">G1687</f>
        <v>13430300</v>
      </c>
      <c r="H1686" s="29">
        <f t="shared" si="1164"/>
        <v>13442180</v>
      </c>
      <c r="I1686" s="29">
        <f t="shared" si="1164"/>
        <v>13442180</v>
      </c>
      <c r="J1686" s="16">
        <f>'БА в тыс. руб.'!G1686*1000</f>
        <v>13430300.000000002</v>
      </c>
      <c r="K1686" s="169">
        <f t="shared" si="1152"/>
        <v>0</v>
      </c>
      <c r="L1686" s="16">
        <f>'БА в тыс. руб.'!H1686*1000</f>
        <v>13442180</v>
      </c>
      <c r="M1686" s="169">
        <f t="shared" si="1153"/>
        <v>0</v>
      </c>
      <c r="N1686" s="16">
        <f>'БА в тыс. руб.'!I1686*1000</f>
        <v>13442180</v>
      </c>
      <c r="O1686" s="169">
        <f t="shared" si="1154"/>
        <v>0</v>
      </c>
      <c r="S1686" s="30"/>
      <c r="T1686" s="30"/>
      <c r="U1686" s="30"/>
    </row>
    <row r="1687" spans="1:21" s="3" customFormat="1">
      <c r="A1687" s="17" t="s">
        <v>64</v>
      </c>
      <c r="B1687" s="18" t="s">
        <v>707</v>
      </c>
      <c r="C1687" s="19" t="s">
        <v>65</v>
      </c>
      <c r="D1687" s="19" t="s">
        <v>51</v>
      </c>
      <c r="E1687" s="19" t="s">
        <v>196</v>
      </c>
      <c r="F1687" s="19" t="s">
        <v>58</v>
      </c>
      <c r="G1687" s="20">
        <f t="shared" si="1164"/>
        <v>13430300</v>
      </c>
      <c r="H1687" s="20">
        <f t="shared" si="1164"/>
        <v>13442180</v>
      </c>
      <c r="I1687" s="20">
        <f t="shared" si="1164"/>
        <v>13442180</v>
      </c>
      <c r="J1687" s="16">
        <f>'БА в тыс. руб.'!G1687*1000</f>
        <v>13430300.000000002</v>
      </c>
      <c r="K1687" s="169">
        <f t="shared" si="1152"/>
        <v>0</v>
      </c>
      <c r="L1687" s="16">
        <f>'БА в тыс. руб.'!H1687*1000</f>
        <v>13442180</v>
      </c>
      <c r="M1687" s="169">
        <f t="shared" si="1153"/>
        <v>0</v>
      </c>
      <c r="N1687" s="16">
        <f>'БА в тыс. руб.'!I1687*1000</f>
        <v>13442180</v>
      </c>
      <c r="O1687" s="169">
        <f t="shared" si="1154"/>
        <v>0</v>
      </c>
      <c r="S1687" s="30"/>
      <c r="T1687" s="30"/>
      <c r="U1687" s="30"/>
    </row>
    <row r="1688" spans="1:21" s="3" customFormat="1" ht="25.5">
      <c r="A1688" s="21" t="s">
        <v>32</v>
      </c>
      <c r="B1688" s="22" t="s">
        <v>707</v>
      </c>
      <c r="C1688" s="23" t="s">
        <v>65</v>
      </c>
      <c r="D1688" s="23" t="s">
        <v>2</v>
      </c>
      <c r="E1688" s="23" t="s">
        <v>196</v>
      </c>
      <c r="F1688" s="23" t="s">
        <v>58</v>
      </c>
      <c r="G1688" s="24">
        <f t="shared" si="1164"/>
        <v>13430300</v>
      </c>
      <c r="H1688" s="24">
        <f t="shared" si="1164"/>
        <v>13442180</v>
      </c>
      <c r="I1688" s="24">
        <f t="shared" si="1164"/>
        <v>13442180</v>
      </c>
      <c r="J1688" s="16">
        <f>'БА в тыс. руб.'!G1688*1000</f>
        <v>13430300.000000002</v>
      </c>
      <c r="K1688" s="169">
        <f t="shared" si="1152"/>
        <v>0</v>
      </c>
      <c r="L1688" s="16">
        <f>'БА в тыс. руб.'!H1688*1000</f>
        <v>13442180</v>
      </c>
      <c r="M1688" s="169">
        <f t="shared" si="1153"/>
        <v>0</v>
      </c>
      <c r="N1688" s="16">
        <f>'БА в тыс. руб.'!I1688*1000</f>
        <v>13442180</v>
      </c>
      <c r="O1688" s="169">
        <f t="shared" si="1154"/>
        <v>0</v>
      </c>
      <c r="S1688" s="30"/>
      <c r="T1688" s="30"/>
      <c r="U1688" s="30"/>
    </row>
    <row r="1689" spans="1:21" s="3" customFormat="1" ht="26.25">
      <c r="A1689" s="10" t="s">
        <v>712</v>
      </c>
      <c r="B1689" s="25" t="s">
        <v>707</v>
      </c>
      <c r="C1689" s="26" t="s">
        <v>65</v>
      </c>
      <c r="D1689" s="26" t="s">
        <v>2</v>
      </c>
      <c r="E1689" s="26" t="s">
        <v>710</v>
      </c>
      <c r="F1689" s="26" t="s">
        <v>58</v>
      </c>
      <c r="G1689" s="27">
        <f t="shared" si="1164"/>
        <v>13430300</v>
      </c>
      <c r="H1689" s="27">
        <f t="shared" si="1164"/>
        <v>13442180</v>
      </c>
      <c r="I1689" s="27">
        <f t="shared" si="1164"/>
        <v>13442180</v>
      </c>
      <c r="J1689" s="16">
        <f>'БА в тыс. руб.'!G1689*1000</f>
        <v>13430300.000000002</v>
      </c>
      <c r="K1689" s="169">
        <f t="shared" si="1152"/>
        <v>0</v>
      </c>
      <c r="L1689" s="16">
        <f>'БА в тыс. руб.'!H1689*1000</f>
        <v>13442180</v>
      </c>
      <c r="M1689" s="169">
        <f t="shared" si="1153"/>
        <v>0</v>
      </c>
      <c r="N1689" s="16">
        <f>'БА в тыс. руб.'!I1689*1000</f>
        <v>13442180</v>
      </c>
      <c r="O1689" s="169">
        <f t="shared" si="1154"/>
        <v>0</v>
      </c>
      <c r="S1689" s="30"/>
      <c r="T1689" s="30"/>
      <c r="U1689" s="30"/>
    </row>
    <row r="1690" spans="1:21" s="3" customFormat="1" ht="26.25">
      <c r="A1690" s="10" t="s">
        <v>711</v>
      </c>
      <c r="B1690" s="25" t="s">
        <v>707</v>
      </c>
      <c r="C1690" s="26" t="s">
        <v>65</v>
      </c>
      <c r="D1690" s="26" t="s">
        <v>2</v>
      </c>
      <c r="E1690" s="26" t="s">
        <v>708</v>
      </c>
      <c r="F1690" s="26" t="s">
        <v>58</v>
      </c>
      <c r="G1690" s="27">
        <f>G1691+G1699</f>
        <v>13430300</v>
      </c>
      <c r="H1690" s="27">
        <f>H1691+H1699</f>
        <v>13442180</v>
      </c>
      <c r="I1690" s="27">
        <f>I1691+I1699</f>
        <v>13442180</v>
      </c>
      <c r="J1690" s="16">
        <f>'БА в тыс. руб.'!G1690*1000</f>
        <v>13430300.000000002</v>
      </c>
      <c r="K1690" s="169">
        <f t="shared" si="1152"/>
        <v>0</v>
      </c>
      <c r="L1690" s="16">
        <f>'БА в тыс. руб.'!H1690*1000</f>
        <v>13442180</v>
      </c>
      <c r="M1690" s="169">
        <f t="shared" si="1153"/>
        <v>0</v>
      </c>
      <c r="N1690" s="16">
        <f>'БА в тыс. руб.'!I1690*1000</f>
        <v>13442180</v>
      </c>
      <c r="O1690" s="169">
        <f t="shared" si="1154"/>
        <v>0</v>
      </c>
      <c r="S1690" s="30"/>
      <c r="T1690" s="30"/>
      <c r="U1690" s="30"/>
    </row>
    <row r="1691" spans="1:21" s="3" customFormat="1" ht="25.5">
      <c r="A1691" s="11" t="s">
        <v>114</v>
      </c>
      <c r="B1691" s="25" t="s">
        <v>707</v>
      </c>
      <c r="C1691" s="26" t="s">
        <v>65</v>
      </c>
      <c r="D1691" s="26" t="s">
        <v>2</v>
      </c>
      <c r="E1691" s="26" t="s">
        <v>709</v>
      </c>
      <c r="F1691" s="26" t="s">
        <v>58</v>
      </c>
      <c r="G1691" s="27">
        <f>G1692+G1695+G1697</f>
        <v>2962510</v>
      </c>
      <c r="H1691" s="27">
        <f t="shared" ref="H1691:I1691" si="1165">H1692+H1695+H1697</f>
        <v>2974390</v>
      </c>
      <c r="I1691" s="27">
        <f t="shared" si="1165"/>
        <v>2974390</v>
      </c>
      <c r="J1691" s="16">
        <f>'БА в тыс. руб.'!G1691*1000</f>
        <v>2962510</v>
      </c>
      <c r="K1691" s="169">
        <f t="shared" si="1152"/>
        <v>0</v>
      </c>
      <c r="L1691" s="16">
        <f>'БА в тыс. руб.'!H1691*1000</f>
        <v>2974390.0000000005</v>
      </c>
      <c r="M1691" s="169">
        <f t="shared" si="1153"/>
        <v>0</v>
      </c>
      <c r="N1691" s="16">
        <f>'БА в тыс. руб.'!I1691*1000</f>
        <v>2974390.0000000005</v>
      </c>
      <c r="O1691" s="169">
        <f t="shared" si="1154"/>
        <v>0</v>
      </c>
      <c r="S1691" s="30"/>
      <c r="T1691" s="30"/>
      <c r="U1691" s="30"/>
    </row>
    <row r="1692" spans="1:21" s="3" customFormat="1" ht="25.5">
      <c r="A1692" s="12" t="s">
        <v>107</v>
      </c>
      <c r="B1692" s="25" t="s">
        <v>707</v>
      </c>
      <c r="C1692" s="26" t="s">
        <v>65</v>
      </c>
      <c r="D1692" s="26" t="s">
        <v>2</v>
      </c>
      <c r="E1692" s="26" t="s">
        <v>709</v>
      </c>
      <c r="F1692" s="26" t="s">
        <v>115</v>
      </c>
      <c r="G1692" s="27">
        <f>SUM(G1693:G1694)</f>
        <v>446530</v>
      </c>
      <c r="H1692" s="27">
        <f t="shared" ref="H1692:I1692" si="1166">SUM(H1693:H1694)</f>
        <v>446530</v>
      </c>
      <c r="I1692" s="27">
        <f t="shared" si="1166"/>
        <v>446530</v>
      </c>
      <c r="J1692" s="16">
        <f>'БА в тыс. руб.'!G1692*1000</f>
        <v>446530</v>
      </c>
      <c r="K1692" s="169">
        <f t="shared" si="1152"/>
        <v>0</v>
      </c>
      <c r="L1692" s="16">
        <f>'БА в тыс. руб.'!H1692*1000</f>
        <v>446530</v>
      </c>
      <c r="M1692" s="169">
        <f t="shared" si="1153"/>
        <v>0</v>
      </c>
      <c r="N1692" s="16">
        <f>'БА в тыс. руб.'!I1692*1000</f>
        <v>446530</v>
      </c>
      <c r="O1692" s="169">
        <f t="shared" si="1154"/>
        <v>0</v>
      </c>
      <c r="S1692" s="30"/>
      <c r="T1692" s="30"/>
      <c r="U1692" s="30"/>
    </row>
    <row r="1693" spans="1:21" s="4" customFormat="1" ht="25.5">
      <c r="A1693" s="12" t="s">
        <v>937</v>
      </c>
      <c r="B1693" s="25" t="s">
        <v>707</v>
      </c>
      <c r="C1693" s="26" t="s">
        <v>65</v>
      </c>
      <c r="D1693" s="26" t="s">
        <v>2</v>
      </c>
      <c r="E1693" s="26" t="s">
        <v>709</v>
      </c>
      <c r="F1693" s="26" t="s">
        <v>1059</v>
      </c>
      <c r="G1693" s="27">
        <f t="shared" ref="G1693:G1694" si="1167">J1693</f>
        <v>376500</v>
      </c>
      <c r="H1693" s="27">
        <f t="shared" ref="H1693:H1694" si="1168">L1693</f>
        <v>376500</v>
      </c>
      <c r="I1693" s="27">
        <f t="shared" ref="I1693:I1694" si="1169">N1693</f>
        <v>376500</v>
      </c>
      <c r="J1693" s="16">
        <f>'БА в тыс. руб.'!G1693*1000</f>
        <v>376500</v>
      </c>
      <c r="K1693" s="169">
        <f t="shared" si="1152"/>
        <v>0</v>
      </c>
      <c r="L1693" s="16">
        <f>'БА в тыс. руб.'!H1693*1000</f>
        <v>376500</v>
      </c>
      <c r="M1693" s="169">
        <f t="shared" si="1153"/>
        <v>0</v>
      </c>
      <c r="N1693" s="16">
        <f>'БА в тыс. руб.'!I1693*1000</f>
        <v>376500</v>
      </c>
      <c r="O1693" s="169">
        <f t="shared" si="1154"/>
        <v>0</v>
      </c>
      <c r="S1693" s="83"/>
      <c r="T1693" s="83"/>
      <c r="U1693" s="83"/>
    </row>
    <row r="1694" spans="1:21" s="4" customFormat="1" ht="38.25">
      <c r="A1694" s="12" t="s">
        <v>939</v>
      </c>
      <c r="B1694" s="25" t="s">
        <v>707</v>
      </c>
      <c r="C1694" s="26" t="s">
        <v>65</v>
      </c>
      <c r="D1694" s="26" t="s">
        <v>2</v>
      </c>
      <c r="E1694" s="26" t="s">
        <v>709</v>
      </c>
      <c r="F1694" s="26" t="s">
        <v>1060</v>
      </c>
      <c r="G1694" s="27">
        <f t="shared" si="1167"/>
        <v>70030</v>
      </c>
      <c r="H1694" s="27">
        <f t="shared" si="1168"/>
        <v>70030</v>
      </c>
      <c r="I1694" s="27">
        <f t="shared" si="1169"/>
        <v>70030</v>
      </c>
      <c r="J1694" s="16">
        <f>'БА в тыс. руб.'!G1694*1000</f>
        <v>70030</v>
      </c>
      <c r="K1694" s="169">
        <f t="shared" si="1152"/>
        <v>0</v>
      </c>
      <c r="L1694" s="16">
        <f>'БА в тыс. руб.'!H1694*1000</f>
        <v>70030</v>
      </c>
      <c r="M1694" s="169">
        <f t="shared" si="1153"/>
        <v>0</v>
      </c>
      <c r="N1694" s="16">
        <f>'БА в тыс. руб.'!I1694*1000</f>
        <v>70030</v>
      </c>
      <c r="O1694" s="169">
        <f t="shared" si="1154"/>
        <v>0</v>
      </c>
      <c r="S1694" s="83"/>
      <c r="T1694" s="83"/>
      <c r="U1694" s="83"/>
    </row>
    <row r="1695" spans="1:21" s="3" customFormat="1" ht="25.5">
      <c r="A1695" s="11" t="s">
        <v>108</v>
      </c>
      <c r="B1695" s="25" t="s">
        <v>707</v>
      </c>
      <c r="C1695" s="26" t="s">
        <v>65</v>
      </c>
      <c r="D1695" s="26" t="s">
        <v>2</v>
      </c>
      <c r="E1695" s="26" t="s">
        <v>709</v>
      </c>
      <c r="F1695" s="26" t="s">
        <v>116</v>
      </c>
      <c r="G1695" s="27">
        <f>G1696</f>
        <v>2496980</v>
      </c>
      <c r="H1695" s="27">
        <f t="shared" ref="H1695:I1695" si="1170">H1696</f>
        <v>2508860</v>
      </c>
      <c r="I1695" s="27">
        <f t="shared" si="1170"/>
        <v>2508860</v>
      </c>
      <c r="J1695" s="16">
        <f>'БА в тыс. руб.'!G1695*1000</f>
        <v>2496980</v>
      </c>
      <c r="K1695" s="169">
        <f t="shared" si="1152"/>
        <v>0</v>
      </c>
      <c r="L1695" s="16">
        <f>'БА в тыс. руб.'!H1695*1000</f>
        <v>2508860</v>
      </c>
      <c r="M1695" s="169">
        <f t="shared" si="1153"/>
        <v>0</v>
      </c>
      <c r="N1695" s="16">
        <f>'БА в тыс. руб.'!I1695*1000</f>
        <v>2508860</v>
      </c>
      <c r="O1695" s="169">
        <f t="shared" si="1154"/>
        <v>0</v>
      </c>
      <c r="S1695" s="30"/>
      <c r="T1695" s="30"/>
      <c r="U1695" s="30"/>
    </row>
    <row r="1696" spans="1:21" s="94" customFormat="1" ht="25.5">
      <c r="A1696" s="12" t="s">
        <v>973</v>
      </c>
      <c r="B1696" s="25" t="s">
        <v>707</v>
      </c>
      <c r="C1696" s="26" t="s">
        <v>65</v>
      </c>
      <c r="D1696" s="26" t="s">
        <v>2</v>
      </c>
      <c r="E1696" s="26" t="s">
        <v>709</v>
      </c>
      <c r="F1696" s="26" t="s">
        <v>1043</v>
      </c>
      <c r="G1696" s="27">
        <f t="shared" ref="G1696" si="1171">J1696</f>
        <v>2496980</v>
      </c>
      <c r="H1696" s="27">
        <f>L1696</f>
        <v>2508860</v>
      </c>
      <c r="I1696" s="27">
        <f>N1696</f>
        <v>2508860</v>
      </c>
      <c r="J1696" s="16">
        <f>'БА в тыс. руб.'!G1696*1000</f>
        <v>2496980</v>
      </c>
      <c r="K1696" s="169">
        <f t="shared" si="1152"/>
        <v>0</v>
      </c>
      <c r="L1696" s="16">
        <f>'БА в тыс. руб.'!H1696*1000</f>
        <v>2508860</v>
      </c>
      <c r="M1696" s="169">
        <f t="shared" si="1153"/>
        <v>0</v>
      </c>
      <c r="N1696" s="16">
        <f>'БА в тыс. руб.'!I1696*1000</f>
        <v>2508860</v>
      </c>
      <c r="O1696" s="169">
        <f t="shared" si="1154"/>
        <v>0</v>
      </c>
      <c r="S1696" s="103"/>
      <c r="T1696" s="103"/>
      <c r="U1696" s="103"/>
    </row>
    <row r="1697" spans="1:21" s="3" customFormat="1">
      <c r="A1697" s="11" t="s">
        <v>97</v>
      </c>
      <c r="B1697" s="25" t="s">
        <v>707</v>
      </c>
      <c r="C1697" s="26" t="s">
        <v>65</v>
      </c>
      <c r="D1697" s="26" t="s">
        <v>2</v>
      </c>
      <c r="E1697" s="26" t="s">
        <v>709</v>
      </c>
      <c r="F1697" s="26" t="s">
        <v>118</v>
      </c>
      <c r="G1697" s="27">
        <f>G1698</f>
        <v>19000</v>
      </c>
      <c r="H1697" s="27">
        <f t="shared" ref="H1697:I1697" si="1172">H1698</f>
        <v>19000</v>
      </c>
      <c r="I1697" s="27">
        <f t="shared" si="1172"/>
        <v>19000</v>
      </c>
      <c r="J1697" s="16">
        <f>'БА в тыс. руб.'!G1697*1000</f>
        <v>19000</v>
      </c>
      <c r="K1697" s="169">
        <f t="shared" si="1152"/>
        <v>0</v>
      </c>
      <c r="L1697" s="16">
        <f>'БА в тыс. руб.'!H1697*1000</f>
        <v>19000</v>
      </c>
      <c r="M1697" s="169">
        <f t="shared" si="1153"/>
        <v>0</v>
      </c>
      <c r="N1697" s="16">
        <f>'БА в тыс. руб.'!I1697*1000</f>
        <v>19000</v>
      </c>
      <c r="O1697" s="169">
        <f t="shared" si="1154"/>
        <v>0</v>
      </c>
      <c r="S1697" s="30"/>
      <c r="T1697" s="30"/>
      <c r="U1697" s="30"/>
    </row>
    <row r="1698" spans="1:21" s="4" customFormat="1">
      <c r="A1698" s="12" t="s">
        <v>1038</v>
      </c>
      <c r="B1698" s="25" t="s">
        <v>707</v>
      </c>
      <c r="C1698" s="26" t="s">
        <v>65</v>
      </c>
      <c r="D1698" s="26" t="s">
        <v>2</v>
      </c>
      <c r="E1698" s="26" t="s">
        <v>709</v>
      </c>
      <c r="F1698" s="26" t="s">
        <v>1066</v>
      </c>
      <c r="G1698" s="27">
        <f t="shared" ref="G1698" si="1173">J1698</f>
        <v>19000</v>
      </c>
      <c r="H1698" s="27">
        <f>L1698</f>
        <v>19000</v>
      </c>
      <c r="I1698" s="27">
        <f>N1698</f>
        <v>19000</v>
      </c>
      <c r="J1698" s="16">
        <f>'БА в тыс. руб.'!G1698*1000</f>
        <v>19000</v>
      </c>
      <c r="K1698" s="169">
        <f t="shared" si="1152"/>
        <v>0</v>
      </c>
      <c r="L1698" s="16">
        <f>'БА в тыс. руб.'!H1698*1000</f>
        <v>19000</v>
      </c>
      <c r="M1698" s="169">
        <f t="shared" si="1153"/>
        <v>0</v>
      </c>
      <c r="N1698" s="16">
        <f>'БА в тыс. руб.'!I1698*1000</f>
        <v>19000</v>
      </c>
      <c r="O1698" s="169">
        <f t="shared" si="1154"/>
        <v>0</v>
      </c>
      <c r="S1698" s="83"/>
      <c r="T1698" s="83"/>
      <c r="U1698" s="83"/>
    </row>
    <row r="1699" spans="1:21" s="3" customFormat="1" ht="25.5">
      <c r="A1699" s="11" t="s">
        <v>126</v>
      </c>
      <c r="B1699" s="25" t="s">
        <v>707</v>
      </c>
      <c r="C1699" s="26" t="s">
        <v>65</v>
      </c>
      <c r="D1699" s="26" t="s">
        <v>2</v>
      </c>
      <c r="E1699" s="26" t="s">
        <v>713</v>
      </c>
      <c r="F1699" s="26" t="s">
        <v>58</v>
      </c>
      <c r="G1699" s="27">
        <f>G1700</f>
        <v>10467790</v>
      </c>
      <c r="H1699" s="27">
        <f>H1700</f>
        <v>10467790</v>
      </c>
      <c r="I1699" s="27">
        <f>I1700</f>
        <v>10467790</v>
      </c>
      <c r="J1699" s="16">
        <f>'БА в тыс. руб.'!G1699*1000</f>
        <v>10467790</v>
      </c>
      <c r="K1699" s="169">
        <f t="shared" si="1152"/>
        <v>0</v>
      </c>
      <c r="L1699" s="16">
        <f>'БА в тыс. руб.'!H1699*1000</f>
        <v>10467790</v>
      </c>
      <c r="M1699" s="169">
        <f t="shared" si="1153"/>
        <v>0</v>
      </c>
      <c r="N1699" s="16">
        <f>'БА в тыс. руб.'!I1699*1000</f>
        <v>10467790</v>
      </c>
      <c r="O1699" s="169">
        <f t="shared" si="1154"/>
        <v>0</v>
      </c>
      <c r="S1699" s="30"/>
      <c r="T1699" s="30"/>
      <c r="U1699" s="30"/>
    </row>
    <row r="1700" spans="1:21" s="3" customFormat="1" ht="25.5">
      <c r="A1700" s="11" t="s">
        <v>107</v>
      </c>
      <c r="B1700" s="25" t="s">
        <v>707</v>
      </c>
      <c r="C1700" s="26" t="s">
        <v>65</v>
      </c>
      <c r="D1700" s="26" t="s">
        <v>2</v>
      </c>
      <c r="E1700" s="26" t="s">
        <v>713</v>
      </c>
      <c r="F1700" s="26" t="s">
        <v>115</v>
      </c>
      <c r="G1700" s="27">
        <f>SUM(G1701:G1702)</f>
        <v>10467790</v>
      </c>
      <c r="H1700" s="27">
        <f t="shared" ref="H1700:I1700" si="1174">SUM(H1701:H1702)</f>
        <v>10467790</v>
      </c>
      <c r="I1700" s="27">
        <f t="shared" si="1174"/>
        <v>10467790</v>
      </c>
      <c r="J1700" s="16">
        <f>'БА в тыс. руб.'!G1700*1000</f>
        <v>10467790</v>
      </c>
      <c r="K1700" s="169">
        <f t="shared" si="1152"/>
        <v>0</v>
      </c>
      <c r="L1700" s="16">
        <f>'БА в тыс. руб.'!H1700*1000</f>
        <v>10467790</v>
      </c>
      <c r="M1700" s="169">
        <f t="shared" si="1153"/>
        <v>0</v>
      </c>
      <c r="N1700" s="16">
        <f>'БА в тыс. руб.'!I1700*1000</f>
        <v>10467790</v>
      </c>
      <c r="O1700" s="169">
        <f t="shared" si="1154"/>
        <v>0</v>
      </c>
      <c r="S1700" s="30"/>
      <c r="T1700" s="30"/>
      <c r="U1700" s="30"/>
    </row>
    <row r="1701" spans="1:21" s="3" customFormat="1">
      <c r="A1701" s="11" t="s">
        <v>936</v>
      </c>
      <c r="B1701" s="25" t="s">
        <v>707</v>
      </c>
      <c r="C1701" s="26" t="s">
        <v>65</v>
      </c>
      <c r="D1701" s="26" t="s">
        <v>2</v>
      </c>
      <c r="E1701" s="26" t="s">
        <v>713</v>
      </c>
      <c r="F1701" s="26" t="s">
        <v>1063</v>
      </c>
      <c r="G1701" s="27">
        <f t="shared" ref="G1701:G1702" si="1175">J1701</f>
        <v>8039780</v>
      </c>
      <c r="H1701" s="27">
        <f t="shared" ref="H1701:H1704" si="1176">L1701</f>
        <v>8039780</v>
      </c>
      <c r="I1701" s="27">
        <f t="shared" ref="I1701:I1704" si="1177">N1701</f>
        <v>8039780</v>
      </c>
      <c r="J1701" s="16">
        <f>'БА в тыс. руб.'!G1701*1000</f>
        <v>8039780</v>
      </c>
      <c r="K1701" s="169">
        <f t="shared" si="1152"/>
        <v>0</v>
      </c>
      <c r="L1701" s="16">
        <f>'БА в тыс. руб.'!H1701*1000</f>
        <v>8039780</v>
      </c>
      <c r="M1701" s="169">
        <f t="shared" si="1153"/>
        <v>0</v>
      </c>
      <c r="N1701" s="16">
        <f>'БА в тыс. руб.'!I1701*1000</f>
        <v>8039780</v>
      </c>
      <c r="O1701" s="169">
        <f t="shared" si="1154"/>
        <v>0</v>
      </c>
      <c r="S1701" s="30"/>
      <c r="T1701" s="30"/>
      <c r="U1701" s="30"/>
    </row>
    <row r="1702" spans="1:21" s="3" customFormat="1" ht="38.25">
      <c r="A1702" s="11" t="s">
        <v>939</v>
      </c>
      <c r="B1702" s="25" t="s">
        <v>707</v>
      </c>
      <c r="C1702" s="26" t="s">
        <v>65</v>
      </c>
      <c r="D1702" s="26" t="s">
        <v>2</v>
      </c>
      <c r="E1702" s="26" t="s">
        <v>713</v>
      </c>
      <c r="F1702" s="26" t="s">
        <v>1060</v>
      </c>
      <c r="G1702" s="27">
        <f t="shared" si="1175"/>
        <v>2428010</v>
      </c>
      <c r="H1702" s="27">
        <f t="shared" si="1176"/>
        <v>2428010</v>
      </c>
      <c r="I1702" s="27">
        <f t="shared" si="1177"/>
        <v>2428010</v>
      </c>
      <c r="J1702" s="16">
        <f>'БА в тыс. руб.'!G1702*1000</f>
        <v>2428010</v>
      </c>
      <c r="K1702" s="169">
        <f t="shared" si="1152"/>
        <v>0</v>
      </c>
      <c r="L1702" s="16">
        <f>'БА в тыс. руб.'!H1702*1000</f>
        <v>2428010</v>
      </c>
      <c r="M1702" s="169">
        <f t="shared" si="1153"/>
        <v>0</v>
      </c>
      <c r="N1702" s="16">
        <f>'БА в тыс. руб.'!I1702*1000</f>
        <v>2428010</v>
      </c>
      <c r="O1702" s="169">
        <f t="shared" si="1154"/>
        <v>0</v>
      </c>
      <c r="S1702" s="30"/>
      <c r="T1702" s="30"/>
      <c r="U1702" s="30"/>
    </row>
    <row r="1703" spans="1:21" s="3" customFormat="1">
      <c r="A1703" s="11"/>
      <c r="B1703" s="25"/>
      <c r="C1703" s="26"/>
      <c r="D1703" s="26"/>
      <c r="E1703" s="26"/>
      <c r="F1703" s="26"/>
      <c r="G1703" s="27"/>
      <c r="H1703" s="27"/>
      <c r="I1703" s="27"/>
      <c r="J1703" s="16">
        <f>'БА в тыс. руб.'!G1703*1000</f>
        <v>0</v>
      </c>
      <c r="K1703" s="169">
        <f t="shared" si="1152"/>
        <v>0</v>
      </c>
      <c r="L1703" s="16">
        <f>'БА в тыс. руб.'!H1703*1000</f>
        <v>0</v>
      </c>
      <c r="M1703" s="169">
        <f t="shared" si="1153"/>
        <v>0</v>
      </c>
      <c r="N1703" s="16">
        <f>'БА в тыс. руб.'!I1703*1000</f>
        <v>0</v>
      </c>
      <c r="O1703" s="169">
        <f t="shared" si="1154"/>
        <v>0</v>
      </c>
      <c r="S1703" s="30"/>
      <c r="T1703" s="30"/>
      <c r="U1703" s="30"/>
    </row>
    <row r="1704" spans="1:21" s="3" customFormat="1">
      <c r="A1704" s="11" t="s">
        <v>833</v>
      </c>
      <c r="B1704" s="25"/>
      <c r="C1704" s="26"/>
      <c r="D1704" s="26"/>
      <c r="E1704" s="26"/>
      <c r="F1704" s="26"/>
      <c r="G1704" s="27">
        <v>0</v>
      </c>
      <c r="H1704" s="27">
        <f t="shared" si="1176"/>
        <v>93704760</v>
      </c>
      <c r="I1704" s="27">
        <f t="shared" si="1177"/>
        <v>194788330.00000003</v>
      </c>
      <c r="J1704" s="16">
        <f>'БА в тыс. руб.'!G1704*1000</f>
        <v>0</v>
      </c>
      <c r="K1704" s="169">
        <f t="shared" si="1152"/>
        <v>0</v>
      </c>
      <c r="L1704" s="16">
        <f>'БА в тыс. руб.'!H1704*1000</f>
        <v>93704760</v>
      </c>
      <c r="M1704" s="169">
        <f t="shared" si="1153"/>
        <v>0</v>
      </c>
      <c r="N1704" s="16">
        <f>'БА в тыс. руб.'!I1704*1000</f>
        <v>194788330.00000003</v>
      </c>
      <c r="O1704" s="169">
        <f t="shared" si="1154"/>
        <v>0</v>
      </c>
      <c r="S1704" s="30"/>
      <c r="T1704" s="30"/>
      <c r="U1704" s="30"/>
    </row>
    <row r="1705" spans="1:21" s="3" customFormat="1">
      <c r="A1705" s="160"/>
      <c r="B1705" s="25"/>
      <c r="C1705" s="26"/>
      <c r="D1705" s="26"/>
      <c r="E1705" s="26"/>
      <c r="F1705" s="26"/>
      <c r="G1705" s="27"/>
      <c r="H1705" s="27"/>
      <c r="I1705" s="27"/>
      <c r="J1705" s="27"/>
      <c r="K1705" s="169">
        <f t="shared" si="1152"/>
        <v>0</v>
      </c>
      <c r="L1705" s="27"/>
      <c r="M1705" s="169">
        <f t="shared" si="1153"/>
        <v>0</v>
      </c>
      <c r="N1705" s="16">
        <f>'БА в тыс. руб.'!I1705*1000</f>
        <v>0</v>
      </c>
      <c r="O1705" s="169">
        <f t="shared" si="1154"/>
        <v>0</v>
      </c>
      <c r="S1705" s="30"/>
      <c r="T1705" s="30"/>
      <c r="U1705" s="30"/>
    </row>
    <row r="1706" spans="1:21">
      <c r="A1706" s="9" t="s">
        <v>41</v>
      </c>
      <c r="B1706" s="61"/>
      <c r="C1706" s="15"/>
      <c r="D1706" s="15"/>
      <c r="E1706" s="15"/>
      <c r="F1706" s="15"/>
      <c r="G1706" s="29">
        <f>G5+G62+G275+G344+G390+G431+G632+G814+G1018+G1096+G1182+G1265+G1348+G1613+G1522+G1686+G1704</f>
        <v>8620578340</v>
      </c>
      <c r="H1706" s="29">
        <f>H5+H62+H275+H344+H390+H431+H632+H814+H1018+H1096+H1182+H1265+H1348+H1613+H1522+H1686+H1704</f>
        <v>7084551580</v>
      </c>
      <c r="I1706" s="29">
        <f>I5+I62+I275+I344+I390+I431+I632+I814+I1018+I1096+I1182+I1265+I1348+I1613+I1522+I1686+I1704</f>
        <v>7545819350</v>
      </c>
      <c r="J1706" s="29">
        <f>J5+J62+J275+J344+J390+J431+J632+J814+J1018+J1096+J1182+J1265+J1348+J1613+J1522+J1686+J1704</f>
        <v>8620578340</v>
      </c>
      <c r="K1706" s="169">
        <f t="shared" si="1152"/>
        <v>0</v>
      </c>
      <c r="L1706" s="29">
        <f>L5+L62+L275+L344+L390+L431+L632+L814+L1018+L1096+L1182+L1265+L1348+L1613+L1522+L1686+L1704</f>
        <v>7084551580</v>
      </c>
      <c r="M1706" s="169">
        <f t="shared" si="1153"/>
        <v>0</v>
      </c>
      <c r="N1706" s="29">
        <f>N5+N62+N275+N344+N390+N431+N632+N814+N1018+N1096+N1182+N1265+N1348+N1613+N1522+N1686+N1704</f>
        <v>7545819350</v>
      </c>
      <c r="O1706" s="169">
        <f t="shared" si="1154"/>
        <v>0</v>
      </c>
    </row>
    <row r="1707" spans="1:21">
      <c r="H1707" s="49"/>
      <c r="I1707" s="20"/>
      <c r="J1707" s="20"/>
      <c r="K1707" s="173"/>
      <c r="L1707" s="29"/>
      <c r="M1707" s="169"/>
      <c r="N1707" s="20"/>
      <c r="O1707" s="177"/>
    </row>
    <row r="1708" spans="1:21">
      <c r="H1708" s="49"/>
      <c r="I1708" s="20"/>
      <c r="J1708" s="20"/>
      <c r="K1708" s="173"/>
      <c r="L1708" s="29"/>
      <c r="M1708" s="169"/>
      <c r="N1708" s="20"/>
      <c r="O1708" s="177"/>
    </row>
    <row r="1709" spans="1:21">
      <c r="E1709" s="65"/>
      <c r="F1709" s="65"/>
      <c r="G1709" s="52">
        <f>'БА в тыс. руб.'!G1709*1000</f>
        <v>8620578340.0000019</v>
      </c>
      <c r="H1709" s="52">
        <f>'БА в тыс. руб.'!H1709*1000</f>
        <v>7084551580</v>
      </c>
      <c r="I1709" s="52">
        <f>'БА в тыс. руб.'!I1709*1000</f>
        <v>7545819350.000001</v>
      </c>
      <c r="J1709" s="52"/>
      <c r="K1709" s="174"/>
      <c r="L1709" s="27"/>
      <c r="M1709" s="169"/>
      <c r="N1709" s="52"/>
      <c r="O1709" s="177"/>
    </row>
    <row r="1710" spans="1:21">
      <c r="E1710" s="65"/>
      <c r="F1710" s="65"/>
      <c r="G1710" s="52">
        <f>G1706-G1709</f>
        <v>0</v>
      </c>
      <c r="H1710" s="52">
        <f>H1706-H1709</f>
        <v>0</v>
      </c>
      <c r="I1710" s="52">
        <f>I1706-I1709</f>
        <v>0</v>
      </c>
      <c r="J1710" s="52"/>
      <c r="K1710" s="174"/>
      <c r="L1710" s="27"/>
      <c r="M1710" s="169"/>
      <c r="N1710" s="52"/>
      <c r="O1710" s="177"/>
    </row>
    <row r="1711" spans="1:21">
      <c r="E1711" s="65"/>
      <c r="F1711" s="65"/>
      <c r="G1711" s="52"/>
      <c r="H1711" s="52"/>
      <c r="I1711" s="52"/>
      <c r="J1711" s="52"/>
      <c r="K1711" s="174"/>
      <c r="L1711" s="27"/>
      <c r="M1711" s="177"/>
      <c r="N1711" s="52"/>
      <c r="O1711" s="177"/>
    </row>
    <row r="1712" spans="1:21">
      <c r="E1712" s="65"/>
      <c r="F1712" s="65"/>
      <c r="G1712" s="52"/>
      <c r="H1712" s="52"/>
      <c r="I1712" s="52"/>
      <c r="J1712" s="52"/>
      <c r="K1712" s="174"/>
      <c r="L1712" s="27"/>
      <c r="M1712" s="177"/>
      <c r="N1712" s="52"/>
      <c r="O1712" s="177"/>
    </row>
    <row r="1713" spans="5:15">
      <c r="E1713" s="65"/>
      <c r="F1713" s="65"/>
      <c r="G1713" s="52"/>
      <c r="H1713" s="52"/>
      <c r="I1713" s="52"/>
      <c r="J1713" s="52"/>
      <c r="K1713" s="174"/>
      <c r="L1713" s="27"/>
      <c r="M1713" s="177"/>
      <c r="N1713" s="52"/>
      <c r="O1713" s="177"/>
    </row>
    <row r="1714" spans="5:15">
      <c r="E1714" s="65"/>
      <c r="F1714" s="65"/>
      <c r="G1714" s="52"/>
      <c r="H1714" s="52"/>
      <c r="I1714" s="52"/>
      <c r="J1714" s="52"/>
      <c r="K1714" s="174"/>
      <c r="L1714" s="27"/>
      <c r="M1714" s="177"/>
      <c r="N1714" s="52"/>
      <c r="O1714" s="177"/>
    </row>
    <row r="1715" spans="5:15">
      <c r="E1715" s="65"/>
      <c r="F1715" s="65"/>
      <c r="G1715" s="52"/>
      <c r="H1715" s="52"/>
      <c r="I1715" s="52"/>
      <c r="J1715" s="52"/>
      <c r="K1715" s="174"/>
      <c r="L1715" s="52"/>
      <c r="M1715" s="174"/>
      <c r="N1715" s="52"/>
      <c r="O1715" s="174"/>
    </row>
    <row r="1716" spans="5:15">
      <c r="G1716" s="49"/>
      <c r="H1716" s="49"/>
      <c r="I1716" s="49"/>
      <c r="J1716" s="49"/>
      <c r="K1716" s="175"/>
      <c r="L1716" s="49"/>
      <c r="M1716" s="175"/>
      <c r="N1716" s="49"/>
      <c r="O1716" s="175"/>
    </row>
    <row r="1717" spans="5:15">
      <c r="I1717" s="20"/>
      <c r="J1717" s="20"/>
      <c r="K1717" s="173"/>
      <c r="L1717" s="20"/>
      <c r="M1717" s="173"/>
      <c r="N1717" s="20"/>
      <c r="O1717" s="173"/>
    </row>
  </sheetData>
  <autoFilter ref="A3:O1706"/>
  <pageMargins left="0.59055118110236227" right="0.15748031496062992" top="0.51181102362204722" bottom="0.27559055118110237" header="0.19685039370078741" footer="0.15748031496062992"/>
  <pageSetup paperSize="9" scale="10" fitToHeight="2" orientation="portrait" r:id="rId1"/>
  <headerFooter differentFirst="1" alignWithMargins="0">
    <oddHeader>&amp;C&amp;P</oddHeader>
  </headerFooter>
  <rowBreaks count="1" manualBreakCount="1">
    <brk id="781" max="8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U1717"/>
  <sheetViews>
    <sheetView view="pageBreakPreview" topLeftCell="A1692" zoomScaleNormal="100" zoomScaleSheetLayoutView="100" workbookViewId="0">
      <selection activeCell="G602" sqref="G602:I602"/>
    </sheetView>
  </sheetViews>
  <sheetFormatPr defaultColWidth="8.7265625" defaultRowHeight="15.75"/>
  <cols>
    <col min="1" max="1" width="35.90625" style="6" customWidth="1"/>
    <col min="2" max="2" width="5" style="62" customWidth="1"/>
    <col min="3" max="3" width="3.36328125" style="63" customWidth="1"/>
    <col min="4" max="4" width="3" style="63" customWidth="1"/>
    <col min="5" max="5" width="8.90625" style="63" customWidth="1"/>
    <col min="6" max="6" width="4" style="63" customWidth="1"/>
    <col min="7" max="8" width="11.453125" style="64" bestFit="1" customWidth="1"/>
    <col min="9" max="9" width="11.453125" style="67" bestFit="1" customWidth="1"/>
    <col min="10" max="10" width="10.36328125" style="67" customWidth="1"/>
    <col min="11" max="11" width="10.36328125" style="176" customWidth="1"/>
    <col min="12" max="12" width="10.36328125" style="67" customWidth="1"/>
    <col min="13" max="13" width="10.36328125" style="176" customWidth="1"/>
    <col min="14" max="14" width="10.36328125" style="67" customWidth="1"/>
    <col min="15" max="15" width="10.36328125" style="176" customWidth="1"/>
    <col min="16" max="21" width="10.36328125" style="67" customWidth="1"/>
    <col min="22" max="16384" width="8.7265625" style="5"/>
  </cols>
  <sheetData>
    <row r="1" spans="1:21" s="2" customFormat="1">
      <c r="A1" s="1"/>
      <c r="B1" s="48"/>
      <c r="C1" s="33"/>
      <c r="D1" s="53"/>
      <c r="E1" s="53"/>
      <c r="F1" s="53"/>
      <c r="G1" s="48"/>
      <c r="H1" s="48"/>
      <c r="I1" s="66"/>
      <c r="J1" s="66"/>
      <c r="K1" s="165"/>
      <c r="L1" s="66"/>
      <c r="M1" s="165"/>
      <c r="N1" s="66"/>
      <c r="O1" s="165"/>
      <c r="P1" s="66"/>
      <c r="Q1" s="66"/>
      <c r="R1" s="66"/>
      <c r="S1" s="66"/>
      <c r="T1" s="66"/>
      <c r="U1" s="66"/>
    </row>
    <row r="2" spans="1:21" s="2" customFormat="1" ht="16.5" thickBot="1">
      <c r="A2" s="7"/>
      <c r="B2" s="54"/>
      <c r="C2" s="55"/>
      <c r="D2" s="55"/>
      <c r="F2" s="73"/>
      <c r="G2" s="73"/>
      <c r="H2" s="51"/>
      <c r="I2" s="69" t="s">
        <v>193</v>
      </c>
      <c r="J2" s="78"/>
      <c r="K2" s="166"/>
      <c r="L2" s="78"/>
      <c r="M2" s="166"/>
      <c r="N2" s="78"/>
      <c r="O2" s="166"/>
      <c r="P2" s="78"/>
      <c r="Q2" s="78"/>
      <c r="R2" s="78"/>
      <c r="S2" s="78"/>
      <c r="T2" s="78"/>
      <c r="U2" s="78"/>
    </row>
    <row r="3" spans="1:21" s="2" customFormat="1" ht="67.150000000000006" customHeight="1" thickBot="1">
      <c r="A3" s="75" t="s">
        <v>42</v>
      </c>
      <c r="B3" s="56" t="s">
        <v>43</v>
      </c>
      <c r="C3" s="57" t="s">
        <v>23</v>
      </c>
      <c r="D3" s="57" t="s">
        <v>44</v>
      </c>
      <c r="E3" s="57" t="s">
        <v>45</v>
      </c>
      <c r="F3" s="58" t="s">
        <v>46</v>
      </c>
      <c r="G3" s="59" t="s">
        <v>719</v>
      </c>
      <c r="H3" s="59" t="s">
        <v>720</v>
      </c>
      <c r="I3" s="59" t="s">
        <v>721</v>
      </c>
      <c r="J3" s="59" t="s">
        <v>719</v>
      </c>
      <c r="K3" s="167" t="s">
        <v>59</v>
      </c>
      <c r="L3" s="59" t="s">
        <v>720</v>
      </c>
      <c r="M3" s="167" t="s">
        <v>59</v>
      </c>
      <c r="N3" s="59" t="s">
        <v>721</v>
      </c>
      <c r="O3" s="167" t="s">
        <v>59</v>
      </c>
      <c r="P3" s="59"/>
      <c r="Q3" s="59"/>
      <c r="R3" s="59"/>
      <c r="S3" s="59"/>
      <c r="T3" s="59"/>
      <c r="U3" s="59"/>
    </row>
    <row r="4" spans="1:21" s="68" customFormat="1" ht="16.5" thickBot="1">
      <c r="A4" s="8">
        <v>1</v>
      </c>
      <c r="B4" s="60">
        <v>2</v>
      </c>
      <c r="C4" s="60">
        <v>3</v>
      </c>
      <c r="D4" s="60" t="s">
        <v>552</v>
      </c>
      <c r="E4" s="60">
        <v>5</v>
      </c>
      <c r="F4" s="60">
        <v>6</v>
      </c>
      <c r="G4" s="60">
        <v>7</v>
      </c>
      <c r="H4" s="60">
        <v>8</v>
      </c>
      <c r="I4" s="60">
        <v>9</v>
      </c>
      <c r="J4" s="60">
        <v>7</v>
      </c>
      <c r="K4" s="168"/>
      <c r="L4" s="60">
        <v>8</v>
      </c>
      <c r="M4" s="168"/>
      <c r="N4" s="60">
        <v>9</v>
      </c>
      <c r="O4" s="168"/>
      <c r="P4" s="60"/>
      <c r="Q4" s="60"/>
      <c r="R4" s="60"/>
      <c r="S4" s="60"/>
      <c r="T4" s="60"/>
      <c r="U4" s="60"/>
    </row>
    <row r="5" spans="1:21" s="3" customFormat="1">
      <c r="A5" s="107" t="s">
        <v>47</v>
      </c>
      <c r="B5" s="14" t="s">
        <v>48</v>
      </c>
      <c r="C5" s="15" t="s">
        <v>51</v>
      </c>
      <c r="D5" s="15" t="s">
        <v>51</v>
      </c>
      <c r="E5" s="15" t="s">
        <v>196</v>
      </c>
      <c r="F5" s="15" t="s">
        <v>58</v>
      </c>
      <c r="G5" s="16">
        <f>G6+G48</f>
        <v>55105770</v>
      </c>
      <c r="H5" s="16">
        <f>H6+H48</f>
        <v>55107760</v>
      </c>
      <c r="I5" s="16">
        <f>I6+I48</f>
        <v>55107760</v>
      </c>
      <c r="J5" s="16">
        <f>'БА в тыс. руб.'!G5*1000</f>
        <v>55105770</v>
      </c>
      <c r="K5" s="169">
        <f>J5-G5</f>
        <v>0</v>
      </c>
      <c r="L5" s="16">
        <f>'БА в тыс. руб.'!H5*1000</f>
        <v>55107760</v>
      </c>
      <c r="M5" s="169">
        <f>L5-H5</f>
        <v>0</v>
      </c>
      <c r="N5" s="16">
        <f>'БА в тыс. руб.'!I5*1000</f>
        <v>55107760</v>
      </c>
      <c r="O5" s="169">
        <f>N5-I5</f>
        <v>0</v>
      </c>
      <c r="P5" s="16">
        <v>55105770</v>
      </c>
      <c r="Q5" s="16">
        <v>55107760</v>
      </c>
      <c r="R5" s="16">
        <v>55107760</v>
      </c>
      <c r="S5" s="16">
        <f>G5-P5</f>
        <v>0</v>
      </c>
      <c r="T5" s="16">
        <f>H5-Q5</f>
        <v>0</v>
      </c>
      <c r="U5" s="16">
        <f>I5-R5</f>
        <v>0</v>
      </c>
    </row>
    <row r="6" spans="1:21" s="3" customFormat="1">
      <c r="A6" s="17" t="s">
        <v>64</v>
      </c>
      <c r="B6" s="18" t="s">
        <v>48</v>
      </c>
      <c r="C6" s="19" t="s">
        <v>65</v>
      </c>
      <c r="D6" s="19" t="s">
        <v>51</v>
      </c>
      <c r="E6" s="19" t="s">
        <v>196</v>
      </c>
      <c r="F6" s="19" t="s">
        <v>58</v>
      </c>
      <c r="G6" s="20">
        <f>G7+G42</f>
        <v>48015270</v>
      </c>
      <c r="H6" s="20">
        <f>H7+H42</f>
        <v>48017260</v>
      </c>
      <c r="I6" s="20">
        <f>I7+I42</f>
        <v>48017260</v>
      </c>
      <c r="J6" s="16">
        <f>'БА в тыс. руб.'!G6*1000</f>
        <v>48015270</v>
      </c>
      <c r="K6" s="169">
        <f t="shared" ref="K6:K69" si="0">J6-G6</f>
        <v>0</v>
      </c>
      <c r="L6" s="16">
        <f>'БА в тыс. руб.'!H6*1000</f>
        <v>48017260</v>
      </c>
      <c r="M6" s="169">
        <f t="shared" ref="M6:M69" si="1">L6-H6</f>
        <v>0</v>
      </c>
      <c r="N6" s="16">
        <f>'БА в тыс. руб.'!I6*1000</f>
        <v>48017260</v>
      </c>
      <c r="O6" s="169">
        <f t="shared" ref="O6:O69" si="2">N6-I6</f>
        <v>0</v>
      </c>
      <c r="P6" s="16">
        <v>48015270</v>
      </c>
      <c r="Q6" s="16">
        <v>48017260</v>
      </c>
      <c r="R6" s="16">
        <v>48017260</v>
      </c>
      <c r="S6" s="16">
        <f t="shared" ref="S6:U43" si="3">G6-P6</f>
        <v>0</v>
      </c>
      <c r="T6" s="16">
        <f t="shared" si="3"/>
        <v>0</v>
      </c>
      <c r="U6" s="16">
        <f t="shared" si="3"/>
        <v>0</v>
      </c>
    </row>
    <row r="7" spans="1:21" s="3" customFormat="1" ht="38.25">
      <c r="A7" s="21" t="s">
        <v>56</v>
      </c>
      <c r="B7" s="22" t="s">
        <v>48</v>
      </c>
      <c r="C7" s="23" t="s">
        <v>65</v>
      </c>
      <c r="D7" s="23" t="s">
        <v>53</v>
      </c>
      <c r="E7" s="23" t="s">
        <v>196</v>
      </c>
      <c r="F7" s="23" t="s">
        <v>58</v>
      </c>
      <c r="G7" s="24">
        <f>G8</f>
        <v>47515270</v>
      </c>
      <c r="H7" s="24">
        <f>H8</f>
        <v>47517260</v>
      </c>
      <c r="I7" s="24">
        <f>I8</f>
        <v>47517260</v>
      </c>
      <c r="J7" s="16">
        <f>'БА в тыс. руб.'!G7*1000</f>
        <v>47515270</v>
      </c>
      <c r="K7" s="169">
        <f t="shared" si="0"/>
        <v>0</v>
      </c>
      <c r="L7" s="16">
        <f>'БА в тыс. руб.'!H7*1000</f>
        <v>47517260</v>
      </c>
      <c r="M7" s="169">
        <f t="shared" si="1"/>
        <v>0</v>
      </c>
      <c r="N7" s="16">
        <f>'БА в тыс. руб.'!I7*1000</f>
        <v>47517260</v>
      </c>
      <c r="O7" s="169">
        <f t="shared" si="2"/>
        <v>0</v>
      </c>
      <c r="P7" s="16">
        <v>47515270</v>
      </c>
      <c r="Q7" s="16">
        <v>47517260</v>
      </c>
      <c r="R7" s="16">
        <v>47517260</v>
      </c>
      <c r="S7" s="16">
        <f t="shared" si="3"/>
        <v>0</v>
      </c>
      <c r="T7" s="16">
        <f t="shared" si="3"/>
        <v>0</v>
      </c>
      <c r="U7" s="16">
        <f t="shared" si="3"/>
        <v>0</v>
      </c>
    </row>
    <row r="8" spans="1:21" s="3" customFormat="1">
      <c r="A8" s="11" t="s">
        <v>124</v>
      </c>
      <c r="B8" s="25" t="s">
        <v>48</v>
      </c>
      <c r="C8" s="26" t="s">
        <v>65</v>
      </c>
      <c r="D8" s="26" t="s">
        <v>53</v>
      </c>
      <c r="E8" s="26" t="s">
        <v>197</v>
      </c>
      <c r="F8" s="26" t="s">
        <v>58</v>
      </c>
      <c r="G8" s="27">
        <f>G9+G33+G24</f>
        <v>47515270</v>
      </c>
      <c r="H8" s="27">
        <f>H9+H33+H24</f>
        <v>47517260</v>
      </c>
      <c r="I8" s="27">
        <f>I9+I33+I24</f>
        <v>47517260</v>
      </c>
      <c r="J8" s="16">
        <f>'БА в тыс. руб.'!G8*1000</f>
        <v>47515270</v>
      </c>
      <c r="K8" s="169">
        <f t="shared" si="0"/>
        <v>0</v>
      </c>
      <c r="L8" s="16">
        <f>'БА в тыс. руб.'!H8*1000</f>
        <v>47517260</v>
      </c>
      <c r="M8" s="169">
        <f t="shared" si="1"/>
        <v>0</v>
      </c>
      <c r="N8" s="16">
        <f>'БА в тыс. руб.'!I8*1000</f>
        <v>47517260</v>
      </c>
      <c r="O8" s="169">
        <f t="shared" si="2"/>
        <v>0</v>
      </c>
      <c r="P8" s="16">
        <v>47515270</v>
      </c>
      <c r="Q8" s="16">
        <v>47517260</v>
      </c>
      <c r="R8" s="16">
        <v>47517260</v>
      </c>
      <c r="S8" s="16">
        <f t="shared" si="3"/>
        <v>0</v>
      </c>
      <c r="T8" s="16">
        <f t="shared" si="3"/>
        <v>0</v>
      </c>
      <c r="U8" s="16">
        <f t="shared" si="3"/>
        <v>0</v>
      </c>
    </row>
    <row r="9" spans="1:21" s="3" customFormat="1" ht="25.5">
      <c r="A9" s="11" t="s">
        <v>125</v>
      </c>
      <c r="B9" s="25" t="s">
        <v>48</v>
      </c>
      <c r="C9" s="26" t="s">
        <v>65</v>
      </c>
      <c r="D9" s="26" t="s">
        <v>53</v>
      </c>
      <c r="E9" s="26" t="s">
        <v>200</v>
      </c>
      <c r="F9" s="26" t="s">
        <v>58</v>
      </c>
      <c r="G9" s="27">
        <f>G10+G20</f>
        <v>43813450</v>
      </c>
      <c r="H9" s="27">
        <f>H10+H20</f>
        <v>43815440</v>
      </c>
      <c r="I9" s="27">
        <f>I10+I20</f>
        <v>43815440</v>
      </c>
      <c r="J9" s="16">
        <f>'БА в тыс. руб.'!G9*1000</f>
        <v>43813450</v>
      </c>
      <c r="K9" s="169">
        <f t="shared" si="0"/>
        <v>0</v>
      </c>
      <c r="L9" s="16">
        <f>'БА в тыс. руб.'!H9*1000</f>
        <v>43815440</v>
      </c>
      <c r="M9" s="169">
        <f t="shared" si="1"/>
        <v>0</v>
      </c>
      <c r="N9" s="16">
        <f>'БА в тыс. руб.'!I9*1000</f>
        <v>43815440</v>
      </c>
      <c r="O9" s="169">
        <f t="shared" si="2"/>
        <v>0</v>
      </c>
      <c r="P9" s="16">
        <v>43813450</v>
      </c>
      <c r="Q9" s="16">
        <v>43815440</v>
      </c>
      <c r="R9" s="16">
        <v>43815440</v>
      </c>
      <c r="S9" s="16">
        <f t="shared" si="3"/>
        <v>0</v>
      </c>
      <c r="T9" s="16">
        <f t="shared" si="3"/>
        <v>0</v>
      </c>
      <c r="U9" s="16">
        <f t="shared" si="3"/>
        <v>0</v>
      </c>
    </row>
    <row r="10" spans="1:21" s="3" customFormat="1" ht="25.5">
      <c r="A10" s="11" t="s">
        <v>114</v>
      </c>
      <c r="B10" s="25" t="s">
        <v>48</v>
      </c>
      <c r="C10" s="26" t="s">
        <v>65</v>
      </c>
      <c r="D10" s="26" t="s">
        <v>53</v>
      </c>
      <c r="E10" s="26" t="s">
        <v>201</v>
      </c>
      <c r="F10" s="26" t="s">
        <v>58</v>
      </c>
      <c r="G10" s="27">
        <f>G11+G15+G17</f>
        <v>10533430</v>
      </c>
      <c r="H10" s="27">
        <f>H11+H15+H17</f>
        <v>10535420</v>
      </c>
      <c r="I10" s="27">
        <f>I11+I15+I17</f>
        <v>10535420</v>
      </c>
      <c r="J10" s="16">
        <f>'БА в тыс. руб.'!G10*1000</f>
        <v>10533430</v>
      </c>
      <c r="K10" s="169">
        <f t="shared" si="0"/>
        <v>0</v>
      </c>
      <c r="L10" s="16">
        <f>'БА в тыс. руб.'!H10*1000</f>
        <v>10535420.000000002</v>
      </c>
      <c r="M10" s="169">
        <f t="shared" si="1"/>
        <v>0</v>
      </c>
      <c r="N10" s="16">
        <f>'БА в тыс. руб.'!I10*1000</f>
        <v>10535420.000000002</v>
      </c>
      <c r="O10" s="169">
        <f t="shared" si="2"/>
        <v>0</v>
      </c>
      <c r="P10" s="16">
        <v>10533430</v>
      </c>
      <c r="Q10" s="16">
        <v>10535420</v>
      </c>
      <c r="R10" s="16">
        <v>10535420</v>
      </c>
      <c r="S10" s="16">
        <f t="shared" si="3"/>
        <v>0</v>
      </c>
      <c r="T10" s="16">
        <f t="shared" si="3"/>
        <v>0</v>
      </c>
      <c r="U10" s="16">
        <f t="shared" si="3"/>
        <v>0</v>
      </c>
    </row>
    <row r="11" spans="1:21" s="3" customFormat="1" ht="25.5">
      <c r="A11" s="12" t="s">
        <v>107</v>
      </c>
      <c r="B11" s="25" t="s">
        <v>48</v>
      </c>
      <c r="C11" s="26" t="s">
        <v>65</v>
      </c>
      <c r="D11" s="26" t="s">
        <v>53</v>
      </c>
      <c r="E11" s="26" t="s">
        <v>201</v>
      </c>
      <c r="F11" s="26" t="s">
        <v>115</v>
      </c>
      <c r="G11" s="27">
        <f>SUM(G12:G14)</f>
        <v>3836780</v>
      </c>
      <c r="H11" s="27">
        <f t="shared" ref="H11:I11" si="4">SUM(H12:H14)</f>
        <v>3836780</v>
      </c>
      <c r="I11" s="27">
        <f t="shared" si="4"/>
        <v>3836780</v>
      </c>
      <c r="J11" s="16">
        <f>'БА в тыс. руб.'!G11*1000</f>
        <v>3836779.9999999995</v>
      </c>
      <c r="K11" s="169">
        <f t="shared" si="0"/>
        <v>0</v>
      </c>
      <c r="L11" s="16">
        <f>'БА в тыс. руб.'!H11*1000</f>
        <v>3836779.9999999995</v>
      </c>
      <c r="M11" s="169">
        <f t="shared" si="1"/>
        <v>0</v>
      </c>
      <c r="N11" s="16">
        <f>'БА в тыс. руб.'!I11*1000</f>
        <v>3836779.9999999995</v>
      </c>
      <c r="O11" s="169">
        <f t="shared" si="2"/>
        <v>0</v>
      </c>
      <c r="P11" s="16">
        <v>3836780</v>
      </c>
      <c r="Q11" s="16">
        <v>3836780</v>
      </c>
      <c r="R11" s="16">
        <v>3836780</v>
      </c>
      <c r="S11" s="16">
        <f t="shared" si="3"/>
        <v>0</v>
      </c>
      <c r="T11" s="16">
        <f t="shared" si="3"/>
        <v>0</v>
      </c>
      <c r="U11" s="16">
        <f t="shared" si="3"/>
        <v>0</v>
      </c>
    </row>
    <row r="12" spans="1:21" s="3" customFormat="1" ht="25.5">
      <c r="A12" s="12" t="s">
        <v>937</v>
      </c>
      <c r="B12" s="25" t="s">
        <v>48</v>
      </c>
      <c r="C12" s="26" t="s">
        <v>65</v>
      </c>
      <c r="D12" s="26" t="s">
        <v>53</v>
      </c>
      <c r="E12" s="26" t="s">
        <v>201</v>
      </c>
      <c r="F12" s="26" t="s">
        <v>1059</v>
      </c>
      <c r="G12" s="27">
        <f>J12</f>
        <v>1273000</v>
      </c>
      <c r="H12" s="27">
        <f>L12</f>
        <v>1273000</v>
      </c>
      <c r="I12" s="27">
        <f>N12</f>
        <v>1273000</v>
      </c>
      <c r="J12" s="16">
        <f>'БА в тыс. руб.'!G12*1000</f>
        <v>1273000</v>
      </c>
      <c r="K12" s="169"/>
      <c r="L12" s="16">
        <f>'БА в тыс. руб.'!H12*1000</f>
        <v>1273000</v>
      </c>
      <c r="M12" s="169"/>
      <c r="N12" s="16">
        <f>'БА в тыс. руб.'!I12*1000</f>
        <v>1273000</v>
      </c>
      <c r="O12" s="169"/>
      <c r="P12" s="16">
        <v>1273000</v>
      </c>
      <c r="Q12" s="16">
        <v>1273000</v>
      </c>
      <c r="R12" s="16">
        <v>1273000</v>
      </c>
      <c r="S12" s="16">
        <f t="shared" si="3"/>
        <v>0</v>
      </c>
      <c r="T12" s="16">
        <f t="shared" si="3"/>
        <v>0</v>
      </c>
      <c r="U12" s="16">
        <f t="shared" si="3"/>
        <v>0</v>
      </c>
    </row>
    <row r="13" spans="1:21" s="4" customFormat="1" ht="38.25">
      <c r="A13" s="12" t="s">
        <v>938</v>
      </c>
      <c r="B13" s="25" t="s">
        <v>48</v>
      </c>
      <c r="C13" s="26" t="s">
        <v>65</v>
      </c>
      <c r="D13" s="26" t="s">
        <v>53</v>
      </c>
      <c r="E13" s="26" t="s">
        <v>201</v>
      </c>
      <c r="F13" s="26" t="s">
        <v>1068</v>
      </c>
      <c r="G13" s="27">
        <v>2333124</v>
      </c>
      <c r="H13" s="27">
        <v>2333124</v>
      </c>
      <c r="I13" s="27">
        <v>2333124</v>
      </c>
      <c r="J13" s="16">
        <f>'БА в тыс. руб.'!G13*1000</f>
        <v>2333120</v>
      </c>
      <c r="K13" s="169">
        <f t="shared" si="0"/>
        <v>-4</v>
      </c>
      <c r="L13" s="16">
        <f>'БА в тыс. руб.'!H13*1000</f>
        <v>2333120</v>
      </c>
      <c r="M13" s="169">
        <f t="shared" si="1"/>
        <v>-4</v>
      </c>
      <c r="N13" s="16">
        <f>'БА в тыс. руб.'!I13*1000</f>
        <v>2333120</v>
      </c>
      <c r="O13" s="169">
        <f t="shared" si="2"/>
        <v>-4</v>
      </c>
      <c r="P13" s="16">
        <v>2333124</v>
      </c>
      <c r="Q13" s="16">
        <v>2333124</v>
      </c>
      <c r="R13" s="16">
        <v>2333124</v>
      </c>
      <c r="S13" s="16">
        <f t="shared" si="3"/>
        <v>0</v>
      </c>
      <c r="T13" s="16">
        <f t="shared" si="3"/>
        <v>0</v>
      </c>
      <c r="U13" s="16">
        <f t="shared" si="3"/>
        <v>0</v>
      </c>
    </row>
    <row r="14" spans="1:21" s="4" customFormat="1" ht="38.25">
      <c r="A14" s="12" t="s">
        <v>939</v>
      </c>
      <c r="B14" s="25" t="s">
        <v>48</v>
      </c>
      <c r="C14" s="26" t="s">
        <v>65</v>
      </c>
      <c r="D14" s="26" t="s">
        <v>53</v>
      </c>
      <c r="E14" s="26" t="s">
        <v>201</v>
      </c>
      <c r="F14" s="26" t="s">
        <v>1060</v>
      </c>
      <c r="G14" s="27">
        <v>230656</v>
      </c>
      <c r="H14" s="27">
        <v>230656</v>
      </c>
      <c r="I14" s="27">
        <v>230656</v>
      </c>
      <c r="J14" s="16">
        <f>'БА в тыс. руб.'!G14*1000</f>
        <v>230660</v>
      </c>
      <c r="K14" s="169">
        <f t="shared" si="0"/>
        <v>4</v>
      </c>
      <c r="L14" s="16">
        <f>'БА в тыс. руб.'!H14*1000</f>
        <v>230660</v>
      </c>
      <c r="M14" s="169">
        <f t="shared" si="1"/>
        <v>4</v>
      </c>
      <c r="N14" s="16">
        <f>'БА в тыс. руб.'!I14*1000</f>
        <v>230660</v>
      </c>
      <c r="O14" s="169">
        <f t="shared" si="2"/>
        <v>4</v>
      </c>
      <c r="P14" s="16">
        <v>230656</v>
      </c>
      <c r="Q14" s="16">
        <v>230656</v>
      </c>
      <c r="R14" s="16">
        <v>230656</v>
      </c>
      <c r="S14" s="16">
        <f t="shared" si="3"/>
        <v>0</v>
      </c>
      <c r="T14" s="16">
        <f t="shared" si="3"/>
        <v>0</v>
      </c>
      <c r="U14" s="16">
        <f t="shared" si="3"/>
        <v>0</v>
      </c>
    </row>
    <row r="15" spans="1:21" s="3" customFormat="1" ht="25.5">
      <c r="A15" s="11" t="s">
        <v>108</v>
      </c>
      <c r="B15" s="25" t="s">
        <v>48</v>
      </c>
      <c r="C15" s="26" t="s">
        <v>65</v>
      </c>
      <c r="D15" s="26" t="s">
        <v>53</v>
      </c>
      <c r="E15" s="26" t="s">
        <v>201</v>
      </c>
      <c r="F15" s="26" t="s">
        <v>116</v>
      </c>
      <c r="G15" s="27">
        <f>G16</f>
        <v>6532610</v>
      </c>
      <c r="H15" s="27">
        <f t="shared" ref="H15:I15" si="5">H16</f>
        <v>6534600</v>
      </c>
      <c r="I15" s="27">
        <f t="shared" si="5"/>
        <v>6534600</v>
      </c>
      <c r="J15" s="16">
        <f>'БА в тыс. руб.'!G15*1000</f>
        <v>6532610</v>
      </c>
      <c r="K15" s="169">
        <f t="shared" si="0"/>
        <v>0</v>
      </c>
      <c r="L15" s="16">
        <f>'БА в тыс. руб.'!H15*1000</f>
        <v>6534600</v>
      </c>
      <c r="M15" s="169">
        <f t="shared" si="1"/>
        <v>0</v>
      </c>
      <c r="N15" s="16">
        <f>'БА в тыс. руб.'!I15*1000</f>
        <v>6534600</v>
      </c>
      <c r="O15" s="169">
        <f t="shared" si="2"/>
        <v>0</v>
      </c>
      <c r="P15" s="16">
        <v>6532610</v>
      </c>
      <c r="Q15" s="16">
        <v>6534600</v>
      </c>
      <c r="R15" s="16">
        <v>6534600</v>
      </c>
      <c r="S15" s="16">
        <f t="shared" si="3"/>
        <v>0</v>
      </c>
      <c r="T15" s="16">
        <f t="shared" si="3"/>
        <v>0</v>
      </c>
      <c r="U15" s="16">
        <f t="shared" si="3"/>
        <v>0</v>
      </c>
    </row>
    <row r="16" spans="1:21" s="4" customFormat="1" ht="25.5">
      <c r="A16" s="12" t="s">
        <v>973</v>
      </c>
      <c r="B16" s="25" t="s">
        <v>48</v>
      </c>
      <c r="C16" s="26" t="s">
        <v>65</v>
      </c>
      <c r="D16" s="26" t="s">
        <v>53</v>
      </c>
      <c r="E16" s="26" t="s">
        <v>201</v>
      </c>
      <c r="F16" s="26" t="s">
        <v>1043</v>
      </c>
      <c r="G16" s="27">
        <f>J16</f>
        <v>6532610</v>
      </c>
      <c r="H16" s="27">
        <f>L16</f>
        <v>6534600</v>
      </c>
      <c r="I16" s="27">
        <f>N16</f>
        <v>6534600</v>
      </c>
      <c r="J16" s="16">
        <f>'БА в тыс. руб.'!G16*1000</f>
        <v>6532610</v>
      </c>
      <c r="K16" s="169">
        <f t="shared" si="0"/>
        <v>0</v>
      </c>
      <c r="L16" s="16">
        <f>'БА в тыс. руб.'!H16*1000</f>
        <v>6534600</v>
      </c>
      <c r="M16" s="169">
        <f t="shared" si="1"/>
        <v>0</v>
      </c>
      <c r="N16" s="16">
        <f>'БА в тыс. руб.'!I16*1000</f>
        <v>6534600</v>
      </c>
      <c r="O16" s="169">
        <f t="shared" si="2"/>
        <v>0</v>
      </c>
      <c r="P16" s="16">
        <v>6532610</v>
      </c>
      <c r="Q16" s="16">
        <v>6534600</v>
      </c>
      <c r="R16" s="16">
        <v>6534600</v>
      </c>
      <c r="S16" s="16">
        <f t="shared" si="3"/>
        <v>0</v>
      </c>
      <c r="T16" s="16">
        <f t="shared" si="3"/>
        <v>0</v>
      </c>
      <c r="U16" s="16">
        <f t="shared" si="3"/>
        <v>0</v>
      </c>
    </row>
    <row r="17" spans="1:21" s="3" customFormat="1">
      <c r="A17" s="11" t="s">
        <v>97</v>
      </c>
      <c r="B17" s="25" t="s">
        <v>48</v>
      </c>
      <c r="C17" s="26" t="s">
        <v>65</v>
      </c>
      <c r="D17" s="26" t="s">
        <v>53</v>
      </c>
      <c r="E17" s="26" t="s">
        <v>201</v>
      </c>
      <c r="F17" s="26" t="s">
        <v>118</v>
      </c>
      <c r="G17" s="27">
        <f>SUM(G18:G19)</f>
        <v>164040</v>
      </c>
      <c r="H17" s="27">
        <f t="shared" ref="H17:I17" si="6">SUM(H18:H19)</f>
        <v>164040</v>
      </c>
      <c r="I17" s="27">
        <f t="shared" si="6"/>
        <v>164040</v>
      </c>
      <c r="J17" s="16">
        <f>'БА в тыс. руб.'!G17*1000</f>
        <v>164040.00000000003</v>
      </c>
      <c r="K17" s="169">
        <f t="shared" si="0"/>
        <v>0</v>
      </c>
      <c r="L17" s="16">
        <f>'БА в тыс. руб.'!H17*1000</f>
        <v>164040.00000000003</v>
      </c>
      <c r="M17" s="169">
        <f t="shared" si="1"/>
        <v>0</v>
      </c>
      <c r="N17" s="16">
        <f>'БА в тыс. руб.'!I17*1000</f>
        <v>164040.00000000003</v>
      </c>
      <c r="O17" s="169">
        <f t="shared" si="2"/>
        <v>0</v>
      </c>
      <c r="P17" s="16">
        <v>164040</v>
      </c>
      <c r="Q17" s="16">
        <v>164040</v>
      </c>
      <c r="R17" s="16">
        <v>164040</v>
      </c>
      <c r="S17" s="16">
        <f t="shared" si="3"/>
        <v>0</v>
      </c>
      <c r="T17" s="16">
        <f t="shared" si="3"/>
        <v>0</v>
      </c>
      <c r="U17" s="16">
        <f t="shared" si="3"/>
        <v>0</v>
      </c>
    </row>
    <row r="18" spans="1:21" s="3" customFormat="1">
      <c r="A18" s="11" t="s">
        <v>1036</v>
      </c>
      <c r="B18" s="25" t="s">
        <v>48</v>
      </c>
      <c r="C18" s="26" t="s">
        <v>65</v>
      </c>
      <c r="D18" s="26" t="s">
        <v>53</v>
      </c>
      <c r="E18" s="26" t="s">
        <v>201</v>
      </c>
      <c r="F18" s="26" t="s">
        <v>1061</v>
      </c>
      <c r="G18" s="27">
        <f t="shared" ref="G18:G19" si="7">J18</f>
        <v>78370</v>
      </c>
      <c r="H18" s="27">
        <f t="shared" ref="H18:H19" si="8">L18</f>
        <v>78370</v>
      </c>
      <c r="I18" s="27">
        <f t="shared" ref="I18:I19" si="9">N18</f>
        <v>78370</v>
      </c>
      <c r="J18" s="16">
        <f>'БА в тыс. руб.'!G18*1000</f>
        <v>78370</v>
      </c>
      <c r="K18" s="169">
        <f t="shared" si="0"/>
        <v>0</v>
      </c>
      <c r="L18" s="16">
        <f>'БА в тыс. руб.'!H18*1000</f>
        <v>78370</v>
      </c>
      <c r="M18" s="169">
        <f t="shared" si="1"/>
        <v>0</v>
      </c>
      <c r="N18" s="16">
        <f>'БА в тыс. руб.'!I18*1000</f>
        <v>78370</v>
      </c>
      <c r="O18" s="169">
        <f t="shared" si="2"/>
        <v>0</v>
      </c>
      <c r="P18" s="16">
        <v>78370</v>
      </c>
      <c r="Q18" s="16">
        <v>78370</v>
      </c>
      <c r="R18" s="16">
        <v>78370</v>
      </c>
      <c r="S18" s="16">
        <f t="shared" si="3"/>
        <v>0</v>
      </c>
      <c r="T18" s="16">
        <f t="shared" si="3"/>
        <v>0</v>
      </c>
      <c r="U18" s="16">
        <f t="shared" si="3"/>
        <v>0</v>
      </c>
    </row>
    <row r="19" spans="1:21" s="3" customFormat="1">
      <c r="A19" s="11" t="s">
        <v>1037</v>
      </c>
      <c r="B19" s="25" t="s">
        <v>48</v>
      </c>
      <c r="C19" s="26" t="s">
        <v>65</v>
      </c>
      <c r="D19" s="26" t="s">
        <v>53</v>
      </c>
      <c r="E19" s="26" t="s">
        <v>201</v>
      </c>
      <c r="F19" s="26" t="s">
        <v>1062</v>
      </c>
      <c r="G19" s="27">
        <f t="shared" si="7"/>
        <v>85670</v>
      </c>
      <c r="H19" s="27">
        <f t="shared" si="8"/>
        <v>85670</v>
      </c>
      <c r="I19" s="27">
        <f t="shared" si="9"/>
        <v>85670</v>
      </c>
      <c r="J19" s="16">
        <f>'БА в тыс. руб.'!G19*1000</f>
        <v>85670</v>
      </c>
      <c r="K19" s="169">
        <f t="shared" si="0"/>
        <v>0</v>
      </c>
      <c r="L19" s="16">
        <f>'БА в тыс. руб.'!H19*1000</f>
        <v>85670</v>
      </c>
      <c r="M19" s="169">
        <f t="shared" si="1"/>
        <v>0</v>
      </c>
      <c r="N19" s="16">
        <f>'БА в тыс. руб.'!I19*1000</f>
        <v>85670</v>
      </c>
      <c r="O19" s="169">
        <f t="shared" si="2"/>
        <v>0</v>
      </c>
      <c r="P19" s="16">
        <v>85670</v>
      </c>
      <c r="Q19" s="16">
        <v>85670</v>
      </c>
      <c r="R19" s="16">
        <v>85670</v>
      </c>
      <c r="S19" s="16">
        <f t="shared" si="3"/>
        <v>0</v>
      </c>
      <c r="T19" s="16">
        <f t="shared" si="3"/>
        <v>0</v>
      </c>
      <c r="U19" s="16">
        <f t="shared" si="3"/>
        <v>0</v>
      </c>
    </row>
    <row r="20" spans="1:21" s="3" customFormat="1" ht="25.5">
      <c r="A20" s="11" t="s">
        <v>126</v>
      </c>
      <c r="B20" s="25" t="s">
        <v>48</v>
      </c>
      <c r="C20" s="26" t="s">
        <v>65</v>
      </c>
      <c r="D20" s="26" t="s">
        <v>53</v>
      </c>
      <c r="E20" s="26" t="s">
        <v>202</v>
      </c>
      <c r="F20" s="26" t="s">
        <v>58</v>
      </c>
      <c r="G20" s="27">
        <f>G21</f>
        <v>33280020</v>
      </c>
      <c r="H20" s="27">
        <f>H21</f>
        <v>33280020</v>
      </c>
      <c r="I20" s="27">
        <f>I21</f>
        <v>33280020</v>
      </c>
      <c r="J20" s="16">
        <f>'БА в тыс. руб.'!G20*1000</f>
        <v>33280019.999999996</v>
      </c>
      <c r="K20" s="169">
        <f t="shared" si="0"/>
        <v>0</v>
      </c>
      <c r="L20" s="16">
        <f>'БА в тыс. руб.'!H20*1000</f>
        <v>33280019.999999996</v>
      </c>
      <c r="M20" s="169">
        <f t="shared" si="1"/>
        <v>0</v>
      </c>
      <c r="N20" s="16">
        <f>'БА в тыс. руб.'!I20*1000</f>
        <v>33280019.999999996</v>
      </c>
      <c r="O20" s="169">
        <f t="shared" si="2"/>
        <v>0</v>
      </c>
      <c r="P20" s="16">
        <v>33280020</v>
      </c>
      <c r="Q20" s="16">
        <v>33280020</v>
      </c>
      <c r="R20" s="16">
        <v>33280020</v>
      </c>
      <c r="S20" s="16">
        <f t="shared" si="3"/>
        <v>0</v>
      </c>
      <c r="T20" s="16">
        <f t="shared" si="3"/>
        <v>0</v>
      </c>
      <c r="U20" s="16">
        <f t="shared" si="3"/>
        <v>0</v>
      </c>
    </row>
    <row r="21" spans="1:21" s="3" customFormat="1" ht="25.5">
      <c r="A21" s="11" t="s">
        <v>107</v>
      </c>
      <c r="B21" s="25" t="s">
        <v>48</v>
      </c>
      <c r="C21" s="26" t="s">
        <v>65</v>
      </c>
      <c r="D21" s="26" t="s">
        <v>53</v>
      </c>
      <c r="E21" s="26" t="s">
        <v>202</v>
      </c>
      <c r="F21" s="26" t="s">
        <v>115</v>
      </c>
      <c r="G21" s="27">
        <f>SUM(G22:G23)</f>
        <v>33280020</v>
      </c>
      <c r="H21" s="27">
        <f t="shared" ref="H21:I21" si="10">SUM(H22:H23)</f>
        <v>33280020</v>
      </c>
      <c r="I21" s="27">
        <f t="shared" si="10"/>
        <v>33280020</v>
      </c>
      <c r="J21" s="16">
        <f>'БА в тыс. руб.'!G21*1000</f>
        <v>33280019.999999996</v>
      </c>
      <c r="K21" s="169">
        <f t="shared" si="0"/>
        <v>0</v>
      </c>
      <c r="L21" s="16">
        <f>'БА в тыс. руб.'!H21*1000</f>
        <v>33280019.999999996</v>
      </c>
      <c r="M21" s="169">
        <f t="shared" si="1"/>
        <v>0</v>
      </c>
      <c r="N21" s="16">
        <f>'БА в тыс. руб.'!I21*1000</f>
        <v>33280019.999999996</v>
      </c>
      <c r="O21" s="169">
        <f t="shared" si="2"/>
        <v>0</v>
      </c>
      <c r="P21" s="16">
        <v>33280020</v>
      </c>
      <c r="Q21" s="16">
        <v>33280020</v>
      </c>
      <c r="R21" s="16">
        <v>33280020</v>
      </c>
      <c r="S21" s="16">
        <f t="shared" si="3"/>
        <v>0</v>
      </c>
      <c r="T21" s="16">
        <f t="shared" si="3"/>
        <v>0</v>
      </c>
      <c r="U21" s="16">
        <f t="shared" si="3"/>
        <v>0</v>
      </c>
    </row>
    <row r="22" spans="1:21" s="3" customFormat="1">
      <c r="A22" s="11" t="s">
        <v>936</v>
      </c>
      <c r="B22" s="25" t="s">
        <v>48</v>
      </c>
      <c r="C22" s="26" t="s">
        <v>65</v>
      </c>
      <c r="D22" s="26" t="s">
        <v>53</v>
      </c>
      <c r="E22" s="26" t="s">
        <v>202</v>
      </c>
      <c r="F22" s="26" t="s">
        <v>1063</v>
      </c>
      <c r="G22" s="27">
        <f t="shared" ref="G22:G23" si="11">J22</f>
        <v>25560710</v>
      </c>
      <c r="H22" s="27">
        <f t="shared" ref="H22:H23" si="12">L22</f>
        <v>25560710</v>
      </c>
      <c r="I22" s="27">
        <f t="shared" ref="I22:I23" si="13">N22</f>
        <v>25560710</v>
      </c>
      <c r="J22" s="16">
        <f>'БА в тыс. руб.'!G22*1000</f>
        <v>25560710</v>
      </c>
      <c r="K22" s="169">
        <f t="shared" si="0"/>
        <v>0</v>
      </c>
      <c r="L22" s="16">
        <f>'БА в тыс. руб.'!H22*1000</f>
        <v>25560710</v>
      </c>
      <c r="M22" s="169">
        <f t="shared" si="1"/>
        <v>0</v>
      </c>
      <c r="N22" s="16">
        <f>'БА в тыс. руб.'!I22*1000</f>
        <v>25560710</v>
      </c>
      <c r="O22" s="169">
        <f t="shared" si="2"/>
        <v>0</v>
      </c>
      <c r="P22" s="16">
        <v>25560710</v>
      </c>
      <c r="Q22" s="16">
        <v>25560710</v>
      </c>
      <c r="R22" s="16">
        <v>25560710</v>
      </c>
      <c r="S22" s="16">
        <f t="shared" si="3"/>
        <v>0</v>
      </c>
      <c r="T22" s="16">
        <f t="shared" si="3"/>
        <v>0</v>
      </c>
      <c r="U22" s="16">
        <f t="shared" si="3"/>
        <v>0</v>
      </c>
    </row>
    <row r="23" spans="1:21" s="3" customFormat="1" ht="38.25">
      <c r="A23" s="11" t="s">
        <v>939</v>
      </c>
      <c r="B23" s="25" t="s">
        <v>48</v>
      </c>
      <c r="C23" s="26" t="s">
        <v>65</v>
      </c>
      <c r="D23" s="26" t="s">
        <v>53</v>
      </c>
      <c r="E23" s="26" t="s">
        <v>202</v>
      </c>
      <c r="F23" s="26" t="s">
        <v>1060</v>
      </c>
      <c r="G23" s="27">
        <f t="shared" si="11"/>
        <v>7719309.9999999991</v>
      </c>
      <c r="H23" s="27">
        <f t="shared" si="12"/>
        <v>7719309.9999999991</v>
      </c>
      <c r="I23" s="27">
        <f t="shared" si="13"/>
        <v>7719309.9999999991</v>
      </c>
      <c r="J23" s="16">
        <f>'БА в тыс. руб.'!G23*1000</f>
        <v>7719309.9999999991</v>
      </c>
      <c r="K23" s="169">
        <f t="shared" si="0"/>
        <v>0</v>
      </c>
      <c r="L23" s="16">
        <f>'БА в тыс. руб.'!H23*1000</f>
        <v>7719309.9999999991</v>
      </c>
      <c r="M23" s="169">
        <f t="shared" si="1"/>
        <v>0</v>
      </c>
      <c r="N23" s="16">
        <f>'БА в тыс. руб.'!I23*1000</f>
        <v>7719309.9999999991</v>
      </c>
      <c r="O23" s="169">
        <f t="shared" si="2"/>
        <v>0</v>
      </c>
      <c r="P23" s="16">
        <v>7719310</v>
      </c>
      <c r="Q23" s="16">
        <v>7719310</v>
      </c>
      <c r="R23" s="16">
        <v>7719310</v>
      </c>
      <c r="S23" s="16">
        <f t="shared" si="3"/>
        <v>0</v>
      </c>
      <c r="T23" s="16">
        <f t="shared" si="3"/>
        <v>0</v>
      </c>
      <c r="U23" s="16">
        <f t="shared" si="3"/>
        <v>0</v>
      </c>
    </row>
    <row r="24" spans="1:21" s="3" customFormat="1" ht="25.5">
      <c r="A24" s="11" t="s">
        <v>831</v>
      </c>
      <c r="B24" s="25" t="s">
        <v>48</v>
      </c>
      <c r="C24" s="26" t="s">
        <v>65</v>
      </c>
      <c r="D24" s="26" t="s">
        <v>53</v>
      </c>
      <c r="E24" s="26" t="s">
        <v>198</v>
      </c>
      <c r="F24" s="26" t="s">
        <v>58</v>
      </c>
      <c r="G24" s="27">
        <f>G29+G25</f>
        <v>1593550</v>
      </c>
      <c r="H24" s="27">
        <f>H29+H25</f>
        <v>1593550</v>
      </c>
      <c r="I24" s="27">
        <f>I29+I25</f>
        <v>1593550</v>
      </c>
      <c r="J24" s="16">
        <f>'БА в тыс. руб.'!G24*1000</f>
        <v>1593550</v>
      </c>
      <c r="K24" s="169">
        <f t="shared" si="0"/>
        <v>0</v>
      </c>
      <c r="L24" s="16">
        <f>'БА в тыс. руб.'!H24*1000</f>
        <v>1593550</v>
      </c>
      <c r="M24" s="169">
        <f t="shared" si="1"/>
        <v>0</v>
      </c>
      <c r="N24" s="16">
        <f>'БА в тыс. руб.'!I24*1000</f>
        <v>1593550</v>
      </c>
      <c r="O24" s="169">
        <f t="shared" si="2"/>
        <v>0</v>
      </c>
      <c r="P24" s="16">
        <v>1593550</v>
      </c>
      <c r="Q24" s="16">
        <v>1593550</v>
      </c>
      <c r="R24" s="16">
        <v>1593550</v>
      </c>
      <c r="S24" s="16">
        <f t="shared" si="3"/>
        <v>0</v>
      </c>
      <c r="T24" s="16">
        <f t="shared" si="3"/>
        <v>0</v>
      </c>
      <c r="U24" s="16">
        <f t="shared" si="3"/>
        <v>0</v>
      </c>
    </row>
    <row r="25" spans="1:21" s="3" customFormat="1" ht="25.5">
      <c r="A25" s="11" t="s">
        <v>114</v>
      </c>
      <c r="B25" s="25" t="s">
        <v>48</v>
      </c>
      <c r="C25" s="26" t="s">
        <v>65</v>
      </c>
      <c r="D25" s="26" t="s">
        <v>53</v>
      </c>
      <c r="E25" s="26" t="s">
        <v>628</v>
      </c>
      <c r="F25" s="26" t="s">
        <v>58</v>
      </c>
      <c r="G25" s="27">
        <f>G26</f>
        <v>41550</v>
      </c>
      <c r="H25" s="27">
        <f>H26</f>
        <v>41550</v>
      </c>
      <c r="I25" s="27">
        <f>I26</f>
        <v>41550</v>
      </c>
      <c r="J25" s="16">
        <f>'БА в тыс. руб.'!G25*1000</f>
        <v>41550</v>
      </c>
      <c r="K25" s="169">
        <f t="shared" si="0"/>
        <v>0</v>
      </c>
      <c r="L25" s="16">
        <f>'БА в тыс. руб.'!H25*1000</f>
        <v>41550</v>
      </c>
      <c r="M25" s="169">
        <f t="shared" si="1"/>
        <v>0</v>
      </c>
      <c r="N25" s="16">
        <f>'БА в тыс. руб.'!I25*1000</f>
        <v>41550</v>
      </c>
      <c r="O25" s="169">
        <f t="shared" si="2"/>
        <v>0</v>
      </c>
      <c r="P25" s="16">
        <v>41550</v>
      </c>
      <c r="Q25" s="16">
        <v>41550</v>
      </c>
      <c r="R25" s="16">
        <v>41550</v>
      </c>
      <c r="S25" s="16">
        <f t="shared" si="3"/>
        <v>0</v>
      </c>
      <c r="T25" s="16">
        <f t="shared" si="3"/>
        <v>0</v>
      </c>
      <c r="U25" s="16">
        <f t="shared" si="3"/>
        <v>0</v>
      </c>
    </row>
    <row r="26" spans="1:21" s="3" customFormat="1" ht="25.5">
      <c r="A26" s="11" t="s">
        <v>107</v>
      </c>
      <c r="B26" s="25" t="s">
        <v>48</v>
      </c>
      <c r="C26" s="26" t="s">
        <v>65</v>
      </c>
      <c r="D26" s="26" t="s">
        <v>53</v>
      </c>
      <c r="E26" s="26" t="s">
        <v>628</v>
      </c>
      <c r="F26" s="26" t="s">
        <v>115</v>
      </c>
      <c r="G26" s="27">
        <f>SUM(G27:G28)</f>
        <v>41550</v>
      </c>
      <c r="H26" s="27">
        <f t="shared" ref="H26:I26" si="14">SUM(H27:H28)</f>
        <v>41550</v>
      </c>
      <c r="I26" s="27">
        <f t="shared" si="14"/>
        <v>41550</v>
      </c>
      <c r="J26" s="16">
        <f>'БА в тыс. руб.'!G26*1000</f>
        <v>41550</v>
      </c>
      <c r="K26" s="169">
        <f t="shared" si="0"/>
        <v>0</v>
      </c>
      <c r="L26" s="16">
        <f>'БА в тыс. руб.'!H26*1000</f>
        <v>41550</v>
      </c>
      <c r="M26" s="169">
        <f t="shared" si="1"/>
        <v>0</v>
      </c>
      <c r="N26" s="16">
        <f>'БА в тыс. руб.'!I26*1000</f>
        <v>41550</v>
      </c>
      <c r="O26" s="169">
        <f t="shared" si="2"/>
        <v>0</v>
      </c>
      <c r="P26" s="16">
        <v>41550</v>
      </c>
      <c r="Q26" s="16">
        <v>41550</v>
      </c>
      <c r="R26" s="16">
        <v>41550</v>
      </c>
      <c r="S26" s="16">
        <f t="shared" si="3"/>
        <v>0</v>
      </c>
      <c r="T26" s="16">
        <f t="shared" si="3"/>
        <v>0</v>
      </c>
      <c r="U26" s="16">
        <f t="shared" si="3"/>
        <v>0</v>
      </c>
    </row>
    <row r="27" spans="1:21" s="3" customFormat="1" ht="25.5">
      <c r="A27" s="11" t="s">
        <v>937</v>
      </c>
      <c r="B27" s="25" t="s">
        <v>48</v>
      </c>
      <c r="C27" s="26" t="s">
        <v>65</v>
      </c>
      <c r="D27" s="26" t="s">
        <v>53</v>
      </c>
      <c r="E27" s="26" t="s">
        <v>628</v>
      </c>
      <c r="F27" s="26" t="s">
        <v>1059</v>
      </c>
      <c r="G27" s="27">
        <v>31912.5</v>
      </c>
      <c r="H27" s="27">
        <v>31912.5</v>
      </c>
      <c r="I27" s="27">
        <v>31912.5</v>
      </c>
      <c r="J27" s="16">
        <f>'БА в тыс. руб.'!G27*1000</f>
        <v>31910</v>
      </c>
      <c r="K27" s="169">
        <f t="shared" si="0"/>
        <v>-2.5</v>
      </c>
      <c r="L27" s="16">
        <f>'БА в тыс. руб.'!H27*1000</f>
        <v>31910</v>
      </c>
      <c r="M27" s="169">
        <f t="shared" si="1"/>
        <v>-2.5</v>
      </c>
      <c r="N27" s="16">
        <f>'БА в тыс. руб.'!I27*1000</f>
        <v>31910</v>
      </c>
      <c r="O27" s="169">
        <f t="shared" si="2"/>
        <v>-2.5</v>
      </c>
      <c r="P27" s="16">
        <v>31912.5</v>
      </c>
      <c r="Q27" s="16">
        <v>31912.5</v>
      </c>
      <c r="R27" s="16">
        <v>31912.5</v>
      </c>
      <c r="S27" s="16">
        <f t="shared" si="3"/>
        <v>0</v>
      </c>
      <c r="T27" s="16">
        <f t="shared" si="3"/>
        <v>0</v>
      </c>
      <c r="U27" s="16">
        <f t="shared" si="3"/>
        <v>0</v>
      </c>
    </row>
    <row r="28" spans="1:21" s="3" customFormat="1" ht="38.25">
      <c r="A28" s="11" t="s">
        <v>939</v>
      </c>
      <c r="B28" s="25" t="s">
        <v>48</v>
      </c>
      <c r="C28" s="26" t="s">
        <v>65</v>
      </c>
      <c r="D28" s="26" t="s">
        <v>53</v>
      </c>
      <c r="E28" s="26" t="s">
        <v>628</v>
      </c>
      <c r="F28" s="26" t="s">
        <v>1060</v>
      </c>
      <c r="G28" s="27">
        <v>9637.5</v>
      </c>
      <c r="H28" s="27">
        <v>9637.5</v>
      </c>
      <c r="I28" s="27">
        <v>9637.5</v>
      </c>
      <c r="J28" s="16">
        <f>'БА в тыс. руб.'!G28*1000</f>
        <v>9640</v>
      </c>
      <c r="K28" s="169">
        <f t="shared" si="0"/>
        <v>2.5</v>
      </c>
      <c r="L28" s="16">
        <f>'БА в тыс. руб.'!H28*1000</f>
        <v>9640</v>
      </c>
      <c r="M28" s="169">
        <f t="shared" si="1"/>
        <v>2.5</v>
      </c>
      <c r="N28" s="16">
        <f>'БА в тыс. руб.'!I28*1000</f>
        <v>9640</v>
      </c>
      <c r="O28" s="169">
        <f t="shared" si="2"/>
        <v>2.5</v>
      </c>
      <c r="P28" s="16">
        <v>9637.5</v>
      </c>
      <c r="Q28" s="16">
        <v>9637.5</v>
      </c>
      <c r="R28" s="16">
        <v>9637.5</v>
      </c>
      <c r="S28" s="16">
        <f t="shared" si="3"/>
        <v>0</v>
      </c>
      <c r="T28" s="16">
        <f t="shared" si="3"/>
        <v>0</v>
      </c>
      <c r="U28" s="16">
        <f t="shared" si="3"/>
        <v>0</v>
      </c>
    </row>
    <row r="29" spans="1:21" s="3" customFormat="1" ht="25.5">
      <c r="A29" s="11" t="s">
        <v>126</v>
      </c>
      <c r="B29" s="25" t="s">
        <v>48</v>
      </c>
      <c r="C29" s="26" t="s">
        <v>65</v>
      </c>
      <c r="D29" s="26" t="s">
        <v>53</v>
      </c>
      <c r="E29" s="26" t="s">
        <v>199</v>
      </c>
      <c r="F29" s="26" t="s">
        <v>58</v>
      </c>
      <c r="G29" s="27">
        <f>G30</f>
        <v>1552000</v>
      </c>
      <c r="H29" s="27">
        <f>H30</f>
        <v>1552000</v>
      </c>
      <c r="I29" s="27">
        <f>I30</f>
        <v>1552000</v>
      </c>
      <c r="J29" s="16">
        <f>'БА в тыс. руб.'!G29*1000</f>
        <v>1552000</v>
      </c>
      <c r="K29" s="169">
        <f t="shared" si="0"/>
        <v>0</v>
      </c>
      <c r="L29" s="16">
        <f>'БА в тыс. руб.'!H29*1000</f>
        <v>1552000</v>
      </c>
      <c r="M29" s="169">
        <f t="shared" si="1"/>
        <v>0</v>
      </c>
      <c r="N29" s="16">
        <f>'БА в тыс. руб.'!I29*1000</f>
        <v>1552000</v>
      </c>
      <c r="O29" s="169">
        <f t="shared" si="2"/>
        <v>0</v>
      </c>
      <c r="P29" s="16">
        <v>1552000</v>
      </c>
      <c r="Q29" s="16">
        <v>1552000</v>
      </c>
      <c r="R29" s="16">
        <v>1552000</v>
      </c>
      <c r="S29" s="16">
        <f t="shared" si="3"/>
        <v>0</v>
      </c>
      <c r="T29" s="16">
        <f t="shared" si="3"/>
        <v>0</v>
      </c>
      <c r="U29" s="16">
        <f t="shared" si="3"/>
        <v>0</v>
      </c>
    </row>
    <row r="30" spans="1:21" s="3" customFormat="1" ht="25.5">
      <c r="A30" s="11" t="s">
        <v>107</v>
      </c>
      <c r="B30" s="25" t="s">
        <v>48</v>
      </c>
      <c r="C30" s="26" t="s">
        <v>65</v>
      </c>
      <c r="D30" s="26" t="s">
        <v>53</v>
      </c>
      <c r="E30" s="26" t="s">
        <v>199</v>
      </c>
      <c r="F30" s="26" t="s">
        <v>115</v>
      </c>
      <c r="G30" s="27">
        <f>SUM(G31:G32)</f>
        <v>1552000</v>
      </c>
      <c r="H30" s="27">
        <f t="shared" ref="H30:I30" si="15">SUM(H31:H32)</f>
        <v>1552000</v>
      </c>
      <c r="I30" s="27">
        <f t="shared" si="15"/>
        <v>1552000</v>
      </c>
      <c r="J30" s="16">
        <f>'БА в тыс. руб.'!G30*1000</f>
        <v>1552000</v>
      </c>
      <c r="K30" s="169">
        <f t="shared" si="0"/>
        <v>0</v>
      </c>
      <c r="L30" s="16">
        <f>'БА в тыс. руб.'!H30*1000</f>
        <v>1552000</v>
      </c>
      <c r="M30" s="169">
        <f t="shared" si="1"/>
        <v>0</v>
      </c>
      <c r="N30" s="16">
        <f>'БА в тыс. руб.'!I30*1000</f>
        <v>1552000</v>
      </c>
      <c r="O30" s="169">
        <f t="shared" si="2"/>
        <v>0</v>
      </c>
      <c r="P30" s="16">
        <v>1552000</v>
      </c>
      <c r="Q30" s="16">
        <v>1552000</v>
      </c>
      <c r="R30" s="16">
        <v>1552000</v>
      </c>
      <c r="S30" s="16">
        <f t="shared" si="3"/>
        <v>0</v>
      </c>
      <c r="T30" s="16">
        <f t="shared" si="3"/>
        <v>0</v>
      </c>
      <c r="U30" s="16">
        <f t="shared" si="3"/>
        <v>0</v>
      </c>
    </row>
    <row r="31" spans="1:21" s="3" customFormat="1">
      <c r="A31" s="11" t="s">
        <v>936</v>
      </c>
      <c r="B31" s="25" t="s">
        <v>48</v>
      </c>
      <c r="C31" s="26" t="s">
        <v>65</v>
      </c>
      <c r="D31" s="26" t="s">
        <v>53</v>
      </c>
      <c r="E31" s="26" t="s">
        <v>199</v>
      </c>
      <c r="F31" s="26" t="s">
        <v>1063</v>
      </c>
      <c r="G31" s="27">
        <f t="shared" ref="G31:G32" si="16">J31</f>
        <v>1192000</v>
      </c>
      <c r="H31" s="27">
        <f t="shared" ref="H31:H32" si="17">L31</f>
        <v>1192000</v>
      </c>
      <c r="I31" s="27">
        <f t="shared" ref="I31:I32" si="18">N31</f>
        <v>1192000</v>
      </c>
      <c r="J31" s="16">
        <f>'БА в тыс. руб.'!G31*1000</f>
        <v>1192000</v>
      </c>
      <c r="K31" s="169">
        <f t="shared" si="0"/>
        <v>0</v>
      </c>
      <c r="L31" s="16">
        <f>'БА в тыс. руб.'!H31*1000</f>
        <v>1192000</v>
      </c>
      <c r="M31" s="169">
        <f t="shared" si="1"/>
        <v>0</v>
      </c>
      <c r="N31" s="16">
        <f>'БА в тыс. руб.'!I31*1000</f>
        <v>1192000</v>
      </c>
      <c r="O31" s="169">
        <f t="shared" si="2"/>
        <v>0</v>
      </c>
      <c r="P31" s="16">
        <v>1192000</v>
      </c>
      <c r="Q31" s="16">
        <v>1192000</v>
      </c>
      <c r="R31" s="16">
        <v>1192000</v>
      </c>
      <c r="S31" s="16">
        <f t="shared" si="3"/>
        <v>0</v>
      </c>
      <c r="T31" s="16">
        <f t="shared" si="3"/>
        <v>0</v>
      </c>
      <c r="U31" s="16">
        <f t="shared" si="3"/>
        <v>0</v>
      </c>
    </row>
    <row r="32" spans="1:21" s="3" customFormat="1" ht="38.25">
      <c r="A32" s="11" t="s">
        <v>939</v>
      </c>
      <c r="B32" s="25" t="s">
        <v>48</v>
      </c>
      <c r="C32" s="26" t="s">
        <v>65</v>
      </c>
      <c r="D32" s="26" t="s">
        <v>53</v>
      </c>
      <c r="E32" s="26" t="s">
        <v>199</v>
      </c>
      <c r="F32" s="26" t="s">
        <v>1060</v>
      </c>
      <c r="G32" s="27">
        <f t="shared" si="16"/>
        <v>360000</v>
      </c>
      <c r="H32" s="27">
        <f t="shared" si="17"/>
        <v>360000</v>
      </c>
      <c r="I32" s="27">
        <f t="shared" si="18"/>
        <v>360000</v>
      </c>
      <c r="J32" s="16">
        <f>'БА в тыс. руб.'!G32*1000</f>
        <v>360000</v>
      </c>
      <c r="K32" s="169">
        <f t="shared" si="0"/>
        <v>0</v>
      </c>
      <c r="L32" s="16">
        <f>'БА в тыс. руб.'!H32*1000</f>
        <v>360000</v>
      </c>
      <c r="M32" s="169">
        <f t="shared" si="1"/>
        <v>0</v>
      </c>
      <c r="N32" s="16">
        <f>'БА в тыс. руб.'!I32*1000</f>
        <v>360000</v>
      </c>
      <c r="O32" s="169">
        <f t="shared" si="2"/>
        <v>0</v>
      </c>
      <c r="P32" s="16">
        <v>360000</v>
      </c>
      <c r="Q32" s="16">
        <v>360000</v>
      </c>
      <c r="R32" s="16">
        <v>360000</v>
      </c>
      <c r="S32" s="16">
        <f t="shared" si="3"/>
        <v>0</v>
      </c>
      <c r="T32" s="16">
        <f t="shared" si="3"/>
        <v>0</v>
      </c>
      <c r="U32" s="16">
        <f t="shared" si="3"/>
        <v>0</v>
      </c>
    </row>
    <row r="33" spans="1:21" s="3" customFormat="1">
      <c r="A33" s="11" t="s">
        <v>28</v>
      </c>
      <c r="B33" s="25" t="s">
        <v>48</v>
      </c>
      <c r="C33" s="26" t="s">
        <v>65</v>
      </c>
      <c r="D33" s="26" t="s">
        <v>53</v>
      </c>
      <c r="E33" s="26" t="s">
        <v>203</v>
      </c>
      <c r="F33" s="26" t="s">
        <v>58</v>
      </c>
      <c r="G33" s="27">
        <f>G38+G34</f>
        <v>2108270</v>
      </c>
      <c r="H33" s="27">
        <f>H38+H34</f>
        <v>2108270</v>
      </c>
      <c r="I33" s="27">
        <f>I38+I34</f>
        <v>2108270</v>
      </c>
      <c r="J33" s="16">
        <f>'БА в тыс. руб.'!G33*1000</f>
        <v>2108270</v>
      </c>
      <c r="K33" s="169">
        <f t="shared" si="0"/>
        <v>0</v>
      </c>
      <c r="L33" s="16">
        <f>'БА в тыс. руб.'!H33*1000</f>
        <v>2108270</v>
      </c>
      <c r="M33" s="169">
        <f t="shared" si="1"/>
        <v>0</v>
      </c>
      <c r="N33" s="16">
        <f>'БА в тыс. руб.'!I33*1000</f>
        <v>2108270</v>
      </c>
      <c r="O33" s="169">
        <f t="shared" si="2"/>
        <v>0</v>
      </c>
      <c r="P33" s="16">
        <v>2108270</v>
      </c>
      <c r="Q33" s="16">
        <v>2108270</v>
      </c>
      <c r="R33" s="16">
        <v>2108270</v>
      </c>
      <c r="S33" s="16">
        <f t="shared" si="3"/>
        <v>0</v>
      </c>
      <c r="T33" s="16">
        <f t="shared" si="3"/>
        <v>0</v>
      </c>
      <c r="U33" s="16">
        <f t="shared" si="3"/>
        <v>0</v>
      </c>
    </row>
    <row r="34" spans="1:21" s="3" customFormat="1" ht="25.5">
      <c r="A34" s="11" t="s">
        <v>114</v>
      </c>
      <c r="B34" s="25" t="s">
        <v>48</v>
      </c>
      <c r="C34" s="26" t="s">
        <v>65</v>
      </c>
      <c r="D34" s="26" t="s">
        <v>53</v>
      </c>
      <c r="E34" s="26" t="s">
        <v>643</v>
      </c>
      <c r="F34" s="26" t="s">
        <v>58</v>
      </c>
      <c r="G34" s="27">
        <f>G35</f>
        <v>83110</v>
      </c>
      <c r="H34" s="27">
        <f>H35</f>
        <v>83110</v>
      </c>
      <c r="I34" s="27">
        <f>I35</f>
        <v>83110</v>
      </c>
      <c r="J34" s="16">
        <f>'БА в тыс. руб.'!G34*1000</f>
        <v>83110</v>
      </c>
      <c r="K34" s="169">
        <f t="shared" si="0"/>
        <v>0</v>
      </c>
      <c r="L34" s="16">
        <f>'БА в тыс. руб.'!H34*1000</f>
        <v>83110</v>
      </c>
      <c r="M34" s="169">
        <f t="shared" si="1"/>
        <v>0</v>
      </c>
      <c r="N34" s="16">
        <f>'БА в тыс. руб.'!I34*1000</f>
        <v>83110</v>
      </c>
      <c r="O34" s="169">
        <f t="shared" si="2"/>
        <v>0</v>
      </c>
      <c r="P34" s="16">
        <v>83110</v>
      </c>
      <c r="Q34" s="16">
        <v>83110</v>
      </c>
      <c r="R34" s="16">
        <v>83110</v>
      </c>
      <c r="S34" s="16">
        <f t="shared" si="3"/>
        <v>0</v>
      </c>
      <c r="T34" s="16">
        <f t="shared" si="3"/>
        <v>0</v>
      </c>
      <c r="U34" s="16">
        <f t="shared" si="3"/>
        <v>0</v>
      </c>
    </row>
    <row r="35" spans="1:21" s="3" customFormat="1" ht="25.5">
      <c r="A35" s="11" t="s">
        <v>107</v>
      </c>
      <c r="B35" s="25" t="s">
        <v>48</v>
      </c>
      <c r="C35" s="26" t="s">
        <v>65</v>
      </c>
      <c r="D35" s="26" t="s">
        <v>53</v>
      </c>
      <c r="E35" s="26" t="s">
        <v>643</v>
      </c>
      <c r="F35" s="26" t="s">
        <v>115</v>
      </c>
      <c r="G35" s="27">
        <f>SUM(G36:G37)</f>
        <v>83110</v>
      </c>
      <c r="H35" s="27">
        <f t="shared" ref="H35:I35" si="19">SUM(H36:H37)</f>
        <v>83110</v>
      </c>
      <c r="I35" s="27">
        <f t="shared" si="19"/>
        <v>83110</v>
      </c>
      <c r="J35" s="16">
        <f>'БА в тыс. руб.'!G35*1000</f>
        <v>83110</v>
      </c>
      <c r="K35" s="169">
        <f t="shared" si="0"/>
        <v>0</v>
      </c>
      <c r="L35" s="16">
        <f>'БА в тыс. руб.'!H35*1000</f>
        <v>83110</v>
      </c>
      <c r="M35" s="169">
        <f t="shared" si="1"/>
        <v>0</v>
      </c>
      <c r="N35" s="16">
        <f>'БА в тыс. руб.'!I35*1000</f>
        <v>83110</v>
      </c>
      <c r="O35" s="169">
        <f t="shared" si="2"/>
        <v>0</v>
      </c>
      <c r="P35" s="16">
        <v>83110</v>
      </c>
      <c r="Q35" s="16">
        <v>83110</v>
      </c>
      <c r="R35" s="16">
        <v>83110</v>
      </c>
      <c r="S35" s="16">
        <f t="shared" si="3"/>
        <v>0</v>
      </c>
      <c r="T35" s="16">
        <f t="shared" si="3"/>
        <v>0</v>
      </c>
      <c r="U35" s="16">
        <f t="shared" si="3"/>
        <v>0</v>
      </c>
    </row>
    <row r="36" spans="1:21" s="3" customFormat="1" ht="25.5">
      <c r="A36" s="11" t="s">
        <v>937</v>
      </c>
      <c r="B36" s="25" t="s">
        <v>48</v>
      </c>
      <c r="C36" s="26" t="s">
        <v>65</v>
      </c>
      <c r="D36" s="26" t="s">
        <v>53</v>
      </c>
      <c r="E36" s="26" t="s">
        <v>643</v>
      </c>
      <c r="F36" s="26" t="s">
        <v>1059</v>
      </c>
      <c r="G36" s="27">
        <f t="shared" ref="G36:G37" si="20">J36</f>
        <v>63830</v>
      </c>
      <c r="H36" s="27">
        <f t="shared" ref="H36:H37" si="21">L36</f>
        <v>63830</v>
      </c>
      <c r="I36" s="27">
        <f t="shared" ref="I36:I37" si="22">N36</f>
        <v>63830</v>
      </c>
      <c r="J36" s="16">
        <f>'БА в тыс. руб.'!G36*1000</f>
        <v>63830</v>
      </c>
      <c r="K36" s="169">
        <f t="shared" si="0"/>
        <v>0</v>
      </c>
      <c r="L36" s="16">
        <f>'БА в тыс. руб.'!H36*1000</f>
        <v>63830</v>
      </c>
      <c r="M36" s="169">
        <f t="shared" si="1"/>
        <v>0</v>
      </c>
      <c r="N36" s="16">
        <f>'БА в тыс. руб.'!I36*1000</f>
        <v>63830</v>
      </c>
      <c r="O36" s="169">
        <f t="shared" si="2"/>
        <v>0</v>
      </c>
      <c r="P36" s="16">
        <v>63830</v>
      </c>
      <c r="Q36" s="16">
        <v>63830</v>
      </c>
      <c r="R36" s="16">
        <v>63830</v>
      </c>
      <c r="S36" s="16">
        <f t="shared" si="3"/>
        <v>0</v>
      </c>
      <c r="T36" s="16">
        <f t="shared" si="3"/>
        <v>0</v>
      </c>
      <c r="U36" s="16">
        <f t="shared" si="3"/>
        <v>0</v>
      </c>
    </row>
    <row r="37" spans="1:21" s="3" customFormat="1" ht="38.25">
      <c r="A37" s="11" t="s">
        <v>939</v>
      </c>
      <c r="B37" s="25" t="s">
        <v>48</v>
      </c>
      <c r="C37" s="26" t="s">
        <v>65</v>
      </c>
      <c r="D37" s="26" t="s">
        <v>53</v>
      </c>
      <c r="E37" s="26" t="s">
        <v>643</v>
      </c>
      <c r="F37" s="26" t="s">
        <v>1060</v>
      </c>
      <c r="G37" s="27">
        <f t="shared" si="20"/>
        <v>19280</v>
      </c>
      <c r="H37" s="27">
        <f t="shared" si="21"/>
        <v>19280</v>
      </c>
      <c r="I37" s="27">
        <f t="shared" si="22"/>
        <v>19280</v>
      </c>
      <c r="J37" s="16">
        <f>'БА в тыс. руб.'!G37*1000</f>
        <v>19280</v>
      </c>
      <c r="K37" s="169">
        <f t="shared" si="0"/>
        <v>0</v>
      </c>
      <c r="L37" s="16">
        <f>'БА в тыс. руб.'!H37*1000</f>
        <v>19280</v>
      </c>
      <c r="M37" s="169">
        <f t="shared" si="1"/>
        <v>0</v>
      </c>
      <c r="N37" s="16">
        <f>'БА в тыс. руб.'!I37*1000</f>
        <v>19280</v>
      </c>
      <c r="O37" s="169">
        <f t="shared" si="2"/>
        <v>0</v>
      </c>
      <c r="P37" s="16">
        <v>19280</v>
      </c>
      <c r="Q37" s="16">
        <v>19280</v>
      </c>
      <c r="R37" s="16">
        <v>19280</v>
      </c>
      <c r="S37" s="16">
        <f t="shared" si="3"/>
        <v>0</v>
      </c>
      <c r="T37" s="16">
        <f t="shared" si="3"/>
        <v>0</v>
      </c>
      <c r="U37" s="16">
        <f t="shared" si="3"/>
        <v>0</v>
      </c>
    </row>
    <row r="38" spans="1:21" s="3" customFormat="1" ht="25.5">
      <c r="A38" s="11" t="s">
        <v>126</v>
      </c>
      <c r="B38" s="25" t="s">
        <v>48</v>
      </c>
      <c r="C38" s="26" t="s">
        <v>65</v>
      </c>
      <c r="D38" s="26" t="s">
        <v>53</v>
      </c>
      <c r="E38" s="26" t="s">
        <v>204</v>
      </c>
      <c r="F38" s="26" t="s">
        <v>58</v>
      </c>
      <c r="G38" s="27">
        <f>G39</f>
        <v>2025160</v>
      </c>
      <c r="H38" s="27">
        <f>H39</f>
        <v>2025160</v>
      </c>
      <c r="I38" s="27">
        <f>I39</f>
        <v>2025160</v>
      </c>
      <c r="J38" s="16">
        <f>'БА в тыс. руб.'!G38*1000</f>
        <v>2025160</v>
      </c>
      <c r="K38" s="169">
        <f t="shared" si="0"/>
        <v>0</v>
      </c>
      <c r="L38" s="16">
        <f>'БА в тыс. руб.'!H38*1000</f>
        <v>2025160</v>
      </c>
      <c r="M38" s="169">
        <f t="shared" si="1"/>
        <v>0</v>
      </c>
      <c r="N38" s="16">
        <f>'БА в тыс. руб.'!I38*1000</f>
        <v>2025160</v>
      </c>
      <c r="O38" s="169">
        <f t="shared" si="2"/>
        <v>0</v>
      </c>
      <c r="P38" s="16">
        <v>2025160</v>
      </c>
      <c r="Q38" s="16">
        <v>2025160</v>
      </c>
      <c r="R38" s="16">
        <v>2025160</v>
      </c>
      <c r="S38" s="16">
        <f t="shared" si="3"/>
        <v>0</v>
      </c>
      <c r="T38" s="16">
        <f t="shared" si="3"/>
        <v>0</v>
      </c>
      <c r="U38" s="16">
        <f t="shared" si="3"/>
        <v>0</v>
      </c>
    </row>
    <row r="39" spans="1:21" s="3" customFormat="1" ht="25.5">
      <c r="A39" s="11" t="s">
        <v>107</v>
      </c>
      <c r="B39" s="25" t="s">
        <v>48</v>
      </c>
      <c r="C39" s="26" t="s">
        <v>65</v>
      </c>
      <c r="D39" s="26" t="s">
        <v>53</v>
      </c>
      <c r="E39" s="26" t="s">
        <v>204</v>
      </c>
      <c r="F39" s="26" t="s">
        <v>115</v>
      </c>
      <c r="G39" s="27">
        <f>SUM(G40:G41)</f>
        <v>2025160</v>
      </c>
      <c r="H39" s="27">
        <f t="shared" ref="H39:I39" si="23">SUM(H40:H41)</f>
        <v>2025160</v>
      </c>
      <c r="I39" s="27">
        <f t="shared" si="23"/>
        <v>2025160</v>
      </c>
      <c r="J39" s="16">
        <f>'БА в тыс. руб.'!G39*1000</f>
        <v>2025160</v>
      </c>
      <c r="K39" s="169">
        <f t="shared" si="0"/>
        <v>0</v>
      </c>
      <c r="L39" s="16">
        <f>'БА в тыс. руб.'!H39*1000</f>
        <v>2025160</v>
      </c>
      <c r="M39" s="169">
        <f t="shared" si="1"/>
        <v>0</v>
      </c>
      <c r="N39" s="16">
        <f>'БА в тыс. руб.'!I39*1000</f>
        <v>2025160</v>
      </c>
      <c r="O39" s="169">
        <f t="shared" si="2"/>
        <v>0</v>
      </c>
      <c r="P39" s="16">
        <v>2025160</v>
      </c>
      <c r="Q39" s="16">
        <v>2025160</v>
      </c>
      <c r="R39" s="16">
        <v>2025160</v>
      </c>
      <c r="S39" s="16">
        <f t="shared" si="3"/>
        <v>0</v>
      </c>
      <c r="T39" s="16">
        <f t="shared" si="3"/>
        <v>0</v>
      </c>
      <c r="U39" s="16">
        <f t="shared" si="3"/>
        <v>0</v>
      </c>
    </row>
    <row r="40" spans="1:21" s="3" customFormat="1">
      <c r="A40" s="11" t="s">
        <v>936</v>
      </c>
      <c r="B40" s="25" t="s">
        <v>48</v>
      </c>
      <c r="C40" s="26" t="s">
        <v>65</v>
      </c>
      <c r="D40" s="26" t="s">
        <v>53</v>
      </c>
      <c r="E40" s="26" t="s">
        <v>204</v>
      </c>
      <c r="F40" s="26" t="s">
        <v>1063</v>
      </c>
      <c r="G40" s="27">
        <f t="shared" ref="G40:G41" si="24">J40</f>
        <v>1555420</v>
      </c>
      <c r="H40" s="27">
        <f t="shared" ref="H40:H41" si="25">L40</f>
        <v>1555420</v>
      </c>
      <c r="I40" s="27">
        <f t="shared" ref="I40:I41" si="26">N40</f>
        <v>1555420</v>
      </c>
      <c r="J40" s="16">
        <f>'БА в тыс. руб.'!G40*1000</f>
        <v>1555420</v>
      </c>
      <c r="K40" s="169">
        <f t="shared" si="0"/>
        <v>0</v>
      </c>
      <c r="L40" s="16">
        <f>'БА в тыс. руб.'!H40*1000</f>
        <v>1555420</v>
      </c>
      <c r="M40" s="169">
        <f t="shared" si="1"/>
        <v>0</v>
      </c>
      <c r="N40" s="16">
        <f>'БА в тыс. руб.'!I40*1000</f>
        <v>1555420</v>
      </c>
      <c r="O40" s="169">
        <f t="shared" si="2"/>
        <v>0</v>
      </c>
      <c r="P40" s="16">
        <v>1555420</v>
      </c>
      <c r="Q40" s="16">
        <v>1555420</v>
      </c>
      <c r="R40" s="16">
        <v>1555420</v>
      </c>
      <c r="S40" s="16">
        <f t="shared" si="3"/>
        <v>0</v>
      </c>
      <c r="T40" s="16">
        <f t="shared" si="3"/>
        <v>0</v>
      </c>
      <c r="U40" s="16">
        <f t="shared" si="3"/>
        <v>0</v>
      </c>
    </row>
    <row r="41" spans="1:21" s="3" customFormat="1" ht="38.25">
      <c r="A41" s="11" t="s">
        <v>939</v>
      </c>
      <c r="B41" s="25" t="s">
        <v>48</v>
      </c>
      <c r="C41" s="26" t="s">
        <v>65</v>
      </c>
      <c r="D41" s="26" t="s">
        <v>53</v>
      </c>
      <c r="E41" s="26" t="s">
        <v>204</v>
      </c>
      <c r="F41" s="26" t="s">
        <v>1060</v>
      </c>
      <c r="G41" s="27">
        <f t="shared" si="24"/>
        <v>469740</v>
      </c>
      <c r="H41" s="27">
        <f t="shared" si="25"/>
        <v>469740</v>
      </c>
      <c r="I41" s="27">
        <f t="shared" si="26"/>
        <v>469740</v>
      </c>
      <c r="J41" s="16">
        <f>'БА в тыс. руб.'!G41*1000</f>
        <v>469740</v>
      </c>
      <c r="K41" s="169">
        <f t="shared" si="0"/>
        <v>0</v>
      </c>
      <c r="L41" s="16">
        <f>'БА в тыс. руб.'!H41*1000</f>
        <v>469740</v>
      </c>
      <c r="M41" s="169">
        <f t="shared" si="1"/>
        <v>0</v>
      </c>
      <c r="N41" s="16">
        <f>'БА в тыс. руб.'!I41*1000</f>
        <v>469740</v>
      </c>
      <c r="O41" s="169">
        <f t="shared" si="2"/>
        <v>0</v>
      </c>
      <c r="P41" s="16">
        <v>469740</v>
      </c>
      <c r="Q41" s="16">
        <v>469740</v>
      </c>
      <c r="R41" s="16">
        <v>469740</v>
      </c>
      <c r="S41" s="16">
        <f t="shared" si="3"/>
        <v>0</v>
      </c>
      <c r="T41" s="16">
        <f t="shared" si="3"/>
        <v>0</v>
      </c>
      <c r="U41" s="16">
        <f t="shared" si="3"/>
        <v>0</v>
      </c>
    </row>
    <row r="42" spans="1:21" s="3" customFormat="1">
      <c r="A42" s="21" t="s">
        <v>38</v>
      </c>
      <c r="B42" s="22" t="s">
        <v>48</v>
      </c>
      <c r="C42" s="23" t="s">
        <v>65</v>
      </c>
      <c r="D42" s="23" t="s">
        <v>84</v>
      </c>
      <c r="E42" s="23" t="s">
        <v>196</v>
      </c>
      <c r="F42" s="23" t="s">
        <v>58</v>
      </c>
      <c r="G42" s="24">
        <f t="shared" ref="G42:I44" si="27">G43</f>
        <v>500000</v>
      </c>
      <c r="H42" s="24">
        <f t="shared" si="27"/>
        <v>500000</v>
      </c>
      <c r="I42" s="24">
        <f t="shared" si="27"/>
        <v>500000</v>
      </c>
      <c r="J42" s="16">
        <f>'БА в тыс. руб.'!G42*1000</f>
        <v>500000</v>
      </c>
      <c r="K42" s="169">
        <f t="shared" si="0"/>
        <v>0</v>
      </c>
      <c r="L42" s="16">
        <f>'БА в тыс. руб.'!H42*1000</f>
        <v>500000</v>
      </c>
      <c r="M42" s="169">
        <f t="shared" si="1"/>
        <v>0</v>
      </c>
      <c r="N42" s="16">
        <f>'БА в тыс. руб.'!I42*1000</f>
        <v>500000</v>
      </c>
      <c r="O42" s="169">
        <f t="shared" si="2"/>
        <v>0</v>
      </c>
      <c r="P42" s="16">
        <v>500000</v>
      </c>
      <c r="Q42" s="16">
        <v>500000</v>
      </c>
      <c r="R42" s="16">
        <v>500000</v>
      </c>
      <c r="S42" s="16">
        <f t="shared" si="3"/>
        <v>0</v>
      </c>
      <c r="T42" s="16">
        <f t="shared" si="3"/>
        <v>0</v>
      </c>
      <c r="U42" s="16">
        <f t="shared" si="3"/>
        <v>0</v>
      </c>
    </row>
    <row r="43" spans="1:21" s="3" customFormat="1">
      <c r="A43" s="11" t="s">
        <v>124</v>
      </c>
      <c r="B43" s="25" t="s">
        <v>48</v>
      </c>
      <c r="C43" s="26" t="s">
        <v>65</v>
      </c>
      <c r="D43" s="26" t="s">
        <v>84</v>
      </c>
      <c r="E43" s="26" t="s">
        <v>197</v>
      </c>
      <c r="F43" s="26" t="s">
        <v>58</v>
      </c>
      <c r="G43" s="27">
        <f>G44</f>
        <v>500000</v>
      </c>
      <c r="H43" s="27">
        <f t="shared" si="27"/>
        <v>500000</v>
      </c>
      <c r="I43" s="27">
        <f t="shared" si="27"/>
        <v>500000</v>
      </c>
      <c r="J43" s="16">
        <f>'БА в тыс. руб.'!G43*1000</f>
        <v>500000</v>
      </c>
      <c r="K43" s="169">
        <f t="shared" si="0"/>
        <v>0</v>
      </c>
      <c r="L43" s="16">
        <f>'БА в тыс. руб.'!H43*1000</f>
        <v>500000</v>
      </c>
      <c r="M43" s="169">
        <f t="shared" si="1"/>
        <v>0</v>
      </c>
      <c r="N43" s="16">
        <f>'БА в тыс. руб.'!I43*1000</f>
        <v>500000</v>
      </c>
      <c r="O43" s="169">
        <f t="shared" si="2"/>
        <v>0</v>
      </c>
      <c r="P43" s="16">
        <v>500000</v>
      </c>
      <c r="Q43" s="16">
        <v>500000</v>
      </c>
      <c r="R43" s="16">
        <v>500000</v>
      </c>
      <c r="S43" s="16">
        <f t="shared" si="3"/>
        <v>0</v>
      </c>
      <c r="T43" s="16">
        <f t="shared" si="3"/>
        <v>0</v>
      </c>
      <c r="U43" s="16">
        <f t="shared" si="3"/>
        <v>0</v>
      </c>
    </row>
    <row r="44" spans="1:21" s="3" customFormat="1">
      <c r="A44" s="11" t="s">
        <v>175</v>
      </c>
      <c r="B44" s="25" t="s">
        <v>48</v>
      </c>
      <c r="C44" s="26" t="s">
        <v>65</v>
      </c>
      <c r="D44" s="26" t="s">
        <v>84</v>
      </c>
      <c r="E44" s="26" t="s">
        <v>205</v>
      </c>
      <c r="F44" s="26" t="s">
        <v>58</v>
      </c>
      <c r="G44" s="27">
        <f>G45</f>
        <v>500000</v>
      </c>
      <c r="H44" s="27">
        <f t="shared" si="27"/>
        <v>500000</v>
      </c>
      <c r="I44" s="27">
        <f t="shared" si="27"/>
        <v>500000</v>
      </c>
      <c r="J44" s="16">
        <f>'БА в тыс. руб.'!G44*1000</f>
        <v>500000</v>
      </c>
      <c r="K44" s="169">
        <f t="shared" si="0"/>
        <v>0</v>
      </c>
      <c r="L44" s="16">
        <f>'БА в тыс. руб.'!H44*1000</f>
        <v>500000</v>
      </c>
      <c r="M44" s="169">
        <f t="shared" si="1"/>
        <v>0</v>
      </c>
      <c r="N44" s="16">
        <f>'БА в тыс. руб.'!I44*1000</f>
        <v>500000</v>
      </c>
      <c r="O44" s="169">
        <f t="shared" si="2"/>
        <v>0</v>
      </c>
      <c r="P44" s="16">
        <v>5900500</v>
      </c>
      <c r="Q44" s="16">
        <v>5900500</v>
      </c>
      <c r="R44" s="16">
        <v>5900500</v>
      </c>
      <c r="S44" s="16"/>
      <c r="T44" s="16"/>
      <c r="U44" s="16"/>
    </row>
    <row r="45" spans="1:21" s="3" customFormat="1" ht="63.75">
      <c r="A45" s="34" t="s">
        <v>846</v>
      </c>
      <c r="B45" s="25" t="s">
        <v>48</v>
      </c>
      <c r="C45" s="26" t="s">
        <v>65</v>
      </c>
      <c r="D45" s="26" t="s">
        <v>84</v>
      </c>
      <c r="E45" s="26" t="s">
        <v>832</v>
      </c>
      <c r="F45" s="26" t="s">
        <v>58</v>
      </c>
      <c r="G45" s="27">
        <f t="shared" ref="G45:I46" si="28">G46</f>
        <v>500000</v>
      </c>
      <c r="H45" s="27">
        <f t="shared" si="28"/>
        <v>500000</v>
      </c>
      <c r="I45" s="27">
        <f t="shared" si="28"/>
        <v>500000</v>
      </c>
      <c r="J45" s="16">
        <f>'БА в тыс. руб.'!G45*1000</f>
        <v>500000</v>
      </c>
      <c r="K45" s="169">
        <f t="shared" si="0"/>
        <v>0</v>
      </c>
      <c r="L45" s="16">
        <f>'БА в тыс. руб.'!H45*1000</f>
        <v>500000</v>
      </c>
      <c r="M45" s="169">
        <f t="shared" si="1"/>
        <v>0</v>
      </c>
      <c r="N45" s="16">
        <f>'БА в тыс. руб.'!I45*1000</f>
        <v>500000</v>
      </c>
      <c r="O45" s="169">
        <f t="shared" si="2"/>
        <v>0</v>
      </c>
      <c r="P45" s="16">
        <v>5900500</v>
      </c>
      <c r="Q45" s="16">
        <v>5900500</v>
      </c>
      <c r="R45" s="16">
        <v>5900500</v>
      </c>
      <c r="S45" s="16"/>
      <c r="T45" s="16"/>
      <c r="U45" s="16"/>
    </row>
    <row r="46" spans="1:21" s="3" customFormat="1" ht="25.5">
      <c r="A46" s="11" t="s">
        <v>108</v>
      </c>
      <c r="B46" s="25" t="s">
        <v>48</v>
      </c>
      <c r="C46" s="26" t="s">
        <v>65</v>
      </c>
      <c r="D46" s="26" t="s">
        <v>84</v>
      </c>
      <c r="E46" s="26" t="s">
        <v>832</v>
      </c>
      <c r="F46" s="26" t="s">
        <v>116</v>
      </c>
      <c r="G46" s="27">
        <f>G47</f>
        <v>500000</v>
      </c>
      <c r="H46" s="27">
        <f t="shared" si="28"/>
        <v>500000</v>
      </c>
      <c r="I46" s="27">
        <f t="shared" si="28"/>
        <v>500000</v>
      </c>
      <c r="J46" s="16">
        <f>'БА в тыс. руб.'!G46*1000</f>
        <v>500000</v>
      </c>
      <c r="K46" s="169">
        <f t="shared" si="0"/>
        <v>0</v>
      </c>
      <c r="L46" s="16">
        <f>'БА в тыс. руб.'!H46*1000</f>
        <v>500000</v>
      </c>
      <c r="M46" s="169">
        <f t="shared" si="1"/>
        <v>0</v>
      </c>
      <c r="N46" s="16">
        <f>'БА в тыс. руб.'!I46*1000</f>
        <v>500000</v>
      </c>
      <c r="O46" s="169">
        <f t="shared" si="2"/>
        <v>0</v>
      </c>
      <c r="P46" s="16">
        <v>5900500</v>
      </c>
      <c r="Q46" s="16">
        <v>5900500</v>
      </c>
      <c r="R46" s="16">
        <v>5900500</v>
      </c>
      <c r="S46" s="16"/>
      <c r="T46" s="16"/>
      <c r="U46" s="16"/>
    </row>
    <row r="47" spans="1:21" s="4" customFormat="1" ht="25.5">
      <c r="A47" s="12" t="s">
        <v>973</v>
      </c>
      <c r="B47" s="25" t="s">
        <v>48</v>
      </c>
      <c r="C47" s="26" t="s">
        <v>65</v>
      </c>
      <c r="D47" s="26" t="s">
        <v>84</v>
      </c>
      <c r="E47" s="26" t="s">
        <v>832</v>
      </c>
      <c r="F47" s="26" t="s">
        <v>1043</v>
      </c>
      <c r="G47" s="27">
        <f t="shared" ref="G47" si="29">J47</f>
        <v>500000</v>
      </c>
      <c r="H47" s="27">
        <f>L47</f>
        <v>500000</v>
      </c>
      <c r="I47" s="27">
        <f>N47</f>
        <v>500000</v>
      </c>
      <c r="J47" s="16">
        <f>'БА в тыс. руб.'!G47*1000</f>
        <v>500000</v>
      </c>
      <c r="K47" s="169">
        <f t="shared" si="0"/>
        <v>0</v>
      </c>
      <c r="L47" s="16">
        <f>'БА в тыс. руб.'!H47*1000</f>
        <v>500000</v>
      </c>
      <c r="M47" s="169">
        <f t="shared" si="1"/>
        <v>0</v>
      </c>
      <c r="N47" s="16">
        <f>'БА в тыс. руб.'!I47*1000</f>
        <v>500000</v>
      </c>
      <c r="O47" s="169">
        <f t="shared" si="2"/>
        <v>0</v>
      </c>
      <c r="P47" s="16">
        <v>5900500</v>
      </c>
      <c r="Q47" s="16">
        <v>5900500</v>
      </c>
      <c r="R47" s="16">
        <v>5900500</v>
      </c>
      <c r="S47" s="16"/>
      <c r="T47" s="16"/>
      <c r="U47" s="16"/>
    </row>
    <row r="48" spans="1:21" s="2" customFormat="1">
      <c r="A48" s="17" t="s">
        <v>77</v>
      </c>
      <c r="B48" s="18" t="s">
        <v>48</v>
      </c>
      <c r="C48" s="19" t="s">
        <v>40</v>
      </c>
      <c r="D48" s="19" t="s">
        <v>51</v>
      </c>
      <c r="E48" s="19" t="s">
        <v>196</v>
      </c>
      <c r="F48" s="19" t="s">
        <v>58</v>
      </c>
      <c r="G48" s="20">
        <f>G55+G49</f>
        <v>7090500</v>
      </c>
      <c r="H48" s="20">
        <f t="shared" ref="H48:I48" si="30">H55+H49</f>
        <v>7090500</v>
      </c>
      <c r="I48" s="20">
        <f t="shared" si="30"/>
        <v>7090500</v>
      </c>
      <c r="J48" s="16">
        <f>'БА в тыс. руб.'!G48*1000</f>
        <v>7090500</v>
      </c>
      <c r="K48" s="169">
        <f t="shared" si="0"/>
        <v>0</v>
      </c>
      <c r="L48" s="16">
        <f>'БА в тыс. руб.'!H48*1000</f>
        <v>7090500</v>
      </c>
      <c r="M48" s="169">
        <f t="shared" si="1"/>
        <v>0</v>
      </c>
      <c r="N48" s="16">
        <f>'БА в тыс. руб.'!I48*1000</f>
        <v>7090500</v>
      </c>
      <c r="O48" s="169">
        <f t="shared" si="2"/>
        <v>0</v>
      </c>
      <c r="P48" s="16">
        <v>5900500</v>
      </c>
      <c r="Q48" s="16">
        <v>5900500</v>
      </c>
      <c r="R48" s="16">
        <v>5900500</v>
      </c>
      <c r="S48" s="16"/>
      <c r="T48" s="16"/>
      <c r="U48" s="16"/>
    </row>
    <row r="49" spans="1:21" s="2" customFormat="1">
      <c r="A49" s="21" t="s">
        <v>906</v>
      </c>
      <c r="B49" s="22" t="s">
        <v>48</v>
      </c>
      <c r="C49" s="23" t="s">
        <v>40</v>
      </c>
      <c r="D49" s="23" t="s">
        <v>65</v>
      </c>
      <c r="E49" s="23" t="s">
        <v>196</v>
      </c>
      <c r="F49" s="23" t="s">
        <v>58</v>
      </c>
      <c r="G49" s="24">
        <f>G50</f>
        <v>5900500</v>
      </c>
      <c r="H49" s="24">
        <f t="shared" ref="H49:I50" si="31">H50</f>
        <v>5900500</v>
      </c>
      <c r="I49" s="24">
        <f t="shared" si="31"/>
        <v>5900500</v>
      </c>
      <c r="J49" s="16">
        <f>'БА в тыс. руб.'!G49*1000</f>
        <v>5900500</v>
      </c>
      <c r="K49" s="169">
        <f t="shared" si="0"/>
        <v>0</v>
      </c>
      <c r="L49" s="16">
        <f>'БА в тыс. руб.'!H49*1000</f>
        <v>5900500</v>
      </c>
      <c r="M49" s="169">
        <f t="shared" si="1"/>
        <v>0</v>
      </c>
      <c r="N49" s="16">
        <f>'БА в тыс. руб.'!I49*1000</f>
        <v>5900500</v>
      </c>
      <c r="O49" s="169">
        <f t="shared" si="2"/>
        <v>0</v>
      </c>
      <c r="P49" s="16">
        <v>1190000</v>
      </c>
      <c r="Q49" s="16">
        <v>1190000</v>
      </c>
      <c r="R49" s="16">
        <v>1190000</v>
      </c>
      <c r="S49" s="16"/>
      <c r="T49" s="16"/>
      <c r="U49" s="16"/>
    </row>
    <row r="50" spans="1:21" s="3" customFormat="1">
      <c r="A50" s="11" t="s">
        <v>124</v>
      </c>
      <c r="B50" s="25" t="s">
        <v>48</v>
      </c>
      <c r="C50" s="26" t="s">
        <v>40</v>
      </c>
      <c r="D50" s="26" t="s">
        <v>65</v>
      </c>
      <c r="E50" s="26" t="s">
        <v>197</v>
      </c>
      <c r="F50" s="26" t="s">
        <v>58</v>
      </c>
      <c r="G50" s="27">
        <f>G51</f>
        <v>5900500</v>
      </c>
      <c r="H50" s="27">
        <f t="shared" si="31"/>
        <v>5900500</v>
      </c>
      <c r="I50" s="27">
        <f t="shared" si="31"/>
        <v>5900500</v>
      </c>
      <c r="J50" s="16">
        <f>'БА в тыс. руб.'!G50*1000</f>
        <v>5900500</v>
      </c>
      <c r="K50" s="169">
        <f t="shared" si="0"/>
        <v>0</v>
      </c>
      <c r="L50" s="16">
        <f>'БА в тыс. руб.'!H50*1000</f>
        <v>5900500</v>
      </c>
      <c r="M50" s="169">
        <f t="shared" si="1"/>
        <v>0</v>
      </c>
      <c r="N50" s="16">
        <f>'БА в тыс. руб.'!I50*1000</f>
        <v>5900500</v>
      </c>
      <c r="O50" s="169">
        <f t="shared" si="2"/>
        <v>0</v>
      </c>
      <c r="P50" s="16">
        <v>1190000</v>
      </c>
      <c r="Q50" s="16">
        <v>1190000</v>
      </c>
      <c r="R50" s="16">
        <v>1190000</v>
      </c>
      <c r="S50" s="16"/>
      <c r="T50" s="16"/>
      <c r="U50" s="16"/>
    </row>
    <row r="51" spans="1:21" s="3" customFormat="1">
      <c r="A51" s="11" t="s">
        <v>175</v>
      </c>
      <c r="B51" s="25" t="s">
        <v>48</v>
      </c>
      <c r="C51" s="26" t="s">
        <v>40</v>
      </c>
      <c r="D51" s="26" t="s">
        <v>65</v>
      </c>
      <c r="E51" s="26" t="s">
        <v>205</v>
      </c>
      <c r="F51" s="26" t="s">
        <v>58</v>
      </c>
      <c r="G51" s="27">
        <f t="shared" ref="G51:I53" si="32">G52</f>
        <v>5900500</v>
      </c>
      <c r="H51" s="27">
        <f t="shared" si="32"/>
        <v>5900500</v>
      </c>
      <c r="I51" s="27">
        <f t="shared" si="32"/>
        <v>5900500</v>
      </c>
      <c r="J51" s="16">
        <f>'БА в тыс. руб.'!G51*1000</f>
        <v>5900500</v>
      </c>
      <c r="K51" s="169">
        <f t="shared" si="0"/>
        <v>0</v>
      </c>
      <c r="L51" s="16">
        <f>'БА в тыс. руб.'!H51*1000</f>
        <v>5900500</v>
      </c>
      <c r="M51" s="169">
        <f t="shared" si="1"/>
        <v>0</v>
      </c>
      <c r="N51" s="16">
        <f>'БА в тыс. руб.'!I51*1000</f>
        <v>5900500</v>
      </c>
      <c r="O51" s="169">
        <f t="shared" si="2"/>
        <v>0</v>
      </c>
      <c r="P51" s="16">
        <v>1190000</v>
      </c>
      <c r="Q51" s="16">
        <v>1190000</v>
      </c>
      <c r="R51" s="16">
        <v>1190000</v>
      </c>
      <c r="S51" s="16"/>
      <c r="T51" s="16"/>
      <c r="U51" s="16"/>
    </row>
    <row r="52" spans="1:21" s="3" customFormat="1" ht="25.5">
      <c r="A52" s="11" t="s">
        <v>120</v>
      </c>
      <c r="B52" s="25" t="s">
        <v>48</v>
      </c>
      <c r="C52" s="26" t="s">
        <v>40</v>
      </c>
      <c r="D52" s="26" t="s">
        <v>65</v>
      </c>
      <c r="E52" s="26" t="s">
        <v>928</v>
      </c>
      <c r="F52" s="26" t="s">
        <v>58</v>
      </c>
      <c r="G52" s="27">
        <f t="shared" si="32"/>
        <v>5900500</v>
      </c>
      <c r="H52" s="27">
        <f t="shared" si="32"/>
        <v>5900500</v>
      </c>
      <c r="I52" s="27">
        <f t="shared" si="32"/>
        <v>5900500</v>
      </c>
      <c r="J52" s="16">
        <f>'БА в тыс. руб.'!G52*1000</f>
        <v>5900500</v>
      </c>
      <c r="K52" s="169">
        <f t="shared" si="0"/>
        <v>0</v>
      </c>
      <c r="L52" s="16">
        <f>'БА в тыс. руб.'!H52*1000</f>
        <v>5900500</v>
      </c>
      <c r="M52" s="169">
        <f t="shared" si="1"/>
        <v>0</v>
      </c>
      <c r="N52" s="16">
        <f>'БА в тыс. руб.'!I52*1000</f>
        <v>5900500</v>
      </c>
      <c r="O52" s="169">
        <f t="shared" si="2"/>
        <v>0</v>
      </c>
      <c r="P52" s="16">
        <v>1190000</v>
      </c>
      <c r="Q52" s="16">
        <v>1190000</v>
      </c>
      <c r="R52" s="16">
        <v>1190000</v>
      </c>
      <c r="S52" s="16"/>
      <c r="T52" s="16"/>
      <c r="U52" s="16"/>
    </row>
    <row r="53" spans="1:21" s="3" customFormat="1" ht="25.5">
      <c r="A53" s="11" t="s">
        <v>108</v>
      </c>
      <c r="B53" s="25" t="s">
        <v>48</v>
      </c>
      <c r="C53" s="26" t="s">
        <v>40</v>
      </c>
      <c r="D53" s="26" t="s">
        <v>65</v>
      </c>
      <c r="E53" s="26" t="s">
        <v>928</v>
      </c>
      <c r="F53" s="26" t="s">
        <v>116</v>
      </c>
      <c r="G53" s="27">
        <f>G54</f>
        <v>5900500</v>
      </c>
      <c r="H53" s="27">
        <f t="shared" si="32"/>
        <v>5900500</v>
      </c>
      <c r="I53" s="27">
        <f t="shared" si="32"/>
        <v>5900500</v>
      </c>
      <c r="J53" s="16">
        <f>'БА в тыс. руб.'!G53*1000</f>
        <v>5900500</v>
      </c>
      <c r="K53" s="169">
        <f t="shared" si="0"/>
        <v>0</v>
      </c>
      <c r="L53" s="16">
        <f>'БА в тыс. руб.'!H53*1000</f>
        <v>5900500</v>
      </c>
      <c r="M53" s="169">
        <f t="shared" si="1"/>
        <v>0</v>
      </c>
      <c r="N53" s="16">
        <f>'БА в тыс. руб.'!I53*1000</f>
        <v>5900500</v>
      </c>
      <c r="O53" s="169">
        <f t="shared" si="2"/>
        <v>0</v>
      </c>
      <c r="P53" s="16">
        <v>1190000</v>
      </c>
      <c r="Q53" s="16">
        <v>1190000</v>
      </c>
      <c r="R53" s="16">
        <v>1190000</v>
      </c>
      <c r="S53" s="16"/>
      <c r="T53" s="16"/>
      <c r="U53" s="16"/>
    </row>
    <row r="54" spans="1:21" s="4" customFormat="1" ht="25.5">
      <c r="A54" s="12" t="s">
        <v>973</v>
      </c>
      <c r="B54" s="25" t="s">
        <v>48</v>
      </c>
      <c r="C54" s="26" t="s">
        <v>40</v>
      </c>
      <c r="D54" s="26" t="s">
        <v>65</v>
      </c>
      <c r="E54" s="26" t="s">
        <v>928</v>
      </c>
      <c r="F54" s="26" t="s">
        <v>1043</v>
      </c>
      <c r="G54" s="27">
        <f t="shared" ref="G54" si="33">J54</f>
        <v>5900500</v>
      </c>
      <c r="H54" s="27">
        <f>L54</f>
        <v>5900500</v>
      </c>
      <c r="I54" s="27">
        <f>N54</f>
        <v>5900500</v>
      </c>
      <c r="J54" s="16">
        <f>'БА в тыс. руб.'!G54*1000</f>
        <v>5900500</v>
      </c>
      <c r="K54" s="169">
        <f t="shared" si="0"/>
        <v>0</v>
      </c>
      <c r="L54" s="16">
        <f>'БА в тыс. руб.'!H54*1000</f>
        <v>5900500</v>
      </c>
      <c r="M54" s="169">
        <f t="shared" si="1"/>
        <v>0</v>
      </c>
      <c r="N54" s="16">
        <f>'БА в тыс. руб.'!I54*1000</f>
        <v>5900500</v>
      </c>
      <c r="O54" s="169">
        <f t="shared" si="2"/>
        <v>0</v>
      </c>
      <c r="P54" s="16">
        <v>1190000</v>
      </c>
      <c r="Q54" s="16">
        <v>1190000</v>
      </c>
      <c r="R54" s="16">
        <v>1190000</v>
      </c>
      <c r="S54" s="16"/>
      <c r="T54" s="16"/>
      <c r="U54" s="16"/>
    </row>
    <row r="55" spans="1:21" s="3" customFormat="1">
      <c r="A55" s="21" t="s">
        <v>52</v>
      </c>
      <c r="B55" s="22" t="s">
        <v>48</v>
      </c>
      <c r="C55" s="23" t="s">
        <v>40</v>
      </c>
      <c r="D55" s="23" t="s">
        <v>66</v>
      </c>
      <c r="E55" s="23" t="s">
        <v>196</v>
      </c>
      <c r="F55" s="23" t="s">
        <v>58</v>
      </c>
      <c r="G55" s="24">
        <f t="shared" ref="G55:I59" si="34">G56</f>
        <v>1190000</v>
      </c>
      <c r="H55" s="24">
        <f t="shared" si="34"/>
        <v>1190000</v>
      </c>
      <c r="I55" s="24">
        <f t="shared" si="34"/>
        <v>1190000</v>
      </c>
      <c r="J55" s="16">
        <f>'БА в тыс. руб.'!G55*1000</f>
        <v>1190000</v>
      </c>
      <c r="K55" s="169">
        <f t="shared" si="0"/>
        <v>0</v>
      </c>
      <c r="L55" s="16">
        <f>'БА в тыс. руб.'!H55*1000</f>
        <v>1190000</v>
      </c>
      <c r="M55" s="169">
        <f t="shared" si="1"/>
        <v>0</v>
      </c>
      <c r="N55" s="16">
        <f>'БА в тыс. руб.'!I55*1000</f>
        <v>1190000</v>
      </c>
      <c r="O55" s="169">
        <f t="shared" si="2"/>
        <v>0</v>
      </c>
      <c r="P55" s="16"/>
      <c r="Q55" s="16"/>
      <c r="R55" s="16"/>
      <c r="S55" s="16"/>
      <c r="T55" s="16"/>
      <c r="U55" s="16"/>
    </row>
    <row r="56" spans="1:21" s="3" customFormat="1">
      <c r="A56" s="11" t="s">
        <v>124</v>
      </c>
      <c r="B56" s="25" t="s">
        <v>48</v>
      </c>
      <c r="C56" s="26" t="s">
        <v>40</v>
      </c>
      <c r="D56" s="26" t="s">
        <v>66</v>
      </c>
      <c r="E56" s="26" t="s">
        <v>197</v>
      </c>
      <c r="F56" s="26" t="s">
        <v>58</v>
      </c>
      <c r="G56" s="27">
        <f>G57</f>
        <v>1190000</v>
      </c>
      <c r="H56" s="27">
        <f t="shared" si="34"/>
        <v>1190000</v>
      </c>
      <c r="I56" s="27">
        <f t="shared" si="34"/>
        <v>1190000</v>
      </c>
      <c r="J56" s="16">
        <f>'БА в тыс. руб.'!G56*1000</f>
        <v>1190000</v>
      </c>
      <c r="K56" s="169">
        <f t="shared" si="0"/>
        <v>0</v>
      </c>
      <c r="L56" s="16">
        <f>'БА в тыс. руб.'!H56*1000</f>
        <v>1190000</v>
      </c>
      <c r="M56" s="169">
        <f t="shared" si="1"/>
        <v>0</v>
      </c>
      <c r="N56" s="16">
        <f>'БА в тыс. руб.'!I56*1000</f>
        <v>1190000</v>
      </c>
      <c r="O56" s="169">
        <f t="shared" si="2"/>
        <v>0</v>
      </c>
      <c r="P56" s="16"/>
      <c r="Q56" s="16"/>
      <c r="R56" s="16"/>
      <c r="S56" s="16"/>
      <c r="T56" s="16"/>
      <c r="U56" s="16"/>
    </row>
    <row r="57" spans="1:21" s="3" customFormat="1">
      <c r="A57" s="11" t="s">
        <v>175</v>
      </c>
      <c r="B57" s="25" t="s">
        <v>48</v>
      </c>
      <c r="C57" s="26" t="s">
        <v>40</v>
      </c>
      <c r="D57" s="26" t="s">
        <v>66</v>
      </c>
      <c r="E57" s="26" t="s">
        <v>205</v>
      </c>
      <c r="F57" s="26" t="s">
        <v>58</v>
      </c>
      <c r="G57" s="27">
        <f>G58</f>
        <v>1190000</v>
      </c>
      <c r="H57" s="27">
        <f t="shared" si="34"/>
        <v>1190000</v>
      </c>
      <c r="I57" s="27">
        <f t="shared" si="34"/>
        <v>1190000</v>
      </c>
      <c r="J57" s="16">
        <f>'БА в тыс. руб.'!G57*1000</f>
        <v>1190000</v>
      </c>
      <c r="K57" s="169">
        <f t="shared" si="0"/>
        <v>0</v>
      </c>
      <c r="L57" s="16">
        <f>'БА в тыс. руб.'!H57*1000</f>
        <v>1190000</v>
      </c>
      <c r="M57" s="169">
        <f t="shared" si="1"/>
        <v>0</v>
      </c>
      <c r="N57" s="16">
        <f>'БА в тыс. руб.'!I57*1000</f>
        <v>1190000</v>
      </c>
      <c r="O57" s="169">
        <f t="shared" si="2"/>
        <v>0</v>
      </c>
      <c r="P57" s="16"/>
      <c r="Q57" s="16"/>
      <c r="R57" s="16"/>
      <c r="S57" s="16"/>
      <c r="T57" s="16"/>
      <c r="U57" s="16"/>
    </row>
    <row r="58" spans="1:21" s="3" customFormat="1" ht="25.5">
      <c r="A58" s="11" t="s">
        <v>120</v>
      </c>
      <c r="B58" s="25" t="s">
        <v>48</v>
      </c>
      <c r="C58" s="26" t="s">
        <v>40</v>
      </c>
      <c r="D58" s="26" t="s">
        <v>66</v>
      </c>
      <c r="E58" s="26" t="s">
        <v>928</v>
      </c>
      <c r="F58" s="26" t="s">
        <v>58</v>
      </c>
      <c r="G58" s="27">
        <f>G59</f>
        <v>1190000</v>
      </c>
      <c r="H58" s="27">
        <f t="shared" si="34"/>
        <v>1190000</v>
      </c>
      <c r="I58" s="27">
        <f t="shared" si="34"/>
        <v>1190000</v>
      </c>
      <c r="J58" s="16">
        <f>'БА в тыс. руб.'!G58*1000</f>
        <v>1190000</v>
      </c>
      <c r="K58" s="169">
        <f t="shared" si="0"/>
        <v>0</v>
      </c>
      <c r="L58" s="16">
        <f>'БА в тыс. руб.'!H58*1000</f>
        <v>1190000</v>
      </c>
      <c r="M58" s="169">
        <f t="shared" si="1"/>
        <v>0</v>
      </c>
      <c r="N58" s="16">
        <f>'БА в тыс. руб.'!I58*1000</f>
        <v>1190000</v>
      </c>
      <c r="O58" s="169">
        <f t="shared" si="2"/>
        <v>0</v>
      </c>
      <c r="P58" s="16"/>
      <c r="Q58" s="16"/>
      <c r="R58" s="16"/>
      <c r="S58" s="16"/>
      <c r="T58" s="16"/>
      <c r="U58" s="16"/>
    </row>
    <row r="59" spans="1:21" s="3" customFormat="1" ht="25.5">
      <c r="A59" s="11" t="s">
        <v>108</v>
      </c>
      <c r="B59" s="25" t="s">
        <v>48</v>
      </c>
      <c r="C59" s="26" t="s">
        <v>40</v>
      </c>
      <c r="D59" s="26" t="s">
        <v>66</v>
      </c>
      <c r="E59" s="26" t="s">
        <v>928</v>
      </c>
      <c r="F59" s="26" t="s">
        <v>116</v>
      </c>
      <c r="G59" s="27">
        <f>G60</f>
        <v>1190000</v>
      </c>
      <c r="H59" s="27">
        <f t="shared" si="34"/>
        <v>1190000</v>
      </c>
      <c r="I59" s="27">
        <f t="shared" si="34"/>
        <v>1190000</v>
      </c>
      <c r="J59" s="16">
        <f>'БА в тыс. руб.'!G59*1000</f>
        <v>1190000</v>
      </c>
      <c r="K59" s="169">
        <f t="shared" si="0"/>
        <v>0</v>
      </c>
      <c r="L59" s="16">
        <f>'БА в тыс. руб.'!H59*1000</f>
        <v>1190000</v>
      </c>
      <c r="M59" s="169">
        <f t="shared" si="1"/>
        <v>0</v>
      </c>
      <c r="N59" s="16">
        <f>'БА в тыс. руб.'!I59*1000</f>
        <v>1190000</v>
      </c>
      <c r="O59" s="169">
        <f t="shared" si="2"/>
        <v>0</v>
      </c>
      <c r="P59" s="16"/>
      <c r="Q59" s="16"/>
      <c r="R59" s="16"/>
      <c r="S59" s="16"/>
      <c r="T59" s="16"/>
      <c r="U59" s="16"/>
    </row>
    <row r="60" spans="1:21" s="4" customFormat="1" ht="25.5">
      <c r="A60" s="12" t="s">
        <v>973</v>
      </c>
      <c r="B60" s="25" t="s">
        <v>48</v>
      </c>
      <c r="C60" s="26" t="s">
        <v>40</v>
      </c>
      <c r="D60" s="26" t="s">
        <v>66</v>
      </c>
      <c r="E60" s="26" t="s">
        <v>928</v>
      </c>
      <c r="F60" s="26" t="s">
        <v>1043</v>
      </c>
      <c r="G60" s="27">
        <f t="shared" ref="G60" si="35">J60</f>
        <v>1190000</v>
      </c>
      <c r="H60" s="27">
        <f t="shared" ref="H60" si="36">L60</f>
        <v>1190000</v>
      </c>
      <c r="I60" s="27">
        <f t="shared" ref="I60" si="37">N60</f>
        <v>1190000</v>
      </c>
      <c r="J60" s="16">
        <f>'БА в тыс. руб.'!G60*1000</f>
        <v>1190000</v>
      </c>
      <c r="K60" s="169">
        <f t="shared" si="0"/>
        <v>0</v>
      </c>
      <c r="L60" s="16">
        <f>'БА в тыс. руб.'!H60*1000</f>
        <v>1190000</v>
      </c>
      <c r="M60" s="169">
        <f t="shared" si="1"/>
        <v>0</v>
      </c>
      <c r="N60" s="16">
        <f>'БА в тыс. руб.'!I60*1000</f>
        <v>1190000</v>
      </c>
      <c r="O60" s="169">
        <f t="shared" si="2"/>
        <v>0</v>
      </c>
      <c r="P60" s="16"/>
      <c r="Q60" s="16"/>
      <c r="R60" s="16"/>
      <c r="S60" s="16"/>
      <c r="T60" s="16"/>
      <c r="U60" s="16"/>
    </row>
    <row r="61" spans="1:21" s="71" customFormat="1">
      <c r="A61" s="79"/>
      <c r="B61" s="92"/>
      <c r="C61" s="70"/>
      <c r="D61" s="70"/>
      <c r="E61" s="70"/>
      <c r="F61" s="70"/>
      <c r="G61" s="27"/>
      <c r="H61" s="27"/>
      <c r="I61" s="27"/>
      <c r="J61" s="16">
        <f>'БА в тыс. руб.'!G61*1000</f>
        <v>0</v>
      </c>
      <c r="K61" s="169">
        <f t="shared" si="0"/>
        <v>0</v>
      </c>
      <c r="L61" s="16">
        <f>'БА в тыс. руб.'!H61*1000</f>
        <v>0</v>
      </c>
      <c r="M61" s="169">
        <f t="shared" si="1"/>
        <v>0</v>
      </c>
      <c r="N61" s="16">
        <f>'БА в тыс. руб.'!I61*1000</f>
        <v>0</v>
      </c>
      <c r="O61" s="169">
        <f t="shared" si="2"/>
        <v>0</v>
      </c>
      <c r="P61" s="16"/>
      <c r="Q61" s="16"/>
      <c r="R61" s="16"/>
      <c r="S61" s="16"/>
      <c r="T61" s="16"/>
      <c r="U61" s="16"/>
    </row>
    <row r="62" spans="1:21" s="3" customFormat="1">
      <c r="A62" s="28" t="s">
        <v>54</v>
      </c>
      <c r="B62" s="14" t="s">
        <v>55</v>
      </c>
      <c r="C62" s="15" t="s">
        <v>51</v>
      </c>
      <c r="D62" s="15" t="s">
        <v>51</v>
      </c>
      <c r="E62" s="15" t="s">
        <v>196</v>
      </c>
      <c r="F62" s="15" t="s">
        <v>58</v>
      </c>
      <c r="G62" s="29">
        <f>G63+G212+G239+G247+G255</f>
        <v>272499480</v>
      </c>
      <c r="H62" s="29">
        <f>H63+H212+H239+H247+H255</f>
        <v>261700520</v>
      </c>
      <c r="I62" s="29">
        <f>I63+I212+I239+I247+I255</f>
        <v>261700520</v>
      </c>
      <c r="J62" s="16">
        <f>'БА в тыс. руб.'!G62*1000</f>
        <v>272499480</v>
      </c>
      <c r="K62" s="169">
        <f t="shared" si="0"/>
        <v>0</v>
      </c>
      <c r="L62" s="16">
        <f>'БА в тыс. руб.'!H62*1000</f>
        <v>261700519.99999997</v>
      </c>
      <c r="M62" s="169">
        <f t="shared" si="1"/>
        <v>0</v>
      </c>
      <c r="N62" s="16">
        <f>'БА в тыс. руб.'!I62*1000</f>
        <v>261700519.99999997</v>
      </c>
      <c r="O62" s="169">
        <f t="shared" si="2"/>
        <v>0</v>
      </c>
      <c r="P62" s="16">
        <v>258100270.5</v>
      </c>
      <c r="Q62" s="16">
        <v>248604006.5</v>
      </c>
      <c r="R62" s="16">
        <v>248604006.5</v>
      </c>
      <c r="S62" s="16">
        <f t="shared" ref="S62" si="38">G62-P62</f>
        <v>14399209.5</v>
      </c>
      <c r="T62" s="16">
        <f t="shared" ref="T62" si="39">H62-Q62</f>
        <v>13096513.5</v>
      </c>
      <c r="U62" s="16">
        <f t="shared" ref="U62" si="40">I62-R62</f>
        <v>13096513.5</v>
      </c>
    </row>
    <row r="63" spans="1:21" s="2" customFormat="1">
      <c r="A63" s="17" t="s">
        <v>64</v>
      </c>
      <c r="B63" s="18" t="s">
        <v>55</v>
      </c>
      <c r="C63" s="19" t="s">
        <v>65</v>
      </c>
      <c r="D63" s="19" t="s">
        <v>51</v>
      </c>
      <c r="E63" s="19" t="s">
        <v>196</v>
      </c>
      <c r="F63" s="19" t="s">
        <v>58</v>
      </c>
      <c r="G63" s="20">
        <f>G75+G102+G108+G64</f>
        <v>242383980</v>
      </c>
      <c r="H63" s="20">
        <f>H75+H102+H108+H64</f>
        <v>232624520</v>
      </c>
      <c r="I63" s="20">
        <f>I75+I102+I108+I64</f>
        <v>232624520</v>
      </c>
      <c r="J63" s="16">
        <f>'БА в тыс. руб.'!G63*1000</f>
        <v>242383979.99999997</v>
      </c>
      <c r="K63" s="169">
        <f t="shared" si="0"/>
        <v>0</v>
      </c>
      <c r="L63" s="16">
        <f>'БА в тыс. руб.'!H63*1000</f>
        <v>232624519.99999997</v>
      </c>
      <c r="M63" s="169">
        <f t="shared" si="1"/>
        <v>0</v>
      </c>
      <c r="N63" s="16">
        <f>'БА в тыс. руб.'!I63*1000</f>
        <v>232624519.99999997</v>
      </c>
      <c r="O63" s="169">
        <f t="shared" si="2"/>
        <v>0</v>
      </c>
      <c r="P63" s="16">
        <v>237633112.5</v>
      </c>
      <c r="Q63" s="16">
        <v>228137888</v>
      </c>
      <c r="R63" s="16">
        <v>228137888</v>
      </c>
      <c r="S63" s="16">
        <f t="shared" ref="S63:S101" si="41">G63-P63</f>
        <v>4750867.5</v>
      </c>
      <c r="T63" s="16">
        <f t="shared" ref="T63:T101" si="42">H63-Q63</f>
        <v>4486632</v>
      </c>
      <c r="U63" s="16">
        <f t="shared" ref="U63:U101" si="43">I63-R63</f>
        <v>4486632</v>
      </c>
    </row>
    <row r="64" spans="1:21" s="2" customFormat="1" ht="25.5">
      <c r="A64" s="21" t="s">
        <v>33</v>
      </c>
      <c r="B64" s="22" t="s">
        <v>55</v>
      </c>
      <c r="C64" s="23" t="s">
        <v>65</v>
      </c>
      <c r="D64" s="23" t="s">
        <v>66</v>
      </c>
      <c r="E64" s="23" t="s">
        <v>196</v>
      </c>
      <c r="F64" s="23" t="s">
        <v>58</v>
      </c>
      <c r="G64" s="24">
        <f>G65</f>
        <v>1593550</v>
      </c>
      <c r="H64" s="24">
        <f t="shared" ref="H64:I65" si="44">H65</f>
        <v>1593550</v>
      </c>
      <c r="I64" s="24">
        <f t="shared" si="44"/>
        <v>1593550</v>
      </c>
      <c r="J64" s="16">
        <f>'БА в тыс. руб.'!G64*1000</f>
        <v>1593550</v>
      </c>
      <c r="K64" s="169">
        <f t="shared" si="0"/>
        <v>0</v>
      </c>
      <c r="L64" s="16">
        <f>'БА в тыс. руб.'!H64*1000</f>
        <v>1593550</v>
      </c>
      <c r="M64" s="169">
        <f t="shared" si="1"/>
        <v>0</v>
      </c>
      <c r="N64" s="16">
        <f>'БА в тыс. руб.'!I64*1000</f>
        <v>1593550</v>
      </c>
      <c r="O64" s="169">
        <f t="shared" si="2"/>
        <v>0</v>
      </c>
      <c r="P64" s="16">
        <v>1593550</v>
      </c>
      <c r="Q64" s="16">
        <v>1593550</v>
      </c>
      <c r="R64" s="16">
        <v>1593550</v>
      </c>
      <c r="S64" s="16">
        <f t="shared" si="41"/>
        <v>0</v>
      </c>
      <c r="T64" s="16">
        <f t="shared" si="42"/>
        <v>0</v>
      </c>
      <c r="U64" s="16">
        <f t="shared" si="43"/>
        <v>0</v>
      </c>
    </row>
    <row r="65" spans="1:21" s="3" customFormat="1">
      <c r="A65" s="11" t="s">
        <v>112</v>
      </c>
      <c r="B65" s="25" t="s">
        <v>55</v>
      </c>
      <c r="C65" s="26" t="s">
        <v>65</v>
      </c>
      <c r="D65" s="26" t="s">
        <v>66</v>
      </c>
      <c r="E65" s="26" t="s">
        <v>206</v>
      </c>
      <c r="F65" s="26" t="s">
        <v>58</v>
      </c>
      <c r="G65" s="27">
        <f>G66</f>
        <v>1593550</v>
      </c>
      <c r="H65" s="27">
        <f t="shared" si="44"/>
        <v>1593550</v>
      </c>
      <c r="I65" s="27">
        <f t="shared" si="44"/>
        <v>1593550</v>
      </c>
      <c r="J65" s="16">
        <f>'БА в тыс. руб.'!G65*1000</f>
        <v>1593550</v>
      </c>
      <c r="K65" s="169">
        <f t="shared" si="0"/>
        <v>0</v>
      </c>
      <c r="L65" s="16">
        <f>'БА в тыс. руб.'!H65*1000</f>
        <v>1593550</v>
      </c>
      <c r="M65" s="169">
        <f t="shared" si="1"/>
        <v>0</v>
      </c>
      <c r="N65" s="16">
        <f>'БА в тыс. руб.'!I65*1000</f>
        <v>1593550</v>
      </c>
      <c r="O65" s="169">
        <f t="shared" si="2"/>
        <v>0</v>
      </c>
      <c r="P65" s="16">
        <v>1593550</v>
      </c>
      <c r="Q65" s="16">
        <v>1593550</v>
      </c>
      <c r="R65" s="16">
        <v>1593550</v>
      </c>
      <c r="S65" s="16">
        <f t="shared" si="41"/>
        <v>0</v>
      </c>
      <c r="T65" s="16">
        <f t="shared" si="42"/>
        <v>0</v>
      </c>
      <c r="U65" s="16">
        <f t="shared" si="43"/>
        <v>0</v>
      </c>
    </row>
    <row r="66" spans="1:21" s="3" customFormat="1">
      <c r="A66" s="11" t="s">
        <v>34</v>
      </c>
      <c r="B66" s="25" t="s">
        <v>55</v>
      </c>
      <c r="C66" s="26" t="s">
        <v>65</v>
      </c>
      <c r="D66" s="26" t="s">
        <v>66</v>
      </c>
      <c r="E66" s="26" t="s">
        <v>213</v>
      </c>
      <c r="F66" s="26" t="s">
        <v>58</v>
      </c>
      <c r="G66" s="27">
        <f>G67+G71</f>
        <v>1593550</v>
      </c>
      <c r="H66" s="27">
        <f t="shared" ref="H66:I66" si="45">H67+H71</f>
        <v>1593550</v>
      </c>
      <c r="I66" s="27">
        <f t="shared" si="45"/>
        <v>1593550</v>
      </c>
      <c r="J66" s="16">
        <f>'БА в тыс. руб.'!G66*1000</f>
        <v>1593550</v>
      </c>
      <c r="K66" s="169">
        <f t="shared" si="0"/>
        <v>0</v>
      </c>
      <c r="L66" s="16">
        <f>'БА в тыс. руб.'!H66*1000</f>
        <v>1593550</v>
      </c>
      <c r="M66" s="169">
        <f t="shared" si="1"/>
        <v>0</v>
      </c>
      <c r="N66" s="16">
        <f>'БА в тыс. руб.'!I66*1000</f>
        <v>1593550</v>
      </c>
      <c r="O66" s="169">
        <f t="shared" si="2"/>
        <v>0</v>
      </c>
      <c r="P66" s="16">
        <v>1593550</v>
      </c>
      <c r="Q66" s="16">
        <v>1593550</v>
      </c>
      <c r="R66" s="16">
        <v>1593550</v>
      </c>
      <c r="S66" s="16">
        <f t="shared" si="41"/>
        <v>0</v>
      </c>
      <c r="T66" s="16">
        <f t="shared" si="42"/>
        <v>0</v>
      </c>
      <c r="U66" s="16">
        <f t="shared" si="43"/>
        <v>0</v>
      </c>
    </row>
    <row r="67" spans="1:21" s="3" customFormat="1" ht="25.5">
      <c r="A67" s="11" t="s">
        <v>114</v>
      </c>
      <c r="B67" s="25" t="s">
        <v>55</v>
      </c>
      <c r="C67" s="26" t="s">
        <v>65</v>
      </c>
      <c r="D67" s="26" t="s">
        <v>66</v>
      </c>
      <c r="E67" s="26" t="s">
        <v>585</v>
      </c>
      <c r="F67" s="26" t="s">
        <v>58</v>
      </c>
      <c r="G67" s="27">
        <f>G68</f>
        <v>41550</v>
      </c>
      <c r="H67" s="27">
        <f t="shared" ref="H67:I67" si="46">H68</f>
        <v>41550</v>
      </c>
      <c r="I67" s="27">
        <f t="shared" si="46"/>
        <v>41550</v>
      </c>
      <c r="J67" s="16">
        <f>'БА в тыс. руб.'!G67*1000</f>
        <v>41550</v>
      </c>
      <c r="K67" s="169">
        <f t="shared" si="0"/>
        <v>0</v>
      </c>
      <c r="L67" s="16">
        <f>'БА в тыс. руб.'!H67*1000</f>
        <v>41550</v>
      </c>
      <c r="M67" s="169">
        <f t="shared" si="1"/>
        <v>0</v>
      </c>
      <c r="N67" s="16">
        <f>'БА в тыс. руб.'!I67*1000</f>
        <v>41550</v>
      </c>
      <c r="O67" s="169">
        <f t="shared" si="2"/>
        <v>0</v>
      </c>
      <c r="P67" s="16">
        <v>41550</v>
      </c>
      <c r="Q67" s="16">
        <v>41550</v>
      </c>
      <c r="R67" s="16">
        <v>41550</v>
      </c>
      <c r="S67" s="16">
        <f t="shared" si="41"/>
        <v>0</v>
      </c>
      <c r="T67" s="16">
        <f t="shared" si="42"/>
        <v>0</v>
      </c>
      <c r="U67" s="16">
        <f t="shared" si="43"/>
        <v>0</v>
      </c>
    </row>
    <row r="68" spans="1:21" s="3" customFormat="1" ht="25.5">
      <c r="A68" s="11" t="s">
        <v>107</v>
      </c>
      <c r="B68" s="25" t="s">
        <v>55</v>
      </c>
      <c r="C68" s="26" t="s">
        <v>65</v>
      </c>
      <c r="D68" s="26" t="s">
        <v>66</v>
      </c>
      <c r="E68" s="26" t="s">
        <v>585</v>
      </c>
      <c r="F68" s="26" t="s">
        <v>115</v>
      </c>
      <c r="G68" s="27">
        <f>SUM(G69:G70)</f>
        <v>41550</v>
      </c>
      <c r="H68" s="27">
        <f t="shared" ref="H68:I68" si="47">SUM(H69:H70)</f>
        <v>41550</v>
      </c>
      <c r="I68" s="27">
        <f t="shared" si="47"/>
        <v>41550</v>
      </c>
      <c r="J68" s="16">
        <f>'БА в тыс. руб.'!G68*1000</f>
        <v>41550</v>
      </c>
      <c r="K68" s="169">
        <f t="shared" si="0"/>
        <v>0</v>
      </c>
      <c r="L68" s="16">
        <f>'БА в тыс. руб.'!H68*1000</f>
        <v>41550</v>
      </c>
      <c r="M68" s="169">
        <f t="shared" si="1"/>
        <v>0</v>
      </c>
      <c r="N68" s="16">
        <f>'БА в тыс. руб.'!I68*1000</f>
        <v>41550</v>
      </c>
      <c r="O68" s="169">
        <f t="shared" si="2"/>
        <v>0</v>
      </c>
      <c r="P68" s="16">
        <v>41550</v>
      </c>
      <c r="Q68" s="16">
        <v>41550</v>
      </c>
      <c r="R68" s="16">
        <v>41550</v>
      </c>
      <c r="S68" s="16">
        <f t="shared" si="41"/>
        <v>0</v>
      </c>
      <c r="T68" s="16">
        <f t="shared" si="42"/>
        <v>0</v>
      </c>
      <c r="U68" s="16">
        <f t="shared" si="43"/>
        <v>0</v>
      </c>
    </row>
    <row r="69" spans="1:21" s="3" customFormat="1" ht="25.5">
      <c r="A69" s="11" t="s">
        <v>937</v>
      </c>
      <c r="B69" s="25" t="s">
        <v>55</v>
      </c>
      <c r="C69" s="26" t="s">
        <v>65</v>
      </c>
      <c r="D69" s="26" t="s">
        <v>66</v>
      </c>
      <c r="E69" s="26" t="s">
        <v>585</v>
      </c>
      <c r="F69" s="26" t="s">
        <v>1059</v>
      </c>
      <c r="G69" s="27">
        <v>31912.5</v>
      </c>
      <c r="H69" s="27">
        <v>31912.5</v>
      </c>
      <c r="I69" s="27">
        <v>31912.5</v>
      </c>
      <c r="J69" s="16">
        <f>'БА в тыс. руб.'!G69*1000</f>
        <v>31910</v>
      </c>
      <c r="K69" s="169">
        <f t="shared" si="0"/>
        <v>-2.5</v>
      </c>
      <c r="L69" s="16">
        <f>'БА в тыс. руб.'!H69*1000</f>
        <v>31910</v>
      </c>
      <c r="M69" s="169">
        <f t="shared" si="1"/>
        <v>-2.5</v>
      </c>
      <c r="N69" s="16">
        <f>'БА в тыс. руб.'!I69*1000</f>
        <v>31910</v>
      </c>
      <c r="O69" s="169">
        <f t="shared" si="2"/>
        <v>-2.5</v>
      </c>
      <c r="P69" s="16">
        <v>31912.5</v>
      </c>
      <c r="Q69" s="16">
        <v>31912.5</v>
      </c>
      <c r="R69" s="16">
        <v>31912.5</v>
      </c>
      <c r="S69" s="16">
        <f t="shared" si="41"/>
        <v>0</v>
      </c>
      <c r="T69" s="16">
        <f t="shared" si="42"/>
        <v>0</v>
      </c>
      <c r="U69" s="16">
        <f t="shared" si="43"/>
        <v>0</v>
      </c>
    </row>
    <row r="70" spans="1:21" s="3" customFormat="1" ht="38.25">
      <c r="A70" s="11" t="s">
        <v>939</v>
      </c>
      <c r="B70" s="25" t="s">
        <v>55</v>
      </c>
      <c r="C70" s="26" t="s">
        <v>65</v>
      </c>
      <c r="D70" s="26" t="s">
        <v>66</v>
      </c>
      <c r="E70" s="26" t="s">
        <v>585</v>
      </c>
      <c r="F70" s="26" t="s">
        <v>1060</v>
      </c>
      <c r="G70" s="27">
        <v>9637.5</v>
      </c>
      <c r="H70" s="27">
        <v>9637.5</v>
      </c>
      <c r="I70" s="27">
        <v>9637.5</v>
      </c>
      <c r="J70" s="16">
        <f>'БА в тыс. руб.'!G70*1000</f>
        <v>9640</v>
      </c>
      <c r="K70" s="169">
        <f t="shared" ref="K70:K133" si="48">J70-G70</f>
        <v>2.5</v>
      </c>
      <c r="L70" s="16">
        <f>'БА в тыс. руб.'!H70*1000</f>
        <v>9640</v>
      </c>
      <c r="M70" s="169">
        <f t="shared" ref="M70:M133" si="49">L70-H70</f>
        <v>2.5</v>
      </c>
      <c r="N70" s="16">
        <f>'БА в тыс. руб.'!I70*1000</f>
        <v>9640</v>
      </c>
      <c r="O70" s="169">
        <f t="shared" ref="O70:O133" si="50">N70-I70</f>
        <v>2.5</v>
      </c>
      <c r="P70" s="16">
        <v>9637.5</v>
      </c>
      <c r="Q70" s="16">
        <v>9637.5</v>
      </c>
      <c r="R70" s="16">
        <v>9637.5</v>
      </c>
      <c r="S70" s="16">
        <f t="shared" si="41"/>
        <v>0</v>
      </c>
      <c r="T70" s="16">
        <f t="shared" si="42"/>
        <v>0</v>
      </c>
      <c r="U70" s="16">
        <f t="shared" si="43"/>
        <v>0</v>
      </c>
    </row>
    <row r="71" spans="1:21" s="3" customFormat="1" ht="25.5">
      <c r="A71" s="11" t="s">
        <v>126</v>
      </c>
      <c r="B71" s="25" t="s">
        <v>55</v>
      </c>
      <c r="C71" s="26" t="s">
        <v>65</v>
      </c>
      <c r="D71" s="26" t="s">
        <v>66</v>
      </c>
      <c r="E71" s="26" t="s">
        <v>214</v>
      </c>
      <c r="F71" s="26" t="s">
        <v>58</v>
      </c>
      <c r="G71" s="27">
        <f>G72</f>
        <v>1552000</v>
      </c>
      <c r="H71" s="27">
        <f t="shared" ref="H71:I71" si="51">H72</f>
        <v>1552000</v>
      </c>
      <c r="I71" s="27">
        <f t="shared" si="51"/>
        <v>1552000</v>
      </c>
      <c r="J71" s="16">
        <f>'БА в тыс. руб.'!G71*1000</f>
        <v>1552000</v>
      </c>
      <c r="K71" s="169">
        <f t="shared" si="48"/>
        <v>0</v>
      </c>
      <c r="L71" s="16">
        <f>'БА в тыс. руб.'!H71*1000</f>
        <v>1552000</v>
      </c>
      <c r="M71" s="169">
        <f t="shared" si="49"/>
        <v>0</v>
      </c>
      <c r="N71" s="16">
        <f>'БА в тыс. руб.'!I71*1000</f>
        <v>1552000</v>
      </c>
      <c r="O71" s="169">
        <f t="shared" si="50"/>
        <v>0</v>
      </c>
      <c r="P71" s="16">
        <v>1552000</v>
      </c>
      <c r="Q71" s="16">
        <v>1552000</v>
      </c>
      <c r="R71" s="16">
        <v>1552000</v>
      </c>
      <c r="S71" s="16">
        <f t="shared" si="41"/>
        <v>0</v>
      </c>
      <c r="T71" s="16">
        <f t="shared" si="42"/>
        <v>0</v>
      </c>
      <c r="U71" s="16">
        <f t="shared" si="43"/>
        <v>0</v>
      </c>
    </row>
    <row r="72" spans="1:21" s="3" customFormat="1" ht="25.5">
      <c r="A72" s="12" t="s">
        <v>107</v>
      </c>
      <c r="B72" s="25" t="s">
        <v>55</v>
      </c>
      <c r="C72" s="26" t="s">
        <v>65</v>
      </c>
      <c r="D72" s="26" t="s">
        <v>66</v>
      </c>
      <c r="E72" s="26" t="s">
        <v>214</v>
      </c>
      <c r="F72" s="26" t="s">
        <v>115</v>
      </c>
      <c r="G72" s="27">
        <f>SUM(G73:G74)</f>
        <v>1552000</v>
      </c>
      <c r="H72" s="27">
        <f t="shared" ref="H72:I72" si="52">SUM(H73:H74)</f>
        <v>1552000</v>
      </c>
      <c r="I72" s="27">
        <f t="shared" si="52"/>
        <v>1552000</v>
      </c>
      <c r="J72" s="16">
        <f>'БА в тыс. руб.'!G72*1000</f>
        <v>1552000</v>
      </c>
      <c r="K72" s="169">
        <f t="shared" si="48"/>
        <v>0</v>
      </c>
      <c r="L72" s="16">
        <f>'БА в тыс. руб.'!H72*1000</f>
        <v>1552000</v>
      </c>
      <c r="M72" s="169">
        <f t="shared" si="49"/>
        <v>0</v>
      </c>
      <c r="N72" s="16">
        <f>'БА в тыс. руб.'!I72*1000</f>
        <v>1552000</v>
      </c>
      <c r="O72" s="169">
        <f t="shared" si="50"/>
        <v>0</v>
      </c>
      <c r="P72" s="16">
        <v>1552000</v>
      </c>
      <c r="Q72" s="16">
        <v>1552000</v>
      </c>
      <c r="R72" s="16">
        <v>1552000</v>
      </c>
      <c r="S72" s="16">
        <f t="shared" si="41"/>
        <v>0</v>
      </c>
      <c r="T72" s="16">
        <f t="shared" si="42"/>
        <v>0</v>
      </c>
      <c r="U72" s="16">
        <f t="shared" si="43"/>
        <v>0</v>
      </c>
    </row>
    <row r="73" spans="1:21" s="4" customFormat="1">
      <c r="A73" s="12" t="s">
        <v>936</v>
      </c>
      <c r="B73" s="25" t="s">
        <v>55</v>
      </c>
      <c r="C73" s="26" t="s">
        <v>65</v>
      </c>
      <c r="D73" s="26" t="s">
        <v>66</v>
      </c>
      <c r="E73" s="26" t="s">
        <v>214</v>
      </c>
      <c r="F73" s="26" t="s">
        <v>1063</v>
      </c>
      <c r="G73" s="27">
        <f t="shared" ref="G73:G74" si="53">J73</f>
        <v>1192000</v>
      </c>
      <c r="H73" s="27">
        <f t="shared" ref="H73:H74" si="54">L73</f>
        <v>1192000</v>
      </c>
      <c r="I73" s="27">
        <f t="shared" ref="I73:I74" si="55">N73</f>
        <v>1192000</v>
      </c>
      <c r="J73" s="16">
        <f>'БА в тыс. руб.'!G73*1000</f>
        <v>1192000</v>
      </c>
      <c r="K73" s="169">
        <f t="shared" si="48"/>
        <v>0</v>
      </c>
      <c r="L73" s="16">
        <f>'БА в тыс. руб.'!H73*1000</f>
        <v>1192000</v>
      </c>
      <c r="M73" s="169">
        <f t="shared" si="49"/>
        <v>0</v>
      </c>
      <c r="N73" s="16">
        <f>'БА в тыс. руб.'!I73*1000</f>
        <v>1192000</v>
      </c>
      <c r="O73" s="169">
        <f t="shared" si="50"/>
        <v>0</v>
      </c>
      <c r="P73" s="16">
        <v>1192000</v>
      </c>
      <c r="Q73" s="16">
        <v>1192000</v>
      </c>
      <c r="R73" s="16">
        <v>1192000</v>
      </c>
      <c r="S73" s="16">
        <f t="shared" si="41"/>
        <v>0</v>
      </c>
      <c r="T73" s="16">
        <f t="shared" si="42"/>
        <v>0</v>
      </c>
      <c r="U73" s="16">
        <f t="shared" si="43"/>
        <v>0</v>
      </c>
    </row>
    <row r="74" spans="1:21" s="4" customFormat="1" ht="38.25">
      <c r="A74" s="12" t="s">
        <v>939</v>
      </c>
      <c r="B74" s="25" t="s">
        <v>55</v>
      </c>
      <c r="C74" s="26" t="s">
        <v>65</v>
      </c>
      <c r="D74" s="26" t="s">
        <v>66</v>
      </c>
      <c r="E74" s="26" t="s">
        <v>214</v>
      </c>
      <c r="F74" s="26" t="s">
        <v>1060</v>
      </c>
      <c r="G74" s="27">
        <f t="shared" si="53"/>
        <v>360000</v>
      </c>
      <c r="H74" s="27">
        <f t="shared" si="54"/>
        <v>360000</v>
      </c>
      <c r="I74" s="27">
        <f t="shared" si="55"/>
        <v>360000</v>
      </c>
      <c r="J74" s="16">
        <f>'БА в тыс. руб.'!G74*1000</f>
        <v>360000</v>
      </c>
      <c r="K74" s="169">
        <f t="shared" si="48"/>
        <v>0</v>
      </c>
      <c r="L74" s="16">
        <f>'БА в тыс. руб.'!H74*1000</f>
        <v>360000</v>
      </c>
      <c r="M74" s="169">
        <f t="shared" si="49"/>
        <v>0</v>
      </c>
      <c r="N74" s="16">
        <f>'БА в тыс. руб.'!I74*1000</f>
        <v>360000</v>
      </c>
      <c r="O74" s="169">
        <f t="shared" si="50"/>
        <v>0</v>
      </c>
      <c r="P74" s="16">
        <v>360000</v>
      </c>
      <c r="Q74" s="16">
        <v>360000</v>
      </c>
      <c r="R74" s="16">
        <v>360000</v>
      </c>
      <c r="S74" s="16">
        <f t="shared" si="41"/>
        <v>0</v>
      </c>
      <c r="T74" s="16">
        <f t="shared" si="42"/>
        <v>0</v>
      </c>
      <c r="U74" s="16">
        <f t="shared" si="43"/>
        <v>0</v>
      </c>
    </row>
    <row r="75" spans="1:21" s="3" customFormat="1" ht="38.25">
      <c r="A75" s="21" t="s">
        <v>31</v>
      </c>
      <c r="B75" s="22" t="s">
        <v>55</v>
      </c>
      <c r="C75" s="23" t="s">
        <v>65</v>
      </c>
      <c r="D75" s="23" t="s">
        <v>37</v>
      </c>
      <c r="E75" s="23" t="s">
        <v>196</v>
      </c>
      <c r="F75" s="23" t="s">
        <v>58</v>
      </c>
      <c r="G75" s="24">
        <f>G76</f>
        <v>107847470</v>
      </c>
      <c r="H75" s="24">
        <f>H76</f>
        <v>107847470</v>
      </c>
      <c r="I75" s="24">
        <f>I76</f>
        <v>107847470</v>
      </c>
      <c r="J75" s="16">
        <f>'БА в тыс. руб.'!G75*1000</f>
        <v>107847470</v>
      </c>
      <c r="K75" s="169">
        <f t="shared" si="48"/>
        <v>0</v>
      </c>
      <c r="L75" s="16">
        <f>'БА в тыс. руб.'!H75*1000</f>
        <v>107847470</v>
      </c>
      <c r="M75" s="169">
        <f t="shared" si="49"/>
        <v>0</v>
      </c>
      <c r="N75" s="16">
        <f>'БА в тыс. руб.'!I75*1000</f>
        <v>107847470</v>
      </c>
      <c r="O75" s="169">
        <f t="shared" si="50"/>
        <v>0</v>
      </c>
      <c r="P75" s="16">
        <v>107847470</v>
      </c>
      <c r="Q75" s="16">
        <v>107847470</v>
      </c>
      <c r="R75" s="16">
        <v>107847470</v>
      </c>
      <c r="S75" s="16">
        <f t="shared" si="41"/>
        <v>0</v>
      </c>
      <c r="T75" s="16">
        <f t="shared" si="42"/>
        <v>0</v>
      </c>
      <c r="U75" s="16">
        <f t="shared" si="43"/>
        <v>0</v>
      </c>
    </row>
    <row r="76" spans="1:21" s="3" customFormat="1">
      <c r="A76" s="34" t="s">
        <v>112</v>
      </c>
      <c r="B76" s="25" t="s">
        <v>55</v>
      </c>
      <c r="C76" s="26" t="s">
        <v>65</v>
      </c>
      <c r="D76" s="26" t="s">
        <v>37</v>
      </c>
      <c r="E76" s="26" t="s">
        <v>206</v>
      </c>
      <c r="F76" s="26" t="s">
        <v>58</v>
      </c>
      <c r="G76" s="27">
        <f>G77</f>
        <v>107847470</v>
      </c>
      <c r="H76" s="27">
        <f t="shared" ref="H76:I76" si="56">H77</f>
        <v>107847470</v>
      </c>
      <c r="I76" s="27">
        <f t="shared" si="56"/>
        <v>107847470</v>
      </c>
      <c r="J76" s="16">
        <f>'БА в тыс. руб.'!G76*1000</f>
        <v>107847470</v>
      </c>
      <c r="K76" s="169">
        <f t="shared" si="48"/>
        <v>0</v>
      </c>
      <c r="L76" s="16">
        <f>'БА в тыс. руб.'!H76*1000</f>
        <v>107847470</v>
      </c>
      <c r="M76" s="169">
        <f t="shared" si="49"/>
        <v>0</v>
      </c>
      <c r="N76" s="16">
        <f>'БА в тыс. руб.'!I76*1000</f>
        <v>107847470</v>
      </c>
      <c r="O76" s="169">
        <f t="shared" si="50"/>
        <v>0</v>
      </c>
      <c r="P76" s="16">
        <v>107847470</v>
      </c>
      <c r="Q76" s="16">
        <v>107847470</v>
      </c>
      <c r="R76" s="16">
        <v>107847470</v>
      </c>
      <c r="S76" s="16">
        <f t="shared" si="41"/>
        <v>0</v>
      </c>
      <c r="T76" s="16">
        <f t="shared" si="42"/>
        <v>0</v>
      </c>
      <c r="U76" s="16">
        <f t="shared" si="43"/>
        <v>0</v>
      </c>
    </row>
    <row r="77" spans="1:21" s="3" customFormat="1" ht="25.5">
      <c r="A77" s="34" t="s">
        <v>113</v>
      </c>
      <c r="B77" s="25" t="s">
        <v>55</v>
      </c>
      <c r="C77" s="26" t="s">
        <v>65</v>
      </c>
      <c r="D77" s="26" t="s">
        <v>37</v>
      </c>
      <c r="E77" s="26" t="s">
        <v>207</v>
      </c>
      <c r="F77" s="26" t="s">
        <v>58</v>
      </c>
      <c r="G77" s="27">
        <f>G78+G86+G90+G93+G99</f>
        <v>107847470</v>
      </c>
      <c r="H77" s="27">
        <f>H78+H86+H90+H93+H99</f>
        <v>107847470</v>
      </c>
      <c r="I77" s="27">
        <f>I78+I86+I90+I93+I99</f>
        <v>107847470</v>
      </c>
      <c r="J77" s="16">
        <f>'БА в тыс. руб.'!G77*1000</f>
        <v>107847470</v>
      </c>
      <c r="K77" s="169">
        <f t="shared" si="48"/>
        <v>0</v>
      </c>
      <c r="L77" s="16">
        <f>'БА в тыс. руб.'!H77*1000</f>
        <v>107847470</v>
      </c>
      <c r="M77" s="169">
        <f t="shared" si="49"/>
        <v>0</v>
      </c>
      <c r="N77" s="16">
        <f>'БА в тыс. руб.'!I77*1000</f>
        <v>107847470</v>
      </c>
      <c r="O77" s="169">
        <f t="shared" si="50"/>
        <v>0</v>
      </c>
      <c r="P77" s="16">
        <v>107847470</v>
      </c>
      <c r="Q77" s="16">
        <v>107847470</v>
      </c>
      <c r="R77" s="16">
        <v>107847470</v>
      </c>
      <c r="S77" s="16">
        <f t="shared" si="41"/>
        <v>0</v>
      </c>
      <c r="T77" s="16">
        <f t="shared" si="42"/>
        <v>0</v>
      </c>
      <c r="U77" s="16">
        <f t="shared" si="43"/>
        <v>0</v>
      </c>
    </row>
    <row r="78" spans="1:21" s="3" customFormat="1" ht="25.5">
      <c r="A78" s="34" t="s">
        <v>114</v>
      </c>
      <c r="B78" s="35" t="s">
        <v>55</v>
      </c>
      <c r="C78" s="36" t="s">
        <v>65</v>
      </c>
      <c r="D78" s="36" t="s">
        <v>37</v>
      </c>
      <c r="E78" s="36" t="s">
        <v>208</v>
      </c>
      <c r="F78" s="36" t="s">
        <v>58</v>
      </c>
      <c r="G78" s="37">
        <f>G79+G82+G84</f>
        <v>12309690</v>
      </c>
      <c r="H78" s="37">
        <f t="shared" ref="H78:I78" si="57">H79+H82+H84</f>
        <v>12309690</v>
      </c>
      <c r="I78" s="37">
        <f t="shared" si="57"/>
        <v>12309690</v>
      </c>
      <c r="J78" s="16">
        <f>'БА в тыс. руб.'!G78*1000</f>
        <v>12309690</v>
      </c>
      <c r="K78" s="169">
        <f t="shared" si="48"/>
        <v>0</v>
      </c>
      <c r="L78" s="16">
        <f>'БА в тыс. руб.'!H78*1000</f>
        <v>12309690</v>
      </c>
      <c r="M78" s="169">
        <f t="shared" si="49"/>
        <v>0</v>
      </c>
      <c r="N78" s="16">
        <f>'БА в тыс. руб.'!I78*1000</f>
        <v>12309690</v>
      </c>
      <c r="O78" s="169">
        <f t="shared" si="50"/>
        <v>0</v>
      </c>
      <c r="P78" s="16">
        <v>12309690</v>
      </c>
      <c r="Q78" s="16">
        <v>12309690</v>
      </c>
      <c r="R78" s="16">
        <v>12309690</v>
      </c>
      <c r="S78" s="16">
        <f t="shared" si="41"/>
        <v>0</v>
      </c>
      <c r="T78" s="16">
        <f t="shared" si="42"/>
        <v>0</v>
      </c>
      <c r="U78" s="16">
        <f t="shared" si="43"/>
        <v>0</v>
      </c>
    </row>
    <row r="79" spans="1:21" s="3" customFormat="1" ht="25.5">
      <c r="A79" s="12" t="s">
        <v>107</v>
      </c>
      <c r="B79" s="35" t="s">
        <v>55</v>
      </c>
      <c r="C79" s="36" t="s">
        <v>65</v>
      </c>
      <c r="D79" s="36" t="s">
        <v>37</v>
      </c>
      <c r="E79" s="36" t="s">
        <v>208</v>
      </c>
      <c r="F79" s="26" t="s">
        <v>115</v>
      </c>
      <c r="G79" s="27">
        <f>SUM(G80:G81)</f>
        <v>4384020</v>
      </c>
      <c r="H79" s="27">
        <f t="shared" ref="H79:I79" si="58">SUM(H80:H81)</f>
        <v>4384020</v>
      </c>
      <c r="I79" s="27">
        <f t="shared" si="58"/>
        <v>4384020</v>
      </c>
      <c r="J79" s="16">
        <f>'БА в тыс. руб.'!G79*1000</f>
        <v>4384020</v>
      </c>
      <c r="K79" s="169">
        <f t="shared" si="48"/>
        <v>0</v>
      </c>
      <c r="L79" s="16">
        <f>'БА в тыс. руб.'!H79*1000</f>
        <v>4384020</v>
      </c>
      <c r="M79" s="169">
        <f t="shared" si="49"/>
        <v>0</v>
      </c>
      <c r="N79" s="16">
        <f>'БА в тыс. руб.'!I79*1000</f>
        <v>4384020</v>
      </c>
      <c r="O79" s="169">
        <f t="shared" si="50"/>
        <v>0</v>
      </c>
      <c r="P79" s="16">
        <v>4384020</v>
      </c>
      <c r="Q79" s="16">
        <v>4384020</v>
      </c>
      <c r="R79" s="16">
        <v>4384020</v>
      </c>
      <c r="S79" s="16">
        <f t="shared" si="41"/>
        <v>0</v>
      </c>
      <c r="T79" s="16">
        <f t="shared" si="42"/>
        <v>0</v>
      </c>
      <c r="U79" s="16">
        <f t="shared" si="43"/>
        <v>0</v>
      </c>
    </row>
    <row r="80" spans="1:21" s="3" customFormat="1" ht="25.5">
      <c r="A80" s="11" t="s">
        <v>937</v>
      </c>
      <c r="B80" s="25" t="s">
        <v>55</v>
      </c>
      <c r="C80" s="26" t="s">
        <v>65</v>
      </c>
      <c r="D80" s="26" t="s">
        <v>37</v>
      </c>
      <c r="E80" s="26" t="s">
        <v>208</v>
      </c>
      <c r="F80" s="26" t="s">
        <v>1059</v>
      </c>
      <c r="G80" s="27">
        <f t="shared" ref="G80:G81" si="59">J80</f>
        <v>3681770</v>
      </c>
      <c r="H80" s="27">
        <f t="shared" ref="H80:H81" si="60">L80</f>
        <v>3681770</v>
      </c>
      <c r="I80" s="27">
        <f t="shared" ref="I80:I81" si="61">N80</f>
        <v>3681770</v>
      </c>
      <c r="J80" s="16">
        <f>'БА в тыс. руб.'!G80*1000</f>
        <v>3681770</v>
      </c>
      <c r="K80" s="169">
        <f t="shared" si="48"/>
        <v>0</v>
      </c>
      <c r="L80" s="16">
        <f>'БА в тыс. руб.'!H80*1000</f>
        <v>3681770</v>
      </c>
      <c r="M80" s="169">
        <f t="shared" si="49"/>
        <v>0</v>
      </c>
      <c r="N80" s="16">
        <f>'БА в тыс. руб.'!I80*1000</f>
        <v>3681770</v>
      </c>
      <c r="O80" s="169">
        <f t="shared" si="50"/>
        <v>0</v>
      </c>
      <c r="P80" s="16">
        <v>3681770</v>
      </c>
      <c r="Q80" s="16">
        <v>3681770</v>
      </c>
      <c r="R80" s="16">
        <v>3681770</v>
      </c>
      <c r="S80" s="16">
        <f t="shared" si="41"/>
        <v>0</v>
      </c>
      <c r="T80" s="16">
        <f t="shared" si="42"/>
        <v>0</v>
      </c>
      <c r="U80" s="16">
        <f t="shared" si="43"/>
        <v>0</v>
      </c>
    </row>
    <row r="81" spans="1:21" s="3" customFormat="1" ht="38.25">
      <c r="A81" s="11" t="s">
        <v>939</v>
      </c>
      <c r="B81" s="25" t="s">
        <v>55</v>
      </c>
      <c r="C81" s="26" t="s">
        <v>65</v>
      </c>
      <c r="D81" s="26" t="s">
        <v>37</v>
      </c>
      <c r="E81" s="26" t="s">
        <v>208</v>
      </c>
      <c r="F81" s="26" t="s">
        <v>1060</v>
      </c>
      <c r="G81" s="27">
        <f t="shared" si="59"/>
        <v>702250</v>
      </c>
      <c r="H81" s="27">
        <f t="shared" si="60"/>
        <v>702250</v>
      </c>
      <c r="I81" s="27">
        <f t="shared" si="61"/>
        <v>702250</v>
      </c>
      <c r="J81" s="16">
        <f>'БА в тыс. руб.'!G81*1000</f>
        <v>702250</v>
      </c>
      <c r="K81" s="169">
        <f t="shared" si="48"/>
        <v>0</v>
      </c>
      <c r="L81" s="16">
        <f>'БА в тыс. руб.'!H81*1000</f>
        <v>702250</v>
      </c>
      <c r="M81" s="169">
        <f t="shared" si="49"/>
        <v>0</v>
      </c>
      <c r="N81" s="16">
        <f>'БА в тыс. руб.'!I81*1000</f>
        <v>702250</v>
      </c>
      <c r="O81" s="169">
        <f t="shared" si="50"/>
        <v>0</v>
      </c>
      <c r="P81" s="16">
        <v>702250</v>
      </c>
      <c r="Q81" s="16">
        <v>702250</v>
      </c>
      <c r="R81" s="16">
        <v>702250</v>
      </c>
      <c r="S81" s="16">
        <f t="shared" si="41"/>
        <v>0</v>
      </c>
      <c r="T81" s="16">
        <f t="shared" si="42"/>
        <v>0</v>
      </c>
      <c r="U81" s="16">
        <f t="shared" si="43"/>
        <v>0</v>
      </c>
    </row>
    <row r="82" spans="1:21" s="3" customFormat="1" ht="25.5">
      <c r="A82" s="11" t="s">
        <v>108</v>
      </c>
      <c r="B82" s="35" t="s">
        <v>55</v>
      </c>
      <c r="C82" s="36" t="s">
        <v>65</v>
      </c>
      <c r="D82" s="36" t="s">
        <v>37</v>
      </c>
      <c r="E82" s="36" t="s">
        <v>208</v>
      </c>
      <c r="F82" s="26" t="s">
        <v>116</v>
      </c>
      <c r="G82" s="27">
        <f>G83</f>
        <v>7901670</v>
      </c>
      <c r="H82" s="27">
        <f t="shared" ref="H82:I82" si="62">H83</f>
        <v>7901670</v>
      </c>
      <c r="I82" s="27">
        <f t="shared" si="62"/>
        <v>7901670</v>
      </c>
      <c r="J82" s="16">
        <f>'БА в тыс. руб.'!G82*1000</f>
        <v>7901670</v>
      </c>
      <c r="K82" s="169">
        <f t="shared" si="48"/>
        <v>0</v>
      </c>
      <c r="L82" s="16">
        <f>'БА в тыс. руб.'!H82*1000</f>
        <v>7901670</v>
      </c>
      <c r="M82" s="169">
        <f t="shared" si="49"/>
        <v>0</v>
      </c>
      <c r="N82" s="16">
        <f>'БА в тыс. руб.'!I82*1000</f>
        <v>7901670</v>
      </c>
      <c r="O82" s="169">
        <f t="shared" si="50"/>
        <v>0</v>
      </c>
      <c r="P82" s="16">
        <v>7901670</v>
      </c>
      <c r="Q82" s="16">
        <v>7901670</v>
      </c>
      <c r="R82" s="16">
        <v>7901670</v>
      </c>
      <c r="S82" s="16">
        <f t="shared" si="41"/>
        <v>0</v>
      </c>
      <c r="T82" s="16">
        <f t="shared" si="42"/>
        <v>0</v>
      </c>
      <c r="U82" s="16">
        <f t="shared" si="43"/>
        <v>0</v>
      </c>
    </row>
    <row r="83" spans="1:21" s="4" customFormat="1" ht="25.5">
      <c r="A83" s="12" t="s">
        <v>973</v>
      </c>
      <c r="B83" s="35" t="s">
        <v>55</v>
      </c>
      <c r="C83" s="36" t="s">
        <v>65</v>
      </c>
      <c r="D83" s="36" t="s">
        <v>37</v>
      </c>
      <c r="E83" s="36" t="s">
        <v>208</v>
      </c>
      <c r="F83" s="26" t="s">
        <v>1043</v>
      </c>
      <c r="G83" s="27">
        <f t="shared" ref="G83" si="63">J83</f>
        <v>7901670</v>
      </c>
      <c r="H83" s="27">
        <f>L83</f>
        <v>7901670</v>
      </c>
      <c r="I83" s="27">
        <f>N83</f>
        <v>7901670</v>
      </c>
      <c r="J83" s="16">
        <f>'БА в тыс. руб.'!G83*1000</f>
        <v>7901670</v>
      </c>
      <c r="K83" s="169">
        <f t="shared" si="48"/>
        <v>0</v>
      </c>
      <c r="L83" s="16">
        <f>'БА в тыс. руб.'!H83*1000</f>
        <v>7901670</v>
      </c>
      <c r="M83" s="169">
        <f t="shared" si="49"/>
        <v>0</v>
      </c>
      <c r="N83" s="16">
        <f>'БА в тыс. руб.'!I83*1000</f>
        <v>7901670</v>
      </c>
      <c r="O83" s="169">
        <f t="shared" si="50"/>
        <v>0</v>
      </c>
      <c r="P83" s="16">
        <v>7901670</v>
      </c>
      <c r="Q83" s="16">
        <v>7901670</v>
      </c>
      <c r="R83" s="16">
        <v>7901670</v>
      </c>
      <c r="S83" s="16">
        <f t="shared" si="41"/>
        <v>0</v>
      </c>
      <c r="T83" s="16">
        <f t="shared" si="42"/>
        <v>0</v>
      </c>
      <c r="U83" s="16">
        <f t="shared" si="43"/>
        <v>0</v>
      </c>
    </row>
    <row r="84" spans="1:21" s="3" customFormat="1">
      <c r="A84" s="11" t="s">
        <v>97</v>
      </c>
      <c r="B84" s="35" t="s">
        <v>55</v>
      </c>
      <c r="C84" s="36" t="s">
        <v>65</v>
      </c>
      <c r="D84" s="36" t="s">
        <v>37</v>
      </c>
      <c r="E84" s="36" t="s">
        <v>208</v>
      </c>
      <c r="F84" s="26" t="s">
        <v>118</v>
      </c>
      <c r="G84" s="27">
        <f>G85</f>
        <v>24000</v>
      </c>
      <c r="H84" s="27">
        <f t="shared" ref="H84:I84" si="64">H85</f>
        <v>24000</v>
      </c>
      <c r="I84" s="27">
        <f t="shared" si="64"/>
        <v>24000</v>
      </c>
      <c r="J84" s="16">
        <f>'БА в тыс. руб.'!G84*1000</f>
        <v>24000</v>
      </c>
      <c r="K84" s="169">
        <f t="shared" si="48"/>
        <v>0</v>
      </c>
      <c r="L84" s="16">
        <f>'БА в тыс. руб.'!H84*1000</f>
        <v>24000</v>
      </c>
      <c r="M84" s="169">
        <f t="shared" si="49"/>
        <v>0</v>
      </c>
      <c r="N84" s="16">
        <f>'БА в тыс. руб.'!I84*1000</f>
        <v>24000</v>
      </c>
      <c r="O84" s="169">
        <f t="shared" si="50"/>
        <v>0</v>
      </c>
      <c r="P84" s="16">
        <v>24000</v>
      </c>
      <c r="Q84" s="16">
        <v>24000</v>
      </c>
      <c r="R84" s="16">
        <v>24000</v>
      </c>
      <c r="S84" s="16">
        <f t="shared" si="41"/>
        <v>0</v>
      </c>
      <c r="T84" s="16">
        <f t="shared" si="42"/>
        <v>0</v>
      </c>
      <c r="U84" s="16">
        <f t="shared" si="43"/>
        <v>0</v>
      </c>
    </row>
    <row r="85" spans="1:21" s="4" customFormat="1">
      <c r="A85" s="12" t="s">
        <v>1037</v>
      </c>
      <c r="B85" s="35" t="s">
        <v>55</v>
      </c>
      <c r="C85" s="36" t="s">
        <v>65</v>
      </c>
      <c r="D85" s="36" t="s">
        <v>37</v>
      </c>
      <c r="E85" s="36" t="s">
        <v>208</v>
      </c>
      <c r="F85" s="26" t="s">
        <v>1062</v>
      </c>
      <c r="G85" s="27">
        <f t="shared" ref="G85" si="65">J85</f>
        <v>24000</v>
      </c>
      <c r="H85" s="27">
        <f>L85</f>
        <v>24000</v>
      </c>
      <c r="I85" s="27">
        <f>N85</f>
        <v>24000</v>
      </c>
      <c r="J85" s="16">
        <f>'БА в тыс. руб.'!G85*1000</f>
        <v>24000</v>
      </c>
      <c r="K85" s="169">
        <f t="shared" si="48"/>
        <v>0</v>
      </c>
      <c r="L85" s="16">
        <f>'БА в тыс. руб.'!H85*1000</f>
        <v>24000</v>
      </c>
      <c r="M85" s="169">
        <f t="shared" si="49"/>
        <v>0</v>
      </c>
      <c r="N85" s="16">
        <f>'БА в тыс. руб.'!I85*1000</f>
        <v>24000</v>
      </c>
      <c r="O85" s="169">
        <f t="shared" si="50"/>
        <v>0</v>
      </c>
      <c r="P85" s="16">
        <v>24000</v>
      </c>
      <c r="Q85" s="16">
        <v>24000</v>
      </c>
      <c r="R85" s="16">
        <v>24000</v>
      </c>
      <c r="S85" s="16">
        <f t="shared" si="41"/>
        <v>0</v>
      </c>
      <c r="T85" s="16">
        <f t="shared" si="42"/>
        <v>0</v>
      </c>
      <c r="U85" s="16">
        <f t="shared" si="43"/>
        <v>0</v>
      </c>
    </row>
    <row r="86" spans="1:21" s="3" customFormat="1" ht="25.5">
      <c r="A86" s="34" t="s">
        <v>126</v>
      </c>
      <c r="B86" s="25" t="s">
        <v>55</v>
      </c>
      <c r="C86" s="26" t="s">
        <v>65</v>
      </c>
      <c r="D86" s="26" t="s">
        <v>37</v>
      </c>
      <c r="E86" s="26" t="s">
        <v>209</v>
      </c>
      <c r="F86" s="36" t="s">
        <v>58</v>
      </c>
      <c r="G86" s="27">
        <f>G87</f>
        <v>94314410</v>
      </c>
      <c r="H86" s="27">
        <f t="shared" ref="H86:I86" si="66">H87</f>
        <v>94314410</v>
      </c>
      <c r="I86" s="27">
        <f t="shared" si="66"/>
        <v>94314410</v>
      </c>
      <c r="J86" s="16">
        <f>'БА в тыс. руб.'!G86*1000</f>
        <v>94314410</v>
      </c>
      <c r="K86" s="169">
        <f t="shared" si="48"/>
        <v>0</v>
      </c>
      <c r="L86" s="16">
        <f>'БА в тыс. руб.'!H86*1000</f>
        <v>94314410</v>
      </c>
      <c r="M86" s="169">
        <f t="shared" si="49"/>
        <v>0</v>
      </c>
      <c r="N86" s="16">
        <f>'БА в тыс. руб.'!I86*1000</f>
        <v>94314410</v>
      </c>
      <c r="O86" s="169">
        <f t="shared" si="50"/>
        <v>0</v>
      </c>
      <c r="P86" s="16">
        <v>94314410</v>
      </c>
      <c r="Q86" s="16">
        <v>94314410</v>
      </c>
      <c r="R86" s="16">
        <v>94314410</v>
      </c>
      <c r="S86" s="16">
        <f t="shared" si="41"/>
        <v>0</v>
      </c>
      <c r="T86" s="16">
        <f t="shared" si="42"/>
        <v>0</v>
      </c>
      <c r="U86" s="16">
        <f t="shared" si="43"/>
        <v>0</v>
      </c>
    </row>
    <row r="87" spans="1:21" s="3" customFormat="1" ht="25.5">
      <c r="A87" s="12" t="s">
        <v>107</v>
      </c>
      <c r="B87" s="25" t="s">
        <v>55</v>
      </c>
      <c r="C87" s="26" t="s">
        <v>65</v>
      </c>
      <c r="D87" s="26" t="s">
        <v>37</v>
      </c>
      <c r="E87" s="26" t="s">
        <v>209</v>
      </c>
      <c r="F87" s="36" t="s">
        <v>115</v>
      </c>
      <c r="G87" s="27">
        <f>SUM(G88:G89)</f>
        <v>94314410</v>
      </c>
      <c r="H87" s="27">
        <f t="shared" ref="H87:I87" si="67">SUM(H88:H89)</f>
        <v>94314410</v>
      </c>
      <c r="I87" s="27">
        <f t="shared" si="67"/>
        <v>94314410</v>
      </c>
      <c r="J87" s="16">
        <f>'БА в тыс. руб.'!G87*1000</f>
        <v>94314410</v>
      </c>
      <c r="K87" s="169">
        <f t="shared" si="48"/>
        <v>0</v>
      </c>
      <c r="L87" s="16">
        <f>'БА в тыс. руб.'!H87*1000</f>
        <v>94314410</v>
      </c>
      <c r="M87" s="169">
        <f t="shared" si="49"/>
        <v>0</v>
      </c>
      <c r="N87" s="16">
        <f>'БА в тыс. руб.'!I87*1000</f>
        <v>94314410</v>
      </c>
      <c r="O87" s="169">
        <f t="shared" si="50"/>
        <v>0</v>
      </c>
      <c r="P87" s="16">
        <v>94314410</v>
      </c>
      <c r="Q87" s="16">
        <v>94314410</v>
      </c>
      <c r="R87" s="16">
        <v>94314410</v>
      </c>
      <c r="S87" s="16">
        <f t="shared" si="41"/>
        <v>0</v>
      </c>
      <c r="T87" s="16">
        <f t="shared" si="42"/>
        <v>0</v>
      </c>
      <c r="U87" s="16">
        <f t="shared" si="43"/>
        <v>0</v>
      </c>
    </row>
    <row r="88" spans="1:21" s="4" customFormat="1">
      <c r="A88" s="12" t="s">
        <v>936</v>
      </c>
      <c r="B88" s="25" t="s">
        <v>55</v>
      </c>
      <c r="C88" s="26" t="s">
        <v>65</v>
      </c>
      <c r="D88" s="26" t="s">
        <v>37</v>
      </c>
      <c r="E88" s="26" t="s">
        <v>209</v>
      </c>
      <c r="F88" s="26" t="s">
        <v>1063</v>
      </c>
      <c r="G88" s="27">
        <f t="shared" ref="G88:G89" si="68">J88</f>
        <v>72438120</v>
      </c>
      <c r="H88" s="27">
        <f t="shared" ref="H88:H89" si="69">L88</f>
        <v>72438120</v>
      </c>
      <c r="I88" s="27">
        <f t="shared" ref="I88:I89" si="70">N88</f>
        <v>72438120</v>
      </c>
      <c r="J88" s="16">
        <f>'БА в тыс. руб.'!G88*1000</f>
        <v>72438120</v>
      </c>
      <c r="K88" s="169">
        <f t="shared" si="48"/>
        <v>0</v>
      </c>
      <c r="L88" s="16">
        <f>'БА в тыс. руб.'!H88*1000</f>
        <v>72438120</v>
      </c>
      <c r="M88" s="169">
        <f t="shared" si="49"/>
        <v>0</v>
      </c>
      <c r="N88" s="16">
        <f>'БА в тыс. руб.'!I88*1000</f>
        <v>72438120</v>
      </c>
      <c r="O88" s="169">
        <f t="shared" si="50"/>
        <v>0</v>
      </c>
      <c r="P88" s="16">
        <v>72438120</v>
      </c>
      <c r="Q88" s="16">
        <v>72438120</v>
      </c>
      <c r="R88" s="16">
        <v>72438120</v>
      </c>
      <c r="S88" s="16">
        <f t="shared" si="41"/>
        <v>0</v>
      </c>
      <c r="T88" s="16">
        <f t="shared" si="42"/>
        <v>0</v>
      </c>
      <c r="U88" s="16">
        <f t="shared" si="43"/>
        <v>0</v>
      </c>
    </row>
    <row r="89" spans="1:21" s="4" customFormat="1" ht="38.25">
      <c r="A89" s="12" t="s">
        <v>939</v>
      </c>
      <c r="B89" s="25" t="s">
        <v>55</v>
      </c>
      <c r="C89" s="26" t="s">
        <v>65</v>
      </c>
      <c r="D89" s="26" t="s">
        <v>37</v>
      </c>
      <c r="E89" s="26" t="s">
        <v>209</v>
      </c>
      <c r="F89" s="26" t="s">
        <v>1060</v>
      </c>
      <c r="G89" s="27">
        <f t="shared" si="68"/>
        <v>21876290</v>
      </c>
      <c r="H89" s="27">
        <f t="shared" si="69"/>
        <v>21876290</v>
      </c>
      <c r="I89" s="27">
        <f t="shared" si="70"/>
        <v>21876290</v>
      </c>
      <c r="J89" s="16">
        <f>'БА в тыс. руб.'!G89*1000</f>
        <v>21876290</v>
      </c>
      <c r="K89" s="169">
        <f t="shared" si="48"/>
        <v>0</v>
      </c>
      <c r="L89" s="16">
        <f>'БА в тыс. руб.'!H89*1000</f>
        <v>21876290</v>
      </c>
      <c r="M89" s="169">
        <f t="shared" si="49"/>
        <v>0</v>
      </c>
      <c r="N89" s="16">
        <f>'БА в тыс. руб.'!I89*1000</f>
        <v>21876290</v>
      </c>
      <c r="O89" s="169">
        <f t="shared" si="50"/>
        <v>0</v>
      </c>
      <c r="P89" s="16">
        <v>21876290</v>
      </c>
      <c r="Q89" s="16">
        <v>21876290</v>
      </c>
      <c r="R89" s="16">
        <v>21876290</v>
      </c>
      <c r="S89" s="16">
        <f t="shared" si="41"/>
        <v>0</v>
      </c>
      <c r="T89" s="16">
        <f t="shared" si="42"/>
        <v>0</v>
      </c>
      <c r="U89" s="16">
        <f t="shared" si="43"/>
        <v>0</v>
      </c>
    </row>
    <row r="90" spans="1:21" s="3" customFormat="1" ht="51">
      <c r="A90" s="34" t="s">
        <v>870</v>
      </c>
      <c r="B90" s="25" t="s">
        <v>55</v>
      </c>
      <c r="C90" s="26" t="s">
        <v>65</v>
      </c>
      <c r="D90" s="26" t="s">
        <v>37</v>
      </c>
      <c r="E90" s="26" t="s">
        <v>210</v>
      </c>
      <c r="F90" s="36" t="s">
        <v>58</v>
      </c>
      <c r="G90" s="27">
        <f>G91</f>
        <v>51730</v>
      </c>
      <c r="H90" s="27">
        <f>H91</f>
        <v>51730</v>
      </c>
      <c r="I90" s="27">
        <f>I91</f>
        <v>51730</v>
      </c>
      <c r="J90" s="16">
        <f>'БА в тыс. руб.'!G90*1000</f>
        <v>51730</v>
      </c>
      <c r="K90" s="169">
        <f t="shared" si="48"/>
        <v>0</v>
      </c>
      <c r="L90" s="16">
        <f>'БА в тыс. руб.'!H90*1000</f>
        <v>51730</v>
      </c>
      <c r="M90" s="169">
        <f t="shared" si="49"/>
        <v>0</v>
      </c>
      <c r="N90" s="16">
        <f>'БА в тыс. руб.'!I90*1000</f>
        <v>51730</v>
      </c>
      <c r="O90" s="169">
        <f t="shared" si="50"/>
        <v>0</v>
      </c>
      <c r="P90" s="16">
        <v>51730</v>
      </c>
      <c r="Q90" s="16">
        <v>51730</v>
      </c>
      <c r="R90" s="16">
        <v>51730</v>
      </c>
      <c r="S90" s="16">
        <f t="shared" si="41"/>
        <v>0</v>
      </c>
      <c r="T90" s="16">
        <f t="shared" si="42"/>
        <v>0</v>
      </c>
      <c r="U90" s="16">
        <f t="shared" si="43"/>
        <v>0</v>
      </c>
    </row>
    <row r="91" spans="1:21" s="3" customFormat="1" ht="25.5">
      <c r="A91" s="11" t="s">
        <v>108</v>
      </c>
      <c r="B91" s="25" t="s">
        <v>55</v>
      </c>
      <c r="C91" s="26" t="s">
        <v>65</v>
      </c>
      <c r="D91" s="26" t="s">
        <v>37</v>
      </c>
      <c r="E91" s="26" t="s">
        <v>210</v>
      </c>
      <c r="F91" s="26" t="s">
        <v>116</v>
      </c>
      <c r="G91" s="27">
        <f>G92</f>
        <v>51730</v>
      </c>
      <c r="H91" s="27">
        <f t="shared" ref="H91:I91" si="71">H92</f>
        <v>51730</v>
      </c>
      <c r="I91" s="27">
        <f t="shared" si="71"/>
        <v>51730</v>
      </c>
      <c r="J91" s="16">
        <f>'БА в тыс. руб.'!G91*1000</f>
        <v>51730</v>
      </c>
      <c r="K91" s="169">
        <f t="shared" si="48"/>
        <v>0</v>
      </c>
      <c r="L91" s="16">
        <f>'БА в тыс. руб.'!H91*1000</f>
        <v>51730</v>
      </c>
      <c r="M91" s="169">
        <f t="shared" si="49"/>
        <v>0</v>
      </c>
      <c r="N91" s="16">
        <f>'БА в тыс. руб.'!I91*1000</f>
        <v>51730</v>
      </c>
      <c r="O91" s="169">
        <f t="shared" si="50"/>
        <v>0</v>
      </c>
      <c r="P91" s="16">
        <v>51730</v>
      </c>
      <c r="Q91" s="16">
        <v>51730</v>
      </c>
      <c r="R91" s="16">
        <v>51730</v>
      </c>
      <c r="S91" s="16">
        <f t="shared" si="41"/>
        <v>0</v>
      </c>
      <c r="T91" s="16">
        <f t="shared" si="42"/>
        <v>0</v>
      </c>
      <c r="U91" s="16">
        <f t="shared" si="43"/>
        <v>0</v>
      </c>
    </row>
    <row r="92" spans="1:21" s="4" customFormat="1" ht="25.5">
      <c r="A92" s="12" t="s">
        <v>973</v>
      </c>
      <c r="B92" s="25" t="s">
        <v>55</v>
      </c>
      <c r="C92" s="26" t="s">
        <v>65</v>
      </c>
      <c r="D92" s="26" t="s">
        <v>37</v>
      </c>
      <c r="E92" s="26" t="s">
        <v>210</v>
      </c>
      <c r="F92" s="26" t="s">
        <v>1043</v>
      </c>
      <c r="G92" s="27">
        <f t="shared" ref="G92" si="72">J92</f>
        <v>51730</v>
      </c>
      <c r="H92" s="27">
        <f>L92</f>
        <v>51730</v>
      </c>
      <c r="I92" s="27">
        <f>N92</f>
        <v>51730</v>
      </c>
      <c r="J92" s="16">
        <f>'БА в тыс. руб.'!G92*1000</f>
        <v>51730</v>
      </c>
      <c r="K92" s="169">
        <f t="shared" si="48"/>
        <v>0</v>
      </c>
      <c r="L92" s="16">
        <f>'БА в тыс. руб.'!H92*1000</f>
        <v>51730</v>
      </c>
      <c r="M92" s="169">
        <f t="shared" si="49"/>
        <v>0</v>
      </c>
      <c r="N92" s="16">
        <f>'БА в тыс. руб.'!I92*1000</f>
        <v>51730</v>
      </c>
      <c r="O92" s="169">
        <f t="shared" si="50"/>
        <v>0</v>
      </c>
      <c r="P92" s="16">
        <v>51730</v>
      </c>
      <c r="Q92" s="16">
        <v>51730</v>
      </c>
      <c r="R92" s="16">
        <v>51730</v>
      </c>
      <c r="S92" s="16">
        <f t="shared" si="41"/>
        <v>0</v>
      </c>
      <c r="T92" s="16">
        <f t="shared" si="42"/>
        <v>0</v>
      </c>
      <c r="U92" s="16">
        <f t="shared" si="43"/>
        <v>0</v>
      </c>
    </row>
    <row r="93" spans="1:21" s="3" customFormat="1" ht="51">
      <c r="A93" s="11" t="s">
        <v>597</v>
      </c>
      <c r="B93" s="35" t="s">
        <v>55</v>
      </c>
      <c r="C93" s="36" t="s">
        <v>65</v>
      </c>
      <c r="D93" s="36" t="s">
        <v>37</v>
      </c>
      <c r="E93" s="36" t="s">
        <v>211</v>
      </c>
      <c r="F93" s="36" t="s">
        <v>58</v>
      </c>
      <c r="G93" s="27">
        <f>G94+G97</f>
        <v>1162640</v>
      </c>
      <c r="H93" s="27">
        <f t="shared" ref="H93:I93" si="73">H94+H97</f>
        <v>1162640</v>
      </c>
      <c r="I93" s="27">
        <f t="shared" si="73"/>
        <v>1162640</v>
      </c>
      <c r="J93" s="16">
        <f>'БА в тыс. руб.'!G93*1000</f>
        <v>1162640</v>
      </c>
      <c r="K93" s="169">
        <f t="shared" si="48"/>
        <v>0</v>
      </c>
      <c r="L93" s="16">
        <f>'БА в тыс. руб.'!H93*1000</f>
        <v>1162640</v>
      </c>
      <c r="M93" s="169">
        <f t="shared" si="49"/>
        <v>0</v>
      </c>
      <c r="N93" s="16">
        <f>'БА в тыс. руб.'!I93*1000</f>
        <v>1162640</v>
      </c>
      <c r="O93" s="169">
        <f t="shared" si="50"/>
        <v>0</v>
      </c>
      <c r="P93" s="16">
        <v>1162640</v>
      </c>
      <c r="Q93" s="16">
        <v>1162640</v>
      </c>
      <c r="R93" s="16">
        <v>1162640</v>
      </c>
      <c r="S93" s="16">
        <f t="shared" si="41"/>
        <v>0</v>
      </c>
      <c r="T93" s="16">
        <f t="shared" si="42"/>
        <v>0</v>
      </c>
      <c r="U93" s="16">
        <f t="shared" si="43"/>
        <v>0</v>
      </c>
    </row>
    <row r="94" spans="1:21" s="3" customFormat="1" ht="25.5">
      <c r="A94" s="12" t="s">
        <v>107</v>
      </c>
      <c r="B94" s="35" t="s">
        <v>55</v>
      </c>
      <c r="C94" s="36" t="s">
        <v>65</v>
      </c>
      <c r="D94" s="36" t="s">
        <v>37</v>
      </c>
      <c r="E94" s="36" t="s">
        <v>211</v>
      </c>
      <c r="F94" s="36" t="s">
        <v>115</v>
      </c>
      <c r="G94" s="27">
        <f>SUM(G95:G96)</f>
        <v>855700</v>
      </c>
      <c r="H94" s="27">
        <f t="shared" ref="H94:I94" si="74">SUM(H95:H96)</f>
        <v>855700</v>
      </c>
      <c r="I94" s="27">
        <f t="shared" si="74"/>
        <v>855700</v>
      </c>
      <c r="J94" s="16">
        <f>'БА в тыс. руб.'!G94*1000</f>
        <v>855700</v>
      </c>
      <c r="K94" s="169">
        <f t="shared" si="48"/>
        <v>0</v>
      </c>
      <c r="L94" s="16">
        <f>'БА в тыс. руб.'!H94*1000</f>
        <v>855700</v>
      </c>
      <c r="M94" s="169">
        <f t="shared" si="49"/>
        <v>0</v>
      </c>
      <c r="N94" s="16">
        <f>'БА в тыс. руб.'!I94*1000</f>
        <v>855700</v>
      </c>
      <c r="O94" s="169">
        <f t="shared" si="50"/>
        <v>0</v>
      </c>
      <c r="P94" s="16">
        <v>855700</v>
      </c>
      <c r="Q94" s="16">
        <v>855700</v>
      </c>
      <c r="R94" s="16">
        <v>855700</v>
      </c>
      <c r="S94" s="16">
        <f t="shared" si="41"/>
        <v>0</v>
      </c>
      <c r="T94" s="16">
        <f t="shared" si="42"/>
        <v>0</v>
      </c>
      <c r="U94" s="16">
        <f t="shared" si="43"/>
        <v>0</v>
      </c>
    </row>
    <row r="95" spans="1:21" s="4" customFormat="1">
      <c r="A95" s="12" t="s">
        <v>936</v>
      </c>
      <c r="B95" s="35" t="s">
        <v>55</v>
      </c>
      <c r="C95" s="36" t="s">
        <v>65</v>
      </c>
      <c r="D95" s="36" t="s">
        <v>37</v>
      </c>
      <c r="E95" s="36" t="s">
        <v>211</v>
      </c>
      <c r="F95" s="26" t="s">
        <v>1063</v>
      </c>
      <c r="G95" s="27">
        <f t="shared" ref="G95:G96" si="75">J95</f>
        <v>657220</v>
      </c>
      <c r="H95" s="27">
        <f t="shared" ref="H95:H96" si="76">L95</f>
        <v>657220</v>
      </c>
      <c r="I95" s="27">
        <f t="shared" ref="I95:I96" si="77">N95</f>
        <v>657220</v>
      </c>
      <c r="J95" s="16">
        <f>'БА в тыс. руб.'!G95*1000</f>
        <v>657220</v>
      </c>
      <c r="K95" s="169">
        <f t="shared" si="48"/>
        <v>0</v>
      </c>
      <c r="L95" s="16">
        <f>'БА в тыс. руб.'!H95*1000</f>
        <v>657220</v>
      </c>
      <c r="M95" s="169">
        <f t="shared" si="49"/>
        <v>0</v>
      </c>
      <c r="N95" s="16">
        <f>'БА в тыс. руб.'!I95*1000</f>
        <v>657220</v>
      </c>
      <c r="O95" s="169">
        <f t="shared" si="50"/>
        <v>0</v>
      </c>
      <c r="P95" s="16">
        <v>657220</v>
      </c>
      <c r="Q95" s="16">
        <v>657220</v>
      </c>
      <c r="R95" s="16">
        <v>657220</v>
      </c>
      <c r="S95" s="16">
        <f t="shared" si="41"/>
        <v>0</v>
      </c>
      <c r="T95" s="16">
        <f t="shared" si="42"/>
        <v>0</v>
      </c>
      <c r="U95" s="16">
        <f t="shared" si="43"/>
        <v>0</v>
      </c>
    </row>
    <row r="96" spans="1:21" s="4" customFormat="1" ht="38.25">
      <c r="A96" s="12" t="s">
        <v>939</v>
      </c>
      <c r="B96" s="35" t="s">
        <v>55</v>
      </c>
      <c r="C96" s="36" t="s">
        <v>65</v>
      </c>
      <c r="D96" s="36" t="s">
        <v>37</v>
      </c>
      <c r="E96" s="36" t="s">
        <v>211</v>
      </c>
      <c r="F96" s="26" t="s">
        <v>1060</v>
      </c>
      <c r="G96" s="27">
        <f t="shared" si="75"/>
        <v>198480</v>
      </c>
      <c r="H96" s="27">
        <f t="shared" si="76"/>
        <v>198480</v>
      </c>
      <c r="I96" s="27">
        <f t="shared" si="77"/>
        <v>198480</v>
      </c>
      <c r="J96" s="16">
        <f>'БА в тыс. руб.'!G96*1000</f>
        <v>198480</v>
      </c>
      <c r="K96" s="169">
        <f t="shared" si="48"/>
        <v>0</v>
      </c>
      <c r="L96" s="16">
        <f>'БА в тыс. руб.'!H96*1000</f>
        <v>198480</v>
      </c>
      <c r="M96" s="169">
        <f t="shared" si="49"/>
        <v>0</v>
      </c>
      <c r="N96" s="16">
        <f>'БА в тыс. руб.'!I96*1000</f>
        <v>198480</v>
      </c>
      <c r="O96" s="169">
        <f t="shared" si="50"/>
        <v>0</v>
      </c>
      <c r="P96" s="16">
        <v>198480</v>
      </c>
      <c r="Q96" s="16">
        <v>198480</v>
      </c>
      <c r="R96" s="16">
        <v>198480</v>
      </c>
      <c r="S96" s="16">
        <f t="shared" si="41"/>
        <v>0</v>
      </c>
      <c r="T96" s="16">
        <f t="shared" si="42"/>
        <v>0</v>
      </c>
      <c r="U96" s="16">
        <f t="shared" si="43"/>
        <v>0</v>
      </c>
    </row>
    <row r="97" spans="1:21" s="3" customFormat="1" ht="25.5">
      <c r="A97" s="11" t="s">
        <v>108</v>
      </c>
      <c r="B97" s="35" t="s">
        <v>55</v>
      </c>
      <c r="C97" s="36" t="s">
        <v>65</v>
      </c>
      <c r="D97" s="36" t="s">
        <v>37</v>
      </c>
      <c r="E97" s="36" t="s">
        <v>211</v>
      </c>
      <c r="F97" s="36" t="s">
        <v>116</v>
      </c>
      <c r="G97" s="27">
        <f>G98</f>
        <v>306940</v>
      </c>
      <c r="H97" s="27">
        <f t="shared" ref="H97:I97" si="78">H98</f>
        <v>306940</v>
      </c>
      <c r="I97" s="27">
        <f t="shared" si="78"/>
        <v>306940</v>
      </c>
      <c r="J97" s="16">
        <f>'БА в тыс. руб.'!G97*1000</f>
        <v>306940</v>
      </c>
      <c r="K97" s="169">
        <f t="shared" si="48"/>
        <v>0</v>
      </c>
      <c r="L97" s="16">
        <f>'БА в тыс. руб.'!H97*1000</f>
        <v>306940</v>
      </c>
      <c r="M97" s="169">
        <f t="shared" si="49"/>
        <v>0</v>
      </c>
      <c r="N97" s="16">
        <f>'БА в тыс. руб.'!I97*1000</f>
        <v>306940</v>
      </c>
      <c r="O97" s="169">
        <f t="shared" si="50"/>
        <v>0</v>
      </c>
      <c r="P97" s="16">
        <v>306940</v>
      </c>
      <c r="Q97" s="16">
        <v>306940</v>
      </c>
      <c r="R97" s="16">
        <v>306940</v>
      </c>
      <c r="S97" s="16">
        <f t="shared" si="41"/>
        <v>0</v>
      </c>
      <c r="T97" s="16">
        <f t="shared" si="42"/>
        <v>0</v>
      </c>
      <c r="U97" s="16">
        <f t="shared" si="43"/>
        <v>0</v>
      </c>
    </row>
    <row r="98" spans="1:21" s="3" customFormat="1" ht="25.5">
      <c r="A98" s="12" t="s">
        <v>973</v>
      </c>
      <c r="B98" s="35" t="s">
        <v>55</v>
      </c>
      <c r="C98" s="36" t="s">
        <v>65</v>
      </c>
      <c r="D98" s="36" t="s">
        <v>37</v>
      </c>
      <c r="E98" s="36" t="s">
        <v>211</v>
      </c>
      <c r="F98" s="36" t="s">
        <v>1043</v>
      </c>
      <c r="G98" s="27">
        <f t="shared" ref="G98" si="79">J98</f>
        <v>306940</v>
      </c>
      <c r="H98" s="27">
        <f>L98</f>
        <v>306940</v>
      </c>
      <c r="I98" s="27">
        <f>N98</f>
        <v>306940</v>
      </c>
      <c r="J98" s="16">
        <f>'БА в тыс. руб.'!G98*1000</f>
        <v>306940</v>
      </c>
      <c r="K98" s="169">
        <f t="shared" si="48"/>
        <v>0</v>
      </c>
      <c r="L98" s="16">
        <f>'БА в тыс. руб.'!H98*1000</f>
        <v>306940</v>
      </c>
      <c r="M98" s="169">
        <f t="shared" si="49"/>
        <v>0</v>
      </c>
      <c r="N98" s="16">
        <f>'БА в тыс. руб.'!I98*1000</f>
        <v>306940</v>
      </c>
      <c r="O98" s="169">
        <f t="shared" si="50"/>
        <v>0</v>
      </c>
      <c r="P98" s="16">
        <v>306940</v>
      </c>
      <c r="Q98" s="16">
        <v>306940</v>
      </c>
      <c r="R98" s="16">
        <v>306940</v>
      </c>
      <c r="S98" s="16">
        <f t="shared" si="41"/>
        <v>0</v>
      </c>
      <c r="T98" s="16">
        <f t="shared" si="42"/>
        <v>0</v>
      </c>
      <c r="U98" s="16">
        <f t="shared" si="43"/>
        <v>0</v>
      </c>
    </row>
    <row r="99" spans="1:21" s="3" customFormat="1" ht="38.25">
      <c r="A99" s="34" t="s">
        <v>596</v>
      </c>
      <c r="B99" s="35" t="s">
        <v>55</v>
      </c>
      <c r="C99" s="36" t="s">
        <v>65</v>
      </c>
      <c r="D99" s="36" t="s">
        <v>37</v>
      </c>
      <c r="E99" s="36" t="s">
        <v>212</v>
      </c>
      <c r="F99" s="36" t="s">
        <v>58</v>
      </c>
      <c r="G99" s="37">
        <f>G100</f>
        <v>9000</v>
      </c>
      <c r="H99" s="37">
        <f>H100</f>
        <v>9000</v>
      </c>
      <c r="I99" s="37">
        <f>I100</f>
        <v>9000</v>
      </c>
      <c r="J99" s="16">
        <f>'БА в тыс. руб.'!G99*1000</f>
        <v>9000</v>
      </c>
      <c r="K99" s="169">
        <f t="shared" si="48"/>
        <v>0</v>
      </c>
      <c r="L99" s="16">
        <f>'БА в тыс. руб.'!H99*1000</f>
        <v>9000</v>
      </c>
      <c r="M99" s="169">
        <f t="shared" si="49"/>
        <v>0</v>
      </c>
      <c r="N99" s="16">
        <f>'БА в тыс. руб.'!I99*1000</f>
        <v>9000</v>
      </c>
      <c r="O99" s="169">
        <f t="shared" si="50"/>
        <v>0</v>
      </c>
      <c r="P99" s="16">
        <v>9000</v>
      </c>
      <c r="Q99" s="16">
        <v>9000</v>
      </c>
      <c r="R99" s="16">
        <v>9000</v>
      </c>
      <c r="S99" s="16">
        <f t="shared" si="41"/>
        <v>0</v>
      </c>
      <c r="T99" s="16">
        <f t="shared" si="42"/>
        <v>0</v>
      </c>
      <c r="U99" s="16">
        <f t="shared" si="43"/>
        <v>0</v>
      </c>
    </row>
    <row r="100" spans="1:21" s="3" customFormat="1" ht="25.5">
      <c r="A100" s="11" t="s">
        <v>108</v>
      </c>
      <c r="B100" s="35" t="s">
        <v>55</v>
      </c>
      <c r="C100" s="36" t="s">
        <v>65</v>
      </c>
      <c r="D100" s="36" t="s">
        <v>37</v>
      </c>
      <c r="E100" s="36" t="s">
        <v>212</v>
      </c>
      <c r="F100" s="36" t="s">
        <v>116</v>
      </c>
      <c r="G100" s="27">
        <f>G101</f>
        <v>9000</v>
      </c>
      <c r="H100" s="27">
        <f t="shared" ref="H100:I100" si="80">H101</f>
        <v>9000</v>
      </c>
      <c r="I100" s="27">
        <f t="shared" si="80"/>
        <v>9000</v>
      </c>
      <c r="J100" s="16">
        <f>'БА в тыс. руб.'!G100*1000</f>
        <v>9000</v>
      </c>
      <c r="K100" s="169">
        <f t="shared" si="48"/>
        <v>0</v>
      </c>
      <c r="L100" s="16">
        <f>'БА в тыс. руб.'!H100*1000</f>
        <v>9000</v>
      </c>
      <c r="M100" s="169">
        <f t="shared" si="49"/>
        <v>0</v>
      </c>
      <c r="N100" s="16">
        <f>'БА в тыс. руб.'!I100*1000</f>
        <v>9000</v>
      </c>
      <c r="O100" s="169">
        <f t="shared" si="50"/>
        <v>0</v>
      </c>
      <c r="P100" s="16">
        <v>9000</v>
      </c>
      <c r="Q100" s="16">
        <v>9000</v>
      </c>
      <c r="R100" s="16">
        <v>9000</v>
      </c>
      <c r="S100" s="16">
        <f t="shared" si="41"/>
        <v>0</v>
      </c>
      <c r="T100" s="16">
        <f t="shared" si="42"/>
        <v>0</v>
      </c>
      <c r="U100" s="16">
        <f t="shared" si="43"/>
        <v>0</v>
      </c>
    </row>
    <row r="101" spans="1:21" s="4" customFormat="1" ht="25.5">
      <c r="A101" s="12" t="s">
        <v>973</v>
      </c>
      <c r="B101" s="35" t="s">
        <v>55</v>
      </c>
      <c r="C101" s="36" t="s">
        <v>65</v>
      </c>
      <c r="D101" s="36" t="s">
        <v>37</v>
      </c>
      <c r="E101" s="36" t="s">
        <v>212</v>
      </c>
      <c r="F101" s="36" t="s">
        <v>1043</v>
      </c>
      <c r="G101" s="27">
        <f t="shared" ref="G101" si="81">J101</f>
        <v>9000</v>
      </c>
      <c r="H101" s="27">
        <f>L101</f>
        <v>9000</v>
      </c>
      <c r="I101" s="27">
        <f>N101</f>
        <v>9000</v>
      </c>
      <c r="J101" s="16">
        <f>'БА в тыс. руб.'!G101*1000</f>
        <v>9000</v>
      </c>
      <c r="K101" s="169">
        <f t="shared" si="48"/>
        <v>0</v>
      </c>
      <c r="L101" s="16">
        <f>'БА в тыс. руб.'!H101*1000</f>
        <v>9000</v>
      </c>
      <c r="M101" s="169">
        <f t="shared" si="49"/>
        <v>0</v>
      </c>
      <c r="N101" s="16">
        <f>'БА в тыс. руб.'!I101*1000</f>
        <v>9000</v>
      </c>
      <c r="O101" s="169">
        <f t="shared" si="50"/>
        <v>0</v>
      </c>
      <c r="P101" s="16">
        <v>9000</v>
      </c>
      <c r="Q101" s="16">
        <v>9000</v>
      </c>
      <c r="R101" s="16">
        <v>9000</v>
      </c>
      <c r="S101" s="16">
        <f t="shared" si="41"/>
        <v>0</v>
      </c>
      <c r="T101" s="16">
        <f t="shared" si="42"/>
        <v>0</v>
      </c>
      <c r="U101" s="16">
        <f t="shared" si="43"/>
        <v>0</v>
      </c>
    </row>
    <row r="102" spans="1:21" s="3" customFormat="1">
      <c r="A102" s="21" t="s">
        <v>57</v>
      </c>
      <c r="B102" s="22" t="s">
        <v>55</v>
      </c>
      <c r="C102" s="23" t="s">
        <v>65</v>
      </c>
      <c r="D102" s="23" t="s">
        <v>8</v>
      </c>
      <c r="E102" s="23" t="s">
        <v>196</v>
      </c>
      <c r="F102" s="23" t="s">
        <v>58</v>
      </c>
      <c r="G102" s="24">
        <f>G103</f>
        <v>136800</v>
      </c>
      <c r="H102" s="24">
        <f>H103</f>
        <v>136800</v>
      </c>
      <c r="I102" s="24">
        <f>I103</f>
        <v>136800</v>
      </c>
      <c r="J102" s="16">
        <f>'БА в тыс. руб.'!G102*1000</f>
        <v>136800</v>
      </c>
      <c r="K102" s="169">
        <f t="shared" si="48"/>
        <v>0</v>
      </c>
      <c r="L102" s="16">
        <f>'БА в тыс. руб.'!H102*1000</f>
        <v>136800</v>
      </c>
      <c r="M102" s="169">
        <f t="shared" si="49"/>
        <v>0</v>
      </c>
      <c r="N102" s="16">
        <f>'БА в тыс. руб.'!I102*1000</f>
        <v>136800</v>
      </c>
      <c r="O102" s="169">
        <f t="shared" si="50"/>
        <v>0</v>
      </c>
      <c r="P102" s="16">
        <v>13800</v>
      </c>
      <c r="Q102" s="16">
        <v>13800</v>
      </c>
      <c r="R102" s="16">
        <v>13800</v>
      </c>
      <c r="S102" s="16"/>
      <c r="T102" s="16"/>
      <c r="U102" s="16"/>
    </row>
    <row r="103" spans="1:21" s="3" customFormat="1" ht="38.25">
      <c r="A103" s="11" t="s">
        <v>683</v>
      </c>
      <c r="B103" s="25" t="s">
        <v>55</v>
      </c>
      <c r="C103" s="26" t="s">
        <v>65</v>
      </c>
      <c r="D103" s="36" t="s">
        <v>8</v>
      </c>
      <c r="E103" s="26" t="s">
        <v>680</v>
      </c>
      <c r="F103" s="26" t="s">
        <v>58</v>
      </c>
      <c r="G103" s="27">
        <f t="shared" ref="G103:I106" si="82">G104</f>
        <v>136800</v>
      </c>
      <c r="H103" s="27">
        <f t="shared" si="82"/>
        <v>136800</v>
      </c>
      <c r="I103" s="27">
        <f t="shared" si="82"/>
        <v>136800</v>
      </c>
      <c r="J103" s="16">
        <f>'БА в тыс. руб.'!G103*1000</f>
        <v>136800</v>
      </c>
      <c r="K103" s="169">
        <f t="shared" si="48"/>
        <v>0</v>
      </c>
      <c r="L103" s="16">
        <f>'БА в тыс. руб.'!H103*1000</f>
        <v>136800</v>
      </c>
      <c r="M103" s="169">
        <f t="shared" si="49"/>
        <v>0</v>
      </c>
      <c r="N103" s="16">
        <f>'БА в тыс. руб.'!I103*1000</f>
        <v>136800</v>
      </c>
      <c r="O103" s="169">
        <f t="shared" si="50"/>
        <v>0</v>
      </c>
      <c r="P103" s="16">
        <v>13800</v>
      </c>
      <c r="Q103" s="16">
        <v>13800</v>
      </c>
      <c r="R103" s="16">
        <v>13800</v>
      </c>
      <c r="S103" s="16"/>
      <c r="T103" s="16"/>
      <c r="U103" s="16"/>
    </row>
    <row r="104" spans="1:21" s="3" customFormat="1">
      <c r="A104" s="11" t="s">
        <v>684</v>
      </c>
      <c r="B104" s="25" t="s">
        <v>55</v>
      </c>
      <c r="C104" s="26" t="s">
        <v>65</v>
      </c>
      <c r="D104" s="36" t="s">
        <v>8</v>
      </c>
      <c r="E104" s="26" t="s">
        <v>681</v>
      </c>
      <c r="F104" s="26" t="s">
        <v>58</v>
      </c>
      <c r="G104" s="27">
        <f t="shared" si="82"/>
        <v>136800</v>
      </c>
      <c r="H104" s="27">
        <f t="shared" si="82"/>
        <v>136800</v>
      </c>
      <c r="I104" s="27">
        <f t="shared" si="82"/>
        <v>136800</v>
      </c>
      <c r="J104" s="16">
        <f>'БА в тыс. руб.'!G104*1000</f>
        <v>136800</v>
      </c>
      <c r="K104" s="169">
        <f t="shared" si="48"/>
        <v>0</v>
      </c>
      <c r="L104" s="16">
        <f>'БА в тыс. руб.'!H104*1000</f>
        <v>136800</v>
      </c>
      <c r="M104" s="169">
        <f t="shared" si="49"/>
        <v>0</v>
      </c>
      <c r="N104" s="16">
        <f>'БА в тыс. руб.'!I104*1000</f>
        <v>136800</v>
      </c>
      <c r="O104" s="169">
        <f t="shared" si="50"/>
        <v>0</v>
      </c>
      <c r="P104" s="16">
        <v>13800</v>
      </c>
      <c r="Q104" s="16">
        <v>13800</v>
      </c>
      <c r="R104" s="16">
        <v>13800</v>
      </c>
      <c r="S104" s="16"/>
      <c r="T104" s="16"/>
      <c r="U104" s="16"/>
    </row>
    <row r="105" spans="1:21" s="3" customFormat="1" ht="38.25">
      <c r="A105" s="34" t="s">
        <v>903</v>
      </c>
      <c r="B105" s="35" t="s">
        <v>55</v>
      </c>
      <c r="C105" s="36" t="s">
        <v>65</v>
      </c>
      <c r="D105" s="36" t="s">
        <v>8</v>
      </c>
      <c r="E105" s="36" t="s">
        <v>682</v>
      </c>
      <c r="F105" s="36" t="s">
        <v>58</v>
      </c>
      <c r="G105" s="37">
        <f t="shared" si="82"/>
        <v>136800</v>
      </c>
      <c r="H105" s="37">
        <f t="shared" si="82"/>
        <v>136800</v>
      </c>
      <c r="I105" s="37">
        <f t="shared" si="82"/>
        <v>136800</v>
      </c>
      <c r="J105" s="16">
        <f>'БА в тыс. руб.'!G105*1000</f>
        <v>136800</v>
      </c>
      <c r="K105" s="169">
        <f t="shared" si="48"/>
        <v>0</v>
      </c>
      <c r="L105" s="16">
        <f>'БА в тыс. руб.'!H105*1000</f>
        <v>136800</v>
      </c>
      <c r="M105" s="169">
        <f t="shared" si="49"/>
        <v>0</v>
      </c>
      <c r="N105" s="16">
        <f>'БА в тыс. руб.'!I105*1000</f>
        <v>136800</v>
      </c>
      <c r="O105" s="169">
        <f t="shared" si="50"/>
        <v>0</v>
      </c>
      <c r="P105" s="16">
        <v>13800</v>
      </c>
      <c r="Q105" s="16">
        <v>13800</v>
      </c>
      <c r="R105" s="16">
        <v>13800</v>
      </c>
      <c r="S105" s="16"/>
      <c r="T105" s="16"/>
      <c r="U105" s="16"/>
    </row>
    <row r="106" spans="1:21" s="3" customFormat="1" ht="25.5">
      <c r="A106" s="11" t="s">
        <v>108</v>
      </c>
      <c r="B106" s="35" t="s">
        <v>55</v>
      </c>
      <c r="C106" s="36" t="s">
        <v>65</v>
      </c>
      <c r="D106" s="36" t="s">
        <v>8</v>
      </c>
      <c r="E106" s="36" t="s">
        <v>682</v>
      </c>
      <c r="F106" s="36" t="s">
        <v>116</v>
      </c>
      <c r="G106" s="27">
        <f>G107</f>
        <v>136800</v>
      </c>
      <c r="H106" s="27">
        <f t="shared" si="82"/>
        <v>136800</v>
      </c>
      <c r="I106" s="27">
        <f t="shared" si="82"/>
        <v>136800</v>
      </c>
      <c r="J106" s="16">
        <f>'БА в тыс. руб.'!G106*1000</f>
        <v>136800</v>
      </c>
      <c r="K106" s="169">
        <f t="shared" si="48"/>
        <v>0</v>
      </c>
      <c r="L106" s="16">
        <f>'БА в тыс. руб.'!H106*1000</f>
        <v>136800</v>
      </c>
      <c r="M106" s="169">
        <f t="shared" si="49"/>
        <v>0</v>
      </c>
      <c r="N106" s="16">
        <f>'БА в тыс. руб.'!I106*1000</f>
        <v>136800</v>
      </c>
      <c r="O106" s="169">
        <f t="shared" si="50"/>
        <v>0</v>
      </c>
      <c r="P106" s="16">
        <v>13800</v>
      </c>
      <c r="Q106" s="16">
        <v>13800</v>
      </c>
      <c r="R106" s="16">
        <v>13800</v>
      </c>
      <c r="S106" s="16"/>
      <c r="T106" s="16"/>
      <c r="U106" s="16"/>
    </row>
    <row r="107" spans="1:21" s="4" customFormat="1" ht="25.5">
      <c r="A107" s="12" t="s">
        <v>973</v>
      </c>
      <c r="B107" s="35" t="s">
        <v>55</v>
      </c>
      <c r="C107" s="36" t="s">
        <v>65</v>
      </c>
      <c r="D107" s="36" t="s">
        <v>8</v>
      </c>
      <c r="E107" s="36" t="s">
        <v>682</v>
      </c>
      <c r="F107" s="36" t="s">
        <v>1043</v>
      </c>
      <c r="G107" s="27">
        <f t="shared" ref="G107" si="83">J107</f>
        <v>136800</v>
      </c>
      <c r="H107" s="27">
        <f>L107</f>
        <v>136800</v>
      </c>
      <c r="I107" s="27">
        <f>N107</f>
        <v>136800</v>
      </c>
      <c r="J107" s="16">
        <f>'БА в тыс. руб.'!G107*1000</f>
        <v>136800</v>
      </c>
      <c r="K107" s="169">
        <f t="shared" si="48"/>
        <v>0</v>
      </c>
      <c r="L107" s="16">
        <f>'БА в тыс. руб.'!H107*1000</f>
        <v>136800</v>
      </c>
      <c r="M107" s="169">
        <f t="shared" si="49"/>
        <v>0</v>
      </c>
      <c r="N107" s="16">
        <f>'БА в тыс. руб.'!I107*1000</f>
        <v>136800</v>
      </c>
      <c r="O107" s="169">
        <f t="shared" si="50"/>
        <v>0</v>
      </c>
      <c r="P107" s="16">
        <v>13800</v>
      </c>
      <c r="Q107" s="16">
        <v>13800</v>
      </c>
      <c r="R107" s="16">
        <v>13800</v>
      </c>
      <c r="S107" s="16"/>
      <c r="T107" s="16"/>
      <c r="U107" s="16"/>
    </row>
    <row r="108" spans="1:21" s="3" customFormat="1">
      <c r="A108" s="21" t="s">
        <v>38</v>
      </c>
      <c r="B108" s="22" t="s">
        <v>55</v>
      </c>
      <c r="C108" s="23" t="s">
        <v>65</v>
      </c>
      <c r="D108" s="23" t="s">
        <v>84</v>
      </c>
      <c r="E108" s="23" t="s">
        <v>196</v>
      </c>
      <c r="F108" s="23" t="s">
        <v>58</v>
      </c>
      <c r="G108" s="24">
        <f>G109+G118+G124+G158+G187+G193+G206</f>
        <v>132806160</v>
      </c>
      <c r="H108" s="24">
        <f>H109+H118+H124+H158+H187+H193+H206</f>
        <v>123046700</v>
      </c>
      <c r="I108" s="24">
        <f>I109+I118+I124+I158+I187+I193+I206</f>
        <v>123046700</v>
      </c>
      <c r="J108" s="16">
        <f>'БА в тыс. руб.'!G108*1000</f>
        <v>132806159.99999997</v>
      </c>
      <c r="K108" s="169">
        <f t="shared" si="48"/>
        <v>0</v>
      </c>
      <c r="L108" s="16">
        <f>'БА в тыс. руб.'!H108*1000</f>
        <v>123046699.99999999</v>
      </c>
      <c r="M108" s="169">
        <f t="shared" si="49"/>
        <v>0</v>
      </c>
      <c r="N108" s="16">
        <f>'БА в тыс. руб.'!I108*1000</f>
        <v>123046699.99999999</v>
      </c>
      <c r="O108" s="169">
        <f t="shared" si="50"/>
        <v>0</v>
      </c>
      <c r="P108" s="16"/>
      <c r="Q108" s="16"/>
      <c r="R108" s="16"/>
      <c r="S108" s="16"/>
      <c r="T108" s="16"/>
      <c r="U108" s="16"/>
    </row>
    <row r="109" spans="1:21" s="3" customFormat="1" ht="25.5">
      <c r="A109" s="34" t="s">
        <v>747</v>
      </c>
      <c r="B109" s="25" t="s">
        <v>55</v>
      </c>
      <c r="C109" s="26" t="s">
        <v>65</v>
      </c>
      <c r="D109" s="26" t="s">
        <v>84</v>
      </c>
      <c r="E109" s="26" t="s">
        <v>215</v>
      </c>
      <c r="F109" s="26" t="s">
        <v>58</v>
      </c>
      <c r="G109" s="27">
        <f t="shared" ref="G109:I110" si="84">G110</f>
        <v>2195000</v>
      </c>
      <c r="H109" s="27">
        <f t="shared" si="84"/>
        <v>1975500</v>
      </c>
      <c r="I109" s="27">
        <f t="shared" si="84"/>
        <v>1975500</v>
      </c>
      <c r="J109" s="16">
        <f>'БА в тыс. руб.'!G109*1000</f>
        <v>2195000</v>
      </c>
      <c r="K109" s="169">
        <f t="shared" si="48"/>
        <v>0</v>
      </c>
      <c r="L109" s="16">
        <f>'БА в тыс. руб.'!H109*1000</f>
        <v>1975500</v>
      </c>
      <c r="M109" s="169">
        <f t="shared" si="49"/>
        <v>0</v>
      </c>
      <c r="N109" s="16">
        <f>'БА в тыс. руб.'!I109*1000</f>
        <v>1975500</v>
      </c>
      <c r="O109" s="169">
        <f t="shared" si="50"/>
        <v>0</v>
      </c>
      <c r="P109" s="16"/>
      <c r="Q109" s="16"/>
      <c r="R109" s="16"/>
      <c r="S109" s="16"/>
      <c r="T109" s="16"/>
      <c r="U109" s="16"/>
    </row>
    <row r="110" spans="1:21" s="3" customFormat="1" ht="25.5">
      <c r="A110" s="34" t="s">
        <v>765</v>
      </c>
      <c r="B110" s="25" t="s">
        <v>55</v>
      </c>
      <c r="C110" s="26" t="s">
        <v>65</v>
      </c>
      <c r="D110" s="26" t="s">
        <v>84</v>
      </c>
      <c r="E110" s="26" t="s">
        <v>216</v>
      </c>
      <c r="F110" s="26" t="s">
        <v>58</v>
      </c>
      <c r="G110" s="27">
        <f t="shared" si="84"/>
        <v>2195000</v>
      </c>
      <c r="H110" s="27">
        <f t="shared" si="84"/>
        <v>1975500</v>
      </c>
      <c r="I110" s="27">
        <f t="shared" si="84"/>
        <v>1975500</v>
      </c>
      <c r="J110" s="16">
        <f>'БА в тыс. руб.'!G110*1000</f>
        <v>2195000</v>
      </c>
      <c r="K110" s="169">
        <f t="shared" si="48"/>
        <v>0</v>
      </c>
      <c r="L110" s="16">
        <f>'БА в тыс. руб.'!H110*1000</f>
        <v>1975500</v>
      </c>
      <c r="M110" s="169">
        <f t="shared" si="49"/>
        <v>0</v>
      </c>
      <c r="N110" s="16">
        <f>'БА в тыс. руб.'!I110*1000</f>
        <v>1975500</v>
      </c>
      <c r="O110" s="169">
        <f t="shared" si="50"/>
        <v>0</v>
      </c>
      <c r="P110" s="16"/>
      <c r="Q110" s="16"/>
      <c r="R110" s="16"/>
      <c r="S110" s="16"/>
      <c r="T110" s="16"/>
      <c r="U110" s="16"/>
    </row>
    <row r="111" spans="1:21" s="3" customFormat="1" ht="38.25">
      <c r="A111" s="34" t="s">
        <v>845</v>
      </c>
      <c r="B111" s="25" t="s">
        <v>55</v>
      </c>
      <c r="C111" s="26" t="s">
        <v>65</v>
      </c>
      <c r="D111" s="26" t="s">
        <v>84</v>
      </c>
      <c r="E111" s="26" t="s">
        <v>217</v>
      </c>
      <c r="F111" s="26" t="s">
        <v>58</v>
      </c>
      <c r="G111" s="27">
        <f>G112+G115</f>
        <v>2195000</v>
      </c>
      <c r="H111" s="27">
        <f>H112+H115</f>
        <v>1975500</v>
      </c>
      <c r="I111" s="27">
        <f>I112+I115</f>
        <v>1975500</v>
      </c>
      <c r="J111" s="16">
        <f>'БА в тыс. руб.'!G111*1000</f>
        <v>2195000</v>
      </c>
      <c r="K111" s="169">
        <f t="shared" si="48"/>
        <v>0</v>
      </c>
      <c r="L111" s="16">
        <f>'БА в тыс. руб.'!H111*1000</f>
        <v>1975500</v>
      </c>
      <c r="M111" s="169">
        <f t="shared" si="49"/>
        <v>0</v>
      </c>
      <c r="N111" s="16">
        <f>'БА в тыс. руб.'!I111*1000</f>
        <v>1975500</v>
      </c>
      <c r="O111" s="169">
        <f t="shared" si="50"/>
        <v>0</v>
      </c>
      <c r="P111" s="16"/>
      <c r="Q111" s="16"/>
      <c r="R111" s="16"/>
      <c r="S111" s="16"/>
      <c r="T111" s="16"/>
      <c r="U111" s="16"/>
    </row>
    <row r="112" spans="1:21" s="3" customFormat="1" ht="38.25">
      <c r="A112" s="34" t="s">
        <v>844</v>
      </c>
      <c r="B112" s="25" t="s">
        <v>55</v>
      </c>
      <c r="C112" s="26" t="s">
        <v>65</v>
      </c>
      <c r="D112" s="26" t="s">
        <v>84</v>
      </c>
      <c r="E112" s="26" t="s">
        <v>218</v>
      </c>
      <c r="F112" s="26" t="s">
        <v>58</v>
      </c>
      <c r="G112" s="27">
        <f>G113</f>
        <v>1405000</v>
      </c>
      <c r="H112" s="27">
        <f>H113</f>
        <v>1185500</v>
      </c>
      <c r="I112" s="27">
        <f>I113</f>
        <v>1185500</v>
      </c>
      <c r="J112" s="16">
        <f>'БА в тыс. руб.'!G112*1000</f>
        <v>1405000</v>
      </c>
      <c r="K112" s="169">
        <f t="shared" si="48"/>
        <v>0</v>
      </c>
      <c r="L112" s="16">
        <f>'БА в тыс. руб.'!H112*1000</f>
        <v>1185500</v>
      </c>
      <c r="M112" s="169">
        <f t="shared" si="49"/>
        <v>0</v>
      </c>
      <c r="N112" s="16">
        <f>'БА в тыс. руб.'!I112*1000</f>
        <v>1185500</v>
      </c>
      <c r="O112" s="169">
        <f t="shared" si="50"/>
        <v>0</v>
      </c>
      <c r="P112" s="16"/>
      <c r="Q112" s="16"/>
      <c r="R112" s="16"/>
      <c r="S112" s="16"/>
      <c r="T112" s="16"/>
      <c r="U112" s="16"/>
    </row>
    <row r="113" spans="1:21" s="3" customFormat="1">
      <c r="A113" s="11" t="s">
        <v>97</v>
      </c>
      <c r="B113" s="25" t="s">
        <v>55</v>
      </c>
      <c r="C113" s="26" t="s">
        <v>65</v>
      </c>
      <c r="D113" s="26" t="s">
        <v>84</v>
      </c>
      <c r="E113" s="26" t="s">
        <v>218</v>
      </c>
      <c r="F113" s="26" t="s">
        <v>118</v>
      </c>
      <c r="G113" s="27">
        <f>G114</f>
        <v>1405000</v>
      </c>
      <c r="H113" s="27">
        <f t="shared" ref="H113:I113" si="85">H114</f>
        <v>1185500</v>
      </c>
      <c r="I113" s="27">
        <f t="shared" si="85"/>
        <v>1185500</v>
      </c>
      <c r="J113" s="16">
        <f>'БА в тыс. руб.'!G113*1000</f>
        <v>1405000</v>
      </c>
      <c r="K113" s="169">
        <f t="shared" si="48"/>
        <v>0</v>
      </c>
      <c r="L113" s="16">
        <f>'БА в тыс. руб.'!H113*1000</f>
        <v>1185500</v>
      </c>
      <c r="M113" s="169">
        <f t="shared" si="49"/>
        <v>0</v>
      </c>
      <c r="N113" s="16">
        <f>'БА в тыс. руб.'!I113*1000</f>
        <v>1185500</v>
      </c>
      <c r="O113" s="169">
        <f t="shared" si="50"/>
        <v>0</v>
      </c>
      <c r="P113" s="16"/>
      <c r="Q113" s="16"/>
      <c r="R113" s="16"/>
      <c r="S113" s="16"/>
      <c r="T113" s="16"/>
      <c r="U113" s="16"/>
    </row>
    <row r="114" spans="1:21" s="4" customFormat="1">
      <c r="A114" s="12" t="s">
        <v>1038</v>
      </c>
      <c r="B114" s="25" t="s">
        <v>55</v>
      </c>
      <c r="C114" s="26" t="s">
        <v>65</v>
      </c>
      <c r="D114" s="26" t="s">
        <v>84</v>
      </c>
      <c r="E114" s="26" t="s">
        <v>218</v>
      </c>
      <c r="F114" s="26" t="s">
        <v>1066</v>
      </c>
      <c r="G114" s="27">
        <f t="shared" ref="G114" si="86">J114</f>
        <v>1405000</v>
      </c>
      <c r="H114" s="27">
        <f>L114</f>
        <v>1185500</v>
      </c>
      <c r="I114" s="27">
        <f>N114</f>
        <v>1185500</v>
      </c>
      <c r="J114" s="16">
        <f>'БА в тыс. руб.'!G114*1000</f>
        <v>1405000</v>
      </c>
      <c r="K114" s="169">
        <f t="shared" si="48"/>
        <v>0</v>
      </c>
      <c r="L114" s="16">
        <f>'БА в тыс. руб.'!H114*1000</f>
        <v>1185500</v>
      </c>
      <c r="M114" s="169">
        <f t="shared" si="49"/>
        <v>0</v>
      </c>
      <c r="N114" s="16">
        <f>'БА в тыс. руб.'!I114*1000</f>
        <v>1185500</v>
      </c>
      <c r="O114" s="169">
        <f t="shared" si="50"/>
        <v>0</v>
      </c>
      <c r="P114" s="16"/>
      <c r="Q114" s="16"/>
      <c r="R114" s="16"/>
      <c r="S114" s="16"/>
      <c r="T114" s="16"/>
      <c r="U114" s="16"/>
    </row>
    <row r="115" spans="1:21" s="3" customFormat="1" ht="63.75">
      <c r="A115" s="34" t="s">
        <v>846</v>
      </c>
      <c r="B115" s="25" t="s">
        <v>55</v>
      </c>
      <c r="C115" s="26" t="s">
        <v>65</v>
      </c>
      <c r="D115" s="26" t="s">
        <v>84</v>
      </c>
      <c r="E115" s="26" t="s">
        <v>219</v>
      </c>
      <c r="F115" s="26" t="s">
        <v>58</v>
      </c>
      <c r="G115" s="27">
        <f>G116</f>
        <v>790000</v>
      </c>
      <c r="H115" s="27">
        <f>H116</f>
        <v>790000</v>
      </c>
      <c r="I115" s="27">
        <f>I116</f>
        <v>790000</v>
      </c>
      <c r="J115" s="16">
        <f>'БА в тыс. руб.'!G115*1000</f>
        <v>790000</v>
      </c>
      <c r="K115" s="169">
        <f t="shared" si="48"/>
        <v>0</v>
      </c>
      <c r="L115" s="16">
        <f>'БА в тыс. руб.'!H115*1000</f>
        <v>790000</v>
      </c>
      <c r="M115" s="169">
        <f t="shared" si="49"/>
        <v>0</v>
      </c>
      <c r="N115" s="16">
        <f>'БА в тыс. руб.'!I115*1000</f>
        <v>790000</v>
      </c>
      <c r="O115" s="169">
        <f t="shared" si="50"/>
        <v>0</v>
      </c>
      <c r="P115" s="16"/>
      <c r="Q115" s="16"/>
      <c r="R115" s="16"/>
      <c r="S115" s="16"/>
      <c r="T115" s="16"/>
      <c r="U115" s="16"/>
    </row>
    <row r="116" spans="1:21" s="3" customFormat="1" ht="25.5">
      <c r="A116" s="11" t="s">
        <v>108</v>
      </c>
      <c r="B116" s="25" t="s">
        <v>55</v>
      </c>
      <c r="C116" s="26" t="s">
        <v>65</v>
      </c>
      <c r="D116" s="26" t="s">
        <v>84</v>
      </c>
      <c r="E116" s="26" t="s">
        <v>219</v>
      </c>
      <c r="F116" s="26" t="s">
        <v>116</v>
      </c>
      <c r="G116" s="27">
        <f>J116</f>
        <v>790000</v>
      </c>
      <c r="H116" s="27">
        <f>L116</f>
        <v>790000</v>
      </c>
      <c r="I116" s="27">
        <f>N116</f>
        <v>790000</v>
      </c>
      <c r="J116" s="16">
        <f>'БА в тыс. руб.'!G116*1000</f>
        <v>790000</v>
      </c>
      <c r="K116" s="169">
        <f t="shared" si="48"/>
        <v>0</v>
      </c>
      <c r="L116" s="16">
        <f>'БА в тыс. руб.'!H116*1000</f>
        <v>790000</v>
      </c>
      <c r="M116" s="169">
        <f t="shared" si="49"/>
        <v>0</v>
      </c>
      <c r="N116" s="16">
        <f>'БА в тыс. руб.'!I116*1000</f>
        <v>790000</v>
      </c>
      <c r="O116" s="169">
        <f t="shared" si="50"/>
        <v>0</v>
      </c>
      <c r="P116" s="16"/>
      <c r="Q116" s="16"/>
      <c r="R116" s="16"/>
      <c r="S116" s="16"/>
      <c r="T116" s="16"/>
      <c r="U116" s="16"/>
    </row>
    <row r="117" spans="1:21" s="3" customFormat="1" ht="25.5">
      <c r="A117" s="12" t="s">
        <v>973</v>
      </c>
      <c r="B117" s="25" t="s">
        <v>55</v>
      </c>
      <c r="C117" s="26" t="s">
        <v>65</v>
      </c>
      <c r="D117" s="26" t="s">
        <v>84</v>
      </c>
      <c r="E117" s="26" t="s">
        <v>219</v>
      </c>
      <c r="F117" s="26" t="s">
        <v>1043</v>
      </c>
      <c r="G117" s="27">
        <f t="shared" ref="G117" si="87">J117</f>
        <v>790000</v>
      </c>
      <c r="H117" s="27">
        <f>L117</f>
        <v>790000</v>
      </c>
      <c r="I117" s="27">
        <f>N117</f>
        <v>790000</v>
      </c>
      <c r="J117" s="16">
        <f>'БА в тыс. руб.'!G117*1000</f>
        <v>790000</v>
      </c>
      <c r="K117" s="169">
        <f t="shared" si="48"/>
        <v>0</v>
      </c>
      <c r="L117" s="16">
        <f>'БА в тыс. руб.'!H117*1000</f>
        <v>790000</v>
      </c>
      <c r="M117" s="169">
        <f t="shared" si="49"/>
        <v>0</v>
      </c>
      <c r="N117" s="16">
        <f>'БА в тыс. руб.'!I117*1000</f>
        <v>790000</v>
      </c>
      <c r="O117" s="169">
        <f t="shared" si="50"/>
        <v>0</v>
      </c>
      <c r="P117" s="16"/>
      <c r="Q117" s="16"/>
      <c r="R117" s="16"/>
      <c r="S117" s="16"/>
      <c r="T117" s="16"/>
      <c r="U117" s="16"/>
    </row>
    <row r="118" spans="1:21" s="3" customFormat="1" ht="25.5">
      <c r="A118" s="34" t="s">
        <v>748</v>
      </c>
      <c r="B118" s="25" t="s">
        <v>55</v>
      </c>
      <c r="C118" s="26" t="s">
        <v>65</v>
      </c>
      <c r="D118" s="26" t="s">
        <v>84</v>
      </c>
      <c r="E118" s="26" t="s">
        <v>220</v>
      </c>
      <c r="F118" s="26" t="s">
        <v>58</v>
      </c>
      <c r="G118" s="27">
        <f>G119</f>
        <v>145000</v>
      </c>
      <c r="H118" s="27">
        <f>H119</f>
        <v>100000</v>
      </c>
      <c r="I118" s="27">
        <f>I119</f>
        <v>100000</v>
      </c>
      <c r="J118" s="16">
        <f>'БА в тыс. руб.'!G118*1000</f>
        <v>145000</v>
      </c>
      <c r="K118" s="169">
        <f t="shared" si="48"/>
        <v>0</v>
      </c>
      <c r="L118" s="16">
        <f>'БА в тыс. руб.'!H118*1000</f>
        <v>100000</v>
      </c>
      <c r="M118" s="169">
        <f t="shared" si="49"/>
        <v>0</v>
      </c>
      <c r="N118" s="16">
        <f>'БА в тыс. руб.'!I118*1000</f>
        <v>100000</v>
      </c>
      <c r="O118" s="169">
        <f t="shared" si="50"/>
        <v>0</v>
      </c>
      <c r="P118" s="16"/>
      <c r="Q118" s="16"/>
      <c r="R118" s="16"/>
      <c r="S118" s="16"/>
      <c r="T118" s="16"/>
      <c r="U118" s="16"/>
    </row>
    <row r="119" spans="1:21" s="3" customFormat="1" ht="25.5">
      <c r="A119" s="11" t="s">
        <v>750</v>
      </c>
      <c r="B119" s="25" t="s">
        <v>55</v>
      </c>
      <c r="C119" s="26" t="s">
        <v>65</v>
      </c>
      <c r="D119" s="26" t="s">
        <v>84</v>
      </c>
      <c r="E119" s="26" t="s">
        <v>225</v>
      </c>
      <c r="F119" s="26" t="s">
        <v>58</v>
      </c>
      <c r="G119" s="27">
        <f>G120</f>
        <v>145000</v>
      </c>
      <c r="H119" s="27">
        <f t="shared" ref="H119:I119" si="88">H120</f>
        <v>100000</v>
      </c>
      <c r="I119" s="27">
        <f t="shared" si="88"/>
        <v>100000</v>
      </c>
      <c r="J119" s="16">
        <f>'БА в тыс. руб.'!G119*1000</f>
        <v>145000</v>
      </c>
      <c r="K119" s="169">
        <f t="shared" si="48"/>
        <v>0</v>
      </c>
      <c r="L119" s="16">
        <f>'БА в тыс. руб.'!H119*1000</f>
        <v>100000</v>
      </c>
      <c r="M119" s="169">
        <f t="shared" si="49"/>
        <v>0</v>
      </c>
      <c r="N119" s="16">
        <f>'БА в тыс. руб.'!I119*1000</f>
        <v>100000</v>
      </c>
      <c r="O119" s="169">
        <f t="shared" si="50"/>
        <v>0</v>
      </c>
      <c r="P119" s="16"/>
      <c r="Q119" s="16"/>
      <c r="R119" s="16"/>
      <c r="S119" s="16"/>
      <c r="T119" s="16"/>
      <c r="U119" s="16"/>
    </row>
    <row r="120" spans="1:21" s="3" customFormat="1" ht="25.5">
      <c r="A120" s="34" t="s">
        <v>228</v>
      </c>
      <c r="B120" s="25" t="s">
        <v>55</v>
      </c>
      <c r="C120" s="26" t="s">
        <v>65</v>
      </c>
      <c r="D120" s="26" t="s">
        <v>84</v>
      </c>
      <c r="E120" s="26" t="s">
        <v>226</v>
      </c>
      <c r="F120" s="26" t="s">
        <v>58</v>
      </c>
      <c r="G120" s="27">
        <f>G121</f>
        <v>145000</v>
      </c>
      <c r="H120" s="27">
        <f>H121</f>
        <v>100000</v>
      </c>
      <c r="I120" s="27">
        <f>I121</f>
        <v>100000</v>
      </c>
      <c r="J120" s="16">
        <f>'БА в тыс. руб.'!G120*1000</f>
        <v>145000</v>
      </c>
      <c r="K120" s="169">
        <f t="shared" si="48"/>
        <v>0</v>
      </c>
      <c r="L120" s="16">
        <f>'БА в тыс. руб.'!H120*1000</f>
        <v>100000</v>
      </c>
      <c r="M120" s="169">
        <f t="shared" si="49"/>
        <v>0</v>
      </c>
      <c r="N120" s="16">
        <f>'БА в тыс. руб.'!I120*1000</f>
        <v>100000</v>
      </c>
      <c r="O120" s="169">
        <f t="shared" si="50"/>
        <v>0</v>
      </c>
      <c r="P120" s="16"/>
      <c r="Q120" s="16"/>
      <c r="R120" s="16"/>
      <c r="S120" s="16"/>
      <c r="T120" s="16"/>
      <c r="U120" s="16"/>
    </row>
    <row r="121" spans="1:21" s="3" customFormat="1" ht="38.25">
      <c r="A121" s="34" t="s">
        <v>169</v>
      </c>
      <c r="B121" s="25" t="s">
        <v>55</v>
      </c>
      <c r="C121" s="26" t="s">
        <v>65</v>
      </c>
      <c r="D121" s="26" t="s">
        <v>84</v>
      </c>
      <c r="E121" s="26" t="s">
        <v>227</v>
      </c>
      <c r="F121" s="26" t="s">
        <v>58</v>
      </c>
      <c r="G121" s="27">
        <f>G122</f>
        <v>145000</v>
      </c>
      <c r="H121" s="27">
        <f>H122</f>
        <v>100000</v>
      </c>
      <c r="I121" s="27">
        <f>I122</f>
        <v>100000</v>
      </c>
      <c r="J121" s="16">
        <f>'БА в тыс. руб.'!G121*1000</f>
        <v>145000</v>
      </c>
      <c r="K121" s="169">
        <f t="shared" si="48"/>
        <v>0</v>
      </c>
      <c r="L121" s="16">
        <f>'БА в тыс. руб.'!H121*1000</f>
        <v>100000</v>
      </c>
      <c r="M121" s="169">
        <f t="shared" si="49"/>
        <v>0</v>
      </c>
      <c r="N121" s="16">
        <f>'БА в тыс. руб.'!I121*1000</f>
        <v>100000</v>
      </c>
      <c r="O121" s="169">
        <f t="shared" si="50"/>
        <v>0</v>
      </c>
      <c r="P121" s="16"/>
      <c r="Q121" s="16"/>
      <c r="R121" s="16"/>
      <c r="S121" s="16"/>
      <c r="T121" s="16"/>
      <c r="U121" s="16"/>
    </row>
    <row r="122" spans="1:21" s="3" customFormat="1" ht="25.5">
      <c r="A122" s="11" t="s">
        <v>108</v>
      </c>
      <c r="B122" s="25" t="s">
        <v>55</v>
      </c>
      <c r="C122" s="26" t="s">
        <v>65</v>
      </c>
      <c r="D122" s="26" t="s">
        <v>84</v>
      </c>
      <c r="E122" s="26" t="s">
        <v>227</v>
      </c>
      <c r="F122" s="26" t="s">
        <v>116</v>
      </c>
      <c r="G122" s="27">
        <f>G123</f>
        <v>145000</v>
      </c>
      <c r="H122" s="27">
        <f t="shared" ref="H122:I122" si="89">H123</f>
        <v>100000</v>
      </c>
      <c r="I122" s="27">
        <f t="shared" si="89"/>
        <v>100000</v>
      </c>
      <c r="J122" s="16">
        <f>'БА в тыс. руб.'!G122*1000</f>
        <v>145000</v>
      </c>
      <c r="K122" s="169">
        <f t="shared" si="48"/>
        <v>0</v>
      </c>
      <c r="L122" s="16">
        <f>'БА в тыс. руб.'!H122*1000</f>
        <v>100000</v>
      </c>
      <c r="M122" s="169">
        <f t="shared" si="49"/>
        <v>0</v>
      </c>
      <c r="N122" s="16">
        <f>'БА в тыс. руб.'!I122*1000</f>
        <v>100000</v>
      </c>
      <c r="O122" s="169">
        <f t="shared" si="50"/>
        <v>0</v>
      </c>
      <c r="P122" s="16"/>
      <c r="Q122" s="16"/>
      <c r="R122" s="16"/>
      <c r="S122" s="16"/>
      <c r="T122" s="16"/>
      <c r="U122" s="16"/>
    </row>
    <row r="123" spans="1:21" s="4" customFormat="1" ht="25.5">
      <c r="A123" s="12" t="s">
        <v>973</v>
      </c>
      <c r="B123" s="25" t="s">
        <v>55</v>
      </c>
      <c r="C123" s="26" t="s">
        <v>65</v>
      </c>
      <c r="D123" s="26" t="s">
        <v>84</v>
      </c>
      <c r="E123" s="26" t="s">
        <v>227</v>
      </c>
      <c r="F123" s="26" t="s">
        <v>1043</v>
      </c>
      <c r="G123" s="27">
        <f t="shared" ref="G123" si="90">J123</f>
        <v>145000</v>
      </c>
      <c r="H123" s="27">
        <f>L123</f>
        <v>100000</v>
      </c>
      <c r="I123" s="27">
        <f>N123</f>
        <v>100000</v>
      </c>
      <c r="J123" s="16">
        <f>'БА в тыс. руб.'!G123*1000</f>
        <v>145000</v>
      </c>
      <c r="K123" s="169">
        <f t="shared" si="48"/>
        <v>0</v>
      </c>
      <c r="L123" s="16">
        <f>'БА в тыс. руб.'!H123*1000</f>
        <v>100000</v>
      </c>
      <c r="M123" s="169">
        <f t="shared" si="49"/>
        <v>0</v>
      </c>
      <c r="N123" s="16">
        <f>'БА в тыс. руб.'!I123*1000</f>
        <v>100000</v>
      </c>
      <c r="O123" s="169">
        <f t="shared" si="50"/>
        <v>0</v>
      </c>
      <c r="P123" s="16"/>
      <c r="Q123" s="16"/>
      <c r="R123" s="16"/>
      <c r="S123" s="16"/>
      <c r="T123" s="16"/>
      <c r="U123" s="16"/>
    </row>
    <row r="124" spans="1:21" s="3" customFormat="1" ht="38.25">
      <c r="A124" s="34" t="s">
        <v>751</v>
      </c>
      <c r="B124" s="25" t="s">
        <v>55</v>
      </c>
      <c r="C124" s="26" t="s">
        <v>65</v>
      </c>
      <c r="D124" s="26" t="s">
        <v>84</v>
      </c>
      <c r="E124" s="26" t="s">
        <v>229</v>
      </c>
      <c r="F124" s="26" t="s">
        <v>58</v>
      </c>
      <c r="G124" s="27">
        <f>G125+G134</f>
        <v>79419770</v>
      </c>
      <c r="H124" s="27">
        <f>H125+H134</f>
        <v>78133710</v>
      </c>
      <c r="I124" s="27">
        <f>I125+I134</f>
        <v>78133710</v>
      </c>
      <c r="J124" s="16">
        <f>'БА в тыс. руб.'!G124*1000</f>
        <v>79419769.999999985</v>
      </c>
      <c r="K124" s="169">
        <f t="shared" si="48"/>
        <v>0</v>
      </c>
      <c r="L124" s="16">
        <f>'БА в тыс. руб.'!H124*1000</f>
        <v>78133709.999999985</v>
      </c>
      <c r="M124" s="169">
        <f t="shared" si="49"/>
        <v>0</v>
      </c>
      <c r="N124" s="16">
        <f>'БА в тыс. руб.'!I124*1000</f>
        <v>78133709.999999985</v>
      </c>
      <c r="O124" s="169">
        <f t="shared" si="50"/>
        <v>0</v>
      </c>
      <c r="P124" s="16"/>
      <c r="Q124" s="16"/>
      <c r="R124" s="16"/>
      <c r="S124" s="16"/>
      <c r="T124" s="16"/>
      <c r="U124" s="16"/>
    </row>
    <row r="125" spans="1:21" s="3" customFormat="1" ht="25.5">
      <c r="A125" s="34" t="s">
        <v>119</v>
      </c>
      <c r="B125" s="25" t="s">
        <v>55</v>
      </c>
      <c r="C125" s="26" t="s">
        <v>65</v>
      </c>
      <c r="D125" s="26" t="s">
        <v>84</v>
      </c>
      <c r="E125" s="26" t="s">
        <v>230</v>
      </c>
      <c r="F125" s="26" t="s">
        <v>58</v>
      </c>
      <c r="G125" s="27">
        <f>G126+G130</f>
        <v>12176540</v>
      </c>
      <c r="H125" s="27">
        <f t="shared" ref="H125:I125" si="91">H126+H130</f>
        <v>10818880</v>
      </c>
      <c r="I125" s="27">
        <f t="shared" si="91"/>
        <v>10818880</v>
      </c>
      <c r="J125" s="16">
        <f>'БА в тыс. руб.'!G125*1000</f>
        <v>12176540</v>
      </c>
      <c r="K125" s="169">
        <f t="shared" si="48"/>
        <v>0</v>
      </c>
      <c r="L125" s="16">
        <f>'БА в тыс. руб.'!H125*1000</f>
        <v>10818880.000000002</v>
      </c>
      <c r="M125" s="169">
        <f t="shared" si="49"/>
        <v>0</v>
      </c>
      <c r="N125" s="16">
        <f>'БА в тыс. руб.'!I125*1000</f>
        <v>10818880.000000002</v>
      </c>
      <c r="O125" s="169">
        <f t="shared" si="50"/>
        <v>0</v>
      </c>
      <c r="P125" s="16"/>
      <c r="Q125" s="16"/>
      <c r="R125" s="16"/>
      <c r="S125" s="16"/>
      <c r="T125" s="16"/>
      <c r="U125" s="16"/>
    </row>
    <row r="126" spans="1:21" s="3" customFormat="1" ht="38.25">
      <c r="A126" s="34" t="s">
        <v>231</v>
      </c>
      <c r="B126" s="25" t="s">
        <v>55</v>
      </c>
      <c r="C126" s="26" t="s">
        <v>65</v>
      </c>
      <c r="D126" s="26" t="s">
        <v>84</v>
      </c>
      <c r="E126" s="26" t="s">
        <v>232</v>
      </c>
      <c r="F126" s="26" t="s">
        <v>58</v>
      </c>
      <c r="G126" s="27">
        <f t="shared" ref="G126:I128" si="92">G127</f>
        <v>9323170</v>
      </c>
      <c r="H126" s="27">
        <f t="shared" si="92"/>
        <v>8250850</v>
      </c>
      <c r="I126" s="27">
        <f t="shared" si="92"/>
        <v>8250850</v>
      </c>
      <c r="J126" s="16">
        <f>'БА в тыс. руб.'!G126*1000</f>
        <v>9323170</v>
      </c>
      <c r="K126" s="169">
        <f t="shared" si="48"/>
        <v>0</v>
      </c>
      <c r="L126" s="16">
        <f>'БА в тыс. руб.'!H126*1000</f>
        <v>8250850</v>
      </c>
      <c r="M126" s="169">
        <f t="shared" si="49"/>
        <v>0</v>
      </c>
      <c r="N126" s="16">
        <f>'БА в тыс. руб.'!I126*1000</f>
        <v>8250850</v>
      </c>
      <c r="O126" s="169">
        <f t="shared" si="50"/>
        <v>0</v>
      </c>
      <c r="P126" s="16"/>
      <c r="Q126" s="16"/>
      <c r="R126" s="16"/>
      <c r="S126" s="16"/>
      <c r="T126" s="16"/>
      <c r="U126" s="16"/>
    </row>
    <row r="127" spans="1:21" s="3" customFormat="1" ht="25.5">
      <c r="A127" s="34" t="s">
        <v>170</v>
      </c>
      <c r="B127" s="25" t="s">
        <v>55</v>
      </c>
      <c r="C127" s="26" t="s">
        <v>65</v>
      </c>
      <c r="D127" s="26" t="s">
        <v>84</v>
      </c>
      <c r="E127" s="26" t="s">
        <v>233</v>
      </c>
      <c r="F127" s="26" t="s">
        <v>58</v>
      </c>
      <c r="G127" s="27">
        <f t="shared" si="92"/>
        <v>9323170</v>
      </c>
      <c r="H127" s="27">
        <f t="shared" si="92"/>
        <v>8250850</v>
      </c>
      <c r="I127" s="27">
        <f t="shared" si="92"/>
        <v>8250850</v>
      </c>
      <c r="J127" s="16">
        <f>'БА в тыс. руб.'!G127*1000</f>
        <v>9323170</v>
      </c>
      <c r="K127" s="169">
        <f t="shared" si="48"/>
        <v>0</v>
      </c>
      <c r="L127" s="16">
        <f>'БА в тыс. руб.'!H127*1000</f>
        <v>8250850</v>
      </c>
      <c r="M127" s="169">
        <f t="shared" si="49"/>
        <v>0</v>
      </c>
      <c r="N127" s="16">
        <f>'БА в тыс. руб.'!I127*1000</f>
        <v>8250850</v>
      </c>
      <c r="O127" s="169">
        <f t="shared" si="50"/>
        <v>0</v>
      </c>
      <c r="P127" s="16"/>
      <c r="Q127" s="16"/>
      <c r="R127" s="16"/>
      <c r="S127" s="16"/>
      <c r="T127" s="16"/>
      <c r="U127" s="16"/>
    </row>
    <row r="128" spans="1:21" s="3" customFormat="1" ht="25.5">
      <c r="A128" s="11" t="s">
        <v>108</v>
      </c>
      <c r="B128" s="25" t="s">
        <v>55</v>
      </c>
      <c r="C128" s="26" t="s">
        <v>65</v>
      </c>
      <c r="D128" s="26" t="s">
        <v>84</v>
      </c>
      <c r="E128" s="26" t="s">
        <v>233</v>
      </c>
      <c r="F128" s="26" t="s">
        <v>116</v>
      </c>
      <c r="G128" s="27">
        <f>G129</f>
        <v>9323170</v>
      </c>
      <c r="H128" s="27">
        <f t="shared" si="92"/>
        <v>8250850</v>
      </c>
      <c r="I128" s="27">
        <f t="shared" si="92"/>
        <v>8250850</v>
      </c>
      <c r="J128" s="16">
        <f>'БА в тыс. руб.'!G128*1000</f>
        <v>9323170</v>
      </c>
      <c r="K128" s="169">
        <f t="shared" si="48"/>
        <v>0</v>
      </c>
      <c r="L128" s="16">
        <f>'БА в тыс. руб.'!H128*1000</f>
        <v>8250850</v>
      </c>
      <c r="M128" s="169">
        <f t="shared" si="49"/>
        <v>0</v>
      </c>
      <c r="N128" s="16">
        <f>'БА в тыс. руб.'!I128*1000</f>
        <v>8250850</v>
      </c>
      <c r="O128" s="169">
        <f t="shared" si="50"/>
        <v>0</v>
      </c>
      <c r="P128" s="16"/>
      <c r="Q128" s="16"/>
      <c r="R128" s="16"/>
      <c r="S128" s="16"/>
      <c r="T128" s="16"/>
      <c r="U128" s="16"/>
    </row>
    <row r="129" spans="1:21" s="4" customFormat="1" ht="25.5">
      <c r="A129" s="12" t="s">
        <v>973</v>
      </c>
      <c r="B129" s="25" t="s">
        <v>55</v>
      </c>
      <c r="C129" s="26" t="s">
        <v>65</v>
      </c>
      <c r="D129" s="26" t="s">
        <v>84</v>
      </c>
      <c r="E129" s="26" t="s">
        <v>233</v>
      </c>
      <c r="F129" s="26" t="s">
        <v>1043</v>
      </c>
      <c r="G129" s="27">
        <f t="shared" ref="G129" si="93">J129</f>
        <v>9323170</v>
      </c>
      <c r="H129" s="27">
        <f>L129</f>
        <v>8250850</v>
      </c>
      <c r="I129" s="27">
        <f>N129</f>
        <v>8250850</v>
      </c>
      <c r="J129" s="16">
        <f>'БА в тыс. руб.'!G129*1000</f>
        <v>9323170</v>
      </c>
      <c r="K129" s="169">
        <f t="shared" si="48"/>
        <v>0</v>
      </c>
      <c r="L129" s="16">
        <f>'БА в тыс. руб.'!H129*1000</f>
        <v>8250850</v>
      </c>
      <c r="M129" s="169">
        <f t="shared" si="49"/>
        <v>0</v>
      </c>
      <c r="N129" s="16">
        <f>'БА в тыс. руб.'!I129*1000</f>
        <v>8250850</v>
      </c>
      <c r="O129" s="169">
        <f t="shared" si="50"/>
        <v>0</v>
      </c>
      <c r="P129" s="16"/>
      <c r="Q129" s="16"/>
      <c r="R129" s="16"/>
      <c r="S129" s="16"/>
      <c r="T129" s="16"/>
      <c r="U129" s="16"/>
    </row>
    <row r="130" spans="1:21" s="3" customFormat="1" ht="38.25">
      <c r="A130" s="34" t="s">
        <v>234</v>
      </c>
      <c r="B130" s="25" t="s">
        <v>55</v>
      </c>
      <c r="C130" s="26" t="s">
        <v>65</v>
      </c>
      <c r="D130" s="26" t="s">
        <v>84</v>
      </c>
      <c r="E130" s="26" t="s">
        <v>235</v>
      </c>
      <c r="F130" s="26" t="s">
        <v>58</v>
      </c>
      <c r="G130" s="27">
        <f t="shared" ref="G130:I132" si="94">G131</f>
        <v>2853370</v>
      </c>
      <c r="H130" s="27">
        <f t="shared" si="94"/>
        <v>2568030</v>
      </c>
      <c r="I130" s="27">
        <f t="shared" si="94"/>
        <v>2568030</v>
      </c>
      <c r="J130" s="16">
        <f>'БА в тыс. руб.'!G130*1000</f>
        <v>2853370</v>
      </c>
      <c r="K130" s="169">
        <f t="shared" si="48"/>
        <v>0</v>
      </c>
      <c r="L130" s="16">
        <f>'БА в тыс. руб.'!H130*1000</f>
        <v>2568030</v>
      </c>
      <c r="M130" s="169">
        <f t="shared" si="49"/>
        <v>0</v>
      </c>
      <c r="N130" s="16">
        <f>'БА в тыс. руб.'!I130*1000</f>
        <v>2568030</v>
      </c>
      <c r="O130" s="169">
        <f t="shared" si="50"/>
        <v>0</v>
      </c>
      <c r="P130" s="16"/>
      <c r="Q130" s="16"/>
      <c r="R130" s="16"/>
      <c r="S130" s="16"/>
      <c r="T130" s="16"/>
      <c r="U130" s="16"/>
    </row>
    <row r="131" spans="1:21" s="3" customFormat="1" ht="25.5">
      <c r="A131" s="34" t="s">
        <v>170</v>
      </c>
      <c r="B131" s="25" t="s">
        <v>55</v>
      </c>
      <c r="C131" s="26" t="s">
        <v>65</v>
      </c>
      <c r="D131" s="26" t="s">
        <v>84</v>
      </c>
      <c r="E131" s="26" t="s">
        <v>236</v>
      </c>
      <c r="F131" s="26" t="s">
        <v>58</v>
      </c>
      <c r="G131" s="27">
        <f t="shared" si="94"/>
        <v>2853370</v>
      </c>
      <c r="H131" s="27">
        <f t="shared" si="94"/>
        <v>2568030</v>
      </c>
      <c r="I131" s="27">
        <f t="shared" si="94"/>
        <v>2568030</v>
      </c>
      <c r="J131" s="16">
        <f>'БА в тыс. руб.'!G131*1000</f>
        <v>2853370</v>
      </c>
      <c r="K131" s="169">
        <f t="shared" si="48"/>
        <v>0</v>
      </c>
      <c r="L131" s="16">
        <f>'БА в тыс. руб.'!H131*1000</f>
        <v>2568030</v>
      </c>
      <c r="M131" s="169">
        <f t="shared" si="49"/>
        <v>0</v>
      </c>
      <c r="N131" s="16">
        <f>'БА в тыс. руб.'!I131*1000</f>
        <v>2568030</v>
      </c>
      <c r="O131" s="169">
        <f t="shared" si="50"/>
        <v>0</v>
      </c>
      <c r="P131" s="16"/>
      <c r="Q131" s="16"/>
      <c r="R131" s="16"/>
      <c r="S131" s="16"/>
      <c r="T131" s="16"/>
      <c r="U131" s="16"/>
    </row>
    <row r="132" spans="1:21" s="3" customFormat="1" ht="25.5">
      <c r="A132" s="11" t="s">
        <v>108</v>
      </c>
      <c r="B132" s="25" t="s">
        <v>55</v>
      </c>
      <c r="C132" s="26" t="s">
        <v>65</v>
      </c>
      <c r="D132" s="26" t="s">
        <v>84</v>
      </c>
      <c r="E132" s="26" t="s">
        <v>236</v>
      </c>
      <c r="F132" s="26" t="s">
        <v>116</v>
      </c>
      <c r="G132" s="27">
        <f>G133</f>
        <v>2853370</v>
      </c>
      <c r="H132" s="27">
        <f t="shared" si="94"/>
        <v>2568030</v>
      </c>
      <c r="I132" s="27">
        <f t="shared" si="94"/>
        <v>2568030</v>
      </c>
      <c r="J132" s="16">
        <f>'БА в тыс. руб.'!G132*1000</f>
        <v>2853370</v>
      </c>
      <c r="K132" s="169">
        <f t="shared" si="48"/>
        <v>0</v>
      </c>
      <c r="L132" s="16">
        <f>'БА в тыс. руб.'!H132*1000</f>
        <v>2568030</v>
      </c>
      <c r="M132" s="169">
        <f t="shared" si="49"/>
        <v>0</v>
      </c>
      <c r="N132" s="16">
        <f>'БА в тыс. руб.'!I132*1000</f>
        <v>2568030</v>
      </c>
      <c r="O132" s="169">
        <f t="shared" si="50"/>
        <v>0</v>
      </c>
      <c r="P132" s="16"/>
      <c r="Q132" s="16"/>
      <c r="R132" s="16"/>
      <c r="S132" s="16"/>
      <c r="T132" s="16"/>
      <c r="U132" s="16"/>
    </row>
    <row r="133" spans="1:21" s="4" customFormat="1" ht="25.5">
      <c r="A133" s="12" t="s">
        <v>973</v>
      </c>
      <c r="B133" s="25" t="s">
        <v>55</v>
      </c>
      <c r="C133" s="26" t="s">
        <v>65</v>
      </c>
      <c r="D133" s="26" t="s">
        <v>84</v>
      </c>
      <c r="E133" s="26" t="s">
        <v>236</v>
      </c>
      <c r="F133" s="26" t="s">
        <v>1043</v>
      </c>
      <c r="G133" s="27">
        <f t="shared" ref="G133" si="95">J133</f>
        <v>2853370</v>
      </c>
      <c r="H133" s="27">
        <f>L133</f>
        <v>2568030</v>
      </c>
      <c r="I133" s="27">
        <f>N133</f>
        <v>2568030</v>
      </c>
      <c r="J133" s="16">
        <f>'БА в тыс. руб.'!G133*1000</f>
        <v>2853370</v>
      </c>
      <c r="K133" s="169">
        <f t="shared" si="48"/>
        <v>0</v>
      </c>
      <c r="L133" s="16">
        <f>'БА в тыс. руб.'!H133*1000</f>
        <v>2568030</v>
      </c>
      <c r="M133" s="169">
        <f t="shared" si="49"/>
        <v>0</v>
      </c>
      <c r="N133" s="16">
        <f>'БА в тыс. руб.'!I133*1000</f>
        <v>2568030</v>
      </c>
      <c r="O133" s="169">
        <f t="shared" si="50"/>
        <v>0</v>
      </c>
      <c r="P133" s="16"/>
      <c r="Q133" s="16"/>
      <c r="R133" s="16"/>
      <c r="S133" s="16"/>
      <c r="T133" s="16"/>
      <c r="U133" s="16"/>
    </row>
    <row r="134" spans="1:21" s="3" customFormat="1" ht="38.25">
      <c r="A134" s="34" t="s">
        <v>871</v>
      </c>
      <c r="B134" s="25" t="s">
        <v>55</v>
      </c>
      <c r="C134" s="26" t="s">
        <v>65</v>
      </c>
      <c r="D134" s="26" t="s">
        <v>84</v>
      </c>
      <c r="E134" s="26" t="s">
        <v>240</v>
      </c>
      <c r="F134" s="26" t="s">
        <v>58</v>
      </c>
      <c r="G134" s="27">
        <f>G135+G139+G147+G143</f>
        <v>67243230</v>
      </c>
      <c r="H134" s="27">
        <f t="shared" ref="H134:I134" si="96">H135+H139+H147+H143</f>
        <v>67314830</v>
      </c>
      <c r="I134" s="27">
        <f t="shared" si="96"/>
        <v>67314830</v>
      </c>
      <c r="J134" s="16">
        <f>'БА в тыс. руб.'!G134*1000</f>
        <v>67243230</v>
      </c>
      <c r="K134" s="169">
        <f t="shared" ref="K134:K197" si="97">J134-G134</f>
        <v>0</v>
      </c>
      <c r="L134" s="16">
        <f>'БА в тыс. руб.'!H134*1000</f>
        <v>67314829.999999985</v>
      </c>
      <c r="M134" s="169">
        <f t="shared" ref="M134:M197" si="98">L134-H134</f>
        <v>0</v>
      </c>
      <c r="N134" s="16">
        <f>'БА в тыс. руб.'!I134*1000</f>
        <v>67314829.999999985</v>
      </c>
      <c r="O134" s="169">
        <f t="shared" ref="O134:O197" si="99">N134-I134</f>
        <v>0</v>
      </c>
      <c r="P134" s="16"/>
      <c r="Q134" s="16"/>
      <c r="R134" s="16"/>
      <c r="S134" s="16"/>
      <c r="T134" s="16"/>
      <c r="U134" s="16"/>
    </row>
    <row r="135" spans="1:21" s="3" customFormat="1" ht="25.5">
      <c r="A135" s="34" t="s">
        <v>849</v>
      </c>
      <c r="B135" s="25" t="s">
        <v>55</v>
      </c>
      <c r="C135" s="26" t="s">
        <v>65</v>
      </c>
      <c r="D135" s="26" t="s">
        <v>84</v>
      </c>
      <c r="E135" s="26" t="s">
        <v>241</v>
      </c>
      <c r="F135" s="26" t="s">
        <v>58</v>
      </c>
      <c r="G135" s="27">
        <f t="shared" ref="G135:I137" si="100">G136</f>
        <v>450000</v>
      </c>
      <c r="H135" s="27">
        <f t="shared" si="100"/>
        <v>450000</v>
      </c>
      <c r="I135" s="27">
        <f t="shared" si="100"/>
        <v>450000</v>
      </c>
      <c r="J135" s="16">
        <f>'БА в тыс. руб.'!G135*1000</f>
        <v>450000</v>
      </c>
      <c r="K135" s="169">
        <f t="shared" si="97"/>
        <v>0</v>
      </c>
      <c r="L135" s="16">
        <f>'БА в тыс. руб.'!H135*1000</f>
        <v>450000</v>
      </c>
      <c r="M135" s="169">
        <f t="shared" si="98"/>
        <v>0</v>
      </c>
      <c r="N135" s="16">
        <f>'БА в тыс. руб.'!I135*1000</f>
        <v>450000</v>
      </c>
      <c r="O135" s="169">
        <f t="shared" si="99"/>
        <v>0</v>
      </c>
      <c r="P135" s="16"/>
      <c r="Q135" s="16"/>
      <c r="R135" s="16"/>
      <c r="S135" s="16"/>
      <c r="T135" s="16"/>
      <c r="U135" s="16"/>
    </row>
    <row r="136" spans="1:21" s="3" customFormat="1" ht="38.25">
      <c r="A136" s="34" t="s">
        <v>872</v>
      </c>
      <c r="B136" s="25" t="s">
        <v>55</v>
      </c>
      <c r="C136" s="26" t="s">
        <v>65</v>
      </c>
      <c r="D136" s="26" t="s">
        <v>84</v>
      </c>
      <c r="E136" s="26" t="s">
        <v>242</v>
      </c>
      <c r="F136" s="26" t="s">
        <v>58</v>
      </c>
      <c r="G136" s="27">
        <f t="shared" si="100"/>
        <v>450000</v>
      </c>
      <c r="H136" s="27">
        <f t="shared" si="100"/>
        <v>450000</v>
      </c>
      <c r="I136" s="27">
        <f t="shared" si="100"/>
        <v>450000</v>
      </c>
      <c r="J136" s="16">
        <f>'БА в тыс. руб.'!G136*1000</f>
        <v>450000</v>
      </c>
      <c r="K136" s="169">
        <f t="shared" si="97"/>
        <v>0</v>
      </c>
      <c r="L136" s="16">
        <f>'БА в тыс. руб.'!H136*1000</f>
        <v>450000</v>
      </c>
      <c r="M136" s="169">
        <f t="shared" si="98"/>
        <v>0</v>
      </c>
      <c r="N136" s="16">
        <f>'БА в тыс. руб.'!I136*1000</f>
        <v>450000</v>
      </c>
      <c r="O136" s="169">
        <f t="shared" si="99"/>
        <v>0</v>
      </c>
      <c r="P136" s="16"/>
      <c r="Q136" s="16"/>
      <c r="R136" s="16"/>
      <c r="S136" s="16"/>
      <c r="T136" s="16"/>
      <c r="U136" s="16"/>
    </row>
    <row r="137" spans="1:21" s="3" customFormat="1" ht="25.5">
      <c r="A137" s="11" t="s">
        <v>108</v>
      </c>
      <c r="B137" s="25" t="s">
        <v>55</v>
      </c>
      <c r="C137" s="26" t="s">
        <v>65</v>
      </c>
      <c r="D137" s="26" t="s">
        <v>84</v>
      </c>
      <c r="E137" s="26" t="s">
        <v>242</v>
      </c>
      <c r="F137" s="26" t="s">
        <v>116</v>
      </c>
      <c r="G137" s="27">
        <f>G138</f>
        <v>450000</v>
      </c>
      <c r="H137" s="27">
        <f t="shared" si="100"/>
        <v>450000</v>
      </c>
      <c r="I137" s="27">
        <f t="shared" si="100"/>
        <v>450000</v>
      </c>
      <c r="J137" s="16">
        <f>'БА в тыс. руб.'!G137*1000</f>
        <v>450000</v>
      </c>
      <c r="K137" s="169">
        <f t="shared" si="97"/>
        <v>0</v>
      </c>
      <c r="L137" s="16">
        <f>'БА в тыс. руб.'!H137*1000</f>
        <v>450000</v>
      </c>
      <c r="M137" s="169">
        <f t="shared" si="98"/>
        <v>0</v>
      </c>
      <c r="N137" s="16">
        <f>'БА в тыс. руб.'!I137*1000</f>
        <v>450000</v>
      </c>
      <c r="O137" s="169">
        <f t="shared" si="99"/>
        <v>0</v>
      </c>
      <c r="P137" s="16"/>
      <c r="Q137" s="16"/>
      <c r="R137" s="16"/>
      <c r="S137" s="16"/>
      <c r="T137" s="16"/>
      <c r="U137" s="16"/>
    </row>
    <row r="138" spans="1:21" s="4" customFormat="1" ht="25.5">
      <c r="A138" s="12" t="s">
        <v>973</v>
      </c>
      <c r="B138" s="25" t="s">
        <v>55</v>
      </c>
      <c r="C138" s="26" t="s">
        <v>65</v>
      </c>
      <c r="D138" s="26" t="s">
        <v>84</v>
      </c>
      <c r="E138" s="26" t="s">
        <v>242</v>
      </c>
      <c r="F138" s="26" t="s">
        <v>1043</v>
      </c>
      <c r="G138" s="27">
        <f t="shared" ref="G138" si="101">J138</f>
        <v>450000</v>
      </c>
      <c r="H138" s="27">
        <f>L138</f>
        <v>450000</v>
      </c>
      <c r="I138" s="27">
        <f>N138</f>
        <v>450000</v>
      </c>
      <c r="J138" s="16">
        <f>'БА в тыс. руб.'!G138*1000</f>
        <v>450000</v>
      </c>
      <c r="K138" s="169">
        <f t="shared" si="97"/>
        <v>0</v>
      </c>
      <c r="L138" s="16">
        <f>'БА в тыс. руб.'!H138*1000</f>
        <v>450000</v>
      </c>
      <c r="M138" s="169">
        <f t="shared" si="98"/>
        <v>0</v>
      </c>
      <c r="N138" s="16">
        <f>'БА в тыс. руб.'!I138*1000</f>
        <v>450000</v>
      </c>
      <c r="O138" s="169">
        <f t="shared" si="99"/>
        <v>0</v>
      </c>
      <c r="P138" s="16"/>
      <c r="Q138" s="16"/>
      <c r="R138" s="16"/>
      <c r="S138" s="16"/>
      <c r="T138" s="16"/>
      <c r="U138" s="16"/>
    </row>
    <row r="139" spans="1:21" s="3" customFormat="1" ht="51">
      <c r="A139" s="34" t="s">
        <v>604</v>
      </c>
      <c r="B139" s="25" t="s">
        <v>55</v>
      </c>
      <c r="C139" s="26" t="s">
        <v>65</v>
      </c>
      <c r="D139" s="26" t="s">
        <v>84</v>
      </c>
      <c r="E139" s="26" t="s">
        <v>243</v>
      </c>
      <c r="F139" s="26" t="s">
        <v>58</v>
      </c>
      <c r="G139" s="27">
        <f t="shared" ref="G139:I141" si="102">G140</f>
        <v>85000</v>
      </c>
      <c r="H139" s="27">
        <f t="shared" si="102"/>
        <v>76500</v>
      </c>
      <c r="I139" s="27">
        <f t="shared" si="102"/>
        <v>76500</v>
      </c>
      <c r="J139" s="16">
        <f>'БА в тыс. руб.'!G139*1000</f>
        <v>85000</v>
      </c>
      <c r="K139" s="169">
        <f t="shared" si="97"/>
        <v>0</v>
      </c>
      <c r="L139" s="16">
        <f>'БА в тыс. руб.'!H139*1000</f>
        <v>76500</v>
      </c>
      <c r="M139" s="169">
        <f t="shared" si="98"/>
        <v>0</v>
      </c>
      <c r="N139" s="16">
        <f>'БА в тыс. руб.'!I139*1000</f>
        <v>76500</v>
      </c>
      <c r="O139" s="169">
        <f t="shared" si="99"/>
        <v>0</v>
      </c>
      <c r="P139" s="16"/>
      <c r="Q139" s="16"/>
      <c r="R139" s="16"/>
      <c r="S139" s="16"/>
      <c r="T139" s="16"/>
      <c r="U139" s="16"/>
    </row>
    <row r="140" spans="1:21" s="3" customFormat="1" ht="38.25">
      <c r="A140" s="34" t="s">
        <v>872</v>
      </c>
      <c r="B140" s="25" t="s">
        <v>55</v>
      </c>
      <c r="C140" s="26" t="s">
        <v>65</v>
      </c>
      <c r="D140" s="26" t="s">
        <v>84</v>
      </c>
      <c r="E140" s="26" t="s">
        <v>244</v>
      </c>
      <c r="F140" s="26" t="s">
        <v>58</v>
      </c>
      <c r="G140" s="27">
        <f t="shared" si="102"/>
        <v>85000</v>
      </c>
      <c r="H140" s="27">
        <f t="shared" si="102"/>
        <v>76500</v>
      </c>
      <c r="I140" s="27">
        <f t="shared" si="102"/>
        <v>76500</v>
      </c>
      <c r="J140" s="16">
        <f>'БА в тыс. руб.'!G140*1000</f>
        <v>85000</v>
      </c>
      <c r="K140" s="169">
        <f t="shared" si="97"/>
        <v>0</v>
      </c>
      <c r="L140" s="16">
        <f>'БА в тыс. руб.'!H140*1000</f>
        <v>76500</v>
      </c>
      <c r="M140" s="169">
        <f t="shared" si="98"/>
        <v>0</v>
      </c>
      <c r="N140" s="16">
        <f>'БА в тыс. руб.'!I140*1000</f>
        <v>76500</v>
      </c>
      <c r="O140" s="169">
        <f t="shared" si="99"/>
        <v>0</v>
      </c>
      <c r="P140" s="16"/>
      <c r="Q140" s="16"/>
      <c r="R140" s="16"/>
      <c r="S140" s="16"/>
      <c r="T140" s="16"/>
      <c r="U140" s="16"/>
    </row>
    <row r="141" spans="1:21" s="3" customFormat="1" ht="25.5">
      <c r="A141" s="11" t="s">
        <v>108</v>
      </c>
      <c r="B141" s="25" t="s">
        <v>55</v>
      </c>
      <c r="C141" s="26" t="s">
        <v>65</v>
      </c>
      <c r="D141" s="26" t="s">
        <v>84</v>
      </c>
      <c r="E141" s="26" t="s">
        <v>244</v>
      </c>
      <c r="F141" s="26" t="s">
        <v>116</v>
      </c>
      <c r="G141" s="27">
        <f>G142</f>
        <v>85000</v>
      </c>
      <c r="H141" s="27">
        <f t="shared" si="102"/>
        <v>76500</v>
      </c>
      <c r="I141" s="27">
        <f t="shared" si="102"/>
        <v>76500</v>
      </c>
      <c r="J141" s="16">
        <f>'БА в тыс. руб.'!G141*1000</f>
        <v>85000</v>
      </c>
      <c r="K141" s="169">
        <f t="shared" si="97"/>
        <v>0</v>
      </c>
      <c r="L141" s="16">
        <f>'БА в тыс. руб.'!H141*1000</f>
        <v>76500</v>
      </c>
      <c r="M141" s="169">
        <f t="shared" si="98"/>
        <v>0</v>
      </c>
      <c r="N141" s="16">
        <f>'БА в тыс. руб.'!I141*1000</f>
        <v>76500</v>
      </c>
      <c r="O141" s="169">
        <f t="shared" si="99"/>
        <v>0</v>
      </c>
      <c r="P141" s="16"/>
      <c r="Q141" s="16"/>
      <c r="R141" s="16"/>
      <c r="S141" s="16"/>
      <c r="T141" s="16"/>
      <c r="U141" s="16"/>
    </row>
    <row r="142" spans="1:21" s="4" customFormat="1" ht="25.5">
      <c r="A142" s="12" t="s">
        <v>973</v>
      </c>
      <c r="B142" s="25" t="s">
        <v>55</v>
      </c>
      <c r="C142" s="26" t="s">
        <v>65</v>
      </c>
      <c r="D142" s="26" t="s">
        <v>84</v>
      </c>
      <c r="E142" s="26" t="s">
        <v>244</v>
      </c>
      <c r="F142" s="26" t="s">
        <v>1043</v>
      </c>
      <c r="G142" s="27">
        <f t="shared" ref="G142" si="103">J142</f>
        <v>85000</v>
      </c>
      <c r="H142" s="27">
        <f>L142</f>
        <v>76500</v>
      </c>
      <c r="I142" s="27">
        <f>N142</f>
        <v>76500</v>
      </c>
      <c r="J142" s="16">
        <f>'БА в тыс. руб.'!G142*1000</f>
        <v>85000</v>
      </c>
      <c r="K142" s="169">
        <f t="shared" si="97"/>
        <v>0</v>
      </c>
      <c r="L142" s="16">
        <f>'БА в тыс. руб.'!H142*1000</f>
        <v>76500</v>
      </c>
      <c r="M142" s="169">
        <f t="shared" si="98"/>
        <v>0</v>
      </c>
      <c r="N142" s="16">
        <f>'БА в тыс. руб.'!I142*1000</f>
        <v>76500</v>
      </c>
      <c r="O142" s="169">
        <f t="shared" si="99"/>
        <v>0</v>
      </c>
      <c r="P142" s="16"/>
      <c r="Q142" s="16"/>
      <c r="R142" s="16"/>
      <c r="S142" s="16"/>
      <c r="T142" s="16"/>
      <c r="U142" s="16"/>
    </row>
    <row r="143" spans="1:21" s="3" customFormat="1" ht="51">
      <c r="A143" s="34" t="s">
        <v>771</v>
      </c>
      <c r="B143" s="25" t="s">
        <v>55</v>
      </c>
      <c r="C143" s="26" t="s">
        <v>65</v>
      </c>
      <c r="D143" s="26" t="s">
        <v>84</v>
      </c>
      <c r="E143" s="26" t="s">
        <v>772</v>
      </c>
      <c r="F143" s="26" t="s">
        <v>58</v>
      </c>
      <c r="G143" s="27">
        <f>G144</f>
        <v>85000</v>
      </c>
      <c r="H143" s="27">
        <f t="shared" ref="H143:I145" si="104">H144</f>
        <v>76500</v>
      </c>
      <c r="I143" s="27">
        <f t="shared" si="104"/>
        <v>76500</v>
      </c>
      <c r="J143" s="16">
        <f>'БА в тыс. руб.'!G143*1000</f>
        <v>85000</v>
      </c>
      <c r="K143" s="169">
        <f t="shared" si="97"/>
        <v>0</v>
      </c>
      <c r="L143" s="16">
        <f>'БА в тыс. руб.'!H143*1000</f>
        <v>76500</v>
      </c>
      <c r="M143" s="169">
        <f t="shared" si="98"/>
        <v>0</v>
      </c>
      <c r="N143" s="16">
        <f>'БА в тыс. руб.'!I143*1000</f>
        <v>76500</v>
      </c>
      <c r="O143" s="169">
        <f t="shared" si="99"/>
        <v>0</v>
      </c>
      <c r="P143" s="16"/>
      <c r="Q143" s="16"/>
      <c r="R143" s="16"/>
      <c r="S143" s="16"/>
      <c r="T143" s="16"/>
      <c r="U143" s="16"/>
    </row>
    <row r="144" spans="1:21" s="3" customFormat="1" ht="38.25">
      <c r="A144" s="34" t="s">
        <v>872</v>
      </c>
      <c r="B144" s="25" t="s">
        <v>55</v>
      </c>
      <c r="C144" s="26" t="s">
        <v>65</v>
      </c>
      <c r="D144" s="26" t="s">
        <v>84</v>
      </c>
      <c r="E144" s="26" t="s">
        <v>773</v>
      </c>
      <c r="F144" s="26" t="s">
        <v>58</v>
      </c>
      <c r="G144" s="27">
        <f>G145</f>
        <v>85000</v>
      </c>
      <c r="H144" s="27">
        <f t="shared" si="104"/>
        <v>76500</v>
      </c>
      <c r="I144" s="27">
        <f t="shared" si="104"/>
        <v>76500</v>
      </c>
      <c r="J144" s="16">
        <f>'БА в тыс. руб.'!G144*1000</f>
        <v>85000</v>
      </c>
      <c r="K144" s="169">
        <f t="shared" si="97"/>
        <v>0</v>
      </c>
      <c r="L144" s="16">
        <f>'БА в тыс. руб.'!H144*1000</f>
        <v>76500</v>
      </c>
      <c r="M144" s="169">
        <f t="shared" si="98"/>
        <v>0</v>
      </c>
      <c r="N144" s="16">
        <f>'БА в тыс. руб.'!I144*1000</f>
        <v>76500</v>
      </c>
      <c r="O144" s="169">
        <f t="shared" si="99"/>
        <v>0</v>
      </c>
      <c r="P144" s="16"/>
      <c r="Q144" s="16"/>
      <c r="R144" s="16"/>
      <c r="S144" s="16"/>
      <c r="T144" s="16"/>
      <c r="U144" s="16"/>
    </row>
    <row r="145" spans="1:21" s="3" customFormat="1" ht="25.5">
      <c r="A145" s="11" t="s">
        <v>108</v>
      </c>
      <c r="B145" s="25" t="s">
        <v>55</v>
      </c>
      <c r="C145" s="26" t="s">
        <v>65</v>
      </c>
      <c r="D145" s="26" t="s">
        <v>84</v>
      </c>
      <c r="E145" s="26" t="s">
        <v>773</v>
      </c>
      <c r="F145" s="26" t="s">
        <v>116</v>
      </c>
      <c r="G145" s="27">
        <f>G146</f>
        <v>85000</v>
      </c>
      <c r="H145" s="27">
        <f t="shared" si="104"/>
        <v>76500</v>
      </c>
      <c r="I145" s="27">
        <f t="shared" si="104"/>
        <v>76500</v>
      </c>
      <c r="J145" s="16">
        <f>'БА в тыс. руб.'!G145*1000</f>
        <v>85000</v>
      </c>
      <c r="K145" s="169">
        <f t="shared" si="97"/>
        <v>0</v>
      </c>
      <c r="L145" s="16">
        <f>'БА в тыс. руб.'!H145*1000</f>
        <v>76500</v>
      </c>
      <c r="M145" s="169">
        <f t="shared" si="98"/>
        <v>0</v>
      </c>
      <c r="N145" s="16">
        <f>'БА в тыс. руб.'!I145*1000</f>
        <v>76500</v>
      </c>
      <c r="O145" s="169">
        <f t="shared" si="99"/>
        <v>0</v>
      </c>
      <c r="P145" s="16"/>
      <c r="Q145" s="16"/>
      <c r="R145" s="16"/>
      <c r="S145" s="16"/>
      <c r="T145" s="16"/>
      <c r="U145" s="16"/>
    </row>
    <row r="146" spans="1:21" s="4" customFormat="1" ht="25.5">
      <c r="A146" s="12" t="s">
        <v>973</v>
      </c>
      <c r="B146" s="25" t="s">
        <v>55</v>
      </c>
      <c r="C146" s="26" t="s">
        <v>65</v>
      </c>
      <c r="D146" s="26" t="s">
        <v>84</v>
      </c>
      <c r="E146" s="26" t="s">
        <v>773</v>
      </c>
      <c r="F146" s="26" t="s">
        <v>1043</v>
      </c>
      <c r="G146" s="27">
        <f t="shared" ref="G146" si="105">J146</f>
        <v>85000</v>
      </c>
      <c r="H146" s="27">
        <f>L146</f>
        <v>76500</v>
      </c>
      <c r="I146" s="27">
        <f>N146</f>
        <v>76500</v>
      </c>
      <c r="J146" s="16">
        <f>'БА в тыс. руб.'!G146*1000</f>
        <v>85000</v>
      </c>
      <c r="K146" s="169">
        <f t="shared" si="97"/>
        <v>0</v>
      </c>
      <c r="L146" s="16">
        <f>'БА в тыс. руб.'!H146*1000</f>
        <v>76500</v>
      </c>
      <c r="M146" s="169">
        <f t="shared" si="98"/>
        <v>0</v>
      </c>
      <c r="N146" s="16">
        <f>'БА в тыс. руб.'!I146*1000</f>
        <v>76500</v>
      </c>
      <c r="O146" s="169">
        <f t="shared" si="99"/>
        <v>0</v>
      </c>
      <c r="P146" s="16"/>
      <c r="Q146" s="16"/>
      <c r="R146" s="16"/>
      <c r="S146" s="16"/>
      <c r="T146" s="16"/>
      <c r="U146" s="16"/>
    </row>
    <row r="147" spans="1:21" s="3" customFormat="1" ht="38.25">
      <c r="A147" s="34" t="s">
        <v>245</v>
      </c>
      <c r="B147" s="25" t="s">
        <v>55</v>
      </c>
      <c r="C147" s="26" t="s">
        <v>65</v>
      </c>
      <c r="D147" s="26" t="s">
        <v>84</v>
      </c>
      <c r="E147" s="26" t="s">
        <v>246</v>
      </c>
      <c r="F147" s="26" t="s">
        <v>58</v>
      </c>
      <c r="G147" s="27">
        <f>G148</f>
        <v>66623230</v>
      </c>
      <c r="H147" s="27">
        <f>H148</f>
        <v>66711830</v>
      </c>
      <c r="I147" s="27">
        <f>I148</f>
        <v>66711830</v>
      </c>
      <c r="J147" s="16">
        <f>'БА в тыс. руб.'!G147*1000</f>
        <v>66623229.999999993</v>
      </c>
      <c r="K147" s="169">
        <f t="shared" si="97"/>
        <v>0</v>
      </c>
      <c r="L147" s="16">
        <f>'БА в тыс. руб.'!H147*1000</f>
        <v>66711829.999999985</v>
      </c>
      <c r="M147" s="169">
        <f t="shared" si="98"/>
        <v>0</v>
      </c>
      <c r="N147" s="16">
        <f>'БА в тыс. руб.'!I147*1000</f>
        <v>66711829.999999985</v>
      </c>
      <c r="O147" s="169">
        <f t="shared" si="99"/>
        <v>0</v>
      </c>
      <c r="P147" s="16"/>
      <c r="Q147" s="16"/>
      <c r="R147" s="16"/>
      <c r="S147" s="16"/>
      <c r="T147" s="16"/>
      <c r="U147" s="16"/>
    </row>
    <row r="148" spans="1:21" s="3" customFormat="1" ht="25.5">
      <c r="A148" s="34" t="s">
        <v>247</v>
      </c>
      <c r="B148" s="25" t="s">
        <v>55</v>
      </c>
      <c r="C148" s="26" t="s">
        <v>65</v>
      </c>
      <c r="D148" s="26" t="s">
        <v>84</v>
      </c>
      <c r="E148" s="26" t="s">
        <v>248</v>
      </c>
      <c r="F148" s="26" t="s">
        <v>58</v>
      </c>
      <c r="G148" s="27">
        <f>G149+G153+G155</f>
        <v>66623230</v>
      </c>
      <c r="H148" s="27">
        <f t="shared" ref="H148:I148" si="106">H149+H153+H155</f>
        <v>66711830</v>
      </c>
      <c r="I148" s="27">
        <f t="shared" si="106"/>
        <v>66711830</v>
      </c>
      <c r="J148" s="16">
        <f>'БА в тыс. руб.'!G148*1000</f>
        <v>66623229.999999993</v>
      </c>
      <c r="K148" s="169">
        <f t="shared" si="97"/>
        <v>0</v>
      </c>
      <c r="L148" s="16">
        <f>'БА в тыс. руб.'!H148*1000</f>
        <v>66711829.999999985</v>
      </c>
      <c r="M148" s="169">
        <f t="shared" si="98"/>
        <v>0</v>
      </c>
      <c r="N148" s="16">
        <f>'БА в тыс. руб.'!I148*1000</f>
        <v>66711829.999999985</v>
      </c>
      <c r="O148" s="169">
        <f t="shared" si="99"/>
        <v>0</v>
      </c>
      <c r="P148" s="16"/>
      <c r="Q148" s="16"/>
      <c r="R148" s="16"/>
      <c r="S148" s="16"/>
      <c r="T148" s="16"/>
      <c r="U148" s="16"/>
    </row>
    <row r="149" spans="1:21" s="3" customFormat="1">
      <c r="A149" s="13" t="s">
        <v>106</v>
      </c>
      <c r="B149" s="25" t="s">
        <v>55</v>
      </c>
      <c r="C149" s="26" t="s">
        <v>65</v>
      </c>
      <c r="D149" s="26" t="s">
        <v>84</v>
      </c>
      <c r="E149" s="26" t="s">
        <v>248</v>
      </c>
      <c r="F149" s="26" t="s">
        <v>121</v>
      </c>
      <c r="G149" s="27">
        <f>SUM(G150:G152)</f>
        <v>58134480</v>
      </c>
      <c r="H149" s="27">
        <f t="shared" ref="H149:I149" si="107">SUM(H150:H152)</f>
        <v>58134480</v>
      </c>
      <c r="I149" s="27">
        <f t="shared" si="107"/>
        <v>58134480</v>
      </c>
      <c r="J149" s="16">
        <f>'БА в тыс. руб.'!G149*1000</f>
        <v>58134479.999999993</v>
      </c>
      <c r="K149" s="169">
        <f t="shared" si="97"/>
        <v>0</v>
      </c>
      <c r="L149" s="16">
        <f>'БА в тыс. руб.'!H149*1000</f>
        <v>58134479.999999993</v>
      </c>
      <c r="M149" s="169">
        <f t="shared" si="98"/>
        <v>0</v>
      </c>
      <c r="N149" s="16">
        <f>'БА в тыс. руб.'!I149*1000</f>
        <v>58134479.999999993</v>
      </c>
      <c r="O149" s="169">
        <f t="shared" si="99"/>
        <v>0</v>
      </c>
      <c r="P149" s="16"/>
      <c r="Q149" s="16"/>
      <c r="R149" s="16"/>
      <c r="S149" s="16"/>
      <c r="T149" s="16"/>
      <c r="U149" s="16"/>
    </row>
    <row r="150" spans="1:21" s="4" customFormat="1">
      <c r="A150" s="12" t="s">
        <v>932</v>
      </c>
      <c r="B150" s="25" t="s">
        <v>55</v>
      </c>
      <c r="C150" s="26" t="s">
        <v>65</v>
      </c>
      <c r="D150" s="26" t="s">
        <v>84</v>
      </c>
      <c r="E150" s="26" t="s">
        <v>248</v>
      </c>
      <c r="F150" s="26" t="s">
        <v>1056</v>
      </c>
      <c r="G150" s="27">
        <f t="shared" ref="G150:G152" si="108">J150</f>
        <v>44638770</v>
      </c>
      <c r="H150" s="27">
        <f t="shared" ref="H150:H152" si="109">L150</f>
        <v>44638770</v>
      </c>
      <c r="I150" s="27">
        <f t="shared" ref="I150:I152" si="110">N150</f>
        <v>44638770</v>
      </c>
      <c r="J150" s="16">
        <f>'БА в тыс. руб.'!G150*1000</f>
        <v>44638770</v>
      </c>
      <c r="K150" s="169">
        <f t="shared" si="97"/>
        <v>0</v>
      </c>
      <c r="L150" s="16">
        <f>'БА в тыс. руб.'!H150*1000</f>
        <v>44638770</v>
      </c>
      <c r="M150" s="169">
        <f t="shared" si="98"/>
        <v>0</v>
      </c>
      <c r="N150" s="16">
        <f>'БА в тыс. руб.'!I150*1000</f>
        <v>44638770</v>
      </c>
      <c r="O150" s="169">
        <f t="shared" si="99"/>
        <v>0</v>
      </c>
      <c r="P150" s="16"/>
      <c r="Q150" s="16"/>
      <c r="R150" s="16"/>
      <c r="S150" s="16"/>
      <c r="T150" s="16"/>
      <c r="U150" s="16"/>
    </row>
    <row r="151" spans="1:21" s="4" customFormat="1" ht="25.5">
      <c r="A151" s="12" t="s">
        <v>933</v>
      </c>
      <c r="B151" s="25" t="s">
        <v>55</v>
      </c>
      <c r="C151" s="26" t="s">
        <v>65</v>
      </c>
      <c r="D151" s="26" t="s">
        <v>84</v>
      </c>
      <c r="E151" s="26" t="s">
        <v>248</v>
      </c>
      <c r="F151" s="26" t="s">
        <v>1069</v>
      </c>
      <c r="G151" s="27">
        <f t="shared" si="108"/>
        <v>14800</v>
      </c>
      <c r="H151" s="27">
        <f t="shared" si="109"/>
        <v>14800</v>
      </c>
      <c r="I151" s="27">
        <f t="shared" si="110"/>
        <v>14800</v>
      </c>
      <c r="J151" s="16">
        <f>'БА в тыс. руб.'!G151*1000</f>
        <v>14800</v>
      </c>
      <c r="K151" s="169"/>
      <c r="L151" s="16">
        <f>'БА в тыс. руб.'!H151*1000</f>
        <v>14800</v>
      </c>
      <c r="M151" s="169"/>
      <c r="N151" s="16">
        <f>'БА в тыс. руб.'!I151*1000</f>
        <v>14800</v>
      </c>
      <c r="O151" s="169"/>
      <c r="P151" s="16"/>
      <c r="Q151" s="16"/>
      <c r="R151" s="16"/>
      <c r="S151" s="16"/>
      <c r="T151" s="16"/>
      <c r="U151" s="16"/>
    </row>
    <row r="152" spans="1:21" s="4" customFormat="1" ht="38.25">
      <c r="A152" s="12" t="s">
        <v>935</v>
      </c>
      <c r="B152" s="25" t="s">
        <v>55</v>
      </c>
      <c r="C152" s="26" t="s">
        <v>65</v>
      </c>
      <c r="D152" s="26" t="s">
        <v>84</v>
      </c>
      <c r="E152" s="26" t="s">
        <v>248</v>
      </c>
      <c r="F152" s="26" t="s">
        <v>1057</v>
      </c>
      <c r="G152" s="27">
        <f t="shared" si="108"/>
        <v>13480910</v>
      </c>
      <c r="H152" s="27">
        <f t="shared" si="109"/>
        <v>13480910</v>
      </c>
      <c r="I152" s="27">
        <f t="shared" si="110"/>
        <v>13480910</v>
      </c>
      <c r="J152" s="16">
        <f>'БА в тыс. руб.'!G152*1000</f>
        <v>13480910</v>
      </c>
      <c r="K152" s="169">
        <f t="shared" si="97"/>
        <v>0</v>
      </c>
      <c r="L152" s="16">
        <f>'БА в тыс. руб.'!H152*1000</f>
        <v>13480910</v>
      </c>
      <c r="M152" s="169">
        <f t="shared" si="98"/>
        <v>0</v>
      </c>
      <c r="N152" s="16">
        <f>'БА в тыс. руб.'!I152*1000</f>
        <v>13480910</v>
      </c>
      <c r="O152" s="169">
        <f t="shared" si="99"/>
        <v>0</v>
      </c>
      <c r="P152" s="16"/>
      <c r="Q152" s="16"/>
      <c r="R152" s="16"/>
      <c r="S152" s="16"/>
      <c r="T152" s="16"/>
      <c r="U152" s="16"/>
    </row>
    <row r="153" spans="1:21" s="3" customFormat="1" ht="25.5">
      <c r="A153" s="11" t="s">
        <v>108</v>
      </c>
      <c r="B153" s="25" t="s">
        <v>55</v>
      </c>
      <c r="C153" s="26" t="s">
        <v>65</v>
      </c>
      <c r="D153" s="26" t="s">
        <v>84</v>
      </c>
      <c r="E153" s="26" t="s">
        <v>248</v>
      </c>
      <c r="F153" s="26" t="s">
        <v>116</v>
      </c>
      <c r="G153" s="27">
        <f>G154</f>
        <v>7191320</v>
      </c>
      <c r="H153" s="27">
        <f t="shared" ref="H153:I153" si="111">H154</f>
        <v>7279920</v>
      </c>
      <c r="I153" s="27">
        <f t="shared" si="111"/>
        <v>7279920</v>
      </c>
      <c r="J153" s="16">
        <f>'БА в тыс. руб.'!G153*1000</f>
        <v>7191320</v>
      </c>
      <c r="K153" s="169">
        <f t="shared" si="97"/>
        <v>0</v>
      </c>
      <c r="L153" s="16">
        <f>'БА в тыс. руб.'!H153*1000</f>
        <v>7279920</v>
      </c>
      <c r="M153" s="169">
        <f t="shared" si="98"/>
        <v>0</v>
      </c>
      <c r="N153" s="16">
        <f>'БА в тыс. руб.'!I153*1000</f>
        <v>7279920</v>
      </c>
      <c r="O153" s="169">
        <f t="shared" si="99"/>
        <v>0</v>
      </c>
      <c r="P153" s="16"/>
      <c r="Q153" s="16"/>
      <c r="R153" s="16"/>
      <c r="S153" s="16"/>
      <c r="T153" s="16"/>
      <c r="U153" s="16"/>
    </row>
    <row r="154" spans="1:21" s="4" customFormat="1" ht="25.5">
      <c r="A154" s="12" t="s">
        <v>973</v>
      </c>
      <c r="B154" s="25" t="s">
        <v>55</v>
      </c>
      <c r="C154" s="26" t="s">
        <v>65</v>
      </c>
      <c r="D154" s="26" t="s">
        <v>84</v>
      </c>
      <c r="E154" s="26" t="s">
        <v>248</v>
      </c>
      <c r="F154" s="26" t="s">
        <v>1043</v>
      </c>
      <c r="G154" s="27">
        <f t="shared" ref="G154" si="112">J154</f>
        <v>7191320</v>
      </c>
      <c r="H154" s="27">
        <f>L154</f>
        <v>7279920</v>
      </c>
      <c r="I154" s="27">
        <f>N154</f>
        <v>7279920</v>
      </c>
      <c r="J154" s="16">
        <f>'БА в тыс. руб.'!G154*1000</f>
        <v>7191320</v>
      </c>
      <c r="K154" s="169">
        <f t="shared" si="97"/>
        <v>0</v>
      </c>
      <c r="L154" s="16">
        <f>'БА в тыс. руб.'!H154*1000</f>
        <v>7279920</v>
      </c>
      <c r="M154" s="169">
        <f t="shared" si="98"/>
        <v>0</v>
      </c>
      <c r="N154" s="16">
        <f>'БА в тыс. руб.'!I154*1000</f>
        <v>7279920</v>
      </c>
      <c r="O154" s="169">
        <f t="shared" si="99"/>
        <v>0</v>
      </c>
      <c r="P154" s="16"/>
      <c r="Q154" s="16"/>
      <c r="R154" s="16"/>
      <c r="S154" s="16"/>
      <c r="T154" s="16"/>
      <c r="U154" s="16"/>
    </row>
    <row r="155" spans="1:21" s="3" customFormat="1">
      <c r="A155" s="11" t="s">
        <v>97</v>
      </c>
      <c r="B155" s="25" t="s">
        <v>55</v>
      </c>
      <c r="C155" s="26" t="s">
        <v>65</v>
      </c>
      <c r="D155" s="26" t="s">
        <v>84</v>
      </c>
      <c r="E155" s="26" t="s">
        <v>248</v>
      </c>
      <c r="F155" s="108">
        <v>850</v>
      </c>
      <c r="G155" s="27">
        <f>SUM(G156:G157)</f>
        <v>1297430</v>
      </c>
      <c r="H155" s="27">
        <f t="shared" ref="H155:I155" si="113">SUM(H156:H157)</f>
        <v>1297430</v>
      </c>
      <c r="I155" s="27">
        <f t="shared" si="113"/>
        <v>1297430</v>
      </c>
      <c r="J155" s="16">
        <f>'БА в тыс. руб.'!G155*1000</f>
        <v>1297429.9999999998</v>
      </c>
      <c r="K155" s="169">
        <f t="shared" si="97"/>
        <v>0</v>
      </c>
      <c r="L155" s="16">
        <f>'БА в тыс. руб.'!H155*1000</f>
        <v>1297429.9999999998</v>
      </c>
      <c r="M155" s="169">
        <f t="shared" si="98"/>
        <v>0</v>
      </c>
      <c r="N155" s="16">
        <f>'БА в тыс. руб.'!I155*1000</f>
        <v>1297429.9999999998</v>
      </c>
      <c r="O155" s="169">
        <f t="shared" si="99"/>
        <v>0</v>
      </c>
      <c r="P155" s="16"/>
      <c r="Q155" s="16"/>
      <c r="R155" s="16"/>
      <c r="S155" s="16"/>
      <c r="T155" s="16"/>
      <c r="U155" s="16"/>
    </row>
    <row r="156" spans="1:21" s="4" customFormat="1">
      <c r="A156" s="12" t="s">
        <v>1036</v>
      </c>
      <c r="B156" s="25" t="s">
        <v>55</v>
      </c>
      <c r="C156" s="26" t="s">
        <v>65</v>
      </c>
      <c r="D156" s="26" t="s">
        <v>84</v>
      </c>
      <c r="E156" s="26" t="s">
        <v>248</v>
      </c>
      <c r="F156" s="47">
        <v>851</v>
      </c>
      <c r="G156" s="27">
        <f t="shared" ref="G156:G157" si="114">J156</f>
        <v>1283590</v>
      </c>
      <c r="H156" s="27">
        <f t="shared" ref="H156:H157" si="115">L156</f>
        <v>1283590</v>
      </c>
      <c r="I156" s="27">
        <f t="shared" ref="I156:I157" si="116">N156</f>
        <v>1283590</v>
      </c>
      <c r="J156" s="16">
        <f>'БА в тыс. руб.'!G156*1000</f>
        <v>1283590</v>
      </c>
      <c r="K156" s="169">
        <f t="shared" si="97"/>
        <v>0</v>
      </c>
      <c r="L156" s="16">
        <f>'БА в тыс. руб.'!H156*1000</f>
        <v>1283590</v>
      </c>
      <c r="M156" s="169">
        <f t="shared" si="98"/>
        <v>0</v>
      </c>
      <c r="N156" s="16">
        <f>'БА в тыс. руб.'!I156*1000</f>
        <v>1283590</v>
      </c>
      <c r="O156" s="169">
        <f t="shared" si="99"/>
        <v>0</v>
      </c>
      <c r="P156" s="16"/>
      <c r="Q156" s="16"/>
      <c r="R156" s="16"/>
      <c r="S156" s="16"/>
      <c r="T156" s="16"/>
      <c r="U156" s="16"/>
    </row>
    <row r="157" spans="1:21" s="4" customFormat="1">
      <c r="A157" s="12" t="s">
        <v>1037</v>
      </c>
      <c r="B157" s="25" t="s">
        <v>55</v>
      </c>
      <c r="C157" s="26" t="s">
        <v>65</v>
      </c>
      <c r="D157" s="26" t="s">
        <v>84</v>
      </c>
      <c r="E157" s="26" t="s">
        <v>248</v>
      </c>
      <c r="F157" s="47">
        <v>852</v>
      </c>
      <c r="G157" s="27">
        <f t="shared" si="114"/>
        <v>13840</v>
      </c>
      <c r="H157" s="27">
        <f t="shared" si="115"/>
        <v>13840</v>
      </c>
      <c r="I157" s="27">
        <f t="shared" si="116"/>
        <v>13840</v>
      </c>
      <c r="J157" s="16">
        <f>'БА в тыс. руб.'!G157*1000</f>
        <v>13840</v>
      </c>
      <c r="K157" s="169">
        <f t="shared" si="97"/>
        <v>0</v>
      </c>
      <c r="L157" s="16">
        <f>'БА в тыс. руб.'!H157*1000</f>
        <v>13840</v>
      </c>
      <c r="M157" s="169">
        <f t="shared" si="98"/>
        <v>0</v>
      </c>
      <c r="N157" s="16">
        <f>'БА в тыс. руб.'!I157*1000</f>
        <v>13840</v>
      </c>
      <c r="O157" s="169">
        <f t="shared" si="99"/>
        <v>0</v>
      </c>
      <c r="P157" s="16"/>
      <c r="Q157" s="16"/>
      <c r="R157" s="16"/>
      <c r="S157" s="16"/>
      <c r="T157" s="16"/>
      <c r="U157" s="16"/>
    </row>
    <row r="158" spans="1:21" s="3" customFormat="1" ht="38.25">
      <c r="A158" s="12" t="s">
        <v>752</v>
      </c>
      <c r="B158" s="35">
        <v>601</v>
      </c>
      <c r="C158" s="35" t="s">
        <v>65</v>
      </c>
      <c r="D158" s="35">
        <v>13</v>
      </c>
      <c r="E158" s="35" t="s">
        <v>249</v>
      </c>
      <c r="F158" s="35" t="s">
        <v>58</v>
      </c>
      <c r="G158" s="38">
        <f>G159+G168+G183</f>
        <v>1113100</v>
      </c>
      <c r="H158" s="38">
        <f>H159+H168+H183</f>
        <v>1001790</v>
      </c>
      <c r="I158" s="38">
        <f>I159+I168+I183</f>
        <v>1001790</v>
      </c>
      <c r="J158" s="16">
        <f>'БА в тыс. руб.'!G158*1000</f>
        <v>1113100</v>
      </c>
      <c r="K158" s="169">
        <f t="shared" si="97"/>
        <v>0</v>
      </c>
      <c r="L158" s="16">
        <f>'БА в тыс. руб.'!H158*1000</f>
        <v>1001790</v>
      </c>
      <c r="M158" s="169">
        <f t="shared" si="98"/>
        <v>0</v>
      </c>
      <c r="N158" s="16">
        <f>'БА в тыс. руб.'!I158*1000</f>
        <v>1001790</v>
      </c>
      <c r="O158" s="169">
        <f t="shared" si="99"/>
        <v>0</v>
      </c>
      <c r="P158" s="16"/>
      <c r="Q158" s="16"/>
      <c r="R158" s="16"/>
      <c r="S158" s="16"/>
      <c r="T158" s="16"/>
      <c r="U158" s="16"/>
    </row>
    <row r="159" spans="1:21" s="3" customFormat="1">
      <c r="A159" s="11" t="s">
        <v>753</v>
      </c>
      <c r="B159" s="35">
        <v>601</v>
      </c>
      <c r="C159" s="35" t="s">
        <v>65</v>
      </c>
      <c r="D159" s="35">
        <v>13</v>
      </c>
      <c r="E159" s="35" t="s">
        <v>250</v>
      </c>
      <c r="F159" s="35" t="s">
        <v>58</v>
      </c>
      <c r="G159" s="38">
        <f>G160+G164</f>
        <v>374000</v>
      </c>
      <c r="H159" s="38">
        <f>H160+H164</f>
        <v>336600</v>
      </c>
      <c r="I159" s="38">
        <f>I160+I164</f>
        <v>336600</v>
      </c>
      <c r="J159" s="16">
        <f>'БА в тыс. руб.'!G159*1000</f>
        <v>374000</v>
      </c>
      <c r="K159" s="169">
        <f t="shared" si="97"/>
        <v>0</v>
      </c>
      <c r="L159" s="16">
        <f>'БА в тыс. руб.'!H159*1000</f>
        <v>336600</v>
      </c>
      <c r="M159" s="169">
        <f t="shared" si="98"/>
        <v>0</v>
      </c>
      <c r="N159" s="16">
        <f>'БА в тыс. руб.'!I159*1000</f>
        <v>336600</v>
      </c>
      <c r="O159" s="169">
        <f t="shared" si="99"/>
        <v>0</v>
      </c>
      <c r="P159" s="16"/>
      <c r="Q159" s="16"/>
      <c r="R159" s="16"/>
      <c r="S159" s="16"/>
      <c r="T159" s="16"/>
      <c r="U159" s="16"/>
    </row>
    <row r="160" spans="1:21" s="3" customFormat="1" ht="38.25">
      <c r="A160" s="34" t="s">
        <v>880</v>
      </c>
      <c r="B160" s="35">
        <v>601</v>
      </c>
      <c r="C160" s="35" t="s">
        <v>65</v>
      </c>
      <c r="D160" s="35">
        <v>13</v>
      </c>
      <c r="E160" s="35" t="s">
        <v>538</v>
      </c>
      <c r="F160" s="35" t="s">
        <v>58</v>
      </c>
      <c r="G160" s="38">
        <f>G161</f>
        <v>357000</v>
      </c>
      <c r="H160" s="38">
        <f>H161</f>
        <v>321300</v>
      </c>
      <c r="I160" s="38">
        <f>I161</f>
        <v>321300</v>
      </c>
      <c r="J160" s="16">
        <f>'БА в тыс. руб.'!G160*1000</f>
        <v>357000</v>
      </c>
      <c r="K160" s="169">
        <f t="shared" si="97"/>
        <v>0</v>
      </c>
      <c r="L160" s="16">
        <f>'БА в тыс. руб.'!H160*1000</f>
        <v>321300</v>
      </c>
      <c r="M160" s="169">
        <f t="shared" si="98"/>
        <v>0</v>
      </c>
      <c r="N160" s="16">
        <f>'БА в тыс. руб.'!I160*1000</f>
        <v>321300</v>
      </c>
      <c r="O160" s="169">
        <f t="shared" si="99"/>
        <v>0</v>
      </c>
      <c r="P160" s="16"/>
      <c r="Q160" s="16"/>
      <c r="R160" s="16"/>
      <c r="S160" s="16"/>
      <c r="T160" s="16"/>
      <c r="U160" s="16"/>
    </row>
    <row r="161" spans="1:21" s="3" customFormat="1" ht="25.5">
      <c r="A161" s="34" t="s">
        <v>122</v>
      </c>
      <c r="B161" s="35">
        <v>601</v>
      </c>
      <c r="C161" s="35" t="s">
        <v>65</v>
      </c>
      <c r="D161" s="35">
        <v>13</v>
      </c>
      <c r="E161" s="35" t="s">
        <v>539</v>
      </c>
      <c r="F161" s="35" t="s">
        <v>58</v>
      </c>
      <c r="G161" s="38">
        <f>SUM(G162:G162)</f>
        <v>357000</v>
      </c>
      <c r="H161" s="38">
        <f>SUM(H162:H162)</f>
        <v>321300</v>
      </c>
      <c r="I161" s="38">
        <f>SUM(I162:I162)</f>
        <v>321300</v>
      </c>
      <c r="J161" s="16">
        <f>'БА в тыс. руб.'!G161*1000</f>
        <v>357000</v>
      </c>
      <c r="K161" s="169">
        <f t="shared" si="97"/>
        <v>0</v>
      </c>
      <c r="L161" s="16">
        <f>'БА в тыс. руб.'!H161*1000</f>
        <v>321300</v>
      </c>
      <c r="M161" s="169">
        <f t="shared" si="98"/>
        <v>0</v>
      </c>
      <c r="N161" s="16">
        <f>'БА в тыс. руб.'!I161*1000</f>
        <v>321300</v>
      </c>
      <c r="O161" s="169">
        <f t="shared" si="99"/>
        <v>0</v>
      </c>
      <c r="P161" s="16"/>
      <c r="Q161" s="16"/>
      <c r="R161" s="16"/>
      <c r="S161" s="16"/>
      <c r="T161" s="16"/>
      <c r="U161" s="16"/>
    </row>
    <row r="162" spans="1:21" s="3" customFormat="1" ht="25.5">
      <c r="A162" s="31" t="s">
        <v>108</v>
      </c>
      <c r="B162" s="35">
        <v>601</v>
      </c>
      <c r="C162" s="35" t="s">
        <v>65</v>
      </c>
      <c r="D162" s="35">
        <v>13</v>
      </c>
      <c r="E162" s="35" t="s">
        <v>539</v>
      </c>
      <c r="F162" s="35" t="s">
        <v>116</v>
      </c>
      <c r="G162" s="27">
        <f>G163</f>
        <v>357000</v>
      </c>
      <c r="H162" s="27">
        <f t="shared" ref="H162:I162" si="117">H163</f>
        <v>321300</v>
      </c>
      <c r="I162" s="27">
        <f t="shared" si="117"/>
        <v>321300</v>
      </c>
      <c r="J162" s="16">
        <f>'БА в тыс. руб.'!G162*1000</f>
        <v>357000</v>
      </c>
      <c r="K162" s="169">
        <f t="shared" si="97"/>
        <v>0</v>
      </c>
      <c r="L162" s="16">
        <f>'БА в тыс. руб.'!H162*1000</f>
        <v>321300</v>
      </c>
      <c r="M162" s="169">
        <f t="shared" si="98"/>
        <v>0</v>
      </c>
      <c r="N162" s="16">
        <f>'БА в тыс. руб.'!I162*1000</f>
        <v>321300</v>
      </c>
      <c r="O162" s="169">
        <f t="shared" si="99"/>
        <v>0</v>
      </c>
      <c r="P162" s="16"/>
      <c r="Q162" s="16"/>
      <c r="R162" s="16"/>
      <c r="S162" s="16"/>
      <c r="T162" s="16"/>
      <c r="U162" s="16"/>
    </row>
    <row r="163" spans="1:21" s="4" customFormat="1" ht="25.5">
      <c r="A163" s="12" t="s">
        <v>973</v>
      </c>
      <c r="B163" s="35">
        <v>601</v>
      </c>
      <c r="C163" s="35" t="s">
        <v>65</v>
      </c>
      <c r="D163" s="35">
        <v>13</v>
      </c>
      <c r="E163" s="35" t="s">
        <v>539</v>
      </c>
      <c r="F163" s="35" t="s">
        <v>1043</v>
      </c>
      <c r="G163" s="27">
        <f t="shared" ref="G163" si="118">J163</f>
        <v>357000</v>
      </c>
      <c r="H163" s="27">
        <f>L163</f>
        <v>321300</v>
      </c>
      <c r="I163" s="27">
        <f>N163</f>
        <v>321300</v>
      </c>
      <c r="J163" s="16">
        <f>'БА в тыс. руб.'!G163*1000</f>
        <v>357000</v>
      </c>
      <c r="K163" s="169">
        <f t="shared" si="97"/>
        <v>0</v>
      </c>
      <c r="L163" s="16">
        <f>'БА в тыс. руб.'!H163*1000</f>
        <v>321300</v>
      </c>
      <c r="M163" s="169">
        <f t="shared" si="98"/>
        <v>0</v>
      </c>
      <c r="N163" s="16">
        <f>'БА в тыс. руб.'!I163*1000</f>
        <v>321300</v>
      </c>
      <c r="O163" s="169">
        <f t="shared" si="99"/>
        <v>0</v>
      </c>
      <c r="P163" s="16"/>
      <c r="Q163" s="16"/>
      <c r="R163" s="16"/>
      <c r="S163" s="16"/>
      <c r="T163" s="16"/>
      <c r="U163" s="16"/>
    </row>
    <row r="164" spans="1:21" s="3" customFormat="1" ht="25.5">
      <c r="A164" s="31" t="s">
        <v>618</v>
      </c>
      <c r="B164" s="35">
        <v>601</v>
      </c>
      <c r="C164" s="35" t="s">
        <v>65</v>
      </c>
      <c r="D164" s="35">
        <v>13</v>
      </c>
      <c r="E164" s="35" t="s">
        <v>540</v>
      </c>
      <c r="F164" s="35" t="s">
        <v>58</v>
      </c>
      <c r="G164" s="38">
        <f t="shared" ref="G164:I166" si="119">G165</f>
        <v>17000</v>
      </c>
      <c r="H164" s="38">
        <f t="shared" si="119"/>
        <v>15300</v>
      </c>
      <c r="I164" s="38">
        <f t="shared" si="119"/>
        <v>15300</v>
      </c>
      <c r="J164" s="16">
        <f>'БА в тыс. руб.'!G164*1000</f>
        <v>17000</v>
      </c>
      <c r="K164" s="169">
        <f t="shared" si="97"/>
        <v>0</v>
      </c>
      <c r="L164" s="16">
        <f>'БА в тыс. руб.'!H164*1000</f>
        <v>15300</v>
      </c>
      <c r="M164" s="169">
        <f t="shared" si="98"/>
        <v>0</v>
      </c>
      <c r="N164" s="16">
        <f>'БА в тыс. руб.'!I164*1000</f>
        <v>15300</v>
      </c>
      <c r="O164" s="169">
        <f t="shared" si="99"/>
        <v>0</v>
      </c>
      <c r="P164" s="16"/>
      <c r="Q164" s="16"/>
      <c r="R164" s="16"/>
      <c r="S164" s="16"/>
      <c r="T164" s="16"/>
      <c r="U164" s="16"/>
    </row>
    <row r="165" spans="1:21" s="3" customFormat="1" ht="25.5">
      <c r="A165" s="31" t="s">
        <v>122</v>
      </c>
      <c r="B165" s="35">
        <v>601</v>
      </c>
      <c r="C165" s="35" t="s">
        <v>65</v>
      </c>
      <c r="D165" s="35">
        <v>13</v>
      </c>
      <c r="E165" s="35" t="s">
        <v>571</v>
      </c>
      <c r="F165" s="35" t="s">
        <v>58</v>
      </c>
      <c r="G165" s="38">
        <f t="shared" si="119"/>
        <v>17000</v>
      </c>
      <c r="H165" s="38">
        <f t="shared" si="119"/>
        <v>15300</v>
      </c>
      <c r="I165" s="38">
        <f t="shared" si="119"/>
        <v>15300</v>
      </c>
      <c r="J165" s="16">
        <f>'БА в тыс. руб.'!G165*1000</f>
        <v>17000</v>
      </c>
      <c r="K165" s="169">
        <f t="shared" si="97"/>
        <v>0</v>
      </c>
      <c r="L165" s="16">
        <f>'БА в тыс. руб.'!H165*1000</f>
        <v>15300</v>
      </c>
      <c r="M165" s="169">
        <f t="shared" si="98"/>
        <v>0</v>
      </c>
      <c r="N165" s="16">
        <f>'БА в тыс. руб.'!I165*1000</f>
        <v>15300</v>
      </c>
      <c r="O165" s="169">
        <f t="shared" si="99"/>
        <v>0</v>
      </c>
      <c r="P165" s="16"/>
      <c r="Q165" s="16"/>
      <c r="R165" s="16"/>
      <c r="S165" s="16"/>
      <c r="T165" s="16"/>
      <c r="U165" s="16"/>
    </row>
    <row r="166" spans="1:21" s="3" customFormat="1" ht="25.5">
      <c r="A166" s="31" t="s">
        <v>108</v>
      </c>
      <c r="B166" s="35">
        <v>601</v>
      </c>
      <c r="C166" s="35" t="s">
        <v>65</v>
      </c>
      <c r="D166" s="35">
        <v>13</v>
      </c>
      <c r="E166" s="35" t="s">
        <v>571</v>
      </c>
      <c r="F166" s="35" t="s">
        <v>116</v>
      </c>
      <c r="G166" s="27">
        <f>G167</f>
        <v>17000</v>
      </c>
      <c r="H166" s="27">
        <f t="shared" si="119"/>
        <v>15300</v>
      </c>
      <c r="I166" s="27">
        <f t="shared" si="119"/>
        <v>15300</v>
      </c>
      <c r="J166" s="16">
        <f>'БА в тыс. руб.'!G166*1000</f>
        <v>17000</v>
      </c>
      <c r="K166" s="169">
        <f t="shared" si="97"/>
        <v>0</v>
      </c>
      <c r="L166" s="16">
        <f>'БА в тыс. руб.'!H166*1000</f>
        <v>15300</v>
      </c>
      <c r="M166" s="169">
        <f t="shared" si="98"/>
        <v>0</v>
      </c>
      <c r="N166" s="16">
        <f>'БА в тыс. руб.'!I166*1000</f>
        <v>15300</v>
      </c>
      <c r="O166" s="169">
        <f t="shared" si="99"/>
        <v>0</v>
      </c>
      <c r="P166" s="16"/>
      <c r="Q166" s="16"/>
      <c r="R166" s="16"/>
      <c r="S166" s="16"/>
      <c r="T166" s="16"/>
      <c r="U166" s="16"/>
    </row>
    <row r="167" spans="1:21" s="4" customFormat="1" ht="25.5">
      <c r="A167" s="12" t="s">
        <v>973</v>
      </c>
      <c r="B167" s="35">
        <v>601</v>
      </c>
      <c r="C167" s="35" t="s">
        <v>65</v>
      </c>
      <c r="D167" s="35">
        <v>13</v>
      </c>
      <c r="E167" s="35" t="s">
        <v>571</v>
      </c>
      <c r="F167" s="35" t="s">
        <v>1043</v>
      </c>
      <c r="G167" s="27">
        <f t="shared" ref="G167" si="120">J167</f>
        <v>17000</v>
      </c>
      <c r="H167" s="27">
        <f>L167</f>
        <v>15300</v>
      </c>
      <c r="I167" s="27">
        <f>N167</f>
        <v>15300</v>
      </c>
      <c r="J167" s="16">
        <f>'БА в тыс. руб.'!G167*1000</f>
        <v>17000</v>
      </c>
      <c r="K167" s="169">
        <f t="shared" si="97"/>
        <v>0</v>
      </c>
      <c r="L167" s="16">
        <f>'БА в тыс. руб.'!H167*1000</f>
        <v>15300</v>
      </c>
      <c r="M167" s="169">
        <f t="shared" si="98"/>
        <v>0</v>
      </c>
      <c r="N167" s="16">
        <f>'БА в тыс. руб.'!I167*1000</f>
        <v>15300</v>
      </c>
      <c r="O167" s="169">
        <f t="shared" si="99"/>
        <v>0</v>
      </c>
      <c r="P167" s="16"/>
      <c r="Q167" s="16"/>
      <c r="R167" s="16"/>
      <c r="S167" s="16"/>
      <c r="T167" s="16"/>
      <c r="U167" s="16"/>
    </row>
    <row r="168" spans="1:21" s="3" customFormat="1">
      <c r="A168" s="12" t="s">
        <v>754</v>
      </c>
      <c r="B168" s="108">
        <v>601</v>
      </c>
      <c r="C168" s="35" t="s">
        <v>65</v>
      </c>
      <c r="D168" s="35">
        <v>13</v>
      </c>
      <c r="E168" s="35" t="s">
        <v>251</v>
      </c>
      <c r="F168" s="35" t="s">
        <v>58</v>
      </c>
      <c r="G168" s="38">
        <f>G173+G178+G169</f>
        <v>460300</v>
      </c>
      <c r="H168" s="38">
        <f t="shared" ref="H168:I168" si="121">H173+H178+H169</f>
        <v>414270</v>
      </c>
      <c r="I168" s="38">
        <f t="shared" si="121"/>
        <v>414270</v>
      </c>
      <c r="J168" s="16">
        <f>'БА в тыс. руб.'!G168*1000</f>
        <v>460300</v>
      </c>
      <c r="K168" s="169">
        <f t="shared" si="97"/>
        <v>0</v>
      </c>
      <c r="L168" s="16">
        <f>'БА в тыс. руб.'!H168*1000</f>
        <v>414270</v>
      </c>
      <c r="M168" s="169">
        <f t="shared" si="98"/>
        <v>0</v>
      </c>
      <c r="N168" s="16">
        <f>'БА в тыс. руб.'!I168*1000</f>
        <v>414270</v>
      </c>
      <c r="O168" s="169">
        <f t="shared" si="99"/>
        <v>0</v>
      </c>
      <c r="P168" s="16"/>
      <c r="Q168" s="16"/>
      <c r="R168" s="16"/>
      <c r="S168" s="16"/>
      <c r="T168" s="16"/>
      <c r="U168" s="16"/>
    </row>
    <row r="169" spans="1:21" s="3" customFormat="1" ht="38.25">
      <c r="A169" s="34" t="s">
        <v>774</v>
      </c>
      <c r="B169" s="108">
        <v>601</v>
      </c>
      <c r="C169" s="35" t="s">
        <v>65</v>
      </c>
      <c r="D169" s="35">
        <v>13</v>
      </c>
      <c r="E169" s="35" t="s">
        <v>775</v>
      </c>
      <c r="F169" s="35" t="s">
        <v>58</v>
      </c>
      <c r="G169" s="38">
        <f>G170</f>
        <v>83300</v>
      </c>
      <c r="H169" s="38">
        <f t="shared" ref="H169:I171" si="122">H170</f>
        <v>74970</v>
      </c>
      <c r="I169" s="38">
        <f t="shared" si="122"/>
        <v>74970</v>
      </c>
      <c r="J169" s="16">
        <f>'БА в тыс. руб.'!G169*1000</f>
        <v>83300</v>
      </c>
      <c r="K169" s="169">
        <f t="shared" si="97"/>
        <v>0</v>
      </c>
      <c r="L169" s="16">
        <f>'БА в тыс. руб.'!H169*1000</f>
        <v>74970</v>
      </c>
      <c r="M169" s="169">
        <f t="shared" si="98"/>
        <v>0</v>
      </c>
      <c r="N169" s="16">
        <f>'БА в тыс. руб.'!I169*1000</f>
        <v>74970</v>
      </c>
      <c r="O169" s="169">
        <f t="shared" si="99"/>
        <v>0</v>
      </c>
      <c r="P169" s="16"/>
      <c r="Q169" s="16"/>
      <c r="R169" s="16"/>
      <c r="S169" s="16"/>
      <c r="T169" s="16"/>
      <c r="U169" s="16"/>
    </row>
    <row r="170" spans="1:21" s="3" customFormat="1" ht="51">
      <c r="A170" s="34" t="s">
        <v>873</v>
      </c>
      <c r="B170" s="108">
        <v>601</v>
      </c>
      <c r="C170" s="35" t="s">
        <v>65</v>
      </c>
      <c r="D170" s="35">
        <v>13</v>
      </c>
      <c r="E170" s="35" t="s">
        <v>776</v>
      </c>
      <c r="F170" s="35" t="s">
        <v>58</v>
      </c>
      <c r="G170" s="27">
        <f>G171</f>
        <v>83300</v>
      </c>
      <c r="H170" s="27">
        <f t="shared" si="122"/>
        <v>74970</v>
      </c>
      <c r="I170" s="27">
        <f t="shared" si="122"/>
        <v>74970</v>
      </c>
      <c r="J170" s="16">
        <f>'БА в тыс. руб.'!G170*1000</f>
        <v>83300</v>
      </c>
      <c r="K170" s="169">
        <f t="shared" si="97"/>
        <v>0</v>
      </c>
      <c r="L170" s="16">
        <f>'БА в тыс. руб.'!H170*1000</f>
        <v>74970</v>
      </c>
      <c r="M170" s="169">
        <f t="shared" si="98"/>
        <v>0</v>
      </c>
      <c r="N170" s="16">
        <f>'БА в тыс. руб.'!I170*1000</f>
        <v>74970</v>
      </c>
      <c r="O170" s="169">
        <f t="shared" si="99"/>
        <v>0</v>
      </c>
      <c r="P170" s="16"/>
      <c r="Q170" s="16"/>
      <c r="R170" s="16"/>
      <c r="S170" s="16"/>
      <c r="T170" s="16"/>
      <c r="U170" s="16"/>
    </row>
    <row r="171" spans="1:21" s="3" customFormat="1" ht="25.5">
      <c r="A171" s="11" t="s">
        <v>108</v>
      </c>
      <c r="B171" s="108">
        <v>601</v>
      </c>
      <c r="C171" s="35" t="s">
        <v>65</v>
      </c>
      <c r="D171" s="35">
        <v>13</v>
      </c>
      <c r="E171" s="35" t="s">
        <v>776</v>
      </c>
      <c r="F171" s="35" t="s">
        <v>116</v>
      </c>
      <c r="G171" s="27">
        <f>G172</f>
        <v>83300</v>
      </c>
      <c r="H171" s="27">
        <f t="shared" si="122"/>
        <v>74970</v>
      </c>
      <c r="I171" s="27">
        <f t="shared" si="122"/>
        <v>74970</v>
      </c>
      <c r="J171" s="16">
        <f>'БА в тыс. руб.'!G171*1000</f>
        <v>83300</v>
      </c>
      <c r="K171" s="169">
        <f t="shared" si="97"/>
        <v>0</v>
      </c>
      <c r="L171" s="16">
        <f>'БА в тыс. руб.'!H171*1000</f>
        <v>74970</v>
      </c>
      <c r="M171" s="169">
        <f t="shared" si="98"/>
        <v>0</v>
      </c>
      <c r="N171" s="16">
        <f>'БА в тыс. руб.'!I171*1000</f>
        <v>74970</v>
      </c>
      <c r="O171" s="169">
        <f t="shared" si="99"/>
        <v>0</v>
      </c>
      <c r="P171" s="16"/>
      <c r="Q171" s="16"/>
      <c r="R171" s="16"/>
      <c r="S171" s="16"/>
      <c r="T171" s="16"/>
      <c r="U171" s="16"/>
    </row>
    <row r="172" spans="1:21" s="4" customFormat="1" ht="25.5">
      <c r="A172" s="12" t="s">
        <v>973</v>
      </c>
      <c r="B172" s="108">
        <v>601</v>
      </c>
      <c r="C172" s="35" t="s">
        <v>65</v>
      </c>
      <c r="D172" s="35">
        <v>13</v>
      </c>
      <c r="E172" s="35" t="s">
        <v>776</v>
      </c>
      <c r="F172" s="35" t="s">
        <v>1043</v>
      </c>
      <c r="G172" s="27">
        <f t="shared" ref="G172" si="123">J172</f>
        <v>83300</v>
      </c>
      <c r="H172" s="27">
        <f>L172</f>
        <v>74970</v>
      </c>
      <c r="I172" s="27">
        <f>N172</f>
        <v>74970</v>
      </c>
      <c r="J172" s="16">
        <f>'БА в тыс. руб.'!G172*1000</f>
        <v>83300</v>
      </c>
      <c r="K172" s="169">
        <f t="shared" si="97"/>
        <v>0</v>
      </c>
      <c r="L172" s="16">
        <f>'БА в тыс. руб.'!H172*1000</f>
        <v>74970</v>
      </c>
      <c r="M172" s="169">
        <f t="shared" si="98"/>
        <v>0</v>
      </c>
      <c r="N172" s="16">
        <f>'БА в тыс. руб.'!I172*1000</f>
        <v>74970</v>
      </c>
      <c r="O172" s="169">
        <f t="shared" si="99"/>
        <v>0</v>
      </c>
      <c r="P172" s="16"/>
      <c r="Q172" s="16"/>
      <c r="R172" s="16"/>
      <c r="S172" s="16"/>
      <c r="T172" s="16"/>
      <c r="U172" s="16"/>
    </row>
    <row r="173" spans="1:21" s="3" customFormat="1" ht="38.25">
      <c r="A173" s="34" t="s">
        <v>611</v>
      </c>
      <c r="B173" s="108">
        <v>601</v>
      </c>
      <c r="C173" s="35" t="s">
        <v>65</v>
      </c>
      <c r="D173" s="35">
        <v>13</v>
      </c>
      <c r="E173" s="35" t="s">
        <v>252</v>
      </c>
      <c r="F173" s="26" t="s">
        <v>58</v>
      </c>
      <c r="G173" s="27">
        <f>G174</f>
        <v>175000</v>
      </c>
      <c r="H173" s="27">
        <f>H174</f>
        <v>157500</v>
      </c>
      <c r="I173" s="27">
        <f>I174</f>
        <v>157500</v>
      </c>
      <c r="J173" s="16">
        <f>'БА в тыс. руб.'!G173*1000</f>
        <v>175000</v>
      </c>
      <c r="K173" s="169">
        <f t="shared" si="97"/>
        <v>0</v>
      </c>
      <c r="L173" s="16">
        <f>'БА в тыс. руб.'!H173*1000</f>
        <v>157500</v>
      </c>
      <c r="M173" s="169">
        <f t="shared" si="98"/>
        <v>0</v>
      </c>
      <c r="N173" s="16">
        <f>'БА в тыс. руб.'!I173*1000</f>
        <v>157500</v>
      </c>
      <c r="O173" s="169">
        <f t="shared" si="99"/>
        <v>0</v>
      </c>
      <c r="P173" s="16"/>
      <c r="Q173" s="16"/>
      <c r="R173" s="16"/>
      <c r="S173" s="16"/>
      <c r="T173" s="16"/>
      <c r="U173" s="16"/>
    </row>
    <row r="174" spans="1:21" s="3" customFormat="1" ht="51">
      <c r="A174" s="34" t="s">
        <v>873</v>
      </c>
      <c r="B174" s="108">
        <v>601</v>
      </c>
      <c r="C174" s="35" t="s">
        <v>65</v>
      </c>
      <c r="D174" s="35">
        <v>13</v>
      </c>
      <c r="E174" s="35" t="s">
        <v>253</v>
      </c>
      <c r="F174" s="26" t="s">
        <v>58</v>
      </c>
      <c r="G174" s="27">
        <f>G175+G177</f>
        <v>175000</v>
      </c>
      <c r="H174" s="27">
        <f>H175+H177</f>
        <v>157500</v>
      </c>
      <c r="I174" s="27">
        <f>I175+I177</f>
        <v>157500</v>
      </c>
      <c r="J174" s="16">
        <f>'БА в тыс. руб.'!G174*1000</f>
        <v>175000</v>
      </c>
      <c r="K174" s="169">
        <f t="shared" si="97"/>
        <v>0</v>
      </c>
      <c r="L174" s="16">
        <f>'БА в тыс. руб.'!H174*1000</f>
        <v>157500</v>
      </c>
      <c r="M174" s="169">
        <f t="shared" si="98"/>
        <v>0</v>
      </c>
      <c r="N174" s="16">
        <f>'БА в тыс. руб.'!I174*1000</f>
        <v>157500</v>
      </c>
      <c r="O174" s="169">
        <f t="shared" si="99"/>
        <v>0</v>
      </c>
      <c r="P174" s="16"/>
      <c r="Q174" s="16"/>
      <c r="R174" s="16"/>
      <c r="S174" s="16"/>
      <c r="T174" s="16"/>
      <c r="U174" s="16"/>
    </row>
    <row r="175" spans="1:21" s="3" customFormat="1" ht="25.5">
      <c r="A175" s="11" t="s">
        <v>108</v>
      </c>
      <c r="B175" s="108">
        <v>601</v>
      </c>
      <c r="C175" s="35" t="s">
        <v>65</v>
      </c>
      <c r="D175" s="35">
        <v>13</v>
      </c>
      <c r="E175" s="35" t="s">
        <v>253</v>
      </c>
      <c r="F175" s="26" t="s">
        <v>116</v>
      </c>
      <c r="G175" s="27">
        <f>G176</f>
        <v>105000</v>
      </c>
      <c r="H175" s="27">
        <f t="shared" ref="H175:I175" si="124">H176</f>
        <v>94500</v>
      </c>
      <c r="I175" s="27">
        <f t="shared" si="124"/>
        <v>94500</v>
      </c>
      <c r="J175" s="16">
        <f>'БА в тыс. руб.'!G175*1000</f>
        <v>105000</v>
      </c>
      <c r="K175" s="169">
        <f t="shared" si="97"/>
        <v>0</v>
      </c>
      <c r="L175" s="16">
        <f>'БА в тыс. руб.'!H175*1000</f>
        <v>94500</v>
      </c>
      <c r="M175" s="169">
        <f t="shared" si="98"/>
        <v>0</v>
      </c>
      <c r="N175" s="16">
        <f>'БА в тыс. руб.'!I175*1000</f>
        <v>94500</v>
      </c>
      <c r="O175" s="169">
        <f t="shared" si="99"/>
        <v>0</v>
      </c>
      <c r="P175" s="16"/>
      <c r="Q175" s="16"/>
      <c r="R175" s="16"/>
      <c r="S175" s="16"/>
      <c r="T175" s="16"/>
      <c r="U175" s="16"/>
    </row>
    <row r="176" spans="1:21" s="4" customFormat="1" ht="25.5">
      <c r="A176" s="12" t="s">
        <v>973</v>
      </c>
      <c r="B176" s="108">
        <v>601</v>
      </c>
      <c r="C176" s="35" t="s">
        <v>65</v>
      </c>
      <c r="D176" s="35">
        <v>13</v>
      </c>
      <c r="E176" s="35" t="s">
        <v>253</v>
      </c>
      <c r="F176" s="26" t="s">
        <v>1043</v>
      </c>
      <c r="G176" s="27">
        <f t="shared" ref="G176:G177" si="125">J176</f>
        <v>105000</v>
      </c>
      <c r="H176" s="27">
        <f t="shared" ref="H176:H177" si="126">L176</f>
        <v>94500</v>
      </c>
      <c r="I176" s="27">
        <f t="shared" ref="I176:I177" si="127">N176</f>
        <v>94500</v>
      </c>
      <c r="J176" s="16">
        <f>'БА в тыс. руб.'!G176*1000</f>
        <v>105000</v>
      </c>
      <c r="K176" s="169">
        <f t="shared" si="97"/>
        <v>0</v>
      </c>
      <c r="L176" s="16">
        <f>'БА в тыс. руб.'!H176*1000</f>
        <v>94500</v>
      </c>
      <c r="M176" s="169">
        <f t="shared" si="98"/>
        <v>0</v>
      </c>
      <c r="N176" s="16">
        <f>'БА в тыс. руб.'!I176*1000</f>
        <v>94500</v>
      </c>
      <c r="O176" s="169">
        <f t="shared" si="99"/>
        <v>0</v>
      </c>
      <c r="P176" s="16"/>
      <c r="Q176" s="16"/>
      <c r="R176" s="16"/>
      <c r="S176" s="16"/>
      <c r="T176" s="16"/>
      <c r="U176" s="16"/>
    </row>
    <row r="177" spans="1:21" s="3" customFormat="1">
      <c r="A177" s="31" t="s">
        <v>91</v>
      </c>
      <c r="B177" s="108">
        <v>601</v>
      </c>
      <c r="C177" s="35" t="s">
        <v>65</v>
      </c>
      <c r="D177" s="35">
        <v>13</v>
      </c>
      <c r="E177" s="35" t="s">
        <v>253</v>
      </c>
      <c r="F177" s="26" t="s">
        <v>100</v>
      </c>
      <c r="G177" s="27">
        <f t="shared" si="125"/>
        <v>70000</v>
      </c>
      <c r="H177" s="27">
        <f t="shared" si="126"/>
        <v>63000</v>
      </c>
      <c r="I177" s="27">
        <f t="shared" si="127"/>
        <v>63000</v>
      </c>
      <c r="J177" s="16">
        <f>'БА в тыс. руб.'!G177*1000</f>
        <v>70000</v>
      </c>
      <c r="K177" s="169">
        <f t="shared" si="97"/>
        <v>0</v>
      </c>
      <c r="L177" s="16">
        <f>'БА в тыс. руб.'!H177*1000</f>
        <v>63000</v>
      </c>
      <c r="M177" s="169">
        <f t="shared" si="98"/>
        <v>0</v>
      </c>
      <c r="N177" s="16">
        <f>'БА в тыс. руб.'!I177*1000</f>
        <v>63000</v>
      </c>
      <c r="O177" s="169">
        <f t="shared" si="99"/>
        <v>0</v>
      </c>
      <c r="P177" s="16"/>
      <c r="Q177" s="16"/>
      <c r="R177" s="16"/>
      <c r="S177" s="16"/>
      <c r="T177" s="16"/>
      <c r="U177" s="16"/>
    </row>
    <row r="178" spans="1:21" s="3" customFormat="1" ht="25.5">
      <c r="A178" s="34" t="s">
        <v>615</v>
      </c>
      <c r="B178" s="108">
        <v>601</v>
      </c>
      <c r="C178" s="35" t="s">
        <v>65</v>
      </c>
      <c r="D178" s="35">
        <v>13</v>
      </c>
      <c r="E178" s="35" t="s">
        <v>254</v>
      </c>
      <c r="F178" s="26" t="s">
        <v>58</v>
      </c>
      <c r="G178" s="27">
        <f>G179</f>
        <v>202000</v>
      </c>
      <c r="H178" s="27">
        <f>H179</f>
        <v>181800</v>
      </c>
      <c r="I178" s="27">
        <f>I179</f>
        <v>181800</v>
      </c>
      <c r="J178" s="16">
        <f>'БА в тыс. руб.'!G178*1000</f>
        <v>202000</v>
      </c>
      <c r="K178" s="169">
        <f t="shared" si="97"/>
        <v>0</v>
      </c>
      <c r="L178" s="16">
        <f>'БА в тыс. руб.'!H178*1000</f>
        <v>181800</v>
      </c>
      <c r="M178" s="169">
        <f t="shared" si="98"/>
        <v>0</v>
      </c>
      <c r="N178" s="16">
        <f>'БА в тыс. руб.'!I178*1000</f>
        <v>181800</v>
      </c>
      <c r="O178" s="169">
        <f t="shared" si="99"/>
        <v>0</v>
      </c>
      <c r="P178" s="16"/>
      <c r="Q178" s="16"/>
      <c r="R178" s="16"/>
      <c r="S178" s="16"/>
      <c r="T178" s="16"/>
      <c r="U178" s="16"/>
    </row>
    <row r="179" spans="1:21" s="3" customFormat="1" ht="51">
      <c r="A179" s="34" t="s">
        <v>873</v>
      </c>
      <c r="B179" s="108">
        <v>601</v>
      </c>
      <c r="C179" s="35" t="s">
        <v>65</v>
      </c>
      <c r="D179" s="35">
        <v>13</v>
      </c>
      <c r="E179" s="35" t="s">
        <v>255</v>
      </c>
      <c r="F179" s="26" t="s">
        <v>58</v>
      </c>
      <c r="G179" s="27">
        <f>G180+G182</f>
        <v>202000</v>
      </c>
      <c r="H179" s="27">
        <f>H180+H182</f>
        <v>181800</v>
      </c>
      <c r="I179" s="27">
        <f>I180+I182</f>
        <v>181800</v>
      </c>
      <c r="J179" s="16">
        <f>'БА в тыс. руб.'!G179*1000</f>
        <v>202000</v>
      </c>
      <c r="K179" s="169">
        <f t="shared" si="97"/>
        <v>0</v>
      </c>
      <c r="L179" s="16">
        <f>'БА в тыс. руб.'!H179*1000</f>
        <v>181800</v>
      </c>
      <c r="M179" s="169">
        <f t="shared" si="98"/>
        <v>0</v>
      </c>
      <c r="N179" s="16">
        <f>'БА в тыс. руб.'!I179*1000</f>
        <v>181800</v>
      </c>
      <c r="O179" s="169">
        <f t="shared" si="99"/>
        <v>0</v>
      </c>
      <c r="P179" s="16"/>
      <c r="Q179" s="16"/>
      <c r="R179" s="16"/>
      <c r="S179" s="16"/>
      <c r="T179" s="16"/>
      <c r="U179" s="16"/>
    </row>
    <row r="180" spans="1:21" s="3" customFormat="1" ht="25.5">
      <c r="A180" s="11" t="s">
        <v>108</v>
      </c>
      <c r="B180" s="108">
        <v>601</v>
      </c>
      <c r="C180" s="35" t="s">
        <v>65</v>
      </c>
      <c r="D180" s="35">
        <v>13</v>
      </c>
      <c r="E180" s="35" t="s">
        <v>255</v>
      </c>
      <c r="F180" s="26" t="s">
        <v>116</v>
      </c>
      <c r="G180" s="27">
        <f>G181</f>
        <v>140000</v>
      </c>
      <c r="H180" s="27">
        <f t="shared" ref="H180:I180" si="128">H181</f>
        <v>121800</v>
      </c>
      <c r="I180" s="27">
        <f t="shared" si="128"/>
        <v>121800</v>
      </c>
      <c r="J180" s="16">
        <f>'БА в тыс. руб.'!G180*1000</f>
        <v>140000</v>
      </c>
      <c r="K180" s="169">
        <f t="shared" si="97"/>
        <v>0</v>
      </c>
      <c r="L180" s="16">
        <f>'БА в тыс. руб.'!H180*1000</f>
        <v>121800</v>
      </c>
      <c r="M180" s="169">
        <f t="shared" si="98"/>
        <v>0</v>
      </c>
      <c r="N180" s="16">
        <f>'БА в тыс. руб.'!I180*1000</f>
        <v>121800</v>
      </c>
      <c r="O180" s="169">
        <f t="shared" si="99"/>
        <v>0</v>
      </c>
      <c r="P180" s="16"/>
      <c r="Q180" s="16"/>
      <c r="R180" s="16"/>
      <c r="S180" s="16"/>
      <c r="T180" s="16"/>
      <c r="U180" s="16"/>
    </row>
    <row r="181" spans="1:21" s="4" customFormat="1" ht="25.5">
      <c r="A181" s="12" t="s">
        <v>973</v>
      </c>
      <c r="B181" s="108">
        <v>601</v>
      </c>
      <c r="C181" s="35" t="s">
        <v>65</v>
      </c>
      <c r="D181" s="35">
        <v>13</v>
      </c>
      <c r="E181" s="35" t="s">
        <v>255</v>
      </c>
      <c r="F181" s="26" t="s">
        <v>1043</v>
      </c>
      <c r="G181" s="27">
        <f t="shared" ref="G181:G182" si="129">J181</f>
        <v>140000</v>
      </c>
      <c r="H181" s="27">
        <f t="shared" ref="H181:H182" si="130">L181</f>
        <v>121800</v>
      </c>
      <c r="I181" s="27">
        <f t="shared" ref="I181:I182" si="131">N181</f>
        <v>121800</v>
      </c>
      <c r="J181" s="16">
        <f>'БА в тыс. руб.'!G181*1000</f>
        <v>140000</v>
      </c>
      <c r="K181" s="169">
        <f t="shared" si="97"/>
        <v>0</v>
      </c>
      <c r="L181" s="16">
        <f>'БА в тыс. руб.'!H181*1000</f>
        <v>121800</v>
      </c>
      <c r="M181" s="169">
        <f t="shared" si="98"/>
        <v>0</v>
      </c>
      <c r="N181" s="16">
        <f>'БА в тыс. руб.'!I181*1000</f>
        <v>121800</v>
      </c>
      <c r="O181" s="169">
        <f t="shared" si="99"/>
        <v>0</v>
      </c>
      <c r="P181" s="16"/>
      <c r="Q181" s="16"/>
      <c r="R181" s="16"/>
      <c r="S181" s="16"/>
      <c r="T181" s="16"/>
      <c r="U181" s="16"/>
    </row>
    <row r="182" spans="1:21" s="3" customFormat="1">
      <c r="A182" s="31" t="s">
        <v>91</v>
      </c>
      <c r="B182" s="108">
        <v>601</v>
      </c>
      <c r="C182" s="35" t="s">
        <v>65</v>
      </c>
      <c r="D182" s="35">
        <v>13</v>
      </c>
      <c r="E182" s="35" t="s">
        <v>255</v>
      </c>
      <c r="F182" s="26" t="s">
        <v>100</v>
      </c>
      <c r="G182" s="27">
        <f t="shared" si="129"/>
        <v>62000</v>
      </c>
      <c r="H182" s="27">
        <f t="shared" si="130"/>
        <v>60000</v>
      </c>
      <c r="I182" s="27">
        <f t="shared" si="131"/>
        <v>60000</v>
      </c>
      <c r="J182" s="16">
        <f>'БА в тыс. руб.'!G182*1000</f>
        <v>62000</v>
      </c>
      <c r="K182" s="169">
        <f t="shared" si="97"/>
        <v>0</v>
      </c>
      <c r="L182" s="16">
        <f>'БА в тыс. руб.'!H182*1000</f>
        <v>60000</v>
      </c>
      <c r="M182" s="169">
        <f t="shared" si="98"/>
        <v>0</v>
      </c>
      <c r="N182" s="16">
        <f>'БА в тыс. руб.'!I182*1000</f>
        <v>60000</v>
      </c>
      <c r="O182" s="169">
        <f t="shared" si="99"/>
        <v>0</v>
      </c>
      <c r="P182" s="16"/>
      <c r="Q182" s="16"/>
      <c r="R182" s="16"/>
      <c r="S182" s="16"/>
      <c r="T182" s="16"/>
      <c r="U182" s="16"/>
    </row>
    <row r="183" spans="1:21" s="3" customFormat="1" ht="25.5">
      <c r="A183" s="11" t="s">
        <v>755</v>
      </c>
      <c r="B183" s="108">
        <v>601</v>
      </c>
      <c r="C183" s="35" t="s">
        <v>65</v>
      </c>
      <c r="D183" s="35">
        <v>13</v>
      </c>
      <c r="E183" s="35" t="s">
        <v>256</v>
      </c>
      <c r="F183" s="26" t="s">
        <v>58</v>
      </c>
      <c r="G183" s="27">
        <f t="shared" ref="G183:I185" si="132">G184</f>
        <v>278800</v>
      </c>
      <c r="H183" s="27">
        <f t="shared" si="132"/>
        <v>250920</v>
      </c>
      <c r="I183" s="27">
        <f t="shared" si="132"/>
        <v>250920</v>
      </c>
      <c r="J183" s="16">
        <f>'БА в тыс. руб.'!G183*1000</f>
        <v>278800</v>
      </c>
      <c r="K183" s="169">
        <f t="shared" si="97"/>
        <v>0</v>
      </c>
      <c r="L183" s="16">
        <f>'БА в тыс. руб.'!H183*1000</f>
        <v>250920</v>
      </c>
      <c r="M183" s="169">
        <f t="shared" si="98"/>
        <v>0</v>
      </c>
      <c r="N183" s="16">
        <f>'БА в тыс. руб.'!I183*1000</f>
        <v>250920</v>
      </c>
      <c r="O183" s="169">
        <f t="shared" si="99"/>
        <v>0</v>
      </c>
      <c r="P183" s="16"/>
      <c r="Q183" s="16"/>
      <c r="R183" s="16"/>
      <c r="S183" s="16"/>
      <c r="T183" s="16"/>
      <c r="U183" s="16"/>
    </row>
    <row r="184" spans="1:21" s="3" customFormat="1" ht="25.5">
      <c r="A184" s="11" t="s">
        <v>679</v>
      </c>
      <c r="B184" s="108">
        <v>601</v>
      </c>
      <c r="C184" s="35" t="s">
        <v>65</v>
      </c>
      <c r="D184" s="35">
        <v>13</v>
      </c>
      <c r="E184" s="35" t="s">
        <v>257</v>
      </c>
      <c r="F184" s="26" t="s">
        <v>58</v>
      </c>
      <c r="G184" s="27">
        <f t="shared" si="132"/>
        <v>278800</v>
      </c>
      <c r="H184" s="27">
        <f t="shared" si="132"/>
        <v>250920</v>
      </c>
      <c r="I184" s="27">
        <f t="shared" si="132"/>
        <v>250920</v>
      </c>
      <c r="J184" s="16">
        <f>'БА в тыс. руб.'!G184*1000</f>
        <v>278800</v>
      </c>
      <c r="K184" s="169">
        <f t="shared" si="97"/>
        <v>0</v>
      </c>
      <c r="L184" s="16">
        <f>'БА в тыс. руб.'!H184*1000</f>
        <v>250920</v>
      </c>
      <c r="M184" s="169">
        <f t="shared" si="98"/>
        <v>0</v>
      </c>
      <c r="N184" s="16">
        <f>'БА в тыс. руб.'!I184*1000</f>
        <v>250920</v>
      </c>
      <c r="O184" s="169">
        <f t="shared" si="99"/>
        <v>0</v>
      </c>
      <c r="P184" s="16"/>
      <c r="Q184" s="16"/>
      <c r="R184" s="16"/>
      <c r="S184" s="16"/>
      <c r="T184" s="16"/>
      <c r="U184" s="16"/>
    </row>
    <row r="185" spans="1:21" s="3" customFormat="1" ht="38.25">
      <c r="A185" s="11" t="s">
        <v>678</v>
      </c>
      <c r="B185" s="108">
        <v>601</v>
      </c>
      <c r="C185" s="35" t="s">
        <v>65</v>
      </c>
      <c r="D185" s="35">
        <v>13</v>
      </c>
      <c r="E185" s="35" t="s">
        <v>258</v>
      </c>
      <c r="F185" s="26" t="s">
        <v>58</v>
      </c>
      <c r="G185" s="27">
        <f t="shared" si="132"/>
        <v>278800</v>
      </c>
      <c r="H185" s="27">
        <f t="shared" si="132"/>
        <v>250920</v>
      </c>
      <c r="I185" s="27">
        <f t="shared" si="132"/>
        <v>250920</v>
      </c>
      <c r="J185" s="16">
        <f>'БА в тыс. руб.'!G185*1000</f>
        <v>278800</v>
      </c>
      <c r="K185" s="169">
        <f t="shared" si="97"/>
        <v>0</v>
      </c>
      <c r="L185" s="16">
        <f>'БА в тыс. руб.'!H185*1000</f>
        <v>250920</v>
      </c>
      <c r="M185" s="169">
        <f t="shared" si="98"/>
        <v>0</v>
      </c>
      <c r="N185" s="16">
        <f>'БА в тыс. руб.'!I185*1000</f>
        <v>250920</v>
      </c>
      <c r="O185" s="169">
        <f t="shared" si="99"/>
        <v>0</v>
      </c>
      <c r="P185" s="16"/>
      <c r="Q185" s="16"/>
      <c r="R185" s="16"/>
      <c r="S185" s="16"/>
      <c r="T185" s="16"/>
      <c r="U185" s="16"/>
    </row>
    <row r="186" spans="1:21" s="3" customFormat="1">
      <c r="A186" s="31" t="s">
        <v>91</v>
      </c>
      <c r="B186" s="108">
        <v>601</v>
      </c>
      <c r="C186" s="35" t="s">
        <v>65</v>
      </c>
      <c r="D186" s="35">
        <v>13</v>
      </c>
      <c r="E186" s="35" t="s">
        <v>258</v>
      </c>
      <c r="F186" s="26" t="s">
        <v>100</v>
      </c>
      <c r="G186" s="27">
        <f t="shared" ref="G186" si="133">J186</f>
        <v>278800</v>
      </c>
      <c r="H186" s="27">
        <f>L186</f>
        <v>250920</v>
      </c>
      <c r="I186" s="27">
        <f>N186</f>
        <v>250920</v>
      </c>
      <c r="J186" s="16">
        <f>'БА в тыс. руб.'!G186*1000</f>
        <v>278800</v>
      </c>
      <c r="K186" s="169">
        <f t="shared" si="97"/>
        <v>0</v>
      </c>
      <c r="L186" s="16">
        <f>'БА в тыс. руб.'!H186*1000</f>
        <v>250920</v>
      </c>
      <c r="M186" s="169">
        <f t="shared" si="98"/>
        <v>0</v>
      </c>
      <c r="N186" s="16">
        <f>'БА в тыс. руб.'!I186*1000</f>
        <v>250920</v>
      </c>
      <c r="O186" s="169">
        <f t="shared" si="99"/>
        <v>0</v>
      </c>
      <c r="P186" s="16"/>
      <c r="Q186" s="16"/>
      <c r="R186" s="16"/>
      <c r="S186" s="16"/>
      <c r="T186" s="16"/>
      <c r="U186" s="16"/>
    </row>
    <row r="187" spans="1:21" s="3" customFormat="1" ht="25.5">
      <c r="A187" s="11" t="s">
        <v>759</v>
      </c>
      <c r="B187" s="25" t="s">
        <v>55</v>
      </c>
      <c r="C187" s="26" t="s">
        <v>65</v>
      </c>
      <c r="D187" s="26" t="s">
        <v>84</v>
      </c>
      <c r="E187" s="26" t="s">
        <v>259</v>
      </c>
      <c r="F187" s="26" t="s">
        <v>58</v>
      </c>
      <c r="G187" s="27">
        <f t="shared" ref="G187:I191" si="134">G188</f>
        <v>2292500</v>
      </c>
      <c r="H187" s="27">
        <f t="shared" si="134"/>
        <v>2292500</v>
      </c>
      <c r="I187" s="27">
        <f t="shared" si="134"/>
        <v>2292500</v>
      </c>
      <c r="J187" s="16">
        <f>'БА в тыс. руб.'!G187*1000</f>
        <v>2292500</v>
      </c>
      <c r="K187" s="169">
        <f t="shared" si="97"/>
        <v>0</v>
      </c>
      <c r="L187" s="16">
        <f>'БА в тыс. руб.'!H187*1000</f>
        <v>2292500</v>
      </c>
      <c r="M187" s="169">
        <f t="shared" si="98"/>
        <v>0</v>
      </c>
      <c r="N187" s="16">
        <f>'БА в тыс. руб.'!I187*1000</f>
        <v>2292500</v>
      </c>
      <c r="O187" s="169">
        <f t="shared" si="99"/>
        <v>0</v>
      </c>
      <c r="P187" s="16"/>
      <c r="Q187" s="16"/>
      <c r="R187" s="16"/>
      <c r="S187" s="16"/>
      <c r="T187" s="16"/>
      <c r="U187" s="16"/>
    </row>
    <row r="188" spans="1:21" s="3" customFormat="1" ht="25.5">
      <c r="A188" s="11" t="s">
        <v>760</v>
      </c>
      <c r="B188" s="25" t="s">
        <v>55</v>
      </c>
      <c r="C188" s="26" t="s">
        <v>65</v>
      </c>
      <c r="D188" s="26" t="s">
        <v>84</v>
      </c>
      <c r="E188" s="26" t="s">
        <v>260</v>
      </c>
      <c r="F188" s="26" t="s">
        <v>58</v>
      </c>
      <c r="G188" s="27">
        <f t="shared" si="134"/>
        <v>2292500</v>
      </c>
      <c r="H188" s="27">
        <f t="shared" si="134"/>
        <v>2292500</v>
      </c>
      <c r="I188" s="27">
        <f t="shared" si="134"/>
        <v>2292500</v>
      </c>
      <c r="J188" s="16">
        <f>'БА в тыс. руб.'!G188*1000</f>
        <v>2292500</v>
      </c>
      <c r="K188" s="169">
        <f t="shared" si="97"/>
        <v>0</v>
      </c>
      <c r="L188" s="16">
        <f>'БА в тыс. руб.'!H188*1000</f>
        <v>2292500</v>
      </c>
      <c r="M188" s="169">
        <f t="shared" si="98"/>
        <v>0</v>
      </c>
      <c r="N188" s="16">
        <f>'БА в тыс. руб.'!I188*1000</f>
        <v>2292500</v>
      </c>
      <c r="O188" s="169">
        <f t="shared" si="99"/>
        <v>0</v>
      </c>
      <c r="P188" s="16"/>
      <c r="Q188" s="16"/>
      <c r="R188" s="16"/>
      <c r="S188" s="16"/>
      <c r="T188" s="16"/>
      <c r="U188" s="16"/>
    </row>
    <row r="189" spans="1:21" s="3" customFormat="1" ht="51">
      <c r="A189" s="34" t="s">
        <v>261</v>
      </c>
      <c r="B189" s="25" t="s">
        <v>55</v>
      </c>
      <c r="C189" s="26" t="s">
        <v>65</v>
      </c>
      <c r="D189" s="26" t="s">
        <v>84</v>
      </c>
      <c r="E189" s="26" t="s">
        <v>262</v>
      </c>
      <c r="F189" s="26" t="s">
        <v>58</v>
      </c>
      <c r="G189" s="27">
        <f t="shared" si="134"/>
        <v>2292500</v>
      </c>
      <c r="H189" s="27">
        <f t="shared" si="134"/>
        <v>2292500</v>
      </c>
      <c r="I189" s="27">
        <f t="shared" si="134"/>
        <v>2292500</v>
      </c>
      <c r="J189" s="16">
        <f>'БА в тыс. руб.'!G189*1000</f>
        <v>2292500</v>
      </c>
      <c r="K189" s="169">
        <f t="shared" si="97"/>
        <v>0</v>
      </c>
      <c r="L189" s="16">
        <f>'БА в тыс. руб.'!H189*1000</f>
        <v>2292500</v>
      </c>
      <c r="M189" s="169">
        <f t="shared" si="98"/>
        <v>0</v>
      </c>
      <c r="N189" s="16">
        <f>'БА в тыс. руб.'!I189*1000</f>
        <v>2292500</v>
      </c>
      <c r="O189" s="169">
        <f t="shared" si="99"/>
        <v>0</v>
      </c>
      <c r="P189" s="16"/>
      <c r="Q189" s="16"/>
      <c r="R189" s="16"/>
      <c r="S189" s="16"/>
      <c r="T189" s="16"/>
      <c r="U189" s="16"/>
    </row>
    <row r="190" spans="1:21" s="3" customFormat="1" ht="89.25">
      <c r="A190" s="11" t="s">
        <v>677</v>
      </c>
      <c r="B190" s="25" t="s">
        <v>55</v>
      </c>
      <c r="C190" s="26" t="s">
        <v>65</v>
      </c>
      <c r="D190" s="26" t="s">
        <v>84</v>
      </c>
      <c r="E190" s="26" t="s">
        <v>263</v>
      </c>
      <c r="F190" s="26" t="s">
        <v>58</v>
      </c>
      <c r="G190" s="27">
        <f t="shared" si="134"/>
        <v>2292500</v>
      </c>
      <c r="H190" s="27">
        <f t="shared" si="134"/>
        <v>2292500</v>
      </c>
      <c r="I190" s="27">
        <f t="shared" si="134"/>
        <v>2292500</v>
      </c>
      <c r="J190" s="16">
        <f>'БА в тыс. руб.'!G190*1000</f>
        <v>2292500</v>
      </c>
      <c r="K190" s="169">
        <f t="shared" si="97"/>
        <v>0</v>
      </c>
      <c r="L190" s="16">
        <f>'БА в тыс. руб.'!H190*1000</f>
        <v>2292500</v>
      </c>
      <c r="M190" s="169">
        <f t="shared" si="98"/>
        <v>0</v>
      </c>
      <c r="N190" s="16">
        <f>'БА в тыс. руб.'!I190*1000</f>
        <v>2292500</v>
      </c>
      <c r="O190" s="169">
        <f t="shared" si="99"/>
        <v>0</v>
      </c>
      <c r="P190" s="16"/>
      <c r="Q190" s="16"/>
      <c r="R190" s="16"/>
      <c r="S190" s="16"/>
      <c r="T190" s="16"/>
      <c r="U190" s="16"/>
    </row>
    <row r="191" spans="1:21" s="3" customFormat="1" ht="25.5">
      <c r="A191" s="11" t="s">
        <v>111</v>
      </c>
      <c r="B191" s="25" t="s">
        <v>55</v>
      </c>
      <c r="C191" s="26" t="s">
        <v>65</v>
      </c>
      <c r="D191" s="26" t="s">
        <v>84</v>
      </c>
      <c r="E191" s="26" t="s">
        <v>263</v>
      </c>
      <c r="F191" s="26" t="s">
        <v>104</v>
      </c>
      <c r="G191" s="27">
        <f>G192</f>
        <v>2292500</v>
      </c>
      <c r="H191" s="27">
        <f t="shared" si="134"/>
        <v>2292500</v>
      </c>
      <c r="I191" s="27">
        <f t="shared" si="134"/>
        <v>2292500</v>
      </c>
      <c r="J191" s="16">
        <f>'БА в тыс. руб.'!G191*1000</f>
        <v>2292500</v>
      </c>
      <c r="K191" s="169">
        <f t="shared" si="97"/>
        <v>0</v>
      </c>
      <c r="L191" s="16">
        <f>'БА в тыс. руб.'!H191*1000</f>
        <v>2292500</v>
      </c>
      <c r="M191" s="169">
        <f t="shared" si="98"/>
        <v>0</v>
      </c>
      <c r="N191" s="16">
        <f>'БА в тыс. руб.'!I191*1000</f>
        <v>2292500</v>
      </c>
      <c r="O191" s="169">
        <f t="shared" si="99"/>
        <v>0</v>
      </c>
      <c r="P191" s="16"/>
      <c r="Q191" s="16"/>
      <c r="R191" s="16"/>
      <c r="S191" s="16"/>
      <c r="T191" s="16"/>
      <c r="U191" s="16"/>
    </row>
    <row r="192" spans="1:21" s="4" customFormat="1" ht="76.5">
      <c r="A192" s="12" t="s">
        <v>1048</v>
      </c>
      <c r="B192" s="25" t="s">
        <v>55</v>
      </c>
      <c r="C192" s="26" t="s">
        <v>65</v>
      </c>
      <c r="D192" s="26" t="s">
        <v>84</v>
      </c>
      <c r="E192" s="26" t="s">
        <v>263</v>
      </c>
      <c r="F192" s="26" t="s">
        <v>1055</v>
      </c>
      <c r="G192" s="27">
        <f t="shared" ref="G192" si="135">J192</f>
        <v>2292500</v>
      </c>
      <c r="H192" s="27">
        <f>L192</f>
        <v>2292500</v>
      </c>
      <c r="I192" s="27">
        <f>N192</f>
        <v>2292500</v>
      </c>
      <c r="J192" s="16">
        <f>'БА в тыс. руб.'!G192*1000</f>
        <v>2292500</v>
      </c>
      <c r="K192" s="169">
        <f t="shared" si="97"/>
        <v>0</v>
      </c>
      <c r="L192" s="16">
        <f>'БА в тыс. руб.'!H192*1000</f>
        <v>2292500</v>
      </c>
      <c r="M192" s="169">
        <f t="shared" si="98"/>
        <v>0</v>
      </c>
      <c r="N192" s="16">
        <f>'БА в тыс. руб.'!I192*1000</f>
        <v>2292500</v>
      </c>
      <c r="O192" s="169">
        <f t="shared" si="99"/>
        <v>0</v>
      </c>
      <c r="P192" s="16"/>
      <c r="Q192" s="16"/>
      <c r="R192" s="16"/>
      <c r="S192" s="16"/>
      <c r="T192" s="16"/>
      <c r="U192" s="16"/>
    </row>
    <row r="193" spans="1:21" s="3" customFormat="1">
      <c r="A193" s="34" t="s">
        <v>112</v>
      </c>
      <c r="B193" s="35" t="s">
        <v>55</v>
      </c>
      <c r="C193" s="36" t="s">
        <v>65</v>
      </c>
      <c r="D193" s="36" t="s">
        <v>84</v>
      </c>
      <c r="E193" s="36" t="s">
        <v>206</v>
      </c>
      <c r="F193" s="36" t="s">
        <v>58</v>
      </c>
      <c r="G193" s="27">
        <f>G194</f>
        <v>34270650</v>
      </c>
      <c r="H193" s="27">
        <f>H194</f>
        <v>32138510</v>
      </c>
      <c r="I193" s="27">
        <f>I194</f>
        <v>32138510</v>
      </c>
      <c r="J193" s="16">
        <f>'БА в тыс. руб.'!G193*1000</f>
        <v>34270649.999999993</v>
      </c>
      <c r="K193" s="169">
        <f t="shared" si="97"/>
        <v>0</v>
      </c>
      <c r="L193" s="16">
        <f>'БА в тыс. руб.'!H193*1000</f>
        <v>32138510</v>
      </c>
      <c r="M193" s="169">
        <f t="shared" si="98"/>
        <v>0</v>
      </c>
      <c r="N193" s="16">
        <f>'БА в тыс. руб.'!I193*1000</f>
        <v>32138510</v>
      </c>
      <c r="O193" s="169">
        <f t="shared" si="99"/>
        <v>0</v>
      </c>
      <c r="P193" s="16"/>
      <c r="Q193" s="16"/>
      <c r="R193" s="16"/>
      <c r="S193" s="16"/>
      <c r="T193" s="16"/>
      <c r="U193" s="16"/>
    </row>
    <row r="194" spans="1:21" s="3" customFormat="1" ht="25.5">
      <c r="A194" s="34" t="s">
        <v>113</v>
      </c>
      <c r="B194" s="35" t="s">
        <v>55</v>
      </c>
      <c r="C194" s="36" t="s">
        <v>65</v>
      </c>
      <c r="D194" s="36" t="s">
        <v>84</v>
      </c>
      <c r="E194" s="36" t="s">
        <v>207</v>
      </c>
      <c r="F194" s="36" t="s">
        <v>58</v>
      </c>
      <c r="G194" s="27">
        <f>G195</f>
        <v>34270650</v>
      </c>
      <c r="H194" s="27">
        <f t="shared" ref="H194:I194" si="136">H195</f>
        <v>32138510</v>
      </c>
      <c r="I194" s="27">
        <f t="shared" si="136"/>
        <v>32138510</v>
      </c>
      <c r="J194" s="16">
        <f>'БА в тыс. руб.'!G194*1000</f>
        <v>34270649.999999993</v>
      </c>
      <c r="K194" s="169">
        <f t="shared" si="97"/>
        <v>0</v>
      </c>
      <c r="L194" s="16">
        <f>'БА в тыс. руб.'!H194*1000</f>
        <v>32138510</v>
      </c>
      <c r="M194" s="169">
        <f t="shared" si="98"/>
        <v>0</v>
      </c>
      <c r="N194" s="16">
        <f>'БА в тыс. руб.'!I194*1000</f>
        <v>32138510</v>
      </c>
      <c r="O194" s="169">
        <f t="shared" si="99"/>
        <v>0</v>
      </c>
      <c r="P194" s="16"/>
      <c r="Q194" s="16"/>
      <c r="R194" s="16"/>
      <c r="S194" s="16"/>
      <c r="T194" s="16"/>
      <c r="U194" s="16"/>
    </row>
    <row r="195" spans="1:21" s="3" customFormat="1" ht="25.5">
      <c r="A195" s="34" t="s">
        <v>247</v>
      </c>
      <c r="B195" s="35" t="s">
        <v>55</v>
      </c>
      <c r="C195" s="36" t="s">
        <v>65</v>
      </c>
      <c r="D195" s="36" t="s">
        <v>84</v>
      </c>
      <c r="E195" s="36" t="s">
        <v>264</v>
      </c>
      <c r="F195" s="36" t="s">
        <v>58</v>
      </c>
      <c r="G195" s="37">
        <f>G196+G200+G202</f>
        <v>34270650</v>
      </c>
      <c r="H195" s="37">
        <f t="shared" ref="H195:I195" si="137">H196+H200+H202</f>
        <v>32138510</v>
      </c>
      <c r="I195" s="37">
        <f t="shared" si="137"/>
        <v>32138510</v>
      </c>
      <c r="J195" s="16">
        <f>'БА в тыс. руб.'!G195*1000</f>
        <v>34270649.999999993</v>
      </c>
      <c r="K195" s="169">
        <f t="shared" si="97"/>
        <v>0</v>
      </c>
      <c r="L195" s="16">
        <f>'БА в тыс. руб.'!H195*1000</f>
        <v>32138510</v>
      </c>
      <c r="M195" s="169">
        <f t="shared" si="98"/>
        <v>0</v>
      </c>
      <c r="N195" s="16">
        <f>'БА в тыс. руб.'!I195*1000</f>
        <v>32138510</v>
      </c>
      <c r="O195" s="169">
        <f t="shared" si="99"/>
        <v>0</v>
      </c>
      <c r="P195" s="16"/>
      <c r="Q195" s="16"/>
      <c r="R195" s="16"/>
      <c r="S195" s="16"/>
      <c r="T195" s="16"/>
      <c r="U195" s="16"/>
    </row>
    <row r="196" spans="1:21" s="3" customFormat="1">
      <c r="A196" s="13" t="s">
        <v>106</v>
      </c>
      <c r="B196" s="35" t="s">
        <v>55</v>
      </c>
      <c r="C196" s="36" t="s">
        <v>65</v>
      </c>
      <c r="D196" s="36" t="s">
        <v>84</v>
      </c>
      <c r="E196" s="36" t="s">
        <v>264</v>
      </c>
      <c r="F196" s="36" t="s">
        <v>121</v>
      </c>
      <c r="G196" s="27">
        <f>SUM(G197:G199)</f>
        <v>12661960</v>
      </c>
      <c r="H196" s="27">
        <f t="shared" ref="H196:I196" si="138">SUM(H197:H199)</f>
        <v>12661960</v>
      </c>
      <c r="I196" s="27">
        <f t="shared" si="138"/>
        <v>12661960</v>
      </c>
      <c r="J196" s="16">
        <f>'БА в тыс. руб.'!G196*1000</f>
        <v>12661960</v>
      </c>
      <c r="K196" s="169">
        <f t="shared" si="97"/>
        <v>0</v>
      </c>
      <c r="L196" s="16">
        <f>'БА в тыс. руб.'!H196*1000</f>
        <v>12661960</v>
      </c>
      <c r="M196" s="169">
        <f t="shared" si="98"/>
        <v>0</v>
      </c>
      <c r="N196" s="16">
        <f>'БА в тыс. руб.'!I196*1000</f>
        <v>12661960</v>
      </c>
      <c r="O196" s="169">
        <f t="shared" si="99"/>
        <v>0</v>
      </c>
      <c r="P196" s="16"/>
      <c r="Q196" s="16"/>
      <c r="R196" s="16"/>
      <c r="S196" s="16"/>
      <c r="T196" s="16"/>
      <c r="U196" s="16"/>
    </row>
    <row r="197" spans="1:21" s="4" customFormat="1">
      <c r="A197" s="12" t="s">
        <v>932</v>
      </c>
      <c r="B197" s="35" t="s">
        <v>55</v>
      </c>
      <c r="C197" s="36" t="s">
        <v>65</v>
      </c>
      <c r="D197" s="36" t="s">
        <v>84</v>
      </c>
      <c r="E197" s="36" t="s">
        <v>264</v>
      </c>
      <c r="F197" s="26" t="s">
        <v>1056</v>
      </c>
      <c r="G197" s="27">
        <f t="shared" ref="G197:G199" si="139">J197</f>
        <v>9739070</v>
      </c>
      <c r="H197" s="27">
        <f t="shared" ref="H197:H199" si="140">L197</f>
        <v>9739070</v>
      </c>
      <c r="I197" s="27">
        <f t="shared" ref="I197:I199" si="141">N197</f>
        <v>9739070</v>
      </c>
      <c r="J197" s="16">
        <f>'БА в тыс. руб.'!G197*1000</f>
        <v>9739070</v>
      </c>
      <c r="K197" s="169">
        <f t="shared" si="97"/>
        <v>0</v>
      </c>
      <c r="L197" s="16">
        <f>'БА в тыс. руб.'!H197*1000</f>
        <v>9739070</v>
      </c>
      <c r="M197" s="169">
        <f t="shared" si="98"/>
        <v>0</v>
      </c>
      <c r="N197" s="16">
        <f>'БА в тыс. руб.'!I197*1000</f>
        <v>9739070</v>
      </c>
      <c r="O197" s="169">
        <f t="shared" si="99"/>
        <v>0</v>
      </c>
      <c r="P197" s="16"/>
      <c r="Q197" s="16"/>
      <c r="R197" s="16"/>
      <c r="S197" s="16"/>
      <c r="T197" s="16"/>
      <c r="U197" s="16"/>
    </row>
    <row r="198" spans="1:21" s="4" customFormat="1" ht="25.5">
      <c r="A198" s="12" t="s">
        <v>933</v>
      </c>
      <c r="B198" s="35" t="s">
        <v>55</v>
      </c>
      <c r="C198" s="36" t="s">
        <v>65</v>
      </c>
      <c r="D198" s="36" t="s">
        <v>84</v>
      </c>
      <c r="E198" s="36" t="s">
        <v>264</v>
      </c>
      <c r="F198" s="26" t="s">
        <v>1069</v>
      </c>
      <c r="G198" s="27">
        <f t="shared" si="139"/>
        <v>55000</v>
      </c>
      <c r="H198" s="27">
        <f t="shared" si="140"/>
        <v>55000</v>
      </c>
      <c r="I198" s="27">
        <f t="shared" si="141"/>
        <v>55000</v>
      </c>
      <c r="J198" s="16">
        <f>'БА в тыс. руб.'!G198*1000</f>
        <v>55000</v>
      </c>
      <c r="K198" s="169">
        <f t="shared" ref="K198:K263" si="142">J198-G198</f>
        <v>0</v>
      </c>
      <c r="L198" s="16">
        <f>'БА в тыс. руб.'!H198*1000</f>
        <v>55000</v>
      </c>
      <c r="M198" s="169">
        <f t="shared" ref="M198:M263" si="143">L198-H198</f>
        <v>0</v>
      </c>
      <c r="N198" s="16">
        <f>'БА в тыс. руб.'!I198*1000</f>
        <v>55000</v>
      </c>
      <c r="O198" s="169">
        <f t="shared" ref="O198:O263" si="144">N198-I198</f>
        <v>0</v>
      </c>
      <c r="P198" s="16"/>
      <c r="Q198" s="16"/>
      <c r="R198" s="16"/>
      <c r="S198" s="16"/>
      <c r="T198" s="16"/>
      <c r="U198" s="16"/>
    </row>
    <row r="199" spans="1:21" s="4" customFormat="1" ht="38.25">
      <c r="A199" s="12" t="s">
        <v>935</v>
      </c>
      <c r="B199" s="35" t="s">
        <v>55</v>
      </c>
      <c r="C199" s="36" t="s">
        <v>65</v>
      </c>
      <c r="D199" s="36" t="s">
        <v>84</v>
      </c>
      <c r="E199" s="36" t="s">
        <v>264</v>
      </c>
      <c r="F199" s="26" t="s">
        <v>1057</v>
      </c>
      <c r="G199" s="27">
        <f t="shared" si="139"/>
        <v>2867890</v>
      </c>
      <c r="H199" s="27">
        <f t="shared" si="140"/>
        <v>2867890</v>
      </c>
      <c r="I199" s="27">
        <f t="shared" si="141"/>
        <v>2867890</v>
      </c>
      <c r="J199" s="16">
        <f>'БА в тыс. руб.'!G199*1000</f>
        <v>2867890</v>
      </c>
      <c r="K199" s="169"/>
      <c r="L199" s="16">
        <f>'БА в тыс. руб.'!H199*1000</f>
        <v>2867890</v>
      </c>
      <c r="M199" s="169"/>
      <c r="N199" s="16">
        <f>'БА в тыс. руб.'!I199*1000</f>
        <v>2867890</v>
      </c>
      <c r="O199" s="169"/>
      <c r="P199" s="16"/>
      <c r="Q199" s="16"/>
      <c r="R199" s="16"/>
      <c r="S199" s="16"/>
      <c r="T199" s="16"/>
      <c r="U199" s="16"/>
    </row>
    <row r="200" spans="1:21" s="3" customFormat="1" ht="25.5">
      <c r="A200" s="11" t="s">
        <v>108</v>
      </c>
      <c r="B200" s="35" t="s">
        <v>55</v>
      </c>
      <c r="C200" s="36" t="s">
        <v>65</v>
      </c>
      <c r="D200" s="36" t="s">
        <v>84</v>
      </c>
      <c r="E200" s="36" t="s">
        <v>264</v>
      </c>
      <c r="F200" s="36" t="s">
        <v>116</v>
      </c>
      <c r="G200" s="27">
        <f>G201</f>
        <v>21214160</v>
      </c>
      <c r="H200" s="27">
        <f t="shared" ref="H200:I200" si="145">H201</f>
        <v>19082020</v>
      </c>
      <c r="I200" s="27">
        <f t="shared" si="145"/>
        <v>19082020</v>
      </c>
      <c r="J200" s="16">
        <f>'БА в тыс. руб.'!G200*1000</f>
        <v>21214160</v>
      </c>
      <c r="K200" s="169">
        <f t="shared" si="142"/>
        <v>0</v>
      </c>
      <c r="L200" s="16">
        <f>'БА в тыс. руб.'!H200*1000</f>
        <v>19082020</v>
      </c>
      <c r="M200" s="169">
        <f t="shared" si="143"/>
        <v>0</v>
      </c>
      <c r="N200" s="16">
        <f>'БА в тыс. руб.'!I200*1000</f>
        <v>19082020</v>
      </c>
      <c r="O200" s="169">
        <f t="shared" si="144"/>
        <v>0</v>
      </c>
      <c r="P200" s="16"/>
      <c r="Q200" s="16"/>
      <c r="R200" s="16"/>
      <c r="S200" s="16"/>
      <c r="T200" s="16"/>
      <c r="U200" s="16"/>
    </row>
    <row r="201" spans="1:21" s="4" customFormat="1" ht="25.5">
      <c r="A201" s="12" t="s">
        <v>973</v>
      </c>
      <c r="B201" s="35" t="s">
        <v>55</v>
      </c>
      <c r="C201" s="36" t="s">
        <v>65</v>
      </c>
      <c r="D201" s="36" t="s">
        <v>84</v>
      </c>
      <c r="E201" s="36" t="s">
        <v>264</v>
      </c>
      <c r="F201" s="36" t="s">
        <v>1043</v>
      </c>
      <c r="G201" s="27">
        <f t="shared" ref="G201" si="146">J201</f>
        <v>21214160</v>
      </c>
      <c r="H201" s="27">
        <f>L201</f>
        <v>19082020</v>
      </c>
      <c r="I201" s="27">
        <f>N201</f>
        <v>19082020</v>
      </c>
      <c r="J201" s="16">
        <f>'БА в тыс. руб.'!G201*1000</f>
        <v>21214160</v>
      </c>
      <c r="K201" s="169">
        <f t="shared" si="142"/>
        <v>0</v>
      </c>
      <c r="L201" s="16">
        <f>'БА в тыс. руб.'!H201*1000</f>
        <v>19082020</v>
      </c>
      <c r="M201" s="169">
        <f t="shared" si="143"/>
        <v>0</v>
      </c>
      <c r="N201" s="16">
        <f>'БА в тыс. руб.'!I201*1000</f>
        <v>19082020</v>
      </c>
      <c r="O201" s="169">
        <f t="shared" si="144"/>
        <v>0</v>
      </c>
      <c r="P201" s="16"/>
      <c r="Q201" s="16"/>
      <c r="R201" s="16"/>
      <c r="S201" s="16"/>
      <c r="T201" s="16"/>
      <c r="U201" s="16"/>
    </row>
    <row r="202" spans="1:21" s="3" customFormat="1">
      <c r="A202" s="11" t="s">
        <v>97</v>
      </c>
      <c r="B202" s="25" t="s">
        <v>55</v>
      </c>
      <c r="C202" s="26" t="s">
        <v>65</v>
      </c>
      <c r="D202" s="26" t="s">
        <v>84</v>
      </c>
      <c r="E202" s="26" t="s">
        <v>264</v>
      </c>
      <c r="F202" s="26" t="s">
        <v>118</v>
      </c>
      <c r="G202" s="27">
        <f>SUM(G203:G205)</f>
        <v>394530</v>
      </c>
      <c r="H202" s="27">
        <f t="shared" ref="H202:I202" si="147">SUM(H203:H205)</f>
        <v>394530</v>
      </c>
      <c r="I202" s="27">
        <f t="shared" si="147"/>
        <v>394530</v>
      </c>
      <c r="J202" s="16">
        <f>'БА в тыс. руб.'!G202*1000</f>
        <v>394530</v>
      </c>
      <c r="K202" s="169">
        <f t="shared" si="142"/>
        <v>0</v>
      </c>
      <c r="L202" s="16">
        <f>'БА в тыс. руб.'!H202*1000</f>
        <v>394530</v>
      </c>
      <c r="M202" s="169">
        <f t="shared" si="143"/>
        <v>0</v>
      </c>
      <c r="N202" s="16">
        <f>'БА в тыс. руб.'!I202*1000</f>
        <v>394530</v>
      </c>
      <c r="O202" s="169">
        <f t="shared" si="144"/>
        <v>0</v>
      </c>
      <c r="P202" s="16"/>
      <c r="Q202" s="16"/>
      <c r="R202" s="16"/>
      <c r="S202" s="16"/>
      <c r="T202" s="16"/>
      <c r="U202" s="16"/>
    </row>
    <row r="203" spans="1:21" s="3" customFormat="1">
      <c r="A203" s="11" t="s">
        <v>1036</v>
      </c>
      <c r="B203" s="25" t="s">
        <v>55</v>
      </c>
      <c r="C203" s="26" t="s">
        <v>65</v>
      </c>
      <c r="D203" s="26" t="s">
        <v>84</v>
      </c>
      <c r="E203" s="26" t="s">
        <v>264</v>
      </c>
      <c r="F203" s="26" t="s">
        <v>1061</v>
      </c>
      <c r="G203" s="27">
        <f t="shared" ref="G203:G205" si="148">J203</f>
        <v>200000</v>
      </c>
      <c r="H203" s="27">
        <f t="shared" ref="H203:H205" si="149">L203</f>
        <v>200000</v>
      </c>
      <c r="I203" s="27">
        <f t="shared" ref="I203:I205" si="150">N203</f>
        <v>200000</v>
      </c>
      <c r="J203" s="16">
        <f>'БА в тыс. руб.'!G203*1000</f>
        <v>200000</v>
      </c>
      <c r="K203" s="169">
        <f t="shared" si="142"/>
        <v>0</v>
      </c>
      <c r="L203" s="16">
        <f>'БА в тыс. руб.'!H203*1000</f>
        <v>200000</v>
      </c>
      <c r="M203" s="169">
        <f t="shared" si="143"/>
        <v>0</v>
      </c>
      <c r="N203" s="16">
        <f>'БА в тыс. руб.'!I203*1000</f>
        <v>200000</v>
      </c>
      <c r="O203" s="169">
        <f t="shared" si="144"/>
        <v>0</v>
      </c>
      <c r="P203" s="16"/>
      <c r="Q203" s="16"/>
      <c r="R203" s="16"/>
      <c r="S203" s="16"/>
      <c r="T203" s="16"/>
      <c r="U203" s="16"/>
    </row>
    <row r="204" spans="1:21" s="3" customFormat="1">
      <c r="A204" s="11" t="s">
        <v>1037</v>
      </c>
      <c r="B204" s="25" t="s">
        <v>55</v>
      </c>
      <c r="C204" s="26" t="s">
        <v>65</v>
      </c>
      <c r="D204" s="26" t="s">
        <v>84</v>
      </c>
      <c r="E204" s="26" t="s">
        <v>264</v>
      </c>
      <c r="F204" s="26" t="s">
        <v>1062</v>
      </c>
      <c r="G204" s="27">
        <f t="shared" si="148"/>
        <v>192530</v>
      </c>
      <c r="H204" s="27">
        <f t="shared" si="149"/>
        <v>192530</v>
      </c>
      <c r="I204" s="27">
        <f t="shared" si="150"/>
        <v>192530</v>
      </c>
      <c r="J204" s="16">
        <f>'БА в тыс. руб.'!G204*1000</f>
        <v>192530</v>
      </c>
      <c r="K204" s="169">
        <f t="shared" si="142"/>
        <v>0</v>
      </c>
      <c r="L204" s="16">
        <f>'БА в тыс. руб.'!H204*1000</f>
        <v>192530</v>
      </c>
      <c r="M204" s="169">
        <f t="shared" si="143"/>
        <v>0</v>
      </c>
      <c r="N204" s="16">
        <f>'БА в тыс. руб.'!I204*1000</f>
        <v>192530</v>
      </c>
      <c r="O204" s="169">
        <f t="shared" si="144"/>
        <v>0</v>
      </c>
      <c r="P204" s="16"/>
      <c r="Q204" s="16"/>
      <c r="R204" s="16"/>
      <c r="S204" s="16"/>
      <c r="T204" s="16"/>
      <c r="U204" s="16"/>
    </row>
    <row r="205" spans="1:21" s="3" customFormat="1">
      <c r="A205" s="11" t="s">
        <v>1038</v>
      </c>
      <c r="B205" s="25" t="s">
        <v>55</v>
      </c>
      <c r="C205" s="26" t="s">
        <v>65</v>
      </c>
      <c r="D205" s="26" t="s">
        <v>84</v>
      </c>
      <c r="E205" s="26" t="s">
        <v>264</v>
      </c>
      <c r="F205" s="26" t="s">
        <v>1066</v>
      </c>
      <c r="G205" s="27">
        <f t="shared" si="148"/>
        <v>2000</v>
      </c>
      <c r="H205" s="27">
        <f t="shared" si="149"/>
        <v>2000</v>
      </c>
      <c r="I205" s="27">
        <f t="shared" si="150"/>
        <v>2000</v>
      </c>
      <c r="J205" s="16">
        <f>'БА в тыс. руб.'!G205*1000</f>
        <v>2000</v>
      </c>
      <c r="K205" s="169">
        <f t="shared" si="142"/>
        <v>0</v>
      </c>
      <c r="L205" s="16">
        <f>'БА в тыс. руб.'!H205*1000</f>
        <v>2000</v>
      </c>
      <c r="M205" s="169">
        <f t="shared" si="143"/>
        <v>0</v>
      </c>
      <c r="N205" s="16">
        <f>'БА в тыс. руб.'!I205*1000</f>
        <v>2000</v>
      </c>
      <c r="O205" s="169">
        <f t="shared" si="144"/>
        <v>0</v>
      </c>
      <c r="P205" s="16"/>
      <c r="Q205" s="16"/>
      <c r="R205" s="16"/>
      <c r="S205" s="16"/>
      <c r="T205" s="16"/>
      <c r="U205" s="16"/>
    </row>
    <row r="206" spans="1:21" s="3" customFormat="1" ht="38.25">
      <c r="A206" s="11" t="s">
        <v>683</v>
      </c>
      <c r="B206" s="35" t="s">
        <v>55</v>
      </c>
      <c r="C206" s="36" t="s">
        <v>65</v>
      </c>
      <c r="D206" s="36" t="s">
        <v>84</v>
      </c>
      <c r="E206" s="36" t="s">
        <v>680</v>
      </c>
      <c r="F206" s="36" t="s">
        <v>58</v>
      </c>
      <c r="G206" s="27">
        <f>G207</f>
        <v>13370140</v>
      </c>
      <c r="H206" s="27">
        <f t="shared" ref="H206:I207" si="151">H207</f>
        <v>7404690</v>
      </c>
      <c r="I206" s="27">
        <f t="shared" si="151"/>
        <v>7404690</v>
      </c>
      <c r="J206" s="16">
        <f>'БА в тыс. руб.'!G206*1000</f>
        <v>13370140</v>
      </c>
      <c r="K206" s="169">
        <f t="shared" si="142"/>
        <v>0</v>
      </c>
      <c r="L206" s="16">
        <f>'БА в тыс. руб.'!H206*1000</f>
        <v>7404690</v>
      </c>
      <c r="M206" s="169">
        <f t="shared" si="143"/>
        <v>0</v>
      </c>
      <c r="N206" s="16">
        <f>'БА в тыс. руб.'!I206*1000</f>
        <v>7404690</v>
      </c>
      <c r="O206" s="169">
        <f t="shared" si="144"/>
        <v>0</v>
      </c>
      <c r="P206" s="16"/>
      <c r="Q206" s="16"/>
      <c r="R206" s="16"/>
      <c r="S206" s="16"/>
      <c r="T206" s="16"/>
      <c r="U206" s="16"/>
    </row>
    <row r="207" spans="1:21" s="3" customFormat="1">
      <c r="A207" s="11" t="s">
        <v>684</v>
      </c>
      <c r="B207" s="35" t="s">
        <v>55</v>
      </c>
      <c r="C207" s="36" t="s">
        <v>65</v>
      </c>
      <c r="D207" s="36" t="s">
        <v>84</v>
      </c>
      <c r="E207" s="36" t="s">
        <v>681</v>
      </c>
      <c r="F207" s="36" t="s">
        <v>58</v>
      </c>
      <c r="G207" s="27">
        <f>G208</f>
        <v>13370140</v>
      </c>
      <c r="H207" s="27">
        <f t="shared" si="151"/>
        <v>7404690</v>
      </c>
      <c r="I207" s="27">
        <f t="shared" si="151"/>
        <v>7404690</v>
      </c>
      <c r="J207" s="16">
        <f>'БА в тыс. руб.'!G207*1000</f>
        <v>13370140</v>
      </c>
      <c r="K207" s="169">
        <f t="shared" si="142"/>
        <v>0</v>
      </c>
      <c r="L207" s="16">
        <f>'БА в тыс. руб.'!H207*1000</f>
        <v>7404690</v>
      </c>
      <c r="M207" s="169">
        <f t="shared" si="143"/>
        <v>0</v>
      </c>
      <c r="N207" s="16">
        <f>'БА в тыс. руб.'!I207*1000</f>
        <v>7404690</v>
      </c>
      <c r="O207" s="169">
        <f t="shared" si="144"/>
        <v>0</v>
      </c>
      <c r="P207" s="16"/>
      <c r="Q207" s="16"/>
      <c r="R207" s="16"/>
      <c r="S207" s="16"/>
      <c r="T207" s="16"/>
      <c r="U207" s="16"/>
    </row>
    <row r="208" spans="1:21" s="3" customFormat="1" ht="38.25">
      <c r="A208" s="34" t="s">
        <v>265</v>
      </c>
      <c r="B208" s="35" t="s">
        <v>55</v>
      </c>
      <c r="C208" s="36" t="s">
        <v>65</v>
      </c>
      <c r="D208" s="36" t="s">
        <v>84</v>
      </c>
      <c r="E208" s="36" t="s">
        <v>770</v>
      </c>
      <c r="F208" s="36" t="s">
        <v>58</v>
      </c>
      <c r="G208" s="27">
        <f>SUM(G209:G209)</f>
        <v>13370140</v>
      </c>
      <c r="H208" s="27">
        <f>SUM(H209:H209)</f>
        <v>7404690</v>
      </c>
      <c r="I208" s="27">
        <f>SUM(I209:I209)</f>
        <v>7404690</v>
      </c>
      <c r="J208" s="16">
        <f>'БА в тыс. руб.'!G208*1000</f>
        <v>13370140</v>
      </c>
      <c r="K208" s="169">
        <f t="shared" si="142"/>
        <v>0</v>
      </c>
      <c r="L208" s="16">
        <f>'БА в тыс. руб.'!H208*1000</f>
        <v>7404690</v>
      </c>
      <c r="M208" s="169">
        <f t="shared" si="143"/>
        <v>0</v>
      </c>
      <c r="N208" s="16">
        <f>'БА в тыс. руб.'!I208*1000</f>
        <v>7404690</v>
      </c>
      <c r="O208" s="169">
        <f t="shared" si="144"/>
        <v>0</v>
      </c>
      <c r="P208" s="16"/>
      <c r="Q208" s="16"/>
      <c r="R208" s="16"/>
      <c r="S208" s="16"/>
      <c r="T208" s="16"/>
      <c r="U208" s="16"/>
    </row>
    <row r="209" spans="1:21" s="3" customFormat="1" ht="25.5">
      <c r="A209" s="12" t="s">
        <v>107</v>
      </c>
      <c r="B209" s="35" t="s">
        <v>55</v>
      </c>
      <c r="C209" s="36" t="s">
        <v>65</v>
      </c>
      <c r="D209" s="36" t="s">
        <v>84</v>
      </c>
      <c r="E209" s="36" t="s">
        <v>770</v>
      </c>
      <c r="F209" s="36" t="s">
        <v>115</v>
      </c>
      <c r="G209" s="27">
        <f>SUM(G210:G211)</f>
        <v>13370140</v>
      </c>
      <c r="H209" s="27">
        <f t="shared" ref="H209:I209" si="152">SUM(H210:H211)</f>
        <v>7404690</v>
      </c>
      <c r="I209" s="27">
        <f t="shared" si="152"/>
        <v>7404690</v>
      </c>
      <c r="J209" s="16">
        <f>'БА в тыс. руб.'!G209*1000</f>
        <v>13370140</v>
      </c>
      <c r="K209" s="169">
        <f t="shared" si="142"/>
        <v>0</v>
      </c>
      <c r="L209" s="16">
        <f>'БА в тыс. руб.'!H209*1000</f>
        <v>7404690</v>
      </c>
      <c r="M209" s="169">
        <f t="shared" si="143"/>
        <v>0</v>
      </c>
      <c r="N209" s="16">
        <f>'БА в тыс. руб.'!I209*1000</f>
        <v>7404690</v>
      </c>
      <c r="O209" s="169">
        <f t="shared" si="144"/>
        <v>0</v>
      </c>
      <c r="P209" s="16"/>
      <c r="Q209" s="16"/>
      <c r="R209" s="16"/>
      <c r="S209" s="16"/>
      <c r="T209" s="16"/>
      <c r="U209" s="16"/>
    </row>
    <row r="210" spans="1:21" s="4" customFormat="1">
      <c r="A210" s="12" t="s">
        <v>936</v>
      </c>
      <c r="B210" s="35" t="s">
        <v>55</v>
      </c>
      <c r="C210" s="36" t="s">
        <v>65</v>
      </c>
      <c r="D210" s="36" t="s">
        <v>84</v>
      </c>
      <c r="E210" s="36" t="s">
        <v>770</v>
      </c>
      <c r="F210" s="26" t="s">
        <v>1063</v>
      </c>
      <c r="G210" s="27">
        <f t="shared" ref="G210:G211" si="153">J210</f>
        <v>10268920</v>
      </c>
      <c r="H210" s="27">
        <f t="shared" ref="H210:H211" si="154">L210</f>
        <v>5687160</v>
      </c>
      <c r="I210" s="27">
        <f t="shared" ref="I210:I211" si="155">N210</f>
        <v>5687160</v>
      </c>
      <c r="J210" s="16">
        <f>'БА в тыс. руб.'!G210*1000</f>
        <v>10268920</v>
      </c>
      <c r="K210" s="169">
        <f t="shared" si="142"/>
        <v>0</v>
      </c>
      <c r="L210" s="16">
        <f>'БА в тыс. руб.'!H210*1000</f>
        <v>5687160</v>
      </c>
      <c r="M210" s="169">
        <f t="shared" si="143"/>
        <v>0</v>
      </c>
      <c r="N210" s="16">
        <f>'БА в тыс. руб.'!I210*1000</f>
        <v>5687160</v>
      </c>
      <c r="O210" s="169">
        <f t="shared" si="144"/>
        <v>0</v>
      </c>
      <c r="P210" s="16"/>
      <c r="Q210" s="16"/>
      <c r="R210" s="16"/>
      <c r="S210" s="16"/>
      <c r="T210" s="16"/>
      <c r="U210" s="16"/>
    </row>
    <row r="211" spans="1:21" s="4" customFormat="1" ht="38.25">
      <c r="A211" s="12" t="s">
        <v>939</v>
      </c>
      <c r="B211" s="35" t="s">
        <v>55</v>
      </c>
      <c r="C211" s="36" t="s">
        <v>65</v>
      </c>
      <c r="D211" s="36" t="s">
        <v>84</v>
      </c>
      <c r="E211" s="36" t="s">
        <v>770</v>
      </c>
      <c r="F211" s="26" t="s">
        <v>1060</v>
      </c>
      <c r="G211" s="27">
        <f t="shared" si="153"/>
        <v>3101220.0000000005</v>
      </c>
      <c r="H211" s="27">
        <f t="shared" si="154"/>
        <v>1717530</v>
      </c>
      <c r="I211" s="27">
        <f t="shared" si="155"/>
        <v>1717530</v>
      </c>
      <c r="J211" s="16">
        <f>'БА в тыс. руб.'!G211*1000</f>
        <v>3101220.0000000005</v>
      </c>
      <c r="K211" s="169">
        <f t="shared" si="142"/>
        <v>0</v>
      </c>
      <c r="L211" s="16">
        <f>'БА в тыс. руб.'!H211*1000</f>
        <v>1717530</v>
      </c>
      <c r="M211" s="169">
        <f t="shared" si="143"/>
        <v>0</v>
      </c>
      <c r="N211" s="16">
        <f>'БА в тыс. руб.'!I211*1000</f>
        <v>1717530</v>
      </c>
      <c r="O211" s="169">
        <f t="shared" si="144"/>
        <v>0</v>
      </c>
      <c r="P211" s="16"/>
      <c r="Q211" s="16"/>
      <c r="R211" s="16"/>
      <c r="S211" s="16"/>
      <c r="T211" s="16"/>
      <c r="U211" s="16"/>
    </row>
    <row r="212" spans="1:21" s="3" customFormat="1">
      <c r="A212" s="17" t="s">
        <v>35</v>
      </c>
      <c r="B212" s="18" t="s">
        <v>55</v>
      </c>
      <c r="C212" s="19" t="s">
        <v>37</v>
      </c>
      <c r="D212" s="19" t="s">
        <v>51</v>
      </c>
      <c r="E212" s="19" t="s">
        <v>196</v>
      </c>
      <c r="F212" s="19" t="s">
        <v>58</v>
      </c>
      <c r="G212" s="20">
        <f t="shared" ref="G212:I213" si="156">G213</f>
        <v>7375000</v>
      </c>
      <c r="H212" s="20">
        <f t="shared" si="156"/>
        <v>6547500</v>
      </c>
      <c r="I212" s="20">
        <f t="shared" si="156"/>
        <v>6547500</v>
      </c>
      <c r="J212" s="16">
        <f>'БА в тыс. руб.'!G212*1000</f>
        <v>7375000</v>
      </c>
      <c r="K212" s="169">
        <f t="shared" si="142"/>
        <v>0</v>
      </c>
      <c r="L212" s="16">
        <f>'БА в тыс. руб.'!H212*1000</f>
        <v>6547500</v>
      </c>
      <c r="M212" s="169">
        <f t="shared" si="143"/>
        <v>0</v>
      </c>
      <c r="N212" s="16">
        <f>'БА в тыс. руб.'!I212*1000</f>
        <v>6547500</v>
      </c>
      <c r="O212" s="169">
        <f t="shared" si="144"/>
        <v>0</v>
      </c>
      <c r="P212" s="16"/>
      <c r="Q212" s="16"/>
      <c r="R212" s="16"/>
      <c r="S212" s="16"/>
      <c r="T212" s="16"/>
      <c r="U212" s="16"/>
    </row>
    <row r="213" spans="1:21" s="3" customFormat="1">
      <c r="A213" s="21" t="s">
        <v>30</v>
      </c>
      <c r="B213" s="22" t="s">
        <v>55</v>
      </c>
      <c r="C213" s="23" t="s">
        <v>37</v>
      </c>
      <c r="D213" s="23" t="s">
        <v>40</v>
      </c>
      <c r="E213" s="23" t="s">
        <v>196</v>
      </c>
      <c r="F213" s="23" t="s">
        <v>58</v>
      </c>
      <c r="G213" s="24">
        <f t="shared" si="156"/>
        <v>7375000</v>
      </c>
      <c r="H213" s="24">
        <f t="shared" si="156"/>
        <v>6547500</v>
      </c>
      <c r="I213" s="24">
        <f t="shared" si="156"/>
        <v>6547500</v>
      </c>
      <c r="J213" s="16">
        <f>'БА в тыс. руб.'!G213*1000</f>
        <v>7375000</v>
      </c>
      <c r="K213" s="169">
        <f t="shared" si="142"/>
        <v>0</v>
      </c>
      <c r="L213" s="16">
        <f>'БА в тыс. руб.'!H213*1000</f>
        <v>6547500</v>
      </c>
      <c r="M213" s="169">
        <f t="shared" si="143"/>
        <v>0</v>
      </c>
      <c r="N213" s="16">
        <f>'БА в тыс. руб.'!I213*1000</f>
        <v>6547500</v>
      </c>
      <c r="O213" s="169">
        <f t="shared" si="144"/>
        <v>0</v>
      </c>
      <c r="P213" s="16"/>
      <c r="Q213" s="16"/>
      <c r="R213" s="16"/>
      <c r="S213" s="16"/>
      <c r="T213" s="16"/>
      <c r="U213" s="16"/>
    </row>
    <row r="214" spans="1:21" s="3" customFormat="1" ht="25.5">
      <c r="A214" s="34" t="s">
        <v>747</v>
      </c>
      <c r="B214" s="25" t="s">
        <v>55</v>
      </c>
      <c r="C214" s="26" t="s">
        <v>37</v>
      </c>
      <c r="D214" s="26" t="s">
        <v>40</v>
      </c>
      <c r="E214" s="26" t="s">
        <v>215</v>
      </c>
      <c r="F214" s="26" t="s">
        <v>58</v>
      </c>
      <c r="G214" s="27">
        <f>G215+G229</f>
        <v>7375000</v>
      </c>
      <c r="H214" s="27">
        <f t="shared" ref="H214:I214" si="157">H215+H229</f>
        <v>6547500</v>
      </c>
      <c r="I214" s="27">
        <f t="shared" si="157"/>
        <v>6547500</v>
      </c>
      <c r="J214" s="16">
        <f>'БА в тыс. руб.'!G214*1000</f>
        <v>7375000</v>
      </c>
      <c r="K214" s="169">
        <f t="shared" si="142"/>
        <v>0</v>
      </c>
      <c r="L214" s="16">
        <f>'БА в тыс. руб.'!H214*1000</f>
        <v>6547500</v>
      </c>
      <c r="M214" s="169">
        <f t="shared" si="143"/>
        <v>0</v>
      </c>
      <c r="N214" s="16">
        <f>'БА в тыс. руб.'!I214*1000</f>
        <v>6547500</v>
      </c>
      <c r="O214" s="169">
        <f t="shared" si="144"/>
        <v>0</v>
      </c>
      <c r="P214" s="16"/>
      <c r="Q214" s="16"/>
      <c r="R214" s="16"/>
      <c r="S214" s="16"/>
      <c r="T214" s="16"/>
      <c r="U214" s="16"/>
    </row>
    <row r="215" spans="1:21" s="3" customFormat="1" ht="25.5">
      <c r="A215" s="34" t="s">
        <v>153</v>
      </c>
      <c r="B215" s="25" t="s">
        <v>55</v>
      </c>
      <c r="C215" s="26" t="s">
        <v>37</v>
      </c>
      <c r="D215" s="26" t="s">
        <v>40</v>
      </c>
      <c r="E215" s="26" t="s">
        <v>266</v>
      </c>
      <c r="F215" s="26" t="s">
        <v>58</v>
      </c>
      <c r="G215" s="27">
        <f>G216+G221+G225</f>
        <v>6600000</v>
      </c>
      <c r="H215" s="27">
        <f>H216+H221+H225</f>
        <v>5967000</v>
      </c>
      <c r="I215" s="27">
        <f>I216+I221+I225</f>
        <v>5967000</v>
      </c>
      <c r="J215" s="16">
        <f>'БА в тыс. руб.'!G215*1000</f>
        <v>6600000</v>
      </c>
      <c r="K215" s="169">
        <f t="shared" si="142"/>
        <v>0</v>
      </c>
      <c r="L215" s="16">
        <f>'БА в тыс. руб.'!H215*1000</f>
        <v>5967000</v>
      </c>
      <c r="M215" s="169">
        <f t="shared" si="143"/>
        <v>0</v>
      </c>
      <c r="N215" s="16">
        <f>'БА в тыс. руб.'!I215*1000</f>
        <v>5967000</v>
      </c>
      <c r="O215" s="169">
        <f t="shared" si="144"/>
        <v>0</v>
      </c>
      <c r="P215" s="16"/>
      <c r="Q215" s="16"/>
      <c r="R215" s="16"/>
      <c r="S215" s="16"/>
      <c r="T215" s="16"/>
      <c r="U215" s="16"/>
    </row>
    <row r="216" spans="1:21" s="3" customFormat="1" ht="25.5">
      <c r="A216" s="34" t="s">
        <v>586</v>
      </c>
      <c r="B216" s="25" t="s">
        <v>55</v>
      </c>
      <c r="C216" s="26" t="s">
        <v>37</v>
      </c>
      <c r="D216" s="26" t="s">
        <v>40</v>
      </c>
      <c r="E216" s="26" t="s">
        <v>267</v>
      </c>
      <c r="F216" s="26" t="s">
        <v>58</v>
      </c>
      <c r="G216" s="27">
        <f t="shared" ref="G216:I217" si="158">G217</f>
        <v>5000000</v>
      </c>
      <c r="H216" s="27">
        <f t="shared" si="158"/>
        <v>4410000</v>
      </c>
      <c r="I216" s="27">
        <f t="shared" si="158"/>
        <v>4410000</v>
      </c>
      <c r="J216" s="16">
        <f>'БА в тыс. руб.'!G216*1000</f>
        <v>5000000</v>
      </c>
      <c r="K216" s="169">
        <f t="shared" si="142"/>
        <v>0</v>
      </c>
      <c r="L216" s="16">
        <f>'БА в тыс. руб.'!H216*1000</f>
        <v>4410000</v>
      </c>
      <c r="M216" s="169">
        <f t="shared" si="143"/>
        <v>0</v>
      </c>
      <c r="N216" s="16">
        <f>'БА в тыс. руб.'!I216*1000</f>
        <v>4410000</v>
      </c>
      <c r="O216" s="169">
        <f t="shared" si="144"/>
        <v>0</v>
      </c>
      <c r="P216" s="16"/>
      <c r="Q216" s="16"/>
      <c r="R216" s="16"/>
      <c r="S216" s="16"/>
      <c r="T216" s="16"/>
      <c r="U216" s="16"/>
    </row>
    <row r="217" spans="1:21" s="3" customFormat="1" ht="38.25">
      <c r="A217" s="34" t="s">
        <v>268</v>
      </c>
      <c r="B217" s="25" t="s">
        <v>55</v>
      </c>
      <c r="C217" s="26" t="s">
        <v>37</v>
      </c>
      <c r="D217" s="26" t="s">
        <v>40</v>
      </c>
      <c r="E217" s="26" t="s">
        <v>269</v>
      </c>
      <c r="F217" s="26" t="s">
        <v>58</v>
      </c>
      <c r="G217" s="27">
        <f t="shared" si="158"/>
        <v>5000000</v>
      </c>
      <c r="H217" s="27">
        <f t="shared" si="158"/>
        <v>4410000</v>
      </c>
      <c r="I217" s="27">
        <f t="shared" si="158"/>
        <v>4410000</v>
      </c>
      <c r="J217" s="16">
        <f>'БА в тыс. руб.'!G217*1000</f>
        <v>5000000</v>
      </c>
      <c r="K217" s="169">
        <f t="shared" si="142"/>
        <v>0</v>
      </c>
      <c r="L217" s="16">
        <f>'БА в тыс. руб.'!H217*1000</f>
        <v>4410000</v>
      </c>
      <c r="M217" s="169">
        <f t="shared" si="143"/>
        <v>0</v>
      </c>
      <c r="N217" s="16">
        <f>'БА в тыс. руб.'!I217*1000</f>
        <v>4410000</v>
      </c>
      <c r="O217" s="169">
        <f t="shared" si="144"/>
        <v>0</v>
      </c>
      <c r="P217" s="16"/>
      <c r="Q217" s="16"/>
      <c r="R217" s="16"/>
      <c r="S217" s="16"/>
      <c r="T217" s="16"/>
      <c r="U217" s="16"/>
    </row>
    <row r="218" spans="1:21" s="3" customFormat="1" ht="38.25">
      <c r="A218" s="46" t="s">
        <v>561</v>
      </c>
      <c r="B218" s="25" t="s">
        <v>55</v>
      </c>
      <c r="C218" s="26" t="s">
        <v>37</v>
      </c>
      <c r="D218" s="26" t="s">
        <v>40</v>
      </c>
      <c r="E218" s="26" t="s">
        <v>269</v>
      </c>
      <c r="F218" s="26" t="s">
        <v>101</v>
      </c>
      <c r="G218" s="27">
        <f>SUM(G219:G220)</f>
        <v>5000000</v>
      </c>
      <c r="H218" s="27">
        <f t="shared" ref="H218:I218" si="159">SUM(H219:H220)</f>
        <v>4410000</v>
      </c>
      <c r="I218" s="27">
        <f t="shared" si="159"/>
        <v>4410000</v>
      </c>
      <c r="J218" s="16">
        <f>'БА в тыс. руб.'!G218*1000</f>
        <v>5000000</v>
      </c>
      <c r="K218" s="169">
        <f t="shared" si="142"/>
        <v>0</v>
      </c>
      <c r="L218" s="16">
        <f>'БА в тыс. руб.'!H218*1000</f>
        <v>4410000</v>
      </c>
      <c r="M218" s="169">
        <f t="shared" si="143"/>
        <v>0</v>
      </c>
      <c r="N218" s="16">
        <f>'БА в тыс. руб.'!I218*1000</f>
        <v>4410000</v>
      </c>
      <c r="O218" s="169">
        <f t="shared" si="144"/>
        <v>0</v>
      </c>
      <c r="P218" s="16"/>
      <c r="Q218" s="16"/>
      <c r="R218" s="16"/>
      <c r="S218" s="16"/>
      <c r="T218" s="16"/>
      <c r="U218" s="16"/>
    </row>
    <row r="219" spans="1:21" s="3" customFormat="1" ht="51">
      <c r="A219" s="12" t="s">
        <v>1047</v>
      </c>
      <c r="B219" s="25" t="s">
        <v>55</v>
      </c>
      <c r="C219" s="26" t="s">
        <v>37</v>
      </c>
      <c r="D219" s="26" t="s">
        <v>40</v>
      </c>
      <c r="E219" s="26" t="s">
        <v>269</v>
      </c>
      <c r="F219" s="26" t="s">
        <v>1050</v>
      </c>
      <c r="G219" s="27">
        <f t="shared" ref="G219:G220" si="160">J219</f>
        <v>2000000</v>
      </c>
      <c r="H219" s="27">
        <f t="shared" ref="H219:H220" si="161">L219</f>
        <v>1710000</v>
      </c>
      <c r="I219" s="27">
        <f t="shared" ref="I219:I220" si="162">N219</f>
        <v>2310000</v>
      </c>
      <c r="J219" s="16">
        <f>'БА в тыс. руб.'!G219*1000</f>
        <v>2000000</v>
      </c>
      <c r="K219" s="169"/>
      <c r="L219" s="16">
        <f>'БА в тыс. руб.'!H219*1000</f>
        <v>1710000</v>
      </c>
      <c r="M219" s="169"/>
      <c r="N219" s="16">
        <f>'БА в тыс. руб.'!I219*1000</f>
        <v>2310000</v>
      </c>
      <c r="O219" s="169"/>
      <c r="P219" s="16"/>
      <c r="Q219" s="16"/>
      <c r="R219" s="16"/>
      <c r="S219" s="16"/>
      <c r="T219" s="16"/>
      <c r="U219" s="16"/>
    </row>
    <row r="220" spans="1:21" s="4" customFormat="1" ht="76.5">
      <c r="A220" s="12" t="s">
        <v>1048</v>
      </c>
      <c r="B220" s="25" t="s">
        <v>55</v>
      </c>
      <c r="C220" s="26" t="s">
        <v>37</v>
      </c>
      <c r="D220" s="26" t="s">
        <v>40</v>
      </c>
      <c r="E220" s="26" t="s">
        <v>269</v>
      </c>
      <c r="F220" s="26" t="s">
        <v>1051</v>
      </c>
      <c r="G220" s="27">
        <f t="shared" si="160"/>
        <v>3000000</v>
      </c>
      <c r="H220" s="27">
        <f t="shared" si="161"/>
        <v>2700000</v>
      </c>
      <c r="I220" s="27">
        <f t="shared" si="162"/>
        <v>2100000</v>
      </c>
      <c r="J220" s="16">
        <f>'БА в тыс. руб.'!G220*1000</f>
        <v>3000000</v>
      </c>
      <c r="K220" s="169">
        <f t="shared" si="142"/>
        <v>0</v>
      </c>
      <c r="L220" s="16">
        <f>'БА в тыс. руб.'!H220*1000</f>
        <v>2700000</v>
      </c>
      <c r="M220" s="169">
        <f t="shared" si="143"/>
        <v>0</v>
      </c>
      <c r="N220" s="16">
        <f>'БА в тыс. руб.'!I220*1000</f>
        <v>2100000</v>
      </c>
      <c r="O220" s="169">
        <f t="shared" si="144"/>
        <v>0</v>
      </c>
      <c r="P220" s="16"/>
      <c r="Q220" s="16"/>
      <c r="R220" s="16"/>
      <c r="S220" s="16"/>
      <c r="T220" s="16"/>
      <c r="U220" s="16"/>
    </row>
    <row r="221" spans="1:21" s="3" customFormat="1" ht="38.25">
      <c r="A221" s="34" t="s">
        <v>270</v>
      </c>
      <c r="B221" s="25" t="s">
        <v>55</v>
      </c>
      <c r="C221" s="26" t="s">
        <v>37</v>
      </c>
      <c r="D221" s="26" t="s">
        <v>40</v>
      </c>
      <c r="E221" s="26" t="s">
        <v>271</v>
      </c>
      <c r="F221" s="26" t="s">
        <v>58</v>
      </c>
      <c r="G221" s="27">
        <f t="shared" ref="G221:I223" si="163">G222</f>
        <v>1150000</v>
      </c>
      <c r="H221" s="27">
        <f t="shared" si="163"/>
        <v>1150000</v>
      </c>
      <c r="I221" s="27">
        <f t="shared" si="163"/>
        <v>1150000</v>
      </c>
      <c r="J221" s="16">
        <f>'БА в тыс. руб.'!G221*1000</f>
        <v>1150000</v>
      </c>
      <c r="K221" s="169">
        <f t="shared" si="142"/>
        <v>0</v>
      </c>
      <c r="L221" s="16">
        <f>'БА в тыс. руб.'!H221*1000</f>
        <v>1150000</v>
      </c>
      <c r="M221" s="169">
        <f t="shared" si="143"/>
        <v>0</v>
      </c>
      <c r="N221" s="16">
        <f>'БА в тыс. руб.'!I221*1000</f>
        <v>1150000</v>
      </c>
      <c r="O221" s="169">
        <f t="shared" si="144"/>
        <v>0</v>
      </c>
      <c r="P221" s="16"/>
      <c r="Q221" s="16"/>
      <c r="R221" s="16"/>
      <c r="S221" s="16"/>
      <c r="T221" s="16"/>
      <c r="U221" s="16"/>
    </row>
    <row r="222" spans="1:21" s="3" customFormat="1" ht="38.25">
      <c r="A222" s="34" t="s">
        <v>874</v>
      </c>
      <c r="B222" s="25" t="s">
        <v>55</v>
      </c>
      <c r="C222" s="26" t="s">
        <v>37</v>
      </c>
      <c r="D222" s="26" t="s">
        <v>40</v>
      </c>
      <c r="E222" s="26" t="s">
        <v>272</v>
      </c>
      <c r="F222" s="26" t="s">
        <v>58</v>
      </c>
      <c r="G222" s="27">
        <f t="shared" si="163"/>
        <v>1150000</v>
      </c>
      <c r="H222" s="27">
        <f t="shared" si="163"/>
        <v>1150000</v>
      </c>
      <c r="I222" s="27">
        <f t="shared" si="163"/>
        <v>1150000</v>
      </c>
      <c r="J222" s="16">
        <f>'БА в тыс. руб.'!G222*1000</f>
        <v>1150000</v>
      </c>
      <c r="K222" s="169">
        <f t="shared" si="142"/>
        <v>0</v>
      </c>
      <c r="L222" s="16">
        <f>'БА в тыс. руб.'!H222*1000</f>
        <v>1150000</v>
      </c>
      <c r="M222" s="169">
        <f t="shared" si="143"/>
        <v>0</v>
      </c>
      <c r="N222" s="16">
        <f>'БА в тыс. руб.'!I222*1000</f>
        <v>1150000</v>
      </c>
      <c r="O222" s="169">
        <f t="shared" si="144"/>
        <v>0</v>
      </c>
      <c r="P222" s="16"/>
      <c r="Q222" s="16"/>
      <c r="R222" s="16"/>
      <c r="S222" s="16"/>
      <c r="T222" s="16"/>
      <c r="U222" s="16"/>
    </row>
    <row r="223" spans="1:21" s="3" customFormat="1" ht="25.5">
      <c r="A223" s="11" t="s">
        <v>108</v>
      </c>
      <c r="B223" s="25" t="s">
        <v>55</v>
      </c>
      <c r="C223" s="26" t="s">
        <v>37</v>
      </c>
      <c r="D223" s="26" t="s">
        <v>40</v>
      </c>
      <c r="E223" s="26" t="s">
        <v>272</v>
      </c>
      <c r="F223" s="26" t="s">
        <v>116</v>
      </c>
      <c r="G223" s="27">
        <f>G224</f>
        <v>1150000</v>
      </c>
      <c r="H223" s="27">
        <f t="shared" si="163"/>
        <v>1150000</v>
      </c>
      <c r="I223" s="27">
        <f t="shared" si="163"/>
        <v>1150000</v>
      </c>
      <c r="J223" s="16">
        <f>'БА в тыс. руб.'!G223*1000</f>
        <v>1150000</v>
      </c>
      <c r="K223" s="169">
        <f t="shared" si="142"/>
        <v>0</v>
      </c>
      <c r="L223" s="16">
        <f>'БА в тыс. руб.'!H223*1000</f>
        <v>1150000</v>
      </c>
      <c r="M223" s="169">
        <f t="shared" si="143"/>
        <v>0</v>
      </c>
      <c r="N223" s="16">
        <f>'БА в тыс. руб.'!I223*1000</f>
        <v>1150000</v>
      </c>
      <c r="O223" s="169">
        <f t="shared" si="144"/>
        <v>0</v>
      </c>
      <c r="P223" s="16"/>
      <c r="Q223" s="16"/>
      <c r="R223" s="16"/>
      <c r="S223" s="16"/>
      <c r="T223" s="16"/>
      <c r="U223" s="16"/>
    </row>
    <row r="224" spans="1:21" s="94" customFormat="1" ht="25.5">
      <c r="A224" s="12" t="s">
        <v>973</v>
      </c>
      <c r="B224" s="25" t="s">
        <v>55</v>
      </c>
      <c r="C224" s="26" t="s">
        <v>37</v>
      </c>
      <c r="D224" s="26" t="s">
        <v>40</v>
      </c>
      <c r="E224" s="26" t="s">
        <v>272</v>
      </c>
      <c r="F224" s="26" t="s">
        <v>1043</v>
      </c>
      <c r="G224" s="27">
        <f t="shared" ref="G224" si="164">J224</f>
        <v>1150000</v>
      </c>
      <c r="H224" s="27">
        <f>L224</f>
        <v>1150000</v>
      </c>
      <c r="I224" s="27">
        <f>N224</f>
        <v>1150000</v>
      </c>
      <c r="J224" s="16">
        <f>'БА в тыс. руб.'!G224*1000</f>
        <v>1150000</v>
      </c>
      <c r="K224" s="169">
        <f t="shared" si="142"/>
        <v>0</v>
      </c>
      <c r="L224" s="16">
        <f>'БА в тыс. руб.'!H224*1000</f>
        <v>1150000</v>
      </c>
      <c r="M224" s="169">
        <f t="shared" si="143"/>
        <v>0</v>
      </c>
      <c r="N224" s="16">
        <f>'БА в тыс. руб.'!I224*1000</f>
        <v>1150000</v>
      </c>
      <c r="O224" s="169">
        <f t="shared" si="144"/>
        <v>0</v>
      </c>
      <c r="P224" s="16"/>
      <c r="Q224" s="16"/>
      <c r="R224" s="16"/>
      <c r="S224" s="16"/>
      <c r="T224" s="16"/>
      <c r="U224" s="16"/>
    </row>
    <row r="225" spans="1:21" s="3" customFormat="1" ht="38.25">
      <c r="A225" s="34" t="s">
        <v>608</v>
      </c>
      <c r="B225" s="25" t="s">
        <v>55</v>
      </c>
      <c r="C225" s="26" t="s">
        <v>37</v>
      </c>
      <c r="D225" s="26" t="s">
        <v>40</v>
      </c>
      <c r="E225" s="26" t="s">
        <v>273</v>
      </c>
      <c r="F225" s="26" t="s">
        <v>58</v>
      </c>
      <c r="G225" s="27">
        <f t="shared" ref="G225:I227" si="165">G226</f>
        <v>450000</v>
      </c>
      <c r="H225" s="27">
        <f t="shared" si="165"/>
        <v>407000</v>
      </c>
      <c r="I225" s="27">
        <f t="shared" si="165"/>
        <v>407000</v>
      </c>
      <c r="J225" s="16">
        <f>'БА в тыс. руб.'!G225*1000</f>
        <v>450000</v>
      </c>
      <c r="K225" s="169">
        <f t="shared" si="142"/>
        <v>0</v>
      </c>
      <c r="L225" s="16">
        <f>'БА в тыс. руб.'!H225*1000</f>
        <v>407000</v>
      </c>
      <c r="M225" s="169">
        <f t="shared" si="143"/>
        <v>0</v>
      </c>
      <c r="N225" s="16">
        <f>'БА в тыс. руб.'!I225*1000</f>
        <v>407000</v>
      </c>
      <c r="O225" s="169">
        <f t="shared" si="144"/>
        <v>0</v>
      </c>
      <c r="P225" s="16"/>
      <c r="Q225" s="16"/>
      <c r="R225" s="16"/>
      <c r="S225" s="16"/>
      <c r="T225" s="16"/>
      <c r="U225" s="16"/>
    </row>
    <row r="226" spans="1:21" s="3" customFormat="1" ht="38.25">
      <c r="A226" s="34" t="s">
        <v>874</v>
      </c>
      <c r="B226" s="25" t="s">
        <v>55</v>
      </c>
      <c r="C226" s="26" t="s">
        <v>37</v>
      </c>
      <c r="D226" s="26" t="s">
        <v>40</v>
      </c>
      <c r="E226" s="26" t="s">
        <v>274</v>
      </c>
      <c r="F226" s="26" t="s">
        <v>58</v>
      </c>
      <c r="G226" s="27">
        <f t="shared" si="165"/>
        <v>450000</v>
      </c>
      <c r="H226" s="27">
        <f t="shared" si="165"/>
        <v>407000</v>
      </c>
      <c r="I226" s="27">
        <f t="shared" si="165"/>
        <v>407000</v>
      </c>
      <c r="J226" s="16">
        <f>'БА в тыс. руб.'!G226*1000</f>
        <v>450000</v>
      </c>
      <c r="K226" s="169">
        <f t="shared" si="142"/>
        <v>0</v>
      </c>
      <c r="L226" s="16">
        <f>'БА в тыс. руб.'!H226*1000</f>
        <v>407000</v>
      </c>
      <c r="M226" s="169">
        <f t="shared" si="143"/>
        <v>0</v>
      </c>
      <c r="N226" s="16">
        <f>'БА в тыс. руб.'!I226*1000</f>
        <v>407000</v>
      </c>
      <c r="O226" s="169">
        <f t="shared" si="144"/>
        <v>0</v>
      </c>
      <c r="P226" s="16"/>
      <c r="Q226" s="16"/>
      <c r="R226" s="16"/>
      <c r="S226" s="16"/>
      <c r="T226" s="16"/>
      <c r="U226" s="16"/>
    </row>
    <row r="227" spans="1:21" s="3" customFormat="1" ht="31.9" customHeight="1">
      <c r="A227" s="11" t="s">
        <v>108</v>
      </c>
      <c r="B227" s="25" t="s">
        <v>55</v>
      </c>
      <c r="C227" s="26" t="s">
        <v>37</v>
      </c>
      <c r="D227" s="26" t="s">
        <v>40</v>
      </c>
      <c r="E227" s="26" t="s">
        <v>274</v>
      </c>
      <c r="F227" s="26" t="s">
        <v>116</v>
      </c>
      <c r="G227" s="27">
        <f>G228</f>
        <v>450000</v>
      </c>
      <c r="H227" s="27">
        <f t="shared" si="165"/>
        <v>407000</v>
      </c>
      <c r="I227" s="27">
        <f t="shared" si="165"/>
        <v>407000</v>
      </c>
      <c r="J227" s="16">
        <f>'БА в тыс. руб.'!G227*1000</f>
        <v>450000</v>
      </c>
      <c r="K227" s="169">
        <f t="shared" si="142"/>
        <v>0</v>
      </c>
      <c r="L227" s="16">
        <f>'БА в тыс. руб.'!H227*1000</f>
        <v>407000</v>
      </c>
      <c r="M227" s="169">
        <f t="shared" si="143"/>
        <v>0</v>
      </c>
      <c r="N227" s="16">
        <f>'БА в тыс. руб.'!I227*1000</f>
        <v>407000</v>
      </c>
      <c r="O227" s="169">
        <f t="shared" si="144"/>
        <v>0</v>
      </c>
      <c r="P227" s="16"/>
      <c r="Q227" s="16"/>
      <c r="R227" s="16"/>
      <c r="S227" s="16"/>
      <c r="T227" s="16"/>
      <c r="U227" s="16"/>
    </row>
    <row r="228" spans="1:21" s="4" customFormat="1" ht="25.5">
      <c r="A228" s="12" t="s">
        <v>973</v>
      </c>
      <c r="B228" s="25" t="s">
        <v>55</v>
      </c>
      <c r="C228" s="26" t="s">
        <v>37</v>
      </c>
      <c r="D228" s="26" t="s">
        <v>40</v>
      </c>
      <c r="E228" s="26" t="s">
        <v>274</v>
      </c>
      <c r="F228" s="26" t="s">
        <v>1043</v>
      </c>
      <c r="G228" s="27">
        <f t="shared" ref="G228" si="166">J228</f>
        <v>450000</v>
      </c>
      <c r="H228" s="27">
        <f>L228</f>
        <v>407000</v>
      </c>
      <c r="I228" s="27">
        <f>N228</f>
        <v>407000</v>
      </c>
      <c r="J228" s="16">
        <f>'БА в тыс. руб.'!G228*1000</f>
        <v>450000</v>
      </c>
      <c r="K228" s="169">
        <f t="shared" si="142"/>
        <v>0</v>
      </c>
      <c r="L228" s="16">
        <f>'БА в тыс. руб.'!H228*1000</f>
        <v>407000</v>
      </c>
      <c r="M228" s="169">
        <f t="shared" si="143"/>
        <v>0</v>
      </c>
      <c r="N228" s="16">
        <f>'БА в тыс. руб.'!I228*1000</f>
        <v>407000</v>
      </c>
      <c r="O228" s="169">
        <f t="shared" si="144"/>
        <v>0</v>
      </c>
      <c r="P228" s="16"/>
      <c r="Q228" s="16"/>
      <c r="R228" s="16"/>
      <c r="S228" s="16"/>
      <c r="T228" s="16"/>
      <c r="U228" s="16"/>
    </row>
    <row r="229" spans="1:21" s="3" customFormat="1" ht="25.5">
      <c r="A229" s="11" t="s">
        <v>765</v>
      </c>
      <c r="B229" s="25" t="s">
        <v>55</v>
      </c>
      <c r="C229" s="26" t="s">
        <v>37</v>
      </c>
      <c r="D229" s="26" t="s">
        <v>40</v>
      </c>
      <c r="E229" s="26" t="s">
        <v>216</v>
      </c>
      <c r="F229" s="26" t="s">
        <v>58</v>
      </c>
      <c r="G229" s="27">
        <f>G234+G230</f>
        <v>775000</v>
      </c>
      <c r="H229" s="27">
        <f t="shared" ref="H229:I229" si="167">H234+H230</f>
        <v>580500</v>
      </c>
      <c r="I229" s="27">
        <f t="shared" si="167"/>
        <v>580500</v>
      </c>
      <c r="J229" s="16">
        <f>'БА в тыс. руб.'!G229*1000</f>
        <v>775000</v>
      </c>
      <c r="K229" s="169">
        <f t="shared" si="142"/>
        <v>0</v>
      </c>
      <c r="L229" s="16">
        <f>'БА в тыс. руб.'!H229*1000</f>
        <v>580500</v>
      </c>
      <c r="M229" s="169">
        <f t="shared" si="143"/>
        <v>0</v>
      </c>
      <c r="N229" s="16">
        <f>'БА в тыс. руб.'!I229*1000</f>
        <v>580500</v>
      </c>
      <c r="O229" s="169">
        <f t="shared" si="144"/>
        <v>0</v>
      </c>
      <c r="P229" s="16"/>
      <c r="Q229" s="16"/>
      <c r="R229" s="16"/>
      <c r="S229" s="16"/>
      <c r="T229" s="16"/>
      <c r="U229" s="16"/>
    </row>
    <row r="230" spans="1:21" s="3" customFormat="1" ht="25.5">
      <c r="A230" s="34" t="s">
        <v>847</v>
      </c>
      <c r="B230" s="25" t="s">
        <v>55</v>
      </c>
      <c r="C230" s="26" t="s">
        <v>37</v>
      </c>
      <c r="D230" s="26" t="s">
        <v>40</v>
      </c>
      <c r="E230" s="26" t="s">
        <v>777</v>
      </c>
      <c r="F230" s="26" t="s">
        <v>58</v>
      </c>
      <c r="G230" s="27">
        <f>G231</f>
        <v>280000</v>
      </c>
      <c r="H230" s="27">
        <f t="shared" ref="H230:I232" si="168">H231</f>
        <v>252000</v>
      </c>
      <c r="I230" s="27">
        <f t="shared" si="168"/>
        <v>252000</v>
      </c>
      <c r="J230" s="16">
        <f>'БА в тыс. руб.'!G230*1000</f>
        <v>280000</v>
      </c>
      <c r="K230" s="169">
        <f t="shared" si="142"/>
        <v>0</v>
      </c>
      <c r="L230" s="16">
        <f>'БА в тыс. руб.'!H230*1000</f>
        <v>252000</v>
      </c>
      <c r="M230" s="169">
        <f t="shared" si="143"/>
        <v>0</v>
      </c>
      <c r="N230" s="16">
        <f>'БА в тыс. руб.'!I230*1000</f>
        <v>252000</v>
      </c>
      <c r="O230" s="169">
        <f t="shared" si="144"/>
        <v>0</v>
      </c>
      <c r="P230" s="16"/>
      <c r="Q230" s="16"/>
      <c r="R230" s="16"/>
      <c r="S230" s="16"/>
      <c r="T230" s="16"/>
      <c r="U230" s="16"/>
    </row>
    <row r="231" spans="1:21" s="3" customFormat="1" ht="25.5">
      <c r="A231" s="34" t="s">
        <v>875</v>
      </c>
      <c r="B231" s="25" t="s">
        <v>55</v>
      </c>
      <c r="C231" s="26" t="s">
        <v>37</v>
      </c>
      <c r="D231" s="26" t="s">
        <v>40</v>
      </c>
      <c r="E231" s="26" t="s">
        <v>778</v>
      </c>
      <c r="F231" s="26" t="s">
        <v>58</v>
      </c>
      <c r="G231" s="27">
        <f>G232</f>
        <v>280000</v>
      </c>
      <c r="H231" s="27">
        <f t="shared" si="168"/>
        <v>252000</v>
      </c>
      <c r="I231" s="27">
        <f t="shared" si="168"/>
        <v>252000</v>
      </c>
      <c r="J231" s="16">
        <f>'БА в тыс. руб.'!G231*1000</f>
        <v>280000</v>
      </c>
      <c r="K231" s="169">
        <f t="shared" si="142"/>
        <v>0</v>
      </c>
      <c r="L231" s="16">
        <f>'БА в тыс. руб.'!H231*1000</f>
        <v>252000</v>
      </c>
      <c r="M231" s="169">
        <f t="shared" si="143"/>
        <v>0</v>
      </c>
      <c r="N231" s="16">
        <f>'БА в тыс. руб.'!I231*1000</f>
        <v>252000</v>
      </c>
      <c r="O231" s="169">
        <f t="shared" si="144"/>
        <v>0</v>
      </c>
      <c r="P231" s="16"/>
      <c r="Q231" s="16"/>
      <c r="R231" s="16"/>
      <c r="S231" s="16"/>
      <c r="T231" s="16"/>
      <c r="U231" s="16"/>
    </row>
    <row r="232" spans="1:21" s="3" customFormat="1" ht="25.5">
      <c r="A232" s="11" t="s">
        <v>108</v>
      </c>
      <c r="B232" s="25" t="s">
        <v>55</v>
      </c>
      <c r="C232" s="26" t="s">
        <v>37</v>
      </c>
      <c r="D232" s="26" t="s">
        <v>40</v>
      </c>
      <c r="E232" s="26" t="s">
        <v>778</v>
      </c>
      <c r="F232" s="26" t="s">
        <v>116</v>
      </c>
      <c r="G232" s="27">
        <f>G233</f>
        <v>280000</v>
      </c>
      <c r="H232" s="27">
        <f t="shared" si="168"/>
        <v>252000</v>
      </c>
      <c r="I232" s="27">
        <f t="shared" si="168"/>
        <v>252000</v>
      </c>
      <c r="J232" s="16">
        <f>'БА в тыс. руб.'!G232*1000</f>
        <v>280000</v>
      </c>
      <c r="K232" s="169">
        <f t="shared" si="142"/>
        <v>0</v>
      </c>
      <c r="L232" s="16">
        <f>'БА в тыс. руб.'!H232*1000</f>
        <v>252000</v>
      </c>
      <c r="M232" s="169">
        <f t="shared" si="143"/>
        <v>0</v>
      </c>
      <c r="N232" s="16">
        <f>'БА в тыс. руб.'!I232*1000</f>
        <v>252000</v>
      </c>
      <c r="O232" s="169">
        <f t="shared" si="144"/>
        <v>0</v>
      </c>
      <c r="P232" s="16"/>
      <c r="Q232" s="16"/>
      <c r="R232" s="16"/>
      <c r="S232" s="16"/>
      <c r="T232" s="16"/>
      <c r="U232" s="16"/>
    </row>
    <row r="233" spans="1:21" s="4" customFormat="1" ht="25.5">
      <c r="A233" s="12" t="s">
        <v>973</v>
      </c>
      <c r="B233" s="25" t="s">
        <v>55</v>
      </c>
      <c r="C233" s="26" t="s">
        <v>37</v>
      </c>
      <c r="D233" s="26" t="s">
        <v>40</v>
      </c>
      <c r="E233" s="26" t="s">
        <v>778</v>
      </c>
      <c r="F233" s="26" t="s">
        <v>1043</v>
      </c>
      <c r="G233" s="27">
        <f t="shared" ref="G233" si="169">J233</f>
        <v>280000</v>
      </c>
      <c r="H233" s="27">
        <f>L233</f>
        <v>252000</v>
      </c>
      <c r="I233" s="27">
        <f>N233</f>
        <v>252000</v>
      </c>
      <c r="J233" s="16">
        <f>'БА в тыс. руб.'!G233*1000</f>
        <v>280000</v>
      </c>
      <c r="K233" s="169">
        <f t="shared" si="142"/>
        <v>0</v>
      </c>
      <c r="L233" s="16">
        <f>'БА в тыс. руб.'!H233*1000</f>
        <v>252000</v>
      </c>
      <c r="M233" s="169">
        <f t="shared" si="143"/>
        <v>0</v>
      </c>
      <c r="N233" s="16">
        <f>'БА в тыс. руб.'!I233*1000</f>
        <v>252000</v>
      </c>
      <c r="O233" s="169">
        <f t="shared" si="144"/>
        <v>0</v>
      </c>
      <c r="P233" s="16"/>
      <c r="Q233" s="16"/>
      <c r="R233" s="16"/>
      <c r="S233" s="16"/>
      <c r="T233" s="16"/>
      <c r="U233" s="16"/>
    </row>
    <row r="234" spans="1:21" s="3" customFormat="1" ht="25.5">
      <c r="A234" s="11" t="s">
        <v>851</v>
      </c>
      <c r="B234" s="25" t="s">
        <v>55</v>
      </c>
      <c r="C234" s="26" t="s">
        <v>37</v>
      </c>
      <c r="D234" s="26" t="s">
        <v>40</v>
      </c>
      <c r="E234" s="26" t="s">
        <v>275</v>
      </c>
      <c r="F234" s="26" t="s">
        <v>58</v>
      </c>
      <c r="G234" s="27">
        <f t="shared" ref="G234:I234" si="170">G235</f>
        <v>495000</v>
      </c>
      <c r="H234" s="27">
        <f t="shared" si="170"/>
        <v>328500</v>
      </c>
      <c r="I234" s="27">
        <f t="shared" si="170"/>
        <v>328500</v>
      </c>
      <c r="J234" s="16">
        <f>'БА в тыс. руб.'!G234*1000</f>
        <v>495000</v>
      </c>
      <c r="K234" s="169">
        <f t="shared" si="142"/>
        <v>0</v>
      </c>
      <c r="L234" s="16">
        <f>'БА в тыс. руб.'!H234*1000</f>
        <v>328500</v>
      </c>
      <c r="M234" s="169">
        <f t="shared" si="143"/>
        <v>0</v>
      </c>
      <c r="N234" s="16">
        <f>'БА в тыс. руб.'!I234*1000</f>
        <v>328500</v>
      </c>
      <c r="O234" s="169">
        <f t="shared" si="144"/>
        <v>0</v>
      </c>
      <c r="P234" s="16"/>
      <c r="Q234" s="16"/>
      <c r="R234" s="16"/>
      <c r="S234" s="16"/>
      <c r="T234" s="16"/>
      <c r="U234" s="16"/>
    </row>
    <row r="235" spans="1:21" s="3" customFormat="1" ht="38.25">
      <c r="A235" s="34" t="s">
        <v>876</v>
      </c>
      <c r="B235" s="25" t="s">
        <v>55</v>
      </c>
      <c r="C235" s="26" t="s">
        <v>37</v>
      </c>
      <c r="D235" s="26" t="s">
        <v>40</v>
      </c>
      <c r="E235" s="26" t="s">
        <v>276</v>
      </c>
      <c r="F235" s="26" t="s">
        <v>58</v>
      </c>
      <c r="G235" s="27">
        <f>G236+G238</f>
        <v>495000</v>
      </c>
      <c r="H235" s="27">
        <f t="shared" ref="H235:I235" si="171">H236+H238</f>
        <v>328500</v>
      </c>
      <c r="I235" s="27">
        <f t="shared" si="171"/>
        <v>328500</v>
      </c>
      <c r="J235" s="16">
        <f>'БА в тыс. руб.'!G235*1000</f>
        <v>495000</v>
      </c>
      <c r="K235" s="169">
        <f t="shared" si="142"/>
        <v>0</v>
      </c>
      <c r="L235" s="16">
        <f>'БА в тыс. руб.'!H235*1000</f>
        <v>328500</v>
      </c>
      <c r="M235" s="169">
        <f t="shared" si="143"/>
        <v>0</v>
      </c>
      <c r="N235" s="16">
        <f>'БА в тыс. руб.'!I235*1000</f>
        <v>328500</v>
      </c>
      <c r="O235" s="169">
        <f t="shared" si="144"/>
        <v>0</v>
      </c>
      <c r="P235" s="16"/>
      <c r="Q235" s="16"/>
      <c r="R235" s="16"/>
      <c r="S235" s="16"/>
      <c r="T235" s="16"/>
      <c r="U235" s="16"/>
    </row>
    <row r="236" spans="1:21" s="3" customFormat="1" ht="25.5">
      <c r="A236" s="11" t="s">
        <v>108</v>
      </c>
      <c r="B236" s="25" t="s">
        <v>55</v>
      </c>
      <c r="C236" s="26" t="s">
        <v>37</v>
      </c>
      <c r="D236" s="26" t="s">
        <v>40</v>
      </c>
      <c r="E236" s="26" t="s">
        <v>276</v>
      </c>
      <c r="F236" s="26" t="s">
        <v>116</v>
      </c>
      <c r="G236" s="27">
        <f>G237</f>
        <v>395000</v>
      </c>
      <c r="H236" s="27">
        <f t="shared" ref="H236:I236" si="172">H237</f>
        <v>328500</v>
      </c>
      <c r="I236" s="27">
        <f t="shared" si="172"/>
        <v>328500</v>
      </c>
      <c r="J236" s="16">
        <f>'БА в тыс. руб.'!G236*1000</f>
        <v>395000</v>
      </c>
      <c r="K236" s="169">
        <f t="shared" si="142"/>
        <v>0</v>
      </c>
      <c r="L236" s="16">
        <f>'БА в тыс. руб.'!H236*1000</f>
        <v>328500</v>
      </c>
      <c r="M236" s="169">
        <f t="shared" si="143"/>
        <v>0</v>
      </c>
      <c r="N236" s="16">
        <f>'БА в тыс. руб.'!I236*1000</f>
        <v>328500</v>
      </c>
      <c r="O236" s="169">
        <f t="shared" si="144"/>
        <v>0</v>
      </c>
      <c r="P236" s="16"/>
      <c r="Q236" s="16"/>
      <c r="R236" s="16"/>
      <c r="S236" s="16"/>
      <c r="T236" s="16"/>
      <c r="U236" s="16"/>
    </row>
    <row r="237" spans="1:21" s="4" customFormat="1" ht="25.5">
      <c r="A237" s="12" t="s">
        <v>973</v>
      </c>
      <c r="B237" s="25" t="s">
        <v>55</v>
      </c>
      <c r="C237" s="26" t="s">
        <v>37</v>
      </c>
      <c r="D237" s="26" t="s">
        <v>40</v>
      </c>
      <c r="E237" s="26" t="s">
        <v>276</v>
      </c>
      <c r="F237" s="26" t="s">
        <v>1043</v>
      </c>
      <c r="G237" s="27">
        <f t="shared" ref="G237:G238" si="173">J237</f>
        <v>395000</v>
      </c>
      <c r="H237" s="27">
        <f t="shared" ref="H237:H238" si="174">L237</f>
        <v>328500</v>
      </c>
      <c r="I237" s="27">
        <f t="shared" ref="I237:I238" si="175">N237</f>
        <v>328500</v>
      </c>
      <c r="J237" s="16">
        <f>'БА в тыс. руб.'!G237*1000</f>
        <v>395000</v>
      </c>
      <c r="K237" s="169">
        <f t="shared" si="142"/>
        <v>0</v>
      </c>
      <c r="L237" s="16">
        <f>'БА в тыс. руб.'!H237*1000</f>
        <v>328500</v>
      </c>
      <c r="M237" s="169">
        <f t="shared" si="143"/>
        <v>0</v>
      </c>
      <c r="N237" s="16">
        <f>'БА в тыс. руб.'!I237*1000</f>
        <v>328500</v>
      </c>
      <c r="O237" s="169">
        <f t="shared" si="144"/>
        <v>0</v>
      </c>
      <c r="P237" s="16"/>
      <c r="Q237" s="16"/>
      <c r="R237" s="16"/>
      <c r="S237" s="16"/>
      <c r="T237" s="16"/>
      <c r="U237" s="16"/>
    </row>
    <row r="238" spans="1:21" s="3" customFormat="1">
      <c r="A238" s="11" t="s">
        <v>99</v>
      </c>
      <c r="B238" s="25" t="s">
        <v>55</v>
      </c>
      <c r="C238" s="26" t="s">
        <v>37</v>
      </c>
      <c r="D238" s="26" t="s">
        <v>40</v>
      </c>
      <c r="E238" s="26" t="s">
        <v>276</v>
      </c>
      <c r="F238" s="26" t="s">
        <v>105</v>
      </c>
      <c r="G238" s="27">
        <f t="shared" si="173"/>
        <v>100000</v>
      </c>
      <c r="H238" s="27">
        <f t="shared" si="174"/>
        <v>0</v>
      </c>
      <c r="I238" s="27">
        <f t="shared" si="175"/>
        <v>0</v>
      </c>
      <c r="J238" s="16">
        <f>'БА в тыс. руб.'!G238*1000</f>
        <v>100000</v>
      </c>
      <c r="K238" s="169">
        <f t="shared" si="142"/>
        <v>0</v>
      </c>
      <c r="L238" s="16">
        <f>'БА в тыс. руб.'!H238*1000</f>
        <v>0</v>
      </c>
      <c r="M238" s="169">
        <f t="shared" si="143"/>
        <v>0</v>
      </c>
      <c r="N238" s="16">
        <f>'БА в тыс. руб.'!I238*1000</f>
        <v>0</v>
      </c>
      <c r="O238" s="169">
        <f t="shared" si="144"/>
        <v>0</v>
      </c>
      <c r="P238" s="16"/>
      <c r="Q238" s="16"/>
      <c r="R238" s="16"/>
      <c r="S238" s="16"/>
      <c r="T238" s="16"/>
      <c r="U238" s="16"/>
    </row>
    <row r="239" spans="1:21" s="3" customFormat="1">
      <c r="A239" s="17" t="s">
        <v>70</v>
      </c>
      <c r="B239" s="18" t="s">
        <v>55</v>
      </c>
      <c r="C239" s="19" t="s">
        <v>71</v>
      </c>
      <c r="D239" s="19" t="s">
        <v>51</v>
      </c>
      <c r="E239" s="19" t="s">
        <v>196</v>
      </c>
      <c r="F239" s="19" t="s">
        <v>58</v>
      </c>
      <c r="G239" s="20">
        <f t="shared" ref="G239:I244" si="176">G240</f>
        <v>160000</v>
      </c>
      <c r="H239" s="20">
        <f t="shared" si="176"/>
        <v>160000</v>
      </c>
      <c r="I239" s="20">
        <f t="shared" si="176"/>
        <v>160000</v>
      </c>
      <c r="J239" s="16">
        <f>'БА в тыс. руб.'!G239*1000</f>
        <v>160000</v>
      </c>
      <c r="K239" s="169">
        <f t="shared" si="142"/>
        <v>0</v>
      </c>
      <c r="L239" s="16">
        <f>'БА в тыс. руб.'!H239*1000</f>
        <v>160000</v>
      </c>
      <c r="M239" s="169">
        <f t="shared" si="143"/>
        <v>0</v>
      </c>
      <c r="N239" s="16">
        <f>'БА в тыс. руб.'!I239*1000</f>
        <v>160000</v>
      </c>
      <c r="O239" s="169">
        <f t="shared" si="144"/>
        <v>0</v>
      </c>
      <c r="P239" s="16"/>
      <c r="Q239" s="16"/>
      <c r="R239" s="16"/>
      <c r="S239" s="16"/>
      <c r="T239" s="16"/>
      <c r="U239" s="16"/>
    </row>
    <row r="240" spans="1:21" s="3" customFormat="1" ht="25.5">
      <c r="A240" s="21" t="s">
        <v>664</v>
      </c>
      <c r="B240" s="22" t="s">
        <v>55</v>
      </c>
      <c r="C240" s="23" t="s">
        <v>71</v>
      </c>
      <c r="D240" s="23" t="s">
        <v>8</v>
      </c>
      <c r="E240" s="23" t="s">
        <v>196</v>
      </c>
      <c r="F240" s="23" t="s">
        <v>58</v>
      </c>
      <c r="G240" s="24">
        <f t="shared" si="176"/>
        <v>160000</v>
      </c>
      <c r="H240" s="24">
        <f t="shared" si="176"/>
        <v>160000</v>
      </c>
      <c r="I240" s="24">
        <f t="shared" si="176"/>
        <v>160000</v>
      </c>
      <c r="J240" s="16">
        <f>'БА в тыс. руб.'!G240*1000</f>
        <v>160000</v>
      </c>
      <c r="K240" s="169">
        <f t="shared" si="142"/>
        <v>0</v>
      </c>
      <c r="L240" s="16">
        <f>'БА в тыс. руб.'!H240*1000</f>
        <v>160000</v>
      </c>
      <c r="M240" s="169">
        <f t="shared" si="143"/>
        <v>0</v>
      </c>
      <c r="N240" s="16">
        <f>'БА в тыс. руб.'!I240*1000</f>
        <v>160000</v>
      </c>
      <c r="O240" s="169">
        <f t="shared" si="144"/>
        <v>0</v>
      </c>
      <c r="P240" s="16"/>
      <c r="Q240" s="16"/>
      <c r="R240" s="16"/>
      <c r="S240" s="16"/>
      <c r="T240" s="16"/>
      <c r="U240" s="16"/>
    </row>
    <row r="241" spans="1:21" s="3" customFormat="1" ht="25.5">
      <c r="A241" s="34" t="s">
        <v>748</v>
      </c>
      <c r="B241" s="25" t="s">
        <v>55</v>
      </c>
      <c r="C241" s="26" t="s">
        <v>71</v>
      </c>
      <c r="D241" s="26" t="s">
        <v>8</v>
      </c>
      <c r="E241" s="26" t="s">
        <v>220</v>
      </c>
      <c r="F241" s="26" t="s">
        <v>58</v>
      </c>
      <c r="G241" s="27">
        <f t="shared" si="176"/>
        <v>160000</v>
      </c>
      <c r="H241" s="27">
        <f t="shared" si="176"/>
        <v>160000</v>
      </c>
      <c r="I241" s="27">
        <f t="shared" si="176"/>
        <v>160000</v>
      </c>
      <c r="J241" s="16">
        <f>'БА в тыс. руб.'!G241*1000</f>
        <v>160000</v>
      </c>
      <c r="K241" s="169">
        <f t="shared" si="142"/>
        <v>0</v>
      </c>
      <c r="L241" s="16">
        <f>'БА в тыс. руб.'!H241*1000</f>
        <v>160000</v>
      </c>
      <c r="M241" s="169">
        <f t="shared" si="143"/>
        <v>0</v>
      </c>
      <c r="N241" s="16">
        <f>'БА в тыс. руб.'!I241*1000</f>
        <v>160000</v>
      </c>
      <c r="O241" s="169">
        <f t="shared" si="144"/>
        <v>0</v>
      </c>
      <c r="P241" s="16"/>
      <c r="Q241" s="16"/>
      <c r="R241" s="16"/>
      <c r="S241" s="16"/>
      <c r="T241" s="16"/>
      <c r="U241" s="16"/>
    </row>
    <row r="242" spans="1:21" s="3" customFormat="1" ht="25.5">
      <c r="A242" s="34" t="s">
        <v>749</v>
      </c>
      <c r="B242" s="25" t="s">
        <v>55</v>
      </c>
      <c r="C242" s="26" t="s">
        <v>71</v>
      </c>
      <c r="D242" s="26" t="s">
        <v>8</v>
      </c>
      <c r="E242" s="26" t="s">
        <v>221</v>
      </c>
      <c r="F242" s="26" t="s">
        <v>58</v>
      </c>
      <c r="G242" s="27">
        <f t="shared" si="176"/>
        <v>160000</v>
      </c>
      <c r="H242" s="27">
        <f t="shared" si="176"/>
        <v>160000</v>
      </c>
      <c r="I242" s="27">
        <f t="shared" si="176"/>
        <v>160000</v>
      </c>
      <c r="J242" s="16">
        <f>'БА в тыс. руб.'!G242*1000</f>
        <v>160000</v>
      </c>
      <c r="K242" s="169">
        <f t="shared" si="142"/>
        <v>0</v>
      </c>
      <c r="L242" s="16">
        <f>'БА в тыс. руб.'!H242*1000</f>
        <v>160000</v>
      </c>
      <c r="M242" s="169">
        <f t="shared" si="143"/>
        <v>0</v>
      </c>
      <c r="N242" s="16">
        <f>'БА в тыс. руб.'!I242*1000</f>
        <v>160000</v>
      </c>
      <c r="O242" s="169">
        <f t="shared" si="144"/>
        <v>0</v>
      </c>
      <c r="P242" s="16"/>
      <c r="Q242" s="16"/>
      <c r="R242" s="16"/>
      <c r="S242" s="16"/>
      <c r="T242" s="16"/>
      <c r="U242" s="16"/>
    </row>
    <row r="243" spans="1:21" s="3" customFormat="1" ht="38.25">
      <c r="A243" s="34" t="s">
        <v>222</v>
      </c>
      <c r="B243" s="25" t="s">
        <v>55</v>
      </c>
      <c r="C243" s="26" t="s">
        <v>71</v>
      </c>
      <c r="D243" s="26" t="s">
        <v>8</v>
      </c>
      <c r="E243" s="26" t="s">
        <v>223</v>
      </c>
      <c r="F243" s="26" t="s">
        <v>58</v>
      </c>
      <c r="G243" s="27">
        <f t="shared" si="176"/>
        <v>160000</v>
      </c>
      <c r="H243" s="27">
        <f t="shared" si="176"/>
        <v>160000</v>
      </c>
      <c r="I243" s="27">
        <f t="shared" si="176"/>
        <v>160000</v>
      </c>
      <c r="J243" s="16">
        <f>'БА в тыс. руб.'!G243*1000</f>
        <v>160000</v>
      </c>
      <c r="K243" s="169">
        <f t="shared" si="142"/>
        <v>0</v>
      </c>
      <c r="L243" s="16">
        <f>'БА в тыс. руб.'!H243*1000</f>
        <v>160000</v>
      </c>
      <c r="M243" s="169">
        <f t="shared" si="143"/>
        <v>0</v>
      </c>
      <c r="N243" s="16">
        <f>'БА в тыс. руб.'!I243*1000</f>
        <v>160000</v>
      </c>
      <c r="O243" s="169">
        <f t="shared" si="144"/>
        <v>0</v>
      </c>
      <c r="P243" s="16"/>
      <c r="Q243" s="16"/>
      <c r="R243" s="16"/>
      <c r="S243" s="16"/>
      <c r="T243" s="16"/>
      <c r="U243" s="16"/>
    </row>
    <row r="244" spans="1:21" s="3" customFormat="1" ht="25.5">
      <c r="A244" s="34" t="s">
        <v>877</v>
      </c>
      <c r="B244" s="25" t="s">
        <v>55</v>
      </c>
      <c r="C244" s="26" t="s">
        <v>71</v>
      </c>
      <c r="D244" s="26" t="s">
        <v>8</v>
      </c>
      <c r="E244" s="26" t="s">
        <v>224</v>
      </c>
      <c r="F244" s="26" t="s">
        <v>58</v>
      </c>
      <c r="G244" s="27">
        <f t="shared" si="176"/>
        <v>160000</v>
      </c>
      <c r="H244" s="27">
        <f t="shared" si="176"/>
        <v>160000</v>
      </c>
      <c r="I244" s="27">
        <f t="shared" si="176"/>
        <v>160000</v>
      </c>
      <c r="J244" s="16">
        <f>'БА в тыс. руб.'!G244*1000</f>
        <v>160000</v>
      </c>
      <c r="K244" s="169">
        <f t="shared" si="142"/>
        <v>0</v>
      </c>
      <c r="L244" s="16">
        <f>'БА в тыс. руб.'!H244*1000</f>
        <v>160000</v>
      </c>
      <c r="M244" s="169">
        <f t="shared" si="143"/>
        <v>0</v>
      </c>
      <c r="N244" s="16">
        <f>'БА в тыс. руб.'!I244*1000</f>
        <v>160000</v>
      </c>
      <c r="O244" s="169">
        <f t="shared" si="144"/>
        <v>0</v>
      </c>
      <c r="P244" s="16"/>
      <c r="Q244" s="16"/>
      <c r="R244" s="16"/>
      <c r="S244" s="16"/>
      <c r="T244" s="16"/>
      <c r="U244" s="16"/>
    </row>
    <row r="245" spans="1:21" s="3" customFormat="1" ht="25.5">
      <c r="A245" s="11" t="s">
        <v>108</v>
      </c>
      <c r="B245" s="25" t="s">
        <v>55</v>
      </c>
      <c r="C245" s="26" t="s">
        <v>71</v>
      </c>
      <c r="D245" s="26" t="s">
        <v>8</v>
      </c>
      <c r="E245" s="26" t="s">
        <v>224</v>
      </c>
      <c r="F245" s="26" t="s">
        <v>116</v>
      </c>
      <c r="G245" s="27">
        <f>J245</f>
        <v>160000</v>
      </c>
      <c r="H245" s="27">
        <f>L245</f>
        <v>160000</v>
      </c>
      <c r="I245" s="27">
        <f>N245</f>
        <v>160000</v>
      </c>
      <c r="J245" s="16">
        <f>'БА в тыс. руб.'!G245*1000</f>
        <v>160000</v>
      </c>
      <c r="K245" s="169">
        <f t="shared" si="142"/>
        <v>0</v>
      </c>
      <c r="L245" s="16">
        <f>'БА в тыс. руб.'!H245*1000</f>
        <v>160000</v>
      </c>
      <c r="M245" s="169">
        <f t="shared" si="143"/>
        <v>0</v>
      </c>
      <c r="N245" s="16">
        <f>'БА в тыс. руб.'!I245*1000</f>
        <v>160000</v>
      </c>
      <c r="O245" s="169">
        <f t="shared" si="144"/>
        <v>0</v>
      </c>
      <c r="P245" s="16"/>
      <c r="Q245" s="16"/>
      <c r="R245" s="16"/>
      <c r="S245" s="16"/>
      <c r="T245" s="16"/>
      <c r="U245" s="16"/>
    </row>
    <row r="246" spans="1:21" s="4" customFormat="1" ht="25.5">
      <c r="A246" s="12" t="s">
        <v>973</v>
      </c>
      <c r="B246" s="25" t="s">
        <v>55</v>
      </c>
      <c r="C246" s="26" t="s">
        <v>71</v>
      </c>
      <c r="D246" s="26" t="s">
        <v>8</v>
      </c>
      <c r="E246" s="26" t="s">
        <v>224</v>
      </c>
      <c r="F246" s="26" t="s">
        <v>1043</v>
      </c>
      <c r="G246" s="27">
        <f t="shared" ref="G246" si="177">J246</f>
        <v>160000</v>
      </c>
      <c r="H246" s="27">
        <f>L246</f>
        <v>160000</v>
      </c>
      <c r="I246" s="27">
        <f>N246</f>
        <v>160000</v>
      </c>
      <c r="J246" s="16">
        <f>'БА в тыс. руб.'!G246*1000</f>
        <v>160000</v>
      </c>
      <c r="K246" s="169">
        <f t="shared" si="142"/>
        <v>0</v>
      </c>
      <c r="L246" s="16">
        <f>'БА в тыс. руб.'!H246*1000</f>
        <v>160000</v>
      </c>
      <c r="M246" s="169">
        <f t="shared" si="143"/>
        <v>0</v>
      </c>
      <c r="N246" s="16">
        <f>'БА в тыс. руб.'!I246*1000</f>
        <v>160000</v>
      </c>
      <c r="O246" s="169">
        <f t="shared" si="144"/>
        <v>0</v>
      </c>
      <c r="P246" s="16"/>
      <c r="Q246" s="16"/>
      <c r="R246" s="16"/>
      <c r="S246" s="16"/>
      <c r="T246" s="16"/>
      <c r="U246" s="16"/>
    </row>
    <row r="247" spans="1:21" s="3" customFormat="1">
      <c r="A247" s="17" t="s">
        <v>499</v>
      </c>
      <c r="B247" s="18" t="s">
        <v>55</v>
      </c>
      <c r="C247" s="19" t="s">
        <v>50</v>
      </c>
      <c r="D247" s="19" t="s">
        <v>51</v>
      </c>
      <c r="E247" s="19" t="s">
        <v>196</v>
      </c>
      <c r="F247" s="19" t="s">
        <v>58</v>
      </c>
      <c r="G247" s="20">
        <f t="shared" ref="G247:I251" si="178">G248</f>
        <v>2123000</v>
      </c>
      <c r="H247" s="20">
        <f t="shared" si="178"/>
        <v>1911000</v>
      </c>
      <c r="I247" s="20">
        <f t="shared" si="178"/>
        <v>1911000</v>
      </c>
      <c r="J247" s="16">
        <f>'БА в тыс. руб.'!G247*1000</f>
        <v>2123000</v>
      </c>
      <c r="K247" s="169">
        <f t="shared" si="142"/>
        <v>0</v>
      </c>
      <c r="L247" s="16">
        <f>'БА в тыс. руб.'!H247*1000</f>
        <v>1911000</v>
      </c>
      <c r="M247" s="169">
        <f t="shared" si="143"/>
        <v>0</v>
      </c>
      <c r="N247" s="16">
        <f>'БА в тыс. руб.'!I247*1000</f>
        <v>1911000</v>
      </c>
      <c r="O247" s="169">
        <f t="shared" si="144"/>
        <v>0</v>
      </c>
      <c r="P247" s="16"/>
      <c r="Q247" s="16"/>
      <c r="R247" s="16"/>
      <c r="S247" s="16"/>
      <c r="T247" s="16"/>
      <c r="U247" s="16"/>
    </row>
    <row r="248" spans="1:21" s="3" customFormat="1">
      <c r="A248" s="21" t="s">
        <v>27</v>
      </c>
      <c r="B248" s="22" t="s">
        <v>55</v>
      </c>
      <c r="C248" s="23" t="s">
        <v>50</v>
      </c>
      <c r="D248" s="23" t="s">
        <v>65</v>
      </c>
      <c r="E248" s="23" t="s">
        <v>196</v>
      </c>
      <c r="F248" s="23" t="s">
        <v>58</v>
      </c>
      <c r="G248" s="24">
        <f t="shared" si="178"/>
        <v>2123000</v>
      </c>
      <c r="H248" s="24">
        <f t="shared" si="178"/>
        <v>1911000</v>
      </c>
      <c r="I248" s="24">
        <f t="shared" si="178"/>
        <v>1911000</v>
      </c>
      <c r="J248" s="16">
        <f>'БА в тыс. руб.'!G248*1000</f>
        <v>2123000</v>
      </c>
      <c r="K248" s="169">
        <f t="shared" si="142"/>
        <v>0</v>
      </c>
      <c r="L248" s="16">
        <f>'БА в тыс. руб.'!H248*1000</f>
        <v>1911000</v>
      </c>
      <c r="M248" s="169">
        <f t="shared" si="143"/>
        <v>0</v>
      </c>
      <c r="N248" s="16">
        <f>'БА в тыс. руб.'!I248*1000</f>
        <v>1911000</v>
      </c>
      <c r="O248" s="169">
        <f t="shared" si="144"/>
        <v>0</v>
      </c>
      <c r="P248" s="16"/>
      <c r="Q248" s="16"/>
      <c r="R248" s="16"/>
      <c r="S248" s="16"/>
      <c r="T248" s="16"/>
      <c r="U248" s="16"/>
    </row>
    <row r="249" spans="1:21" s="3" customFormat="1">
      <c r="A249" s="11" t="s">
        <v>739</v>
      </c>
      <c r="B249" s="25" t="s">
        <v>55</v>
      </c>
      <c r="C249" s="26" t="s">
        <v>50</v>
      </c>
      <c r="D249" s="26" t="s">
        <v>65</v>
      </c>
      <c r="E249" s="26" t="s">
        <v>277</v>
      </c>
      <c r="F249" s="26" t="s">
        <v>58</v>
      </c>
      <c r="G249" s="27">
        <f t="shared" si="178"/>
        <v>2123000</v>
      </c>
      <c r="H249" s="27">
        <f t="shared" si="178"/>
        <v>1911000</v>
      </c>
      <c r="I249" s="27">
        <f t="shared" si="178"/>
        <v>1911000</v>
      </c>
      <c r="J249" s="16">
        <f>'БА в тыс. руб.'!G249*1000</f>
        <v>2123000</v>
      </c>
      <c r="K249" s="169">
        <f t="shared" si="142"/>
        <v>0</v>
      </c>
      <c r="L249" s="16">
        <f>'БА в тыс. руб.'!H249*1000</f>
        <v>1911000</v>
      </c>
      <c r="M249" s="169">
        <f t="shared" si="143"/>
        <v>0</v>
      </c>
      <c r="N249" s="16">
        <f>'БА в тыс. руб.'!I249*1000</f>
        <v>1911000</v>
      </c>
      <c r="O249" s="169">
        <f t="shared" si="144"/>
        <v>0</v>
      </c>
      <c r="P249" s="16"/>
      <c r="Q249" s="16"/>
      <c r="R249" s="16"/>
      <c r="S249" s="16"/>
      <c r="T249" s="16"/>
      <c r="U249" s="16"/>
    </row>
    <row r="250" spans="1:21" s="3" customFormat="1" ht="51">
      <c r="A250" s="34" t="s">
        <v>191</v>
      </c>
      <c r="B250" s="25" t="s">
        <v>55</v>
      </c>
      <c r="C250" s="26" t="s">
        <v>50</v>
      </c>
      <c r="D250" s="26" t="s">
        <v>65</v>
      </c>
      <c r="E250" s="26" t="s">
        <v>278</v>
      </c>
      <c r="F250" s="26" t="s">
        <v>58</v>
      </c>
      <c r="G250" s="27">
        <f t="shared" si="178"/>
        <v>2123000</v>
      </c>
      <c r="H250" s="27">
        <f t="shared" si="178"/>
        <v>1911000</v>
      </c>
      <c r="I250" s="27">
        <f t="shared" si="178"/>
        <v>1911000</v>
      </c>
      <c r="J250" s="16">
        <f>'БА в тыс. руб.'!G250*1000</f>
        <v>2123000</v>
      </c>
      <c r="K250" s="169">
        <f t="shared" si="142"/>
        <v>0</v>
      </c>
      <c r="L250" s="16">
        <f>'БА в тыс. руб.'!H250*1000</f>
        <v>1911000</v>
      </c>
      <c r="M250" s="169">
        <f t="shared" si="143"/>
        <v>0</v>
      </c>
      <c r="N250" s="16">
        <f>'БА в тыс. руб.'!I250*1000</f>
        <v>1911000</v>
      </c>
      <c r="O250" s="169">
        <f t="shared" si="144"/>
        <v>0</v>
      </c>
      <c r="P250" s="16"/>
      <c r="Q250" s="16"/>
      <c r="R250" s="16"/>
      <c r="S250" s="16"/>
      <c r="T250" s="16"/>
      <c r="U250" s="16"/>
    </row>
    <row r="251" spans="1:21" s="3" customFormat="1" ht="63.75">
      <c r="A251" s="34" t="s">
        <v>605</v>
      </c>
      <c r="B251" s="25" t="s">
        <v>55</v>
      </c>
      <c r="C251" s="26" t="s">
        <v>50</v>
      </c>
      <c r="D251" s="26" t="s">
        <v>65</v>
      </c>
      <c r="E251" s="26" t="s">
        <v>279</v>
      </c>
      <c r="F251" s="26" t="s">
        <v>58</v>
      </c>
      <c r="G251" s="27">
        <f t="shared" si="178"/>
        <v>2123000</v>
      </c>
      <c r="H251" s="27">
        <f t="shared" si="178"/>
        <v>1911000</v>
      </c>
      <c r="I251" s="27">
        <f t="shared" si="178"/>
        <v>1911000</v>
      </c>
      <c r="J251" s="16">
        <f>'БА в тыс. руб.'!G251*1000</f>
        <v>2123000</v>
      </c>
      <c r="K251" s="169">
        <f t="shared" si="142"/>
        <v>0</v>
      </c>
      <c r="L251" s="16">
        <f>'БА в тыс. руб.'!H251*1000</f>
        <v>1911000</v>
      </c>
      <c r="M251" s="169">
        <f t="shared" si="143"/>
        <v>0</v>
      </c>
      <c r="N251" s="16">
        <f>'БА в тыс. руб.'!I251*1000</f>
        <v>1911000</v>
      </c>
      <c r="O251" s="169">
        <f t="shared" si="144"/>
        <v>0</v>
      </c>
      <c r="P251" s="16"/>
      <c r="Q251" s="16"/>
      <c r="R251" s="16"/>
      <c r="S251" s="16"/>
      <c r="T251" s="16"/>
      <c r="U251" s="16"/>
    </row>
    <row r="252" spans="1:21" s="3" customFormat="1" ht="25.5">
      <c r="A252" s="34" t="s">
        <v>161</v>
      </c>
      <c r="B252" s="25" t="s">
        <v>55</v>
      </c>
      <c r="C252" s="26" t="s">
        <v>50</v>
      </c>
      <c r="D252" s="26" t="s">
        <v>65</v>
      </c>
      <c r="E252" s="26" t="s">
        <v>320</v>
      </c>
      <c r="F252" s="26" t="s">
        <v>58</v>
      </c>
      <c r="G252" s="27">
        <f>G253</f>
        <v>2123000</v>
      </c>
      <c r="H252" s="27">
        <f>H253</f>
        <v>1911000</v>
      </c>
      <c r="I252" s="27">
        <f>I253</f>
        <v>1911000</v>
      </c>
      <c r="J252" s="16">
        <f>'БА в тыс. руб.'!G252*1000</f>
        <v>2123000</v>
      </c>
      <c r="K252" s="169">
        <f t="shared" si="142"/>
        <v>0</v>
      </c>
      <c r="L252" s="16">
        <f>'БА в тыс. руб.'!H252*1000</f>
        <v>1911000</v>
      </c>
      <c r="M252" s="169">
        <f t="shared" si="143"/>
        <v>0</v>
      </c>
      <c r="N252" s="16">
        <f>'БА в тыс. руб.'!I252*1000</f>
        <v>1911000</v>
      </c>
      <c r="O252" s="169">
        <f t="shared" si="144"/>
        <v>0</v>
      </c>
      <c r="P252" s="16"/>
      <c r="Q252" s="16"/>
      <c r="R252" s="16"/>
      <c r="S252" s="16"/>
      <c r="T252" s="16"/>
      <c r="U252" s="16"/>
    </row>
    <row r="253" spans="1:21" s="3" customFormat="1" ht="25.5">
      <c r="A253" s="11" t="s">
        <v>108</v>
      </c>
      <c r="B253" s="25" t="s">
        <v>55</v>
      </c>
      <c r="C253" s="26" t="s">
        <v>50</v>
      </c>
      <c r="D253" s="26" t="s">
        <v>65</v>
      </c>
      <c r="E253" s="26" t="s">
        <v>320</v>
      </c>
      <c r="F253" s="26" t="s">
        <v>116</v>
      </c>
      <c r="G253" s="27">
        <f>G254</f>
        <v>2123000</v>
      </c>
      <c r="H253" s="27">
        <f t="shared" ref="H253:I253" si="179">H254</f>
        <v>1911000</v>
      </c>
      <c r="I253" s="27">
        <f t="shared" si="179"/>
        <v>1911000</v>
      </c>
      <c r="J253" s="16">
        <f>'БА в тыс. руб.'!G253*1000</f>
        <v>2123000</v>
      </c>
      <c r="K253" s="169">
        <f t="shared" si="142"/>
        <v>0</v>
      </c>
      <c r="L253" s="16">
        <f>'БА в тыс. руб.'!H253*1000</f>
        <v>1911000</v>
      </c>
      <c r="M253" s="169">
        <f t="shared" si="143"/>
        <v>0</v>
      </c>
      <c r="N253" s="16">
        <f>'БА в тыс. руб.'!I253*1000</f>
        <v>1911000</v>
      </c>
      <c r="O253" s="169">
        <f t="shared" si="144"/>
        <v>0</v>
      </c>
      <c r="P253" s="16"/>
      <c r="Q253" s="16"/>
      <c r="R253" s="16"/>
      <c r="S253" s="16"/>
      <c r="T253" s="16"/>
      <c r="U253" s="16"/>
    </row>
    <row r="254" spans="1:21" s="4" customFormat="1" ht="25.5">
      <c r="A254" s="12" t="s">
        <v>973</v>
      </c>
      <c r="B254" s="25" t="s">
        <v>55</v>
      </c>
      <c r="C254" s="26" t="s">
        <v>50</v>
      </c>
      <c r="D254" s="26" t="s">
        <v>65</v>
      </c>
      <c r="E254" s="26" t="s">
        <v>320</v>
      </c>
      <c r="F254" s="26" t="s">
        <v>1043</v>
      </c>
      <c r="G254" s="27">
        <f t="shared" ref="G254" si="180">J254</f>
        <v>2123000</v>
      </c>
      <c r="H254" s="27">
        <f>L254</f>
        <v>1911000</v>
      </c>
      <c r="I254" s="27">
        <f>N254</f>
        <v>1911000</v>
      </c>
      <c r="J254" s="16">
        <f>'БА в тыс. руб.'!G254*1000</f>
        <v>2123000</v>
      </c>
      <c r="K254" s="169">
        <f t="shared" si="142"/>
        <v>0</v>
      </c>
      <c r="L254" s="16">
        <f>'БА в тыс. руб.'!H254*1000</f>
        <v>1911000</v>
      </c>
      <c r="M254" s="169">
        <f t="shared" si="143"/>
        <v>0</v>
      </c>
      <c r="N254" s="16">
        <f>'БА в тыс. руб.'!I254*1000</f>
        <v>1911000</v>
      </c>
      <c r="O254" s="169">
        <f t="shared" si="144"/>
        <v>0</v>
      </c>
      <c r="P254" s="16"/>
      <c r="Q254" s="16"/>
      <c r="R254" s="16"/>
      <c r="S254" s="16"/>
      <c r="T254" s="16"/>
      <c r="U254" s="16"/>
    </row>
    <row r="255" spans="1:21" s="2" customFormat="1">
      <c r="A255" s="17" t="s">
        <v>77</v>
      </c>
      <c r="B255" s="18" t="s">
        <v>55</v>
      </c>
      <c r="C255" s="19" t="s">
        <v>40</v>
      </c>
      <c r="D255" s="19" t="s">
        <v>51</v>
      </c>
      <c r="E255" s="19" t="s">
        <v>196</v>
      </c>
      <c r="F255" s="19" t="s">
        <v>58</v>
      </c>
      <c r="G255" s="20">
        <f>G263+G256</f>
        <v>20457500</v>
      </c>
      <c r="H255" s="20">
        <f>H263+H256</f>
        <v>20457500</v>
      </c>
      <c r="I255" s="20">
        <f>I263+I256</f>
        <v>20457500</v>
      </c>
      <c r="J255" s="16">
        <f>'БА в тыс. руб.'!G255*1000</f>
        <v>20457500</v>
      </c>
      <c r="K255" s="169">
        <f t="shared" si="142"/>
        <v>0</v>
      </c>
      <c r="L255" s="16">
        <f>'БА в тыс. руб.'!H255*1000</f>
        <v>20457500</v>
      </c>
      <c r="M255" s="169">
        <f t="shared" si="143"/>
        <v>0</v>
      </c>
      <c r="N255" s="16">
        <f>'БА в тыс. руб.'!I255*1000</f>
        <v>20457500</v>
      </c>
      <c r="O255" s="169">
        <f t="shared" si="144"/>
        <v>0</v>
      </c>
      <c r="P255" s="16"/>
      <c r="Q255" s="16"/>
      <c r="R255" s="16"/>
      <c r="S255" s="16"/>
      <c r="T255" s="16"/>
      <c r="U255" s="16"/>
    </row>
    <row r="256" spans="1:21" s="2" customFormat="1">
      <c r="A256" s="21" t="s">
        <v>906</v>
      </c>
      <c r="B256" s="22" t="s">
        <v>55</v>
      </c>
      <c r="C256" s="23" t="s">
        <v>40</v>
      </c>
      <c r="D256" s="23" t="s">
        <v>65</v>
      </c>
      <c r="E256" s="23" t="s">
        <v>196</v>
      </c>
      <c r="F256" s="23" t="s">
        <v>58</v>
      </c>
      <c r="G256" s="24">
        <f t="shared" ref="G256:I261" si="181">G257</f>
        <v>5900500</v>
      </c>
      <c r="H256" s="24">
        <f t="shared" si="181"/>
        <v>5900500</v>
      </c>
      <c r="I256" s="24">
        <f t="shared" si="181"/>
        <v>5900500</v>
      </c>
      <c r="J256" s="16">
        <f>'БА в тыс. руб.'!G256*1000</f>
        <v>5900500</v>
      </c>
      <c r="K256" s="169">
        <f t="shared" si="142"/>
        <v>0</v>
      </c>
      <c r="L256" s="16">
        <f>'БА в тыс. руб.'!H256*1000</f>
        <v>5900500</v>
      </c>
      <c r="M256" s="169">
        <f t="shared" si="143"/>
        <v>0</v>
      </c>
      <c r="N256" s="16">
        <f>'БА в тыс. руб.'!I256*1000</f>
        <v>5900500</v>
      </c>
      <c r="O256" s="169">
        <f t="shared" si="144"/>
        <v>0</v>
      </c>
      <c r="P256" s="16"/>
      <c r="Q256" s="16"/>
      <c r="R256" s="16"/>
      <c r="S256" s="16"/>
      <c r="T256" s="16"/>
      <c r="U256" s="16"/>
    </row>
    <row r="257" spans="1:21" s="2" customFormat="1" ht="38.25">
      <c r="A257" s="34" t="s">
        <v>751</v>
      </c>
      <c r="B257" s="25" t="s">
        <v>55</v>
      </c>
      <c r="C257" s="26" t="s">
        <v>40</v>
      </c>
      <c r="D257" s="26" t="s">
        <v>65</v>
      </c>
      <c r="E257" s="26" t="s">
        <v>229</v>
      </c>
      <c r="F257" s="26" t="s">
        <v>58</v>
      </c>
      <c r="G257" s="27">
        <f t="shared" si="181"/>
        <v>5900500</v>
      </c>
      <c r="H257" s="27">
        <f t="shared" si="181"/>
        <v>5900500</v>
      </c>
      <c r="I257" s="27">
        <f t="shared" si="181"/>
        <v>5900500</v>
      </c>
      <c r="J257" s="16">
        <f>'БА в тыс. руб.'!G257*1000</f>
        <v>5900500</v>
      </c>
      <c r="K257" s="169">
        <f t="shared" si="142"/>
        <v>0</v>
      </c>
      <c r="L257" s="16">
        <f>'БА в тыс. руб.'!H257*1000</f>
        <v>5900500</v>
      </c>
      <c r="M257" s="169">
        <f t="shared" si="143"/>
        <v>0</v>
      </c>
      <c r="N257" s="16">
        <f>'БА в тыс. руб.'!I257*1000</f>
        <v>5900500</v>
      </c>
      <c r="O257" s="169">
        <f t="shared" si="144"/>
        <v>0</v>
      </c>
      <c r="P257" s="16"/>
      <c r="Q257" s="16"/>
      <c r="R257" s="16"/>
      <c r="S257" s="16"/>
      <c r="T257" s="16"/>
      <c r="U257" s="16"/>
    </row>
    <row r="258" spans="1:21" s="2" customFormat="1" ht="25.5">
      <c r="A258" s="34" t="s">
        <v>119</v>
      </c>
      <c r="B258" s="25" t="s">
        <v>55</v>
      </c>
      <c r="C258" s="26" t="s">
        <v>40</v>
      </c>
      <c r="D258" s="26" t="s">
        <v>65</v>
      </c>
      <c r="E258" s="26" t="s">
        <v>230</v>
      </c>
      <c r="F258" s="26" t="s">
        <v>58</v>
      </c>
      <c r="G258" s="27">
        <f t="shared" si="181"/>
        <v>5900500</v>
      </c>
      <c r="H258" s="27">
        <f t="shared" si="181"/>
        <v>5900500</v>
      </c>
      <c r="I258" s="27">
        <f t="shared" si="181"/>
        <v>5900500</v>
      </c>
      <c r="J258" s="16">
        <f>'БА в тыс. руб.'!G258*1000</f>
        <v>5900500</v>
      </c>
      <c r="K258" s="169">
        <f t="shared" si="142"/>
        <v>0</v>
      </c>
      <c r="L258" s="16">
        <f>'БА в тыс. руб.'!H258*1000</f>
        <v>5900500</v>
      </c>
      <c r="M258" s="169">
        <f t="shared" si="143"/>
        <v>0</v>
      </c>
      <c r="N258" s="16">
        <f>'БА в тыс. руб.'!I258*1000</f>
        <v>5900500</v>
      </c>
      <c r="O258" s="169">
        <f t="shared" si="144"/>
        <v>0</v>
      </c>
      <c r="P258" s="16"/>
      <c r="Q258" s="16"/>
      <c r="R258" s="16"/>
      <c r="S258" s="16"/>
      <c r="T258" s="16"/>
      <c r="U258" s="16"/>
    </row>
    <row r="259" spans="1:21" s="2" customFormat="1" ht="38.25">
      <c r="A259" s="34" t="s">
        <v>237</v>
      </c>
      <c r="B259" s="25" t="s">
        <v>55</v>
      </c>
      <c r="C259" s="26" t="s">
        <v>40</v>
      </c>
      <c r="D259" s="26" t="s">
        <v>65</v>
      </c>
      <c r="E259" s="26" t="s">
        <v>238</v>
      </c>
      <c r="F259" s="26" t="s">
        <v>58</v>
      </c>
      <c r="G259" s="27">
        <f t="shared" si="181"/>
        <v>5900500</v>
      </c>
      <c r="H259" s="27">
        <f t="shared" si="181"/>
        <v>5900500</v>
      </c>
      <c r="I259" s="27">
        <f t="shared" si="181"/>
        <v>5900500</v>
      </c>
      <c r="J259" s="16">
        <f>'БА в тыс. руб.'!G259*1000</f>
        <v>5900500</v>
      </c>
      <c r="K259" s="169">
        <f t="shared" si="142"/>
        <v>0</v>
      </c>
      <c r="L259" s="16">
        <f>'БА в тыс. руб.'!H259*1000</f>
        <v>5900500</v>
      </c>
      <c r="M259" s="169">
        <f t="shared" si="143"/>
        <v>0</v>
      </c>
      <c r="N259" s="16">
        <f>'БА в тыс. руб.'!I259*1000</f>
        <v>5900500</v>
      </c>
      <c r="O259" s="169">
        <f t="shared" si="144"/>
        <v>0</v>
      </c>
      <c r="P259" s="16"/>
      <c r="Q259" s="16"/>
      <c r="R259" s="16"/>
      <c r="S259" s="16"/>
      <c r="T259" s="16"/>
      <c r="U259" s="16"/>
    </row>
    <row r="260" spans="1:21" s="2" customFormat="1" ht="25.5">
      <c r="A260" s="34" t="s">
        <v>120</v>
      </c>
      <c r="B260" s="25" t="s">
        <v>55</v>
      </c>
      <c r="C260" s="26" t="s">
        <v>40</v>
      </c>
      <c r="D260" s="26" t="s">
        <v>65</v>
      </c>
      <c r="E260" s="26" t="s">
        <v>907</v>
      </c>
      <c r="F260" s="26" t="s">
        <v>58</v>
      </c>
      <c r="G260" s="27">
        <f t="shared" si="181"/>
        <v>5900500</v>
      </c>
      <c r="H260" s="27">
        <f t="shared" si="181"/>
        <v>5900500</v>
      </c>
      <c r="I260" s="27">
        <f t="shared" si="181"/>
        <v>5900500</v>
      </c>
      <c r="J260" s="16">
        <f>'БА в тыс. руб.'!G260*1000</f>
        <v>5900500</v>
      </c>
      <c r="K260" s="169">
        <f t="shared" si="142"/>
        <v>0</v>
      </c>
      <c r="L260" s="16">
        <f>'БА в тыс. руб.'!H260*1000</f>
        <v>5900500</v>
      </c>
      <c r="M260" s="169">
        <f t="shared" si="143"/>
        <v>0</v>
      </c>
      <c r="N260" s="16">
        <f>'БА в тыс. руб.'!I260*1000</f>
        <v>5900500</v>
      </c>
      <c r="O260" s="169">
        <f t="shared" si="144"/>
        <v>0</v>
      </c>
      <c r="P260" s="16"/>
      <c r="Q260" s="16"/>
      <c r="R260" s="16"/>
      <c r="S260" s="16"/>
      <c r="T260" s="16"/>
      <c r="U260" s="16"/>
    </row>
    <row r="261" spans="1:21" s="2" customFormat="1" ht="25.5">
      <c r="A261" s="11" t="s">
        <v>108</v>
      </c>
      <c r="B261" s="25" t="s">
        <v>55</v>
      </c>
      <c r="C261" s="26" t="s">
        <v>40</v>
      </c>
      <c r="D261" s="26" t="s">
        <v>65</v>
      </c>
      <c r="E261" s="26" t="s">
        <v>907</v>
      </c>
      <c r="F261" s="26" t="s">
        <v>116</v>
      </c>
      <c r="G261" s="27">
        <f t="shared" si="181"/>
        <v>5900500</v>
      </c>
      <c r="H261" s="27">
        <f t="shared" si="181"/>
        <v>5900500</v>
      </c>
      <c r="I261" s="27">
        <f t="shared" si="181"/>
        <v>5900500</v>
      </c>
      <c r="J261" s="16">
        <f>'БА в тыс. руб.'!G261*1000</f>
        <v>5900500</v>
      </c>
      <c r="K261" s="169">
        <f t="shared" si="142"/>
        <v>0</v>
      </c>
      <c r="L261" s="16">
        <f>'БА в тыс. руб.'!H261*1000</f>
        <v>5900500</v>
      </c>
      <c r="M261" s="169">
        <f t="shared" si="143"/>
        <v>0</v>
      </c>
      <c r="N261" s="16">
        <f>'БА в тыс. руб.'!I261*1000</f>
        <v>5900500</v>
      </c>
      <c r="O261" s="169">
        <f t="shared" si="144"/>
        <v>0</v>
      </c>
      <c r="P261" s="16"/>
      <c r="Q261" s="16"/>
      <c r="R261" s="16"/>
      <c r="S261" s="16"/>
      <c r="T261" s="16"/>
      <c r="U261" s="16"/>
    </row>
    <row r="262" spans="1:21" ht="25.5">
      <c r="A262" s="12" t="s">
        <v>973</v>
      </c>
      <c r="B262" s="25" t="s">
        <v>55</v>
      </c>
      <c r="C262" s="26" t="s">
        <v>40</v>
      </c>
      <c r="D262" s="26" t="s">
        <v>65</v>
      </c>
      <c r="E262" s="26" t="s">
        <v>907</v>
      </c>
      <c r="F262" s="26" t="s">
        <v>1043</v>
      </c>
      <c r="G262" s="27">
        <f t="shared" ref="G262" si="182">J262</f>
        <v>5900500</v>
      </c>
      <c r="H262" s="27">
        <f>L262</f>
        <v>5900500</v>
      </c>
      <c r="I262" s="27">
        <f>N262</f>
        <v>5900500</v>
      </c>
      <c r="J262" s="16">
        <f>'БА в тыс. руб.'!G262*1000</f>
        <v>5900500</v>
      </c>
      <c r="K262" s="169">
        <f t="shared" si="142"/>
        <v>0</v>
      </c>
      <c r="L262" s="16">
        <f>'БА в тыс. руб.'!H262*1000</f>
        <v>5900500</v>
      </c>
      <c r="M262" s="169">
        <f t="shared" si="143"/>
        <v>0</v>
      </c>
      <c r="N262" s="16">
        <f>'БА в тыс. руб.'!I262*1000</f>
        <v>5900500</v>
      </c>
      <c r="O262" s="169">
        <f t="shared" si="144"/>
        <v>0</v>
      </c>
      <c r="P262" s="16"/>
      <c r="Q262" s="16"/>
      <c r="R262" s="16"/>
      <c r="S262" s="16"/>
      <c r="T262" s="16"/>
      <c r="U262" s="16"/>
    </row>
    <row r="263" spans="1:21" s="2" customFormat="1">
      <c r="A263" s="21" t="s">
        <v>52</v>
      </c>
      <c r="B263" s="22" t="s">
        <v>55</v>
      </c>
      <c r="C263" s="23" t="s">
        <v>40</v>
      </c>
      <c r="D263" s="23" t="s">
        <v>66</v>
      </c>
      <c r="E263" s="23" t="s">
        <v>196</v>
      </c>
      <c r="F263" s="23" t="s">
        <v>58</v>
      </c>
      <c r="G263" s="24">
        <f t="shared" ref="G263:I272" si="183">G264</f>
        <v>14557000</v>
      </c>
      <c r="H263" s="24">
        <f t="shared" si="183"/>
        <v>14557000</v>
      </c>
      <c r="I263" s="24">
        <f t="shared" si="183"/>
        <v>14557000</v>
      </c>
      <c r="J263" s="16">
        <f>'БА в тыс. руб.'!G263*1000</f>
        <v>14557000</v>
      </c>
      <c r="K263" s="169">
        <f t="shared" si="142"/>
        <v>0</v>
      </c>
      <c r="L263" s="16">
        <f>'БА в тыс. руб.'!H263*1000</f>
        <v>14557000</v>
      </c>
      <c r="M263" s="169">
        <f t="shared" si="143"/>
        <v>0</v>
      </c>
      <c r="N263" s="16">
        <f>'БА в тыс. руб.'!I263*1000</f>
        <v>14557000</v>
      </c>
      <c r="O263" s="169">
        <f t="shared" si="144"/>
        <v>0</v>
      </c>
      <c r="P263" s="16"/>
      <c r="Q263" s="16"/>
      <c r="R263" s="16"/>
      <c r="S263" s="16"/>
      <c r="T263" s="16"/>
      <c r="U263" s="16"/>
    </row>
    <row r="264" spans="1:21" s="3" customFormat="1" ht="38.25">
      <c r="A264" s="34" t="s">
        <v>751</v>
      </c>
      <c r="B264" s="25" t="s">
        <v>55</v>
      </c>
      <c r="C264" s="26" t="s">
        <v>40</v>
      </c>
      <c r="D264" s="26" t="s">
        <v>66</v>
      </c>
      <c r="E264" s="26" t="s">
        <v>229</v>
      </c>
      <c r="F264" s="26" t="s">
        <v>58</v>
      </c>
      <c r="G264" s="27">
        <f t="shared" si="183"/>
        <v>14557000</v>
      </c>
      <c r="H264" s="27">
        <f t="shared" si="183"/>
        <v>14557000</v>
      </c>
      <c r="I264" s="27">
        <f t="shared" si="183"/>
        <v>14557000</v>
      </c>
      <c r="J264" s="16">
        <f>'БА в тыс. руб.'!G264*1000</f>
        <v>14557000</v>
      </c>
      <c r="K264" s="169">
        <f t="shared" ref="K264:K327" si="184">J264-G264</f>
        <v>0</v>
      </c>
      <c r="L264" s="16">
        <f>'БА в тыс. руб.'!H264*1000</f>
        <v>14557000</v>
      </c>
      <c r="M264" s="169">
        <f t="shared" ref="M264:M327" si="185">L264-H264</f>
        <v>0</v>
      </c>
      <c r="N264" s="16">
        <f>'БА в тыс. руб.'!I264*1000</f>
        <v>14557000</v>
      </c>
      <c r="O264" s="169">
        <f t="shared" ref="O264:O327" si="186">N264-I264</f>
        <v>0</v>
      </c>
      <c r="P264" s="16"/>
      <c r="Q264" s="16"/>
      <c r="R264" s="16"/>
      <c r="S264" s="16"/>
      <c r="T264" s="16"/>
      <c r="U264" s="16"/>
    </row>
    <row r="265" spans="1:21" s="3" customFormat="1" ht="25.5">
      <c r="A265" s="34" t="s">
        <v>119</v>
      </c>
      <c r="B265" s="25" t="s">
        <v>55</v>
      </c>
      <c r="C265" s="26" t="s">
        <v>40</v>
      </c>
      <c r="D265" s="26" t="s">
        <v>66</v>
      </c>
      <c r="E265" s="26" t="s">
        <v>230</v>
      </c>
      <c r="F265" s="26" t="s">
        <v>58</v>
      </c>
      <c r="G265" s="27">
        <f>G270+G266</f>
        <v>14557000</v>
      </c>
      <c r="H265" s="27">
        <f t="shared" ref="H265:I265" si="187">H270+H266</f>
        <v>14557000</v>
      </c>
      <c r="I265" s="27">
        <f t="shared" si="187"/>
        <v>14557000</v>
      </c>
      <c r="J265" s="16">
        <f>'БА в тыс. руб.'!G265*1000</f>
        <v>14557000</v>
      </c>
      <c r="K265" s="169">
        <f t="shared" si="184"/>
        <v>0</v>
      </c>
      <c r="L265" s="16">
        <f>'БА в тыс. руб.'!H265*1000</f>
        <v>14557000</v>
      </c>
      <c r="M265" s="169">
        <f t="shared" si="185"/>
        <v>0</v>
      </c>
      <c r="N265" s="16">
        <f>'БА в тыс. руб.'!I265*1000</f>
        <v>14557000</v>
      </c>
      <c r="O265" s="169">
        <f t="shared" si="186"/>
        <v>0</v>
      </c>
      <c r="P265" s="16"/>
      <c r="Q265" s="16"/>
      <c r="R265" s="16"/>
      <c r="S265" s="16"/>
      <c r="T265" s="16"/>
      <c r="U265" s="16"/>
    </row>
    <row r="266" spans="1:21" s="2" customFormat="1" ht="38.25">
      <c r="A266" s="34" t="s">
        <v>237</v>
      </c>
      <c r="B266" s="25" t="s">
        <v>55</v>
      </c>
      <c r="C266" s="26" t="s">
        <v>40</v>
      </c>
      <c r="D266" s="26" t="s">
        <v>66</v>
      </c>
      <c r="E266" s="26" t="s">
        <v>238</v>
      </c>
      <c r="F266" s="26" t="s">
        <v>58</v>
      </c>
      <c r="G266" s="27">
        <f>G267</f>
        <v>1190000</v>
      </c>
      <c r="H266" s="27">
        <f t="shared" ref="H266:I267" si="188">H267</f>
        <v>1190000</v>
      </c>
      <c r="I266" s="27">
        <f t="shared" si="188"/>
        <v>1190000</v>
      </c>
      <c r="J266" s="16">
        <f>'БА в тыс. руб.'!G266*1000</f>
        <v>1190000</v>
      </c>
      <c r="K266" s="169">
        <f t="shared" si="184"/>
        <v>0</v>
      </c>
      <c r="L266" s="16">
        <f>'БА в тыс. руб.'!H266*1000</f>
        <v>1190000</v>
      </c>
      <c r="M266" s="169">
        <f t="shared" si="185"/>
        <v>0</v>
      </c>
      <c r="N266" s="16">
        <f>'БА в тыс. руб.'!I266*1000</f>
        <v>1190000</v>
      </c>
      <c r="O266" s="169">
        <f t="shared" si="186"/>
        <v>0</v>
      </c>
      <c r="P266" s="16"/>
      <c r="Q266" s="16"/>
      <c r="R266" s="16"/>
      <c r="S266" s="16"/>
      <c r="T266" s="16"/>
      <c r="U266" s="16"/>
    </row>
    <row r="267" spans="1:21" s="2" customFormat="1" ht="25.5">
      <c r="A267" s="34" t="s">
        <v>120</v>
      </c>
      <c r="B267" s="25" t="s">
        <v>55</v>
      </c>
      <c r="C267" s="26" t="s">
        <v>40</v>
      </c>
      <c r="D267" s="26" t="s">
        <v>66</v>
      </c>
      <c r="E267" s="26" t="s">
        <v>907</v>
      </c>
      <c r="F267" s="26" t="s">
        <v>58</v>
      </c>
      <c r="G267" s="27">
        <f>G268</f>
        <v>1190000</v>
      </c>
      <c r="H267" s="27">
        <f t="shared" si="188"/>
        <v>1190000</v>
      </c>
      <c r="I267" s="27">
        <f t="shared" si="188"/>
        <v>1190000</v>
      </c>
      <c r="J267" s="16">
        <f>'БА в тыс. руб.'!G267*1000</f>
        <v>1190000</v>
      </c>
      <c r="K267" s="169">
        <f t="shared" si="184"/>
        <v>0</v>
      </c>
      <c r="L267" s="16">
        <f>'БА в тыс. руб.'!H267*1000</f>
        <v>1190000</v>
      </c>
      <c r="M267" s="169">
        <f t="shared" si="185"/>
        <v>0</v>
      </c>
      <c r="N267" s="16">
        <f>'БА в тыс. руб.'!I267*1000</f>
        <v>1190000</v>
      </c>
      <c r="O267" s="169">
        <f t="shared" si="186"/>
        <v>0</v>
      </c>
      <c r="P267" s="16"/>
      <c r="Q267" s="16"/>
      <c r="R267" s="16"/>
      <c r="S267" s="16"/>
      <c r="T267" s="16"/>
      <c r="U267" s="16"/>
    </row>
    <row r="268" spans="1:21" s="2" customFormat="1" ht="25.5">
      <c r="A268" s="11" t="s">
        <v>108</v>
      </c>
      <c r="B268" s="25" t="s">
        <v>55</v>
      </c>
      <c r="C268" s="26" t="s">
        <v>40</v>
      </c>
      <c r="D268" s="26" t="s">
        <v>66</v>
      </c>
      <c r="E268" s="26" t="s">
        <v>907</v>
      </c>
      <c r="F268" s="26" t="s">
        <v>116</v>
      </c>
      <c r="G268" s="27">
        <f>G269</f>
        <v>1190000</v>
      </c>
      <c r="H268" s="27">
        <f>H269</f>
        <v>1190000</v>
      </c>
      <c r="I268" s="27">
        <f>I269</f>
        <v>1190000</v>
      </c>
      <c r="J268" s="16">
        <f>'БА в тыс. руб.'!G268*1000</f>
        <v>1190000</v>
      </c>
      <c r="K268" s="169">
        <f t="shared" si="184"/>
        <v>0</v>
      </c>
      <c r="L268" s="16">
        <f>'БА в тыс. руб.'!H268*1000</f>
        <v>1190000</v>
      </c>
      <c r="M268" s="169">
        <f t="shared" si="185"/>
        <v>0</v>
      </c>
      <c r="N268" s="16">
        <f>'БА в тыс. руб.'!I268*1000</f>
        <v>1190000</v>
      </c>
      <c r="O268" s="169">
        <f t="shared" si="186"/>
        <v>0</v>
      </c>
      <c r="P268" s="16"/>
      <c r="Q268" s="16"/>
      <c r="R268" s="16"/>
      <c r="S268" s="16"/>
      <c r="T268" s="16"/>
      <c r="U268" s="16"/>
    </row>
    <row r="269" spans="1:21" ht="25.5">
      <c r="A269" s="12" t="s">
        <v>973</v>
      </c>
      <c r="B269" s="25" t="s">
        <v>55</v>
      </c>
      <c r="C269" s="26" t="s">
        <v>40</v>
      </c>
      <c r="D269" s="26" t="s">
        <v>66</v>
      </c>
      <c r="E269" s="26" t="s">
        <v>907</v>
      </c>
      <c r="F269" s="26" t="s">
        <v>1043</v>
      </c>
      <c r="G269" s="27">
        <f t="shared" ref="G269" si="189">J269</f>
        <v>1190000</v>
      </c>
      <c r="H269" s="27">
        <f>L269</f>
        <v>1190000</v>
      </c>
      <c r="I269" s="27">
        <f>N269</f>
        <v>1190000</v>
      </c>
      <c r="J269" s="16">
        <f>'БА в тыс. руб.'!G269*1000</f>
        <v>1190000</v>
      </c>
      <c r="K269" s="169">
        <f t="shared" si="184"/>
        <v>0</v>
      </c>
      <c r="L269" s="16">
        <f>'БА в тыс. руб.'!H269*1000</f>
        <v>1190000</v>
      </c>
      <c r="M269" s="169">
        <f t="shared" si="185"/>
        <v>0</v>
      </c>
      <c r="N269" s="16">
        <f>'БА в тыс. руб.'!I269*1000</f>
        <v>1190000</v>
      </c>
      <c r="O269" s="169">
        <f t="shared" si="186"/>
        <v>0</v>
      </c>
      <c r="P269" s="16"/>
      <c r="Q269" s="16"/>
      <c r="R269" s="16"/>
      <c r="S269" s="16"/>
      <c r="T269" s="16"/>
      <c r="U269" s="16"/>
    </row>
    <row r="270" spans="1:21" s="3" customFormat="1" ht="38.25">
      <c r="A270" s="34" t="s">
        <v>603</v>
      </c>
      <c r="B270" s="25" t="s">
        <v>55</v>
      </c>
      <c r="C270" s="26" t="s">
        <v>40</v>
      </c>
      <c r="D270" s="26" t="s">
        <v>66</v>
      </c>
      <c r="E270" s="26" t="s">
        <v>239</v>
      </c>
      <c r="F270" s="26" t="s">
        <v>58</v>
      </c>
      <c r="G270" s="27">
        <f>G271</f>
        <v>13367000</v>
      </c>
      <c r="H270" s="27">
        <f t="shared" ref="H270:I270" si="190">H271</f>
        <v>13367000</v>
      </c>
      <c r="I270" s="27">
        <f t="shared" si="190"/>
        <v>13367000</v>
      </c>
      <c r="J270" s="16">
        <f>'БА в тыс. руб.'!G270*1000</f>
        <v>13367000</v>
      </c>
      <c r="K270" s="169">
        <f t="shared" si="184"/>
        <v>0</v>
      </c>
      <c r="L270" s="16">
        <f>'БА в тыс. руб.'!H270*1000</f>
        <v>13367000</v>
      </c>
      <c r="M270" s="169">
        <f t="shared" si="185"/>
        <v>0</v>
      </c>
      <c r="N270" s="16">
        <f>'БА в тыс. руб.'!I270*1000</f>
        <v>13367000</v>
      </c>
      <c r="O270" s="169">
        <f t="shared" si="186"/>
        <v>0</v>
      </c>
      <c r="P270" s="16"/>
      <c r="Q270" s="16"/>
      <c r="R270" s="16"/>
      <c r="S270" s="16"/>
      <c r="T270" s="16"/>
      <c r="U270" s="16"/>
    </row>
    <row r="271" spans="1:21" s="3" customFormat="1" ht="25.5">
      <c r="A271" s="34" t="s">
        <v>171</v>
      </c>
      <c r="B271" s="25" t="s">
        <v>55</v>
      </c>
      <c r="C271" s="26" t="s">
        <v>40</v>
      </c>
      <c r="D271" s="26" t="s">
        <v>66</v>
      </c>
      <c r="E271" s="26" t="s">
        <v>929</v>
      </c>
      <c r="F271" s="26" t="s">
        <v>58</v>
      </c>
      <c r="G271" s="27">
        <f t="shared" si="183"/>
        <v>13367000</v>
      </c>
      <c r="H271" s="27">
        <f t="shared" si="183"/>
        <v>13367000</v>
      </c>
      <c r="I271" s="27">
        <f t="shared" si="183"/>
        <v>13367000</v>
      </c>
      <c r="J271" s="16">
        <f>'БА в тыс. руб.'!G271*1000</f>
        <v>13367000</v>
      </c>
      <c r="K271" s="169">
        <f t="shared" si="184"/>
        <v>0</v>
      </c>
      <c r="L271" s="16">
        <f>'БА в тыс. руб.'!H271*1000</f>
        <v>13367000</v>
      </c>
      <c r="M271" s="169">
        <f t="shared" si="185"/>
        <v>0</v>
      </c>
      <c r="N271" s="16">
        <f>'БА в тыс. руб.'!I271*1000</f>
        <v>13367000</v>
      </c>
      <c r="O271" s="169">
        <f t="shared" si="186"/>
        <v>0</v>
      </c>
      <c r="P271" s="16"/>
      <c r="Q271" s="16"/>
      <c r="R271" s="16"/>
      <c r="S271" s="16"/>
      <c r="T271" s="16"/>
      <c r="U271" s="16"/>
    </row>
    <row r="272" spans="1:21" s="3" customFormat="1" ht="38.25">
      <c r="A272" s="34" t="s">
        <v>561</v>
      </c>
      <c r="B272" s="25" t="s">
        <v>55</v>
      </c>
      <c r="C272" s="26" t="s">
        <v>40</v>
      </c>
      <c r="D272" s="26" t="s">
        <v>66</v>
      </c>
      <c r="E272" s="26" t="s">
        <v>929</v>
      </c>
      <c r="F272" s="26" t="s">
        <v>101</v>
      </c>
      <c r="G272" s="27">
        <f>G273</f>
        <v>13367000</v>
      </c>
      <c r="H272" s="27">
        <f t="shared" si="183"/>
        <v>13367000</v>
      </c>
      <c r="I272" s="27">
        <f t="shared" si="183"/>
        <v>13367000</v>
      </c>
      <c r="J272" s="16">
        <f>'БА в тыс. руб.'!G272*1000</f>
        <v>13367000</v>
      </c>
      <c r="K272" s="169">
        <f t="shared" si="184"/>
        <v>0</v>
      </c>
      <c r="L272" s="16">
        <f>'БА в тыс. руб.'!H272*1000</f>
        <v>13367000</v>
      </c>
      <c r="M272" s="169">
        <f t="shared" si="185"/>
        <v>0</v>
      </c>
      <c r="N272" s="16">
        <f>'БА в тыс. руб.'!I272*1000</f>
        <v>13367000</v>
      </c>
      <c r="O272" s="169">
        <f t="shared" si="186"/>
        <v>0</v>
      </c>
      <c r="P272" s="16"/>
      <c r="Q272" s="16"/>
      <c r="R272" s="16"/>
      <c r="S272" s="16"/>
      <c r="T272" s="16"/>
      <c r="U272" s="16"/>
    </row>
    <row r="273" spans="1:21" s="94" customFormat="1" ht="76.5">
      <c r="A273" s="12" t="s">
        <v>1048</v>
      </c>
      <c r="B273" s="25" t="s">
        <v>55</v>
      </c>
      <c r="C273" s="26" t="s">
        <v>40</v>
      </c>
      <c r="D273" s="26" t="s">
        <v>66</v>
      </c>
      <c r="E273" s="26" t="s">
        <v>929</v>
      </c>
      <c r="F273" s="26" t="s">
        <v>1051</v>
      </c>
      <c r="G273" s="27">
        <f t="shared" ref="G273" si="191">J273</f>
        <v>13367000</v>
      </c>
      <c r="H273" s="27">
        <f t="shared" ref="H273" si="192">L273</f>
        <v>13367000</v>
      </c>
      <c r="I273" s="27">
        <f t="shared" ref="I273" si="193">N273</f>
        <v>13367000</v>
      </c>
      <c r="J273" s="16">
        <f>'БА в тыс. руб.'!G273*1000</f>
        <v>13367000</v>
      </c>
      <c r="K273" s="169">
        <f t="shared" si="184"/>
        <v>0</v>
      </c>
      <c r="L273" s="16">
        <f>'БА в тыс. руб.'!H273*1000</f>
        <v>13367000</v>
      </c>
      <c r="M273" s="169">
        <f t="shared" si="185"/>
        <v>0</v>
      </c>
      <c r="N273" s="16">
        <f>'БА в тыс. руб.'!I273*1000</f>
        <v>13367000</v>
      </c>
      <c r="O273" s="169">
        <f t="shared" si="186"/>
        <v>0</v>
      </c>
      <c r="P273" s="16"/>
      <c r="Q273" s="16"/>
      <c r="R273" s="16"/>
      <c r="S273" s="16"/>
      <c r="T273" s="16"/>
      <c r="U273" s="16"/>
    </row>
    <row r="274" spans="1:21" s="71" customFormat="1">
      <c r="A274" s="95"/>
      <c r="B274" s="92"/>
      <c r="C274" s="70"/>
      <c r="D274" s="70"/>
      <c r="E274" s="70"/>
      <c r="F274" s="70"/>
      <c r="G274" s="27"/>
      <c r="H274" s="27"/>
      <c r="I274" s="27"/>
      <c r="J274" s="16">
        <f>'БА в тыс. руб.'!G274*1000</f>
        <v>0</v>
      </c>
      <c r="K274" s="169">
        <f t="shared" si="184"/>
        <v>0</v>
      </c>
      <c r="L274" s="16">
        <f>'БА в тыс. руб.'!H274*1000</f>
        <v>0</v>
      </c>
      <c r="M274" s="169">
        <f t="shared" si="185"/>
        <v>0</v>
      </c>
      <c r="N274" s="16">
        <f>'БА в тыс. руб.'!I274*1000</f>
        <v>0</v>
      </c>
      <c r="O274" s="169">
        <f t="shared" si="186"/>
        <v>0</v>
      </c>
      <c r="P274" s="16"/>
      <c r="Q274" s="16"/>
      <c r="R274" s="16"/>
      <c r="S274" s="16"/>
      <c r="T274" s="16"/>
      <c r="U274" s="16"/>
    </row>
    <row r="275" spans="1:21" s="109" customFormat="1" ht="25.5">
      <c r="A275" s="28" t="s">
        <v>60</v>
      </c>
      <c r="B275" s="14" t="s">
        <v>29</v>
      </c>
      <c r="C275" s="15" t="s">
        <v>51</v>
      </c>
      <c r="D275" s="15" t="s">
        <v>51</v>
      </c>
      <c r="E275" s="15" t="s">
        <v>196</v>
      </c>
      <c r="F275" s="15" t="s">
        <v>58</v>
      </c>
      <c r="G275" s="29">
        <f>G276+G323</f>
        <v>81223370</v>
      </c>
      <c r="H275" s="29">
        <f>H276+H323</f>
        <v>67262680</v>
      </c>
      <c r="I275" s="29">
        <f>I276+I323</f>
        <v>67262680</v>
      </c>
      <c r="J275" s="16">
        <f>'БА в тыс. руб.'!G275*1000</f>
        <v>81223370</v>
      </c>
      <c r="K275" s="169">
        <f t="shared" si="184"/>
        <v>0</v>
      </c>
      <c r="L275" s="16">
        <f>'БА в тыс. руб.'!H275*1000</f>
        <v>67262680.000000015</v>
      </c>
      <c r="M275" s="169">
        <f t="shared" si="185"/>
        <v>0</v>
      </c>
      <c r="N275" s="16">
        <f>'БА в тыс. руб.'!I275*1000</f>
        <v>67262680.000000015</v>
      </c>
      <c r="O275" s="169">
        <f t="shared" si="186"/>
        <v>0</v>
      </c>
      <c r="P275" s="16"/>
      <c r="Q275" s="16"/>
      <c r="R275" s="16"/>
      <c r="S275" s="16"/>
      <c r="T275" s="16"/>
      <c r="U275" s="16"/>
    </row>
    <row r="276" spans="1:21" s="109" customFormat="1" ht="12.75">
      <c r="A276" s="17" t="s">
        <v>64</v>
      </c>
      <c r="B276" s="18" t="s">
        <v>29</v>
      </c>
      <c r="C276" s="19" t="s">
        <v>65</v>
      </c>
      <c r="D276" s="19" t="s">
        <v>51</v>
      </c>
      <c r="E276" s="19" t="s">
        <v>196</v>
      </c>
      <c r="F276" s="19" t="s">
        <v>58</v>
      </c>
      <c r="G276" s="20">
        <f>G277</f>
        <v>69598086.5</v>
      </c>
      <c r="H276" s="20">
        <f>H277</f>
        <v>66470680</v>
      </c>
      <c r="I276" s="20">
        <f>I277</f>
        <v>66470680</v>
      </c>
      <c r="J276" s="16">
        <f>'БА в тыс. руб.'!G276*1000</f>
        <v>69598090</v>
      </c>
      <c r="K276" s="169">
        <f t="shared" si="184"/>
        <v>3.5</v>
      </c>
      <c r="L276" s="16">
        <f>'БА в тыс. руб.'!H276*1000</f>
        <v>66470680.000000007</v>
      </c>
      <c r="M276" s="169">
        <f t="shared" si="185"/>
        <v>0</v>
      </c>
      <c r="N276" s="16">
        <f>'БА в тыс. руб.'!I276*1000</f>
        <v>66470680.000000007</v>
      </c>
      <c r="O276" s="169">
        <f t="shared" si="186"/>
        <v>0</v>
      </c>
      <c r="P276" s="16"/>
      <c r="Q276" s="16"/>
      <c r="R276" s="16"/>
      <c r="S276" s="16"/>
      <c r="T276" s="16"/>
      <c r="U276" s="16"/>
    </row>
    <row r="277" spans="1:21" s="109" customFormat="1" ht="12.75">
      <c r="A277" s="21" t="s">
        <v>38</v>
      </c>
      <c r="B277" s="22" t="s">
        <v>29</v>
      </c>
      <c r="C277" s="23" t="s">
        <v>65</v>
      </c>
      <c r="D277" s="23" t="s">
        <v>84</v>
      </c>
      <c r="E277" s="23" t="s">
        <v>196</v>
      </c>
      <c r="F277" s="23" t="s">
        <v>58</v>
      </c>
      <c r="G277" s="24">
        <f>G278+G308+G296+G302</f>
        <v>69598086.5</v>
      </c>
      <c r="H277" s="24">
        <f>H278+H308+H296+H302</f>
        <v>66470680</v>
      </c>
      <c r="I277" s="24">
        <f>I278+I308+I296+I302</f>
        <v>66470680</v>
      </c>
      <c r="J277" s="16">
        <f>'БА в тыс. руб.'!G277*1000</f>
        <v>69598090</v>
      </c>
      <c r="K277" s="169">
        <f t="shared" si="184"/>
        <v>3.5</v>
      </c>
      <c r="L277" s="16">
        <f>'БА в тыс. руб.'!H277*1000</f>
        <v>66470680.000000007</v>
      </c>
      <c r="M277" s="169">
        <f t="shared" si="185"/>
        <v>0</v>
      </c>
      <c r="N277" s="16">
        <f>'БА в тыс. руб.'!I277*1000</f>
        <v>66470680.000000007</v>
      </c>
      <c r="O277" s="169">
        <f t="shared" si="186"/>
        <v>0</v>
      </c>
      <c r="P277" s="16"/>
      <c r="Q277" s="16"/>
      <c r="R277" s="16"/>
      <c r="S277" s="16"/>
      <c r="T277" s="16"/>
      <c r="U277" s="16"/>
    </row>
    <row r="278" spans="1:21" s="109" customFormat="1" ht="38.25">
      <c r="A278" s="13" t="s">
        <v>745</v>
      </c>
      <c r="B278" s="25" t="s">
        <v>29</v>
      </c>
      <c r="C278" s="26" t="s">
        <v>65</v>
      </c>
      <c r="D278" s="26" t="s">
        <v>84</v>
      </c>
      <c r="E278" s="26" t="s">
        <v>280</v>
      </c>
      <c r="F278" s="26" t="s">
        <v>58</v>
      </c>
      <c r="G278" s="27">
        <f>G279</f>
        <v>5231410</v>
      </c>
      <c r="H278" s="27">
        <f>H279</f>
        <v>5065270</v>
      </c>
      <c r="I278" s="27">
        <f>I279</f>
        <v>5065270</v>
      </c>
      <c r="J278" s="16">
        <f>'БА в тыс. руб.'!G278*1000</f>
        <v>5231410.0000000009</v>
      </c>
      <c r="K278" s="169">
        <f t="shared" si="184"/>
        <v>0</v>
      </c>
      <c r="L278" s="16">
        <f>'БА в тыс. руб.'!H278*1000</f>
        <v>5065270</v>
      </c>
      <c r="M278" s="169">
        <f t="shared" si="185"/>
        <v>0</v>
      </c>
      <c r="N278" s="16">
        <f>'БА в тыс. руб.'!I278*1000</f>
        <v>5065270</v>
      </c>
      <c r="O278" s="169">
        <f t="shared" si="186"/>
        <v>0</v>
      </c>
      <c r="P278" s="16"/>
      <c r="Q278" s="16"/>
      <c r="R278" s="16"/>
      <c r="S278" s="16"/>
      <c r="T278" s="16"/>
      <c r="U278" s="16"/>
    </row>
    <row r="279" spans="1:21" s="109" customFormat="1" ht="51">
      <c r="A279" s="13" t="s">
        <v>746</v>
      </c>
      <c r="B279" s="25" t="s">
        <v>29</v>
      </c>
      <c r="C279" s="26" t="s">
        <v>65</v>
      </c>
      <c r="D279" s="26" t="s">
        <v>84</v>
      </c>
      <c r="E279" s="26" t="s">
        <v>281</v>
      </c>
      <c r="F279" s="26" t="s">
        <v>58</v>
      </c>
      <c r="G279" s="27">
        <f>G280+G292</f>
        <v>5231410</v>
      </c>
      <c r="H279" s="27">
        <f>H280+H292</f>
        <v>5065270</v>
      </c>
      <c r="I279" s="27">
        <f>I280+I292</f>
        <v>5065270</v>
      </c>
      <c r="J279" s="16">
        <f>'БА в тыс. руб.'!G279*1000</f>
        <v>5231410.0000000009</v>
      </c>
      <c r="K279" s="169">
        <f t="shared" si="184"/>
        <v>0</v>
      </c>
      <c r="L279" s="16">
        <f>'БА в тыс. руб.'!H279*1000</f>
        <v>5065270</v>
      </c>
      <c r="M279" s="169">
        <f t="shared" si="185"/>
        <v>0</v>
      </c>
      <c r="N279" s="16">
        <f>'БА в тыс. руб.'!I279*1000</f>
        <v>5065270</v>
      </c>
      <c r="O279" s="169">
        <f t="shared" si="186"/>
        <v>0</v>
      </c>
      <c r="P279" s="16"/>
      <c r="Q279" s="16"/>
      <c r="R279" s="16"/>
      <c r="S279" s="16"/>
      <c r="T279" s="16"/>
      <c r="U279" s="16"/>
    </row>
    <row r="280" spans="1:21" s="109" customFormat="1" ht="38.25">
      <c r="A280" s="11" t="s">
        <v>282</v>
      </c>
      <c r="B280" s="25" t="s">
        <v>29</v>
      </c>
      <c r="C280" s="26" t="s">
        <v>65</v>
      </c>
      <c r="D280" s="26" t="s">
        <v>84</v>
      </c>
      <c r="E280" s="26" t="s">
        <v>283</v>
      </c>
      <c r="F280" s="26" t="s">
        <v>58</v>
      </c>
      <c r="G280" s="27">
        <f>G281+G286+G289</f>
        <v>4850610</v>
      </c>
      <c r="H280" s="27">
        <f>H281+H286+H289</f>
        <v>4722550</v>
      </c>
      <c r="I280" s="27">
        <f>I281+I286+I289</f>
        <v>4722550</v>
      </c>
      <c r="J280" s="16">
        <f>'БА в тыс. руб.'!G280*1000</f>
        <v>4850610.0000000009</v>
      </c>
      <c r="K280" s="169">
        <f t="shared" si="184"/>
        <v>0</v>
      </c>
      <c r="L280" s="16">
        <f>'БА в тыс. руб.'!H280*1000</f>
        <v>4722550</v>
      </c>
      <c r="M280" s="169">
        <f t="shared" si="185"/>
        <v>0</v>
      </c>
      <c r="N280" s="16">
        <f>'БА в тыс. руб.'!I280*1000</f>
        <v>4722550</v>
      </c>
      <c r="O280" s="169">
        <f t="shared" si="186"/>
        <v>0</v>
      </c>
      <c r="P280" s="16"/>
      <c r="Q280" s="16"/>
      <c r="R280" s="16"/>
      <c r="S280" s="16"/>
      <c r="T280" s="16"/>
      <c r="U280" s="16"/>
    </row>
    <row r="281" spans="1:21" s="109" customFormat="1" ht="51">
      <c r="A281" s="11" t="s">
        <v>165</v>
      </c>
      <c r="B281" s="25" t="s">
        <v>29</v>
      </c>
      <c r="C281" s="26" t="s">
        <v>65</v>
      </c>
      <c r="D281" s="26" t="s">
        <v>84</v>
      </c>
      <c r="E281" s="26" t="s">
        <v>284</v>
      </c>
      <c r="F281" s="26" t="s">
        <v>58</v>
      </c>
      <c r="G281" s="27">
        <f>G282+G284</f>
        <v>1363000</v>
      </c>
      <c r="H281" s="27">
        <f t="shared" ref="H281:I281" si="194">H282+H284</f>
        <v>1261000</v>
      </c>
      <c r="I281" s="27">
        <f t="shared" si="194"/>
        <v>1261000</v>
      </c>
      <c r="J281" s="16">
        <f>'БА в тыс. руб.'!G281*1000</f>
        <v>1363000</v>
      </c>
      <c r="K281" s="169">
        <f t="shared" si="184"/>
        <v>0</v>
      </c>
      <c r="L281" s="16">
        <f>'БА в тыс. руб.'!H281*1000</f>
        <v>1261000</v>
      </c>
      <c r="M281" s="169">
        <f t="shared" si="185"/>
        <v>0</v>
      </c>
      <c r="N281" s="16">
        <f>'БА в тыс. руб.'!I281*1000</f>
        <v>1261000</v>
      </c>
      <c r="O281" s="169">
        <f t="shared" si="186"/>
        <v>0</v>
      </c>
      <c r="P281" s="16"/>
      <c r="Q281" s="16"/>
      <c r="R281" s="16"/>
      <c r="S281" s="16"/>
      <c r="T281" s="16"/>
      <c r="U281" s="16"/>
    </row>
    <row r="282" spans="1:21" s="109" customFormat="1" ht="25.5">
      <c r="A282" s="11" t="s">
        <v>108</v>
      </c>
      <c r="B282" s="25" t="s">
        <v>29</v>
      </c>
      <c r="C282" s="26" t="s">
        <v>65</v>
      </c>
      <c r="D282" s="26" t="s">
        <v>84</v>
      </c>
      <c r="E282" s="26" t="s">
        <v>284</v>
      </c>
      <c r="F282" s="26" t="s">
        <v>116</v>
      </c>
      <c r="G282" s="27">
        <f>G283</f>
        <v>1350000</v>
      </c>
      <c r="H282" s="27">
        <f t="shared" ref="H282:I282" si="195">H283</f>
        <v>1250000</v>
      </c>
      <c r="I282" s="27">
        <f t="shared" si="195"/>
        <v>1250000</v>
      </c>
      <c r="J282" s="16">
        <f>'БА в тыс. руб.'!G282*1000</f>
        <v>1350000</v>
      </c>
      <c r="K282" s="169">
        <f t="shared" si="184"/>
        <v>0</v>
      </c>
      <c r="L282" s="16">
        <f>'БА в тыс. руб.'!H282*1000</f>
        <v>1250000</v>
      </c>
      <c r="M282" s="169">
        <f t="shared" si="185"/>
        <v>0</v>
      </c>
      <c r="N282" s="16">
        <f>'БА в тыс. руб.'!I282*1000</f>
        <v>1250000</v>
      </c>
      <c r="O282" s="169">
        <f t="shared" si="186"/>
        <v>0</v>
      </c>
      <c r="P282" s="16"/>
      <c r="Q282" s="16"/>
      <c r="R282" s="16"/>
      <c r="S282" s="16"/>
      <c r="T282" s="16"/>
      <c r="U282" s="16"/>
    </row>
    <row r="283" spans="1:21" s="110" customFormat="1" ht="25.5">
      <c r="A283" s="12" t="s">
        <v>973</v>
      </c>
      <c r="B283" s="25" t="s">
        <v>29</v>
      </c>
      <c r="C283" s="26" t="s">
        <v>65</v>
      </c>
      <c r="D283" s="26" t="s">
        <v>84</v>
      </c>
      <c r="E283" s="26" t="s">
        <v>284</v>
      </c>
      <c r="F283" s="26" t="s">
        <v>1043</v>
      </c>
      <c r="G283" s="27">
        <f t="shared" ref="G283" si="196">J283</f>
        <v>1350000</v>
      </c>
      <c r="H283" s="27">
        <f>L283</f>
        <v>1250000</v>
      </c>
      <c r="I283" s="27">
        <f>N283</f>
        <v>1250000</v>
      </c>
      <c r="J283" s="16">
        <f>'БА в тыс. руб.'!G283*1000</f>
        <v>1350000</v>
      </c>
      <c r="K283" s="169">
        <f t="shared" si="184"/>
        <v>0</v>
      </c>
      <c r="L283" s="16">
        <f>'БА в тыс. руб.'!H283*1000</f>
        <v>1250000</v>
      </c>
      <c r="M283" s="169">
        <f t="shared" si="185"/>
        <v>0</v>
      </c>
      <c r="N283" s="16">
        <f>'БА в тыс. руб.'!I283*1000</f>
        <v>1250000</v>
      </c>
      <c r="O283" s="169">
        <f t="shared" si="186"/>
        <v>0</v>
      </c>
      <c r="P283" s="16"/>
      <c r="Q283" s="16"/>
      <c r="R283" s="16"/>
      <c r="S283" s="16"/>
      <c r="T283" s="16"/>
      <c r="U283" s="16"/>
    </row>
    <row r="284" spans="1:21" s="109" customFormat="1" ht="12.75">
      <c r="A284" s="11" t="s">
        <v>97</v>
      </c>
      <c r="B284" s="25" t="s">
        <v>29</v>
      </c>
      <c r="C284" s="26" t="s">
        <v>65</v>
      </c>
      <c r="D284" s="26" t="s">
        <v>84</v>
      </c>
      <c r="E284" s="26" t="s">
        <v>284</v>
      </c>
      <c r="F284" s="26" t="s">
        <v>118</v>
      </c>
      <c r="G284" s="27">
        <f>G285</f>
        <v>13000</v>
      </c>
      <c r="H284" s="27">
        <f t="shared" ref="H284:I284" si="197">H285</f>
        <v>11000</v>
      </c>
      <c r="I284" s="27">
        <f t="shared" si="197"/>
        <v>11000</v>
      </c>
      <c r="J284" s="16">
        <f>'БА в тыс. руб.'!G284*1000</f>
        <v>13000</v>
      </c>
      <c r="K284" s="169">
        <f t="shared" si="184"/>
        <v>0</v>
      </c>
      <c r="L284" s="16">
        <f>'БА в тыс. руб.'!H284*1000</f>
        <v>11000</v>
      </c>
      <c r="M284" s="169">
        <f t="shared" si="185"/>
        <v>0</v>
      </c>
      <c r="N284" s="16">
        <f>'БА в тыс. руб.'!I284*1000</f>
        <v>11000</v>
      </c>
      <c r="O284" s="169">
        <f t="shared" si="186"/>
        <v>0</v>
      </c>
      <c r="P284" s="16"/>
      <c r="Q284" s="16"/>
      <c r="R284" s="16"/>
      <c r="S284" s="16"/>
      <c r="T284" s="16"/>
      <c r="U284" s="16"/>
    </row>
    <row r="285" spans="1:21" s="110" customFormat="1" ht="12.75">
      <c r="A285" s="12" t="s">
        <v>1037</v>
      </c>
      <c r="B285" s="25" t="s">
        <v>29</v>
      </c>
      <c r="C285" s="26" t="s">
        <v>65</v>
      </c>
      <c r="D285" s="26" t="s">
        <v>84</v>
      </c>
      <c r="E285" s="26" t="s">
        <v>284</v>
      </c>
      <c r="F285" s="26" t="s">
        <v>1062</v>
      </c>
      <c r="G285" s="27">
        <f t="shared" ref="G285" si="198">J285</f>
        <v>13000</v>
      </c>
      <c r="H285" s="27">
        <f>L285</f>
        <v>11000</v>
      </c>
      <c r="I285" s="27">
        <f>N285</f>
        <v>11000</v>
      </c>
      <c r="J285" s="16">
        <f>'БА в тыс. руб.'!G285*1000</f>
        <v>13000</v>
      </c>
      <c r="K285" s="169">
        <f t="shared" si="184"/>
        <v>0</v>
      </c>
      <c r="L285" s="16">
        <f>'БА в тыс. руб.'!H285*1000</f>
        <v>11000</v>
      </c>
      <c r="M285" s="169">
        <f t="shared" si="185"/>
        <v>0</v>
      </c>
      <c r="N285" s="16">
        <f>'БА в тыс. руб.'!I285*1000</f>
        <v>11000</v>
      </c>
      <c r="O285" s="169">
        <f t="shared" si="186"/>
        <v>0</v>
      </c>
      <c r="P285" s="16"/>
      <c r="Q285" s="16"/>
      <c r="R285" s="16"/>
      <c r="S285" s="16"/>
      <c r="T285" s="16"/>
      <c r="U285" s="16"/>
    </row>
    <row r="286" spans="1:21" s="109" customFormat="1" ht="27" customHeight="1">
      <c r="A286" s="11" t="s">
        <v>166</v>
      </c>
      <c r="B286" s="25" t="s">
        <v>29</v>
      </c>
      <c r="C286" s="26" t="s">
        <v>65</v>
      </c>
      <c r="D286" s="26" t="s">
        <v>84</v>
      </c>
      <c r="E286" s="26" t="s">
        <v>285</v>
      </c>
      <c r="F286" s="26" t="s">
        <v>58</v>
      </c>
      <c r="G286" s="27">
        <f>G287</f>
        <v>1729980</v>
      </c>
      <c r="H286" s="27">
        <f>H287</f>
        <v>1703920</v>
      </c>
      <c r="I286" s="27">
        <f>I287</f>
        <v>1703920</v>
      </c>
      <c r="J286" s="16">
        <f>'БА в тыс. руб.'!G286*1000</f>
        <v>1729980</v>
      </c>
      <c r="K286" s="169">
        <f t="shared" si="184"/>
        <v>0</v>
      </c>
      <c r="L286" s="16">
        <f>'БА в тыс. руб.'!H286*1000</f>
        <v>1703920</v>
      </c>
      <c r="M286" s="169">
        <f t="shared" si="185"/>
        <v>0</v>
      </c>
      <c r="N286" s="16">
        <f>'БА в тыс. руб.'!I286*1000</f>
        <v>1703920</v>
      </c>
      <c r="O286" s="169">
        <f t="shared" si="186"/>
        <v>0</v>
      </c>
      <c r="P286" s="16"/>
      <c r="Q286" s="16"/>
      <c r="R286" s="16"/>
      <c r="S286" s="16"/>
      <c r="T286" s="16"/>
      <c r="U286" s="16"/>
    </row>
    <row r="287" spans="1:21" s="109" customFormat="1" ht="27" customHeight="1">
      <c r="A287" s="11" t="s">
        <v>108</v>
      </c>
      <c r="B287" s="25" t="s">
        <v>29</v>
      </c>
      <c r="C287" s="26" t="s">
        <v>65</v>
      </c>
      <c r="D287" s="26" t="s">
        <v>84</v>
      </c>
      <c r="E287" s="26" t="s">
        <v>285</v>
      </c>
      <c r="F287" s="26" t="s">
        <v>116</v>
      </c>
      <c r="G287" s="27">
        <f>G288</f>
        <v>1729980</v>
      </c>
      <c r="H287" s="27">
        <f t="shared" ref="H287:I287" si="199">H288</f>
        <v>1703920</v>
      </c>
      <c r="I287" s="27">
        <f t="shared" si="199"/>
        <v>1703920</v>
      </c>
      <c r="J287" s="16">
        <f>'БА в тыс. руб.'!G287*1000</f>
        <v>1729980</v>
      </c>
      <c r="K287" s="169">
        <f t="shared" si="184"/>
        <v>0</v>
      </c>
      <c r="L287" s="16">
        <f>'БА в тыс. руб.'!H287*1000</f>
        <v>1703920</v>
      </c>
      <c r="M287" s="169">
        <f t="shared" si="185"/>
        <v>0</v>
      </c>
      <c r="N287" s="16">
        <f>'БА в тыс. руб.'!I287*1000</f>
        <v>1703920</v>
      </c>
      <c r="O287" s="169">
        <f t="shared" si="186"/>
        <v>0</v>
      </c>
      <c r="P287" s="16"/>
      <c r="Q287" s="16"/>
      <c r="R287" s="16"/>
      <c r="S287" s="16"/>
      <c r="T287" s="16"/>
      <c r="U287" s="16"/>
    </row>
    <row r="288" spans="1:21" s="110" customFormat="1" ht="27" customHeight="1">
      <c r="A288" s="12" t="s">
        <v>973</v>
      </c>
      <c r="B288" s="25" t="s">
        <v>29</v>
      </c>
      <c r="C288" s="26" t="s">
        <v>65</v>
      </c>
      <c r="D288" s="26" t="s">
        <v>84</v>
      </c>
      <c r="E288" s="26" t="s">
        <v>285</v>
      </c>
      <c r="F288" s="26" t="s">
        <v>1043</v>
      </c>
      <c r="G288" s="27">
        <f t="shared" ref="G288" si="200">J288</f>
        <v>1729980</v>
      </c>
      <c r="H288" s="27">
        <f>L288</f>
        <v>1703920</v>
      </c>
      <c r="I288" s="27">
        <f>N288</f>
        <v>1703920</v>
      </c>
      <c r="J288" s="16">
        <f>'БА в тыс. руб.'!G288*1000</f>
        <v>1729980</v>
      </c>
      <c r="K288" s="169">
        <f t="shared" si="184"/>
        <v>0</v>
      </c>
      <c r="L288" s="16">
        <f>'БА в тыс. руб.'!H288*1000</f>
        <v>1703920</v>
      </c>
      <c r="M288" s="169">
        <f t="shared" si="185"/>
        <v>0</v>
      </c>
      <c r="N288" s="16">
        <f>'БА в тыс. руб.'!I288*1000</f>
        <v>1703920</v>
      </c>
      <c r="O288" s="169">
        <f t="shared" si="186"/>
        <v>0</v>
      </c>
      <c r="P288" s="16"/>
      <c r="Q288" s="16"/>
      <c r="R288" s="16"/>
      <c r="S288" s="16"/>
      <c r="T288" s="16"/>
      <c r="U288" s="16"/>
    </row>
    <row r="289" spans="1:21" s="109" customFormat="1" ht="27" customHeight="1">
      <c r="A289" s="11" t="s">
        <v>859</v>
      </c>
      <c r="B289" s="25" t="s">
        <v>29</v>
      </c>
      <c r="C289" s="26" t="s">
        <v>65</v>
      </c>
      <c r="D289" s="26" t="s">
        <v>84</v>
      </c>
      <c r="E289" s="26" t="s">
        <v>858</v>
      </c>
      <c r="F289" s="26" t="s">
        <v>58</v>
      </c>
      <c r="G289" s="27">
        <f>G290</f>
        <v>1757630</v>
      </c>
      <c r="H289" s="27">
        <f t="shared" ref="H289:I290" si="201">H290</f>
        <v>1757630</v>
      </c>
      <c r="I289" s="27">
        <f t="shared" si="201"/>
        <v>1757630</v>
      </c>
      <c r="J289" s="16">
        <f>'БА в тыс. руб.'!G289*1000</f>
        <v>1757630</v>
      </c>
      <c r="K289" s="169">
        <f t="shared" si="184"/>
        <v>0</v>
      </c>
      <c r="L289" s="16">
        <f>'БА в тыс. руб.'!H289*1000</f>
        <v>1757630</v>
      </c>
      <c r="M289" s="169">
        <f t="shared" si="185"/>
        <v>0</v>
      </c>
      <c r="N289" s="16">
        <f>'БА в тыс. руб.'!I289*1000</f>
        <v>1757630</v>
      </c>
      <c r="O289" s="169">
        <f t="shared" si="186"/>
        <v>0</v>
      </c>
      <c r="P289" s="16"/>
      <c r="Q289" s="16"/>
      <c r="R289" s="16"/>
      <c r="S289" s="16"/>
      <c r="T289" s="16"/>
      <c r="U289" s="16"/>
    </row>
    <row r="290" spans="1:21" s="109" customFormat="1" ht="25.5">
      <c r="A290" s="11" t="s">
        <v>108</v>
      </c>
      <c r="B290" s="25" t="s">
        <v>29</v>
      </c>
      <c r="C290" s="26" t="s">
        <v>65</v>
      </c>
      <c r="D290" s="26" t="s">
        <v>84</v>
      </c>
      <c r="E290" s="26" t="s">
        <v>858</v>
      </c>
      <c r="F290" s="26" t="s">
        <v>116</v>
      </c>
      <c r="G290" s="27">
        <f>G291</f>
        <v>1757630</v>
      </c>
      <c r="H290" s="27">
        <f t="shared" si="201"/>
        <v>1757630</v>
      </c>
      <c r="I290" s="27">
        <f t="shared" si="201"/>
        <v>1757630</v>
      </c>
      <c r="J290" s="16">
        <f>'БА в тыс. руб.'!G290*1000</f>
        <v>1757630</v>
      </c>
      <c r="K290" s="169">
        <f t="shared" si="184"/>
        <v>0</v>
      </c>
      <c r="L290" s="16">
        <f>'БА в тыс. руб.'!H290*1000</f>
        <v>1757630</v>
      </c>
      <c r="M290" s="169">
        <f t="shared" si="185"/>
        <v>0</v>
      </c>
      <c r="N290" s="16">
        <f>'БА в тыс. руб.'!I290*1000</f>
        <v>1757630</v>
      </c>
      <c r="O290" s="169">
        <f t="shared" si="186"/>
        <v>0</v>
      </c>
      <c r="P290" s="16"/>
      <c r="Q290" s="16"/>
      <c r="R290" s="16"/>
      <c r="S290" s="16"/>
      <c r="T290" s="16"/>
      <c r="U290" s="16"/>
    </row>
    <row r="291" spans="1:21" s="110" customFormat="1" ht="25.5">
      <c r="A291" s="12" t="s">
        <v>973</v>
      </c>
      <c r="B291" s="25" t="s">
        <v>29</v>
      </c>
      <c r="C291" s="26" t="s">
        <v>65</v>
      </c>
      <c r="D291" s="26" t="s">
        <v>84</v>
      </c>
      <c r="E291" s="26" t="s">
        <v>858</v>
      </c>
      <c r="F291" s="26" t="s">
        <v>1043</v>
      </c>
      <c r="G291" s="27">
        <f t="shared" ref="G291" si="202">J291</f>
        <v>1757630</v>
      </c>
      <c r="H291" s="27">
        <f>L291</f>
        <v>1757630</v>
      </c>
      <c r="I291" s="27">
        <f>N291</f>
        <v>1757630</v>
      </c>
      <c r="J291" s="16">
        <f>'БА в тыс. руб.'!G291*1000</f>
        <v>1757630</v>
      </c>
      <c r="K291" s="169">
        <f t="shared" si="184"/>
        <v>0</v>
      </c>
      <c r="L291" s="16">
        <f>'БА в тыс. руб.'!H291*1000</f>
        <v>1757630</v>
      </c>
      <c r="M291" s="169">
        <f t="shared" si="185"/>
        <v>0</v>
      </c>
      <c r="N291" s="16">
        <f>'БА в тыс. руб.'!I291*1000</f>
        <v>1757630</v>
      </c>
      <c r="O291" s="169">
        <f t="shared" si="186"/>
        <v>0</v>
      </c>
      <c r="P291" s="16"/>
      <c r="Q291" s="16"/>
      <c r="R291" s="16"/>
      <c r="S291" s="16"/>
      <c r="T291" s="16"/>
      <c r="U291" s="16"/>
    </row>
    <row r="292" spans="1:21" s="109" customFormat="1" ht="51">
      <c r="A292" s="76" t="s">
        <v>852</v>
      </c>
      <c r="B292" s="25" t="s">
        <v>29</v>
      </c>
      <c r="C292" s="26" t="s">
        <v>65</v>
      </c>
      <c r="D292" s="26" t="s">
        <v>84</v>
      </c>
      <c r="E292" s="26" t="s">
        <v>289</v>
      </c>
      <c r="F292" s="26" t="s">
        <v>58</v>
      </c>
      <c r="G292" s="27">
        <f t="shared" ref="G292:I294" si="203">G293</f>
        <v>380800</v>
      </c>
      <c r="H292" s="27">
        <f t="shared" si="203"/>
        <v>342720</v>
      </c>
      <c r="I292" s="27">
        <f t="shared" si="203"/>
        <v>342720</v>
      </c>
      <c r="J292" s="16">
        <f>'БА в тыс. руб.'!G292*1000</f>
        <v>380800</v>
      </c>
      <c r="K292" s="169">
        <f t="shared" si="184"/>
        <v>0</v>
      </c>
      <c r="L292" s="16">
        <f>'БА в тыс. руб.'!H292*1000</f>
        <v>342720</v>
      </c>
      <c r="M292" s="169">
        <f t="shared" si="185"/>
        <v>0</v>
      </c>
      <c r="N292" s="16">
        <f>'БА в тыс. руб.'!I292*1000</f>
        <v>342720</v>
      </c>
      <c r="O292" s="169">
        <f t="shared" si="186"/>
        <v>0</v>
      </c>
      <c r="P292" s="16"/>
      <c r="Q292" s="16"/>
      <c r="R292" s="16"/>
      <c r="S292" s="16"/>
      <c r="T292" s="16"/>
      <c r="U292" s="16"/>
    </row>
    <row r="293" spans="1:21" s="109" customFormat="1" ht="51">
      <c r="A293" s="11" t="s">
        <v>168</v>
      </c>
      <c r="B293" s="25" t="s">
        <v>29</v>
      </c>
      <c r="C293" s="26" t="s">
        <v>65</v>
      </c>
      <c r="D293" s="26" t="s">
        <v>84</v>
      </c>
      <c r="E293" s="26" t="s">
        <v>290</v>
      </c>
      <c r="F293" s="26" t="s">
        <v>58</v>
      </c>
      <c r="G293" s="27">
        <f t="shared" si="203"/>
        <v>380800</v>
      </c>
      <c r="H293" s="27">
        <f t="shared" si="203"/>
        <v>342720</v>
      </c>
      <c r="I293" s="27">
        <f t="shared" si="203"/>
        <v>342720</v>
      </c>
      <c r="J293" s="16">
        <f>'БА в тыс. руб.'!G293*1000</f>
        <v>380800</v>
      </c>
      <c r="K293" s="169">
        <f t="shared" si="184"/>
        <v>0</v>
      </c>
      <c r="L293" s="16">
        <f>'БА в тыс. руб.'!H293*1000</f>
        <v>342720</v>
      </c>
      <c r="M293" s="169">
        <f t="shared" si="185"/>
        <v>0</v>
      </c>
      <c r="N293" s="16">
        <f>'БА в тыс. руб.'!I293*1000</f>
        <v>342720</v>
      </c>
      <c r="O293" s="169">
        <f t="shared" si="186"/>
        <v>0</v>
      </c>
      <c r="P293" s="16"/>
      <c r="Q293" s="16"/>
      <c r="R293" s="16"/>
      <c r="S293" s="16"/>
      <c r="T293" s="16"/>
      <c r="U293" s="16"/>
    </row>
    <row r="294" spans="1:21" s="109" customFormat="1" ht="25.5">
      <c r="A294" s="11" t="s">
        <v>108</v>
      </c>
      <c r="B294" s="25" t="s">
        <v>29</v>
      </c>
      <c r="C294" s="26" t="s">
        <v>65</v>
      </c>
      <c r="D294" s="26" t="s">
        <v>84</v>
      </c>
      <c r="E294" s="26" t="s">
        <v>290</v>
      </c>
      <c r="F294" s="26" t="s">
        <v>116</v>
      </c>
      <c r="G294" s="27">
        <f>G295</f>
        <v>380800</v>
      </c>
      <c r="H294" s="27">
        <f t="shared" si="203"/>
        <v>342720</v>
      </c>
      <c r="I294" s="27">
        <f t="shared" si="203"/>
        <v>342720</v>
      </c>
      <c r="J294" s="16">
        <f>'БА в тыс. руб.'!G294*1000</f>
        <v>380800</v>
      </c>
      <c r="K294" s="169">
        <f t="shared" si="184"/>
        <v>0</v>
      </c>
      <c r="L294" s="16">
        <f>'БА в тыс. руб.'!H294*1000</f>
        <v>342720</v>
      </c>
      <c r="M294" s="169">
        <f t="shared" si="185"/>
        <v>0</v>
      </c>
      <c r="N294" s="16">
        <f>'БА в тыс. руб.'!I294*1000</f>
        <v>342720</v>
      </c>
      <c r="O294" s="169">
        <f t="shared" si="186"/>
        <v>0</v>
      </c>
      <c r="P294" s="16"/>
      <c r="Q294" s="16"/>
      <c r="R294" s="16"/>
      <c r="S294" s="16"/>
      <c r="T294" s="16"/>
      <c r="U294" s="16"/>
    </row>
    <row r="295" spans="1:21" s="110" customFormat="1" ht="25.5">
      <c r="A295" s="12" t="s">
        <v>973</v>
      </c>
      <c r="B295" s="25" t="s">
        <v>29</v>
      </c>
      <c r="C295" s="26" t="s">
        <v>65</v>
      </c>
      <c r="D295" s="26" t="s">
        <v>84</v>
      </c>
      <c r="E295" s="26" t="s">
        <v>290</v>
      </c>
      <c r="F295" s="26" t="s">
        <v>1043</v>
      </c>
      <c r="G295" s="27">
        <f t="shared" ref="G295" si="204">J295</f>
        <v>380800</v>
      </c>
      <c r="H295" s="27">
        <f>L295</f>
        <v>342720</v>
      </c>
      <c r="I295" s="27">
        <f>N295</f>
        <v>342720</v>
      </c>
      <c r="J295" s="16">
        <f>'БА в тыс. руб.'!G295*1000</f>
        <v>380800</v>
      </c>
      <c r="K295" s="169">
        <f t="shared" si="184"/>
        <v>0</v>
      </c>
      <c r="L295" s="16">
        <f>'БА в тыс. руб.'!H295*1000</f>
        <v>342720</v>
      </c>
      <c r="M295" s="169">
        <f t="shared" si="185"/>
        <v>0</v>
      </c>
      <c r="N295" s="16">
        <f>'БА в тыс. руб.'!I295*1000</f>
        <v>342720</v>
      </c>
      <c r="O295" s="169">
        <f t="shared" si="186"/>
        <v>0</v>
      </c>
      <c r="P295" s="16"/>
      <c r="Q295" s="16"/>
      <c r="R295" s="16"/>
      <c r="S295" s="16"/>
      <c r="T295" s="16"/>
      <c r="U295" s="16"/>
    </row>
    <row r="296" spans="1:21" s="109" customFormat="1" ht="38.25">
      <c r="A296" s="34" t="s">
        <v>751</v>
      </c>
      <c r="B296" s="25" t="s">
        <v>29</v>
      </c>
      <c r="C296" s="26" t="s">
        <v>65</v>
      </c>
      <c r="D296" s="26" t="s">
        <v>84</v>
      </c>
      <c r="E296" s="26" t="s">
        <v>229</v>
      </c>
      <c r="F296" s="26" t="s">
        <v>58</v>
      </c>
      <c r="G296" s="27">
        <f t="shared" ref="G296:I300" si="205">G297</f>
        <v>478000</v>
      </c>
      <c r="H296" s="27">
        <f t="shared" si="205"/>
        <v>478000</v>
      </c>
      <c r="I296" s="27">
        <f t="shared" si="205"/>
        <v>478000</v>
      </c>
      <c r="J296" s="16">
        <f>'БА в тыс. руб.'!G296*1000</f>
        <v>478000</v>
      </c>
      <c r="K296" s="169">
        <f t="shared" si="184"/>
        <v>0</v>
      </c>
      <c r="L296" s="16">
        <f>'БА в тыс. руб.'!H296*1000</f>
        <v>478000</v>
      </c>
      <c r="M296" s="169">
        <f t="shared" si="185"/>
        <v>0</v>
      </c>
      <c r="N296" s="16">
        <f>'БА в тыс. руб.'!I296*1000</f>
        <v>478000</v>
      </c>
      <c r="O296" s="169">
        <f t="shared" si="186"/>
        <v>0</v>
      </c>
      <c r="P296" s="16"/>
      <c r="Q296" s="16"/>
      <c r="R296" s="16"/>
      <c r="S296" s="16"/>
      <c r="T296" s="16"/>
      <c r="U296" s="16"/>
    </row>
    <row r="297" spans="1:21" s="109" customFormat="1" ht="25.5">
      <c r="A297" s="34" t="s">
        <v>119</v>
      </c>
      <c r="B297" s="25" t="s">
        <v>29</v>
      </c>
      <c r="C297" s="26" t="s">
        <v>65</v>
      </c>
      <c r="D297" s="26" t="s">
        <v>84</v>
      </c>
      <c r="E297" s="26" t="s">
        <v>230</v>
      </c>
      <c r="F297" s="26" t="s">
        <v>58</v>
      </c>
      <c r="G297" s="27">
        <f t="shared" si="205"/>
        <v>478000</v>
      </c>
      <c r="H297" s="27">
        <f t="shared" si="205"/>
        <v>478000</v>
      </c>
      <c r="I297" s="27">
        <f t="shared" si="205"/>
        <v>478000</v>
      </c>
      <c r="J297" s="16">
        <f>'БА в тыс. руб.'!G297*1000</f>
        <v>478000</v>
      </c>
      <c r="K297" s="169">
        <f t="shared" si="184"/>
        <v>0</v>
      </c>
      <c r="L297" s="16">
        <f>'БА в тыс. руб.'!H297*1000</f>
        <v>478000</v>
      </c>
      <c r="M297" s="169">
        <f t="shared" si="185"/>
        <v>0</v>
      </c>
      <c r="N297" s="16">
        <f>'БА в тыс. руб.'!I297*1000</f>
        <v>478000</v>
      </c>
      <c r="O297" s="169">
        <f t="shared" si="186"/>
        <v>0</v>
      </c>
      <c r="P297" s="16"/>
      <c r="Q297" s="16"/>
      <c r="R297" s="16"/>
      <c r="S297" s="16"/>
      <c r="T297" s="16"/>
      <c r="U297" s="16"/>
    </row>
    <row r="298" spans="1:21" s="109" customFormat="1" ht="38.25">
      <c r="A298" s="34" t="s">
        <v>234</v>
      </c>
      <c r="B298" s="25" t="s">
        <v>29</v>
      </c>
      <c r="C298" s="26" t="s">
        <v>65</v>
      </c>
      <c r="D298" s="26" t="s">
        <v>84</v>
      </c>
      <c r="E298" s="26" t="s">
        <v>235</v>
      </c>
      <c r="F298" s="26" t="s">
        <v>58</v>
      </c>
      <c r="G298" s="27">
        <f t="shared" si="205"/>
        <v>478000</v>
      </c>
      <c r="H298" s="27">
        <f t="shared" si="205"/>
        <v>478000</v>
      </c>
      <c r="I298" s="27">
        <f t="shared" si="205"/>
        <v>478000</v>
      </c>
      <c r="J298" s="16">
        <f>'БА в тыс. руб.'!G298*1000</f>
        <v>478000</v>
      </c>
      <c r="K298" s="169">
        <f t="shared" si="184"/>
        <v>0</v>
      </c>
      <c r="L298" s="16">
        <f>'БА в тыс. руб.'!H298*1000</f>
        <v>478000</v>
      </c>
      <c r="M298" s="169">
        <f t="shared" si="185"/>
        <v>0</v>
      </c>
      <c r="N298" s="16">
        <f>'БА в тыс. руб.'!I298*1000</f>
        <v>478000</v>
      </c>
      <c r="O298" s="169">
        <f t="shared" si="186"/>
        <v>0</v>
      </c>
      <c r="P298" s="16"/>
      <c r="Q298" s="16"/>
      <c r="R298" s="16"/>
      <c r="S298" s="16"/>
      <c r="T298" s="16"/>
      <c r="U298" s="16"/>
    </row>
    <row r="299" spans="1:21" s="109" customFormat="1" ht="25.5">
      <c r="A299" s="34" t="s">
        <v>170</v>
      </c>
      <c r="B299" s="25" t="s">
        <v>29</v>
      </c>
      <c r="C299" s="26" t="s">
        <v>65</v>
      </c>
      <c r="D299" s="26" t="s">
        <v>84</v>
      </c>
      <c r="E299" s="26" t="s">
        <v>236</v>
      </c>
      <c r="F299" s="26" t="s">
        <v>58</v>
      </c>
      <c r="G299" s="27">
        <f t="shared" si="205"/>
        <v>478000</v>
      </c>
      <c r="H299" s="27">
        <f t="shared" si="205"/>
        <v>478000</v>
      </c>
      <c r="I299" s="27">
        <f t="shared" si="205"/>
        <v>478000</v>
      </c>
      <c r="J299" s="16">
        <f>'БА в тыс. руб.'!G299*1000</f>
        <v>478000</v>
      </c>
      <c r="K299" s="169">
        <f t="shared" si="184"/>
        <v>0</v>
      </c>
      <c r="L299" s="16">
        <f>'БА в тыс. руб.'!H299*1000</f>
        <v>478000</v>
      </c>
      <c r="M299" s="169">
        <f t="shared" si="185"/>
        <v>0</v>
      </c>
      <c r="N299" s="16">
        <f>'БА в тыс. руб.'!I299*1000</f>
        <v>478000</v>
      </c>
      <c r="O299" s="169">
        <f t="shared" si="186"/>
        <v>0</v>
      </c>
      <c r="P299" s="16"/>
      <c r="Q299" s="16"/>
      <c r="R299" s="16"/>
      <c r="S299" s="16"/>
      <c r="T299" s="16"/>
      <c r="U299" s="16"/>
    </row>
    <row r="300" spans="1:21" s="109" customFormat="1" ht="25.5">
      <c r="A300" s="11" t="s">
        <v>108</v>
      </c>
      <c r="B300" s="25" t="s">
        <v>29</v>
      </c>
      <c r="C300" s="26" t="s">
        <v>65</v>
      </c>
      <c r="D300" s="26" t="s">
        <v>84</v>
      </c>
      <c r="E300" s="26" t="s">
        <v>236</v>
      </c>
      <c r="F300" s="26" t="s">
        <v>116</v>
      </c>
      <c r="G300" s="27">
        <f>G301</f>
        <v>478000</v>
      </c>
      <c r="H300" s="27">
        <f t="shared" si="205"/>
        <v>478000</v>
      </c>
      <c r="I300" s="27">
        <f t="shared" si="205"/>
        <v>478000</v>
      </c>
      <c r="J300" s="16">
        <f>'БА в тыс. руб.'!G300*1000</f>
        <v>478000</v>
      </c>
      <c r="K300" s="169">
        <f t="shared" si="184"/>
        <v>0</v>
      </c>
      <c r="L300" s="16">
        <f>'БА в тыс. руб.'!H300*1000</f>
        <v>478000</v>
      </c>
      <c r="M300" s="169">
        <f t="shared" si="185"/>
        <v>0</v>
      </c>
      <c r="N300" s="16">
        <f>'БА в тыс. руб.'!I300*1000</f>
        <v>478000</v>
      </c>
      <c r="O300" s="169">
        <f t="shared" si="186"/>
        <v>0</v>
      </c>
      <c r="P300" s="16"/>
      <c r="Q300" s="16"/>
      <c r="R300" s="16"/>
      <c r="S300" s="16"/>
      <c r="T300" s="16"/>
      <c r="U300" s="16"/>
    </row>
    <row r="301" spans="1:21" s="110" customFormat="1" ht="25.5">
      <c r="A301" s="12" t="s">
        <v>973</v>
      </c>
      <c r="B301" s="25" t="s">
        <v>29</v>
      </c>
      <c r="C301" s="26" t="s">
        <v>65</v>
      </c>
      <c r="D301" s="26" t="s">
        <v>84</v>
      </c>
      <c r="E301" s="26" t="s">
        <v>236</v>
      </c>
      <c r="F301" s="26" t="s">
        <v>1043</v>
      </c>
      <c r="G301" s="27">
        <f t="shared" ref="G301" si="206">J301</f>
        <v>478000</v>
      </c>
      <c r="H301" s="27">
        <f>L301</f>
        <v>478000</v>
      </c>
      <c r="I301" s="27">
        <f>N301</f>
        <v>478000</v>
      </c>
      <c r="J301" s="16">
        <f>'БА в тыс. руб.'!G301*1000</f>
        <v>478000</v>
      </c>
      <c r="K301" s="169">
        <f t="shared" si="184"/>
        <v>0</v>
      </c>
      <c r="L301" s="16">
        <f>'БА в тыс. руб.'!H301*1000</f>
        <v>478000</v>
      </c>
      <c r="M301" s="169">
        <f t="shared" si="185"/>
        <v>0</v>
      </c>
      <c r="N301" s="16">
        <f>'БА в тыс. руб.'!I301*1000</f>
        <v>478000</v>
      </c>
      <c r="O301" s="169">
        <f t="shared" si="186"/>
        <v>0</v>
      </c>
      <c r="P301" s="16"/>
      <c r="Q301" s="16"/>
      <c r="R301" s="16"/>
      <c r="S301" s="16"/>
      <c r="T301" s="16"/>
      <c r="U301" s="16"/>
    </row>
    <row r="302" spans="1:21" s="3" customFormat="1" ht="38.25">
      <c r="A302" s="12" t="s">
        <v>752</v>
      </c>
      <c r="B302" s="25" t="s">
        <v>29</v>
      </c>
      <c r="C302" s="35" t="s">
        <v>65</v>
      </c>
      <c r="D302" s="35">
        <v>13</v>
      </c>
      <c r="E302" s="35" t="s">
        <v>249</v>
      </c>
      <c r="F302" s="35" t="s">
        <v>58</v>
      </c>
      <c r="G302" s="38">
        <f>G303</f>
        <v>3000000</v>
      </c>
      <c r="H302" s="38">
        <f t="shared" ref="H302:I303" si="207">H303</f>
        <v>0</v>
      </c>
      <c r="I302" s="38">
        <f t="shared" si="207"/>
        <v>0</v>
      </c>
      <c r="J302" s="16">
        <f>'БА в тыс. руб.'!G302*1000</f>
        <v>3000000</v>
      </c>
      <c r="K302" s="169">
        <f t="shared" si="184"/>
        <v>0</v>
      </c>
      <c r="L302" s="16">
        <f>'БА в тыс. руб.'!H302*1000</f>
        <v>0</v>
      </c>
      <c r="M302" s="169">
        <f t="shared" si="185"/>
        <v>0</v>
      </c>
      <c r="N302" s="16">
        <f>'БА в тыс. руб.'!I302*1000</f>
        <v>0</v>
      </c>
      <c r="O302" s="169">
        <f t="shared" si="186"/>
        <v>0</v>
      </c>
      <c r="P302" s="16"/>
      <c r="Q302" s="16"/>
      <c r="R302" s="16"/>
      <c r="S302" s="16"/>
      <c r="T302" s="16"/>
      <c r="U302" s="16"/>
    </row>
    <row r="303" spans="1:21" s="3" customFormat="1">
      <c r="A303" s="11" t="s">
        <v>753</v>
      </c>
      <c r="B303" s="25" t="s">
        <v>29</v>
      </c>
      <c r="C303" s="35" t="s">
        <v>65</v>
      </c>
      <c r="D303" s="35">
        <v>13</v>
      </c>
      <c r="E303" s="35" t="s">
        <v>250</v>
      </c>
      <c r="F303" s="35" t="s">
        <v>58</v>
      </c>
      <c r="G303" s="38">
        <f>G304</f>
        <v>3000000</v>
      </c>
      <c r="H303" s="38">
        <f t="shared" si="207"/>
        <v>0</v>
      </c>
      <c r="I303" s="38">
        <f t="shared" si="207"/>
        <v>0</v>
      </c>
      <c r="J303" s="16">
        <f>'БА в тыс. руб.'!G303*1000</f>
        <v>3000000</v>
      </c>
      <c r="K303" s="169">
        <f t="shared" si="184"/>
        <v>0</v>
      </c>
      <c r="L303" s="16">
        <f>'БА в тыс. руб.'!H303*1000</f>
        <v>0</v>
      </c>
      <c r="M303" s="169">
        <f t="shared" si="185"/>
        <v>0</v>
      </c>
      <c r="N303" s="16">
        <f>'БА в тыс. руб.'!I303*1000</f>
        <v>0</v>
      </c>
      <c r="O303" s="169">
        <f t="shared" si="186"/>
        <v>0</v>
      </c>
      <c r="P303" s="16"/>
      <c r="Q303" s="16"/>
      <c r="R303" s="16"/>
      <c r="S303" s="16"/>
      <c r="T303" s="16"/>
      <c r="U303" s="16"/>
    </row>
    <row r="304" spans="1:21" s="3" customFormat="1" ht="25.5">
      <c r="A304" s="31" t="s">
        <v>618</v>
      </c>
      <c r="B304" s="25" t="s">
        <v>29</v>
      </c>
      <c r="C304" s="35" t="s">
        <v>65</v>
      </c>
      <c r="D304" s="35">
        <v>13</v>
      </c>
      <c r="E304" s="35" t="s">
        <v>540</v>
      </c>
      <c r="F304" s="35" t="s">
        <v>58</v>
      </c>
      <c r="G304" s="38">
        <f t="shared" ref="G304:I306" si="208">G305</f>
        <v>3000000</v>
      </c>
      <c r="H304" s="38">
        <f t="shared" si="208"/>
        <v>0</v>
      </c>
      <c r="I304" s="38">
        <f t="shared" si="208"/>
        <v>0</v>
      </c>
      <c r="J304" s="16">
        <f>'БА в тыс. руб.'!G304*1000</f>
        <v>3000000</v>
      </c>
      <c r="K304" s="169">
        <f t="shared" si="184"/>
        <v>0</v>
      </c>
      <c r="L304" s="16">
        <f>'БА в тыс. руб.'!H304*1000</f>
        <v>0</v>
      </c>
      <c r="M304" s="169">
        <f t="shared" si="185"/>
        <v>0</v>
      </c>
      <c r="N304" s="16">
        <f>'БА в тыс. руб.'!I304*1000</f>
        <v>0</v>
      </c>
      <c r="O304" s="169">
        <f t="shared" si="186"/>
        <v>0</v>
      </c>
      <c r="P304" s="16"/>
      <c r="Q304" s="16"/>
      <c r="R304" s="16"/>
      <c r="S304" s="16"/>
      <c r="T304" s="16"/>
      <c r="U304" s="16"/>
    </row>
    <row r="305" spans="1:21" s="3" customFormat="1" ht="25.5">
      <c r="A305" s="31" t="s">
        <v>122</v>
      </c>
      <c r="B305" s="25" t="s">
        <v>29</v>
      </c>
      <c r="C305" s="35" t="s">
        <v>65</v>
      </c>
      <c r="D305" s="35">
        <v>13</v>
      </c>
      <c r="E305" s="35" t="s">
        <v>571</v>
      </c>
      <c r="F305" s="35" t="s">
        <v>58</v>
      </c>
      <c r="G305" s="38">
        <f t="shared" si="208"/>
        <v>3000000</v>
      </c>
      <c r="H305" s="38">
        <f t="shared" si="208"/>
        <v>0</v>
      </c>
      <c r="I305" s="38">
        <f t="shared" si="208"/>
        <v>0</v>
      </c>
      <c r="J305" s="16">
        <f>'БА в тыс. руб.'!G305*1000</f>
        <v>3000000</v>
      </c>
      <c r="K305" s="169">
        <f t="shared" si="184"/>
        <v>0</v>
      </c>
      <c r="L305" s="16">
        <f>'БА в тыс. руб.'!H305*1000</f>
        <v>0</v>
      </c>
      <c r="M305" s="169">
        <f t="shared" si="185"/>
        <v>0</v>
      </c>
      <c r="N305" s="16">
        <f>'БА в тыс. руб.'!I305*1000</f>
        <v>0</v>
      </c>
      <c r="O305" s="169">
        <f t="shared" si="186"/>
        <v>0</v>
      </c>
      <c r="P305" s="16"/>
      <c r="Q305" s="16"/>
      <c r="R305" s="16"/>
      <c r="S305" s="16"/>
      <c r="T305" s="16"/>
      <c r="U305" s="16"/>
    </row>
    <row r="306" spans="1:21" s="3" customFormat="1" ht="25.5">
      <c r="A306" s="31" t="s">
        <v>108</v>
      </c>
      <c r="B306" s="25" t="s">
        <v>29</v>
      </c>
      <c r="C306" s="35" t="s">
        <v>65</v>
      </c>
      <c r="D306" s="35">
        <v>13</v>
      </c>
      <c r="E306" s="35" t="s">
        <v>571</v>
      </c>
      <c r="F306" s="35" t="s">
        <v>116</v>
      </c>
      <c r="G306" s="27">
        <f>G307</f>
        <v>3000000</v>
      </c>
      <c r="H306" s="27">
        <f t="shared" si="208"/>
        <v>0</v>
      </c>
      <c r="I306" s="27">
        <f t="shared" si="208"/>
        <v>0</v>
      </c>
      <c r="J306" s="16">
        <f>'БА в тыс. руб.'!G306*1000</f>
        <v>3000000</v>
      </c>
      <c r="K306" s="169">
        <f t="shared" si="184"/>
        <v>0</v>
      </c>
      <c r="L306" s="16">
        <f>'БА в тыс. руб.'!H306*1000</f>
        <v>0</v>
      </c>
      <c r="M306" s="169">
        <f t="shared" si="185"/>
        <v>0</v>
      </c>
      <c r="N306" s="16">
        <f>'БА в тыс. руб.'!I306*1000</f>
        <v>0</v>
      </c>
      <c r="O306" s="169">
        <f t="shared" si="186"/>
        <v>0</v>
      </c>
      <c r="P306" s="16"/>
      <c r="Q306" s="16"/>
      <c r="R306" s="16"/>
      <c r="S306" s="16"/>
      <c r="T306" s="16"/>
      <c r="U306" s="16"/>
    </row>
    <row r="307" spans="1:21" s="4" customFormat="1" ht="25.5">
      <c r="A307" s="12" t="s">
        <v>973</v>
      </c>
      <c r="B307" s="25" t="s">
        <v>29</v>
      </c>
      <c r="C307" s="35" t="s">
        <v>65</v>
      </c>
      <c r="D307" s="35">
        <v>13</v>
      </c>
      <c r="E307" s="35" t="s">
        <v>571</v>
      </c>
      <c r="F307" s="35" t="s">
        <v>1043</v>
      </c>
      <c r="G307" s="27">
        <f t="shared" ref="G307" si="209">J307</f>
        <v>3000000</v>
      </c>
      <c r="H307" s="27">
        <f>L307</f>
        <v>0</v>
      </c>
      <c r="I307" s="27">
        <f>N307</f>
        <v>0</v>
      </c>
      <c r="J307" s="16">
        <f>'БА в тыс. руб.'!G307*1000</f>
        <v>3000000</v>
      </c>
      <c r="K307" s="169">
        <f t="shared" si="184"/>
        <v>0</v>
      </c>
      <c r="L307" s="16">
        <f>'БА в тыс. руб.'!H307*1000</f>
        <v>0</v>
      </c>
      <c r="M307" s="169">
        <f t="shared" si="185"/>
        <v>0</v>
      </c>
      <c r="N307" s="16">
        <f>'БА в тыс. руб.'!I307*1000</f>
        <v>0</v>
      </c>
      <c r="O307" s="169">
        <f t="shared" si="186"/>
        <v>0</v>
      </c>
      <c r="P307" s="16"/>
      <c r="Q307" s="16"/>
      <c r="R307" s="16"/>
      <c r="S307" s="16"/>
      <c r="T307" s="16"/>
      <c r="U307" s="16"/>
    </row>
    <row r="308" spans="1:21" s="109" customFormat="1" ht="25.5">
      <c r="A308" s="11" t="s">
        <v>291</v>
      </c>
      <c r="B308" s="25" t="s">
        <v>29</v>
      </c>
      <c r="C308" s="26" t="s">
        <v>65</v>
      </c>
      <c r="D308" s="26" t="s">
        <v>84</v>
      </c>
      <c r="E308" s="26" t="s">
        <v>292</v>
      </c>
      <c r="F308" s="26" t="s">
        <v>58</v>
      </c>
      <c r="G308" s="27">
        <f>G309</f>
        <v>60888676.5</v>
      </c>
      <c r="H308" s="27">
        <f t="shared" ref="H308:I308" si="210">H309</f>
        <v>60927410</v>
      </c>
      <c r="I308" s="27">
        <f t="shared" si="210"/>
        <v>60927410</v>
      </c>
      <c r="J308" s="16">
        <f>'БА в тыс. руб.'!G308*1000</f>
        <v>60888680</v>
      </c>
      <c r="K308" s="169">
        <f t="shared" si="184"/>
        <v>3.5</v>
      </c>
      <c r="L308" s="16">
        <f>'БА в тыс. руб.'!H308*1000</f>
        <v>60927410</v>
      </c>
      <c r="M308" s="169">
        <f t="shared" si="185"/>
        <v>0</v>
      </c>
      <c r="N308" s="16">
        <f>'БА в тыс. руб.'!I308*1000</f>
        <v>60927410</v>
      </c>
      <c r="O308" s="169">
        <f t="shared" si="186"/>
        <v>0</v>
      </c>
      <c r="P308" s="16"/>
      <c r="Q308" s="16"/>
      <c r="R308" s="16"/>
      <c r="S308" s="16"/>
      <c r="T308" s="16"/>
      <c r="U308" s="16"/>
    </row>
    <row r="309" spans="1:21" s="109" customFormat="1" ht="38.25">
      <c r="A309" s="11" t="s">
        <v>581</v>
      </c>
      <c r="B309" s="25" t="s">
        <v>29</v>
      </c>
      <c r="C309" s="26" t="s">
        <v>65</v>
      </c>
      <c r="D309" s="26" t="s">
        <v>84</v>
      </c>
      <c r="E309" s="26" t="s">
        <v>293</v>
      </c>
      <c r="F309" s="26" t="s">
        <v>58</v>
      </c>
      <c r="G309" s="27">
        <f>G319+G310</f>
        <v>60888676.5</v>
      </c>
      <c r="H309" s="27">
        <f t="shared" ref="H309:I309" si="211">H319+H310</f>
        <v>60927410</v>
      </c>
      <c r="I309" s="27">
        <f t="shared" si="211"/>
        <v>60927410</v>
      </c>
      <c r="J309" s="16">
        <f>'БА в тыс. руб.'!G309*1000</f>
        <v>60888680</v>
      </c>
      <c r="K309" s="169">
        <f t="shared" si="184"/>
        <v>3.5</v>
      </c>
      <c r="L309" s="16">
        <f>'БА в тыс. руб.'!H309*1000</f>
        <v>60927410</v>
      </c>
      <c r="M309" s="169">
        <f t="shared" si="185"/>
        <v>0</v>
      </c>
      <c r="N309" s="16">
        <f>'БА в тыс. руб.'!I309*1000</f>
        <v>60927410</v>
      </c>
      <c r="O309" s="169">
        <f t="shared" si="186"/>
        <v>0</v>
      </c>
      <c r="P309" s="16"/>
      <c r="Q309" s="16"/>
      <c r="R309" s="16"/>
      <c r="S309" s="16"/>
      <c r="T309" s="16"/>
      <c r="U309" s="16"/>
    </row>
    <row r="310" spans="1:21" s="109" customFormat="1" ht="25.5">
      <c r="A310" s="11" t="s">
        <v>114</v>
      </c>
      <c r="B310" s="25" t="s">
        <v>29</v>
      </c>
      <c r="C310" s="26" t="s">
        <v>65</v>
      </c>
      <c r="D310" s="26" t="s">
        <v>84</v>
      </c>
      <c r="E310" s="26" t="s">
        <v>294</v>
      </c>
      <c r="F310" s="26" t="s">
        <v>58</v>
      </c>
      <c r="G310" s="27">
        <f>G311+G314+G316</f>
        <v>10065106.5</v>
      </c>
      <c r="H310" s="27">
        <f t="shared" ref="H310:I310" si="212">H311+H314+H316</f>
        <v>10103840</v>
      </c>
      <c r="I310" s="27">
        <f t="shared" si="212"/>
        <v>10103840</v>
      </c>
      <c r="J310" s="16">
        <f>'БА в тыс. руб.'!G310*1000</f>
        <v>10065110</v>
      </c>
      <c r="K310" s="169">
        <f t="shared" si="184"/>
        <v>3.5</v>
      </c>
      <c r="L310" s="16">
        <f>'БА в тыс. руб.'!H310*1000</f>
        <v>10103840</v>
      </c>
      <c r="M310" s="169">
        <f t="shared" si="185"/>
        <v>0</v>
      </c>
      <c r="N310" s="16">
        <f>'БА в тыс. руб.'!I310*1000</f>
        <v>10103840</v>
      </c>
      <c r="O310" s="169">
        <f t="shared" si="186"/>
        <v>0</v>
      </c>
      <c r="P310" s="16"/>
      <c r="Q310" s="16"/>
      <c r="R310" s="16"/>
      <c r="S310" s="16"/>
      <c r="T310" s="16"/>
      <c r="U310" s="16"/>
    </row>
    <row r="311" spans="1:21" s="109" customFormat="1" ht="25.5">
      <c r="A311" s="12" t="s">
        <v>107</v>
      </c>
      <c r="B311" s="25" t="s">
        <v>29</v>
      </c>
      <c r="C311" s="26" t="s">
        <v>65</v>
      </c>
      <c r="D311" s="26" t="s">
        <v>84</v>
      </c>
      <c r="E311" s="26" t="s">
        <v>294</v>
      </c>
      <c r="F311" s="26" t="s">
        <v>115</v>
      </c>
      <c r="G311" s="27">
        <f>SUM(G312:G313)</f>
        <v>1328030</v>
      </c>
      <c r="H311" s="27">
        <f t="shared" ref="H311:I311" si="213">SUM(H312:H313)</f>
        <v>1328030</v>
      </c>
      <c r="I311" s="27">
        <f t="shared" si="213"/>
        <v>1328030</v>
      </c>
      <c r="J311" s="16">
        <f>'БА в тыс. руб.'!G311*1000</f>
        <v>1328030</v>
      </c>
      <c r="K311" s="169">
        <f t="shared" si="184"/>
        <v>0</v>
      </c>
      <c r="L311" s="16">
        <f>'БА в тыс. руб.'!H311*1000</f>
        <v>1328030</v>
      </c>
      <c r="M311" s="169">
        <f t="shared" si="185"/>
        <v>0</v>
      </c>
      <c r="N311" s="16">
        <f>'БА в тыс. руб.'!I311*1000</f>
        <v>1328030</v>
      </c>
      <c r="O311" s="169">
        <f t="shared" si="186"/>
        <v>0</v>
      </c>
      <c r="P311" s="16"/>
      <c r="Q311" s="16"/>
      <c r="R311" s="16"/>
      <c r="S311" s="16"/>
      <c r="T311" s="16"/>
      <c r="U311" s="16"/>
    </row>
    <row r="312" spans="1:21" s="110" customFormat="1" ht="25.5">
      <c r="A312" s="12" t="s">
        <v>937</v>
      </c>
      <c r="B312" s="25" t="s">
        <v>29</v>
      </c>
      <c r="C312" s="26" t="s">
        <v>65</v>
      </c>
      <c r="D312" s="26" t="s">
        <v>84</v>
      </c>
      <c r="E312" s="26" t="s">
        <v>294</v>
      </c>
      <c r="F312" s="26" t="s">
        <v>1059</v>
      </c>
      <c r="G312" s="27">
        <f t="shared" ref="G312:G313" si="214">J312</f>
        <v>1033119.9999999999</v>
      </c>
      <c r="H312" s="27">
        <f t="shared" ref="H312:H313" si="215">L312</f>
        <v>1033119.9999999999</v>
      </c>
      <c r="I312" s="27">
        <f t="shared" ref="I312:I313" si="216">N312</f>
        <v>1033119.9999999999</v>
      </c>
      <c r="J312" s="16">
        <f>'БА в тыс. руб.'!G312*1000</f>
        <v>1033119.9999999999</v>
      </c>
      <c r="K312" s="169">
        <f t="shared" si="184"/>
        <v>0</v>
      </c>
      <c r="L312" s="16">
        <f>'БА в тыс. руб.'!H312*1000</f>
        <v>1033119.9999999999</v>
      </c>
      <c r="M312" s="169">
        <f t="shared" si="185"/>
        <v>0</v>
      </c>
      <c r="N312" s="16">
        <f>'БА в тыс. руб.'!I312*1000</f>
        <v>1033119.9999999999</v>
      </c>
      <c r="O312" s="169">
        <f t="shared" si="186"/>
        <v>0</v>
      </c>
      <c r="P312" s="16"/>
      <c r="Q312" s="16"/>
      <c r="R312" s="16"/>
      <c r="S312" s="16"/>
      <c r="T312" s="16"/>
      <c r="U312" s="16"/>
    </row>
    <row r="313" spans="1:21" s="110" customFormat="1" ht="38.25">
      <c r="A313" s="12" t="s">
        <v>939</v>
      </c>
      <c r="B313" s="25" t="s">
        <v>29</v>
      </c>
      <c r="C313" s="26" t="s">
        <v>65</v>
      </c>
      <c r="D313" s="26" t="s">
        <v>84</v>
      </c>
      <c r="E313" s="26" t="s">
        <v>294</v>
      </c>
      <c r="F313" s="26" t="s">
        <v>1060</v>
      </c>
      <c r="G313" s="27">
        <f t="shared" si="214"/>
        <v>294910</v>
      </c>
      <c r="H313" s="27">
        <f t="shared" si="215"/>
        <v>294910</v>
      </c>
      <c r="I313" s="27">
        <f t="shared" si="216"/>
        <v>294910</v>
      </c>
      <c r="J313" s="16">
        <f>'БА в тыс. руб.'!G313*1000</f>
        <v>294910</v>
      </c>
      <c r="K313" s="169">
        <f t="shared" si="184"/>
        <v>0</v>
      </c>
      <c r="L313" s="16">
        <f>'БА в тыс. руб.'!H313*1000</f>
        <v>294910</v>
      </c>
      <c r="M313" s="169">
        <f t="shared" si="185"/>
        <v>0</v>
      </c>
      <c r="N313" s="16">
        <f>'БА в тыс. руб.'!I313*1000</f>
        <v>294910</v>
      </c>
      <c r="O313" s="169">
        <f t="shared" si="186"/>
        <v>0</v>
      </c>
      <c r="P313" s="16"/>
      <c r="Q313" s="16"/>
      <c r="R313" s="16"/>
      <c r="S313" s="16"/>
      <c r="T313" s="16"/>
      <c r="U313" s="16"/>
    </row>
    <row r="314" spans="1:21" s="109" customFormat="1" ht="25.5">
      <c r="A314" s="11" t="s">
        <v>108</v>
      </c>
      <c r="B314" s="25" t="s">
        <v>29</v>
      </c>
      <c r="C314" s="26" t="s">
        <v>65</v>
      </c>
      <c r="D314" s="26" t="s">
        <v>84</v>
      </c>
      <c r="E314" s="26" t="s">
        <v>294</v>
      </c>
      <c r="F314" s="26" t="s">
        <v>116</v>
      </c>
      <c r="G314" s="27">
        <f>G315</f>
        <v>8589406.5</v>
      </c>
      <c r="H314" s="27">
        <f t="shared" ref="H314:I314" si="217">H315</f>
        <v>8628140</v>
      </c>
      <c r="I314" s="27">
        <f t="shared" si="217"/>
        <v>8628140</v>
      </c>
      <c r="J314" s="16">
        <f>'БА в тыс. руб.'!G314*1000</f>
        <v>8589410</v>
      </c>
      <c r="K314" s="169">
        <f t="shared" si="184"/>
        <v>3.5</v>
      </c>
      <c r="L314" s="16">
        <f>'БА в тыс. руб.'!H314*1000</f>
        <v>8628140</v>
      </c>
      <c r="M314" s="169">
        <f t="shared" si="185"/>
        <v>0</v>
      </c>
      <c r="N314" s="16">
        <f>'БА в тыс. руб.'!I314*1000</f>
        <v>8628140</v>
      </c>
      <c r="O314" s="169">
        <f t="shared" si="186"/>
        <v>0</v>
      </c>
      <c r="P314" s="16"/>
      <c r="Q314" s="16"/>
      <c r="R314" s="16"/>
      <c r="S314" s="16"/>
      <c r="T314" s="16"/>
      <c r="U314" s="16"/>
    </row>
    <row r="315" spans="1:21" s="110" customFormat="1" ht="25.5">
      <c r="A315" s="12" t="s">
        <v>973</v>
      </c>
      <c r="B315" s="25" t="s">
        <v>29</v>
      </c>
      <c r="C315" s="26" t="s">
        <v>65</v>
      </c>
      <c r="D315" s="26" t="s">
        <v>84</v>
      </c>
      <c r="E315" s="26" t="s">
        <v>294</v>
      </c>
      <c r="F315" s="26" t="s">
        <v>1043</v>
      </c>
      <c r="G315" s="27">
        <f>J315-3.5</f>
        <v>8589406.5</v>
      </c>
      <c r="H315" s="27">
        <f>L315</f>
        <v>8628140</v>
      </c>
      <c r="I315" s="27">
        <f>N315</f>
        <v>8628140</v>
      </c>
      <c r="J315" s="16">
        <f>'БА в тыс. руб.'!G315*1000</f>
        <v>8589410</v>
      </c>
      <c r="K315" s="169">
        <f t="shared" si="184"/>
        <v>3.5</v>
      </c>
      <c r="L315" s="16">
        <f>'БА в тыс. руб.'!H315*1000</f>
        <v>8628140</v>
      </c>
      <c r="M315" s="169">
        <f t="shared" si="185"/>
        <v>0</v>
      </c>
      <c r="N315" s="16">
        <f>'БА в тыс. руб.'!I315*1000</f>
        <v>8628140</v>
      </c>
      <c r="O315" s="169">
        <f t="shared" si="186"/>
        <v>0</v>
      </c>
      <c r="P315" s="16"/>
      <c r="Q315" s="16"/>
      <c r="R315" s="16"/>
      <c r="S315" s="16"/>
      <c r="T315" s="16"/>
      <c r="U315" s="16"/>
    </row>
    <row r="316" spans="1:21" s="109" customFormat="1" ht="12.75">
      <c r="A316" s="11" t="s">
        <v>97</v>
      </c>
      <c r="B316" s="25" t="s">
        <v>29</v>
      </c>
      <c r="C316" s="26" t="s">
        <v>65</v>
      </c>
      <c r="D316" s="26" t="s">
        <v>84</v>
      </c>
      <c r="E316" s="26" t="s">
        <v>294</v>
      </c>
      <c r="F316" s="26" t="s">
        <v>118</v>
      </c>
      <c r="G316" s="27">
        <f>SUM(G317:G318)</f>
        <v>147670</v>
      </c>
      <c r="H316" s="27">
        <f t="shared" ref="H316:I316" si="218">SUM(H317:H318)</f>
        <v>147670</v>
      </c>
      <c r="I316" s="27">
        <f t="shared" si="218"/>
        <v>147670</v>
      </c>
      <c r="J316" s="16">
        <f>'БА в тыс. руб.'!G316*1000</f>
        <v>147670</v>
      </c>
      <c r="K316" s="169">
        <f t="shared" si="184"/>
        <v>0</v>
      </c>
      <c r="L316" s="16">
        <f>'БА в тыс. руб.'!H316*1000</f>
        <v>147670</v>
      </c>
      <c r="M316" s="169">
        <f t="shared" si="185"/>
        <v>0</v>
      </c>
      <c r="N316" s="16">
        <f>'БА в тыс. руб.'!I316*1000</f>
        <v>147670</v>
      </c>
      <c r="O316" s="169">
        <f t="shared" si="186"/>
        <v>0</v>
      </c>
      <c r="P316" s="16"/>
      <c r="Q316" s="16"/>
      <c r="R316" s="16"/>
      <c r="S316" s="16"/>
      <c r="T316" s="16"/>
      <c r="U316" s="16"/>
    </row>
    <row r="317" spans="1:21" s="100" customFormat="1" ht="12.75">
      <c r="A317" s="12" t="s">
        <v>1036</v>
      </c>
      <c r="B317" s="25" t="s">
        <v>29</v>
      </c>
      <c r="C317" s="26" t="s">
        <v>65</v>
      </c>
      <c r="D317" s="26" t="s">
        <v>84</v>
      </c>
      <c r="E317" s="26" t="s">
        <v>294</v>
      </c>
      <c r="F317" s="26" t="s">
        <v>1061</v>
      </c>
      <c r="G317" s="27">
        <f t="shared" ref="G317:G318" si="219">J317</f>
        <v>86550</v>
      </c>
      <c r="H317" s="27">
        <f t="shared" ref="H317:H318" si="220">L317</f>
        <v>86550</v>
      </c>
      <c r="I317" s="27">
        <f t="shared" ref="I317:I318" si="221">N317</f>
        <v>86550</v>
      </c>
      <c r="J317" s="16">
        <f>'БА в тыс. руб.'!G317*1000</f>
        <v>86550</v>
      </c>
      <c r="K317" s="169">
        <f t="shared" si="184"/>
        <v>0</v>
      </c>
      <c r="L317" s="16">
        <f>'БА в тыс. руб.'!H317*1000</f>
        <v>86550</v>
      </c>
      <c r="M317" s="169">
        <f t="shared" si="185"/>
        <v>0</v>
      </c>
      <c r="N317" s="16">
        <f>'БА в тыс. руб.'!I317*1000</f>
        <v>86550</v>
      </c>
      <c r="O317" s="169">
        <f t="shared" si="186"/>
        <v>0</v>
      </c>
      <c r="P317" s="16"/>
      <c r="Q317" s="16"/>
      <c r="R317" s="16"/>
      <c r="S317" s="16"/>
      <c r="T317" s="16"/>
      <c r="U317" s="16"/>
    </row>
    <row r="318" spans="1:21" s="100" customFormat="1" ht="12.75">
      <c r="A318" s="12" t="s">
        <v>1037</v>
      </c>
      <c r="B318" s="25" t="s">
        <v>29</v>
      </c>
      <c r="C318" s="26" t="s">
        <v>65</v>
      </c>
      <c r="D318" s="26" t="s">
        <v>84</v>
      </c>
      <c r="E318" s="26" t="s">
        <v>294</v>
      </c>
      <c r="F318" s="26" t="s">
        <v>1062</v>
      </c>
      <c r="G318" s="27">
        <f t="shared" si="219"/>
        <v>61120</v>
      </c>
      <c r="H318" s="27">
        <f t="shared" si="220"/>
        <v>61120</v>
      </c>
      <c r="I318" s="27">
        <f t="shared" si="221"/>
        <v>61120</v>
      </c>
      <c r="J318" s="16">
        <f>'БА в тыс. руб.'!G318*1000</f>
        <v>61120</v>
      </c>
      <c r="K318" s="169">
        <f t="shared" si="184"/>
        <v>0</v>
      </c>
      <c r="L318" s="16">
        <f>'БА в тыс. руб.'!H318*1000</f>
        <v>61120</v>
      </c>
      <c r="M318" s="169">
        <f t="shared" si="185"/>
        <v>0</v>
      </c>
      <c r="N318" s="16">
        <f>'БА в тыс. руб.'!I318*1000</f>
        <v>61120</v>
      </c>
      <c r="O318" s="169">
        <f t="shared" si="186"/>
        <v>0</v>
      </c>
      <c r="P318" s="16"/>
      <c r="Q318" s="16"/>
      <c r="R318" s="16"/>
      <c r="S318" s="16"/>
      <c r="T318" s="16"/>
      <c r="U318" s="16"/>
    </row>
    <row r="319" spans="1:21" s="109" customFormat="1" ht="25.5">
      <c r="A319" s="11" t="s">
        <v>126</v>
      </c>
      <c r="B319" s="25" t="s">
        <v>29</v>
      </c>
      <c r="C319" s="26" t="s">
        <v>65</v>
      </c>
      <c r="D319" s="26" t="s">
        <v>84</v>
      </c>
      <c r="E319" s="26" t="s">
        <v>295</v>
      </c>
      <c r="F319" s="26" t="s">
        <v>58</v>
      </c>
      <c r="G319" s="27">
        <f>SUM(G320:G320)</f>
        <v>50823570</v>
      </c>
      <c r="H319" s="27">
        <f>SUM(H320:H320)</f>
        <v>50823570</v>
      </c>
      <c r="I319" s="27">
        <f>SUM(I320:I320)</f>
        <v>50823570</v>
      </c>
      <c r="J319" s="16">
        <f>'БА в тыс. руб.'!G319*1000</f>
        <v>50823570</v>
      </c>
      <c r="K319" s="169">
        <f t="shared" si="184"/>
        <v>0</v>
      </c>
      <c r="L319" s="16">
        <f>'БА в тыс. руб.'!H319*1000</f>
        <v>50823570</v>
      </c>
      <c r="M319" s="169">
        <f t="shared" si="185"/>
        <v>0</v>
      </c>
      <c r="N319" s="16">
        <f>'БА в тыс. руб.'!I319*1000</f>
        <v>50823570</v>
      </c>
      <c r="O319" s="169">
        <f t="shared" si="186"/>
        <v>0</v>
      </c>
      <c r="P319" s="16"/>
      <c r="Q319" s="16"/>
      <c r="R319" s="16"/>
      <c r="S319" s="16"/>
      <c r="T319" s="16"/>
      <c r="U319" s="16"/>
    </row>
    <row r="320" spans="1:21" s="109" customFormat="1" ht="25.5">
      <c r="A320" s="11" t="s">
        <v>107</v>
      </c>
      <c r="B320" s="25" t="s">
        <v>29</v>
      </c>
      <c r="C320" s="26" t="s">
        <v>65</v>
      </c>
      <c r="D320" s="26" t="s">
        <v>84</v>
      </c>
      <c r="E320" s="26" t="s">
        <v>295</v>
      </c>
      <c r="F320" s="26" t="s">
        <v>115</v>
      </c>
      <c r="G320" s="27">
        <f>SUM(G321:G322)</f>
        <v>50823570</v>
      </c>
      <c r="H320" s="27">
        <f t="shared" ref="H320:I320" si="222">SUM(H321:H322)</f>
        <v>50823570</v>
      </c>
      <c r="I320" s="27">
        <f t="shared" si="222"/>
        <v>50823570</v>
      </c>
      <c r="J320" s="16">
        <f>'БА в тыс. руб.'!G320*1000</f>
        <v>50823570</v>
      </c>
      <c r="K320" s="169">
        <f t="shared" si="184"/>
        <v>0</v>
      </c>
      <c r="L320" s="16">
        <f>'БА в тыс. руб.'!H320*1000</f>
        <v>50823570</v>
      </c>
      <c r="M320" s="169">
        <f t="shared" si="185"/>
        <v>0</v>
      </c>
      <c r="N320" s="16">
        <f>'БА в тыс. руб.'!I320*1000</f>
        <v>50823570</v>
      </c>
      <c r="O320" s="169">
        <f t="shared" si="186"/>
        <v>0</v>
      </c>
      <c r="P320" s="16"/>
      <c r="Q320" s="16"/>
      <c r="R320" s="16"/>
      <c r="S320" s="16"/>
      <c r="T320" s="16"/>
      <c r="U320" s="16"/>
    </row>
    <row r="321" spans="1:21" s="109" customFormat="1" ht="12.75">
      <c r="A321" s="11" t="s">
        <v>936</v>
      </c>
      <c r="B321" s="25" t="s">
        <v>29</v>
      </c>
      <c r="C321" s="26" t="s">
        <v>65</v>
      </c>
      <c r="D321" s="26" t="s">
        <v>84</v>
      </c>
      <c r="E321" s="26" t="s">
        <v>295</v>
      </c>
      <c r="F321" s="26" t="s">
        <v>1063</v>
      </c>
      <c r="G321" s="27">
        <f t="shared" ref="G321:G322" si="223">J321</f>
        <v>39035000</v>
      </c>
      <c r="H321" s="27">
        <f t="shared" ref="H321:H322" si="224">L321</f>
        <v>39035000</v>
      </c>
      <c r="I321" s="27">
        <f t="shared" ref="I321:I322" si="225">N321</f>
        <v>39035000</v>
      </c>
      <c r="J321" s="16">
        <f>'БА в тыс. руб.'!G321*1000</f>
        <v>39035000</v>
      </c>
      <c r="K321" s="169">
        <f t="shared" si="184"/>
        <v>0</v>
      </c>
      <c r="L321" s="16">
        <f>'БА в тыс. руб.'!H321*1000</f>
        <v>39035000</v>
      </c>
      <c r="M321" s="169">
        <f t="shared" si="185"/>
        <v>0</v>
      </c>
      <c r="N321" s="16">
        <f>'БА в тыс. руб.'!I321*1000</f>
        <v>39035000</v>
      </c>
      <c r="O321" s="169">
        <f t="shared" si="186"/>
        <v>0</v>
      </c>
      <c r="P321" s="16"/>
      <c r="Q321" s="16"/>
      <c r="R321" s="16"/>
      <c r="S321" s="16"/>
      <c r="T321" s="16"/>
      <c r="U321" s="16"/>
    </row>
    <row r="322" spans="1:21" s="109" customFormat="1" ht="38.25">
      <c r="A322" s="11" t="s">
        <v>939</v>
      </c>
      <c r="B322" s="25" t="s">
        <v>29</v>
      </c>
      <c r="C322" s="26" t="s">
        <v>65</v>
      </c>
      <c r="D322" s="26" t="s">
        <v>84</v>
      </c>
      <c r="E322" s="26" t="s">
        <v>295</v>
      </c>
      <c r="F322" s="26" t="s">
        <v>1060</v>
      </c>
      <c r="G322" s="27">
        <f t="shared" si="223"/>
        <v>11788570</v>
      </c>
      <c r="H322" s="27">
        <f t="shared" si="224"/>
        <v>11788570</v>
      </c>
      <c r="I322" s="27">
        <f t="shared" si="225"/>
        <v>11788570</v>
      </c>
      <c r="J322" s="16">
        <f>'БА в тыс. руб.'!G322*1000</f>
        <v>11788570</v>
      </c>
      <c r="K322" s="169">
        <f t="shared" si="184"/>
        <v>0</v>
      </c>
      <c r="L322" s="16">
        <f>'БА в тыс. руб.'!H322*1000</f>
        <v>11788570</v>
      </c>
      <c r="M322" s="169">
        <f t="shared" si="185"/>
        <v>0</v>
      </c>
      <c r="N322" s="16">
        <f>'БА в тыс. руб.'!I322*1000</f>
        <v>11788570</v>
      </c>
      <c r="O322" s="169">
        <f t="shared" si="186"/>
        <v>0</v>
      </c>
      <c r="P322" s="16"/>
      <c r="Q322" s="16"/>
      <c r="R322" s="16"/>
      <c r="S322" s="16"/>
      <c r="T322" s="16"/>
      <c r="U322" s="16"/>
    </row>
    <row r="323" spans="1:21" s="109" customFormat="1" ht="12.75">
      <c r="A323" s="17" t="s">
        <v>35</v>
      </c>
      <c r="B323" s="18" t="s">
        <v>29</v>
      </c>
      <c r="C323" s="19" t="s">
        <v>37</v>
      </c>
      <c r="D323" s="19" t="s">
        <v>51</v>
      </c>
      <c r="E323" s="19" t="s">
        <v>196</v>
      </c>
      <c r="F323" s="19" t="s">
        <v>58</v>
      </c>
      <c r="G323" s="20">
        <f>G324</f>
        <v>11625283.5</v>
      </c>
      <c r="H323" s="20">
        <f>H324</f>
        <v>792000</v>
      </c>
      <c r="I323" s="20">
        <f>I324</f>
        <v>792000</v>
      </c>
      <c r="J323" s="16">
        <f>'БА в тыс. руб.'!G323*1000</f>
        <v>11625280</v>
      </c>
      <c r="K323" s="169">
        <f t="shared" si="184"/>
        <v>-3.5</v>
      </c>
      <c r="L323" s="16">
        <f>'БА в тыс. руб.'!H323*1000</f>
        <v>792000</v>
      </c>
      <c r="M323" s="169">
        <f t="shared" si="185"/>
        <v>0</v>
      </c>
      <c r="N323" s="16">
        <f>'БА в тыс. руб.'!I323*1000</f>
        <v>792000</v>
      </c>
      <c r="O323" s="169">
        <f t="shared" si="186"/>
        <v>0</v>
      </c>
      <c r="P323" s="16"/>
      <c r="Q323" s="16"/>
      <c r="R323" s="16"/>
      <c r="S323" s="16"/>
      <c r="T323" s="16"/>
      <c r="U323" s="16"/>
    </row>
    <row r="324" spans="1:21" s="109" customFormat="1" ht="12.75">
      <c r="A324" s="21" t="s">
        <v>73</v>
      </c>
      <c r="B324" s="22" t="s">
        <v>29</v>
      </c>
      <c r="C324" s="23" t="s">
        <v>37</v>
      </c>
      <c r="D324" s="23" t="s">
        <v>40</v>
      </c>
      <c r="E324" s="111" t="s">
        <v>196</v>
      </c>
      <c r="F324" s="111" t="s">
        <v>58</v>
      </c>
      <c r="G324" s="24">
        <f>G325+G331+G337</f>
        <v>11625283.5</v>
      </c>
      <c r="H324" s="24">
        <f t="shared" ref="H324:I324" si="226">H325+H331+H337</f>
        <v>792000</v>
      </c>
      <c r="I324" s="24">
        <f t="shared" si="226"/>
        <v>792000</v>
      </c>
      <c r="J324" s="16">
        <f>'БА в тыс. руб.'!G324*1000</f>
        <v>11625280</v>
      </c>
      <c r="K324" s="169">
        <f t="shared" si="184"/>
        <v>-3.5</v>
      </c>
      <c r="L324" s="16">
        <f>'БА в тыс. руб.'!H324*1000</f>
        <v>792000</v>
      </c>
      <c r="M324" s="169">
        <f t="shared" si="185"/>
        <v>0</v>
      </c>
      <c r="N324" s="16">
        <f>'БА в тыс. руб.'!I324*1000</f>
        <v>792000</v>
      </c>
      <c r="O324" s="169">
        <f t="shared" si="186"/>
        <v>0</v>
      </c>
      <c r="P324" s="16"/>
      <c r="Q324" s="16"/>
      <c r="R324" s="16"/>
      <c r="S324" s="16"/>
      <c r="T324" s="16"/>
      <c r="U324" s="16"/>
    </row>
    <row r="325" spans="1:21" s="109" customFormat="1" ht="38.25">
      <c r="A325" s="31" t="s">
        <v>725</v>
      </c>
      <c r="B325" s="25" t="s">
        <v>29</v>
      </c>
      <c r="C325" s="26" t="s">
        <v>37</v>
      </c>
      <c r="D325" s="26" t="s">
        <v>40</v>
      </c>
      <c r="E325" s="26" t="s">
        <v>296</v>
      </c>
      <c r="F325" s="26" t="s">
        <v>58</v>
      </c>
      <c r="G325" s="27">
        <f t="shared" ref="G325:I327" si="227">G326</f>
        <v>200000</v>
      </c>
      <c r="H325" s="27">
        <f t="shared" si="227"/>
        <v>180000</v>
      </c>
      <c r="I325" s="27">
        <f t="shared" si="227"/>
        <v>180000</v>
      </c>
      <c r="J325" s="16">
        <f>'БА в тыс. руб.'!G325*1000</f>
        <v>200000</v>
      </c>
      <c r="K325" s="169">
        <f t="shared" si="184"/>
        <v>0</v>
      </c>
      <c r="L325" s="16">
        <f>'БА в тыс. руб.'!H325*1000</f>
        <v>180000</v>
      </c>
      <c r="M325" s="169">
        <f t="shared" si="185"/>
        <v>0</v>
      </c>
      <c r="N325" s="16">
        <f>'БА в тыс. руб.'!I325*1000</f>
        <v>180000</v>
      </c>
      <c r="O325" s="169">
        <f t="shared" si="186"/>
        <v>0</v>
      </c>
      <c r="P325" s="16"/>
      <c r="Q325" s="16"/>
      <c r="R325" s="16"/>
      <c r="S325" s="16"/>
      <c r="T325" s="16"/>
      <c r="U325" s="16"/>
    </row>
    <row r="326" spans="1:21" s="109" customFormat="1" ht="51">
      <c r="A326" s="11" t="s">
        <v>726</v>
      </c>
      <c r="B326" s="25" t="s">
        <v>29</v>
      </c>
      <c r="C326" s="26" t="s">
        <v>37</v>
      </c>
      <c r="D326" s="26" t="s">
        <v>40</v>
      </c>
      <c r="E326" s="26" t="s">
        <v>297</v>
      </c>
      <c r="F326" s="26" t="s">
        <v>58</v>
      </c>
      <c r="G326" s="27">
        <f t="shared" si="227"/>
        <v>200000</v>
      </c>
      <c r="H326" s="27">
        <f t="shared" si="227"/>
        <v>180000</v>
      </c>
      <c r="I326" s="27">
        <f t="shared" si="227"/>
        <v>180000</v>
      </c>
      <c r="J326" s="16">
        <f>'БА в тыс. руб.'!G326*1000</f>
        <v>200000</v>
      </c>
      <c r="K326" s="169">
        <f t="shared" si="184"/>
        <v>0</v>
      </c>
      <c r="L326" s="16">
        <f>'БА в тыс. руб.'!H326*1000</f>
        <v>180000</v>
      </c>
      <c r="M326" s="169">
        <f t="shared" si="185"/>
        <v>0</v>
      </c>
      <c r="N326" s="16">
        <f>'БА в тыс. руб.'!I326*1000</f>
        <v>180000</v>
      </c>
      <c r="O326" s="169">
        <f t="shared" si="186"/>
        <v>0</v>
      </c>
      <c r="P326" s="16"/>
      <c r="Q326" s="16"/>
      <c r="R326" s="16"/>
      <c r="S326" s="16"/>
      <c r="T326" s="16"/>
      <c r="U326" s="16"/>
    </row>
    <row r="327" spans="1:21" s="109" customFormat="1" ht="51">
      <c r="A327" s="11" t="s">
        <v>606</v>
      </c>
      <c r="B327" s="25" t="s">
        <v>29</v>
      </c>
      <c r="C327" s="26" t="s">
        <v>37</v>
      </c>
      <c r="D327" s="26" t="s">
        <v>40</v>
      </c>
      <c r="E327" s="26" t="s">
        <v>298</v>
      </c>
      <c r="F327" s="26" t="s">
        <v>58</v>
      </c>
      <c r="G327" s="27">
        <f t="shared" si="227"/>
        <v>200000</v>
      </c>
      <c r="H327" s="27">
        <f t="shared" si="227"/>
        <v>180000</v>
      </c>
      <c r="I327" s="27">
        <f t="shared" si="227"/>
        <v>180000</v>
      </c>
      <c r="J327" s="16">
        <f>'БА в тыс. руб.'!G327*1000</f>
        <v>200000</v>
      </c>
      <c r="K327" s="169">
        <f t="shared" si="184"/>
        <v>0</v>
      </c>
      <c r="L327" s="16">
        <f>'БА в тыс. руб.'!H327*1000</f>
        <v>180000</v>
      </c>
      <c r="M327" s="169">
        <f t="shared" si="185"/>
        <v>0</v>
      </c>
      <c r="N327" s="16">
        <f>'БА в тыс. руб.'!I327*1000</f>
        <v>180000</v>
      </c>
      <c r="O327" s="169">
        <f t="shared" si="186"/>
        <v>0</v>
      </c>
      <c r="P327" s="16"/>
      <c r="Q327" s="16"/>
      <c r="R327" s="16"/>
      <c r="S327" s="16"/>
      <c r="T327" s="16"/>
      <c r="U327" s="16"/>
    </row>
    <row r="328" spans="1:21" s="109" customFormat="1" ht="51">
      <c r="A328" s="11" t="s">
        <v>156</v>
      </c>
      <c r="B328" s="25" t="s">
        <v>29</v>
      </c>
      <c r="C328" s="26" t="s">
        <v>37</v>
      </c>
      <c r="D328" s="26" t="s">
        <v>40</v>
      </c>
      <c r="E328" s="26" t="s">
        <v>299</v>
      </c>
      <c r="F328" s="26" t="s">
        <v>58</v>
      </c>
      <c r="G328" s="27">
        <f>G329</f>
        <v>200000</v>
      </c>
      <c r="H328" s="27">
        <f>H329</f>
        <v>180000</v>
      </c>
      <c r="I328" s="27">
        <f>I329</f>
        <v>180000</v>
      </c>
      <c r="J328" s="16">
        <f>'БА в тыс. руб.'!G328*1000</f>
        <v>200000</v>
      </c>
      <c r="K328" s="169">
        <f t="shared" ref="K328:K391" si="228">J328-G328</f>
        <v>0</v>
      </c>
      <c r="L328" s="16">
        <f>'БА в тыс. руб.'!H328*1000</f>
        <v>180000</v>
      </c>
      <c r="M328" s="169">
        <f t="shared" ref="M328:M391" si="229">L328-H328</f>
        <v>0</v>
      </c>
      <c r="N328" s="16">
        <f>'БА в тыс. руб.'!I328*1000</f>
        <v>180000</v>
      </c>
      <c r="O328" s="169">
        <f t="shared" ref="O328:O391" si="230">N328-I328</f>
        <v>0</v>
      </c>
      <c r="P328" s="16"/>
      <c r="Q328" s="16"/>
      <c r="R328" s="16"/>
      <c r="S328" s="16"/>
      <c r="T328" s="16"/>
      <c r="U328" s="16"/>
    </row>
    <row r="329" spans="1:21" s="109" customFormat="1" ht="25.5">
      <c r="A329" s="11" t="s">
        <v>108</v>
      </c>
      <c r="B329" s="25" t="s">
        <v>29</v>
      </c>
      <c r="C329" s="26" t="s">
        <v>37</v>
      </c>
      <c r="D329" s="26" t="s">
        <v>40</v>
      </c>
      <c r="E329" s="26" t="s">
        <v>299</v>
      </c>
      <c r="F329" s="26" t="s">
        <v>116</v>
      </c>
      <c r="G329" s="27">
        <f>G330</f>
        <v>200000</v>
      </c>
      <c r="H329" s="27">
        <f t="shared" ref="H329:I329" si="231">H330</f>
        <v>180000</v>
      </c>
      <c r="I329" s="27">
        <f t="shared" si="231"/>
        <v>180000</v>
      </c>
      <c r="J329" s="16">
        <f>'БА в тыс. руб.'!G329*1000</f>
        <v>200000</v>
      </c>
      <c r="K329" s="169">
        <f t="shared" si="228"/>
        <v>0</v>
      </c>
      <c r="L329" s="16">
        <f>'БА в тыс. руб.'!H329*1000</f>
        <v>180000</v>
      </c>
      <c r="M329" s="169">
        <f t="shared" si="229"/>
        <v>0</v>
      </c>
      <c r="N329" s="16">
        <f>'БА в тыс. руб.'!I329*1000</f>
        <v>180000</v>
      </c>
      <c r="O329" s="169">
        <f t="shared" si="230"/>
        <v>0</v>
      </c>
      <c r="P329" s="16"/>
      <c r="Q329" s="16"/>
      <c r="R329" s="16"/>
      <c r="S329" s="16"/>
      <c r="T329" s="16"/>
      <c r="U329" s="16"/>
    </row>
    <row r="330" spans="1:21" s="110" customFormat="1" ht="25.5">
      <c r="A330" s="12" t="s">
        <v>973</v>
      </c>
      <c r="B330" s="25" t="s">
        <v>29</v>
      </c>
      <c r="C330" s="26" t="s">
        <v>37</v>
      </c>
      <c r="D330" s="26" t="s">
        <v>40</v>
      </c>
      <c r="E330" s="26" t="s">
        <v>299</v>
      </c>
      <c r="F330" s="26" t="s">
        <v>1043</v>
      </c>
      <c r="G330" s="27">
        <f t="shared" ref="G330" si="232">J330</f>
        <v>200000</v>
      </c>
      <c r="H330" s="27">
        <f>L330</f>
        <v>180000</v>
      </c>
      <c r="I330" s="27">
        <f>N330</f>
        <v>180000</v>
      </c>
      <c r="J330" s="16">
        <f>'БА в тыс. руб.'!G330*1000</f>
        <v>200000</v>
      </c>
      <c r="K330" s="169">
        <f t="shared" si="228"/>
        <v>0</v>
      </c>
      <c r="L330" s="16">
        <f>'БА в тыс. руб.'!H330*1000</f>
        <v>180000</v>
      </c>
      <c r="M330" s="169">
        <f t="shared" si="229"/>
        <v>0</v>
      </c>
      <c r="N330" s="16">
        <f>'БА в тыс. руб.'!I330*1000</f>
        <v>180000</v>
      </c>
      <c r="O330" s="169">
        <f t="shared" si="230"/>
        <v>0</v>
      </c>
      <c r="P330" s="16"/>
      <c r="Q330" s="16"/>
      <c r="R330" s="16"/>
      <c r="S330" s="16"/>
      <c r="T330" s="16"/>
      <c r="U330" s="16"/>
    </row>
    <row r="331" spans="1:21" s="109" customFormat="1" ht="38.25">
      <c r="A331" s="12" t="s">
        <v>722</v>
      </c>
      <c r="B331" s="25" t="s">
        <v>29</v>
      </c>
      <c r="C331" s="26" t="s">
        <v>37</v>
      </c>
      <c r="D331" s="26" t="s">
        <v>40</v>
      </c>
      <c r="E331" s="26" t="s">
        <v>300</v>
      </c>
      <c r="F331" s="26" t="s">
        <v>58</v>
      </c>
      <c r="G331" s="27">
        <f t="shared" ref="G331:I335" si="233">G332</f>
        <v>10745283.5</v>
      </c>
      <c r="H331" s="27">
        <f t="shared" si="233"/>
        <v>0</v>
      </c>
      <c r="I331" s="27">
        <f t="shared" si="233"/>
        <v>0</v>
      </c>
      <c r="J331" s="16">
        <f>'БА в тыс. руб.'!G331*1000</f>
        <v>10745280</v>
      </c>
      <c r="K331" s="169">
        <f t="shared" si="228"/>
        <v>-3.5</v>
      </c>
      <c r="L331" s="16">
        <f>'БА в тыс. руб.'!H331*1000</f>
        <v>0</v>
      </c>
      <c r="M331" s="169">
        <f t="shared" si="229"/>
        <v>0</v>
      </c>
      <c r="N331" s="16">
        <f>'БА в тыс. руб.'!I331*1000</f>
        <v>0</v>
      </c>
      <c r="O331" s="169">
        <f t="shared" si="230"/>
        <v>0</v>
      </c>
      <c r="P331" s="16"/>
      <c r="Q331" s="16"/>
      <c r="R331" s="16"/>
      <c r="S331" s="16"/>
      <c r="T331" s="16"/>
      <c r="U331" s="16"/>
    </row>
    <row r="332" spans="1:21" s="109" customFormat="1" ht="38.25">
      <c r="A332" s="40" t="s">
        <v>729</v>
      </c>
      <c r="B332" s="25" t="s">
        <v>29</v>
      </c>
      <c r="C332" s="26" t="s">
        <v>37</v>
      </c>
      <c r="D332" s="26" t="s">
        <v>40</v>
      </c>
      <c r="E332" s="26" t="s">
        <v>301</v>
      </c>
      <c r="F332" s="26" t="s">
        <v>58</v>
      </c>
      <c r="G332" s="27">
        <f t="shared" si="233"/>
        <v>10745283.5</v>
      </c>
      <c r="H332" s="27">
        <f t="shared" si="233"/>
        <v>0</v>
      </c>
      <c r="I332" s="27">
        <f t="shared" si="233"/>
        <v>0</v>
      </c>
      <c r="J332" s="16">
        <f>'БА в тыс. руб.'!G332*1000</f>
        <v>10745280</v>
      </c>
      <c r="K332" s="169">
        <f t="shared" si="228"/>
        <v>-3.5</v>
      </c>
      <c r="L332" s="16">
        <f>'БА в тыс. руб.'!H332*1000</f>
        <v>0</v>
      </c>
      <c r="M332" s="169">
        <f t="shared" si="229"/>
        <v>0</v>
      </c>
      <c r="N332" s="16">
        <f>'БА в тыс. руб.'!I332*1000</f>
        <v>0</v>
      </c>
      <c r="O332" s="169">
        <f t="shared" si="230"/>
        <v>0</v>
      </c>
      <c r="P332" s="16"/>
      <c r="Q332" s="16"/>
      <c r="R332" s="16"/>
      <c r="S332" s="16"/>
      <c r="T332" s="16"/>
      <c r="U332" s="16"/>
    </row>
    <row r="333" spans="1:21" s="109" customFormat="1" ht="38.25">
      <c r="A333" s="11" t="s">
        <v>644</v>
      </c>
      <c r="B333" s="25" t="s">
        <v>29</v>
      </c>
      <c r="C333" s="26" t="s">
        <v>37</v>
      </c>
      <c r="D333" s="26" t="s">
        <v>40</v>
      </c>
      <c r="E333" s="26" t="s">
        <v>302</v>
      </c>
      <c r="F333" s="26" t="s">
        <v>58</v>
      </c>
      <c r="G333" s="27">
        <f t="shared" si="233"/>
        <v>10745283.5</v>
      </c>
      <c r="H333" s="27">
        <f t="shared" si="233"/>
        <v>0</v>
      </c>
      <c r="I333" s="27">
        <f t="shared" si="233"/>
        <v>0</v>
      </c>
      <c r="J333" s="16">
        <f>'БА в тыс. руб.'!G333*1000</f>
        <v>10745280</v>
      </c>
      <c r="K333" s="169">
        <f t="shared" si="228"/>
        <v>-3.5</v>
      </c>
      <c r="L333" s="16">
        <f>'БА в тыс. руб.'!H333*1000</f>
        <v>0</v>
      </c>
      <c r="M333" s="169">
        <f t="shared" si="229"/>
        <v>0</v>
      </c>
      <c r="N333" s="16">
        <f>'БА в тыс. руб.'!I333*1000</f>
        <v>0</v>
      </c>
      <c r="O333" s="169">
        <f t="shared" si="230"/>
        <v>0</v>
      </c>
      <c r="P333" s="16"/>
      <c r="Q333" s="16"/>
      <c r="R333" s="16"/>
      <c r="S333" s="16"/>
      <c r="T333" s="16"/>
      <c r="U333" s="16"/>
    </row>
    <row r="334" spans="1:21" s="109" customFormat="1" ht="25.5">
      <c r="A334" s="11" t="s">
        <v>303</v>
      </c>
      <c r="B334" s="25" t="s">
        <v>29</v>
      </c>
      <c r="C334" s="26" t="s">
        <v>37</v>
      </c>
      <c r="D334" s="26" t="s">
        <v>40</v>
      </c>
      <c r="E334" s="26" t="s">
        <v>304</v>
      </c>
      <c r="F334" s="26" t="s">
        <v>58</v>
      </c>
      <c r="G334" s="27">
        <f t="shared" si="233"/>
        <v>10745283.5</v>
      </c>
      <c r="H334" s="27">
        <f t="shared" si="233"/>
        <v>0</v>
      </c>
      <c r="I334" s="27">
        <f t="shared" si="233"/>
        <v>0</v>
      </c>
      <c r="J334" s="16">
        <f>'БА в тыс. руб.'!G334*1000</f>
        <v>10745280</v>
      </c>
      <c r="K334" s="169">
        <f t="shared" si="228"/>
        <v>-3.5</v>
      </c>
      <c r="L334" s="16">
        <f>'БА в тыс. руб.'!H334*1000</f>
        <v>0</v>
      </c>
      <c r="M334" s="169">
        <f t="shared" si="229"/>
        <v>0</v>
      </c>
      <c r="N334" s="16">
        <f>'БА в тыс. руб.'!I334*1000</f>
        <v>0</v>
      </c>
      <c r="O334" s="169">
        <f t="shared" si="230"/>
        <v>0</v>
      </c>
      <c r="P334" s="16"/>
      <c r="Q334" s="16"/>
      <c r="R334" s="16"/>
      <c r="S334" s="16"/>
      <c r="T334" s="16"/>
      <c r="U334" s="16"/>
    </row>
    <row r="335" spans="1:21" s="109" customFormat="1" ht="25.5">
      <c r="A335" s="11" t="s">
        <v>108</v>
      </c>
      <c r="B335" s="25" t="s">
        <v>29</v>
      </c>
      <c r="C335" s="26" t="s">
        <v>37</v>
      </c>
      <c r="D335" s="26" t="s">
        <v>40</v>
      </c>
      <c r="E335" s="26" t="s">
        <v>304</v>
      </c>
      <c r="F335" s="26" t="s">
        <v>116</v>
      </c>
      <c r="G335" s="27">
        <f>G336</f>
        <v>10745283.5</v>
      </c>
      <c r="H335" s="27">
        <f t="shared" si="233"/>
        <v>0</v>
      </c>
      <c r="I335" s="27">
        <f t="shared" si="233"/>
        <v>0</v>
      </c>
      <c r="J335" s="16">
        <f>'БА в тыс. руб.'!G335*1000</f>
        <v>10745280</v>
      </c>
      <c r="K335" s="169">
        <f t="shared" si="228"/>
        <v>-3.5</v>
      </c>
      <c r="L335" s="16">
        <f>'БА в тыс. руб.'!H335*1000</f>
        <v>0</v>
      </c>
      <c r="M335" s="169">
        <f t="shared" si="229"/>
        <v>0</v>
      </c>
      <c r="N335" s="16">
        <f>'БА в тыс. руб.'!I335*1000</f>
        <v>0</v>
      </c>
      <c r="O335" s="169">
        <f t="shared" si="230"/>
        <v>0</v>
      </c>
      <c r="P335" s="16"/>
      <c r="Q335" s="16"/>
      <c r="R335" s="16"/>
      <c r="S335" s="16"/>
      <c r="T335" s="16"/>
      <c r="U335" s="16"/>
    </row>
    <row r="336" spans="1:21" s="110" customFormat="1" ht="25.5">
      <c r="A336" s="12" t="s">
        <v>973</v>
      </c>
      <c r="B336" s="25" t="s">
        <v>29</v>
      </c>
      <c r="C336" s="26" t="s">
        <v>37</v>
      </c>
      <c r="D336" s="26" t="s">
        <v>40</v>
      </c>
      <c r="E336" s="26" t="s">
        <v>304</v>
      </c>
      <c r="F336" s="26" t="s">
        <v>1043</v>
      </c>
      <c r="G336" s="27">
        <f>J336+3.5</f>
        <v>10745283.5</v>
      </c>
      <c r="H336" s="27">
        <f>L336</f>
        <v>0</v>
      </c>
      <c r="I336" s="27">
        <f>N336</f>
        <v>0</v>
      </c>
      <c r="J336" s="16">
        <f>'БА в тыс. руб.'!G336*1000</f>
        <v>10745280</v>
      </c>
      <c r="K336" s="169">
        <f t="shared" si="228"/>
        <v>-3.5</v>
      </c>
      <c r="L336" s="16">
        <f>'БА в тыс. руб.'!H336*1000</f>
        <v>0</v>
      </c>
      <c r="M336" s="169">
        <f t="shared" si="229"/>
        <v>0</v>
      </c>
      <c r="N336" s="16">
        <f>'БА в тыс. руб.'!I336*1000</f>
        <v>0</v>
      </c>
      <c r="O336" s="169">
        <f t="shared" si="230"/>
        <v>0</v>
      </c>
      <c r="P336" s="16"/>
      <c r="Q336" s="16"/>
      <c r="R336" s="16"/>
      <c r="S336" s="16"/>
      <c r="T336" s="16"/>
      <c r="U336" s="16"/>
    </row>
    <row r="337" spans="1:21" s="109" customFormat="1" ht="38.25">
      <c r="A337" s="13" t="s">
        <v>745</v>
      </c>
      <c r="B337" s="25" t="s">
        <v>29</v>
      </c>
      <c r="C337" s="26" t="s">
        <v>37</v>
      </c>
      <c r="D337" s="26" t="s">
        <v>40</v>
      </c>
      <c r="E337" s="26" t="s">
        <v>280</v>
      </c>
      <c r="F337" s="26" t="s">
        <v>58</v>
      </c>
      <c r="G337" s="27">
        <f t="shared" ref="G337:I339" si="234">G338</f>
        <v>680000</v>
      </c>
      <c r="H337" s="27">
        <f t="shared" si="234"/>
        <v>612000</v>
      </c>
      <c r="I337" s="27">
        <f t="shared" si="234"/>
        <v>612000</v>
      </c>
      <c r="J337" s="16">
        <f>'БА в тыс. руб.'!G337*1000</f>
        <v>680000</v>
      </c>
      <c r="K337" s="169">
        <f t="shared" si="228"/>
        <v>0</v>
      </c>
      <c r="L337" s="16">
        <f>'БА в тыс. руб.'!H337*1000</f>
        <v>612000</v>
      </c>
      <c r="M337" s="169">
        <f t="shared" si="229"/>
        <v>0</v>
      </c>
      <c r="N337" s="16">
        <f>'БА в тыс. руб.'!I337*1000</f>
        <v>612000</v>
      </c>
      <c r="O337" s="169">
        <f t="shared" si="230"/>
        <v>0</v>
      </c>
      <c r="P337" s="16"/>
      <c r="Q337" s="16"/>
      <c r="R337" s="16"/>
      <c r="S337" s="16"/>
      <c r="T337" s="16"/>
      <c r="U337" s="16"/>
    </row>
    <row r="338" spans="1:21" s="109" customFormat="1" ht="51">
      <c r="A338" s="13" t="s">
        <v>746</v>
      </c>
      <c r="B338" s="25" t="s">
        <v>29</v>
      </c>
      <c r="C338" s="26" t="s">
        <v>37</v>
      </c>
      <c r="D338" s="26" t="s">
        <v>40</v>
      </c>
      <c r="E338" s="26" t="s">
        <v>281</v>
      </c>
      <c r="F338" s="26" t="s">
        <v>58</v>
      </c>
      <c r="G338" s="27">
        <f t="shared" si="234"/>
        <v>680000</v>
      </c>
      <c r="H338" s="27">
        <f t="shared" si="234"/>
        <v>612000</v>
      </c>
      <c r="I338" s="27">
        <f t="shared" si="234"/>
        <v>612000</v>
      </c>
      <c r="J338" s="16">
        <f>'БА в тыс. руб.'!G338*1000</f>
        <v>680000</v>
      </c>
      <c r="K338" s="169">
        <f t="shared" si="228"/>
        <v>0</v>
      </c>
      <c r="L338" s="16">
        <f>'БА в тыс. руб.'!H338*1000</f>
        <v>612000</v>
      </c>
      <c r="M338" s="169">
        <f t="shared" si="229"/>
        <v>0</v>
      </c>
      <c r="N338" s="16">
        <f>'БА в тыс. руб.'!I338*1000</f>
        <v>612000</v>
      </c>
      <c r="O338" s="169">
        <f t="shared" si="230"/>
        <v>0</v>
      </c>
      <c r="P338" s="16"/>
      <c r="Q338" s="16"/>
      <c r="R338" s="16"/>
      <c r="S338" s="16"/>
      <c r="T338" s="16"/>
      <c r="U338" s="16"/>
    </row>
    <row r="339" spans="1:21" s="109" customFormat="1" ht="25.5">
      <c r="A339" s="11" t="s">
        <v>286</v>
      </c>
      <c r="B339" s="25" t="s">
        <v>29</v>
      </c>
      <c r="C339" s="26" t="s">
        <v>37</v>
      </c>
      <c r="D339" s="26" t="s">
        <v>40</v>
      </c>
      <c r="E339" s="26" t="s">
        <v>287</v>
      </c>
      <c r="F339" s="26" t="s">
        <v>58</v>
      </c>
      <c r="G339" s="27">
        <f t="shared" si="234"/>
        <v>680000</v>
      </c>
      <c r="H339" s="27">
        <f t="shared" si="234"/>
        <v>612000</v>
      </c>
      <c r="I339" s="27">
        <f t="shared" si="234"/>
        <v>612000</v>
      </c>
      <c r="J339" s="16">
        <f>'БА в тыс. руб.'!G339*1000</f>
        <v>680000</v>
      </c>
      <c r="K339" s="169">
        <f t="shared" si="228"/>
        <v>0</v>
      </c>
      <c r="L339" s="16">
        <f>'БА в тыс. руб.'!H339*1000</f>
        <v>612000</v>
      </c>
      <c r="M339" s="169">
        <f t="shared" si="229"/>
        <v>0</v>
      </c>
      <c r="N339" s="16">
        <f>'БА в тыс. руб.'!I339*1000</f>
        <v>612000</v>
      </c>
      <c r="O339" s="169">
        <f t="shared" si="230"/>
        <v>0</v>
      </c>
      <c r="P339" s="16"/>
      <c r="Q339" s="16"/>
      <c r="R339" s="16"/>
      <c r="S339" s="16"/>
      <c r="T339" s="16"/>
      <c r="U339" s="16"/>
    </row>
    <row r="340" spans="1:21" s="109" customFormat="1" ht="38.25">
      <c r="A340" s="11" t="s">
        <v>878</v>
      </c>
      <c r="B340" s="25" t="s">
        <v>29</v>
      </c>
      <c r="C340" s="26" t="s">
        <v>37</v>
      </c>
      <c r="D340" s="26" t="s">
        <v>40</v>
      </c>
      <c r="E340" s="26" t="s">
        <v>288</v>
      </c>
      <c r="F340" s="26" t="s">
        <v>58</v>
      </c>
      <c r="G340" s="27">
        <f>G341</f>
        <v>680000</v>
      </c>
      <c r="H340" s="27">
        <f>H341</f>
        <v>612000</v>
      </c>
      <c r="I340" s="27">
        <f>I341</f>
        <v>612000</v>
      </c>
      <c r="J340" s="16">
        <f>'БА в тыс. руб.'!G340*1000</f>
        <v>680000</v>
      </c>
      <c r="K340" s="169">
        <f t="shared" si="228"/>
        <v>0</v>
      </c>
      <c r="L340" s="16">
        <f>'БА в тыс. руб.'!H340*1000</f>
        <v>612000</v>
      </c>
      <c r="M340" s="169">
        <f t="shared" si="229"/>
        <v>0</v>
      </c>
      <c r="N340" s="16">
        <f>'БА в тыс. руб.'!I340*1000</f>
        <v>612000</v>
      </c>
      <c r="O340" s="169">
        <f t="shared" si="230"/>
        <v>0</v>
      </c>
      <c r="P340" s="16"/>
      <c r="Q340" s="16"/>
      <c r="R340" s="16"/>
      <c r="S340" s="16"/>
      <c r="T340" s="16"/>
      <c r="U340" s="16"/>
    </row>
    <row r="341" spans="1:21" s="109" customFormat="1" ht="25.5">
      <c r="A341" s="11" t="s">
        <v>108</v>
      </c>
      <c r="B341" s="25" t="s">
        <v>29</v>
      </c>
      <c r="C341" s="26" t="s">
        <v>37</v>
      </c>
      <c r="D341" s="26" t="s">
        <v>40</v>
      </c>
      <c r="E341" s="26" t="s">
        <v>288</v>
      </c>
      <c r="F341" s="26" t="s">
        <v>116</v>
      </c>
      <c r="G341" s="27">
        <f>G342</f>
        <v>680000</v>
      </c>
      <c r="H341" s="27">
        <f t="shared" ref="H341:I341" si="235">H342</f>
        <v>612000</v>
      </c>
      <c r="I341" s="27">
        <f t="shared" si="235"/>
        <v>612000</v>
      </c>
      <c r="J341" s="16">
        <f>'БА в тыс. руб.'!G341*1000</f>
        <v>680000</v>
      </c>
      <c r="K341" s="169">
        <f t="shared" si="228"/>
        <v>0</v>
      </c>
      <c r="L341" s="16">
        <f>'БА в тыс. руб.'!H341*1000</f>
        <v>612000</v>
      </c>
      <c r="M341" s="169">
        <f t="shared" si="229"/>
        <v>0</v>
      </c>
      <c r="N341" s="16">
        <f>'БА в тыс. руб.'!I341*1000</f>
        <v>612000</v>
      </c>
      <c r="O341" s="169">
        <f t="shared" si="230"/>
        <v>0</v>
      </c>
      <c r="P341" s="16"/>
      <c r="Q341" s="16"/>
      <c r="R341" s="16"/>
      <c r="S341" s="16"/>
      <c r="T341" s="16"/>
      <c r="U341" s="16"/>
    </row>
    <row r="342" spans="1:21" s="110" customFormat="1" ht="25.5">
      <c r="A342" s="12" t="s">
        <v>973</v>
      </c>
      <c r="B342" s="25" t="s">
        <v>29</v>
      </c>
      <c r="C342" s="26" t="s">
        <v>37</v>
      </c>
      <c r="D342" s="26" t="s">
        <v>40</v>
      </c>
      <c r="E342" s="26" t="s">
        <v>288</v>
      </c>
      <c r="F342" s="26" t="s">
        <v>1043</v>
      </c>
      <c r="G342" s="27">
        <f t="shared" ref="G342" si="236">J342</f>
        <v>680000</v>
      </c>
      <c r="H342" s="27">
        <f t="shared" ref="H342" si="237">L342</f>
        <v>612000</v>
      </c>
      <c r="I342" s="27">
        <f t="shared" ref="I342" si="238">N342</f>
        <v>612000</v>
      </c>
      <c r="J342" s="16">
        <f>'БА в тыс. руб.'!G342*1000</f>
        <v>680000</v>
      </c>
      <c r="K342" s="169">
        <f t="shared" si="228"/>
        <v>0</v>
      </c>
      <c r="L342" s="16">
        <f>'БА в тыс. руб.'!H342*1000</f>
        <v>612000</v>
      </c>
      <c r="M342" s="169">
        <f t="shared" si="229"/>
        <v>0</v>
      </c>
      <c r="N342" s="16">
        <f>'БА в тыс. руб.'!I342*1000</f>
        <v>612000</v>
      </c>
      <c r="O342" s="169">
        <f t="shared" si="230"/>
        <v>0</v>
      </c>
      <c r="P342" s="16"/>
      <c r="Q342" s="16"/>
      <c r="R342" s="16"/>
      <c r="S342" s="16"/>
      <c r="T342" s="16"/>
      <c r="U342" s="16"/>
    </row>
    <row r="343" spans="1:21" s="99" customFormat="1" ht="12.75">
      <c r="A343" s="79"/>
      <c r="B343" s="92"/>
      <c r="C343" s="70"/>
      <c r="D343" s="70"/>
      <c r="E343" s="70"/>
      <c r="F343" s="70"/>
      <c r="G343" s="27"/>
      <c r="H343" s="27"/>
      <c r="I343" s="27"/>
      <c r="J343" s="16">
        <f>'БА в тыс. руб.'!G343*1000</f>
        <v>0</v>
      </c>
      <c r="K343" s="169">
        <f t="shared" si="228"/>
        <v>0</v>
      </c>
      <c r="L343" s="16">
        <f>'БА в тыс. руб.'!H343*1000</f>
        <v>0</v>
      </c>
      <c r="M343" s="169">
        <f t="shared" si="229"/>
        <v>0</v>
      </c>
      <c r="N343" s="16">
        <f>'БА в тыс. руб.'!I343*1000</f>
        <v>0</v>
      </c>
      <c r="O343" s="169">
        <f t="shared" si="230"/>
        <v>0</v>
      </c>
      <c r="P343" s="16"/>
      <c r="Q343" s="16"/>
      <c r="R343" s="16"/>
      <c r="S343" s="16"/>
      <c r="T343" s="16"/>
      <c r="U343" s="16"/>
    </row>
    <row r="344" spans="1:21" s="109" customFormat="1" ht="12.75">
      <c r="A344" s="28" t="s">
        <v>74</v>
      </c>
      <c r="B344" s="14" t="s">
        <v>75</v>
      </c>
      <c r="C344" s="15" t="s">
        <v>51</v>
      </c>
      <c r="D344" s="15" t="s">
        <v>51</v>
      </c>
      <c r="E344" s="15" t="s">
        <v>196</v>
      </c>
      <c r="F344" s="15" t="s">
        <v>58</v>
      </c>
      <c r="G344" s="29">
        <f>G345+G382</f>
        <v>251032280</v>
      </c>
      <c r="H344" s="29">
        <f>H345+H382</f>
        <v>280155520</v>
      </c>
      <c r="I344" s="29">
        <f>I345+I382</f>
        <v>328041520</v>
      </c>
      <c r="J344" s="16">
        <f>'БА в тыс. руб.'!G344*1000</f>
        <v>251032280</v>
      </c>
      <c r="K344" s="169">
        <f t="shared" si="228"/>
        <v>0</v>
      </c>
      <c r="L344" s="16">
        <f>'БА в тыс. руб.'!H344*1000</f>
        <v>280155520</v>
      </c>
      <c r="M344" s="169">
        <f t="shared" si="229"/>
        <v>0</v>
      </c>
      <c r="N344" s="16">
        <f>'БА в тыс. руб.'!I344*1000</f>
        <v>328041520</v>
      </c>
      <c r="O344" s="169">
        <f t="shared" si="230"/>
        <v>0</v>
      </c>
      <c r="P344" s="16"/>
      <c r="Q344" s="16"/>
      <c r="R344" s="16"/>
      <c r="S344" s="16"/>
      <c r="T344" s="16"/>
      <c r="U344" s="16"/>
    </row>
    <row r="345" spans="1:21" s="109" customFormat="1" ht="12.75">
      <c r="A345" s="17" t="s">
        <v>64</v>
      </c>
      <c r="B345" s="18" t="s">
        <v>75</v>
      </c>
      <c r="C345" s="19" t="s">
        <v>65</v>
      </c>
      <c r="D345" s="19" t="s">
        <v>51</v>
      </c>
      <c r="E345" s="19" t="s">
        <v>196</v>
      </c>
      <c r="F345" s="19" t="s">
        <v>58</v>
      </c>
      <c r="G345" s="20">
        <f>G346+G363+G369</f>
        <v>86322280</v>
      </c>
      <c r="H345" s="20">
        <f>H346+H363+H369</f>
        <v>80113520</v>
      </c>
      <c r="I345" s="20">
        <f>I346+I363+I369</f>
        <v>86313520</v>
      </c>
      <c r="J345" s="16">
        <f>'БА в тыс. руб.'!G345*1000</f>
        <v>86322280</v>
      </c>
      <c r="K345" s="169">
        <f t="shared" si="228"/>
        <v>0</v>
      </c>
      <c r="L345" s="16">
        <f>'БА в тыс. руб.'!H345*1000</f>
        <v>80113519.999999985</v>
      </c>
      <c r="M345" s="169">
        <f t="shared" si="229"/>
        <v>0</v>
      </c>
      <c r="N345" s="16">
        <f>'БА в тыс. руб.'!I345*1000</f>
        <v>86313519.999999985</v>
      </c>
      <c r="O345" s="169">
        <f t="shared" si="230"/>
        <v>0</v>
      </c>
      <c r="P345" s="16"/>
      <c r="Q345" s="16"/>
      <c r="R345" s="16"/>
      <c r="S345" s="16"/>
      <c r="T345" s="16"/>
      <c r="U345" s="16"/>
    </row>
    <row r="346" spans="1:21" s="109" customFormat="1" ht="25.5">
      <c r="A346" s="21" t="s">
        <v>32</v>
      </c>
      <c r="B346" s="22" t="s">
        <v>75</v>
      </c>
      <c r="C346" s="23" t="s">
        <v>65</v>
      </c>
      <c r="D346" s="23" t="s">
        <v>2</v>
      </c>
      <c r="E346" s="23" t="s">
        <v>196</v>
      </c>
      <c r="F346" s="23" t="s">
        <v>58</v>
      </c>
      <c r="G346" s="24">
        <f t="shared" ref="G346:I347" si="239">G347</f>
        <v>45084110</v>
      </c>
      <c r="H346" s="24">
        <f t="shared" si="239"/>
        <v>45088770</v>
      </c>
      <c r="I346" s="24">
        <f t="shared" si="239"/>
        <v>45088770</v>
      </c>
      <c r="J346" s="16">
        <f>'БА в тыс. руб.'!G346*1000</f>
        <v>45084110</v>
      </c>
      <c r="K346" s="169">
        <f t="shared" si="228"/>
        <v>0</v>
      </c>
      <c r="L346" s="16">
        <f>'БА в тыс. руб.'!H346*1000</f>
        <v>45088770</v>
      </c>
      <c r="M346" s="169">
        <f t="shared" si="229"/>
        <v>0</v>
      </c>
      <c r="N346" s="16">
        <f>'БА в тыс. руб.'!I346*1000</f>
        <v>45088770</v>
      </c>
      <c r="O346" s="169">
        <f t="shared" si="230"/>
        <v>0</v>
      </c>
      <c r="P346" s="16"/>
      <c r="Q346" s="16"/>
      <c r="R346" s="16"/>
      <c r="S346" s="16"/>
      <c r="T346" s="16"/>
      <c r="U346" s="16"/>
    </row>
    <row r="347" spans="1:21" s="109" customFormat="1" ht="25.5">
      <c r="A347" s="112" t="s">
        <v>128</v>
      </c>
      <c r="B347" s="25" t="s">
        <v>75</v>
      </c>
      <c r="C347" s="26" t="s">
        <v>65</v>
      </c>
      <c r="D347" s="26" t="s">
        <v>2</v>
      </c>
      <c r="E347" s="26" t="s">
        <v>305</v>
      </c>
      <c r="F347" s="26" t="s">
        <v>58</v>
      </c>
      <c r="G347" s="27">
        <f t="shared" si="239"/>
        <v>45084110</v>
      </c>
      <c r="H347" s="27">
        <f t="shared" si="239"/>
        <v>45088770</v>
      </c>
      <c r="I347" s="27">
        <f t="shared" si="239"/>
        <v>45088770</v>
      </c>
      <c r="J347" s="16">
        <f>'БА в тыс. руб.'!G347*1000</f>
        <v>45084110</v>
      </c>
      <c r="K347" s="169">
        <f t="shared" si="228"/>
        <v>0</v>
      </c>
      <c r="L347" s="16">
        <f>'БА в тыс. руб.'!H347*1000</f>
        <v>45088770</v>
      </c>
      <c r="M347" s="169">
        <f t="shared" si="229"/>
        <v>0</v>
      </c>
      <c r="N347" s="16">
        <f>'БА в тыс. руб.'!I347*1000</f>
        <v>45088770</v>
      </c>
      <c r="O347" s="169">
        <f t="shared" si="230"/>
        <v>0</v>
      </c>
      <c r="P347" s="16"/>
      <c r="Q347" s="16"/>
      <c r="R347" s="16"/>
      <c r="S347" s="16"/>
      <c r="T347" s="16"/>
      <c r="U347" s="16"/>
    </row>
    <row r="348" spans="1:21" s="109" customFormat="1" ht="25.5">
      <c r="A348" s="112" t="s">
        <v>129</v>
      </c>
      <c r="B348" s="25" t="s">
        <v>75</v>
      </c>
      <c r="C348" s="26" t="s">
        <v>65</v>
      </c>
      <c r="D348" s="26" t="s">
        <v>2</v>
      </c>
      <c r="E348" s="26" t="s">
        <v>306</v>
      </c>
      <c r="F348" s="26" t="s">
        <v>58</v>
      </c>
      <c r="G348" s="27">
        <f>G349+G359</f>
        <v>45084110</v>
      </c>
      <c r="H348" s="27">
        <f>H349+H359</f>
        <v>45088770</v>
      </c>
      <c r="I348" s="27">
        <f>I349+I359</f>
        <v>45088770</v>
      </c>
      <c r="J348" s="16">
        <f>'БА в тыс. руб.'!G348*1000</f>
        <v>45084110</v>
      </c>
      <c r="K348" s="169">
        <f t="shared" si="228"/>
        <v>0</v>
      </c>
      <c r="L348" s="16">
        <f>'БА в тыс. руб.'!H348*1000</f>
        <v>45088770</v>
      </c>
      <c r="M348" s="169">
        <f t="shared" si="229"/>
        <v>0</v>
      </c>
      <c r="N348" s="16">
        <f>'БА в тыс. руб.'!I348*1000</f>
        <v>45088770</v>
      </c>
      <c r="O348" s="169">
        <f t="shared" si="230"/>
        <v>0</v>
      </c>
      <c r="P348" s="16"/>
      <c r="Q348" s="16"/>
      <c r="R348" s="16"/>
      <c r="S348" s="16"/>
      <c r="T348" s="16"/>
      <c r="U348" s="16"/>
    </row>
    <row r="349" spans="1:21" s="109" customFormat="1" ht="25.5">
      <c r="A349" s="113" t="s">
        <v>114</v>
      </c>
      <c r="B349" s="25" t="s">
        <v>75</v>
      </c>
      <c r="C349" s="26" t="s">
        <v>65</v>
      </c>
      <c r="D349" s="26" t="s">
        <v>2</v>
      </c>
      <c r="E349" s="26" t="s">
        <v>307</v>
      </c>
      <c r="F349" s="26" t="s">
        <v>58</v>
      </c>
      <c r="G349" s="27">
        <f>G350+G353+G355</f>
        <v>4897580</v>
      </c>
      <c r="H349" s="27">
        <f t="shared" ref="H349:I349" si="240">H350+H353+H355</f>
        <v>4902240</v>
      </c>
      <c r="I349" s="27">
        <f t="shared" si="240"/>
        <v>4902240</v>
      </c>
      <c r="J349" s="16">
        <f>'БА в тыс. руб.'!G349*1000</f>
        <v>4897580.0000000009</v>
      </c>
      <c r="K349" s="169">
        <f t="shared" si="228"/>
        <v>0</v>
      </c>
      <c r="L349" s="16">
        <f>'БА в тыс. руб.'!H349*1000</f>
        <v>4902240.0000000009</v>
      </c>
      <c r="M349" s="169">
        <f t="shared" si="229"/>
        <v>0</v>
      </c>
      <c r="N349" s="16">
        <f>'БА в тыс. руб.'!I349*1000</f>
        <v>4902240.0000000009</v>
      </c>
      <c r="O349" s="169">
        <f t="shared" si="230"/>
        <v>0</v>
      </c>
      <c r="P349" s="16"/>
      <c r="Q349" s="16"/>
      <c r="R349" s="16"/>
      <c r="S349" s="16"/>
      <c r="T349" s="16"/>
      <c r="U349" s="16"/>
    </row>
    <row r="350" spans="1:21" s="109" customFormat="1" ht="25.5">
      <c r="A350" s="12" t="s">
        <v>107</v>
      </c>
      <c r="B350" s="25" t="s">
        <v>75</v>
      </c>
      <c r="C350" s="26" t="s">
        <v>65</v>
      </c>
      <c r="D350" s="26" t="s">
        <v>2</v>
      </c>
      <c r="E350" s="26" t="s">
        <v>307</v>
      </c>
      <c r="F350" s="26" t="s">
        <v>115</v>
      </c>
      <c r="G350" s="27">
        <f>SUM(G351:G352)</f>
        <v>1307960</v>
      </c>
      <c r="H350" s="27">
        <f t="shared" ref="H350:I350" si="241">SUM(H351:H352)</f>
        <v>1307960</v>
      </c>
      <c r="I350" s="27">
        <f t="shared" si="241"/>
        <v>1307960</v>
      </c>
      <c r="J350" s="16">
        <f>'БА в тыс. руб.'!G350*1000</f>
        <v>1307960</v>
      </c>
      <c r="K350" s="169">
        <f t="shared" si="228"/>
        <v>0</v>
      </c>
      <c r="L350" s="16">
        <f>'БА в тыс. руб.'!H350*1000</f>
        <v>1307960</v>
      </c>
      <c r="M350" s="169">
        <f t="shared" si="229"/>
        <v>0</v>
      </c>
      <c r="N350" s="16">
        <f>'БА в тыс. руб.'!I350*1000</f>
        <v>1307960</v>
      </c>
      <c r="O350" s="169">
        <f t="shared" si="230"/>
        <v>0</v>
      </c>
      <c r="P350" s="16"/>
      <c r="Q350" s="16"/>
      <c r="R350" s="16"/>
      <c r="S350" s="16"/>
      <c r="T350" s="16"/>
      <c r="U350" s="16"/>
    </row>
    <row r="351" spans="1:21" s="110" customFormat="1" ht="25.5">
      <c r="A351" s="12" t="s">
        <v>937</v>
      </c>
      <c r="B351" s="25" t="s">
        <v>75</v>
      </c>
      <c r="C351" s="26" t="s">
        <v>65</v>
      </c>
      <c r="D351" s="26" t="s">
        <v>2</v>
      </c>
      <c r="E351" s="26" t="s">
        <v>307</v>
      </c>
      <c r="F351" s="26" t="s">
        <v>1059</v>
      </c>
      <c r="G351" s="27">
        <f t="shared" ref="G351:G352" si="242">J351</f>
        <v>1032329.9999999999</v>
      </c>
      <c r="H351" s="27">
        <f t="shared" ref="H351:H352" si="243">L351</f>
        <v>1032329.9999999999</v>
      </c>
      <c r="I351" s="27">
        <f t="shared" ref="I351:I352" si="244">N351</f>
        <v>1032329.9999999999</v>
      </c>
      <c r="J351" s="16">
        <f>'БА в тыс. руб.'!G351*1000</f>
        <v>1032329.9999999999</v>
      </c>
      <c r="K351" s="169">
        <f t="shared" si="228"/>
        <v>0</v>
      </c>
      <c r="L351" s="16">
        <f>'БА в тыс. руб.'!H351*1000</f>
        <v>1032329.9999999999</v>
      </c>
      <c r="M351" s="169">
        <f t="shared" si="229"/>
        <v>0</v>
      </c>
      <c r="N351" s="16">
        <f>'БА в тыс. руб.'!I351*1000</f>
        <v>1032329.9999999999</v>
      </c>
      <c r="O351" s="169">
        <f t="shared" si="230"/>
        <v>0</v>
      </c>
      <c r="P351" s="16"/>
      <c r="Q351" s="16"/>
      <c r="R351" s="16"/>
      <c r="S351" s="16"/>
      <c r="T351" s="16"/>
      <c r="U351" s="16"/>
    </row>
    <row r="352" spans="1:21" s="110" customFormat="1" ht="38.25">
      <c r="A352" s="12" t="s">
        <v>939</v>
      </c>
      <c r="B352" s="25" t="s">
        <v>75</v>
      </c>
      <c r="C352" s="26" t="s">
        <v>65</v>
      </c>
      <c r="D352" s="26" t="s">
        <v>2</v>
      </c>
      <c r="E352" s="26" t="s">
        <v>307</v>
      </c>
      <c r="F352" s="26" t="s">
        <v>1060</v>
      </c>
      <c r="G352" s="27">
        <f t="shared" si="242"/>
        <v>275630</v>
      </c>
      <c r="H352" s="27">
        <f t="shared" si="243"/>
        <v>275630</v>
      </c>
      <c r="I352" s="27">
        <f t="shared" si="244"/>
        <v>275630</v>
      </c>
      <c r="J352" s="16">
        <f>'БА в тыс. руб.'!G352*1000</f>
        <v>275630</v>
      </c>
      <c r="K352" s="169">
        <f t="shared" si="228"/>
        <v>0</v>
      </c>
      <c r="L352" s="16">
        <f>'БА в тыс. руб.'!H352*1000</f>
        <v>275630</v>
      </c>
      <c r="M352" s="169">
        <f t="shared" si="229"/>
        <v>0</v>
      </c>
      <c r="N352" s="16">
        <f>'БА в тыс. руб.'!I352*1000</f>
        <v>275630</v>
      </c>
      <c r="O352" s="169">
        <f t="shared" si="230"/>
        <v>0</v>
      </c>
      <c r="P352" s="16"/>
      <c r="Q352" s="16"/>
      <c r="R352" s="16"/>
      <c r="S352" s="16"/>
      <c r="T352" s="16"/>
      <c r="U352" s="16"/>
    </row>
    <row r="353" spans="1:21" s="109" customFormat="1" ht="25.5">
      <c r="A353" s="11" t="s">
        <v>108</v>
      </c>
      <c r="B353" s="25" t="s">
        <v>75</v>
      </c>
      <c r="C353" s="26" t="s">
        <v>65</v>
      </c>
      <c r="D353" s="26" t="s">
        <v>2</v>
      </c>
      <c r="E353" s="26" t="s">
        <v>307</v>
      </c>
      <c r="F353" s="26" t="s">
        <v>116</v>
      </c>
      <c r="G353" s="27">
        <f>G354</f>
        <v>3529150</v>
      </c>
      <c r="H353" s="27">
        <f t="shared" ref="H353:I353" si="245">H354</f>
        <v>3533810</v>
      </c>
      <c r="I353" s="27">
        <f t="shared" si="245"/>
        <v>3533810</v>
      </c>
      <c r="J353" s="16">
        <f>'БА в тыс. руб.'!G353*1000</f>
        <v>3529150</v>
      </c>
      <c r="K353" s="169">
        <f t="shared" si="228"/>
        <v>0</v>
      </c>
      <c r="L353" s="16">
        <f>'БА в тыс. руб.'!H353*1000</f>
        <v>3533810</v>
      </c>
      <c r="M353" s="169">
        <f t="shared" si="229"/>
        <v>0</v>
      </c>
      <c r="N353" s="16">
        <f>'БА в тыс. руб.'!I353*1000</f>
        <v>3533810</v>
      </c>
      <c r="O353" s="169">
        <f t="shared" si="230"/>
        <v>0</v>
      </c>
      <c r="P353" s="16"/>
      <c r="Q353" s="16"/>
      <c r="R353" s="16"/>
      <c r="S353" s="16"/>
      <c r="T353" s="16"/>
      <c r="U353" s="16"/>
    </row>
    <row r="354" spans="1:21" s="110" customFormat="1" ht="25.5">
      <c r="A354" s="12" t="s">
        <v>973</v>
      </c>
      <c r="B354" s="25" t="s">
        <v>75</v>
      </c>
      <c r="C354" s="26" t="s">
        <v>65</v>
      </c>
      <c r="D354" s="26" t="s">
        <v>2</v>
      </c>
      <c r="E354" s="26" t="s">
        <v>307</v>
      </c>
      <c r="F354" s="26" t="s">
        <v>1043</v>
      </c>
      <c r="G354" s="27">
        <f t="shared" ref="G354" si="246">J354</f>
        <v>3529150</v>
      </c>
      <c r="H354" s="27">
        <f>L354</f>
        <v>3533810</v>
      </c>
      <c r="I354" s="27">
        <f>N354</f>
        <v>3533810</v>
      </c>
      <c r="J354" s="16">
        <f>'БА в тыс. руб.'!G354*1000</f>
        <v>3529150</v>
      </c>
      <c r="K354" s="169">
        <f t="shared" si="228"/>
        <v>0</v>
      </c>
      <c r="L354" s="16">
        <f>'БА в тыс. руб.'!H354*1000</f>
        <v>3533810</v>
      </c>
      <c r="M354" s="169">
        <f t="shared" si="229"/>
        <v>0</v>
      </c>
      <c r="N354" s="16">
        <f>'БА в тыс. руб.'!I354*1000</f>
        <v>3533810</v>
      </c>
      <c r="O354" s="169">
        <f t="shared" si="230"/>
        <v>0</v>
      </c>
      <c r="P354" s="16"/>
      <c r="Q354" s="16"/>
      <c r="R354" s="16"/>
      <c r="S354" s="16"/>
      <c r="T354" s="16"/>
      <c r="U354" s="16"/>
    </row>
    <row r="355" spans="1:21" s="109" customFormat="1" ht="12.75">
      <c r="A355" s="11" t="s">
        <v>97</v>
      </c>
      <c r="B355" s="25" t="s">
        <v>75</v>
      </c>
      <c r="C355" s="26" t="s">
        <v>65</v>
      </c>
      <c r="D355" s="26" t="s">
        <v>2</v>
      </c>
      <c r="E355" s="26" t="s">
        <v>307</v>
      </c>
      <c r="F355" s="26" t="s">
        <v>118</v>
      </c>
      <c r="G355" s="27">
        <f>SUM(G356:G358)</f>
        <v>60470</v>
      </c>
      <c r="H355" s="27">
        <f t="shared" ref="H355:I355" si="247">SUM(H356:H358)</f>
        <v>60470</v>
      </c>
      <c r="I355" s="27">
        <f t="shared" si="247"/>
        <v>60470</v>
      </c>
      <c r="J355" s="16">
        <f>'БА в тыс. руб.'!G355*1000</f>
        <v>60470</v>
      </c>
      <c r="K355" s="169">
        <f t="shared" si="228"/>
        <v>0</v>
      </c>
      <c r="L355" s="16">
        <f>'БА в тыс. руб.'!H355*1000</f>
        <v>60470</v>
      </c>
      <c r="M355" s="169">
        <f t="shared" si="229"/>
        <v>0</v>
      </c>
      <c r="N355" s="16">
        <f>'БА в тыс. руб.'!I355*1000</f>
        <v>60470</v>
      </c>
      <c r="O355" s="169">
        <f t="shared" si="230"/>
        <v>0</v>
      </c>
      <c r="P355" s="16"/>
      <c r="Q355" s="16"/>
      <c r="R355" s="16"/>
      <c r="S355" s="16"/>
      <c r="T355" s="16"/>
      <c r="U355" s="16"/>
    </row>
    <row r="356" spans="1:21" s="109" customFormat="1" ht="12.75">
      <c r="A356" s="11" t="s">
        <v>1036</v>
      </c>
      <c r="B356" s="25" t="s">
        <v>75</v>
      </c>
      <c r="C356" s="26" t="s">
        <v>65</v>
      </c>
      <c r="D356" s="26" t="s">
        <v>2</v>
      </c>
      <c r="E356" s="26" t="s">
        <v>307</v>
      </c>
      <c r="F356" s="26" t="s">
        <v>1061</v>
      </c>
      <c r="G356" s="27">
        <f t="shared" ref="G356:G358" si="248">J356</f>
        <v>2000</v>
      </c>
      <c r="H356" s="27">
        <f t="shared" ref="H356:H358" si="249">L356</f>
        <v>2000</v>
      </c>
      <c r="I356" s="27">
        <f t="shared" ref="I356:I358" si="250">N356</f>
        <v>2000</v>
      </c>
      <c r="J356" s="16">
        <f>'БА в тыс. руб.'!G356*1000</f>
        <v>2000</v>
      </c>
      <c r="K356" s="169">
        <f t="shared" si="228"/>
        <v>0</v>
      </c>
      <c r="L356" s="16">
        <f>'БА в тыс. руб.'!H356*1000</f>
        <v>2000</v>
      </c>
      <c r="M356" s="169">
        <f t="shared" si="229"/>
        <v>0</v>
      </c>
      <c r="N356" s="16">
        <f>'БА в тыс. руб.'!I356*1000</f>
        <v>2000</v>
      </c>
      <c r="O356" s="169">
        <f t="shared" si="230"/>
        <v>0</v>
      </c>
      <c r="P356" s="16"/>
      <c r="Q356" s="16"/>
      <c r="R356" s="16"/>
      <c r="S356" s="16"/>
      <c r="T356" s="16"/>
      <c r="U356" s="16"/>
    </row>
    <row r="357" spans="1:21" s="109" customFormat="1" ht="12.75">
      <c r="A357" s="11" t="s">
        <v>1037</v>
      </c>
      <c r="B357" s="25" t="s">
        <v>75</v>
      </c>
      <c r="C357" s="26" t="s">
        <v>65</v>
      </c>
      <c r="D357" s="26" t="s">
        <v>2</v>
      </c>
      <c r="E357" s="26" t="s">
        <v>307</v>
      </c>
      <c r="F357" s="26" t="s">
        <v>1062</v>
      </c>
      <c r="G357" s="27">
        <f t="shared" si="248"/>
        <v>23470</v>
      </c>
      <c r="H357" s="27">
        <f t="shared" si="249"/>
        <v>23470</v>
      </c>
      <c r="I357" s="27">
        <f t="shared" si="250"/>
        <v>23470</v>
      </c>
      <c r="J357" s="16">
        <f>'БА в тыс. руб.'!G357*1000</f>
        <v>23470</v>
      </c>
      <c r="K357" s="169">
        <f t="shared" si="228"/>
        <v>0</v>
      </c>
      <c r="L357" s="16">
        <f>'БА в тыс. руб.'!H357*1000</f>
        <v>23470</v>
      </c>
      <c r="M357" s="169">
        <f t="shared" si="229"/>
        <v>0</v>
      </c>
      <c r="N357" s="16">
        <f>'БА в тыс. руб.'!I357*1000</f>
        <v>23470</v>
      </c>
      <c r="O357" s="169">
        <f t="shared" si="230"/>
        <v>0</v>
      </c>
      <c r="P357" s="16"/>
      <c r="Q357" s="16"/>
      <c r="R357" s="16"/>
      <c r="S357" s="16"/>
      <c r="T357" s="16"/>
      <c r="U357" s="16"/>
    </row>
    <row r="358" spans="1:21" s="109" customFormat="1" ht="12.75">
      <c r="A358" s="11" t="s">
        <v>1038</v>
      </c>
      <c r="B358" s="25" t="s">
        <v>75</v>
      </c>
      <c r="C358" s="26" t="s">
        <v>65</v>
      </c>
      <c r="D358" s="26" t="s">
        <v>2</v>
      </c>
      <c r="E358" s="26" t="s">
        <v>307</v>
      </c>
      <c r="F358" s="26" t="s">
        <v>1066</v>
      </c>
      <c r="G358" s="27">
        <f t="shared" si="248"/>
        <v>35000</v>
      </c>
      <c r="H358" s="27">
        <f t="shared" si="249"/>
        <v>35000</v>
      </c>
      <c r="I358" s="27">
        <f t="shared" si="250"/>
        <v>35000</v>
      </c>
      <c r="J358" s="16">
        <f>'БА в тыс. руб.'!G358*1000</f>
        <v>35000</v>
      </c>
      <c r="K358" s="169">
        <f t="shared" si="228"/>
        <v>0</v>
      </c>
      <c r="L358" s="16">
        <f>'БА в тыс. руб.'!H358*1000</f>
        <v>35000</v>
      </c>
      <c r="M358" s="169">
        <f t="shared" si="229"/>
        <v>0</v>
      </c>
      <c r="N358" s="16">
        <f>'БА в тыс. руб.'!I358*1000</f>
        <v>35000</v>
      </c>
      <c r="O358" s="169">
        <f t="shared" si="230"/>
        <v>0</v>
      </c>
      <c r="P358" s="16"/>
      <c r="Q358" s="16"/>
      <c r="R358" s="16"/>
      <c r="S358" s="16"/>
      <c r="T358" s="16"/>
      <c r="U358" s="16"/>
    </row>
    <row r="359" spans="1:21" s="109" customFormat="1" ht="25.5">
      <c r="A359" s="74" t="s">
        <v>126</v>
      </c>
      <c r="B359" s="25" t="s">
        <v>75</v>
      </c>
      <c r="C359" s="26" t="s">
        <v>65</v>
      </c>
      <c r="D359" s="26" t="s">
        <v>2</v>
      </c>
      <c r="E359" s="26" t="s">
        <v>308</v>
      </c>
      <c r="F359" s="26" t="s">
        <v>58</v>
      </c>
      <c r="G359" s="27">
        <f>G360</f>
        <v>40186530</v>
      </c>
      <c r="H359" s="27">
        <f>H360</f>
        <v>40186530</v>
      </c>
      <c r="I359" s="27">
        <f>I360</f>
        <v>40186530</v>
      </c>
      <c r="J359" s="16">
        <f>'БА в тыс. руб.'!G359*1000</f>
        <v>40186530</v>
      </c>
      <c r="K359" s="169">
        <f t="shared" si="228"/>
        <v>0</v>
      </c>
      <c r="L359" s="16">
        <f>'БА в тыс. руб.'!H359*1000</f>
        <v>40186530</v>
      </c>
      <c r="M359" s="169">
        <f t="shared" si="229"/>
        <v>0</v>
      </c>
      <c r="N359" s="16">
        <f>'БА в тыс. руб.'!I359*1000</f>
        <v>40186530</v>
      </c>
      <c r="O359" s="169">
        <f t="shared" si="230"/>
        <v>0</v>
      </c>
      <c r="P359" s="16"/>
      <c r="Q359" s="16"/>
      <c r="R359" s="16"/>
      <c r="S359" s="16"/>
      <c r="T359" s="16"/>
      <c r="U359" s="16"/>
    </row>
    <row r="360" spans="1:21" s="109" customFormat="1" ht="25.5">
      <c r="A360" s="11" t="s">
        <v>107</v>
      </c>
      <c r="B360" s="25" t="s">
        <v>75</v>
      </c>
      <c r="C360" s="26" t="s">
        <v>65</v>
      </c>
      <c r="D360" s="26" t="s">
        <v>2</v>
      </c>
      <c r="E360" s="26" t="s">
        <v>308</v>
      </c>
      <c r="F360" s="26" t="s">
        <v>115</v>
      </c>
      <c r="G360" s="27">
        <f>SUM(G361:G362)</f>
        <v>40186530</v>
      </c>
      <c r="H360" s="27">
        <f t="shared" ref="H360:I360" si="251">SUM(H361:H362)</f>
        <v>40186530</v>
      </c>
      <c r="I360" s="27">
        <f t="shared" si="251"/>
        <v>40186530</v>
      </c>
      <c r="J360" s="16">
        <f>'БА в тыс. руб.'!G360*1000</f>
        <v>40186530</v>
      </c>
      <c r="K360" s="169">
        <f t="shared" si="228"/>
        <v>0</v>
      </c>
      <c r="L360" s="16">
        <f>'БА в тыс. руб.'!H360*1000</f>
        <v>40186530</v>
      </c>
      <c r="M360" s="169">
        <f t="shared" si="229"/>
        <v>0</v>
      </c>
      <c r="N360" s="16">
        <f>'БА в тыс. руб.'!I360*1000</f>
        <v>40186530</v>
      </c>
      <c r="O360" s="169">
        <f t="shared" si="230"/>
        <v>0</v>
      </c>
      <c r="P360" s="16"/>
      <c r="Q360" s="16"/>
      <c r="R360" s="16"/>
      <c r="S360" s="16"/>
      <c r="T360" s="16"/>
      <c r="U360" s="16"/>
    </row>
    <row r="361" spans="1:21" s="109" customFormat="1" ht="12.75">
      <c r="A361" s="11" t="s">
        <v>936</v>
      </c>
      <c r="B361" s="25" t="s">
        <v>75</v>
      </c>
      <c r="C361" s="26" t="s">
        <v>65</v>
      </c>
      <c r="D361" s="26" t="s">
        <v>2</v>
      </c>
      <c r="E361" s="26" t="s">
        <v>308</v>
      </c>
      <c r="F361" s="26" t="s">
        <v>1063</v>
      </c>
      <c r="G361" s="27">
        <f t="shared" ref="G361:G362" si="252">J361</f>
        <v>30865230</v>
      </c>
      <c r="H361" s="27">
        <f t="shared" ref="H361:H362" si="253">L361</f>
        <v>30865230</v>
      </c>
      <c r="I361" s="27">
        <f t="shared" ref="I361:I362" si="254">N361</f>
        <v>30865230</v>
      </c>
      <c r="J361" s="16">
        <f>'БА в тыс. руб.'!G361*1000</f>
        <v>30865230</v>
      </c>
      <c r="K361" s="169">
        <f t="shared" si="228"/>
        <v>0</v>
      </c>
      <c r="L361" s="16">
        <f>'БА в тыс. руб.'!H361*1000</f>
        <v>30865230</v>
      </c>
      <c r="M361" s="169">
        <f t="shared" si="229"/>
        <v>0</v>
      </c>
      <c r="N361" s="16">
        <f>'БА в тыс. руб.'!I361*1000</f>
        <v>30865230</v>
      </c>
      <c r="O361" s="169">
        <f t="shared" si="230"/>
        <v>0</v>
      </c>
      <c r="P361" s="16"/>
      <c r="Q361" s="16"/>
      <c r="R361" s="16"/>
      <c r="S361" s="16"/>
      <c r="T361" s="16"/>
      <c r="U361" s="16"/>
    </row>
    <row r="362" spans="1:21" s="109" customFormat="1" ht="38.25">
      <c r="A362" s="11" t="s">
        <v>939</v>
      </c>
      <c r="B362" s="25" t="s">
        <v>75</v>
      </c>
      <c r="C362" s="26" t="s">
        <v>65</v>
      </c>
      <c r="D362" s="26" t="s">
        <v>2</v>
      </c>
      <c r="E362" s="26" t="s">
        <v>308</v>
      </c>
      <c r="F362" s="26" t="s">
        <v>1060</v>
      </c>
      <c r="G362" s="27">
        <f t="shared" si="252"/>
        <v>9321300</v>
      </c>
      <c r="H362" s="27">
        <f t="shared" si="253"/>
        <v>9321300</v>
      </c>
      <c r="I362" s="27">
        <f t="shared" si="254"/>
        <v>9321300</v>
      </c>
      <c r="J362" s="16">
        <f>'БА в тыс. руб.'!G362*1000</f>
        <v>9321300</v>
      </c>
      <c r="K362" s="169">
        <f t="shared" si="228"/>
        <v>0</v>
      </c>
      <c r="L362" s="16">
        <f>'БА в тыс. руб.'!H362*1000</f>
        <v>9321300</v>
      </c>
      <c r="M362" s="169">
        <f t="shared" si="229"/>
        <v>0</v>
      </c>
      <c r="N362" s="16">
        <f>'БА в тыс. руб.'!I362*1000</f>
        <v>9321300</v>
      </c>
      <c r="O362" s="169">
        <f t="shared" si="230"/>
        <v>0</v>
      </c>
      <c r="P362" s="16"/>
      <c r="Q362" s="16"/>
      <c r="R362" s="16"/>
      <c r="S362" s="16"/>
      <c r="T362" s="16"/>
      <c r="U362" s="16"/>
    </row>
    <row r="363" spans="1:21" s="109" customFormat="1" ht="12.75">
      <c r="A363" s="21" t="s">
        <v>309</v>
      </c>
      <c r="B363" s="22" t="s">
        <v>75</v>
      </c>
      <c r="C363" s="23" t="s">
        <v>65</v>
      </c>
      <c r="D363" s="23" t="s">
        <v>78</v>
      </c>
      <c r="E363" s="23" t="s">
        <v>196</v>
      </c>
      <c r="F363" s="23" t="s">
        <v>310</v>
      </c>
      <c r="G363" s="24">
        <f t="shared" ref="G363:I367" si="255">G364</f>
        <v>14195040</v>
      </c>
      <c r="H363" s="24">
        <f t="shared" si="255"/>
        <v>12775540</v>
      </c>
      <c r="I363" s="24">
        <f t="shared" si="255"/>
        <v>12775540</v>
      </c>
      <c r="J363" s="16">
        <f>'БА в тыс. руб.'!G363*1000</f>
        <v>14195040</v>
      </c>
      <c r="K363" s="169">
        <f t="shared" si="228"/>
        <v>0</v>
      </c>
      <c r="L363" s="16">
        <f>'БА в тыс. руб.'!H363*1000</f>
        <v>12775540</v>
      </c>
      <c r="M363" s="169">
        <f t="shared" si="229"/>
        <v>0</v>
      </c>
      <c r="N363" s="16">
        <f>'БА в тыс. руб.'!I363*1000</f>
        <v>12775540</v>
      </c>
      <c r="O363" s="169">
        <f t="shared" si="230"/>
        <v>0</v>
      </c>
      <c r="P363" s="16"/>
      <c r="Q363" s="16"/>
      <c r="R363" s="16"/>
      <c r="S363" s="16"/>
      <c r="T363" s="16"/>
      <c r="U363" s="16"/>
    </row>
    <row r="364" spans="1:21" s="109" customFormat="1" ht="25.5">
      <c r="A364" s="12" t="s">
        <v>743</v>
      </c>
      <c r="B364" s="25" t="s">
        <v>75</v>
      </c>
      <c r="C364" s="26" t="s">
        <v>65</v>
      </c>
      <c r="D364" s="26" t="s">
        <v>78</v>
      </c>
      <c r="E364" s="26" t="s">
        <v>311</v>
      </c>
      <c r="F364" s="26" t="s">
        <v>310</v>
      </c>
      <c r="G364" s="27">
        <f t="shared" si="255"/>
        <v>14195040</v>
      </c>
      <c r="H364" s="27">
        <f t="shared" si="255"/>
        <v>12775540</v>
      </c>
      <c r="I364" s="27">
        <f t="shared" si="255"/>
        <v>12775540</v>
      </c>
      <c r="J364" s="16">
        <f>'БА в тыс. руб.'!G364*1000</f>
        <v>14195040</v>
      </c>
      <c r="K364" s="169">
        <f t="shared" si="228"/>
        <v>0</v>
      </c>
      <c r="L364" s="16">
        <f>'БА в тыс. руб.'!H364*1000</f>
        <v>12775540</v>
      </c>
      <c r="M364" s="169">
        <f t="shared" si="229"/>
        <v>0</v>
      </c>
      <c r="N364" s="16">
        <f>'БА в тыс. руб.'!I364*1000</f>
        <v>12775540</v>
      </c>
      <c r="O364" s="169">
        <f t="shared" si="230"/>
        <v>0</v>
      </c>
      <c r="P364" s="16"/>
      <c r="Q364" s="16"/>
      <c r="R364" s="16"/>
      <c r="S364" s="16"/>
      <c r="T364" s="16"/>
      <c r="U364" s="16"/>
    </row>
    <row r="365" spans="1:21" s="109" customFormat="1" ht="38.25">
      <c r="A365" s="12" t="s">
        <v>744</v>
      </c>
      <c r="B365" s="25" t="s">
        <v>75</v>
      </c>
      <c r="C365" s="26" t="s">
        <v>65</v>
      </c>
      <c r="D365" s="26" t="s">
        <v>78</v>
      </c>
      <c r="E365" s="26" t="s">
        <v>312</v>
      </c>
      <c r="F365" s="26" t="s">
        <v>58</v>
      </c>
      <c r="G365" s="27">
        <f t="shared" si="255"/>
        <v>14195040</v>
      </c>
      <c r="H365" s="27">
        <f t="shared" si="255"/>
        <v>12775540</v>
      </c>
      <c r="I365" s="27">
        <f t="shared" si="255"/>
        <v>12775540</v>
      </c>
      <c r="J365" s="16">
        <f>'БА в тыс. руб.'!G365*1000</f>
        <v>14195040</v>
      </c>
      <c r="K365" s="169">
        <f t="shared" si="228"/>
        <v>0</v>
      </c>
      <c r="L365" s="16">
        <f>'БА в тыс. руб.'!H365*1000</f>
        <v>12775540</v>
      </c>
      <c r="M365" s="169">
        <f t="shared" si="229"/>
        <v>0</v>
      </c>
      <c r="N365" s="16">
        <f>'БА в тыс. руб.'!I365*1000</f>
        <v>12775540</v>
      </c>
      <c r="O365" s="169">
        <f t="shared" si="230"/>
        <v>0</v>
      </c>
      <c r="P365" s="16"/>
      <c r="Q365" s="16"/>
      <c r="R365" s="16"/>
      <c r="S365" s="16"/>
      <c r="T365" s="16"/>
      <c r="U365" s="16"/>
    </row>
    <row r="366" spans="1:21" s="109" customFormat="1" ht="25.5">
      <c r="A366" s="12" t="s">
        <v>313</v>
      </c>
      <c r="B366" s="25" t="s">
        <v>75</v>
      </c>
      <c r="C366" s="26" t="s">
        <v>65</v>
      </c>
      <c r="D366" s="26" t="s">
        <v>78</v>
      </c>
      <c r="E366" s="26" t="s">
        <v>568</v>
      </c>
      <c r="F366" s="26" t="s">
        <v>58</v>
      </c>
      <c r="G366" s="27">
        <f t="shared" si="255"/>
        <v>14195040</v>
      </c>
      <c r="H366" s="27">
        <f t="shared" si="255"/>
        <v>12775540</v>
      </c>
      <c r="I366" s="27">
        <f t="shared" si="255"/>
        <v>12775540</v>
      </c>
      <c r="J366" s="16">
        <f>'БА в тыс. руб.'!G366*1000</f>
        <v>14195040</v>
      </c>
      <c r="K366" s="169">
        <f t="shared" si="228"/>
        <v>0</v>
      </c>
      <c r="L366" s="16">
        <f>'БА в тыс. руб.'!H366*1000</f>
        <v>12775540</v>
      </c>
      <c r="M366" s="169">
        <f t="shared" si="229"/>
        <v>0</v>
      </c>
      <c r="N366" s="16">
        <f>'БА в тыс. руб.'!I366*1000</f>
        <v>12775540</v>
      </c>
      <c r="O366" s="169">
        <f t="shared" si="230"/>
        <v>0</v>
      </c>
      <c r="P366" s="16"/>
      <c r="Q366" s="16"/>
      <c r="R366" s="16"/>
      <c r="S366" s="16"/>
      <c r="T366" s="16"/>
      <c r="U366" s="16"/>
    </row>
    <row r="367" spans="1:21" s="109" customFormat="1" ht="12.75">
      <c r="A367" s="11" t="s">
        <v>0</v>
      </c>
      <c r="B367" s="25" t="s">
        <v>75</v>
      </c>
      <c r="C367" s="26" t="s">
        <v>65</v>
      </c>
      <c r="D367" s="26" t="s">
        <v>78</v>
      </c>
      <c r="E367" s="26" t="s">
        <v>569</v>
      </c>
      <c r="F367" s="26" t="s">
        <v>58</v>
      </c>
      <c r="G367" s="27">
        <f t="shared" si="255"/>
        <v>14195040</v>
      </c>
      <c r="H367" s="27">
        <f t="shared" si="255"/>
        <v>12775540</v>
      </c>
      <c r="I367" s="27">
        <f t="shared" si="255"/>
        <v>12775540</v>
      </c>
      <c r="J367" s="16">
        <f>'БА в тыс. руб.'!G367*1000</f>
        <v>14195040</v>
      </c>
      <c r="K367" s="169">
        <f t="shared" si="228"/>
        <v>0</v>
      </c>
      <c r="L367" s="16">
        <f>'БА в тыс. руб.'!H367*1000</f>
        <v>12775540</v>
      </c>
      <c r="M367" s="169">
        <f t="shared" si="229"/>
        <v>0</v>
      </c>
      <c r="N367" s="16">
        <f>'БА в тыс. руб.'!I367*1000</f>
        <v>12775540</v>
      </c>
      <c r="O367" s="169">
        <f t="shared" si="230"/>
        <v>0</v>
      </c>
      <c r="P367" s="16"/>
      <c r="Q367" s="16"/>
      <c r="R367" s="16"/>
      <c r="S367" s="16"/>
      <c r="T367" s="16"/>
      <c r="U367" s="16"/>
    </row>
    <row r="368" spans="1:21" s="109" customFormat="1" ht="14.45" customHeight="1">
      <c r="A368" s="11" t="s">
        <v>98</v>
      </c>
      <c r="B368" s="25" t="s">
        <v>75</v>
      </c>
      <c r="C368" s="26" t="s">
        <v>65</v>
      </c>
      <c r="D368" s="26" t="s">
        <v>78</v>
      </c>
      <c r="E368" s="26" t="s">
        <v>569</v>
      </c>
      <c r="F368" s="26" t="s">
        <v>102</v>
      </c>
      <c r="G368" s="27">
        <f t="shared" ref="G368" si="256">J368</f>
        <v>14195040</v>
      </c>
      <c r="H368" s="27">
        <f>L368</f>
        <v>12775540</v>
      </c>
      <c r="I368" s="27">
        <f>N368</f>
        <v>12775540</v>
      </c>
      <c r="J368" s="16">
        <f>'БА в тыс. руб.'!G368*1000</f>
        <v>14195040</v>
      </c>
      <c r="K368" s="169">
        <f t="shared" si="228"/>
        <v>0</v>
      </c>
      <c r="L368" s="16">
        <f>'БА в тыс. руб.'!H368*1000</f>
        <v>12775540</v>
      </c>
      <c r="M368" s="169">
        <f t="shared" si="229"/>
        <v>0</v>
      </c>
      <c r="N368" s="16">
        <f>'БА в тыс. руб.'!I368*1000</f>
        <v>12775540</v>
      </c>
      <c r="O368" s="169">
        <f t="shared" si="230"/>
        <v>0</v>
      </c>
      <c r="P368" s="16"/>
      <c r="Q368" s="16"/>
      <c r="R368" s="16"/>
      <c r="S368" s="16"/>
      <c r="T368" s="16"/>
      <c r="U368" s="16"/>
    </row>
    <row r="369" spans="1:21" s="109" customFormat="1" ht="12.75">
      <c r="A369" s="21" t="s">
        <v>38</v>
      </c>
      <c r="B369" s="22" t="s">
        <v>75</v>
      </c>
      <c r="C369" s="23" t="s">
        <v>65</v>
      </c>
      <c r="D369" s="23" t="s">
        <v>84</v>
      </c>
      <c r="E369" s="23" t="s">
        <v>196</v>
      </c>
      <c r="F369" s="23" t="s">
        <v>58</v>
      </c>
      <c r="G369" s="24">
        <f>G376+G370</f>
        <v>27043130</v>
      </c>
      <c r="H369" s="24">
        <f>H376+H370</f>
        <v>22249210</v>
      </c>
      <c r="I369" s="24">
        <f>I376+I370</f>
        <v>28449210</v>
      </c>
      <c r="J369" s="16">
        <f>'БА в тыс. руб.'!G369*1000</f>
        <v>27043130</v>
      </c>
      <c r="K369" s="169">
        <f t="shared" si="228"/>
        <v>0</v>
      </c>
      <c r="L369" s="16">
        <f>'БА в тыс. руб.'!H369*1000</f>
        <v>22249210</v>
      </c>
      <c r="M369" s="169">
        <f t="shared" si="229"/>
        <v>0</v>
      </c>
      <c r="N369" s="16">
        <f>'БА в тыс. руб.'!I369*1000</f>
        <v>28449210</v>
      </c>
      <c r="O369" s="169">
        <f t="shared" si="230"/>
        <v>0</v>
      </c>
      <c r="P369" s="16"/>
      <c r="Q369" s="16"/>
      <c r="R369" s="16"/>
      <c r="S369" s="16"/>
      <c r="T369" s="16"/>
      <c r="U369" s="16"/>
    </row>
    <row r="370" spans="1:21" s="109" customFormat="1" ht="25.5">
      <c r="A370" s="12" t="s">
        <v>743</v>
      </c>
      <c r="B370" s="25" t="s">
        <v>75</v>
      </c>
      <c r="C370" s="26" t="s">
        <v>65</v>
      </c>
      <c r="D370" s="26" t="s">
        <v>84</v>
      </c>
      <c r="E370" s="26" t="s">
        <v>311</v>
      </c>
      <c r="F370" s="26" t="s">
        <v>58</v>
      </c>
      <c r="G370" s="27">
        <f t="shared" ref="G370:I374" si="257">G371</f>
        <v>8338340</v>
      </c>
      <c r="H370" s="27">
        <f t="shared" si="257"/>
        <v>3544420</v>
      </c>
      <c r="I370" s="27">
        <f t="shared" si="257"/>
        <v>9744420</v>
      </c>
      <c r="J370" s="16">
        <f>'БА в тыс. руб.'!G370*1000</f>
        <v>8338340</v>
      </c>
      <c r="K370" s="169">
        <f t="shared" si="228"/>
        <v>0</v>
      </c>
      <c r="L370" s="16">
        <f>'БА в тыс. руб.'!H370*1000</f>
        <v>3544420</v>
      </c>
      <c r="M370" s="169">
        <f t="shared" si="229"/>
        <v>0</v>
      </c>
      <c r="N370" s="16">
        <f>'БА в тыс. руб.'!I370*1000</f>
        <v>9744420</v>
      </c>
      <c r="O370" s="169">
        <f t="shared" si="230"/>
        <v>0</v>
      </c>
      <c r="P370" s="16"/>
      <c r="Q370" s="16"/>
      <c r="R370" s="16"/>
      <c r="S370" s="16"/>
      <c r="T370" s="16"/>
      <c r="U370" s="16"/>
    </row>
    <row r="371" spans="1:21" s="109" customFormat="1" ht="38.25">
      <c r="A371" s="12" t="s">
        <v>744</v>
      </c>
      <c r="B371" s="25" t="s">
        <v>75</v>
      </c>
      <c r="C371" s="26" t="s">
        <v>65</v>
      </c>
      <c r="D371" s="26" t="s">
        <v>84</v>
      </c>
      <c r="E371" s="26" t="s">
        <v>312</v>
      </c>
      <c r="F371" s="26" t="s">
        <v>58</v>
      </c>
      <c r="G371" s="27">
        <f t="shared" si="257"/>
        <v>8338340</v>
      </c>
      <c r="H371" s="27">
        <f t="shared" si="257"/>
        <v>3544420</v>
      </c>
      <c r="I371" s="27">
        <f t="shared" si="257"/>
        <v>9744420</v>
      </c>
      <c r="J371" s="16">
        <f>'БА в тыс. руб.'!G371*1000</f>
        <v>8338340</v>
      </c>
      <c r="K371" s="169">
        <f t="shared" si="228"/>
        <v>0</v>
      </c>
      <c r="L371" s="16">
        <f>'БА в тыс. руб.'!H371*1000</f>
        <v>3544420</v>
      </c>
      <c r="M371" s="169">
        <f t="shared" si="229"/>
        <v>0</v>
      </c>
      <c r="N371" s="16">
        <f>'БА в тыс. руб.'!I371*1000</f>
        <v>9744420</v>
      </c>
      <c r="O371" s="169">
        <f t="shared" si="230"/>
        <v>0</v>
      </c>
      <c r="P371" s="16"/>
      <c r="Q371" s="16"/>
      <c r="R371" s="16"/>
      <c r="S371" s="16"/>
      <c r="T371" s="16"/>
      <c r="U371" s="16"/>
    </row>
    <row r="372" spans="1:21" s="109" customFormat="1" ht="51">
      <c r="A372" s="12" t="s">
        <v>315</v>
      </c>
      <c r="B372" s="25" t="s">
        <v>75</v>
      </c>
      <c r="C372" s="26" t="s">
        <v>65</v>
      </c>
      <c r="D372" s="26" t="s">
        <v>84</v>
      </c>
      <c r="E372" s="26" t="s">
        <v>314</v>
      </c>
      <c r="F372" s="26" t="s">
        <v>58</v>
      </c>
      <c r="G372" s="27">
        <f t="shared" si="257"/>
        <v>8338340</v>
      </c>
      <c r="H372" s="27">
        <f t="shared" si="257"/>
        <v>3544420</v>
      </c>
      <c r="I372" s="27">
        <f t="shared" si="257"/>
        <v>9744420</v>
      </c>
      <c r="J372" s="16">
        <f>'БА в тыс. руб.'!G372*1000</f>
        <v>8338340</v>
      </c>
      <c r="K372" s="169">
        <f t="shared" si="228"/>
        <v>0</v>
      </c>
      <c r="L372" s="16">
        <f>'БА в тыс. руб.'!H372*1000</f>
        <v>3544420</v>
      </c>
      <c r="M372" s="169">
        <f t="shared" si="229"/>
        <v>0</v>
      </c>
      <c r="N372" s="16">
        <f>'БА в тыс. руб.'!I372*1000</f>
        <v>9744420</v>
      </c>
      <c r="O372" s="169">
        <f t="shared" si="230"/>
        <v>0</v>
      </c>
      <c r="P372" s="16"/>
      <c r="Q372" s="16"/>
      <c r="R372" s="16"/>
      <c r="S372" s="16"/>
      <c r="T372" s="16"/>
      <c r="U372" s="16"/>
    </row>
    <row r="373" spans="1:21" s="109" customFormat="1" ht="25.5">
      <c r="A373" s="11" t="s">
        <v>130</v>
      </c>
      <c r="B373" s="25" t="s">
        <v>75</v>
      </c>
      <c r="C373" s="26" t="s">
        <v>65</v>
      </c>
      <c r="D373" s="26" t="s">
        <v>84</v>
      </c>
      <c r="E373" s="26" t="s">
        <v>570</v>
      </c>
      <c r="F373" s="26" t="s">
        <v>58</v>
      </c>
      <c r="G373" s="27">
        <f t="shared" si="257"/>
        <v>8338340</v>
      </c>
      <c r="H373" s="27">
        <f t="shared" si="257"/>
        <v>3544420</v>
      </c>
      <c r="I373" s="27">
        <f t="shared" si="257"/>
        <v>9744420</v>
      </c>
      <c r="J373" s="16">
        <f>'БА в тыс. руб.'!G373*1000</f>
        <v>8338340</v>
      </c>
      <c r="K373" s="169">
        <f t="shared" si="228"/>
        <v>0</v>
      </c>
      <c r="L373" s="16">
        <f>'БА в тыс. руб.'!H373*1000</f>
        <v>3544420</v>
      </c>
      <c r="M373" s="169">
        <f t="shared" si="229"/>
        <v>0</v>
      </c>
      <c r="N373" s="16">
        <f>'БА в тыс. руб.'!I373*1000</f>
        <v>9744420</v>
      </c>
      <c r="O373" s="169">
        <f t="shared" si="230"/>
        <v>0</v>
      </c>
      <c r="P373" s="16"/>
      <c r="Q373" s="16"/>
      <c r="R373" s="16"/>
      <c r="S373" s="16"/>
      <c r="T373" s="16"/>
      <c r="U373" s="16"/>
    </row>
    <row r="374" spans="1:21" s="109" customFormat="1" ht="12.75">
      <c r="A374" s="11" t="s">
        <v>96</v>
      </c>
      <c r="B374" s="25" t="s">
        <v>75</v>
      </c>
      <c r="C374" s="26" t="s">
        <v>65</v>
      </c>
      <c r="D374" s="26" t="s">
        <v>84</v>
      </c>
      <c r="E374" s="26" t="s">
        <v>570</v>
      </c>
      <c r="F374" s="26" t="s">
        <v>131</v>
      </c>
      <c r="G374" s="27">
        <f>G375</f>
        <v>8338340</v>
      </c>
      <c r="H374" s="27">
        <f t="shared" si="257"/>
        <v>3544420</v>
      </c>
      <c r="I374" s="27">
        <f t="shared" si="257"/>
        <v>9744420</v>
      </c>
      <c r="J374" s="16">
        <f>'БА в тыс. руб.'!G374*1000</f>
        <v>8338340</v>
      </c>
      <c r="K374" s="169">
        <f t="shared" si="228"/>
        <v>0</v>
      </c>
      <c r="L374" s="16">
        <f>'БА в тыс. руб.'!H374*1000</f>
        <v>3544420</v>
      </c>
      <c r="M374" s="169">
        <f t="shared" si="229"/>
        <v>0</v>
      </c>
      <c r="N374" s="16">
        <f>'БА в тыс. руб.'!I374*1000</f>
        <v>9744420</v>
      </c>
      <c r="O374" s="169">
        <f t="shared" si="230"/>
        <v>0</v>
      </c>
      <c r="P374" s="16"/>
      <c r="Q374" s="16"/>
      <c r="R374" s="16"/>
      <c r="S374" s="16"/>
      <c r="T374" s="16"/>
      <c r="U374" s="16"/>
    </row>
    <row r="375" spans="1:21" s="110" customFormat="1" ht="25.5">
      <c r="A375" s="12" t="s">
        <v>1044</v>
      </c>
      <c r="B375" s="25" t="s">
        <v>75</v>
      </c>
      <c r="C375" s="26" t="s">
        <v>65</v>
      </c>
      <c r="D375" s="26" t="s">
        <v>84</v>
      </c>
      <c r="E375" s="26" t="s">
        <v>570</v>
      </c>
      <c r="F375" s="26" t="s">
        <v>1045</v>
      </c>
      <c r="G375" s="27">
        <f t="shared" ref="G375" si="258">J375</f>
        <v>8338340</v>
      </c>
      <c r="H375" s="27">
        <f>L375</f>
        <v>3544420</v>
      </c>
      <c r="I375" s="27">
        <f>N375</f>
        <v>9744420</v>
      </c>
      <c r="J375" s="16">
        <f>'БА в тыс. руб.'!G375*1000</f>
        <v>8338340</v>
      </c>
      <c r="K375" s="169">
        <f t="shared" si="228"/>
        <v>0</v>
      </c>
      <c r="L375" s="16">
        <f>'БА в тыс. руб.'!H375*1000</f>
        <v>3544420</v>
      </c>
      <c r="M375" s="169">
        <f t="shared" si="229"/>
        <v>0</v>
      </c>
      <c r="N375" s="16">
        <f>'БА в тыс. руб.'!I375*1000</f>
        <v>9744420</v>
      </c>
      <c r="O375" s="169">
        <f t="shared" si="230"/>
        <v>0</v>
      </c>
      <c r="P375" s="16"/>
      <c r="Q375" s="16"/>
      <c r="R375" s="16"/>
      <c r="S375" s="16"/>
      <c r="T375" s="16"/>
      <c r="U375" s="16"/>
    </row>
    <row r="376" spans="1:21" s="109" customFormat="1" ht="38.25">
      <c r="A376" s="11" t="s">
        <v>683</v>
      </c>
      <c r="B376" s="25" t="s">
        <v>75</v>
      </c>
      <c r="C376" s="26" t="s">
        <v>65</v>
      </c>
      <c r="D376" s="26" t="s">
        <v>84</v>
      </c>
      <c r="E376" s="26" t="s">
        <v>680</v>
      </c>
      <c r="F376" s="26" t="s">
        <v>58</v>
      </c>
      <c r="G376" s="27">
        <f>G377</f>
        <v>18704790</v>
      </c>
      <c r="H376" s="27">
        <f>H377</f>
        <v>18704790</v>
      </c>
      <c r="I376" s="27">
        <f>I377</f>
        <v>18704790</v>
      </c>
      <c r="J376" s="16">
        <f>'БА в тыс. руб.'!G376*1000</f>
        <v>18704790</v>
      </c>
      <c r="K376" s="169">
        <f t="shared" si="228"/>
        <v>0</v>
      </c>
      <c r="L376" s="16">
        <f>'БА в тыс. руб.'!H376*1000</f>
        <v>18704790</v>
      </c>
      <c r="M376" s="169">
        <f t="shared" si="229"/>
        <v>0</v>
      </c>
      <c r="N376" s="16">
        <f>'БА в тыс. руб.'!I376*1000</f>
        <v>18704790</v>
      </c>
      <c r="O376" s="169">
        <f t="shared" si="230"/>
        <v>0</v>
      </c>
      <c r="P376" s="16"/>
      <c r="Q376" s="16"/>
      <c r="R376" s="16"/>
      <c r="S376" s="16"/>
      <c r="T376" s="16"/>
      <c r="U376" s="16"/>
    </row>
    <row r="377" spans="1:21" s="109" customFormat="1" ht="12.75">
      <c r="A377" s="11" t="s">
        <v>684</v>
      </c>
      <c r="B377" s="25" t="s">
        <v>75</v>
      </c>
      <c r="C377" s="26" t="s">
        <v>65</v>
      </c>
      <c r="D377" s="26" t="s">
        <v>84</v>
      </c>
      <c r="E377" s="26" t="s">
        <v>681</v>
      </c>
      <c r="F377" s="26" t="s">
        <v>58</v>
      </c>
      <c r="G377" s="27">
        <f>G378+G380</f>
        <v>18704790</v>
      </c>
      <c r="H377" s="27">
        <f>H378+H380</f>
        <v>18704790</v>
      </c>
      <c r="I377" s="27">
        <f>I378+I380</f>
        <v>18704790</v>
      </c>
      <c r="J377" s="16">
        <f>'БА в тыс. руб.'!G377*1000</f>
        <v>18704790</v>
      </c>
      <c r="K377" s="169">
        <f t="shared" si="228"/>
        <v>0</v>
      </c>
      <c r="L377" s="16">
        <f>'БА в тыс. руб.'!H377*1000</f>
        <v>18704790</v>
      </c>
      <c r="M377" s="169">
        <f t="shared" si="229"/>
        <v>0</v>
      </c>
      <c r="N377" s="16">
        <f>'БА в тыс. руб.'!I377*1000</f>
        <v>18704790</v>
      </c>
      <c r="O377" s="169">
        <f t="shared" si="230"/>
        <v>0</v>
      </c>
      <c r="P377" s="16"/>
      <c r="Q377" s="16"/>
      <c r="R377" s="16"/>
      <c r="S377" s="16"/>
      <c r="T377" s="16"/>
      <c r="U377" s="16"/>
    </row>
    <row r="378" spans="1:21" s="109" customFormat="1" ht="25.5">
      <c r="A378" s="11" t="s">
        <v>602</v>
      </c>
      <c r="B378" s="25" t="s">
        <v>75</v>
      </c>
      <c r="C378" s="26" t="s">
        <v>65</v>
      </c>
      <c r="D378" s="26" t="s">
        <v>84</v>
      </c>
      <c r="E378" s="26" t="s">
        <v>685</v>
      </c>
      <c r="F378" s="26" t="s">
        <v>58</v>
      </c>
      <c r="G378" s="27">
        <f>G379</f>
        <v>2000000</v>
      </c>
      <c r="H378" s="27">
        <f>H379</f>
        <v>2000000</v>
      </c>
      <c r="I378" s="27">
        <f>I379</f>
        <v>2000000</v>
      </c>
      <c r="J378" s="16">
        <f>'БА в тыс. руб.'!G378*1000</f>
        <v>2000000</v>
      </c>
      <c r="K378" s="169">
        <f t="shared" si="228"/>
        <v>0</v>
      </c>
      <c r="L378" s="16">
        <f>'БА в тыс. руб.'!H378*1000</f>
        <v>2000000</v>
      </c>
      <c r="M378" s="169">
        <f t="shared" si="229"/>
        <v>0</v>
      </c>
      <c r="N378" s="16">
        <f>'БА в тыс. руб.'!I378*1000</f>
        <v>2000000</v>
      </c>
      <c r="O378" s="169">
        <f t="shared" si="230"/>
        <v>0</v>
      </c>
      <c r="P378" s="16"/>
      <c r="Q378" s="16"/>
      <c r="R378" s="16"/>
      <c r="S378" s="16"/>
      <c r="T378" s="16"/>
      <c r="U378" s="16"/>
    </row>
    <row r="379" spans="1:21" s="109" customFormat="1" ht="12.75">
      <c r="A379" s="34" t="s">
        <v>99</v>
      </c>
      <c r="B379" s="25" t="s">
        <v>75</v>
      </c>
      <c r="C379" s="26" t="s">
        <v>65</v>
      </c>
      <c r="D379" s="26" t="s">
        <v>84</v>
      </c>
      <c r="E379" s="26" t="s">
        <v>685</v>
      </c>
      <c r="F379" s="26" t="s">
        <v>105</v>
      </c>
      <c r="G379" s="27">
        <f t="shared" ref="G379" si="259">J379</f>
        <v>2000000</v>
      </c>
      <c r="H379" s="27">
        <f>L379</f>
        <v>2000000</v>
      </c>
      <c r="I379" s="27">
        <f>N379</f>
        <v>2000000</v>
      </c>
      <c r="J379" s="16">
        <f>'БА в тыс. руб.'!G379*1000</f>
        <v>2000000</v>
      </c>
      <c r="K379" s="169">
        <f t="shared" si="228"/>
        <v>0</v>
      </c>
      <c r="L379" s="16">
        <f>'БА в тыс. руб.'!H379*1000</f>
        <v>2000000</v>
      </c>
      <c r="M379" s="169">
        <f t="shared" si="229"/>
        <v>0</v>
      </c>
      <c r="N379" s="16">
        <f>'БА в тыс. руб.'!I379*1000</f>
        <v>2000000</v>
      </c>
      <c r="O379" s="169">
        <f t="shared" si="230"/>
        <v>0</v>
      </c>
      <c r="P379" s="16"/>
      <c r="Q379" s="16"/>
      <c r="R379" s="16"/>
      <c r="S379" s="16"/>
      <c r="T379" s="16"/>
      <c r="U379" s="16"/>
    </row>
    <row r="380" spans="1:21" s="109" customFormat="1" ht="89.25">
      <c r="A380" s="115" t="s">
        <v>601</v>
      </c>
      <c r="B380" s="25" t="s">
        <v>75</v>
      </c>
      <c r="C380" s="26" t="s">
        <v>65</v>
      </c>
      <c r="D380" s="26" t="s">
        <v>84</v>
      </c>
      <c r="E380" s="26" t="s">
        <v>686</v>
      </c>
      <c r="F380" s="26" t="s">
        <v>58</v>
      </c>
      <c r="G380" s="27">
        <f>G381</f>
        <v>16704790</v>
      </c>
      <c r="H380" s="27">
        <f>H381</f>
        <v>16704790</v>
      </c>
      <c r="I380" s="27">
        <f>I381</f>
        <v>16704790</v>
      </c>
      <c r="J380" s="16">
        <f>'БА в тыс. руб.'!G380*1000</f>
        <v>16704790</v>
      </c>
      <c r="K380" s="169">
        <f t="shared" si="228"/>
        <v>0</v>
      </c>
      <c r="L380" s="16">
        <f>'БА в тыс. руб.'!H380*1000</f>
        <v>16704790</v>
      </c>
      <c r="M380" s="169">
        <f t="shared" si="229"/>
        <v>0</v>
      </c>
      <c r="N380" s="16">
        <f>'БА в тыс. руб.'!I380*1000</f>
        <v>16704790</v>
      </c>
      <c r="O380" s="169">
        <f t="shared" si="230"/>
        <v>0</v>
      </c>
      <c r="P380" s="16"/>
      <c r="Q380" s="16"/>
      <c r="R380" s="16"/>
      <c r="S380" s="16"/>
      <c r="T380" s="16"/>
      <c r="U380" s="16"/>
    </row>
    <row r="381" spans="1:21" s="109" customFormat="1" ht="12.75">
      <c r="A381" s="34" t="s">
        <v>99</v>
      </c>
      <c r="B381" s="25" t="s">
        <v>75</v>
      </c>
      <c r="C381" s="26" t="s">
        <v>65</v>
      </c>
      <c r="D381" s="26" t="s">
        <v>84</v>
      </c>
      <c r="E381" s="26" t="s">
        <v>686</v>
      </c>
      <c r="F381" s="26" t="s">
        <v>105</v>
      </c>
      <c r="G381" s="27">
        <f t="shared" ref="G381" si="260">J381</f>
        <v>16704790</v>
      </c>
      <c r="H381" s="27">
        <f>L381</f>
        <v>16704790</v>
      </c>
      <c r="I381" s="27">
        <f>N381</f>
        <v>16704790</v>
      </c>
      <c r="J381" s="16">
        <f>'БА в тыс. руб.'!G381*1000</f>
        <v>16704790</v>
      </c>
      <c r="K381" s="169">
        <f t="shared" si="228"/>
        <v>0</v>
      </c>
      <c r="L381" s="16">
        <f>'БА в тыс. руб.'!H381*1000</f>
        <v>16704790</v>
      </c>
      <c r="M381" s="169">
        <f t="shared" si="229"/>
        <v>0</v>
      </c>
      <c r="N381" s="16">
        <f>'БА в тыс. руб.'!I381*1000</f>
        <v>16704790</v>
      </c>
      <c r="O381" s="169">
        <f t="shared" si="230"/>
        <v>0</v>
      </c>
      <c r="P381" s="16"/>
      <c r="Q381" s="16"/>
      <c r="R381" s="16"/>
      <c r="S381" s="16"/>
      <c r="T381" s="16"/>
      <c r="U381" s="16"/>
    </row>
    <row r="382" spans="1:21" s="109" customFormat="1" ht="12.75">
      <c r="A382" s="17" t="s">
        <v>85</v>
      </c>
      <c r="B382" s="18" t="s">
        <v>75</v>
      </c>
      <c r="C382" s="19" t="s">
        <v>84</v>
      </c>
      <c r="D382" s="19" t="s">
        <v>51</v>
      </c>
      <c r="E382" s="19" t="s">
        <v>196</v>
      </c>
      <c r="F382" s="19" t="s">
        <v>58</v>
      </c>
      <c r="G382" s="20">
        <f t="shared" ref="G382:I387" si="261">G383</f>
        <v>164710000</v>
      </c>
      <c r="H382" s="20">
        <f t="shared" si="261"/>
        <v>200042000</v>
      </c>
      <c r="I382" s="20">
        <f t="shared" si="261"/>
        <v>241728000</v>
      </c>
      <c r="J382" s="16">
        <f>'БА в тыс. руб.'!G382*1000</f>
        <v>164710000</v>
      </c>
      <c r="K382" s="169">
        <f t="shared" si="228"/>
        <v>0</v>
      </c>
      <c r="L382" s="16">
        <f>'БА в тыс. руб.'!H382*1000</f>
        <v>200042000</v>
      </c>
      <c r="M382" s="169">
        <f t="shared" si="229"/>
        <v>0</v>
      </c>
      <c r="N382" s="16">
        <f>'БА в тыс. руб.'!I382*1000</f>
        <v>241728000</v>
      </c>
      <c r="O382" s="169">
        <f t="shared" si="230"/>
        <v>0</v>
      </c>
      <c r="P382" s="16"/>
      <c r="Q382" s="16"/>
      <c r="R382" s="16"/>
      <c r="S382" s="16"/>
      <c r="T382" s="16"/>
      <c r="U382" s="16"/>
    </row>
    <row r="383" spans="1:21" s="109" customFormat="1" ht="25.5">
      <c r="A383" s="21" t="s">
        <v>86</v>
      </c>
      <c r="B383" s="22" t="s">
        <v>75</v>
      </c>
      <c r="C383" s="23" t="s">
        <v>84</v>
      </c>
      <c r="D383" s="23" t="s">
        <v>65</v>
      </c>
      <c r="E383" s="23" t="s">
        <v>196</v>
      </c>
      <c r="F383" s="23" t="s">
        <v>58</v>
      </c>
      <c r="G383" s="24">
        <f t="shared" si="261"/>
        <v>164710000</v>
      </c>
      <c r="H383" s="24">
        <f t="shared" si="261"/>
        <v>200042000</v>
      </c>
      <c r="I383" s="24">
        <f t="shared" si="261"/>
        <v>241728000</v>
      </c>
      <c r="J383" s="16">
        <f>'БА в тыс. руб.'!G383*1000</f>
        <v>164710000</v>
      </c>
      <c r="K383" s="169">
        <f t="shared" si="228"/>
        <v>0</v>
      </c>
      <c r="L383" s="16">
        <f>'БА в тыс. руб.'!H383*1000</f>
        <v>200042000</v>
      </c>
      <c r="M383" s="169">
        <f t="shared" si="229"/>
        <v>0</v>
      </c>
      <c r="N383" s="16">
        <f>'БА в тыс. руб.'!I383*1000</f>
        <v>241728000</v>
      </c>
      <c r="O383" s="169">
        <f t="shared" si="230"/>
        <v>0</v>
      </c>
      <c r="P383" s="16"/>
      <c r="Q383" s="16"/>
      <c r="R383" s="16"/>
      <c r="S383" s="16"/>
      <c r="T383" s="16"/>
      <c r="U383" s="16"/>
    </row>
    <row r="384" spans="1:21" s="109" customFormat="1" ht="25.5">
      <c r="A384" s="12" t="s">
        <v>743</v>
      </c>
      <c r="B384" s="25" t="s">
        <v>75</v>
      </c>
      <c r="C384" s="26" t="s">
        <v>84</v>
      </c>
      <c r="D384" s="26" t="s">
        <v>65</v>
      </c>
      <c r="E384" s="26" t="s">
        <v>311</v>
      </c>
      <c r="F384" s="26" t="s">
        <v>58</v>
      </c>
      <c r="G384" s="27">
        <f t="shared" si="261"/>
        <v>164710000</v>
      </c>
      <c r="H384" s="27">
        <f t="shared" si="261"/>
        <v>200042000</v>
      </c>
      <c r="I384" s="27">
        <f t="shared" si="261"/>
        <v>241728000</v>
      </c>
      <c r="J384" s="16">
        <f>'БА в тыс. руб.'!G384*1000</f>
        <v>164710000</v>
      </c>
      <c r="K384" s="169">
        <f t="shared" si="228"/>
        <v>0</v>
      </c>
      <c r="L384" s="16">
        <f>'БА в тыс. руб.'!H384*1000</f>
        <v>200042000</v>
      </c>
      <c r="M384" s="169">
        <f t="shared" si="229"/>
        <v>0</v>
      </c>
      <c r="N384" s="16">
        <f>'БА в тыс. руб.'!I384*1000</f>
        <v>241728000</v>
      </c>
      <c r="O384" s="169">
        <f t="shared" si="230"/>
        <v>0</v>
      </c>
      <c r="P384" s="16"/>
      <c r="Q384" s="16"/>
      <c r="R384" s="16"/>
      <c r="S384" s="16"/>
      <c r="T384" s="16"/>
      <c r="U384" s="16"/>
    </row>
    <row r="385" spans="1:21" s="109" customFormat="1" ht="38.25">
      <c r="A385" s="12" t="s">
        <v>744</v>
      </c>
      <c r="B385" s="25" t="s">
        <v>75</v>
      </c>
      <c r="C385" s="26" t="s">
        <v>84</v>
      </c>
      <c r="D385" s="26" t="s">
        <v>65</v>
      </c>
      <c r="E385" s="26" t="s">
        <v>312</v>
      </c>
      <c r="F385" s="26" t="s">
        <v>58</v>
      </c>
      <c r="G385" s="27">
        <f t="shared" si="261"/>
        <v>164710000</v>
      </c>
      <c r="H385" s="27">
        <f t="shared" si="261"/>
        <v>200042000</v>
      </c>
      <c r="I385" s="27">
        <f t="shared" si="261"/>
        <v>241728000</v>
      </c>
      <c r="J385" s="16">
        <f>'БА в тыс. руб.'!G385*1000</f>
        <v>164710000</v>
      </c>
      <c r="K385" s="169">
        <f t="shared" si="228"/>
        <v>0</v>
      </c>
      <c r="L385" s="16">
        <f>'БА в тыс. руб.'!H385*1000</f>
        <v>200042000</v>
      </c>
      <c r="M385" s="169">
        <f t="shared" si="229"/>
        <v>0</v>
      </c>
      <c r="N385" s="16">
        <f>'БА в тыс. руб.'!I385*1000</f>
        <v>241728000</v>
      </c>
      <c r="O385" s="169">
        <f t="shared" si="230"/>
        <v>0</v>
      </c>
      <c r="P385" s="16"/>
      <c r="Q385" s="16"/>
      <c r="R385" s="16"/>
      <c r="S385" s="16"/>
      <c r="T385" s="16"/>
      <c r="U385" s="16"/>
    </row>
    <row r="386" spans="1:21" s="109" customFormat="1" ht="38.25">
      <c r="A386" s="12" t="s">
        <v>316</v>
      </c>
      <c r="B386" s="25" t="s">
        <v>75</v>
      </c>
      <c r="C386" s="26" t="s">
        <v>84</v>
      </c>
      <c r="D386" s="26" t="s">
        <v>65</v>
      </c>
      <c r="E386" s="26" t="s">
        <v>317</v>
      </c>
      <c r="F386" s="26" t="s">
        <v>58</v>
      </c>
      <c r="G386" s="27">
        <f t="shared" si="261"/>
        <v>164710000</v>
      </c>
      <c r="H386" s="27">
        <f t="shared" si="261"/>
        <v>200042000</v>
      </c>
      <c r="I386" s="27">
        <f t="shared" si="261"/>
        <v>241728000</v>
      </c>
      <c r="J386" s="16">
        <f>'БА в тыс. руб.'!G386*1000</f>
        <v>164710000</v>
      </c>
      <c r="K386" s="169">
        <f t="shared" si="228"/>
        <v>0</v>
      </c>
      <c r="L386" s="16">
        <f>'БА в тыс. руб.'!H386*1000</f>
        <v>200042000</v>
      </c>
      <c r="M386" s="169">
        <f t="shared" si="229"/>
        <v>0</v>
      </c>
      <c r="N386" s="16">
        <f>'БА в тыс. руб.'!I386*1000</f>
        <v>241728000</v>
      </c>
      <c r="O386" s="169">
        <f t="shared" si="230"/>
        <v>0</v>
      </c>
      <c r="P386" s="16"/>
      <c r="Q386" s="16"/>
      <c r="R386" s="16"/>
      <c r="S386" s="16"/>
      <c r="T386" s="16"/>
      <c r="U386" s="16"/>
    </row>
    <row r="387" spans="1:21" s="109" customFormat="1" ht="12.75">
      <c r="A387" s="12" t="s">
        <v>95</v>
      </c>
      <c r="B387" s="25" t="s">
        <v>75</v>
      </c>
      <c r="C387" s="26" t="s">
        <v>84</v>
      </c>
      <c r="D387" s="26" t="s">
        <v>65</v>
      </c>
      <c r="E387" s="26" t="s">
        <v>318</v>
      </c>
      <c r="F387" s="26" t="s">
        <v>58</v>
      </c>
      <c r="G387" s="27">
        <f t="shared" si="261"/>
        <v>164710000</v>
      </c>
      <c r="H387" s="27">
        <f t="shared" si="261"/>
        <v>200042000</v>
      </c>
      <c r="I387" s="27">
        <f t="shared" si="261"/>
        <v>241728000</v>
      </c>
      <c r="J387" s="16">
        <f>'БА в тыс. руб.'!G387*1000</f>
        <v>164710000</v>
      </c>
      <c r="K387" s="169">
        <f t="shared" si="228"/>
        <v>0</v>
      </c>
      <c r="L387" s="16">
        <f>'БА в тыс. руб.'!H387*1000</f>
        <v>200042000</v>
      </c>
      <c r="M387" s="169">
        <f t="shared" si="229"/>
        <v>0</v>
      </c>
      <c r="N387" s="16">
        <f>'БА в тыс. руб.'!I387*1000</f>
        <v>241728000</v>
      </c>
      <c r="O387" s="169">
        <f t="shared" si="230"/>
        <v>0</v>
      </c>
      <c r="P387" s="16"/>
      <c r="Q387" s="16"/>
      <c r="R387" s="16"/>
      <c r="S387" s="16"/>
      <c r="T387" s="16"/>
      <c r="U387" s="16"/>
    </row>
    <row r="388" spans="1:21" s="109" customFormat="1" ht="12.75">
      <c r="A388" s="12" t="s">
        <v>94</v>
      </c>
      <c r="B388" s="25" t="s">
        <v>75</v>
      </c>
      <c r="C388" s="26" t="s">
        <v>84</v>
      </c>
      <c r="D388" s="26" t="s">
        <v>65</v>
      </c>
      <c r="E388" s="26" t="s">
        <v>318</v>
      </c>
      <c r="F388" s="26" t="s">
        <v>132</v>
      </c>
      <c r="G388" s="27">
        <f t="shared" ref="G388" si="262">J388</f>
        <v>164710000</v>
      </c>
      <c r="H388" s="27">
        <f t="shared" ref="H388" si="263">L388</f>
        <v>200042000</v>
      </c>
      <c r="I388" s="27">
        <f t="shared" ref="I388" si="264">N388</f>
        <v>241728000</v>
      </c>
      <c r="J388" s="16">
        <f>'БА в тыс. руб.'!G388*1000</f>
        <v>164710000</v>
      </c>
      <c r="K388" s="169">
        <f t="shared" si="228"/>
        <v>0</v>
      </c>
      <c r="L388" s="16">
        <f>'БА в тыс. руб.'!H388*1000</f>
        <v>200042000</v>
      </c>
      <c r="M388" s="169">
        <f t="shared" si="229"/>
        <v>0</v>
      </c>
      <c r="N388" s="16">
        <f>'БА в тыс. руб.'!I388*1000</f>
        <v>241728000</v>
      </c>
      <c r="O388" s="169">
        <f t="shared" si="230"/>
        <v>0</v>
      </c>
      <c r="P388" s="16"/>
      <c r="Q388" s="16"/>
      <c r="R388" s="16"/>
      <c r="S388" s="16"/>
      <c r="T388" s="16"/>
      <c r="U388" s="16"/>
    </row>
    <row r="389" spans="1:21" s="99" customFormat="1" ht="12.75">
      <c r="A389" s="93"/>
      <c r="B389" s="92"/>
      <c r="C389" s="70"/>
      <c r="D389" s="70"/>
      <c r="E389" s="70"/>
      <c r="F389" s="70"/>
      <c r="G389" s="27"/>
      <c r="H389" s="27"/>
      <c r="I389" s="27"/>
      <c r="J389" s="16">
        <f>'БА в тыс. руб.'!G389*1000</f>
        <v>0</v>
      </c>
      <c r="K389" s="169">
        <f t="shared" si="228"/>
        <v>0</v>
      </c>
      <c r="L389" s="16">
        <f>'БА в тыс. руб.'!H389*1000</f>
        <v>0</v>
      </c>
      <c r="M389" s="169">
        <f t="shared" si="229"/>
        <v>0</v>
      </c>
      <c r="N389" s="16">
        <f>'БА в тыс. руб.'!I389*1000</f>
        <v>0</v>
      </c>
      <c r="O389" s="169">
        <f t="shared" si="230"/>
        <v>0</v>
      </c>
      <c r="P389" s="16"/>
      <c r="Q389" s="16"/>
      <c r="R389" s="16"/>
      <c r="S389" s="16"/>
      <c r="T389" s="16"/>
      <c r="U389" s="16"/>
    </row>
    <row r="390" spans="1:21" s="3" customFormat="1" ht="25.5">
      <c r="A390" s="28" t="s">
        <v>87</v>
      </c>
      <c r="B390" s="14" t="s">
        <v>68</v>
      </c>
      <c r="C390" s="15" t="s">
        <v>51</v>
      </c>
      <c r="D390" s="15" t="s">
        <v>51</v>
      </c>
      <c r="E390" s="15" t="s">
        <v>196</v>
      </c>
      <c r="F390" s="15" t="s">
        <v>58</v>
      </c>
      <c r="G390" s="29">
        <f>G391+G422+G414</f>
        <v>32190380</v>
      </c>
      <c r="H390" s="29">
        <f>H391+H422+H414</f>
        <v>31515760</v>
      </c>
      <c r="I390" s="29">
        <f>I391+I422+I414</f>
        <v>31515760</v>
      </c>
      <c r="J390" s="16">
        <f>'БА в тыс. руб.'!G390*1000</f>
        <v>32190380</v>
      </c>
      <c r="K390" s="169">
        <f t="shared" si="228"/>
        <v>0</v>
      </c>
      <c r="L390" s="16">
        <f>'БА в тыс. руб.'!H390*1000</f>
        <v>31515760</v>
      </c>
      <c r="M390" s="169">
        <f t="shared" si="229"/>
        <v>0</v>
      </c>
      <c r="N390" s="16">
        <f>'БА в тыс. руб.'!I390*1000</f>
        <v>31515760</v>
      </c>
      <c r="O390" s="169">
        <f t="shared" si="230"/>
        <v>0</v>
      </c>
      <c r="P390" s="16"/>
      <c r="Q390" s="16"/>
      <c r="R390" s="16"/>
      <c r="S390" s="16"/>
      <c r="T390" s="16"/>
      <c r="U390" s="16"/>
    </row>
    <row r="391" spans="1:21" s="116" customFormat="1">
      <c r="A391" s="17" t="s">
        <v>64</v>
      </c>
      <c r="B391" s="18" t="s">
        <v>68</v>
      </c>
      <c r="C391" s="19" t="s">
        <v>65</v>
      </c>
      <c r="D391" s="19" t="s">
        <v>51</v>
      </c>
      <c r="E391" s="19" t="s">
        <v>196</v>
      </c>
      <c r="F391" s="19" t="s">
        <v>58</v>
      </c>
      <c r="G391" s="20">
        <f t="shared" ref="G391:I399" si="265">G392</f>
        <v>28446740</v>
      </c>
      <c r="H391" s="20">
        <f t="shared" si="265"/>
        <v>28278440</v>
      </c>
      <c r="I391" s="20">
        <f t="shared" si="265"/>
        <v>28278440</v>
      </c>
      <c r="J391" s="16">
        <f>'БА в тыс. руб.'!G391*1000</f>
        <v>28446740</v>
      </c>
      <c r="K391" s="169">
        <f t="shared" si="228"/>
        <v>0</v>
      </c>
      <c r="L391" s="16">
        <f>'БА в тыс. руб.'!H391*1000</f>
        <v>28278440</v>
      </c>
      <c r="M391" s="169">
        <f t="shared" si="229"/>
        <v>0</v>
      </c>
      <c r="N391" s="16">
        <f>'БА в тыс. руб.'!I391*1000</f>
        <v>28278440</v>
      </c>
      <c r="O391" s="169">
        <f t="shared" si="230"/>
        <v>0</v>
      </c>
      <c r="P391" s="16"/>
      <c r="Q391" s="16"/>
      <c r="R391" s="16"/>
      <c r="S391" s="16"/>
      <c r="T391" s="16"/>
      <c r="U391" s="16"/>
    </row>
    <row r="392" spans="1:21" s="4" customFormat="1">
      <c r="A392" s="21" t="s">
        <v>38</v>
      </c>
      <c r="B392" s="22" t="s">
        <v>68</v>
      </c>
      <c r="C392" s="23" t="s">
        <v>65</v>
      </c>
      <c r="D392" s="23" t="s">
        <v>84</v>
      </c>
      <c r="E392" s="23" t="s">
        <v>196</v>
      </c>
      <c r="F392" s="23" t="s">
        <v>58</v>
      </c>
      <c r="G392" s="24">
        <f>G399+G393</f>
        <v>28446740</v>
      </c>
      <c r="H392" s="24">
        <f t="shared" ref="H392:I392" si="266">H399+H393</f>
        <v>28278440</v>
      </c>
      <c r="I392" s="24">
        <f t="shared" si="266"/>
        <v>28278440</v>
      </c>
      <c r="J392" s="16">
        <f>'БА в тыс. руб.'!G392*1000</f>
        <v>28446740</v>
      </c>
      <c r="K392" s="169">
        <f t="shared" ref="K392:K455" si="267">J392-G392</f>
        <v>0</v>
      </c>
      <c r="L392" s="16">
        <f>'БА в тыс. руб.'!H392*1000</f>
        <v>28278440</v>
      </c>
      <c r="M392" s="169">
        <f t="shared" ref="M392:M455" si="268">L392-H392</f>
        <v>0</v>
      </c>
      <c r="N392" s="16">
        <f>'БА в тыс. руб.'!I392*1000</f>
        <v>28278440</v>
      </c>
      <c r="O392" s="169">
        <f t="shared" ref="O392:O455" si="269">N392-I392</f>
        <v>0</v>
      </c>
      <c r="P392" s="16"/>
      <c r="Q392" s="16"/>
      <c r="R392" s="16"/>
      <c r="S392" s="16"/>
      <c r="T392" s="16"/>
      <c r="U392" s="16"/>
    </row>
    <row r="393" spans="1:21" s="3" customFormat="1" ht="38.25">
      <c r="A393" s="11" t="s">
        <v>752</v>
      </c>
      <c r="B393" s="25" t="s">
        <v>68</v>
      </c>
      <c r="C393" s="26" t="s">
        <v>65</v>
      </c>
      <c r="D393" s="26" t="s">
        <v>84</v>
      </c>
      <c r="E393" s="26" t="s">
        <v>249</v>
      </c>
      <c r="F393" s="26" t="s">
        <v>58</v>
      </c>
      <c r="G393" s="27">
        <f t="shared" ref="G393:I397" si="270">G394</f>
        <v>7650</v>
      </c>
      <c r="H393" s="27">
        <f t="shared" si="270"/>
        <v>6890</v>
      </c>
      <c r="I393" s="27">
        <f t="shared" si="270"/>
        <v>6890</v>
      </c>
      <c r="J393" s="16">
        <f>'БА в тыс. руб.'!G393*1000</f>
        <v>7650</v>
      </c>
      <c r="K393" s="169">
        <f t="shared" si="267"/>
        <v>0</v>
      </c>
      <c r="L393" s="16">
        <f>'БА в тыс. руб.'!H393*1000</f>
        <v>6890</v>
      </c>
      <c r="M393" s="169">
        <f t="shared" si="268"/>
        <v>0</v>
      </c>
      <c r="N393" s="16">
        <f>'БА в тыс. руб.'!I393*1000</f>
        <v>6890</v>
      </c>
      <c r="O393" s="169">
        <f t="shared" si="269"/>
        <v>0</v>
      </c>
      <c r="P393" s="16"/>
      <c r="Q393" s="16"/>
      <c r="R393" s="16"/>
      <c r="S393" s="16"/>
      <c r="T393" s="16"/>
      <c r="U393" s="16"/>
    </row>
    <row r="394" spans="1:21" s="3" customFormat="1" ht="25.5">
      <c r="A394" s="11" t="s">
        <v>879</v>
      </c>
      <c r="B394" s="25" t="s">
        <v>68</v>
      </c>
      <c r="C394" s="26" t="s">
        <v>65</v>
      </c>
      <c r="D394" s="26" t="s">
        <v>84</v>
      </c>
      <c r="E394" s="26" t="s">
        <v>256</v>
      </c>
      <c r="F394" s="26" t="s">
        <v>58</v>
      </c>
      <c r="G394" s="27">
        <f t="shared" si="270"/>
        <v>7650</v>
      </c>
      <c r="H394" s="27">
        <f t="shared" si="270"/>
        <v>6890</v>
      </c>
      <c r="I394" s="27">
        <f t="shared" si="270"/>
        <v>6890</v>
      </c>
      <c r="J394" s="16">
        <f>'БА в тыс. руб.'!G394*1000</f>
        <v>7650</v>
      </c>
      <c r="K394" s="169">
        <f t="shared" si="267"/>
        <v>0</v>
      </c>
      <c r="L394" s="16">
        <f>'БА в тыс. руб.'!H394*1000</f>
        <v>6890</v>
      </c>
      <c r="M394" s="169">
        <f t="shared" si="268"/>
        <v>0</v>
      </c>
      <c r="N394" s="16">
        <f>'БА в тыс. руб.'!I394*1000</f>
        <v>6890</v>
      </c>
      <c r="O394" s="169">
        <f t="shared" si="269"/>
        <v>0</v>
      </c>
      <c r="P394" s="16"/>
      <c r="Q394" s="16"/>
      <c r="R394" s="16"/>
      <c r="S394" s="16"/>
      <c r="T394" s="16"/>
      <c r="U394" s="16"/>
    </row>
    <row r="395" spans="1:21" s="3" customFormat="1" ht="25.5">
      <c r="A395" s="11" t="s">
        <v>616</v>
      </c>
      <c r="B395" s="25" t="s">
        <v>68</v>
      </c>
      <c r="C395" s="26" t="s">
        <v>65</v>
      </c>
      <c r="D395" s="26" t="s">
        <v>84</v>
      </c>
      <c r="E395" s="26" t="s">
        <v>321</v>
      </c>
      <c r="F395" s="26" t="s">
        <v>58</v>
      </c>
      <c r="G395" s="27">
        <f t="shared" si="270"/>
        <v>7650</v>
      </c>
      <c r="H395" s="27">
        <f t="shared" si="270"/>
        <v>6890</v>
      </c>
      <c r="I395" s="27">
        <f t="shared" si="270"/>
        <v>6890</v>
      </c>
      <c r="J395" s="16">
        <f>'БА в тыс. руб.'!G395*1000</f>
        <v>7650</v>
      </c>
      <c r="K395" s="169">
        <f t="shared" si="267"/>
        <v>0</v>
      </c>
      <c r="L395" s="16">
        <f>'БА в тыс. руб.'!H395*1000</f>
        <v>6890</v>
      </c>
      <c r="M395" s="169">
        <f t="shared" si="268"/>
        <v>0</v>
      </c>
      <c r="N395" s="16">
        <f>'БА в тыс. руб.'!I395*1000</f>
        <v>6890</v>
      </c>
      <c r="O395" s="169">
        <f t="shared" si="269"/>
        <v>0</v>
      </c>
      <c r="P395" s="16"/>
      <c r="Q395" s="16"/>
      <c r="R395" s="16"/>
      <c r="S395" s="16"/>
      <c r="T395" s="16"/>
      <c r="U395" s="16"/>
    </row>
    <row r="396" spans="1:21" s="3" customFormat="1" ht="25.5">
      <c r="A396" s="11" t="s">
        <v>133</v>
      </c>
      <c r="B396" s="25" t="s">
        <v>68</v>
      </c>
      <c r="C396" s="26" t="s">
        <v>65</v>
      </c>
      <c r="D396" s="26" t="s">
        <v>84</v>
      </c>
      <c r="E396" s="26" t="s">
        <v>322</v>
      </c>
      <c r="F396" s="26" t="s">
        <v>58</v>
      </c>
      <c r="G396" s="27">
        <f t="shared" si="270"/>
        <v>7650</v>
      </c>
      <c r="H396" s="27">
        <f t="shared" si="270"/>
        <v>6890</v>
      </c>
      <c r="I396" s="27">
        <f t="shared" si="270"/>
        <v>6890</v>
      </c>
      <c r="J396" s="16">
        <f>'БА в тыс. руб.'!G396*1000</f>
        <v>7650</v>
      </c>
      <c r="K396" s="169">
        <f t="shared" si="267"/>
        <v>0</v>
      </c>
      <c r="L396" s="16">
        <f>'БА в тыс. руб.'!H396*1000</f>
        <v>6890</v>
      </c>
      <c r="M396" s="169">
        <f t="shared" si="268"/>
        <v>0</v>
      </c>
      <c r="N396" s="16">
        <f>'БА в тыс. руб.'!I396*1000</f>
        <v>6890</v>
      </c>
      <c r="O396" s="169">
        <f t="shared" si="269"/>
        <v>0</v>
      </c>
      <c r="P396" s="16"/>
      <c r="Q396" s="16"/>
      <c r="R396" s="16"/>
      <c r="S396" s="16"/>
      <c r="T396" s="16"/>
      <c r="U396" s="16"/>
    </row>
    <row r="397" spans="1:21" s="3" customFormat="1" ht="25.5">
      <c r="A397" s="11" t="s">
        <v>108</v>
      </c>
      <c r="B397" s="25" t="s">
        <v>68</v>
      </c>
      <c r="C397" s="26" t="s">
        <v>65</v>
      </c>
      <c r="D397" s="26" t="s">
        <v>84</v>
      </c>
      <c r="E397" s="26" t="s">
        <v>322</v>
      </c>
      <c r="F397" s="26" t="s">
        <v>116</v>
      </c>
      <c r="G397" s="27">
        <f>G398</f>
        <v>7650</v>
      </c>
      <c r="H397" s="27">
        <f t="shared" si="270"/>
        <v>6890</v>
      </c>
      <c r="I397" s="27">
        <f t="shared" si="270"/>
        <v>6890</v>
      </c>
      <c r="J397" s="16">
        <f>'БА в тыс. руб.'!G397*1000</f>
        <v>7650</v>
      </c>
      <c r="K397" s="169">
        <f t="shared" si="267"/>
        <v>0</v>
      </c>
      <c r="L397" s="16">
        <f>'БА в тыс. руб.'!H397*1000</f>
        <v>6890</v>
      </c>
      <c r="M397" s="169">
        <f t="shared" si="268"/>
        <v>0</v>
      </c>
      <c r="N397" s="16">
        <f>'БА в тыс. руб.'!I397*1000</f>
        <v>6890</v>
      </c>
      <c r="O397" s="169">
        <f t="shared" si="269"/>
        <v>0</v>
      </c>
      <c r="P397" s="16"/>
      <c r="Q397" s="16"/>
      <c r="R397" s="16"/>
      <c r="S397" s="16"/>
      <c r="T397" s="16"/>
      <c r="U397" s="16"/>
    </row>
    <row r="398" spans="1:21" s="94" customFormat="1" ht="25.5">
      <c r="A398" s="12" t="s">
        <v>973</v>
      </c>
      <c r="B398" s="25" t="s">
        <v>68</v>
      </c>
      <c r="C398" s="26" t="s">
        <v>65</v>
      </c>
      <c r="D398" s="26" t="s">
        <v>84</v>
      </c>
      <c r="E398" s="26" t="s">
        <v>322</v>
      </c>
      <c r="F398" s="26" t="s">
        <v>1043</v>
      </c>
      <c r="G398" s="27">
        <f t="shared" ref="G398" si="271">J398</f>
        <v>7650</v>
      </c>
      <c r="H398" s="27">
        <f>L398</f>
        <v>6890</v>
      </c>
      <c r="I398" s="27">
        <f>N398</f>
        <v>6890</v>
      </c>
      <c r="J398" s="16">
        <f>'БА в тыс. руб.'!G398*1000</f>
        <v>7650</v>
      </c>
      <c r="K398" s="169">
        <f t="shared" si="267"/>
        <v>0</v>
      </c>
      <c r="L398" s="16">
        <f>'БА в тыс. руб.'!H398*1000</f>
        <v>6890</v>
      </c>
      <c r="M398" s="169">
        <f t="shared" si="268"/>
        <v>0</v>
      </c>
      <c r="N398" s="16">
        <f>'БА в тыс. руб.'!I398*1000</f>
        <v>6890</v>
      </c>
      <c r="O398" s="169">
        <f t="shared" si="269"/>
        <v>0</v>
      </c>
      <c r="P398" s="16"/>
      <c r="Q398" s="16"/>
      <c r="R398" s="16"/>
      <c r="S398" s="16"/>
      <c r="T398" s="16"/>
      <c r="U398" s="16"/>
    </row>
    <row r="399" spans="1:21" s="3" customFormat="1" ht="25.5">
      <c r="A399" s="11" t="s">
        <v>582</v>
      </c>
      <c r="B399" s="25" t="s">
        <v>68</v>
      </c>
      <c r="C399" s="26" t="s">
        <v>65</v>
      </c>
      <c r="D399" s="26" t="s">
        <v>84</v>
      </c>
      <c r="E399" s="26" t="s">
        <v>323</v>
      </c>
      <c r="F399" s="26" t="s">
        <v>58</v>
      </c>
      <c r="G399" s="27">
        <f t="shared" si="265"/>
        <v>28439090</v>
      </c>
      <c r="H399" s="27">
        <f t="shared" si="265"/>
        <v>28271550</v>
      </c>
      <c r="I399" s="27">
        <f t="shared" si="265"/>
        <v>28271550</v>
      </c>
      <c r="J399" s="16">
        <f>'БА в тыс. руб.'!G399*1000</f>
        <v>28439090</v>
      </c>
      <c r="K399" s="169">
        <f t="shared" si="267"/>
        <v>0</v>
      </c>
      <c r="L399" s="16">
        <f>'БА в тыс. руб.'!H399*1000</f>
        <v>28271550</v>
      </c>
      <c r="M399" s="169">
        <f t="shared" si="268"/>
        <v>0</v>
      </c>
      <c r="N399" s="16">
        <f>'БА в тыс. руб.'!I399*1000</f>
        <v>28271550</v>
      </c>
      <c r="O399" s="169">
        <f t="shared" si="269"/>
        <v>0</v>
      </c>
      <c r="P399" s="16"/>
      <c r="Q399" s="16"/>
      <c r="R399" s="16"/>
      <c r="S399" s="16"/>
      <c r="T399" s="16"/>
      <c r="U399" s="16"/>
    </row>
    <row r="400" spans="1:21" s="3" customFormat="1" ht="38.25">
      <c r="A400" s="11" t="s">
        <v>583</v>
      </c>
      <c r="B400" s="25" t="s">
        <v>68</v>
      </c>
      <c r="C400" s="26" t="s">
        <v>65</v>
      </c>
      <c r="D400" s="26" t="s">
        <v>84</v>
      </c>
      <c r="E400" s="26" t="s">
        <v>324</v>
      </c>
      <c r="F400" s="26" t="s">
        <v>58</v>
      </c>
      <c r="G400" s="27">
        <f>G401+G410</f>
        <v>28439090</v>
      </c>
      <c r="H400" s="27">
        <f>H401+H410</f>
        <v>28271550</v>
      </c>
      <c r="I400" s="27">
        <f>I401+I410</f>
        <v>28271550</v>
      </c>
      <c r="J400" s="16">
        <f>'БА в тыс. руб.'!G400*1000</f>
        <v>28439090</v>
      </c>
      <c r="K400" s="169">
        <f t="shared" si="267"/>
        <v>0</v>
      </c>
      <c r="L400" s="16">
        <f>'БА в тыс. руб.'!H400*1000</f>
        <v>28271550</v>
      </c>
      <c r="M400" s="169">
        <f t="shared" si="268"/>
        <v>0</v>
      </c>
      <c r="N400" s="16">
        <f>'БА в тыс. руб.'!I400*1000</f>
        <v>28271550</v>
      </c>
      <c r="O400" s="169">
        <f t="shared" si="269"/>
        <v>0</v>
      </c>
      <c r="P400" s="16"/>
      <c r="Q400" s="16"/>
      <c r="R400" s="16"/>
      <c r="S400" s="16"/>
      <c r="T400" s="16"/>
      <c r="U400" s="16"/>
    </row>
    <row r="401" spans="1:21" s="3" customFormat="1" ht="25.5">
      <c r="A401" s="11" t="s">
        <v>114</v>
      </c>
      <c r="B401" s="25" t="s">
        <v>68</v>
      </c>
      <c r="C401" s="26" t="s">
        <v>65</v>
      </c>
      <c r="D401" s="26" t="s">
        <v>84</v>
      </c>
      <c r="E401" s="26" t="s">
        <v>325</v>
      </c>
      <c r="F401" s="26" t="s">
        <v>58</v>
      </c>
      <c r="G401" s="27">
        <f>G402+G405+G407</f>
        <v>3219050</v>
      </c>
      <c r="H401" s="27">
        <f t="shared" ref="H401:I401" si="272">H402+H405+H407</f>
        <v>3051510</v>
      </c>
      <c r="I401" s="27">
        <f t="shared" si="272"/>
        <v>3051510</v>
      </c>
      <c r="J401" s="16">
        <f>'БА в тыс. руб.'!G401*1000</f>
        <v>3219050</v>
      </c>
      <c r="K401" s="169">
        <f t="shared" si="267"/>
        <v>0</v>
      </c>
      <c r="L401" s="16">
        <f>'БА в тыс. руб.'!H401*1000</f>
        <v>3051509.9999999995</v>
      </c>
      <c r="M401" s="169">
        <f t="shared" si="268"/>
        <v>0</v>
      </c>
      <c r="N401" s="16">
        <f>'БА в тыс. руб.'!I401*1000</f>
        <v>3051509.9999999995</v>
      </c>
      <c r="O401" s="169">
        <f t="shared" si="269"/>
        <v>0</v>
      </c>
      <c r="P401" s="16"/>
      <c r="Q401" s="16"/>
      <c r="R401" s="16"/>
      <c r="S401" s="16"/>
      <c r="T401" s="16"/>
      <c r="U401" s="16"/>
    </row>
    <row r="402" spans="1:21" s="3" customFormat="1" ht="25.5">
      <c r="A402" s="11" t="s">
        <v>107</v>
      </c>
      <c r="B402" s="25" t="s">
        <v>68</v>
      </c>
      <c r="C402" s="26" t="s">
        <v>65</v>
      </c>
      <c r="D402" s="26" t="s">
        <v>84</v>
      </c>
      <c r="E402" s="26" t="s">
        <v>325</v>
      </c>
      <c r="F402" s="26" t="s">
        <v>115</v>
      </c>
      <c r="G402" s="27">
        <f>SUM(G403:G404)</f>
        <v>757890</v>
      </c>
      <c r="H402" s="27">
        <f t="shared" ref="H402:I402" si="273">SUM(H403:H404)</f>
        <v>757890</v>
      </c>
      <c r="I402" s="27">
        <f t="shared" si="273"/>
        <v>757890</v>
      </c>
      <c r="J402" s="16">
        <f>'БА в тыс. руб.'!G402*1000</f>
        <v>757890</v>
      </c>
      <c r="K402" s="169">
        <f t="shared" si="267"/>
        <v>0</v>
      </c>
      <c r="L402" s="16">
        <f>'БА в тыс. руб.'!H402*1000</f>
        <v>757890</v>
      </c>
      <c r="M402" s="169">
        <f t="shared" si="268"/>
        <v>0</v>
      </c>
      <c r="N402" s="16">
        <f>'БА в тыс. руб.'!I402*1000</f>
        <v>757890</v>
      </c>
      <c r="O402" s="169">
        <f t="shared" si="269"/>
        <v>0</v>
      </c>
      <c r="P402" s="16"/>
      <c r="Q402" s="16"/>
      <c r="R402" s="16"/>
      <c r="S402" s="16"/>
      <c r="T402" s="16"/>
      <c r="U402" s="16"/>
    </row>
    <row r="403" spans="1:21" s="3" customFormat="1" ht="25.5">
      <c r="A403" s="11" t="s">
        <v>937</v>
      </c>
      <c r="B403" s="25" t="s">
        <v>68</v>
      </c>
      <c r="C403" s="26" t="s">
        <v>65</v>
      </c>
      <c r="D403" s="26" t="s">
        <v>84</v>
      </c>
      <c r="E403" s="26" t="s">
        <v>325</v>
      </c>
      <c r="F403" s="26" t="s">
        <v>1059</v>
      </c>
      <c r="G403" s="27">
        <f t="shared" ref="G403:G404" si="274">J403</f>
        <v>585060</v>
      </c>
      <c r="H403" s="27">
        <f t="shared" ref="H403:H404" si="275">L403</f>
        <v>585060</v>
      </c>
      <c r="I403" s="27">
        <f t="shared" ref="I403:I404" si="276">N403</f>
        <v>585060</v>
      </c>
      <c r="J403" s="16">
        <f>'БА в тыс. руб.'!G403*1000</f>
        <v>585060</v>
      </c>
      <c r="K403" s="169">
        <f t="shared" si="267"/>
        <v>0</v>
      </c>
      <c r="L403" s="16">
        <f>'БА в тыс. руб.'!H403*1000</f>
        <v>585060</v>
      </c>
      <c r="M403" s="169">
        <f t="shared" si="268"/>
        <v>0</v>
      </c>
      <c r="N403" s="16">
        <f>'БА в тыс. руб.'!I403*1000</f>
        <v>585060</v>
      </c>
      <c r="O403" s="169">
        <f t="shared" si="269"/>
        <v>0</v>
      </c>
      <c r="P403" s="16"/>
      <c r="Q403" s="16"/>
      <c r="R403" s="16"/>
      <c r="S403" s="16"/>
      <c r="T403" s="16"/>
      <c r="U403" s="16"/>
    </row>
    <row r="404" spans="1:21" s="3" customFormat="1" ht="38.25">
      <c r="A404" s="11" t="s">
        <v>939</v>
      </c>
      <c r="B404" s="25" t="s">
        <v>68</v>
      </c>
      <c r="C404" s="26" t="s">
        <v>65</v>
      </c>
      <c r="D404" s="26" t="s">
        <v>84</v>
      </c>
      <c r="E404" s="26" t="s">
        <v>325</v>
      </c>
      <c r="F404" s="26" t="s">
        <v>1060</v>
      </c>
      <c r="G404" s="27">
        <f t="shared" si="274"/>
        <v>172830</v>
      </c>
      <c r="H404" s="27">
        <f t="shared" si="275"/>
        <v>172830</v>
      </c>
      <c r="I404" s="27">
        <f t="shared" si="276"/>
        <v>172830</v>
      </c>
      <c r="J404" s="16">
        <f>'БА в тыс. руб.'!G404*1000</f>
        <v>172830</v>
      </c>
      <c r="K404" s="169">
        <f t="shared" si="267"/>
        <v>0</v>
      </c>
      <c r="L404" s="16">
        <f>'БА в тыс. руб.'!H404*1000</f>
        <v>172830</v>
      </c>
      <c r="M404" s="169">
        <f t="shared" si="268"/>
        <v>0</v>
      </c>
      <c r="N404" s="16">
        <f>'БА в тыс. руб.'!I404*1000</f>
        <v>172830</v>
      </c>
      <c r="O404" s="169">
        <f t="shared" si="269"/>
        <v>0</v>
      </c>
      <c r="P404" s="16"/>
      <c r="Q404" s="16"/>
      <c r="R404" s="16"/>
      <c r="S404" s="16"/>
      <c r="T404" s="16"/>
      <c r="U404" s="16"/>
    </row>
    <row r="405" spans="1:21" s="3" customFormat="1" ht="25.5">
      <c r="A405" s="11" t="s">
        <v>108</v>
      </c>
      <c r="B405" s="25" t="s">
        <v>68</v>
      </c>
      <c r="C405" s="26" t="s">
        <v>65</v>
      </c>
      <c r="D405" s="26" t="s">
        <v>84</v>
      </c>
      <c r="E405" s="26" t="s">
        <v>325</v>
      </c>
      <c r="F405" s="26" t="s">
        <v>116</v>
      </c>
      <c r="G405" s="27">
        <f>G406</f>
        <v>2441010</v>
      </c>
      <c r="H405" s="27">
        <f t="shared" ref="H405:I405" si="277">H406</f>
        <v>2273470</v>
      </c>
      <c r="I405" s="27">
        <f t="shared" si="277"/>
        <v>2273470</v>
      </c>
      <c r="J405" s="16">
        <f>'БА в тыс. руб.'!G405*1000</f>
        <v>2441010</v>
      </c>
      <c r="K405" s="169">
        <f t="shared" si="267"/>
        <v>0</v>
      </c>
      <c r="L405" s="16">
        <f>'БА в тыс. руб.'!H405*1000</f>
        <v>2273470</v>
      </c>
      <c r="M405" s="169">
        <f t="shared" si="268"/>
        <v>0</v>
      </c>
      <c r="N405" s="16">
        <f>'БА в тыс. руб.'!I405*1000</f>
        <v>2273470</v>
      </c>
      <c r="O405" s="169">
        <f t="shared" si="269"/>
        <v>0</v>
      </c>
      <c r="P405" s="16"/>
      <c r="Q405" s="16"/>
      <c r="R405" s="16"/>
      <c r="S405" s="16"/>
      <c r="T405" s="16"/>
      <c r="U405" s="16"/>
    </row>
    <row r="406" spans="1:21" s="4" customFormat="1" ht="25.5">
      <c r="A406" s="12" t="s">
        <v>973</v>
      </c>
      <c r="B406" s="25" t="s">
        <v>68</v>
      </c>
      <c r="C406" s="26" t="s">
        <v>65</v>
      </c>
      <c r="D406" s="26" t="s">
        <v>84</v>
      </c>
      <c r="E406" s="26" t="s">
        <v>325</v>
      </c>
      <c r="F406" s="26" t="s">
        <v>1043</v>
      </c>
      <c r="G406" s="27">
        <f t="shared" ref="G406" si="278">J406</f>
        <v>2441010</v>
      </c>
      <c r="H406" s="27">
        <f>L406</f>
        <v>2273470</v>
      </c>
      <c r="I406" s="27">
        <f>N406</f>
        <v>2273470</v>
      </c>
      <c r="J406" s="16">
        <f>'БА в тыс. руб.'!G406*1000</f>
        <v>2441010</v>
      </c>
      <c r="K406" s="169">
        <f t="shared" si="267"/>
        <v>0</v>
      </c>
      <c r="L406" s="16">
        <f>'БА в тыс. руб.'!H406*1000</f>
        <v>2273470</v>
      </c>
      <c r="M406" s="169">
        <f t="shared" si="268"/>
        <v>0</v>
      </c>
      <c r="N406" s="16">
        <f>'БА в тыс. руб.'!I406*1000</f>
        <v>2273470</v>
      </c>
      <c r="O406" s="169">
        <f t="shared" si="269"/>
        <v>0</v>
      </c>
      <c r="P406" s="16"/>
      <c r="Q406" s="16"/>
      <c r="R406" s="16"/>
      <c r="S406" s="16"/>
      <c r="T406" s="16"/>
      <c r="U406" s="16"/>
    </row>
    <row r="407" spans="1:21" s="3" customFormat="1">
      <c r="A407" s="11" t="s">
        <v>97</v>
      </c>
      <c r="B407" s="25" t="s">
        <v>68</v>
      </c>
      <c r="C407" s="26" t="s">
        <v>65</v>
      </c>
      <c r="D407" s="26" t="s">
        <v>84</v>
      </c>
      <c r="E407" s="26" t="s">
        <v>325</v>
      </c>
      <c r="F407" s="26" t="s">
        <v>118</v>
      </c>
      <c r="G407" s="27">
        <f>SUM(G408:G409)</f>
        <v>20150</v>
      </c>
      <c r="H407" s="27">
        <f t="shared" ref="H407:I407" si="279">SUM(H408:H409)</f>
        <v>20150</v>
      </c>
      <c r="I407" s="27">
        <f t="shared" si="279"/>
        <v>20150</v>
      </c>
      <c r="J407" s="16">
        <f>'БА в тыс. руб.'!G407*1000</f>
        <v>20150</v>
      </c>
      <c r="K407" s="169">
        <f t="shared" si="267"/>
        <v>0</v>
      </c>
      <c r="L407" s="16">
        <f>'БА в тыс. руб.'!H407*1000</f>
        <v>20150</v>
      </c>
      <c r="M407" s="169">
        <f t="shared" si="268"/>
        <v>0</v>
      </c>
      <c r="N407" s="16">
        <f>'БА в тыс. руб.'!I407*1000</f>
        <v>20150</v>
      </c>
      <c r="O407" s="169">
        <f t="shared" si="269"/>
        <v>0</v>
      </c>
      <c r="P407" s="16"/>
      <c r="Q407" s="16"/>
      <c r="R407" s="16"/>
      <c r="S407" s="16"/>
      <c r="T407" s="16"/>
      <c r="U407" s="16"/>
    </row>
    <row r="408" spans="1:21" s="4" customFormat="1">
      <c r="A408" s="12" t="s">
        <v>1036</v>
      </c>
      <c r="B408" s="25" t="s">
        <v>68</v>
      </c>
      <c r="C408" s="26" t="s">
        <v>65</v>
      </c>
      <c r="D408" s="26" t="s">
        <v>84</v>
      </c>
      <c r="E408" s="26" t="s">
        <v>325</v>
      </c>
      <c r="F408" s="26" t="s">
        <v>1061</v>
      </c>
      <c r="G408" s="27">
        <f t="shared" ref="G408:G409" si="280">J408</f>
        <v>1500</v>
      </c>
      <c r="H408" s="27">
        <f t="shared" ref="H408:H409" si="281">L408</f>
        <v>1500</v>
      </c>
      <c r="I408" s="27">
        <f t="shared" ref="I408:I409" si="282">N408</f>
        <v>1500</v>
      </c>
      <c r="J408" s="16">
        <f>'БА в тыс. руб.'!G408*1000</f>
        <v>1500</v>
      </c>
      <c r="K408" s="169">
        <f t="shared" si="267"/>
        <v>0</v>
      </c>
      <c r="L408" s="16">
        <f>'БА в тыс. руб.'!H408*1000</f>
        <v>1500</v>
      </c>
      <c r="M408" s="169">
        <f t="shared" si="268"/>
        <v>0</v>
      </c>
      <c r="N408" s="16">
        <f>'БА в тыс. руб.'!I408*1000</f>
        <v>1500</v>
      </c>
      <c r="O408" s="169">
        <f t="shared" si="269"/>
        <v>0</v>
      </c>
      <c r="P408" s="16"/>
      <c r="Q408" s="16"/>
      <c r="R408" s="16"/>
      <c r="S408" s="16"/>
      <c r="T408" s="16"/>
      <c r="U408" s="16"/>
    </row>
    <row r="409" spans="1:21" s="4" customFormat="1">
      <c r="A409" s="12" t="s">
        <v>1037</v>
      </c>
      <c r="B409" s="25" t="s">
        <v>68</v>
      </c>
      <c r="C409" s="26" t="s">
        <v>65</v>
      </c>
      <c r="D409" s="26" t="s">
        <v>84</v>
      </c>
      <c r="E409" s="26" t="s">
        <v>325</v>
      </c>
      <c r="F409" s="26" t="s">
        <v>1062</v>
      </c>
      <c r="G409" s="27">
        <f t="shared" si="280"/>
        <v>18650</v>
      </c>
      <c r="H409" s="27">
        <f t="shared" si="281"/>
        <v>18650</v>
      </c>
      <c r="I409" s="27">
        <f t="shared" si="282"/>
        <v>18650</v>
      </c>
      <c r="J409" s="16">
        <f>'БА в тыс. руб.'!G409*1000</f>
        <v>18650</v>
      </c>
      <c r="K409" s="169">
        <f t="shared" si="267"/>
        <v>0</v>
      </c>
      <c r="L409" s="16">
        <f>'БА в тыс. руб.'!H409*1000</f>
        <v>18650</v>
      </c>
      <c r="M409" s="169">
        <f t="shared" si="268"/>
        <v>0</v>
      </c>
      <c r="N409" s="16">
        <f>'БА в тыс. руб.'!I409*1000</f>
        <v>18650</v>
      </c>
      <c r="O409" s="169">
        <f t="shared" si="269"/>
        <v>0</v>
      </c>
      <c r="P409" s="16"/>
      <c r="Q409" s="16"/>
      <c r="R409" s="16"/>
      <c r="S409" s="16"/>
      <c r="T409" s="16"/>
      <c r="U409" s="16"/>
    </row>
    <row r="410" spans="1:21" s="3" customFormat="1" ht="25.5">
      <c r="A410" s="11" t="s">
        <v>126</v>
      </c>
      <c r="B410" s="25" t="s">
        <v>68</v>
      </c>
      <c r="C410" s="26" t="s">
        <v>65</v>
      </c>
      <c r="D410" s="26" t="s">
        <v>84</v>
      </c>
      <c r="E410" s="26" t="s">
        <v>326</v>
      </c>
      <c r="F410" s="26" t="s">
        <v>58</v>
      </c>
      <c r="G410" s="27">
        <f>G411</f>
        <v>25220040</v>
      </c>
      <c r="H410" s="27">
        <f>H411</f>
        <v>25220040</v>
      </c>
      <c r="I410" s="27">
        <f>I411</f>
        <v>25220040</v>
      </c>
      <c r="J410" s="16">
        <f>'БА в тыс. руб.'!G410*1000</f>
        <v>25220040</v>
      </c>
      <c r="K410" s="169">
        <f t="shared" si="267"/>
        <v>0</v>
      </c>
      <c r="L410" s="16">
        <f>'БА в тыс. руб.'!H410*1000</f>
        <v>25220040</v>
      </c>
      <c r="M410" s="169">
        <f t="shared" si="268"/>
        <v>0</v>
      </c>
      <c r="N410" s="16">
        <f>'БА в тыс. руб.'!I410*1000</f>
        <v>25220040</v>
      </c>
      <c r="O410" s="169">
        <f t="shared" si="269"/>
        <v>0</v>
      </c>
      <c r="P410" s="16"/>
      <c r="Q410" s="16"/>
      <c r="R410" s="16"/>
      <c r="S410" s="16"/>
      <c r="T410" s="16"/>
      <c r="U410" s="16"/>
    </row>
    <row r="411" spans="1:21" s="3" customFormat="1" ht="25.5">
      <c r="A411" s="12" t="s">
        <v>107</v>
      </c>
      <c r="B411" s="25" t="s">
        <v>68</v>
      </c>
      <c r="C411" s="26" t="s">
        <v>65</v>
      </c>
      <c r="D411" s="26" t="s">
        <v>84</v>
      </c>
      <c r="E411" s="26" t="s">
        <v>326</v>
      </c>
      <c r="F411" s="26" t="s">
        <v>115</v>
      </c>
      <c r="G411" s="27">
        <f>SUM(G412:G413)</f>
        <v>25220040</v>
      </c>
      <c r="H411" s="27">
        <f t="shared" ref="H411:I411" si="283">SUM(H412:H413)</f>
        <v>25220040</v>
      </c>
      <c r="I411" s="27">
        <f t="shared" si="283"/>
        <v>25220040</v>
      </c>
      <c r="J411" s="16">
        <f>'БА в тыс. руб.'!G411*1000</f>
        <v>25220040</v>
      </c>
      <c r="K411" s="169">
        <f t="shared" si="267"/>
        <v>0</v>
      </c>
      <c r="L411" s="16">
        <f>'БА в тыс. руб.'!H411*1000</f>
        <v>25220040</v>
      </c>
      <c r="M411" s="169">
        <f t="shared" si="268"/>
        <v>0</v>
      </c>
      <c r="N411" s="16">
        <f>'БА в тыс. руб.'!I411*1000</f>
        <v>25220040</v>
      </c>
      <c r="O411" s="169">
        <f t="shared" si="269"/>
        <v>0</v>
      </c>
      <c r="P411" s="16"/>
      <c r="Q411" s="16"/>
      <c r="R411" s="16"/>
      <c r="S411" s="16"/>
      <c r="T411" s="16"/>
      <c r="U411" s="16"/>
    </row>
    <row r="412" spans="1:21" s="4" customFormat="1">
      <c r="A412" s="12" t="s">
        <v>936</v>
      </c>
      <c r="B412" s="25" t="s">
        <v>68</v>
      </c>
      <c r="C412" s="26" t="s">
        <v>65</v>
      </c>
      <c r="D412" s="26" t="s">
        <v>84</v>
      </c>
      <c r="E412" s="26" t="s">
        <v>326</v>
      </c>
      <c r="F412" s="26" t="s">
        <v>1063</v>
      </c>
      <c r="G412" s="27">
        <f t="shared" ref="G412:G413" si="284">J412</f>
        <v>19370230</v>
      </c>
      <c r="H412" s="27">
        <f t="shared" ref="H412:H413" si="285">L412</f>
        <v>19370230</v>
      </c>
      <c r="I412" s="27">
        <f t="shared" ref="I412:I413" si="286">N412</f>
        <v>19370230</v>
      </c>
      <c r="J412" s="16">
        <f>'БА в тыс. руб.'!G412*1000</f>
        <v>19370230</v>
      </c>
      <c r="K412" s="169">
        <f t="shared" si="267"/>
        <v>0</v>
      </c>
      <c r="L412" s="16">
        <f>'БА в тыс. руб.'!H412*1000</f>
        <v>19370230</v>
      </c>
      <c r="M412" s="169">
        <f t="shared" si="268"/>
        <v>0</v>
      </c>
      <c r="N412" s="16">
        <f>'БА в тыс. руб.'!I412*1000</f>
        <v>19370230</v>
      </c>
      <c r="O412" s="169">
        <f t="shared" si="269"/>
        <v>0</v>
      </c>
      <c r="P412" s="16"/>
      <c r="Q412" s="16"/>
      <c r="R412" s="16"/>
      <c r="S412" s="16"/>
      <c r="T412" s="16"/>
      <c r="U412" s="16"/>
    </row>
    <row r="413" spans="1:21" s="4" customFormat="1" ht="38.25">
      <c r="A413" s="12" t="s">
        <v>939</v>
      </c>
      <c r="B413" s="25" t="s">
        <v>68</v>
      </c>
      <c r="C413" s="26" t="s">
        <v>65</v>
      </c>
      <c r="D413" s="26" t="s">
        <v>84</v>
      </c>
      <c r="E413" s="26" t="s">
        <v>326</v>
      </c>
      <c r="F413" s="26" t="s">
        <v>1060</v>
      </c>
      <c r="G413" s="27">
        <f t="shared" si="284"/>
        <v>5849810</v>
      </c>
      <c r="H413" s="27">
        <f t="shared" si="285"/>
        <v>5849810</v>
      </c>
      <c r="I413" s="27">
        <f t="shared" si="286"/>
        <v>5849810</v>
      </c>
      <c r="J413" s="16">
        <f>'БА в тыс. руб.'!G413*1000</f>
        <v>5849810</v>
      </c>
      <c r="K413" s="169">
        <f t="shared" si="267"/>
        <v>0</v>
      </c>
      <c r="L413" s="16">
        <f>'БА в тыс. руб.'!H413*1000</f>
        <v>5849810</v>
      </c>
      <c r="M413" s="169">
        <f t="shared" si="268"/>
        <v>0</v>
      </c>
      <c r="N413" s="16">
        <f>'БА в тыс. руб.'!I413*1000</f>
        <v>5849810</v>
      </c>
      <c r="O413" s="169">
        <f t="shared" si="269"/>
        <v>0</v>
      </c>
      <c r="P413" s="16"/>
      <c r="Q413" s="16"/>
      <c r="R413" s="16"/>
      <c r="S413" s="16"/>
      <c r="T413" s="16"/>
      <c r="U413" s="16"/>
    </row>
    <row r="414" spans="1:21" s="3" customFormat="1">
      <c r="A414" s="17" t="s">
        <v>499</v>
      </c>
      <c r="B414" s="18" t="s">
        <v>68</v>
      </c>
      <c r="C414" s="19" t="s">
        <v>50</v>
      </c>
      <c r="D414" s="19" t="s">
        <v>51</v>
      </c>
      <c r="E414" s="19" t="s">
        <v>196</v>
      </c>
      <c r="F414" s="19" t="s">
        <v>58</v>
      </c>
      <c r="G414" s="20">
        <f t="shared" ref="G414:I418" si="287">G415</f>
        <v>1096200</v>
      </c>
      <c r="H414" s="20">
        <f t="shared" si="287"/>
        <v>987000</v>
      </c>
      <c r="I414" s="20">
        <f t="shared" si="287"/>
        <v>987000</v>
      </c>
      <c r="J414" s="16">
        <f>'БА в тыс. руб.'!G414*1000</f>
        <v>1096200</v>
      </c>
      <c r="K414" s="169">
        <f t="shared" si="267"/>
        <v>0</v>
      </c>
      <c r="L414" s="16">
        <f>'БА в тыс. руб.'!H414*1000</f>
        <v>987000</v>
      </c>
      <c r="M414" s="169">
        <f t="shared" si="268"/>
        <v>0</v>
      </c>
      <c r="N414" s="16">
        <f>'БА в тыс. руб.'!I414*1000</f>
        <v>987000</v>
      </c>
      <c r="O414" s="169">
        <f t="shared" si="269"/>
        <v>0</v>
      </c>
      <c r="P414" s="16"/>
      <c r="Q414" s="16"/>
      <c r="R414" s="16"/>
      <c r="S414" s="16"/>
      <c r="T414" s="16"/>
      <c r="U414" s="16"/>
    </row>
    <row r="415" spans="1:21" s="3" customFormat="1">
      <c r="A415" s="21" t="s">
        <v>27</v>
      </c>
      <c r="B415" s="22" t="s">
        <v>68</v>
      </c>
      <c r="C415" s="23" t="s">
        <v>50</v>
      </c>
      <c r="D415" s="23" t="s">
        <v>65</v>
      </c>
      <c r="E415" s="23" t="s">
        <v>196</v>
      </c>
      <c r="F415" s="23" t="s">
        <v>58</v>
      </c>
      <c r="G415" s="24">
        <f t="shared" si="287"/>
        <v>1096200</v>
      </c>
      <c r="H415" s="24">
        <f t="shared" si="287"/>
        <v>987000</v>
      </c>
      <c r="I415" s="24">
        <f t="shared" si="287"/>
        <v>987000</v>
      </c>
      <c r="J415" s="16">
        <f>'БА в тыс. руб.'!G415*1000</f>
        <v>1096200</v>
      </c>
      <c r="K415" s="169">
        <f t="shared" si="267"/>
        <v>0</v>
      </c>
      <c r="L415" s="16">
        <f>'БА в тыс. руб.'!H415*1000</f>
        <v>987000</v>
      </c>
      <c r="M415" s="169">
        <f t="shared" si="268"/>
        <v>0</v>
      </c>
      <c r="N415" s="16">
        <f>'БА в тыс. руб.'!I415*1000</f>
        <v>987000</v>
      </c>
      <c r="O415" s="169">
        <f t="shared" si="269"/>
        <v>0</v>
      </c>
      <c r="P415" s="16"/>
      <c r="Q415" s="16"/>
      <c r="R415" s="16"/>
      <c r="S415" s="16"/>
      <c r="T415" s="16"/>
      <c r="U415" s="16"/>
    </row>
    <row r="416" spans="1:21" s="3" customFormat="1">
      <c r="A416" s="11" t="s">
        <v>739</v>
      </c>
      <c r="B416" s="35" t="s">
        <v>68</v>
      </c>
      <c r="C416" s="36" t="s">
        <v>50</v>
      </c>
      <c r="D416" s="36" t="s">
        <v>65</v>
      </c>
      <c r="E416" s="36" t="s">
        <v>277</v>
      </c>
      <c r="F416" s="36" t="s">
        <v>58</v>
      </c>
      <c r="G416" s="37">
        <f t="shared" si="287"/>
        <v>1096200</v>
      </c>
      <c r="H416" s="37">
        <f t="shared" si="287"/>
        <v>987000</v>
      </c>
      <c r="I416" s="37">
        <f t="shared" si="287"/>
        <v>987000</v>
      </c>
      <c r="J416" s="16">
        <f>'БА в тыс. руб.'!G416*1000</f>
        <v>1096200</v>
      </c>
      <c r="K416" s="169">
        <f t="shared" si="267"/>
        <v>0</v>
      </c>
      <c r="L416" s="16">
        <f>'БА в тыс. руб.'!H416*1000</f>
        <v>987000</v>
      </c>
      <c r="M416" s="169">
        <f t="shared" si="268"/>
        <v>0</v>
      </c>
      <c r="N416" s="16">
        <f>'БА в тыс. руб.'!I416*1000</f>
        <v>987000</v>
      </c>
      <c r="O416" s="169">
        <f t="shared" si="269"/>
        <v>0</v>
      </c>
      <c r="P416" s="16"/>
      <c r="Q416" s="16"/>
      <c r="R416" s="16"/>
      <c r="S416" s="16"/>
      <c r="T416" s="16"/>
      <c r="U416" s="16"/>
    </row>
    <row r="417" spans="1:21" s="3" customFormat="1" ht="51">
      <c r="A417" s="11" t="s">
        <v>194</v>
      </c>
      <c r="B417" s="35" t="s">
        <v>68</v>
      </c>
      <c r="C417" s="36" t="s">
        <v>50</v>
      </c>
      <c r="D417" s="36" t="s">
        <v>65</v>
      </c>
      <c r="E417" s="36" t="s">
        <v>278</v>
      </c>
      <c r="F417" s="36" t="s">
        <v>58</v>
      </c>
      <c r="G417" s="37">
        <f t="shared" si="287"/>
        <v>1096200</v>
      </c>
      <c r="H417" s="37">
        <f t="shared" si="287"/>
        <v>987000</v>
      </c>
      <c r="I417" s="37">
        <f t="shared" si="287"/>
        <v>987000</v>
      </c>
      <c r="J417" s="16">
        <f>'БА в тыс. руб.'!G417*1000</f>
        <v>1096200</v>
      </c>
      <c r="K417" s="169">
        <f t="shared" si="267"/>
        <v>0</v>
      </c>
      <c r="L417" s="16">
        <f>'БА в тыс. руб.'!H417*1000</f>
        <v>987000</v>
      </c>
      <c r="M417" s="169">
        <f t="shared" si="268"/>
        <v>0</v>
      </c>
      <c r="N417" s="16">
        <f>'БА в тыс. руб.'!I417*1000</f>
        <v>987000</v>
      </c>
      <c r="O417" s="169">
        <f t="shared" si="269"/>
        <v>0</v>
      </c>
      <c r="P417" s="16"/>
      <c r="Q417" s="16"/>
      <c r="R417" s="16"/>
      <c r="S417" s="16"/>
      <c r="T417" s="16"/>
      <c r="U417" s="16"/>
    </row>
    <row r="418" spans="1:21" s="3" customFormat="1" ht="63.75">
      <c r="A418" s="11" t="s">
        <v>605</v>
      </c>
      <c r="B418" s="35" t="s">
        <v>68</v>
      </c>
      <c r="C418" s="36" t="s">
        <v>50</v>
      </c>
      <c r="D418" s="36" t="s">
        <v>65</v>
      </c>
      <c r="E418" s="36" t="s">
        <v>319</v>
      </c>
      <c r="F418" s="36" t="s">
        <v>58</v>
      </c>
      <c r="G418" s="37">
        <f t="shared" si="287"/>
        <v>1096200</v>
      </c>
      <c r="H418" s="37">
        <f t="shared" si="287"/>
        <v>987000</v>
      </c>
      <c r="I418" s="37">
        <f t="shared" si="287"/>
        <v>987000</v>
      </c>
      <c r="J418" s="16">
        <f>'БА в тыс. руб.'!G418*1000</f>
        <v>1096200</v>
      </c>
      <c r="K418" s="169">
        <f t="shared" si="267"/>
        <v>0</v>
      </c>
      <c r="L418" s="16">
        <f>'БА в тыс. руб.'!H418*1000</f>
        <v>987000</v>
      </c>
      <c r="M418" s="169">
        <f t="shared" si="268"/>
        <v>0</v>
      </c>
      <c r="N418" s="16">
        <f>'БА в тыс. руб.'!I418*1000</f>
        <v>987000</v>
      </c>
      <c r="O418" s="169">
        <f t="shared" si="269"/>
        <v>0</v>
      </c>
      <c r="P418" s="16"/>
      <c r="Q418" s="16"/>
      <c r="R418" s="16"/>
      <c r="S418" s="16"/>
      <c r="T418" s="16"/>
      <c r="U418" s="16"/>
    </row>
    <row r="419" spans="1:21" s="3" customFormat="1" ht="25.5">
      <c r="A419" s="11" t="s">
        <v>161</v>
      </c>
      <c r="B419" s="35" t="s">
        <v>68</v>
      </c>
      <c r="C419" s="36" t="s">
        <v>50</v>
      </c>
      <c r="D419" s="36" t="s">
        <v>65</v>
      </c>
      <c r="E419" s="36" t="s">
        <v>320</v>
      </c>
      <c r="F419" s="36" t="s">
        <v>58</v>
      </c>
      <c r="G419" s="37">
        <f>G420</f>
        <v>1096200</v>
      </c>
      <c r="H419" s="37">
        <f>H420</f>
        <v>987000</v>
      </c>
      <c r="I419" s="37">
        <f>I420</f>
        <v>987000</v>
      </c>
      <c r="J419" s="16">
        <f>'БА в тыс. руб.'!G419*1000</f>
        <v>1096200</v>
      </c>
      <c r="K419" s="169">
        <f t="shared" si="267"/>
        <v>0</v>
      </c>
      <c r="L419" s="16">
        <f>'БА в тыс. руб.'!H419*1000</f>
        <v>987000</v>
      </c>
      <c r="M419" s="169">
        <f t="shared" si="268"/>
        <v>0</v>
      </c>
      <c r="N419" s="16">
        <f>'БА в тыс. руб.'!I419*1000</f>
        <v>987000</v>
      </c>
      <c r="O419" s="169">
        <f t="shared" si="269"/>
        <v>0</v>
      </c>
      <c r="P419" s="16"/>
      <c r="Q419" s="16"/>
      <c r="R419" s="16"/>
      <c r="S419" s="16"/>
      <c r="T419" s="16"/>
      <c r="U419" s="16"/>
    </row>
    <row r="420" spans="1:21" s="3" customFormat="1" ht="25.5">
      <c r="A420" s="11" t="s">
        <v>108</v>
      </c>
      <c r="B420" s="35" t="s">
        <v>68</v>
      </c>
      <c r="C420" s="36" t="s">
        <v>50</v>
      </c>
      <c r="D420" s="36" t="s">
        <v>65</v>
      </c>
      <c r="E420" s="36" t="s">
        <v>320</v>
      </c>
      <c r="F420" s="36" t="s">
        <v>116</v>
      </c>
      <c r="G420" s="27">
        <f>G421</f>
        <v>1096200</v>
      </c>
      <c r="H420" s="27">
        <f t="shared" ref="H420:I420" si="288">H421</f>
        <v>987000</v>
      </c>
      <c r="I420" s="27">
        <f t="shared" si="288"/>
        <v>987000</v>
      </c>
      <c r="J420" s="16">
        <f>'БА в тыс. руб.'!G420*1000</f>
        <v>1096200</v>
      </c>
      <c r="K420" s="169">
        <f t="shared" si="267"/>
        <v>0</v>
      </c>
      <c r="L420" s="16">
        <f>'БА в тыс. руб.'!H420*1000</f>
        <v>987000</v>
      </c>
      <c r="M420" s="169">
        <f t="shared" si="268"/>
        <v>0</v>
      </c>
      <c r="N420" s="16">
        <f>'БА в тыс. руб.'!I420*1000</f>
        <v>987000</v>
      </c>
      <c r="O420" s="169">
        <f t="shared" si="269"/>
        <v>0</v>
      </c>
      <c r="P420" s="16"/>
      <c r="Q420" s="16"/>
      <c r="R420" s="16"/>
      <c r="S420" s="16"/>
      <c r="T420" s="16"/>
      <c r="U420" s="16"/>
    </row>
    <row r="421" spans="1:21" s="4" customFormat="1" ht="25.5">
      <c r="A421" s="12" t="s">
        <v>973</v>
      </c>
      <c r="B421" s="35" t="s">
        <v>68</v>
      </c>
      <c r="C421" s="36" t="s">
        <v>50</v>
      </c>
      <c r="D421" s="36" t="s">
        <v>65</v>
      </c>
      <c r="E421" s="36" t="s">
        <v>320</v>
      </c>
      <c r="F421" s="36" t="s">
        <v>1043</v>
      </c>
      <c r="G421" s="27">
        <f t="shared" ref="G421" si="289">J421</f>
        <v>1096200</v>
      </c>
      <c r="H421" s="27">
        <f>L421</f>
        <v>987000</v>
      </c>
      <c r="I421" s="27">
        <f>N421</f>
        <v>987000</v>
      </c>
      <c r="J421" s="16">
        <f>'БА в тыс. руб.'!G421*1000</f>
        <v>1096200</v>
      </c>
      <c r="K421" s="169">
        <f t="shared" si="267"/>
        <v>0</v>
      </c>
      <c r="L421" s="16">
        <f>'БА в тыс. руб.'!H421*1000</f>
        <v>987000</v>
      </c>
      <c r="M421" s="169">
        <f t="shared" si="268"/>
        <v>0</v>
      </c>
      <c r="N421" s="16">
        <f>'БА в тыс. руб.'!I421*1000</f>
        <v>987000</v>
      </c>
      <c r="O421" s="169">
        <f t="shared" si="269"/>
        <v>0</v>
      </c>
      <c r="P421" s="16"/>
      <c r="Q421" s="16"/>
      <c r="R421" s="16"/>
      <c r="S421" s="16"/>
      <c r="T421" s="16"/>
      <c r="U421" s="16"/>
    </row>
    <row r="422" spans="1:21" s="116" customFormat="1">
      <c r="A422" s="17" t="s">
        <v>49</v>
      </c>
      <c r="B422" s="18" t="s">
        <v>68</v>
      </c>
      <c r="C422" s="19" t="s">
        <v>14</v>
      </c>
      <c r="D422" s="19" t="s">
        <v>51</v>
      </c>
      <c r="E422" s="19" t="s">
        <v>196</v>
      </c>
      <c r="F422" s="19" t="s">
        <v>58</v>
      </c>
      <c r="G422" s="20">
        <f t="shared" ref="G422:I428" si="290">G423</f>
        <v>2647440</v>
      </c>
      <c r="H422" s="20">
        <f t="shared" si="290"/>
        <v>2250320</v>
      </c>
      <c r="I422" s="20">
        <f t="shared" si="290"/>
        <v>2250320</v>
      </c>
      <c r="J422" s="16">
        <f>'БА в тыс. руб.'!G422*1000</f>
        <v>2647440</v>
      </c>
      <c r="K422" s="169">
        <f t="shared" si="267"/>
        <v>0</v>
      </c>
      <c r="L422" s="16">
        <f>'БА в тыс. руб.'!H422*1000</f>
        <v>2250320</v>
      </c>
      <c r="M422" s="169">
        <f t="shared" si="268"/>
        <v>0</v>
      </c>
      <c r="N422" s="16">
        <f>'БА в тыс. руб.'!I422*1000</f>
        <v>2250320</v>
      </c>
      <c r="O422" s="169">
        <f t="shared" si="269"/>
        <v>0</v>
      </c>
      <c r="P422" s="16"/>
      <c r="Q422" s="16"/>
      <c r="R422" s="16"/>
      <c r="S422" s="16"/>
      <c r="T422" s="16"/>
      <c r="U422" s="16"/>
    </row>
    <row r="423" spans="1:21" s="4" customFormat="1">
      <c r="A423" s="21" t="s">
        <v>63</v>
      </c>
      <c r="B423" s="22" t="s">
        <v>68</v>
      </c>
      <c r="C423" s="23" t="s">
        <v>14</v>
      </c>
      <c r="D423" s="23" t="s">
        <v>53</v>
      </c>
      <c r="E423" s="23" t="s">
        <v>196</v>
      </c>
      <c r="F423" s="23" t="s">
        <v>58</v>
      </c>
      <c r="G423" s="24">
        <f t="shared" si="290"/>
        <v>2647440</v>
      </c>
      <c r="H423" s="24">
        <f t="shared" si="290"/>
        <v>2250320</v>
      </c>
      <c r="I423" s="24">
        <f t="shared" si="290"/>
        <v>2250320</v>
      </c>
      <c r="J423" s="16">
        <f>'БА в тыс. руб.'!G423*1000</f>
        <v>2647440</v>
      </c>
      <c r="K423" s="169">
        <f t="shared" si="267"/>
        <v>0</v>
      </c>
      <c r="L423" s="16">
        <f>'БА в тыс. руб.'!H423*1000</f>
        <v>2250320</v>
      </c>
      <c r="M423" s="169">
        <f t="shared" si="268"/>
        <v>0</v>
      </c>
      <c r="N423" s="16">
        <f>'БА в тыс. руб.'!I423*1000</f>
        <v>2250320</v>
      </c>
      <c r="O423" s="169">
        <f t="shared" si="269"/>
        <v>0</v>
      </c>
      <c r="P423" s="16"/>
      <c r="Q423" s="16"/>
      <c r="R423" s="16"/>
      <c r="S423" s="16"/>
      <c r="T423" s="16"/>
      <c r="U423" s="16"/>
    </row>
    <row r="424" spans="1:21" s="3" customFormat="1" ht="25.5">
      <c r="A424" s="31" t="s">
        <v>727</v>
      </c>
      <c r="B424" s="25" t="s">
        <v>68</v>
      </c>
      <c r="C424" s="26" t="s">
        <v>14</v>
      </c>
      <c r="D424" s="26" t="s">
        <v>53</v>
      </c>
      <c r="E424" s="26" t="s">
        <v>327</v>
      </c>
      <c r="F424" s="26" t="s">
        <v>58</v>
      </c>
      <c r="G424" s="27">
        <f t="shared" si="290"/>
        <v>2647440</v>
      </c>
      <c r="H424" s="27">
        <f t="shared" si="290"/>
        <v>2250320</v>
      </c>
      <c r="I424" s="27">
        <f t="shared" si="290"/>
        <v>2250320</v>
      </c>
      <c r="J424" s="16">
        <f>'БА в тыс. руб.'!G424*1000</f>
        <v>2647440</v>
      </c>
      <c r="K424" s="169">
        <f t="shared" si="267"/>
        <v>0</v>
      </c>
      <c r="L424" s="16">
        <f>'БА в тыс. руб.'!H424*1000</f>
        <v>2250320</v>
      </c>
      <c r="M424" s="169">
        <f t="shared" si="268"/>
        <v>0</v>
      </c>
      <c r="N424" s="16">
        <f>'БА в тыс. руб.'!I424*1000</f>
        <v>2250320</v>
      </c>
      <c r="O424" s="169">
        <f t="shared" si="269"/>
        <v>0</v>
      </c>
      <c r="P424" s="16"/>
      <c r="Q424" s="16"/>
      <c r="R424" s="16"/>
      <c r="S424" s="16"/>
      <c r="T424" s="16"/>
      <c r="U424" s="16"/>
    </row>
    <row r="425" spans="1:21" s="3" customFormat="1" ht="38.25">
      <c r="A425" s="31" t="s">
        <v>842</v>
      </c>
      <c r="B425" s="25" t="s">
        <v>68</v>
      </c>
      <c r="C425" s="26" t="s">
        <v>14</v>
      </c>
      <c r="D425" s="26" t="s">
        <v>53</v>
      </c>
      <c r="E425" s="26" t="s">
        <v>328</v>
      </c>
      <c r="F425" s="26" t="s">
        <v>58</v>
      </c>
      <c r="G425" s="27">
        <f t="shared" si="290"/>
        <v>2647440</v>
      </c>
      <c r="H425" s="27">
        <f t="shared" si="290"/>
        <v>2250320</v>
      </c>
      <c r="I425" s="27">
        <f t="shared" si="290"/>
        <v>2250320</v>
      </c>
      <c r="J425" s="16">
        <f>'БА в тыс. руб.'!G425*1000</f>
        <v>2647440</v>
      </c>
      <c r="K425" s="169">
        <f t="shared" si="267"/>
        <v>0</v>
      </c>
      <c r="L425" s="16">
        <f>'БА в тыс. руб.'!H425*1000</f>
        <v>2250320</v>
      </c>
      <c r="M425" s="169">
        <f t="shared" si="268"/>
        <v>0</v>
      </c>
      <c r="N425" s="16">
        <f>'БА в тыс. руб.'!I425*1000</f>
        <v>2250320</v>
      </c>
      <c r="O425" s="169">
        <f t="shared" si="269"/>
        <v>0</v>
      </c>
      <c r="P425" s="16"/>
      <c r="Q425" s="16"/>
      <c r="R425" s="16"/>
      <c r="S425" s="16"/>
      <c r="T425" s="16"/>
      <c r="U425" s="16"/>
    </row>
    <row r="426" spans="1:21" s="3" customFormat="1" ht="38.25">
      <c r="A426" s="11" t="s">
        <v>635</v>
      </c>
      <c r="B426" s="25" t="s">
        <v>68</v>
      </c>
      <c r="C426" s="26" t="s">
        <v>14</v>
      </c>
      <c r="D426" s="26" t="s">
        <v>53</v>
      </c>
      <c r="E426" s="26" t="s">
        <v>560</v>
      </c>
      <c r="F426" s="26" t="s">
        <v>58</v>
      </c>
      <c r="G426" s="27">
        <f t="shared" si="290"/>
        <v>2647440</v>
      </c>
      <c r="H426" s="27">
        <f t="shared" si="290"/>
        <v>2250320</v>
      </c>
      <c r="I426" s="27">
        <f t="shared" si="290"/>
        <v>2250320</v>
      </c>
      <c r="J426" s="16">
        <f>'БА в тыс. руб.'!G426*1000</f>
        <v>2647440</v>
      </c>
      <c r="K426" s="169">
        <f t="shared" si="267"/>
        <v>0</v>
      </c>
      <c r="L426" s="16">
        <f>'БА в тыс. руб.'!H426*1000</f>
        <v>2250320</v>
      </c>
      <c r="M426" s="169">
        <f t="shared" si="268"/>
        <v>0</v>
      </c>
      <c r="N426" s="16">
        <f>'БА в тыс. руб.'!I426*1000</f>
        <v>2250320</v>
      </c>
      <c r="O426" s="169">
        <f t="shared" si="269"/>
        <v>0</v>
      </c>
      <c r="P426" s="16"/>
      <c r="Q426" s="16"/>
      <c r="R426" s="16"/>
      <c r="S426" s="16"/>
      <c r="T426" s="16"/>
      <c r="U426" s="16"/>
    </row>
    <row r="427" spans="1:21" s="3" customFormat="1" ht="25.5">
      <c r="A427" s="11" t="s">
        <v>329</v>
      </c>
      <c r="B427" s="25" t="s">
        <v>68</v>
      </c>
      <c r="C427" s="26" t="s">
        <v>14</v>
      </c>
      <c r="D427" s="26" t="s">
        <v>53</v>
      </c>
      <c r="E427" s="26" t="s">
        <v>330</v>
      </c>
      <c r="F427" s="26" t="s">
        <v>58</v>
      </c>
      <c r="G427" s="27">
        <f t="shared" si="290"/>
        <v>2647440</v>
      </c>
      <c r="H427" s="27">
        <f t="shared" si="290"/>
        <v>2250320</v>
      </c>
      <c r="I427" s="27">
        <f t="shared" si="290"/>
        <v>2250320</v>
      </c>
      <c r="J427" s="16">
        <f>'БА в тыс. руб.'!G427*1000</f>
        <v>2647440</v>
      </c>
      <c r="K427" s="169">
        <f t="shared" si="267"/>
        <v>0</v>
      </c>
      <c r="L427" s="16">
        <f>'БА в тыс. руб.'!H427*1000</f>
        <v>2250320</v>
      </c>
      <c r="M427" s="169">
        <f t="shared" si="268"/>
        <v>0</v>
      </c>
      <c r="N427" s="16">
        <f>'БА в тыс. руб.'!I427*1000</f>
        <v>2250320</v>
      </c>
      <c r="O427" s="169">
        <f t="shared" si="269"/>
        <v>0</v>
      </c>
      <c r="P427" s="16"/>
      <c r="Q427" s="16"/>
      <c r="R427" s="16"/>
      <c r="S427" s="16"/>
      <c r="T427" s="16"/>
      <c r="U427" s="16"/>
    </row>
    <row r="428" spans="1:21" s="3" customFormat="1" ht="38.25">
      <c r="A428" s="34" t="s">
        <v>561</v>
      </c>
      <c r="B428" s="25" t="s">
        <v>68</v>
      </c>
      <c r="C428" s="26" t="s">
        <v>14</v>
      </c>
      <c r="D428" s="26" t="s">
        <v>53</v>
      </c>
      <c r="E428" s="26" t="s">
        <v>330</v>
      </c>
      <c r="F428" s="26" t="s">
        <v>101</v>
      </c>
      <c r="G428" s="27">
        <f>G429</f>
        <v>2647440</v>
      </c>
      <c r="H428" s="27">
        <f t="shared" si="290"/>
        <v>2250320</v>
      </c>
      <c r="I428" s="27">
        <f t="shared" si="290"/>
        <v>2250320</v>
      </c>
      <c r="J428" s="16">
        <f>'БА в тыс. руб.'!G428*1000</f>
        <v>2647440</v>
      </c>
      <c r="K428" s="169">
        <f t="shared" si="267"/>
        <v>0</v>
      </c>
      <c r="L428" s="16">
        <f>'БА в тыс. руб.'!H428*1000</f>
        <v>2250320</v>
      </c>
      <c r="M428" s="169">
        <f t="shared" si="268"/>
        <v>0</v>
      </c>
      <c r="N428" s="16">
        <f>'БА в тыс. руб.'!I428*1000</f>
        <v>2250320</v>
      </c>
      <c r="O428" s="169">
        <f t="shared" si="269"/>
        <v>0</v>
      </c>
      <c r="P428" s="16"/>
      <c r="Q428" s="16"/>
      <c r="R428" s="16"/>
      <c r="S428" s="16"/>
      <c r="T428" s="16"/>
      <c r="U428" s="16"/>
    </row>
    <row r="429" spans="1:21" s="3" customFormat="1" ht="51">
      <c r="A429" s="11" t="s">
        <v>1047</v>
      </c>
      <c r="B429" s="25" t="s">
        <v>68</v>
      </c>
      <c r="C429" s="26" t="s">
        <v>14</v>
      </c>
      <c r="D429" s="26" t="s">
        <v>53</v>
      </c>
      <c r="E429" s="26" t="s">
        <v>330</v>
      </c>
      <c r="F429" s="26" t="s">
        <v>1050</v>
      </c>
      <c r="G429" s="27">
        <f t="shared" ref="G429" si="291">J429</f>
        <v>2647440</v>
      </c>
      <c r="H429" s="27">
        <f t="shared" ref="H429" si="292">L429</f>
        <v>2250320</v>
      </c>
      <c r="I429" s="27">
        <f t="shared" ref="I429" si="293">N429</f>
        <v>2250320</v>
      </c>
      <c r="J429" s="16">
        <f>'БА в тыс. руб.'!G429*1000</f>
        <v>2647440</v>
      </c>
      <c r="K429" s="169">
        <f t="shared" si="267"/>
        <v>0</v>
      </c>
      <c r="L429" s="16">
        <f>'БА в тыс. руб.'!H429*1000</f>
        <v>2250320</v>
      </c>
      <c r="M429" s="169">
        <f t="shared" si="268"/>
        <v>0</v>
      </c>
      <c r="N429" s="16">
        <f>'БА в тыс. руб.'!I429*1000</f>
        <v>2250320</v>
      </c>
      <c r="O429" s="169">
        <f t="shared" si="269"/>
        <v>0</v>
      </c>
      <c r="P429" s="16"/>
      <c r="Q429" s="16"/>
      <c r="R429" s="16"/>
      <c r="S429" s="16"/>
      <c r="T429" s="16"/>
      <c r="U429" s="16"/>
    </row>
    <row r="430" spans="1:21" s="71" customFormat="1">
      <c r="A430" s="95"/>
      <c r="B430" s="92"/>
      <c r="C430" s="70"/>
      <c r="D430" s="70"/>
      <c r="E430" s="70"/>
      <c r="F430" s="70"/>
      <c r="G430" s="27"/>
      <c r="H430" s="27"/>
      <c r="I430" s="27"/>
      <c r="J430" s="16">
        <f>'БА в тыс. руб.'!G430*1000</f>
        <v>0</v>
      </c>
      <c r="K430" s="169">
        <f t="shared" si="267"/>
        <v>0</v>
      </c>
      <c r="L430" s="16">
        <f>'БА в тыс. руб.'!H430*1000</f>
        <v>0</v>
      </c>
      <c r="M430" s="169">
        <f t="shared" si="268"/>
        <v>0</v>
      </c>
      <c r="N430" s="16">
        <f>'БА в тыс. руб.'!I430*1000</f>
        <v>0</v>
      </c>
      <c r="O430" s="169">
        <f t="shared" si="269"/>
        <v>0</v>
      </c>
      <c r="P430" s="16"/>
      <c r="Q430" s="16"/>
      <c r="R430" s="16"/>
      <c r="S430" s="16"/>
      <c r="T430" s="16"/>
      <c r="U430" s="16"/>
    </row>
    <row r="431" spans="1:21" s="30" customFormat="1">
      <c r="A431" s="28" t="s">
        <v>179</v>
      </c>
      <c r="B431" s="14" t="s">
        <v>69</v>
      </c>
      <c r="C431" s="15" t="s">
        <v>51</v>
      </c>
      <c r="D431" s="15" t="s">
        <v>51</v>
      </c>
      <c r="E431" s="15" t="s">
        <v>196</v>
      </c>
      <c r="F431" s="15" t="s">
        <v>58</v>
      </c>
      <c r="G431" s="29">
        <f>G432+G609</f>
        <v>3399213190</v>
      </c>
      <c r="H431" s="29">
        <f>H432+H609</f>
        <v>3150695480</v>
      </c>
      <c r="I431" s="29">
        <f>I432+I609</f>
        <v>3301215200</v>
      </c>
      <c r="J431" s="16">
        <f>'БА в тыс. руб.'!G431*1000</f>
        <v>3399213190.0000005</v>
      </c>
      <c r="K431" s="169">
        <f t="shared" si="267"/>
        <v>0</v>
      </c>
      <c r="L431" s="16">
        <f>'БА в тыс. руб.'!H431*1000</f>
        <v>3150695480</v>
      </c>
      <c r="M431" s="169">
        <f t="shared" si="268"/>
        <v>0</v>
      </c>
      <c r="N431" s="16">
        <f>'БА в тыс. руб.'!I431*1000</f>
        <v>3301215200</v>
      </c>
      <c r="O431" s="169">
        <f t="shared" si="269"/>
        <v>0</v>
      </c>
      <c r="P431" s="16"/>
      <c r="Q431" s="16"/>
      <c r="R431" s="16"/>
      <c r="S431" s="16"/>
      <c r="T431" s="16"/>
      <c r="U431" s="16"/>
    </row>
    <row r="432" spans="1:21" s="30" customFormat="1">
      <c r="A432" s="17" t="s">
        <v>70</v>
      </c>
      <c r="B432" s="18" t="s">
        <v>69</v>
      </c>
      <c r="C432" s="19" t="s">
        <v>71</v>
      </c>
      <c r="D432" s="19" t="s">
        <v>51</v>
      </c>
      <c r="E432" s="19" t="s">
        <v>196</v>
      </c>
      <c r="F432" s="19" t="s">
        <v>58</v>
      </c>
      <c r="G432" s="20">
        <f>G433+G471+G547+G563+G530</f>
        <v>3284741780</v>
      </c>
      <c r="H432" s="20">
        <f>H433+H471+H547+H563+H530</f>
        <v>3036224070</v>
      </c>
      <c r="I432" s="20">
        <f>I433+I471+I547+I563+I530</f>
        <v>3186743790</v>
      </c>
      <c r="J432" s="16">
        <f>'БА в тыс. руб.'!G432*1000</f>
        <v>3284741780.0000005</v>
      </c>
      <c r="K432" s="169">
        <f t="shared" si="267"/>
        <v>0</v>
      </c>
      <c r="L432" s="16">
        <f>'БА в тыс. руб.'!H432*1000</f>
        <v>3036224070</v>
      </c>
      <c r="M432" s="169">
        <f t="shared" si="268"/>
        <v>0</v>
      </c>
      <c r="N432" s="16">
        <f>'БА в тыс. руб.'!I432*1000</f>
        <v>3186743790</v>
      </c>
      <c r="O432" s="169">
        <f t="shared" si="269"/>
        <v>0</v>
      </c>
      <c r="P432" s="16"/>
      <c r="Q432" s="16"/>
      <c r="R432" s="16"/>
      <c r="S432" s="16"/>
      <c r="T432" s="16"/>
      <c r="U432" s="16"/>
    </row>
    <row r="433" spans="1:21" s="30" customFormat="1">
      <c r="A433" s="21" t="s">
        <v>72</v>
      </c>
      <c r="B433" s="22" t="s">
        <v>69</v>
      </c>
      <c r="C433" s="23" t="s">
        <v>71</v>
      </c>
      <c r="D433" s="23" t="s">
        <v>65</v>
      </c>
      <c r="E433" s="23" t="s">
        <v>196</v>
      </c>
      <c r="F433" s="23" t="s">
        <v>58</v>
      </c>
      <c r="G433" s="24">
        <f>G434+G457+G465</f>
        <v>1412080490</v>
      </c>
      <c r="H433" s="24">
        <f>H434+H457+H465</f>
        <v>1327658390</v>
      </c>
      <c r="I433" s="24">
        <f>I434+I457+I465</f>
        <v>1391037630</v>
      </c>
      <c r="J433" s="16">
        <f>'БА в тыс. руб.'!G433*1000</f>
        <v>1412080490</v>
      </c>
      <c r="K433" s="169">
        <f t="shared" si="267"/>
        <v>0</v>
      </c>
      <c r="L433" s="16">
        <f>'БА в тыс. руб.'!H433*1000</f>
        <v>1327658389.9999998</v>
      </c>
      <c r="M433" s="169">
        <f t="shared" si="268"/>
        <v>0</v>
      </c>
      <c r="N433" s="16">
        <f>'БА в тыс. руб.'!I433*1000</f>
        <v>1391037629.9999998</v>
      </c>
      <c r="O433" s="169">
        <f t="shared" si="269"/>
        <v>0</v>
      </c>
      <c r="P433" s="16"/>
      <c r="Q433" s="16"/>
      <c r="R433" s="16"/>
      <c r="S433" s="16"/>
      <c r="T433" s="16"/>
      <c r="U433" s="16"/>
    </row>
    <row r="434" spans="1:21" s="30" customFormat="1" ht="25.5">
      <c r="A434" s="13" t="s">
        <v>723</v>
      </c>
      <c r="B434" s="25" t="s">
        <v>69</v>
      </c>
      <c r="C434" s="26" t="s">
        <v>71</v>
      </c>
      <c r="D434" s="26" t="s">
        <v>65</v>
      </c>
      <c r="E434" s="26" t="s">
        <v>331</v>
      </c>
      <c r="F434" s="26" t="s">
        <v>58</v>
      </c>
      <c r="G434" s="27">
        <f>G435</f>
        <v>1407820920</v>
      </c>
      <c r="H434" s="27">
        <f>H435</f>
        <v>1318685010</v>
      </c>
      <c r="I434" s="27">
        <f>I435</f>
        <v>1382064250</v>
      </c>
      <c r="J434" s="16">
        <f>'БА в тыс. руб.'!G434*1000</f>
        <v>1407820920</v>
      </c>
      <c r="K434" s="169">
        <f t="shared" si="267"/>
        <v>0</v>
      </c>
      <c r="L434" s="16">
        <f>'БА в тыс. руб.'!H434*1000</f>
        <v>1318685009.9999998</v>
      </c>
      <c r="M434" s="169">
        <f t="shared" si="268"/>
        <v>0</v>
      </c>
      <c r="N434" s="16">
        <f>'БА в тыс. руб.'!I434*1000</f>
        <v>1382064249.9999998</v>
      </c>
      <c r="O434" s="169">
        <f t="shared" si="269"/>
        <v>0</v>
      </c>
      <c r="P434" s="16"/>
      <c r="Q434" s="16"/>
      <c r="R434" s="16"/>
      <c r="S434" s="16"/>
      <c r="T434" s="16"/>
      <c r="U434" s="16"/>
    </row>
    <row r="435" spans="1:21" s="30" customFormat="1" ht="25.5">
      <c r="A435" s="13" t="s">
        <v>860</v>
      </c>
      <c r="B435" s="25" t="s">
        <v>69</v>
      </c>
      <c r="C435" s="26" t="s">
        <v>71</v>
      </c>
      <c r="D435" s="26" t="s">
        <v>65</v>
      </c>
      <c r="E435" s="26" t="s">
        <v>332</v>
      </c>
      <c r="F435" s="26" t="s">
        <v>58</v>
      </c>
      <c r="G435" s="27">
        <f>G436+G450</f>
        <v>1407820920</v>
      </c>
      <c r="H435" s="27">
        <f>H436+H450</f>
        <v>1318685010</v>
      </c>
      <c r="I435" s="27">
        <f>I436+I450</f>
        <v>1382064250</v>
      </c>
      <c r="J435" s="16">
        <f>'БА в тыс. руб.'!G435*1000</f>
        <v>1407820920</v>
      </c>
      <c r="K435" s="169">
        <f t="shared" si="267"/>
        <v>0</v>
      </c>
      <c r="L435" s="16">
        <f>'БА в тыс. руб.'!H435*1000</f>
        <v>1318685009.9999998</v>
      </c>
      <c r="M435" s="169">
        <f t="shared" si="268"/>
        <v>0</v>
      </c>
      <c r="N435" s="16">
        <f>'БА в тыс. руб.'!I435*1000</f>
        <v>1382064249.9999998</v>
      </c>
      <c r="O435" s="169">
        <f t="shared" si="269"/>
        <v>0</v>
      </c>
      <c r="P435" s="16"/>
      <c r="Q435" s="16"/>
      <c r="R435" s="16"/>
      <c r="S435" s="16"/>
      <c r="T435" s="16"/>
      <c r="U435" s="16"/>
    </row>
    <row r="436" spans="1:21" s="30" customFormat="1" ht="25.5">
      <c r="A436" s="13" t="s">
        <v>607</v>
      </c>
      <c r="B436" s="25" t="s">
        <v>69</v>
      </c>
      <c r="C436" s="26" t="s">
        <v>71</v>
      </c>
      <c r="D436" s="26" t="s">
        <v>65</v>
      </c>
      <c r="E436" s="26" t="s">
        <v>333</v>
      </c>
      <c r="F436" s="26" t="s">
        <v>58</v>
      </c>
      <c r="G436" s="27">
        <f>G437+G443</f>
        <v>1371990880</v>
      </c>
      <c r="H436" s="27">
        <f>H437+H443</f>
        <v>1305154350</v>
      </c>
      <c r="I436" s="27">
        <f>I437+I443</f>
        <v>1368533590</v>
      </c>
      <c r="J436" s="16">
        <f>'БА в тыс. руб.'!G436*1000</f>
        <v>1371990880</v>
      </c>
      <c r="K436" s="169">
        <f t="shared" si="267"/>
        <v>0</v>
      </c>
      <c r="L436" s="16">
        <f>'БА в тыс. руб.'!H436*1000</f>
        <v>1305154349.9999998</v>
      </c>
      <c r="M436" s="169">
        <f t="shared" si="268"/>
        <v>0</v>
      </c>
      <c r="N436" s="16">
        <f>'БА в тыс. руб.'!I436*1000</f>
        <v>1368533589.9999998</v>
      </c>
      <c r="O436" s="169">
        <f t="shared" si="269"/>
        <v>0</v>
      </c>
      <c r="P436" s="16"/>
      <c r="Q436" s="16"/>
      <c r="R436" s="16"/>
      <c r="S436" s="16"/>
      <c r="T436" s="16"/>
      <c r="U436" s="16"/>
    </row>
    <row r="437" spans="1:21" s="30" customFormat="1" ht="25.5">
      <c r="A437" s="13" t="s">
        <v>247</v>
      </c>
      <c r="B437" s="25" t="s">
        <v>69</v>
      </c>
      <c r="C437" s="26" t="s">
        <v>71</v>
      </c>
      <c r="D437" s="26" t="s">
        <v>65</v>
      </c>
      <c r="E437" s="26" t="s">
        <v>334</v>
      </c>
      <c r="F437" s="26" t="s">
        <v>58</v>
      </c>
      <c r="G437" s="27">
        <f>G438+G441</f>
        <v>687567610</v>
      </c>
      <c r="H437" s="27">
        <f t="shared" ref="H437:I437" si="294">H438+H441</f>
        <v>691063420</v>
      </c>
      <c r="I437" s="27">
        <f t="shared" si="294"/>
        <v>691063420</v>
      </c>
      <c r="J437" s="16">
        <f>'БА в тыс. руб.'!G437*1000</f>
        <v>687567610</v>
      </c>
      <c r="K437" s="169">
        <f t="shared" si="267"/>
        <v>0</v>
      </c>
      <c r="L437" s="16">
        <f>'БА в тыс. руб.'!H437*1000</f>
        <v>691063419.99999988</v>
      </c>
      <c r="M437" s="169">
        <f t="shared" si="268"/>
        <v>0</v>
      </c>
      <c r="N437" s="16">
        <f>'БА в тыс. руб.'!I437*1000</f>
        <v>691063419.99999988</v>
      </c>
      <c r="O437" s="169">
        <f t="shared" si="269"/>
        <v>0</v>
      </c>
      <c r="P437" s="16"/>
      <c r="Q437" s="16"/>
      <c r="R437" s="16"/>
      <c r="S437" s="16"/>
      <c r="T437" s="16"/>
      <c r="U437" s="16"/>
    </row>
    <row r="438" spans="1:21" s="30" customFormat="1">
      <c r="A438" s="13" t="s">
        <v>92</v>
      </c>
      <c r="B438" s="25" t="s">
        <v>69</v>
      </c>
      <c r="C438" s="26" t="s">
        <v>71</v>
      </c>
      <c r="D438" s="26" t="s">
        <v>65</v>
      </c>
      <c r="E438" s="26" t="s">
        <v>334</v>
      </c>
      <c r="F438" s="26" t="s">
        <v>138</v>
      </c>
      <c r="G438" s="27">
        <f>SUM(G439:G440)</f>
        <v>658082260</v>
      </c>
      <c r="H438" s="27">
        <f t="shared" ref="H438:I438" si="295">SUM(H439:H440)</f>
        <v>661578070</v>
      </c>
      <c r="I438" s="27">
        <f t="shared" si="295"/>
        <v>661578070</v>
      </c>
      <c r="J438" s="16">
        <f>'БА в тыс. руб.'!G438*1000</f>
        <v>658082260</v>
      </c>
      <c r="K438" s="169">
        <f t="shared" si="267"/>
        <v>0</v>
      </c>
      <c r="L438" s="16">
        <f>'БА в тыс. руб.'!H438*1000</f>
        <v>661578070</v>
      </c>
      <c r="M438" s="169">
        <f t="shared" si="268"/>
        <v>0</v>
      </c>
      <c r="N438" s="16">
        <f>'БА в тыс. руб.'!I438*1000</f>
        <v>661578070</v>
      </c>
      <c r="O438" s="169">
        <f t="shared" si="269"/>
        <v>0</v>
      </c>
      <c r="P438" s="16"/>
      <c r="Q438" s="16"/>
      <c r="R438" s="16"/>
      <c r="S438" s="16"/>
      <c r="T438" s="16"/>
      <c r="U438" s="16"/>
    </row>
    <row r="439" spans="1:21" s="83" customFormat="1" ht="38.25">
      <c r="A439" s="12" t="s">
        <v>1015</v>
      </c>
      <c r="B439" s="25" t="s">
        <v>69</v>
      </c>
      <c r="C439" s="26" t="s">
        <v>71</v>
      </c>
      <c r="D439" s="26" t="s">
        <v>65</v>
      </c>
      <c r="E439" s="26" t="s">
        <v>334</v>
      </c>
      <c r="F439" s="26" t="s">
        <v>67</v>
      </c>
      <c r="G439" s="27">
        <f t="shared" ref="G439:G440" si="296">J439</f>
        <v>654720660</v>
      </c>
      <c r="H439" s="27">
        <f t="shared" ref="H439:H440" si="297">L439</f>
        <v>658216470</v>
      </c>
      <c r="I439" s="27">
        <f t="shared" ref="I439:I440" si="298">N439</f>
        <v>658216470</v>
      </c>
      <c r="J439" s="16">
        <f>'БА в тыс. руб.'!G439*1000</f>
        <v>654720660</v>
      </c>
      <c r="K439" s="169">
        <f t="shared" si="267"/>
        <v>0</v>
      </c>
      <c r="L439" s="16">
        <f>'БА в тыс. руб.'!H439*1000</f>
        <v>658216470</v>
      </c>
      <c r="M439" s="169">
        <f t="shared" si="268"/>
        <v>0</v>
      </c>
      <c r="N439" s="16">
        <f>'БА в тыс. руб.'!I439*1000</f>
        <v>658216470</v>
      </c>
      <c r="O439" s="169">
        <f t="shared" si="269"/>
        <v>0</v>
      </c>
      <c r="P439" s="16"/>
      <c r="Q439" s="16"/>
      <c r="R439" s="16"/>
      <c r="S439" s="16"/>
      <c r="T439" s="16"/>
      <c r="U439" s="16"/>
    </row>
    <row r="440" spans="1:21" s="83" customFormat="1">
      <c r="A440" s="12" t="s">
        <v>1016</v>
      </c>
      <c r="B440" s="25" t="s">
        <v>69</v>
      </c>
      <c r="C440" s="26" t="s">
        <v>71</v>
      </c>
      <c r="D440" s="26" t="s">
        <v>65</v>
      </c>
      <c r="E440" s="26" t="s">
        <v>334</v>
      </c>
      <c r="F440" s="26" t="s">
        <v>1046</v>
      </c>
      <c r="G440" s="27">
        <f t="shared" si="296"/>
        <v>3361600</v>
      </c>
      <c r="H440" s="27">
        <f t="shared" si="297"/>
        <v>3361600</v>
      </c>
      <c r="I440" s="27">
        <f t="shared" si="298"/>
        <v>3361600</v>
      </c>
      <c r="J440" s="16">
        <f>'БА в тыс. руб.'!G440*1000</f>
        <v>3361600</v>
      </c>
      <c r="K440" s="169">
        <f t="shared" si="267"/>
        <v>0</v>
      </c>
      <c r="L440" s="16">
        <f>'БА в тыс. руб.'!H440*1000</f>
        <v>3361600</v>
      </c>
      <c r="M440" s="169">
        <f t="shared" si="268"/>
        <v>0</v>
      </c>
      <c r="N440" s="16">
        <f>'БА в тыс. руб.'!I440*1000</f>
        <v>3361600</v>
      </c>
      <c r="O440" s="169">
        <f t="shared" si="269"/>
        <v>0</v>
      </c>
      <c r="P440" s="16"/>
      <c r="Q440" s="16"/>
      <c r="R440" s="16"/>
      <c r="S440" s="16"/>
      <c r="T440" s="16"/>
      <c r="U440" s="16"/>
    </row>
    <row r="441" spans="1:21" s="30" customFormat="1">
      <c r="A441" s="13" t="s">
        <v>93</v>
      </c>
      <c r="B441" s="25" t="s">
        <v>69</v>
      </c>
      <c r="C441" s="26" t="s">
        <v>71</v>
      </c>
      <c r="D441" s="26" t="s">
        <v>65</v>
      </c>
      <c r="E441" s="26" t="s">
        <v>334</v>
      </c>
      <c r="F441" s="26" t="s">
        <v>20</v>
      </c>
      <c r="G441" s="27">
        <f>G442</f>
        <v>29485350</v>
      </c>
      <c r="H441" s="27">
        <f t="shared" ref="H441:I441" si="299">H442</f>
        <v>29485350</v>
      </c>
      <c r="I441" s="27">
        <f t="shared" si="299"/>
        <v>29485350</v>
      </c>
      <c r="J441" s="16">
        <f>'БА в тыс. руб.'!G441*1000</f>
        <v>29485350</v>
      </c>
      <c r="K441" s="169">
        <f t="shared" si="267"/>
        <v>0</v>
      </c>
      <c r="L441" s="16">
        <f>'БА в тыс. руб.'!H441*1000</f>
        <v>29485350</v>
      </c>
      <c r="M441" s="169">
        <f t="shared" si="268"/>
        <v>0</v>
      </c>
      <c r="N441" s="16">
        <f>'БА в тыс. руб.'!I441*1000</f>
        <v>29485350</v>
      </c>
      <c r="O441" s="169">
        <f t="shared" si="269"/>
        <v>0</v>
      </c>
      <c r="P441" s="16"/>
      <c r="Q441" s="16"/>
      <c r="R441" s="16"/>
      <c r="S441" s="16"/>
      <c r="T441" s="16"/>
      <c r="U441" s="16"/>
    </row>
    <row r="442" spans="1:21" s="83" customFormat="1" ht="38.25">
      <c r="A442" s="12" t="s">
        <v>1018</v>
      </c>
      <c r="B442" s="25" t="s">
        <v>69</v>
      </c>
      <c r="C442" s="26" t="s">
        <v>71</v>
      </c>
      <c r="D442" s="26" t="s">
        <v>65</v>
      </c>
      <c r="E442" s="26" t="s">
        <v>334</v>
      </c>
      <c r="F442" s="26" t="s">
        <v>16</v>
      </c>
      <c r="G442" s="27">
        <f t="shared" ref="G442" si="300">J442</f>
        <v>29485350</v>
      </c>
      <c r="H442" s="27">
        <f>L442</f>
        <v>29485350</v>
      </c>
      <c r="I442" s="27">
        <f>N442</f>
        <v>29485350</v>
      </c>
      <c r="J442" s="16">
        <f>'БА в тыс. руб.'!G442*1000</f>
        <v>29485350</v>
      </c>
      <c r="K442" s="169">
        <f t="shared" si="267"/>
        <v>0</v>
      </c>
      <c r="L442" s="16">
        <f>'БА в тыс. руб.'!H442*1000</f>
        <v>29485350</v>
      </c>
      <c r="M442" s="169">
        <f t="shared" si="268"/>
        <v>0</v>
      </c>
      <c r="N442" s="16">
        <f>'БА в тыс. руб.'!I442*1000</f>
        <v>29485350</v>
      </c>
      <c r="O442" s="169">
        <f t="shared" si="269"/>
        <v>0</v>
      </c>
      <c r="P442" s="16"/>
      <c r="Q442" s="16"/>
      <c r="R442" s="16"/>
      <c r="S442" s="16"/>
      <c r="T442" s="16"/>
      <c r="U442" s="16"/>
    </row>
    <row r="443" spans="1:21" s="30" customFormat="1" ht="76.5">
      <c r="A443" s="11" t="s">
        <v>335</v>
      </c>
      <c r="B443" s="25" t="s">
        <v>69</v>
      </c>
      <c r="C443" s="26" t="s">
        <v>71</v>
      </c>
      <c r="D443" s="26" t="s">
        <v>65</v>
      </c>
      <c r="E443" s="26" t="s">
        <v>336</v>
      </c>
      <c r="F443" s="26" t="s">
        <v>58</v>
      </c>
      <c r="G443" s="27">
        <f>G444+G446+G448</f>
        <v>684423270</v>
      </c>
      <c r="H443" s="27">
        <f>H444+H446+H448</f>
        <v>614090930</v>
      </c>
      <c r="I443" s="27">
        <f>I444+I446+I448</f>
        <v>677470169.99999988</v>
      </c>
      <c r="J443" s="16">
        <f>'БА в тыс. руб.'!G443*1000</f>
        <v>684423270</v>
      </c>
      <c r="K443" s="169">
        <f t="shared" si="267"/>
        <v>0</v>
      </c>
      <c r="L443" s="16">
        <f>'БА в тыс. руб.'!H443*1000</f>
        <v>614090929.99999988</v>
      </c>
      <c r="M443" s="169">
        <f t="shared" si="268"/>
        <v>0</v>
      </c>
      <c r="N443" s="16">
        <f>'БА в тыс. руб.'!I443*1000</f>
        <v>677470169.99999988</v>
      </c>
      <c r="O443" s="169">
        <f t="shared" si="269"/>
        <v>0</v>
      </c>
      <c r="P443" s="16"/>
      <c r="Q443" s="16"/>
      <c r="R443" s="16"/>
      <c r="S443" s="16"/>
      <c r="T443" s="16"/>
      <c r="U443" s="16"/>
    </row>
    <row r="444" spans="1:21" s="30" customFormat="1">
      <c r="A444" s="13" t="s">
        <v>92</v>
      </c>
      <c r="B444" s="25" t="s">
        <v>69</v>
      </c>
      <c r="C444" s="26" t="s">
        <v>71</v>
      </c>
      <c r="D444" s="26" t="s">
        <v>65</v>
      </c>
      <c r="E444" s="26" t="s">
        <v>336</v>
      </c>
      <c r="F444" s="26" t="s">
        <v>138</v>
      </c>
      <c r="G444" s="27">
        <f>G445</f>
        <v>652243160</v>
      </c>
      <c r="H444" s="27">
        <f t="shared" ref="H444:I444" si="301">H445</f>
        <v>581910820</v>
      </c>
      <c r="I444" s="27">
        <f t="shared" si="301"/>
        <v>645290059.99999988</v>
      </c>
      <c r="J444" s="16">
        <f>'БА в тыс. руб.'!G444*1000</f>
        <v>652243160</v>
      </c>
      <c r="K444" s="169">
        <f t="shared" si="267"/>
        <v>0</v>
      </c>
      <c r="L444" s="16">
        <f>'БА в тыс. руб.'!H444*1000</f>
        <v>581910820</v>
      </c>
      <c r="M444" s="169">
        <f t="shared" si="268"/>
        <v>0</v>
      </c>
      <c r="N444" s="16">
        <f>'БА в тыс. руб.'!I444*1000</f>
        <v>645290059.99999988</v>
      </c>
      <c r="O444" s="169">
        <f t="shared" si="269"/>
        <v>0</v>
      </c>
      <c r="P444" s="16"/>
      <c r="Q444" s="16"/>
      <c r="R444" s="16"/>
      <c r="S444" s="16"/>
      <c r="T444" s="16"/>
      <c r="U444" s="16"/>
    </row>
    <row r="445" spans="1:21" s="83" customFormat="1" ht="38.25">
      <c r="A445" s="12" t="s">
        <v>1015</v>
      </c>
      <c r="B445" s="25" t="s">
        <v>69</v>
      </c>
      <c r="C445" s="26" t="s">
        <v>71</v>
      </c>
      <c r="D445" s="26" t="s">
        <v>65</v>
      </c>
      <c r="E445" s="26" t="s">
        <v>336</v>
      </c>
      <c r="F445" s="26" t="s">
        <v>67</v>
      </c>
      <c r="G445" s="27">
        <f t="shared" ref="G445" si="302">J445</f>
        <v>652243160</v>
      </c>
      <c r="H445" s="27">
        <f>L445</f>
        <v>581910820</v>
      </c>
      <c r="I445" s="27">
        <f>N445</f>
        <v>645290059.99999988</v>
      </c>
      <c r="J445" s="16">
        <f>'БА в тыс. руб.'!G445*1000</f>
        <v>652243160</v>
      </c>
      <c r="K445" s="169">
        <f t="shared" si="267"/>
        <v>0</v>
      </c>
      <c r="L445" s="16">
        <f>'БА в тыс. руб.'!H445*1000</f>
        <v>581910820</v>
      </c>
      <c r="M445" s="169">
        <f t="shared" si="268"/>
        <v>0</v>
      </c>
      <c r="N445" s="16">
        <f>'БА в тыс. руб.'!I445*1000</f>
        <v>645290059.99999988</v>
      </c>
      <c r="O445" s="169">
        <f t="shared" si="269"/>
        <v>0</v>
      </c>
      <c r="P445" s="16"/>
      <c r="Q445" s="16"/>
      <c r="R445" s="16"/>
      <c r="S445" s="16"/>
      <c r="T445" s="16"/>
      <c r="U445" s="16"/>
    </row>
    <row r="446" spans="1:21" s="30" customFormat="1">
      <c r="A446" s="13" t="s">
        <v>93</v>
      </c>
      <c r="B446" s="25" t="s">
        <v>69</v>
      </c>
      <c r="C446" s="26" t="s">
        <v>71</v>
      </c>
      <c r="D446" s="26" t="s">
        <v>65</v>
      </c>
      <c r="E446" s="26" t="s">
        <v>336</v>
      </c>
      <c r="F446" s="26" t="s">
        <v>20</v>
      </c>
      <c r="G446" s="27">
        <f>G447</f>
        <v>27575850</v>
      </c>
      <c r="H446" s="27">
        <f t="shared" ref="H446:I446" si="303">H447</f>
        <v>27575850</v>
      </c>
      <c r="I446" s="27">
        <f t="shared" si="303"/>
        <v>27575850</v>
      </c>
      <c r="J446" s="16">
        <f>'БА в тыс. руб.'!G446*1000</f>
        <v>27575850</v>
      </c>
      <c r="K446" s="169">
        <f t="shared" si="267"/>
        <v>0</v>
      </c>
      <c r="L446" s="16">
        <f>'БА в тыс. руб.'!H446*1000</f>
        <v>27575850</v>
      </c>
      <c r="M446" s="169">
        <f t="shared" si="268"/>
        <v>0</v>
      </c>
      <c r="N446" s="16">
        <f>'БА в тыс. руб.'!I446*1000</f>
        <v>27575850</v>
      </c>
      <c r="O446" s="169">
        <f t="shared" si="269"/>
        <v>0</v>
      </c>
      <c r="P446" s="16"/>
      <c r="Q446" s="16"/>
      <c r="R446" s="16"/>
      <c r="S446" s="16"/>
      <c r="T446" s="16"/>
      <c r="U446" s="16"/>
    </row>
    <row r="447" spans="1:21" s="83" customFormat="1" ht="38.25">
      <c r="A447" s="12" t="s">
        <v>1018</v>
      </c>
      <c r="B447" s="25" t="s">
        <v>69</v>
      </c>
      <c r="C447" s="26" t="s">
        <v>71</v>
      </c>
      <c r="D447" s="26" t="s">
        <v>65</v>
      </c>
      <c r="E447" s="26" t="s">
        <v>336</v>
      </c>
      <c r="F447" s="26" t="s">
        <v>16</v>
      </c>
      <c r="G447" s="27">
        <f t="shared" ref="G447" si="304">J447</f>
        <v>27575850</v>
      </c>
      <c r="H447" s="27">
        <f>L447</f>
        <v>27575850</v>
      </c>
      <c r="I447" s="27">
        <f>N447</f>
        <v>27575850</v>
      </c>
      <c r="J447" s="16">
        <f>'БА в тыс. руб.'!G447*1000</f>
        <v>27575850</v>
      </c>
      <c r="K447" s="169">
        <f t="shared" si="267"/>
        <v>0</v>
      </c>
      <c r="L447" s="16">
        <f>'БА в тыс. руб.'!H447*1000</f>
        <v>27575850</v>
      </c>
      <c r="M447" s="169">
        <f t="shared" si="268"/>
        <v>0</v>
      </c>
      <c r="N447" s="16">
        <f>'БА в тыс. руб.'!I447*1000</f>
        <v>27575850</v>
      </c>
      <c r="O447" s="169">
        <f t="shared" si="269"/>
        <v>0</v>
      </c>
      <c r="P447" s="16"/>
      <c r="Q447" s="16"/>
      <c r="R447" s="16"/>
      <c r="S447" s="16"/>
      <c r="T447" s="16"/>
      <c r="U447" s="16"/>
    </row>
    <row r="448" spans="1:21" s="30" customFormat="1" ht="25.5">
      <c r="A448" s="11" t="s">
        <v>111</v>
      </c>
      <c r="B448" s="25" t="s">
        <v>69</v>
      </c>
      <c r="C448" s="26" t="s">
        <v>71</v>
      </c>
      <c r="D448" s="26" t="s">
        <v>65</v>
      </c>
      <c r="E448" s="26" t="s">
        <v>336</v>
      </c>
      <c r="F448" s="26" t="s">
        <v>104</v>
      </c>
      <c r="G448" s="27">
        <f>G449</f>
        <v>4604260</v>
      </c>
      <c r="H448" s="27">
        <f t="shared" ref="H448:I448" si="305">H449</f>
        <v>4604260</v>
      </c>
      <c r="I448" s="27">
        <f t="shared" si="305"/>
        <v>4604260</v>
      </c>
      <c r="J448" s="16">
        <f>'БА в тыс. руб.'!G448*1000</f>
        <v>4604260</v>
      </c>
      <c r="K448" s="169">
        <f t="shared" si="267"/>
        <v>0</v>
      </c>
      <c r="L448" s="16">
        <f>'БА в тыс. руб.'!H448*1000</f>
        <v>4604260</v>
      </c>
      <c r="M448" s="169">
        <f t="shared" si="268"/>
        <v>0</v>
      </c>
      <c r="N448" s="16">
        <f>'БА в тыс. руб.'!I448*1000</f>
        <v>4604260</v>
      </c>
      <c r="O448" s="169">
        <f t="shared" si="269"/>
        <v>0</v>
      </c>
      <c r="P448" s="16"/>
      <c r="Q448" s="16"/>
      <c r="R448" s="16"/>
      <c r="S448" s="16"/>
      <c r="T448" s="16"/>
      <c r="U448" s="16"/>
    </row>
    <row r="449" spans="1:21" s="83" customFormat="1" ht="76.5">
      <c r="A449" s="12" t="s">
        <v>1048</v>
      </c>
      <c r="B449" s="25" t="s">
        <v>69</v>
      </c>
      <c r="C449" s="26" t="s">
        <v>71</v>
      </c>
      <c r="D449" s="26" t="s">
        <v>65</v>
      </c>
      <c r="E449" s="26" t="s">
        <v>336</v>
      </c>
      <c r="F449" s="26" t="s">
        <v>1055</v>
      </c>
      <c r="G449" s="27">
        <f t="shared" ref="G449" si="306">J449</f>
        <v>4604260</v>
      </c>
      <c r="H449" s="27">
        <f>L449</f>
        <v>4604260</v>
      </c>
      <c r="I449" s="27">
        <f>N449</f>
        <v>4604260</v>
      </c>
      <c r="J449" s="16">
        <f>'БА в тыс. руб.'!G449*1000</f>
        <v>4604260</v>
      </c>
      <c r="K449" s="169">
        <f t="shared" si="267"/>
        <v>0</v>
      </c>
      <c r="L449" s="16">
        <f>'БА в тыс. руб.'!H449*1000</f>
        <v>4604260</v>
      </c>
      <c r="M449" s="169">
        <f t="shared" si="268"/>
        <v>0</v>
      </c>
      <c r="N449" s="16">
        <f>'БА в тыс. руб.'!I449*1000</f>
        <v>4604260</v>
      </c>
      <c r="O449" s="169">
        <f t="shared" si="269"/>
        <v>0</v>
      </c>
      <c r="P449" s="16"/>
      <c r="Q449" s="16"/>
      <c r="R449" s="16"/>
      <c r="S449" s="16"/>
      <c r="T449" s="16"/>
      <c r="U449" s="16"/>
    </row>
    <row r="450" spans="1:21" s="30" customFormat="1" ht="51">
      <c r="A450" s="11" t="s">
        <v>629</v>
      </c>
      <c r="B450" s="25" t="s">
        <v>69</v>
      </c>
      <c r="C450" s="26" t="s">
        <v>71</v>
      </c>
      <c r="D450" s="26" t="s">
        <v>65</v>
      </c>
      <c r="E450" s="26" t="s">
        <v>337</v>
      </c>
      <c r="F450" s="26" t="s">
        <v>58</v>
      </c>
      <c r="G450" s="27">
        <f>G451+G454</f>
        <v>35830040</v>
      </c>
      <c r="H450" s="27">
        <f>H451+H454</f>
        <v>13530660</v>
      </c>
      <c r="I450" s="27">
        <f>I451+I454</f>
        <v>13530660</v>
      </c>
      <c r="J450" s="16">
        <f>'БА в тыс. руб.'!G450*1000</f>
        <v>35830040</v>
      </c>
      <c r="K450" s="169">
        <f t="shared" si="267"/>
        <v>0</v>
      </c>
      <c r="L450" s="16">
        <f>'БА в тыс. руб.'!H450*1000</f>
        <v>13530660</v>
      </c>
      <c r="M450" s="169">
        <f t="shared" si="268"/>
        <v>0</v>
      </c>
      <c r="N450" s="16">
        <f>'БА в тыс. руб.'!I450*1000</f>
        <v>13530660</v>
      </c>
      <c r="O450" s="169">
        <f t="shared" si="269"/>
        <v>0</v>
      </c>
      <c r="P450" s="16"/>
      <c r="Q450" s="16"/>
      <c r="R450" s="16"/>
      <c r="S450" s="16"/>
      <c r="T450" s="16"/>
      <c r="U450" s="16"/>
    </row>
    <row r="451" spans="1:21" s="30" customFormat="1" ht="25.5">
      <c r="A451" s="13" t="s">
        <v>247</v>
      </c>
      <c r="B451" s="25" t="s">
        <v>69</v>
      </c>
      <c r="C451" s="26" t="s">
        <v>71</v>
      </c>
      <c r="D451" s="26" t="s">
        <v>65</v>
      </c>
      <c r="E451" s="26" t="s">
        <v>338</v>
      </c>
      <c r="F451" s="26" t="s">
        <v>58</v>
      </c>
      <c r="G451" s="27">
        <f>G452</f>
        <v>35580040</v>
      </c>
      <c r="H451" s="27">
        <f>H452</f>
        <v>13530660</v>
      </c>
      <c r="I451" s="27">
        <f>I452</f>
        <v>13530660</v>
      </c>
      <c r="J451" s="16">
        <f>'БА в тыс. руб.'!G451*1000</f>
        <v>35580040</v>
      </c>
      <c r="K451" s="169">
        <f t="shared" si="267"/>
        <v>0</v>
      </c>
      <c r="L451" s="16">
        <f>'БА в тыс. руб.'!H451*1000</f>
        <v>13530660</v>
      </c>
      <c r="M451" s="169">
        <f t="shared" si="268"/>
        <v>0</v>
      </c>
      <c r="N451" s="16">
        <f>'БА в тыс. руб.'!I451*1000</f>
        <v>13530660</v>
      </c>
      <c r="O451" s="169">
        <f t="shared" si="269"/>
        <v>0</v>
      </c>
      <c r="P451" s="16"/>
      <c r="Q451" s="16"/>
      <c r="R451" s="16"/>
      <c r="S451" s="16"/>
      <c r="T451" s="16"/>
      <c r="U451" s="16"/>
    </row>
    <row r="452" spans="1:21" s="30" customFormat="1">
      <c r="A452" s="13" t="s">
        <v>92</v>
      </c>
      <c r="B452" s="25" t="s">
        <v>69</v>
      </c>
      <c r="C452" s="26" t="s">
        <v>71</v>
      </c>
      <c r="D452" s="26" t="s">
        <v>65</v>
      </c>
      <c r="E452" s="26" t="s">
        <v>338</v>
      </c>
      <c r="F452" s="26" t="s">
        <v>138</v>
      </c>
      <c r="G452" s="27">
        <f>G453</f>
        <v>35580040</v>
      </c>
      <c r="H452" s="27">
        <f t="shared" ref="H452:I452" si="307">H453</f>
        <v>13530660</v>
      </c>
      <c r="I452" s="27">
        <f t="shared" si="307"/>
        <v>13530660</v>
      </c>
      <c r="J452" s="16">
        <f>'БА в тыс. руб.'!G452*1000</f>
        <v>35580040</v>
      </c>
      <c r="K452" s="169">
        <f t="shared" si="267"/>
        <v>0</v>
      </c>
      <c r="L452" s="16">
        <f>'БА в тыс. руб.'!H452*1000</f>
        <v>13530660</v>
      </c>
      <c r="M452" s="169">
        <f t="shared" si="268"/>
        <v>0</v>
      </c>
      <c r="N452" s="16">
        <f>'БА в тыс. руб.'!I452*1000</f>
        <v>13530660</v>
      </c>
      <c r="O452" s="169">
        <f t="shared" si="269"/>
        <v>0</v>
      </c>
      <c r="P452" s="16"/>
      <c r="Q452" s="16"/>
      <c r="R452" s="16"/>
      <c r="S452" s="16"/>
      <c r="T452" s="16"/>
      <c r="U452" s="16"/>
    </row>
    <row r="453" spans="1:21" s="83" customFormat="1">
      <c r="A453" s="12" t="s">
        <v>1016</v>
      </c>
      <c r="B453" s="25" t="s">
        <v>69</v>
      </c>
      <c r="C453" s="26" t="s">
        <v>71</v>
      </c>
      <c r="D453" s="26" t="s">
        <v>65</v>
      </c>
      <c r="E453" s="26" t="s">
        <v>338</v>
      </c>
      <c r="F453" s="26" t="s">
        <v>1046</v>
      </c>
      <c r="G453" s="27">
        <f t="shared" ref="G453" si="308">J453</f>
        <v>35580040</v>
      </c>
      <c r="H453" s="27">
        <f>L453</f>
        <v>13530660</v>
      </c>
      <c r="I453" s="27">
        <f>N453</f>
        <v>13530660</v>
      </c>
      <c r="J453" s="16">
        <f>'БА в тыс. руб.'!G453*1000</f>
        <v>35580040</v>
      </c>
      <c r="K453" s="169">
        <f t="shared" si="267"/>
        <v>0</v>
      </c>
      <c r="L453" s="16">
        <f>'БА в тыс. руб.'!H453*1000</f>
        <v>13530660</v>
      </c>
      <c r="M453" s="169">
        <f t="shared" si="268"/>
        <v>0</v>
      </c>
      <c r="N453" s="16">
        <f>'БА в тыс. руб.'!I453*1000</f>
        <v>13530660</v>
      </c>
      <c r="O453" s="169">
        <f t="shared" si="269"/>
        <v>0</v>
      </c>
      <c r="P453" s="16"/>
      <c r="Q453" s="16"/>
      <c r="R453" s="16"/>
      <c r="S453" s="16"/>
      <c r="T453" s="16"/>
      <c r="U453" s="16"/>
    </row>
    <row r="454" spans="1:21" s="30" customFormat="1" ht="38.25">
      <c r="A454" s="13" t="s">
        <v>702</v>
      </c>
      <c r="B454" s="25" t="s">
        <v>69</v>
      </c>
      <c r="C454" s="26" t="s">
        <v>71</v>
      </c>
      <c r="D454" s="26" t="s">
        <v>65</v>
      </c>
      <c r="E454" s="26" t="s">
        <v>701</v>
      </c>
      <c r="F454" s="26" t="s">
        <v>58</v>
      </c>
      <c r="G454" s="27">
        <f>G455</f>
        <v>250000</v>
      </c>
      <c r="H454" s="27">
        <f>H455</f>
        <v>0</v>
      </c>
      <c r="I454" s="27">
        <f>I455</f>
        <v>0</v>
      </c>
      <c r="J454" s="16">
        <f>'БА в тыс. руб.'!G454*1000</f>
        <v>250000</v>
      </c>
      <c r="K454" s="169">
        <f t="shared" si="267"/>
        <v>0</v>
      </c>
      <c r="L454" s="16">
        <f>'БА в тыс. руб.'!H454*1000</f>
        <v>0</v>
      </c>
      <c r="M454" s="169">
        <f t="shared" si="268"/>
        <v>0</v>
      </c>
      <c r="N454" s="16">
        <f>'БА в тыс. руб.'!I454*1000</f>
        <v>0</v>
      </c>
      <c r="O454" s="169">
        <f t="shared" si="269"/>
        <v>0</v>
      </c>
      <c r="P454" s="16"/>
      <c r="Q454" s="16"/>
      <c r="R454" s="16"/>
      <c r="S454" s="16"/>
      <c r="T454" s="16"/>
      <c r="U454" s="16"/>
    </row>
    <row r="455" spans="1:21" s="30" customFormat="1">
      <c r="A455" s="13" t="s">
        <v>92</v>
      </c>
      <c r="B455" s="25" t="s">
        <v>69</v>
      </c>
      <c r="C455" s="26" t="s">
        <v>71</v>
      </c>
      <c r="D455" s="26" t="s">
        <v>65</v>
      </c>
      <c r="E455" s="26" t="s">
        <v>701</v>
      </c>
      <c r="F455" s="26" t="s">
        <v>138</v>
      </c>
      <c r="G455" s="27">
        <f>G456</f>
        <v>250000</v>
      </c>
      <c r="H455" s="27">
        <f t="shared" ref="H455:I455" si="309">H456</f>
        <v>0</v>
      </c>
      <c r="I455" s="27">
        <f t="shared" si="309"/>
        <v>0</v>
      </c>
      <c r="J455" s="16">
        <f>'БА в тыс. руб.'!G455*1000</f>
        <v>250000</v>
      </c>
      <c r="K455" s="169">
        <f t="shared" si="267"/>
        <v>0</v>
      </c>
      <c r="L455" s="16">
        <f>'БА в тыс. руб.'!H455*1000</f>
        <v>0</v>
      </c>
      <c r="M455" s="169">
        <f t="shared" si="268"/>
        <v>0</v>
      </c>
      <c r="N455" s="16">
        <f>'БА в тыс. руб.'!I455*1000</f>
        <v>0</v>
      </c>
      <c r="O455" s="169">
        <f t="shared" si="269"/>
        <v>0</v>
      </c>
      <c r="P455" s="16"/>
      <c r="Q455" s="16"/>
      <c r="R455" s="16"/>
      <c r="S455" s="16"/>
      <c r="T455" s="16"/>
      <c r="U455" s="16"/>
    </row>
    <row r="456" spans="1:21" s="83" customFormat="1">
      <c r="A456" s="12" t="s">
        <v>1016</v>
      </c>
      <c r="B456" s="25" t="s">
        <v>69</v>
      </c>
      <c r="C456" s="26" t="s">
        <v>71</v>
      </c>
      <c r="D456" s="26" t="s">
        <v>65</v>
      </c>
      <c r="E456" s="26" t="s">
        <v>701</v>
      </c>
      <c r="F456" s="26" t="s">
        <v>1046</v>
      </c>
      <c r="G456" s="27">
        <f t="shared" ref="G456" si="310">J456</f>
        <v>250000</v>
      </c>
      <c r="H456" s="27">
        <f>L456</f>
        <v>0</v>
      </c>
      <c r="I456" s="27">
        <f>N456</f>
        <v>0</v>
      </c>
      <c r="J456" s="16">
        <f>'БА в тыс. руб.'!G456*1000</f>
        <v>250000</v>
      </c>
      <c r="K456" s="169">
        <f t="shared" ref="K456:K519" si="311">J456-G456</f>
        <v>0</v>
      </c>
      <c r="L456" s="16">
        <f>'БА в тыс. руб.'!H456*1000</f>
        <v>0</v>
      </c>
      <c r="M456" s="169">
        <f t="shared" ref="M456:M519" si="312">L456-H456</f>
        <v>0</v>
      </c>
      <c r="N456" s="16">
        <f>'БА в тыс. руб.'!I456*1000</f>
        <v>0</v>
      </c>
      <c r="O456" s="169">
        <f t="shared" ref="O456:O519" si="313">N456-I456</f>
        <v>0</v>
      </c>
      <c r="P456" s="16"/>
      <c r="Q456" s="16"/>
      <c r="R456" s="16"/>
      <c r="S456" s="16"/>
      <c r="T456" s="16"/>
      <c r="U456" s="16"/>
    </row>
    <row r="457" spans="1:21" s="30" customFormat="1" ht="63.75">
      <c r="A457" s="11" t="s">
        <v>756</v>
      </c>
      <c r="B457" s="25" t="s">
        <v>69</v>
      </c>
      <c r="C457" s="26" t="s">
        <v>71</v>
      </c>
      <c r="D457" s="26" t="s">
        <v>65</v>
      </c>
      <c r="E457" s="26" t="s">
        <v>339</v>
      </c>
      <c r="F457" s="26" t="s">
        <v>58</v>
      </c>
      <c r="G457" s="27">
        <f t="shared" ref="G457:I459" si="314">G458</f>
        <v>4259570</v>
      </c>
      <c r="H457" s="27">
        <f t="shared" si="314"/>
        <v>3895640</v>
      </c>
      <c r="I457" s="27">
        <f t="shared" si="314"/>
        <v>3895640</v>
      </c>
      <c r="J457" s="16">
        <f>'БА в тыс. руб.'!G457*1000</f>
        <v>4259570</v>
      </c>
      <c r="K457" s="169">
        <f t="shared" si="311"/>
        <v>0</v>
      </c>
      <c r="L457" s="16">
        <f>'БА в тыс. руб.'!H457*1000</f>
        <v>3895640</v>
      </c>
      <c r="M457" s="169">
        <f t="shared" si="312"/>
        <v>0</v>
      </c>
      <c r="N457" s="16">
        <f>'БА в тыс. руб.'!I457*1000</f>
        <v>3895640</v>
      </c>
      <c r="O457" s="169">
        <f t="shared" si="313"/>
        <v>0</v>
      </c>
      <c r="P457" s="16"/>
      <c r="Q457" s="16"/>
      <c r="R457" s="16"/>
      <c r="S457" s="16"/>
      <c r="T457" s="16"/>
      <c r="U457" s="16"/>
    </row>
    <row r="458" spans="1:21" s="30" customFormat="1" ht="25.5">
      <c r="A458" s="11" t="s">
        <v>136</v>
      </c>
      <c r="B458" s="25" t="s">
        <v>69</v>
      </c>
      <c r="C458" s="26" t="s">
        <v>71</v>
      </c>
      <c r="D458" s="26" t="s">
        <v>65</v>
      </c>
      <c r="E458" s="26" t="s">
        <v>340</v>
      </c>
      <c r="F458" s="26" t="s">
        <v>58</v>
      </c>
      <c r="G458" s="27">
        <f t="shared" si="314"/>
        <v>4259570</v>
      </c>
      <c r="H458" s="27">
        <f t="shared" si="314"/>
        <v>3895640</v>
      </c>
      <c r="I458" s="27">
        <f t="shared" si="314"/>
        <v>3895640</v>
      </c>
      <c r="J458" s="16">
        <f>'БА в тыс. руб.'!G458*1000</f>
        <v>4259570</v>
      </c>
      <c r="K458" s="169">
        <f t="shared" si="311"/>
        <v>0</v>
      </c>
      <c r="L458" s="16">
        <f>'БА в тыс. руб.'!H458*1000</f>
        <v>3895640</v>
      </c>
      <c r="M458" s="169">
        <f t="shared" si="312"/>
        <v>0</v>
      </c>
      <c r="N458" s="16">
        <f>'БА в тыс. руб.'!I458*1000</f>
        <v>3895640</v>
      </c>
      <c r="O458" s="169">
        <f t="shared" si="313"/>
        <v>0</v>
      </c>
      <c r="P458" s="16"/>
      <c r="Q458" s="16"/>
      <c r="R458" s="16"/>
      <c r="S458" s="16"/>
      <c r="T458" s="16"/>
      <c r="U458" s="16"/>
    </row>
    <row r="459" spans="1:21" s="30" customFormat="1" ht="25.5">
      <c r="A459" s="11" t="s">
        <v>667</v>
      </c>
      <c r="B459" s="25" t="s">
        <v>69</v>
      </c>
      <c r="C459" s="26" t="s">
        <v>71</v>
      </c>
      <c r="D459" s="26" t="s">
        <v>65</v>
      </c>
      <c r="E459" s="26" t="s">
        <v>609</v>
      </c>
      <c r="F459" s="26" t="s">
        <v>58</v>
      </c>
      <c r="G459" s="27">
        <f t="shared" si="314"/>
        <v>4259570</v>
      </c>
      <c r="H459" s="27">
        <f t="shared" si="314"/>
        <v>3895640</v>
      </c>
      <c r="I459" s="27">
        <f t="shared" si="314"/>
        <v>3895640</v>
      </c>
      <c r="J459" s="16">
        <f>'БА в тыс. руб.'!G459*1000</f>
        <v>4259570</v>
      </c>
      <c r="K459" s="169">
        <f t="shared" si="311"/>
        <v>0</v>
      </c>
      <c r="L459" s="16">
        <f>'БА в тыс. руб.'!H459*1000</f>
        <v>3895640</v>
      </c>
      <c r="M459" s="169">
        <f t="shared" si="312"/>
        <v>0</v>
      </c>
      <c r="N459" s="16">
        <f>'БА в тыс. руб.'!I459*1000</f>
        <v>3895640</v>
      </c>
      <c r="O459" s="169">
        <f t="shared" si="313"/>
        <v>0</v>
      </c>
      <c r="P459" s="16"/>
      <c r="Q459" s="16"/>
      <c r="R459" s="16"/>
      <c r="S459" s="16"/>
      <c r="T459" s="16"/>
      <c r="U459" s="16"/>
    </row>
    <row r="460" spans="1:21" s="30" customFormat="1" ht="38.25">
      <c r="A460" s="11" t="s">
        <v>177</v>
      </c>
      <c r="B460" s="25" t="s">
        <v>69</v>
      </c>
      <c r="C460" s="26" t="s">
        <v>71</v>
      </c>
      <c r="D460" s="26" t="s">
        <v>65</v>
      </c>
      <c r="E460" s="26" t="s">
        <v>610</v>
      </c>
      <c r="F460" s="26" t="s">
        <v>58</v>
      </c>
      <c r="G460" s="27">
        <f>G461+G463</f>
        <v>4259570</v>
      </c>
      <c r="H460" s="27">
        <f t="shared" ref="H460:I460" si="315">H461+H463</f>
        <v>3895640</v>
      </c>
      <c r="I460" s="27">
        <f t="shared" si="315"/>
        <v>3895640</v>
      </c>
      <c r="J460" s="16">
        <f>'БА в тыс. руб.'!G460*1000</f>
        <v>4259570</v>
      </c>
      <c r="K460" s="169">
        <f t="shared" si="311"/>
        <v>0</v>
      </c>
      <c r="L460" s="16">
        <f>'БА в тыс. руб.'!H460*1000</f>
        <v>3895640</v>
      </c>
      <c r="M460" s="169">
        <f t="shared" si="312"/>
        <v>0</v>
      </c>
      <c r="N460" s="16">
        <f>'БА в тыс. руб.'!I460*1000</f>
        <v>3895640</v>
      </c>
      <c r="O460" s="169">
        <f t="shared" si="313"/>
        <v>0</v>
      </c>
      <c r="P460" s="16"/>
      <c r="Q460" s="16"/>
      <c r="R460" s="16"/>
      <c r="S460" s="16"/>
      <c r="T460" s="16"/>
      <c r="U460" s="16"/>
    </row>
    <row r="461" spans="1:21" s="30" customFormat="1">
      <c r="A461" s="13" t="s">
        <v>92</v>
      </c>
      <c r="B461" s="25" t="s">
        <v>69</v>
      </c>
      <c r="C461" s="26" t="s">
        <v>71</v>
      </c>
      <c r="D461" s="26" t="s">
        <v>65</v>
      </c>
      <c r="E461" s="26" t="s">
        <v>610</v>
      </c>
      <c r="F461" s="26" t="s">
        <v>138</v>
      </c>
      <c r="G461" s="27">
        <f>G462</f>
        <v>4161069.9999999995</v>
      </c>
      <c r="H461" s="27">
        <f t="shared" ref="H461:I461" si="316">H462</f>
        <v>3797140</v>
      </c>
      <c r="I461" s="27">
        <f t="shared" si="316"/>
        <v>3797140</v>
      </c>
      <c r="J461" s="16">
        <f>'БА в тыс. руб.'!G461*1000</f>
        <v>4161069.9999999995</v>
      </c>
      <c r="K461" s="169">
        <f t="shared" si="311"/>
        <v>0</v>
      </c>
      <c r="L461" s="16">
        <f>'БА в тыс. руб.'!H461*1000</f>
        <v>3797140</v>
      </c>
      <c r="M461" s="169">
        <f t="shared" si="312"/>
        <v>0</v>
      </c>
      <c r="N461" s="16">
        <f>'БА в тыс. руб.'!I461*1000</f>
        <v>3797140</v>
      </c>
      <c r="O461" s="169">
        <f t="shared" si="313"/>
        <v>0</v>
      </c>
      <c r="P461" s="16"/>
      <c r="Q461" s="16"/>
      <c r="R461" s="16"/>
      <c r="S461" s="16"/>
      <c r="T461" s="16"/>
      <c r="U461" s="16"/>
    </row>
    <row r="462" spans="1:21" s="83" customFormat="1">
      <c r="A462" s="12" t="s">
        <v>1016</v>
      </c>
      <c r="B462" s="25" t="s">
        <v>69</v>
      </c>
      <c r="C462" s="26" t="s">
        <v>71</v>
      </c>
      <c r="D462" s="26" t="s">
        <v>65</v>
      </c>
      <c r="E462" s="26" t="s">
        <v>610</v>
      </c>
      <c r="F462" s="26" t="s">
        <v>1046</v>
      </c>
      <c r="G462" s="27">
        <f t="shared" ref="G462" si="317">J462</f>
        <v>4161069.9999999995</v>
      </c>
      <c r="H462" s="27">
        <f>L462</f>
        <v>3797140</v>
      </c>
      <c r="I462" s="27">
        <f>N462</f>
        <v>3797140</v>
      </c>
      <c r="J462" s="16">
        <f>'БА в тыс. руб.'!G462*1000</f>
        <v>4161069.9999999995</v>
      </c>
      <c r="K462" s="169">
        <f t="shared" si="311"/>
        <v>0</v>
      </c>
      <c r="L462" s="16">
        <f>'БА в тыс. руб.'!H462*1000</f>
        <v>3797140</v>
      </c>
      <c r="M462" s="169">
        <f t="shared" si="312"/>
        <v>0</v>
      </c>
      <c r="N462" s="16">
        <f>'БА в тыс. руб.'!I462*1000</f>
        <v>3797140</v>
      </c>
      <c r="O462" s="169">
        <f t="shared" si="313"/>
        <v>0</v>
      </c>
      <c r="P462" s="16"/>
      <c r="Q462" s="16"/>
      <c r="R462" s="16"/>
      <c r="S462" s="16"/>
      <c r="T462" s="16"/>
      <c r="U462" s="16"/>
    </row>
    <row r="463" spans="1:21" s="30" customFormat="1">
      <c r="A463" s="13" t="s">
        <v>93</v>
      </c>
      <c r="B463" s="25" t="s">
        <v>69</v>
      </c>
      <c r="C463" s="26" t="s">
        <v>71</v>
      </c>
      <c r="D463" s="26" t="s">
        <v>65</v>
      </c>
      <c r="E463" s="26" t="s">
        <v>610</v>
      </c>
      <c r="F463" s="26" t="s">
        <v>20</v>
      </c>
      <c r="G463" s="27">
        <f>G464</f>
        <v>98500</v>
      </c>
      <c r="H463" s="27">
        <f t="shared" ref="H463:I463" si="318">H464</f>
        <v>98500</v>
      </c>
      <c r="I463" s="27">
        <f t="shared" si="318"/>
        <v>98500</v>
      </c>
      <c r="J463" s="16">
        <f>'БА в тыс. руб.'!G463*1000</f>
        <v>98500</v>
      </c>
      <c r="K463" s="169">
        <f t="shared" si="311"/>
        <v>0</v>
      </c>
      <c r="L463" s="16">
        <f>'БА в тыс. руб.'!H463*1000</f>
        <v>98500</v>
      </c>
      <c r="M463" s="169">
        <f t="shared" si="312"/>
        <v>0</v>
      </c>
      <c r="N463" s="16">
        <f>'БА в тыс. руб.'!I463*1000</f>
        <v>98500</v>
      </c>
      <c r="O463" s="169">
        <f t="shared" si="313"/>
        <v>0</v>
      </c>
      <c r="P463" s="16"/>
      <c r="Q463" s="16"/>
      <c r="R463" s="16"/>
      <c r="S463" s="16"/>
      <c r="T463" s="16"/>
      <c r="U463" s="16"/>
    </row>
    <row r="464" spans="1:21" s="83" customFormat="1">
      <c r="A464" s="12" t="s">
        <v>1019</v>
      </c>
      <c r="B464" s="25" t="s">
        <v>69</v>
      </c>
      <c r="C464" s="26" t="s">
        <v>71</v>
      </c>
      <c r="D464" s="26" t="s">
        <v>65</v>
      </c>
      <c r="E464" s="26" t="s">
        <v>610</v>
      </c>
      <c r="F464" s="26" t="s">
        <v>1054</v>
      </c>
      <c r="G464" s="27">
        <f t="shared" ref="G464" si="319">J464</f>
        <v>98500</v>
      </c>
      <c r="H464" s="27">
        <f>L464</f>
        <v>98500</v>
      </c>
      <c r="I464" s="27">
        <f>N464</f>
        <v>98500</v>
      </c>
      <c r="J464" s="16">
        <f>'БА в тыс. руб.'!G464*1000</f>
        <v>98500</v>
      </c>
      <c r="K464" s="169">
        <f t="shared" si="311"/>
        <v>0</v>
      </c>
      <c r="L464" s="16">
        <f>'БА в тыс. руб.'!H464*1000</f>
        <v>98500</v>
      </c>
      <c r="M464" s="169">
        <f t="shared" si="312"/>
        <v>0</v>
      </c>
      <c r="N464" s="16">
        <f>'БА в тыс. руб.'!I464*1000</f>
        <v>98500</v>
      </c>
      <c r="O464" s="169">
        <f t="shared" si="313"/>
        <v>0</v>
      </c>
      <c r="P464" s="16"/>
      <c r="Q464" s="16"/>
      <c r="R464" s="16"/>
      <c r="S464" s="16"/>
      <c r="T464" s="16"/>
      <c r="U464" s="16"/>
    </row>
    <row r="465" spans="1:21" s="30" customFormat="1" ht="25.5">
      <c r="A465" s="11" t="s">
        <v>757</v>
      </c>
      <c r="B465" s="25" t="s">
        <v>69</v>
      </c>
      <c r="C465" s="26" t="s">
        <v>71</v>
      </c>
      <c r="D465" s="26" t="s">
        <v>65</v>
      </c>
      <c r="E465" s="26" t="s">
        <v>342</v>
      </c>
      <c r="F465" s="26" t="s">
        <v>58</v>
      </c>
      <c r="G465" s="27">
        <f t="shared" ref="G465:I466" si="320">G466</f>
        <v>0</v>
      </c>
      <c r="H465" s="27">
        <f t="shared" si="320"/>
        <v>5077740</v>
      </c>
      <c r="I465" s="27">
        <f t="shared" si="320"/>
        <v>5077740</v>
      </c>
      <c r="J465" s="16">
        <f>'БА в тыс. руб.'!G465*1000</f>
        <v>0</v>
      </c>
      <c r="K465" s="169">
        <f t="shared" si="311"/>
        <v>0</v>
      </c>
      <c r="L465" s="16">
        <f>'БА в тыс. руб.'!H465*1000</f>
        <v>5077740</v>
      </c>
      <c r="M465" s="169">
        <f t="shared" si="312"/>
        <v>0</v>
      </c>
      <c r="N465" s="16">
        <f>'БА в тыс. руб.'!I465*1000</f>
        <v>5077740</v>
      </c>
      <c r="O465" s="169">
        <f t="shared" si="313"/>
        <v>0</v>
      </c>
      <c r="P465" s="16"/>
      <c r="Q465" s="16"/>
      <c r="R465" s="16"/>
      <c r="S465" s="16"/>
      <c r="T465" s="16"/>
      <c r="U465" s="16"/>
    </row>
    <row r="466" spans="1:21" s="30" customFormat="1" ht="38.25">
      <c r="A466" s="34" t="s">
        <v>758</v>
      </c>
      <c r="B466" s="25" t="s">
        <v>69</v>
      </c>
      <c r="C466" s="26" t="s">
        <v>71</v>
      </c>
      <c r="D466" s="26" t="s">
        <v>65</v>
      </c>
      <c r="E466" s="26" t="s">
        <v>343</v>
      </c>
      <c r="F466" s="26" t="s">
        <v>58</v>
      </c>
      <c r="G466" s="27">
        <f t="shared" si="320"/>
        <v>0</v>
      </c>
      <c r="H466" s="27">
        <f t="shared" si="320"/>
        <v>5077740</v>
      </c>
      <c r="I466" s="27">
        <f t="shared" si="320"/>
        <v>5077740</v>
      </c>
      <c r="J466" s="16">
        <f>'БА в тыс. руб.'!G466*1000</f>
        <v>0</v>
      </c>
      <c r="K466" s="169">
        <f t="shared" si="311"/>
        <v>0</v>
      </c>
      <c r="L466" s="16">
        <f>'БА в тыс. руб.'!H466*1000</f>
        <v>5077740</v>
      </c>
      <c r="M466" s="169">
        <f t="shared" si="312"/>
        <v>0</v>
      </c>
      <c r="N466" s="16">
        <f>'БА в тыс. руб.'!I466*1000</f>
        <v>5077740</v>
      </c>
      <c r="O466" s="169">
        <f t="shared" si="313"/>
        <v>0</v>
      </c>
      <c r="P466" s="16"/>
      <c r="Q466" s="16"/>
      <c r="R466" s="16"/>
      <c r="S466" s="16"/>
      <c r="T466" s="16"/>
      <c r="U466" s="16"/>
    </row>
    <row r="467" spans="1:21" s="30" customFormat="1" ht="25.5">
      <c r="A467" s="11" t="s">
        <v>344</v>
      </c>
      <c r="B467" s="25" t="s">
        <v>69</v>
      </c>
      <c r="C467" s="26" t="s">
        <v>71</v>
      </c>
      <c r="D467" s="26" t="s">
        <v>65</v>
      </c>
      <c r="E467" s="26" t="s">
        <v>345</v>
      </c>
      <c r="F467" s="26" t="s">
        <v>58</v>
      </c>
      <c r="G467" s="27">
        <f>G469</f>
        <v>0</v>
      </c>
      <c r="H467" s="27">
        <f>H469</f>
        <v>5077740</v>
      </c>
      <c r="I467" s="27">
        <f>I469</f>
        <v>5077740</v>
      </c>
      <c r="J467" s="16">
        <f>'БА в тыс. руб.'!G467*1000</f>
        <v>0</v>
      </c>
      <c r="K467" s="169">
        <f t="shared" si="311"/>
        <v>0</v>
      </c>
      <c r="L467" s="16">
        <f>'БА в тыс. руб.'!H467*1000</f>
        <v>5077740</v>
      </c>
      <c r="M467" s="169">
        <f t="shared" si="312"/>
        <v>0</v>
      </c>
      <c r="N467" s="16">
        <f>'БА в тыс. руб.'!I467*1000</f>
        <v>5077740</v>
      </c>
      <c r="O467" s="169">
        <f t="shared" si="313"/>
        <v>0</v>
      </c>
      <c r="P467" s="16"/>
      <c r="Q467" s="16"/>
      <c r="R467" s="16"/>
      <c r="S467" s="16"/>
      <c r="T467" s="16"/>
      <c r="U467" s="16"/>
    </row>
    <row r="468" spans="1:21" s="30" customFormat="1" ht="25.5">
      <c r="A468" s="13" t="s">
        <v>174</v>
      </c>
      <c r="B468" s="25" t="s">
        <v>69</v>
      </c>
      <c r="C468" s="26" t="s">
        <v>71</v>
      </c>
      <c r="D468" s="26" t="s">
        <v>65</v>
      </c>
      <c r="E468" s="26" t="s">
        <v>346</v>
      </c>
      <c r="F468" s="26" t="s">
        <v>58</v>
      </c>
      <c r="G468" s="27">
        <f>G469</f>
        <v>0</v>
      </c>
      <c r="H468" s="27">
        <f>H469</f>
        <v>5077740</v>
      </c>
      <c r="I468" s="27">
        <f>I469</f>
        <v>5077740</v>
      </c>
      <c r="J468" s="16">
        <f>'БА в тыс. руб.'!G468*1000</f>
        <v>0</v>
      </c>
      <c r="K468" s="169">
        <f t="shared" si="311"/>
        <v>0</v>
      </c>
      <c r="L468" s="16">
        <f>'БА в тыс. руб.'!H468*1000</f>
        <v>5077740</v>
      </c>
      <c r="M468" s="169">
        <f t="shared" si="312"/>
        <v>0</v>
      </c>
      <c r="N468" s="16">
        <f>'БА в тыс. руб.'!I468*1000</f>
        <v>5077740</v>
      </c>
      <c r="O468" s="169">
        <f t="shared" si="313"/>
        <v>0</v>
      </c>
      <c r="P468" s="16"/>
      <c r="Q468" s="16"/>
      <c r="R468" s="16"/>
      <c r="S468" s="16"/>
      <c r="T468" s="16"/>
      <c r="U468" s="16"/>
    </row>
    <row r="469" spans="1:21" s="30" customFormat="1">
      <c r="A469" s="13" t="s">
        <v>92</v>
      </c>
      <c r="B469" s="25" t="s">
        <v>69</v>
      </c>
      <c r="C469" s="26" t="s">
        <v>71</v>
      </c>
      <c r="D469" s="26" t="s">
        <v>65</v>
      </c>
      <c r="E469" s="26" t="s">
        <v>346</v>
      </c>
      <c r="F469" s="26" t="s">
        <v>138</v>
      </c>
      <c r="G469" s="27">
        <f>G470</f>
        <v>0</v>
      </c>
      <c r="H469" s="27">
        <f t="shared" ref="H469:I469" si="321">H470</f>
        <v>5077740</v>
      </c>
      <c r="I469" s="27">
        <f t="shared" si="321"/>
        <v>5077740</v>
      </c>
      <c r="J469" s="16">
        <f>'БА в тыс. руб.'!G469*1000</f>
        <v>0</v>
      </c>
      <c r="K469" s="169">
        <f t="shared" si="311"/>
        <v>0</v>
      </c>
      <c r="L469" s="16">
        <f>'БА в тыс. руб.'!H469*1000</f>
        <v>5077740</v>
      </c>
      <c r="M469" s="169">
        <f t="shared" si="312"/>
        <v>0</v>
      </c>
      <c r="N469" s="16">
        <f>'БА в тыс. руб.'!I469*1000</f>
        <v>5077740</v>
      </c>
      <c r="O469" s="169">
        <f t="shared" si="313"/>
        <v>0</v>
      </c>
      <c r="P469" s="16"/>
      <c r="Q469" s="16"/>
      <c r="R469" s="16"/>
      <c r="S469" s="16"/>
      <c r="T469" s="16"/>
      <c r="U469" s="16"/>
    </row>
    <row r="470" spans="1:21" s="83" customFormat="1">
      <c r="A470" s="12" t="s">
        <v>1016</v>
      </c>
      <c r="B470" s="25" t="s">
        <v>69</v>
      </c>
      <c r="C470" s="26" t="s">
        <v>71</v>
      </c>
      <c r="D470" s="26" t="s">
        <v>65</v>
      </c>
      <c r="E470" s="26" t="s">
        <v>346</v>
      </c>
      <c r="F470" s="26" t="s">
        <v>1046</v>
      </c>
      <c r="G470" s="27">
        <f t="shared" ref="G470" si="322">J470</f>
        <v>0</v>
      </c>
      <c r="H470" s="27">
        <f>L470</f>
        <v>5077740</v>
      </c>
      <c r="I470" s="27">
        <f>N470</f>
        <v>5077740</v>
      </c>
      <c r="J470" s="16">
        <f>'БА в тыс. руб.'!G470*1000</f>
        <v>0</v>
      </c>
      <c r="K470" s="169">
        <f t="shared" si="311"/>
        <v>0</v>
      </c>
      <c r="L470" s="16">
        <f>'БА в тыс. руб.'!H470*1000</f>
        <v>5077740</v>
      </c>
      <c r="M470" s="169">
        <f t="shared" si="312"/>
        <v>0</v>
      </c>
      <c r="N470" s="16">
        <f>'БА в тыс. руб.'!I470*1000</f>
        <v>5077740</v>
      </c>
      <c r="O470" s="169">
        <f t="shared" si="313"/>
        <v>0</v>
      </c>
      <c r="P470" s="16"/>
      <c r="Q470" s="16"/>
      <c r="R470" s="16"/>
      <c r="S470" s="16"/>
      <c r="T470" s="16"/>
      <c r="U470" s="16"/>
    </row>
    <row r="471" spans="1:21" s="30" customFormat="1">
      <c r="A471" s="21" t="s">
        <v>61</v>
      </c>
      <c r="B471" s="22" t="s">
        <v>69</v>
      </c>
      <c r="C471" s="23" t="s">
        <v>71</v>
      </c>
      <c r="D471" s="23" t="s">
        <v>66</v>
      </c>
      <c r="E471" s="23" t="s">
        <v>196</v>
      </c>
      <c r="F471" s="23" t="s">
        <v>58</v>
      </c>
      <c r="G471" s="24">
        <f>G472+G505+G516+G524</f>
        <v>1639816010</v>
      </c>
      <c r="H471" s="24">
        <f>H472+H505+H516+H524</f>
        <v>1476120720</v>
      </c>
      <c r="I471" s="24">
        <f>I472+I505+I516+I524</f>
        <v>1563261200</v>
      </c>
      <c r="J471" s="16">
        <f>'БА в тыс. руб.'!G471*1000</f>
        <v>1639816010</v>
      </c>
      <c r="K471" s="169">
        <f t="shared" si="311"/>
        <v>0</v>
      </c>
      <c r="L471" s="16">
        <f>'БА в тыс. руб.'!H471*1000</f>
        <v>1476120720.0000002</v>
      </c>
      <c r="M471" s="169">
        <f t="shared" si="312"/>
        <v>0</v>
      </c>
      <c r="N471" s="16">
        <f>'БА в тыс. руб.'!I471*1000</f>
        <v>1563261200.0000002</v>
      </c>
      <c r="O471" s="169">
        <f t="shared" si="313"/>
        <v>0</v>
      </c>
      <c r="P471" s="16"/>
      <c r="Q471" s="16"/>
      <c r="R471" s="16"/>
      <c r="S471" s="16"/>
      <c r="T471" s="16"/>
      <c r="U471" s="16"/>
    </row>
    <row r="472" spans="1:21" s="30" customFormat="1" ht="25.5">
      <c r="A472" s="13" t="s">
        <v>723</v>
      </c>
      <c r="B472" s="25" t="s">
        <v>69</v>
      </c>
      <c r="C472" s="26" t="s">
        <v>71</v>
      </c>
      <c r="D472" s="26" t="s">
        <v>66</v>
      </c>
      <c r="E472" s="26" t="s">
        <v>331</v>
      </c>
      <c r="F472" s="26" t="s">
        <v>58</v>
      </c>
      <c r="G472" s="27">
        <f>G473+G500</f>
        <v>1634402450</v>
      </c>
      <c r="H472" s="27">
        <f>H473+H500</f>
        <v>1471240910</v>
      </c>
      <c r="I472" s="27">
        <f>I473+I500</f>
        <v>1558381390</v>
      </c>
      <c r="J472" s="16">
        <f>'БА в тыс. руб.'!G472*1000</f>
        <v>1634402450</v>
      </c>
      <c r="K472" s="169">
        <f t="shared" si="311"/>
        <v>0</v>
      </c>
      <c r="L472" s="16">
        <f>'БА в тыс. руб.'!H472*1000</f>
        <v>1471240910.0000002</v>
      </c>
      <c r="M472" s="169">
        <f t="shared" si="312"/>
        <v>0</v>
      </c>
      <c r="N472" s="16">
        <f>'БА в тыс. руб.'!I472*1000</f>
        <v>1558381390.0000002</v>
      </c>
      <c r="O472" s="169">
        <f t="shared" si="313"/>
        <v>0</v>
      </c>
      <c r="P472" s="16"/>
      <c r="Q472" s="16"/>
      <c r="R472" s="16"/>
      <c r="S472" s="16"/>
      <c r="T472" s="16"/>
      <c r="U472" s="16"/>
    </row>
    <row r="473" spans="1:21" s="30" customFormat="1" ht="25.5">
      <c r="A473" s="13" t="s">
        <v>860</v>
      </c>
      <c r="B473" s="25" t="s">
        <v>69</v>
      </c>
      <c r="C473" s="26" t="s">
        <v>71</v>
      </c>
      <c r="D473" s="26" t="s">
        <v>66</v>
      </c>
      <c r="E473" s="26" t="s">
        <v>332</v>
      </c>
      <c r="F473" s="26" t="s">
        <v>58</v>
      </c>
      <c r="G473" s="27">
        <f>G474+G496</f>
        <v>1630682450</v>
      </c>
      <c r="H473" s="27">
        <f>H474+H496</f>
        <v>1464421290</v>
      </c>
      <c r="I473" s="27">
        <f>I474+I496</f>
        <v>1558381390</v>
      </c>
      <c r="J473" s="16">
        <f>'БА в тыс. руб.'!G473*1000</f>
        <v>1630682450</v>
      </c>
      <c r="K473" s="169">
        <f t="shared" si="311"/>
        <v>0</v>
      </c>
      <c r="L473" s="16">
        <f>'БА в тыс. руб.'!H473*1000</f>
        <v>1464421290</v>
      </c>
      <c r="M473" s="169">
        <f t="shared" si="312"/>
        <v>0</v>
      </c>
      <c r="N473" s="16">
        <f>'БА в тыс. руб.'!I473*1000</f>
        <v>1558381390.0000002</v>
      </c>
      <c r="O473" s="169">
        <f t="shared" si="313"/>
        <v>0</v>
      </c>
      <c r="P473" s="16"/>
      <c r="Q473" s="16"/>
      <c r="R473" s="16"/>
      <c r="S473" s="16"/>
      <c r="T473" s="16"/>
      <c r="U473" s="16"/>
    </row>
    <row r="474" spans="1:21" s="30" customFormat="1" ht="38.25">
      <c r="A474" s="13" t="s">
        <v>663</v>
      </c>
      <c r="B474" s="25" t="s">
        <v>69</v>
      </c>
      <c r="C474" s="26" t="s">
        <v>71</v>
      </c>
      <c r="D474" s="26" t="s">
        <v>66</v>
      </c>
      <c r="E474" s="26" t="s">
        <v>347</v>
      </c>
      <c r="F474" s="26" t="s">
        <v>58</v>
      </c>
      <c r="G474" s="27">
        <f>G475+G486</f>
        <v>1619344250</v>
      </c>
      <c r="H474" s="27">
        <f>H475+H486</f>
        <v>1460421290</v>
      </c>
      <c r="I474" s="27">
        <f>I475+I486</f>
        <v>1554381390</v>
      </c>
      <c r="J474" s="16">
        <f>'БА в тыс. руб.'!G474*1000</f>
        <v>1619344250</v>
      </c>
      <c r="K474" s="169">
        <f t="shared" si="311"/>
        <v>0</v>
      </c>
      <c r="L474" s="16">
        <f>'БА в тыс. руб.'!H474*1000</f>
        <v>1460421290</v>
      </c>
      <c r="M474" s="169">
        <f t="shared" si="312"/>
        <v>0</v>
      </c>
      <c r="N474" s="16">
        <f>'БА в тыс. руб.'!I474*1000</f>
        <v>1554381390.0000002</v>
      </c>
      <c r="O474" s="169">
        <f t="shared" si="313"/>
        <v>0</v>
      </c>
      <c r="P474" s="16"/>
      <c r="Q474" s="16"/>
      <c r="R474" s="16"/>
      <c r="S474" s="16"/>
      <c r="T474" s="16"/>
      <c r="U474" s="16"/>
    </row>
    <row r="475" spans="1:21" s="30" customFormat="1" ht="25.5">
      <c r="A475" s="13" t="s">
        <v>247</v>
      </c>
      <c r="B475" s="25" t="s">
        <v>69</v>
      </c>
      <c r="C475" s="26" t="s">
        <v>71</v>
      </c>
      <c r="D475" s="26" t="s">
        <v>66</v>
      </c>
      <c r="E475" s="26" t="s">
        <v>348</v>
      </c>
      <c r="F475" s="26" t="s">
        <v>58</v>
      </c>
      <c r="G475" s="27">
        <f>G476+G479+G481+G484</f>
        <v>529533960</v>
      </c>
      <c r="H475" s="27">
        <f>H476+H479+H481+H484</f>
        <v>533711880</v>
      </c>
      <c r="I475" s="27">
        <f>I476+I479+I481+I484</f>
        <v>533711880</v>
      </c>
      <c r="J475" s="16">
        <f>'БА в тыс. руб.'!G475*1000</f>
        <v>529533959.99999994</v>
      </c>
      <c r="K475" s="169">
        <f t="shared" si="311"/>
        <v>0</v>
      </c>
      <c r="L475" s="16">
        <f>'БА в тыс. руб.'!H475*1000</f>
        <v>533711880</v>
      </c>
      <c r="M475" s="169">
        <f t="shared" si="312"/>
        <v>0</v>
      </c>
      <c r="N475" s="16">
        <f>'БА в тыс. руб.'!I475*1000</f>
        <v>533711880</v>
      </c>
      <c r="O475" s="169">
        <f t="shared" si="313"/>
        <v>0</v>
      </c>
      <c r="P475" s="16"/>
      <c r="Q475" s="16"/>
      <c r="R475" s="16"/>
      <c r="S475" s="16"/>
      <c r="T475" s="16"/>
      <c r="U475" s="16"/>
    </row>
    <row r="476" spans="1:21" s="30" customFormat="1">
      <c r="A476" s="13" t="s">
        <v>106</v>
      </c>
      <c r="B476" s="25" t="s">
        <v>69</v>
      </c>
      <c r="C476" s="26" t="s">
        <v>71</v>
      </c>
      <c r="D476" s="26" t="s">
        <v>66</v>
      </c>
      <c r="E476" s="26" t="s">
        <v>348</v>
      </c>
      <c r="F476" s="26" t="s">
        <v>121</v>
      </c>
      <c r="G476" s="27">
        <f>SUM(G477:G478)</f>
        <v>1601610</v>
      </c>
      <c r="H476" s="27">
        <f t="shared" ref="H476:I476" si="323">SUM(H477:H478)</f>
        <v>1601610</v>
      </c>
      <c r="I476" s="27">
        <f t="shared" si="323"/>
        <v>1601610</v>
      </c>
      <c r="J476" s="16">
        <f>'БА в тыс. руб.'!G476*1000</f>
        <v>1601610.0000000002</v>
      </c>
      <c r="K476" s="169">
        <f t="shared" si="311"/>
        <v>0</v>
      </c>
      <c r="L476" s="16">
        <f>'БА в тыс. руб.'!H476*1000</f>
        <v>1601610.0000000002</v>
      </c>
      <c r="M476" s="169">
        <f t="shared" si="312"/>
        <v>0</v>
      </c>
      <c r="N476" s="16">
        <f>'БА в тыс. руб.'!I476*1000</f>
        <v>1601610.0000000002</v>
      </c>
      <c r="O476" s="169">
        <f t="shared" si="313"/>
        <v>0</v>
      </c>
      <c r="P476" s="16"/>
      <c r="Q476" s="16"/>
      <c r="R476" s="16"/>
      <c r="S476" s="16"/>
      <c r="T476" s="16"/>
      <c r="U476" s="16"/>
    </row>
    <row r="477" spans="1:21" s="83" customFormat="1">
      <c r="A477" s="12" t="s">
        <v>932</v>
      </c>
      <c r="B477" s="25" t="s">
        <v>69</v>
      </c>
      <c r="C477" s="26" t="s">
        <v>71</v>
      </c>
      <c r="D477" s="26" t="s">
        <v>66</v>
      </c>
      <c r="E477" s="26" t="s">
        <v>348</v>
      </c>
      <c r="F477" s="26" t="s">
        <v>1056</v>
      </c>
      <c r="G477" s="27">
        <f t="shared" ref="G477:G478" si="324">J477</f>
        <v>1229440</v>
      </c>
      <c r="H477" s="27">
        <f t="shared" ref="H477:H478" si="325">L477</f>
        <v>1229440</v>
      </c>
      <c r="I477" s="27">
        <f t="shared" ref="I477:I478" si="326">N477</f>
        <v>1229440</v>
      </c>
      <c r="J477" s="16">
        <f>'БА в тыс. руб.'!G477*1000</f>
        <v>1229440</v>
      </c>
      <c r="K477" s="169">
        <f t="shared" si="311"/>
        <v>0</v>
      </c>
      <c r="L477" s="16">
        <f>'БА в тыс. руб.'!H477*1000</f>
        <v>1229440</v>
      </c>
      <c r="M477" s="169">
        <f t="shared" si="312"/>
        <v>0</v>
      </c>
      <c r="N477" s="16">
        <f>'БА в тыс. руб.'!I477*1000</f>
        <v>1229440</v>
      </c>
      <c r="O477" s="169">
        <f t="shared" si="313"/>
        <v>0</v>
      </c>
      <c r="P477" s="16"/>
      <c r="Q477" s="16"/>
      <c r="R477" s="16"/>
      <c r="S477" s="16"/>
      <c r="T477" s="16"/>
      <c r="U477" s="16"/>
    </row>
    <row r="478" spans="1:21" s="83" customFormat="1" ht="38.25">
      <c r="A478" s="12" t="s">
        <v>935</v>
      </c>
      <c r="B478" s="25" t="s">
        <v>69</v>
      </c>
      <c r="C478" s="26" t="s">
        <v>71</v>
      </c>
      <c r="D478" s="26" t="s">
        <v>66</v>
      </c>
      <c r="E478" s="26" t="s">
        <v>348</v>
      </c>
      <c r="F478" s="26" t="s">
        <v>1057</v>
      </c>
      <c r="G478" s="27">
        <f t="shared" si="324"/>
        <v>372170</v>
      </c>
      <c r="H478" s="27">
        <f t="shared" si="325"/>
        <v>372170</v>
      </c>
      <c r="I478" s="27">
        <f t="shared" si="326"/>
        <v>372170</v>
      </c>
      <c r="J478" s="16">
        <f>'БА в тыс. руб.'!G478*1000</f>
        <v>372170</v>
      </c>
      <c r="K478" s="169">
        <f t="shared" si="311"/>
        <v>0</v>
      </c>
      <c r="L478" s="16">
        <f>'БА в тыс. руб.'!H478*1000</f>
        <v>372170</v>
      </c>
      <c r="M478" s="169">
        <f t="shared" si="312"/>
        <v>0</v>
      </c>
      <c r="N478" s="16">
        <f>'БА в тыс. руб.'!I478*1000</f>
        <v>372170</v>
      </c>
      <c r="O478" s="169">
        <f t="shared" si="313"/>
        <v>0</v>
      </c>
      <c r="P478" s="16"/>
      <c r="Q478" s="16"/>
      <c r="R478" s="16"/>
      <c r="S478" s="16"/>
      <c r="T478" s="16"/>
      <c r="U478" s="16"/>
    </row>
    <row r="479" spans="1:21" s="30" customFormat="1" ht="25.5">
      <c r="A479" s="11" t="s">
        <v>108</v>
      </c>
      <c r="B479" s="25" t="s">
        <v>69</v>
      </c>
      <c r="C479" s="26" t="s">
        <v>71</v>
      </c>
      <c r="D479" s="26" t="s">
        <v>66</v>
      </c>
      <c r="E479" s="26" t="s">
        <v>348</v>
      </c>
      <c r="F479" s="26" t="s">
        <v>116</v>
      </c>
      <c r="G479" s="27">
        <f>G480</f>
        <v>70000</v>
      </c>
      <c r="H479" s="27">
        <f t="shared" ref="H479:I479" si="327">H480</f>
        <v>70000</v>
      </c>
      <c r="I479" s="27">
        <f t="shared" si="327"/>
        <v>70000</v>
      </c>
      <c r="J479" s="16">
        <f>'БА в тыс. руб.'!G479*1000</f>
        <v>70000</v>
      </c>
      <c r="K479" s="169">
        <f t="shared" si="311"/>
        <v>0</v>
      </c>
      <c r="L479" s="16">
        <f>'БА в тыс. руб.'!H479*1000</f>
        <v>70000</v>
      </c>
      <c r="M479" s="169">
        <f t="shared" si="312"/>
        <v>0</v>
      </c>
      <c r="N479" s="16">
        <f>'БА в тыс. руб.'!I479*1000</f>
        <v>70000</v>
      </c>
      <c r="O479" s="169">
        <f t="shared" si="313"/>
        <v>0</v>
      </c>
      <c r="P479" s="16"/>
      <c r="Q479" s="16"/>
      <c r="R479" s="16"/>
      <c r="S479" s="16"/>
      <c r="T479" s="16"/>
      <c r="U479" s="16"/>
    </row>
    <row r="480" spans="1:21" s="83" customFormat="1" ht="25.5">
      <c r="A480" s="12" t="s">
        <v>973</v>
      </c>
      <c r="B480" s="25" t="s">
        <v>69</v>
      </c>
      <c r="C480" s="26" t="s">
        <v>71</v>
      </c>
      <c r="D480" s="26" t="s">
        <v>66</v>
      </c>
      <c r="E480" s="26" t="s">
        <v>348</v>
      </c>
      <c r="F480" s="26" t="s">
        <v>1043</v>
      </c>
      <c r="G480" s="27">
        <f t="shared" ref="G480" si="328">J480</f>
        <v>70000</v>
      </c>
      <c r="H480" s="27">
        <f>L480</f>
        <v>70000</v>
      </c>
      <c r="I480" s="27">
        <f>N480</f>
        <v>70000</v>
      </c>
      <c r="J480" s="16">
        <f>'БА в тыс. руб.'!G480*1000</f>
        <v>70000</v>
      </c>
      <c r="K480" s="169">
        <f t="shared" si="311"/>
        <v>0</v>
      </c>
      <c r="L480" s="16">
        <f>'БА в тыс. руб.'!H480*1000</f>
        <v>70000</v>
      </c>
      <c r="M480" s="169">
        <f t="shared" si="312"/>
        <v>0</v>
      </c>
      <c r="N480" s="16">
        <f>'БА в тыс. руб.'!I480*1000</f>
        <v>70000</v>
      </c>
      <c r="O480" s="169">
        <f t="shared" si="313"/>
        <v>0</v>
      </c>
      <c r="P480" s="16"/>
      <c r="Q480" s="16"/>
      <c r="R480" s="16"/>
      <c r="S480" s="16"/>
      <c r="T480" s="16"/>
      <c r="U480" s="16"/>
    </row>
    <row r="481" spans="1:21" s="30" customFormat="1">
      <c r="A481" s="13" t="s">
        <v>92</v>
      </c>
      <c r="B481" s="25" t="s">
        <v>69</v>
      </c>
      <c r="C481" s="26" t="s">
        <v>71</v>
      </c>
      <c r="D481" s="26" t="s">
        <v>66</v>
      </c>
      <c r="E481" s="26" t="s">
        <v>348</v>
      </c>
      <c r="F481" s="26" t="s">
        <v>138</v>
      </c>
      <c r="G481" s="27">
        <f>SUM(G482:G483)</f>
        <v>489742480</v>
      </c>
      <c r="H481" s="27">
        <f t="shared" ref="H481:I481" si="329">SUM(H482:H483)</f>
        <v>493920400</v>
      </c>
      <c r="I481" s="27">
        <f t="shared" si="329"/>
        <v>493920400</v>
      </c>
      <c r="J481" s="16">
        <f>'БА в тыс. руб.'!G481*1000</f>
        <v>489742480</v>
      </c>
      <c r="K481" s="169">
        <f t="shared" si="311"/>
        <v>0</v>
      </c>
      <c r="L481" s="16">
        <f>'БА в тыс. руб.'!H481*1000</f>
        <v>493920400</v>
      </c>
      <c r="M481" s="169">
        <f t="shared" si="312"/>
        <v>0</v>
      </c>
      <c r="N481" s="16">
        <f>'БА в тыс. руб.'!I481*1000</f>
        <v>493920400</v>
      </c>
      <c r="O481" s="169">
        <f t="shared" si="313"/>
        <v>0</v>
      </c>
      <c r="P481" s="16"/>
      <c r="Q481" s="16"/>
      <c r="R481" s="16"/>
      <c r="S481" s="16"/>
      <c r="T481" s="16"/>
      <c r="U481" s="16"/>
    </row>
    <row r="482" spans="1:21" s="83" customFormat="1" ht="38.25">
      <c r="A482" s="12" t="s">
        <v>1015</v>
      </c>
      <c r="B482" s="25" t="s">
        <v>69</v>
      </c>
      <c r="C482" s="26" t="s">
        <v>71</v>
      </c>
      <c r="D482" s="26" t="s">
        <v>66</v>
      </c>
      <c r="E482" s="26" t="s">
        <v>348</v>
      </c>
      <c r="F482" s="26" t="s">
        <v>67</v>
      </c>
      <c r="G482" s="27">
        <f t="shared" ref="G482:G483" si="330">J482</f>
        <v>485744730</v>
      </c>
      <c r="H482" s="27">
        <f t="shared" ref="H482:H483" si="331">L482</f>
        <v>489922650</v>
      </c>
      <c r="I482" s="27">
        <f t="shared" ref="I482:I483" si="332">N482</f>
        <v>489922650</v>
      </c>
      <c r="J482" s="16">
        <f>'БА в тыс. руб.'!G482*1000</f>
        <v>485744730</v>
      </c>
      <c r="K482" s="169">
        <f t="shared" si="311"/>
        <v>0</v>
      </c>
      <c r="L482" s="16">
        <f>'БА в тыс. руб.'!H482*1000</f>
        <v>489922650</v>
      </c>
      <c r="M482" s="169">
        <f t="shared" si="312"/>
        <v>0</v>
      </c>
      <c r="N482" s="16">
        <f>'БА в тыс. руб.'!I482*1000</f>
        <v>489922650</v>
      </c>
      <c r="O482" s="169">
        <f t="shared" si="313"/>
        <v>0</v>
      </c>
      <c r="P482" s="16"/>
      <c r="Q482" s="16"/>
      <c r="R482" s="16"/>
      <c r="S482" s="16"/>
      <c r="T482" s="16"/>
      <c r="U482" s="16"/>
    </row>
    <row r="483" spans="1:21" s="83" customFormat="1">
      <c r="A483" s="12" t="s">
        <v>1016</v>
      </c>
      <c r="B483" s="25" t="s">
        <v>69</v>
      </c>
      <c r="C483" s="26" t="s">
        <v>71</v>
      </c>
      <c r="D483" s="26" t="s">
        <v>66</v>
      </c>
      <c r="E483" s="26" t="s">
        <v>348</v>
      </c>
      <c r="F483" s="26" t="s">
        <v>1046</v>
      </c>
      <c r="G483" s="27">
        <f t="shared" si="330"/>
        <v>3997750</v>
      </c>
      <c r="H483" s="27">
        <f t="shared" si="331"/>
        <v>3997750</v>
      </c>
      <c r="I483" s="27">
        <f t="shared" si="332"/>
        <v>3997750</v>
      </c>
      <c r="J483" s="16">
        <f>'БА в тыс. руб.'!G483*1000</f>
        <v>3997750</v>
      </c>
      <c r="K483" s="169">
        <f t="shared" si="311"/>
        <v>0</v>
      </c>
      <c r="L483" s="16">
        <f>'БА в тыс. руб.'!H483*1000</f>
        <v>3997750</v>
      </c>
      <c r="M483" s="169">
        <f t="shared" si="312"/>
        <v>0</v>
      </c>
      <c r="N483" s="16">
        <f>'БА в тыс. руб.'!I483*1000</f>
        <v>3997750</v>
      </c>
      <c r="O483" s="169">
        <f t="shared" si="313"/>
        <v>0</v>
      </c>
      <c r="P483" s="16"/>
      <c r="Q483" s="16"/>
      <c r="R483" s="16"/>
      <c r="S483" s="16"/>
      <c r="T483" s="16"/>
      <c r="U483" s="16"/>
    </row>
    <row r="484" spans="1:21" s="30" customFormat="1">
      <c r="A484" s="13" t="s">
        <v>93</v>
      </c>
      <c r="B484" s="25" t="s">
        <v>69</v>
      </c>
      <c r="C484" s="26" t="s">
        <v>71</v>
      </c>
      <c r="D484" s="26" t="s">
        <v>66</v>
      </c>
      <c r="E484" s="26" t="s">
        <v>348</v>
      </c>
      <c r="F484" s="26" t="s">
        <v>20</v>
      </c>
      <c r="G484" s="27">
        <f>G485</f>
        <v>38119870</v>
      </c>
      <c r="H484" s="27">
        <f t="shared" ref="H484:I484" si="333">H485</f>
        <v>38119870</v>
      </c>
      <c r="I484" s="27">
        <f t="shared" si="333"/>
        <v>38119870</v>
      </c>
      <c r="J484" s="16">
        <f>'БА в тыс. руб.'!G484*1000</f>
        <v>38119870</v>
      </c>
      <c r="K484" s="169">
        <f t="shared" si="311"/>
        <v>0</v>
      </c>
      <c r="L484" s="16">
        <f>'БА в тыс. руб.'!H484*1000</f>
        <v>38119870</v>
      </c>
      <c r="M484" s="169">
        <f t="shared" si="312"/>
        <v>0</v>
      </c>
      <c r="N484" s="16">
        <f>'БА в тыс. руб.'!I484*1000</f>
        <v>38119870</v>
      </c>
      <c r="O484" s="169">
        <f t="shared" si="313"/>
        <v>0</v>
      </c>
      <c r="P484" s="16"/>
      <c r="Q484" s="16"/>
      <c r="R484" s="16"/>
      <c r="S484" s="16"/>
      <c r="T484" s="16"/>
      <c r="U484" s="16"/>
    </row>
    <row r="485" spans="1:21" s="83" customFormat="1" ht="38.25">
      <c r="A485" s="12" t="s">
        <v>1018</v>
      </c>
      <c r="B485" s="25" t="s">
        <v>69</v>
      </c>
      <c r="C485" s="26" t="s">
        <v>71</v>
      </c>
      <c r="D485" s="26" t="s">
        <v>66</v>
      </c>
      <c r="E485" s="26" t="s">
        <v>348</v>
      </c>
      <c r="F485" s="26" t="s">
        <v>16</v>
      </c>
      <c r="G485" s="27">
        <f t="shared" ref="G485" si="334">J485</f>
        <v>38119870</v>
      </c>
      <c r="H485" s="27">
        <f>L485</f>
        <v>38119870</v>
      </c>
      <c r="I485" s="27">
        <f>N485</f>
        <v>38119870</v>
      </c>
      <c r="J485" s="16">
        <f>'БА в тыс. руб.'!G485*1000</f>
        <v>38119870</v>
      </c>
      <c r="K485" s="169">
        <f t="shared" si="311"/>
        <v>0</v>
      </c>
      <c r="L485" s="16">
        <f>'БА в тыс. руб.'!H485*1000</f>
        <v>38119870</v>
      </c>
      <c r="M485" s="169">
        <f t="shared" si="312"/>
        <v>0</v>
      </c>
      <c r="N485" s="16">
        <f>'БА в тыс. руб.'!I485*1000</f>
        <v>38119870</v>
      </c>
      <c r="O485" s="169">
        <f t="shared" si="313"/>
        <v>0</v>
      </c>
      <c r="P485" s="16"/>
      <c r="Q485" s="16"/>
      <c r="R485" s="16"/>
      <c r="S485" s="16"/>
      <c r="T485" s="16"/>
      <c r="U485" s="16"/>
    </row>
    <row r="486" spans="1:21" s="30" customFormat="1" ht="114.75">
      <c r="A486" s="12" t="s">
        <v>349</v>
      </c>
      <c r="B486" s="25" t="s">
        <v>69</v>
      </c>
      <c r="C486" s="26" t="s">
        <v>71</v>
      </c>
      <c r="D486" s="26" t="s">
        <v>66</v>
      </c>
      <c r="E486" s="26" t="s">
        <v>350</v>
      </c>
      <c r="F486" s="26" t="s">
        <v>58</v>
      </c>
      <c r="G486" s="27">
        <f>G487+G490+G492+G494</f>
        <v>1089810290</v>
      </c>
      <c r="H486" s="27">
        <f>H487+H490+H492+H494</f>
        <v>926709410</v>
      </c>
      <c r="I486" s="27">
        <f>I487+I490+I492+I494</f>
        <v>1020669510</v>
      </c>
      <c r="J486" s="16">
        <f>'БА в тыс. руб.'!G486*1000</f>
        <v>1089810290</v>
      </c>
      <c r="K486" s="169">
        <f t="shared" si="311"/>
        <v>0</v>
      </c>
      <c r="L486" s="16">
        <f>'БА в тыс. руб.'!H486*1000</f>
        <v>926709410</v>
      </c>
      <c r="M486" s="169">
        <f t="shared" si="312"/>
        <v>0</v>
      </c>
      <c r="N486" s="16">
        <f>'БА в тыс. руб.'!I486*1000</f>
        <v>1020669510</v>
      </c>
      <c r="O486" s="169">
        <f t="shared" si="313"/>
        <v>0</v>
      </c>
      <c r="P486" s="16"/>
      <c r="Q486" s="16"/>
      <c r="R486" s="16"/>
      <c r="S486" s="16"/>
      <c r="T486" s="16"/>
      <c r="U486" s="16"/>
    </row>
    <row r="487" spans="1:21" s="30" customFormat="1">
      <c r="A487" s="12" t="s">
        <v>106</v>
      </c>
      <c r="B487" s="25" t="s">
        <v>69</v>
      </c>
      <c r="C487" s="26" t="s">
        <v>71</v>
      </c>
      <c r="D487" s="26" t="s">
        <v>66</v>
      </c>
      <c r="E487" s="26" t="s">
        <v>350</v>
      </c>
      <c r="F487" s="26" t="s">
        <v>121</v>
      </c>
      <c r="G487" s="27">
        <f>SUM(G488:G489)</f>
        <v>11605660</v>
      </c>
      <c r="H487" s="27">
        <f t="shared" ref="H487:I487" si="335">SUM(H488:H489)</f>
        <v>11605660</v>
      </c>
      <c r="I487" s="27">
        <f t="shared" si="335"/>
        <v>11605660</v>
      </c>
      <c r="J487" s="16">
        <f>'БА в тыс. руб.'!G487*1000</f>
        <v>11605660</v>
      </c>
      <c r="K487" s="169">
        <f t="shared" si="311"/>
        <v>0</v>
      </c>
      <c r="L487" s="16">
        <f>'БА в тыс. руб.'!H487*1000</f>
        <v>11605660</v>
      </c>
      <c r="M487" s="169">
        <f t="shared" si="312"/>
        <v>0</v>
      </c>
      <c r="N487" s="16">
        <f>'БА в тыс. руб.'!I487*1000</f>
        <v>11605660</v>
      </c>
      <c r="O487" s="169">
        <f t="shared" si="313"/>
        <v>0</v>
      </c>
      <c r="P487" s="16"/>
      <c r="Q487" s="16"/>
      <c r="R487" s="16"/>
      <c r="S487" s="16"/>
      <c r="T487" s="16"/>
      <c r="U487" s="16"/>
    </row>
    <row r="488" spans="1:21" s="83" customFormat="1">
      <c r="A488" s="12" t="s">
        <v>932</v>
      </c>
      <c r="B488" s="25" t="s">
        <v>69</v>
      </c>
      <c r="C488" s="26" t="s">
        <v>71</v>
      </c>
      <c r="D488" s="26" t="s">
        <v>66</v>
      </c>
      <c r="E488" s="26" t="s">
        <v>350</v>
      </c>
      <c r="F488" s="26" t="s">
        <v>1056</v>
      </c>
      <c r="G488" s="27">
        <f t="shared" ref="G488:G489" si="336">J488</f>
        <v>8913720</v>
      </c>
      <c r="H488" s="27">
        <f t="shared" ref="H488:H489" si="337">L488</f>
        <v>8913720</v>
      </c>
      <c r="I488" s="27">
        <f t="shared" ref="I488:I489" si="338">N488</f>
        <v>8913720</v>
      </c>
      <c r="J488" s="16">
        <f>'БА в тыс. руб.'!G488*1000</f>
        <v>8913720</v>
      </c>
      <c r="K488" s="169">
        <f t="shared" si="311"/>
        <v>0</v>
      </c>
      <c r="L488" s="16">
        <f>'БА в тыс. руб.'!H488*1000</f>
        <v>8913720</v>
      </c>
      <c r="M488" s="169">
        <f t="shared" si="312"/>
        <v>0</v>
      </c>
      <c r="N488" s="16">
        <f>'БА в тыс. руб.'!I488*1000</f>
        <v>8913720</v>
      </c>
      <c r="O488" s="169">
        <f t="shared" si="313"/>
        <v>0</v>
      </c>
      <c r="P488" s="16"/>
      <c r="Q488" s="16"/>
      <c r="R488" s="16"/>
      <c r="S488" s="16"/>
      <c r="T488" s="16"/>
      <c r="U488" s="16"/>
    </row>
    <row r="489" spans="1:21" s="83" customFormat="1" ht="38.25">
      <c r="A489" s="12" t="s">
        <v>935</v>
      </c>
      <c r="B489" s="25" t="s">
        <v>69</v>
      </c>
      <c r="C489" s="26" t="s">
        <v>71</v>
      </c>
      <c r="D489" s="26" t="s">
        <v>66</v>
      </c>
      <c r="E489" s="26" t="s">
        <v>350</v>
      </c>
      <c r="F489" s="26" t="s">
        <v>1057</v>
      </c>
      <c r="G489" s="27">
        <f t="shared" si="336"/>
        <v>2691940</v>
      </c>
      <c r="H489" s="27">
        <f t="shared" si="337"/>
        <v>2691940</v>
      </c>
      <c r="I489" s="27">
        <f t="shared" si="338"/>
        <v>2691940</v>
      </c>
      <c r="J489" s="16">
        <f>'БА в тыс. руб.'!G489*1000</f>
        <v>2691940</v>
      </c>
      <c r="K489" s="169">
        <f t="shared" si="311"/>
        <v>0</v>
      </c>
      <c r="L489" s="16">
        <f>'БА в тыс. руб.'!H489*1000</f>
        <v>2691940</v>
      </c>
      <c r="M489" s="169">
        <f t="shared" si="312"/>
        <v>0</v>
      </c>
      <c r="N489" s="16">
        <f>'БА в тыс. руб.'!I489*1000</f>
        <v>2691940</v>
      </c>
      <c r="O489" s="169">
        <f t="shared" si="313"/>
        <v>0</v>
      </c>
      <c r="P489" s="16"/>
      <c r="Q489" s="16"/>
      <c r="R489" s="16"/>
      <c r="S489" s="16"/>
      <c r="T489" s="16"/>
      <c r="U489" s="16"/>
    </row>
    <row r="490" spans="1:21" s="30" customFormat="1">
      <c r="A490" s="13" t="s">
        <v>92</v>
      </c>
      <c r="B490" s="25" t="s">
        <v>69</v>
      </c>
      <c r="C490" s="26" t="s">
        <v>71</v>
      </c>
      <c r="D490" s="26" t="s">
        <v>66</v>
      </c>
      <c r="E490" s="26" t="s">
        <v>350</v>
      </c>
      <c r="F490" s="26" t="s">
        <v>138</v>
      </c>
      <c r="G490" s="27">
        <f>G491</f>
        <v>975154190</v>
      </c>
      <c r="H490" s="27">
        <f t="shared" ref="H490:I490" si="339">H491</f>
        <v>812053310</v>
      </c>
      <c r="I490" s="27">
        <f t="shared" si="339"/>
        <v>906013410</v>
      </c>
      <c r="J490" s="16">
        <f>'БА в тыс. руб.'!G490*1000</f>
        <v>975154190</v>
      </c>
      <c r="K490" s="169">
        <f t="shared" si="311"/>
        <v>0</v>
      </c>
      <c r="L490" s="16">
        <f>'БА в тыс. руб.'!H490*1000</f>
        <v>812053310</v>
      </c>
      <c r="M490" s="169">
        <f t="shared" si="312"/>
        <v>0</v>
      </c>
      <c r="N490" s="16">
        <f>'БА в тыс. руб.'!I490*1000</f>
        <v>906013410</v>
      </c>
      <c r="O490" s="169">
        <f t="shared" si="313"/>
        <v>0</v>
      </c>
      <c r="P490" s="16"/>
      <c r="Q490" s="16"/>
      <c r="R490" s="16"/>
      <c r="S490" s="16"/>
      <c r="T490" s="16"/>
      <c r="U490" s="16"/>
    </row>
    <row r="491" spans="1:21" s="83" customFormat="1" ht="38.25">
      <c r="A491" s="12" t="s">
        <v>1015</v>
      </c>
      <c r="B491" s="25" t="s">
        <v>69</v>
      </c>
      <c r="C491" s="26" t="s">
        <v>71</v>
      </c>
      <c r="D491" s="26" t="s">
        <v>66</v>
      </c>
      <c r="E491" s="26" t="s">
        <v>350</v>
      </c>
      <c r="F491" s="26" t="s">
        <v>67</v>
      </c>
      <c r="G491" s="27">
        <f t="shared" ref="G491" si="340">J491</f>
        <v>975154190</v>
      </c>
      <c r="H491" s="27">
        <f>L491</f>
        <v>812053310</v>
      </c>
      <c r="I491" s="27">
        <f>N491</f>
        <v>906013410</v>
      </c>
      <c r="J491" s="16">
        <f>'БА в тыс. руб.'!G491*1000</f>
        <v>975154190</v>
      </c>
      <c r="K491" s="169">
        <f t="shared" si="311"/>
        <v>0</v>
      </c>
      <c r="L491" s="16">
        <f>'БА в тыс. руб.'!H491*1000</f>
        <v>812053310</v>
      </c>
      <c r="M491" s="169">
        <f t="shared" si="312"/>
        <v>0</v>
      </c>
      <c r="N491" s="16">
        <f>'БА в тыс. руб.'!I491*1000</f>
        <v>906013410</v>
      </c>
      <c r="O491" s="169">
        <f t="shared" si="313"/>
        <v>0</v>
      </c>
      <c r="P491" s="16"/>
      <c r="Q491" s="16"/>
      <c r="R491" s="16"/>
      <c r="S491" s="16"/>
      <c r="T491" s="16"/>
      <c r="U491" s="16"/>
    </row>
    <row r="492" spans="1:21" s="30" customFormat="1">
      <c r="A492" s="13" t="s">
        <v>93</v>
      </c>
      <c r="B492" s="25" t="s">
        <v>69</v>
      </c>
      <c r="C492" s="26" t="s">
        <v>71</v>
      </c>
      <c r="D492" s="26" t="s">
        <v>66</v>
      </c>
      <c r="E492" s="26" t="s">
        <v>350</v>
      </c>
      <c r="F492" s="26" t="s">
        <v>20</v>
      </c>
      <c r="G492" s="27">
        <f>G493</f>
        <v>98318600</v>
      </c>
      <c r="H492" s="27">
        <f t="shared" ref="H492:I492" si="341">H493</f>
        <v>98318600</v>
      </c>
      <c r="I492" s="27">
        <f t="shared" si="341"/>
        <v>98318600</v>
      </c>
      <c r="J492" s="16">
        <f>'БА в тыс. руб.'!G492*1000</f>
        <v>98318600</v>
      </c>
      <c r="K492" s="169">
        <f t="shared" si="311"/>
        <v>0</v>
      </c>
      <c r="L492" s="16">
        <f>'БА в тыс. руб.'!H492*1000</f>
        <v>98318600</v>
      </c>
      <c r="M492" s="169">
        <f t="shared" si="312"/>
        <v>0</v>
      </c>
      <c r="N492" s="16">
        <f>'БА в тыс. руб.'!I492*1000</f>
        <v>98318600</v>
      </c>
      <c r="O492" s="169">
        <f t="shared" si="313"/>
        <v>0</v>
      </c>
      <c r="P492" s="16"/>
      <c r="Q492" s="16"/>
      <c r="R492" s="16"/>
      <c r="S492" s="16"/>
      <c r="T492" s="16"/>
      <c r="U492" s="16"/>
    </row>
    <row r="493" spans="1:21" s="83" customFormat="1" ht="38.25">
      <c r="A493" s="12" t="s">
        <v>1018</v>
      </c>
      <c r="B493" s="25" t="s">
        <v>69</v>
      </c>
      <c r="C493" s="26" t="s">
        <v>71</v>
      </c>
      <c r="D493" s="26" t="s">
        <v>66</v>
      </c>
      <c r="E493" s="26" t="s">
        <v>350</v>
      </c>
      <c r="F493" s="26" t="s">
        <v>16</v>
      </c>
      <c r="G493" s="27">
        <f t="shared" ref="G493" si="342">J493</f>
        <v>98318600</v>
      </c>
      <c r="H493" s="27">
        <f>L493</f>
        <v>98318600</v>
      </c>
      <c r="I493" s="27">
        <f>N493</f>
        <v>98318600</v>
      </c>
      <c r="J493" s="16">
        <f>'БА в тыс. руб.'!G493*1000</f>
        <v>98318600</v>
      </c>
      <c r="K493" s="169">
        <f t="shared" si="311"/>
        <v>0</v>
      </c>
      <c r="L493" s="16">
        <f>'БА в тыс. руб.'!H493*1000</f>
        <v>98318600</v>
      </c>
      <c r="M493" s="169">
        <f t="shared" si="312"/>
        <v>0</v>
      </c>
      <c r="N493" s="16">
        <f>'БА в тыс. руб.'!I493*1000</f>
        <v>98318600</v>
      </c>
      <c r="O493" s="169">
        <f t="shared" si="313"/>
        <v>0</v>
      </c>
      <c r="P493" s="16"/>
      <c r="Q493" s="16"/>
      <c r="R493" s="16"/>
      <c r="S493" s="16"/>
      <c r="T493" s="16"/>
      <c r="U493" s="16"/>
    </row>
    <row r="494" spans="1:21" s="30" customFormat="1" ht="25.5">
      <c r="A494" s="11" t="s">
        <v>111</v>
      </c>
      <c r="B494" s="25" t="s">
        <v>69</v>
      </c>
      <c r="C494" s="26" t="s">
        <v>71</v>
      </c>
      <c r="D494" s="26" t="s">
        <v>66</v>
      </c>
      <c r="E494" s="26" t="s">
        <v>350</v>
      </c>
      <c r="F494" s="26" t="s">
        <v>104</v>
      </c>
      <c r="G494" s="27">
        <f>G495</f>
        <v>4731840</v>
      </c>
      <c r="H494" s="27">
        <f t="shared" ref="H494:I494" si="343">H495</f>
        <v>4731840</v>
      </c>
      <c r="I494" s="27">
        <f t="shared" si="343"/>
        <v>4731840</v>
      </c>
      <c r="J494" s="16">
        <f>'БА в тыс. руб.'!G494*1000</f>
        <v>4731840</v>
      </c>
      <c r="K494" s="169">
        <f t="shared" si="311"/>
        <v>0</v>
      </c>
      <c r="L494" s="16">
        <f>'БА в тыс. руб.'!H494*1000</f>
        <v>4731840</v>
      </c>
      <c r="M494" s="169">
        <f t="shared" si="312"/>
        <v>0</v>
      </c>
      <c r="N494" s="16">
        <f>'БА в тыс. руб.'!I494*1000</f>
        <v>4731840</v>
      </c>
      <c r="O494" s="169">
        <f t="shared" si="313"/>
        <v>0</v>
      </c>
      <c r="P494" s="16"/>
      <c r="Q494" s="16"/>
      <c r="R494" s="16"/>
      <c r="S494" s="16"/>
      <c r="T494" s="16"/>
      <c r="U494" s="16"/>
    </row>
    <row r="495" spans="1:21" s="83" customFormat="1" ht="76.5">
      <c r="A495" s="12" t="s">
        <v>1048</v>
      </c>
      <c r="B495" s="25" t="s">
        <v>69</v>
      </c>
      <c r="C495" s="26" t="s">
        <v>71</v>
      </c>
      <c r="D495" s="26" t="s">
        <v>66</v>
      </c>
      <c r="E495" s="26" t="s">
        <v>350</v>
      </c>
      <c r="F495" s="26" t="s">
        <v>1055</v>
      </c>
      <c r="G495" s="27">
        <f t="shared" ref="G495" si="344">J495</f>
        <v>4731840</v>
      </c>
      <c r="H495" s="27">
        <f>L495</f>
        <v>4731840</v>
      </c>
      <c r="I495" s="27">
        <f>N495</f>
        <v>4731840</v>
      </c>
      <c r="J495" s="16">
        <f>'БА в тыс. руб.'!G495*1000</f>
        <v>4731840</v>
      </c>
      <c r="K495" s="169">
        <f t="shared" si="311"/>
        <v>0</v>
      </c>
      <c r="L495" s="16">
        <f>'БА в тыс. руб.'!H495*1000</f>
        <v>4731840</v>
      </c>
      <c r="M495" s="169">
        <f t="shared" si="312"/>
        <v>0</v>
      </c>
      <c r="N495" s="16">
        <f>'БА в тыс. руб.'!I495*1000</f>
        <v>4731840</v>
      </c>
      <c r="O495" s="169">
        <f t="shared" si="313"/>
        <v>0</v>
      </c>
      <c r="P495" s="16"/>
      <c r="Q495" s="16"/>
      <c r="R495" s="16"/>
      <c r="S495" s="16"/>
      <c r="T495" s="16"/>
      <c r="U495" s="16"/>
    </row>
    <row r="496" spans="1:21" s="30" customFormat="1" ht="51">
      <c r="A496" s="11" t="s">
        <v>629</v>
      </c>
      <c r="B496" s="25" t="s">
        <v>69</v>
      </c>
      <c r="C496" s="26" t="s">
        <v>71</v>
      </c>
      <c r="D496" s="26" t="s">
        <v>66</v>
      </c>
      <c r="E496" s="26" t="s">
        <v>337</v>
      </c>
      <c r="F496" s="26" t="s">
        <v>58</v>
      </c>
      <c r="G496" s="27">
        <f t="shared" ref="G496:I498" si="345">G497</f>
        <v>11338200</v>
      </c>
      <c r="H496" s="27">
        <f t="shared" si="345"/>
        <v>4000000</v>
      </c>
      <c r="I496" s="27">
        <f t="shared" si="345"/>
        <v>4000000</v>
      </c>
      <c r="J496" s="16">
        <f>'БА в тыс. руб.'!G496*1000</f>
        <v>11338200</v>
      </c>
      <c r="K496" s="169">
        <f t="shared" si="311"/>
        <v>0</v>
      </c>
      <c r="L496" s="16">
        <f>'БА в тыс. руб.'!H496*1000</f>
        <v>4000000</v>
      </c>
      <c r="M496" s="169">
        <f t="shared" si="312"/>
        <v>0</v>
      </c>
      <c r="N496" s="16">
        <f>'БА в тыс. руб.'!I496*1000</f>
        <v>4000000</v>
      </c>
      <c r="O496" s="169">
        <f t="shared" si="313"/>
        <v>0</v>
      </c>
      <c r="P496" s="16"/>
      <c r="Q496" s="16"/>
      <c r="R496" s="16"/>
      <c r="S496" s="16"/>
      <c r="T496" s="16"/>
      <c r="U496" s="16"/>
    </row>
    <row r="497" spans="1:21" s="30" customFormat="1" ht="25.5">
      <c r="A497" s="13" t="s">
        <v>247</v>
      </c>
      <c r="B497" s="25" t="s">
        <v>69</v>
      </c>
      <c r="C497" s="26" t="s">
        <v>71</v>
      </c>
      <c r="D497" s="26" t="s">
        <v>66</v>
      </c>
      <c r="E497" s="26" t="s">
        <v>338</v>
      </c>
      <c r="F497" s="26" t="s">
        <v>58</v>
      </c>
      <c r="G497" s="27">
        <f t="shared" si="345"/>
        <v>11338200</v>
      </c>
      <c r="H497" s="27">
        <f t="shared" si="345"/>
        <v>4000000</v>
      </c>
      <c r="I497" s="27">
        <f t="shared" si="345"/>
        <v>4000000</v>
      </c>
      <c r="J497" s="16">
        <f>'БА в тыс. руб.'!G497*1000</f>
        <v>11338200</v>
      </c>
      <c r="K497" s="169">
        <f t="shared" si="311"/>
        <v>0</v>
      </c>
      <c r="L497" s="16">
        <f>'БА в тыс. руб.'!H497*1000</f>
        <v>4000000</v>
      </c>
      <c r="M497" s="169">
        <f t="shared" si="312"/>
        <v>0</v>
      </c>
      <c r="N497" s="16">
        <f>'БА в тыс. руб.'!I497*1000</f>
        <v>4000000</v>
      </c>
      <c r="O497" s="169">
        <f t="shared" si="313"/>
        <v>0</v>
      </c>
      <c r="P497" s="16"/>
      <c r="Q497" s="16"/>
      <c r="R497" s="16"/>
      <c r="S497" s="16"/>
      <c r="T497" s="16"/>
      <c r="U497" s="16"/>
    </row>
    <row r="498" spans="1:21" s="30" customFormat="1">
      <c r="A498" s="13" t="s">
        <v>92</v>
      </c>
      <c r="B498" s="25" t="s">
        <v>69</v>
      </c>
      <c r="C498" s="26" t="s">
        <v>71</v>
      </c>
      <c r="D498" s="26" t="s">
        <v>66</v>
      </c>
      <c r="E498" s="26" t="s">
        <v>338</v>
      </c>
      <c r="F498" s="26" t="s">
        <v>138</v>
      </c>
      <c r="G498" s="27">
        <f>G499</f>
        <v>11338200</v>
      </c>
      <c r="H498" s="27">
        <f t="shared" si="345"/>
        <v>4000000</v>
      </c>
      <c r="I498" s="27">
        <f t="shared" si="345"/>
        <v>4000000</v>
      </c>
      <c r="J498" s="16">
        <f>'БА в тыс. руб.'!G498*1000</f>
        <v>11338200</v>
      </c>
      <c r="K498" s="169">
        <f t="shared" si="311"/>
        <v>0</v>
      </c>
      <c r="L498" s="16">
        <f>'БА в тыс. руб.'!H498*1000</f>
        <v>4000000</v>
      </c>
      <c r="M498" s="169">
        <f t="shared" si="312"/>
        <v>0</v>
      </c>
      <c r="N498" s="16">
        <f>'БА в тыс. руб.'!I498*1000</f>
        <v>4000000</v>
      </c>
      <c r="O498" s="169">
        <f t="shared" si="313"/>
        <v>0</v>
      </c>
      <c r="P498" s="16"/>
      <c r="Q498" s="16"/>
      <c r="R498" s="16"/>
      <c r="S498" s="16"/>
      <c r="T498" s="16"/>
      <c r="U498" s="16"/>
    </row>
    <row r="499" spans="1:21" s="83" customFormat="1">
      <c r="A499" s="12" t="s">
        <v>1016</v>
      </c>
      <c r="B499" s="25" t="s">
        <v>69</v>
      </c>
      <c r="C499" s="26" t="s">
        <v>71</v>
      </c>
      <c r="D499" s="26" t="s">
        <v>66</v>
      </c>
      <c r="E499" s="26" t="s">
        <v>338</v>
      </c>
      <c r="F499" s="26" t="s">
        <v>1046</v>
      </c>
      <c r="G499" s="27">
        <f t="shared" ref="G499" si="346">J499</f>
        <v>11338200</v>
      </c>
      <c r="H499" s="27">
        <f>L499</f>
        <v>4000000</v>
      </c>
      <c r="I499" s="27">
        <f>N499</f>
        <v>4000000</v>
      </c>
      <c r="J499" s="16">
        <f>'БА в тыс. руб.'!G499*1000</f>
        <v>11338200</v>
      </c>
      <c r="K499" s="169">
        <f t="shared" si="311"/>
        <v>0</v>
      </c>
      <c r="L499" s="16">
        <f>'БА в тыс. руб.'!H499*1000</f>
        <v>4000000</v>
      </c>
      <c r="M499" s="169">
        <f t="shared" si="312"/>
        <v>0</v>
      </c>
      <c r="N499" s="16">
        <f>'БА в тыс. руб.'!I499*1000</f>
        <v>4000000</v>
      </c>
      <c r="O499" s="169">
        <f t="shared" si="313"/>
        <v>0</v>
      </c>
      <c r="P499" s="16"/>
      <c r="Q499" s="16"/>
      <c r="R499" s="16"/>
      <c r="S499" s="16"/>
      <c r="T499" s="16"/>
      <c r="U499" s="16"/>
    </row>
    <row r="500" spans="1:21" s="30" customFormat="1" ht="25.5">
      <c r="A500" s="13" t="s">
        <v>724</v>
      </c>
      <c r="B500" s="25" t="s">
        <v>69</v>
      </c>
      <c r="C500" s="26" t="s">
        <v>71</v>
      </c>
      <c r="D500" s="26" t="s">
        <v>66</v>
      </c>
      <c r="E500" s="26" t="s">
        <v>562</v>
      </c>
      <c r="F500" s="26" t="s">
        <v>58</v>
      </c>
      <c r="G500" s="27">
        <f>G501</f>
        <v>3720000</v>
      </c>
      <c r="H500" s="27">
        <f t="shared" ref="H500:I503" si="347">H501</f>
        <v>6819620</v>
      </c>
      <c r="I500" s="27">
        <f t="shared" si="347"/>
        <v>0</v>
      </c>
      <c r="J500" s="16">
        <f>'БА в тыс. руб.'!G500*1000</f>
        <v>3720000</v>
      </c>
      <c r="K500" s="169">
        <f t="shared" si="311"/>
        <v>0</v>
      </c>
      <c r="L500" s="16">
        <f>'БА в тыс. руб.'!H500*1000</f>
        <v>6819620</v>
      </c>
      <c r="M500" s="169">
        <f t="shared" si="312"/>
        <v>0</v>
      </c>
      <c r="N500" s="16">
        <f>'БА в тыс. руб.'!I500*1000</f>
        <v>0</v>
      </c>
      <c r="O500" s="169">
        <f t="shared" si="313"/>
        <v>0</v>
      </c>
      <c r="P500" s="16"/>
      <c r="Q500" s="16"/>
      <c r="R500" s="16"/>
      <c r="S500" s="16"/>
      <c r="T500" s="16"/>
      <c r="U500" s="16"/>
    </row>
    <row r="501" spans="1:21" s="30" customFormat="1" ht="38.25">
      <c r="A501" s="13" t="s">
        <v>642</v>
      </c>
      <c r="B501" s="25" t="s">
        <v>69</v>
      </c>
      <c r="C501" s="26" t="s">
        <v>71</v>
      </c>
      <c r="D501" s="26" t="s">
        <v>66</v>
      </c>
      <c r="E501" s="26" t="s">
        <v>563</v>
      </c>
      <c r="F501" s="26" t="s">
        <v>58</v>
      </c>
      <c r="G501" s="27">
        <f>G502</f>
        <v>3720000</v>
      </c>
      <c r="H501" s="27">
        <f t="shared" si="347"/>
        <v>6819620</v>
      </c>
      <c r="I501" s="27">
        <f t="shared" si="347"/>
        <v>0</v>
      </c>
      <c r="J501" s="16">
        <f>'БА в тыс. руб.'!G501*1000</f>
        <v>3720000</v>
      </c>
      <c r="K501" s="169">
        <f t="shared" si="311"/>
        <v>0</v>
      </c>
      <c r="L501" s="16">
        <f>'БА в тыс. руб.'!H501*1000</f>
        <v>6819620</v>
      </c>
      <c r="M501" s="169">
        <f t="shared" si="312"/>
        <v>0</v>
      </c>
      <c r="N501" s="16">
        <f>'БА в тыс. руб.'!I501*1000</f>
        <v>0</v>
      </c>
      <c r="O501" s="169">
        <f t="shared" si="313"/>
        <v>0</v>
      </c>
      <c r="P501" s="16"/>
      <c r="Q501" s="16"/>
      <c r="R501" s="16"/>
      <c r="S501" s="16"/>
      <c r="T501" s="16"/>
      <c r="U501" s="16"/>
    </row>
    <row r="502" spans="1:21" s="30" customFormat="1" ht="38.25">
      <c r="A502" s="13" t="s">
        <v>154</v>
      </c>
      <c r="B502" s="25" t="s">
        <v>69</v>
      </c>
      <c r="C502" s="26" t="s">
        <v>71</v>
      </c>
      <c r="D502" s="26" t="s">
        <v>66</v>
      </c>
      <c r="E502" s="26" t="s">
        <v>564</v>
      </c>
      <c r="F502" s="26" t="s">
        <v>58</v>
      </c>
      <c r="G502" s="27">
        <f>G503</f>
        <v>3720000</v>
      </c>
      <c r="H502" s="27">
        <f t="shared" si="347"/>
        <v>6819620</v>
      </c>
      <c r="I502" s="27">
        <f t="shared" si="347"/>
        <v>0</v>
      </c>
      <c r="J502" s="16">
        <f>'БА в тыс. руб.'!G502*1000</f>
        <v>3720000</v>
      </c>
      <c r="K502" s="169">
        <f t="shared" si="311"/>
        <v>0</v>
      </c>
      <c r="L502" s="16">
        <f>'БА в тыс. руб.'!H502*1000</f>
        <v>6819620</v>
      </c>
      <c r="M502" s="169">
        <f t="shared" si="312"/>
        <v>0</v>
      </c>
      <c r="N502" s="16">
        <f>'БА в тыс. руб.'!I502*1000</f>
        <v>0</v>
      </c>
      <c r="O502" s="169">
        <f t="shared" si="313"/>
        <v>0</v>
      </c>
      <c r="P502" s="16"/>
      <c r="Q502" s="16"/>
      <c r="R502" s="16"/>
      <c r="S502" s="16"/>
      <c r="T502" s="16"/>
      <c r="U502" s="16"/>
    </row>
    <row r="503" spans="1:21" s="30" customFormat="1" ht="89.25">
      <c r="A503" s="13" t="s">
        <v>868</v>
      </c>
      <c r="B503" s="25" t="s">
        <v>69</v>
      </c>
      <c r="C503" s="26" t="s">
        <v>71</v>
      </c>
      <c r="D503" s="26" t="s">
        <v>66</v>
      </c>
      <c r="E503" s="26" t="s">
        <v>564</v>
      </c>
      <c r="F503" s="26" t="s">
        <v>848</v>
      </c>
      <c r="G503" s="27">
        <f>G504</f>
        <v>3720000</v>
      </c>
      <c r="H503" s="27">
        <f t="shared" si="347"/>
        <v>6819620</v>
      </c>
      <c r="I503" s="27">
        <f t="shared" si="347"/>
        <v>0</v>
      </c>
      <c r="J503" s="16">
        <f>'БА в тыс. руб.'!G503*1000</f>
        <v>3720000</v>
      </c>
      <c r="K503" s="169">
        <f t="shared" si="311"/>
        <v>0</v>
      </c>
      <c r="L503" s="16">
        <f>'БА в тыс. руб.'!H503*1000</f>
        <v>6819620</v>
      </c>
      <c r="M503" s="169">
        <f t="shared" si="312"/>
        <v>0</v>
      </c>
      <c r="N503" s="16">
        <f>'БА в тыс. руб.'!I503*1000</f>
        <v>0</v>
      </c>
      <c r="O503" s="169">
        <f t="shared" si="313"/>
        <v>0</v>
      </c>
      <c r="P503" s="16"/>
      <c r="Q503" s="16"/>
      <c r="R503" s="16"/>
      <c r="S503" s="16"/>
      <c r="T503" s="16"/>
      <c r="U503" s="16"/>
    </row>
    <row r="504" spans="1:21" s="83" customFormat="1" ht="38.25">
      <c r="A504" s="12" t="s">
        <v>999</v>
      </c>
      <c r="B504" s="25" t="s">
        <v>69</v>
      </c>
      <c r="C504" s="26" t="s">
        <v>71</v>
      </c>
      <c r="D504" s="26" t="s">
        <v>66</v>
      </c>
      <c r="E504" s="26" t="s">
        <v>564</v>
      </c>
      <c r="F504" s="26" t="s">
        <v>1058</v>
      </c>
      <c r="G504" s="27">
        <f t="shared" ref="G504" si="348">J504</f>
        <v>3720000</v>
      </c>
      <c r="H504" s="27">
        <f>L504</f>
        <v>6819620</v>
      </c>
      <c r="I504" s="27">
        <f>N504</f>
        <v>0</v>
      </c>
      <c r="J504" s="16">
        <f>'БА в тыс. руб.'!G504*1000</f>
        <v>3720000</v>
      </c>
      <c r="K504" s="169">
        <f t="shared" si="311"/>
        <v>0</v>
      </c>
      <c r="L504" s="16">
        <f>'БА в тыс. руб.'!H504*1000</f>
        <v>6819620</v>
      </c>
      <c r="M504" s="169">
        <f t="shared" si="312"/>
        <v>0</v>
      </c>
      <c r="N504" s="16">
        <f>'БА в тыс. руб.'!I504*1000</f>
        <v>0</v>
      </c>
      <c r="O504" s="169">
        <f t="shared" si="313"/>
        <v>0</v>
      </c>
      <c r="P504" s="16"/>
      <c r="Q504" s="16"/>
      <c r="R504" s="16"/>
      <c r="S504" s="16"/>
      <c r="T504" s="16"/>
      <c r="U504" s="16"/>
    </row>
    <row r="505" spans="1:21" s="30" customFormat="1" ht="38.25">
      <c r="A505" s="12" t="s">
        <v>752</v>
      </c>
      <c r="B505" s="25" t="s">
        <v>69</v>
      </c>
      <c r="C505" s="26" t="s">
        <v>71</v>
      </c>
      <c r="D505" s="26" t="s">
        <v>66</v>
      </c>
      <c r="E505" s="26" t="s">
        <v>249</v>
      </c>
      <c r="F505" s="26" t="s">
        <v>58</v>
      </c>
      <c r="G505" s="27">
        <f>G506+G511</f>
        <v>2235500</v>
      </c>
      <c r="H505" s="27">
        <f>H506+H511</f>
        <v>2011950</v>
      </c>
      <c r="I505" s="27">
        <f>I506+I511</f>
        <v>2011950</v>
      </c>
      <c r="J505" s="16">
        <f>'БА в тыс. руб.'!G505*1000</f>
        <v>2235500</v>
      </c>
      <c r="K505" s="169">
        <f t="shared" si="311"/>
        <v>0</v>
      </c>
      <c r="L505" s="16">
        <f>'БА в тыс. руб.'!H505*1000</f>
        <v>2011950</v>
      </c>
      <c r="M505" s="169">
        <f t="shared" si="312"/>
        <v>0</v>
      </c>
      <c r="N505" s="16">
        <f>'БА в тыс. руб.'!I505*1000</f>
        <v>2011950</v>
      </c>
      <c r="O505" s="169">
        <f t="shared" si="313"/>
        <v>0</v>
      </c>
      <c r="P505" s="16"/>
      <c r="Q505" s="16"/>
      <c r="R505" s="16"/>
      <c r="S505" s="16"/>
      <c r="T505" s="16"/>
      <c r="U505" s="16"/>
    </row>
    <row r="506" spans="1:21" s="30" customFormat="1">
      <c r="A506" s="12" t="s">
        <v>754</v>
      </c>
      <c r="B506" s="25" t="s">
        <v>69</v>
      </c>
      <c r="C506" s="26" t="s">
        <v>71</v>
      </c>
      <c r="D506" s="26" t="s">
        <v>66</v>
      </c>
      <c r="E506" s="26" t="s">
        <v>251</v>
      </c>
      <c r="F506" s="26" t="s">
        <v>58</v>
      </c>
      <c r="G506" s="27">
        <f t="shared" ref="G506:I509" si="349">G507</f>
        <v>263500</v>
      </c>
      <c r="H506" s="27">
        <f t="shared" si="349"/>
        <v>237150</v>
      </c>
      <c r="I506" s="27">
        <f t="shared" si="349"/>
        <v>237150</v>
      </c>
      <c r="J506" s="16">
        <f>'БА в тыс. руб.'!G506*1000</f>
        <v>263500</v>
      </c>
      <c r="K506" s="169">
        <f t="shared" si="311"/>
        <v>0</v>
      </c>
      <c r="L506" s="16">
        <f>'БА в тыс. руб.'!H506*1000</f>
        <v>237150</v>
      </c>
      <c r="M506" s="169">
        <f t="shared" si="312"/>
        <v>0</v>
      </c>
      <c r="N506" s="16">
        <f>'БА в тыс. руб.'!I506*1000</f>
        <v>237150</v>
      </c>
      <c r="O506" s="169">
        <f t="shared" si="313"/>
        <v>0</v>
      </c>
      <c r="P506" s="16"/>
      <c r="Q506" s="16"/>
      <c r="R506" s="16"/>
      <c r="S506" s="16"/>
      <c r="T506" s="16"/>
      <c r="U506" s="16"/>
    </row>
    <row r="507" spans="1:21" s="30" customFormat="1" ht="38.25">
      <c r="A507" s="12" t="s">
        <v>611</v>
      </c>
      <c r="B507" s="25" t="s">
        <v>69</v>
      </c>
      <c r="C507" s="26" t="s">
        <v>71</v>
      </c>
      <c r="D507" s="26" t="s">
        <v>66</v>
      </c>
      <c r="E507" s="26" t="s">
        <v>252</v>
      </c>
      <c r="F507" s="26" t="s">
        <v>58</v>
      </c>
      <c r="G507" s="27">
        <f t="shared" si="349"/>
        <v>263500</v>
      </c>
      <c r="H507" s="27">
        <f t="shared" si="349"/>
        <v>237150</v>
      </c>
      <c r="I507" s="27">
        <f t="shared" si="349"/>
        <v>237150</v>
      </c>
      <c r="J507" s="16">
        <f>'БА в тыс. руб.'!G507*1000</f>
        <v>263500</v>
      </c>
      <c r="K507" s="169">
        <f t="shared" si="311"/>
        <v>0</v>
      </c>
      <c r="L507" s="16">
        <f>'БА в тыс. руб.'!H507*1000</f>
        <v>237150</v>
      </c>
      <c r="M507" s="169">
        <f t="shared" si="312"/>
        <v>0</v>
      </c>
      <c r="N507" s="16">
        <f>'БА в тыс. руб.'!I507*1000</f>
        <v>237150</v>
      </c>
      <c r="O507" s="169">
        <f t="shared" si="313"/>
        <v>0</v>
      </c>
      <c r="P507" s="16"/>
      <c r="Q507" s="16"/>
      <c r="R507" s="16"/>
      <c r="S507" s="16"/>
      <c r="T507" s="16"/>
      <c r="U507" s="16"/>
    </row>
    <row r="508" spans="1:21" s="30" customFormat="1" ht="51">
      <c r="A508" s="34" t="s">
        <v>873</v>
      </c>
      <c r="B508" s="25" t="s">
        <v>69</v>
      </c>
      <c r="C508" s="26" t="s">
        <v>71</v>
      </c>
      <c r="D508" s="26" t="s">
        <v>66</v>
      </c>
      <c r="E508" s="26" t="s">
        <v>253</v>
      </c>
      <c r="F508" s="26" t="s">
        <v>58</v>
      </c>
      <c r="G508" s="27">
        <f t="shared" si="349"/>
        <v>263500</v>
      </c>
      <c r="H508" s="27">
        <f t="shared" si="349"/>
        <v>237150</v>
      </c>
      <c r="I508" s="27">
        <f t="shared" si="349"/>
        <v>237150</v>
      </c>
      <c r="J508" s="16">
        <f>'БА в тыс. руб.'!G508*1000</f>
        <v>263500</v>
      </c>
      <c r="K508" s="169">
        <f t="shared" si="311"/>
        <v>0</v>
      </c>
      <c r="L508" s="16">
        <f>'БА в тыс. руб.'!H508*1000</f>
        <v>237150</v>
      </c>
      <c r="M508" s="169">
        <f t="shared" si="312"/>
        <v>0</v>
      </c>
      <c r="N508" s="16">
        <f>'БА в тыс. руб.'!I508*1000</f>
        <v>237150</v>
      </c>
      <c r="O508" s="169">
        <f t="shared" si="313"/>
        <v>0</v>
      </c>
      <c r="P508" s="16"/>
      <c r="Q508" s="16"/>
      <c r="R508" s="16"/>
      <c r="S508" s="16"/>
      <c r="T508" s="16"/>
      <c r="U508" s="16"/>
    </row>
    <row r="509" spans="1:21" s="30" customFormat="1">
      <c r="A509" s="13" t="s">
        <v>92</v>
      </c>
      <c r="B509" s="25" t="s">
        <v>69</v>
      </c>
      <c r="C509" s="26" t="s">
        <v>71</v>
      </c>
      <c r="D509" s="26" t="s">
        <v>66</v>
      </c>
      <c r="E509" s="26" t="s">
        <v>253</v>
      </c>
      <c r="F509" s="26" t="s">
        <v>138</v>
      </c>
      <c r="G509" s="27">
        <f>G510</f>
        <v>263500</v>
      </c>
      <c r="H509" s="27">
        <f t="shared" si="349"/>
        <v>237150</v>
      </c>
      <c r="I509" s="27">
        <f t="shared" si="349"/>
        <v>237150</v>
      </c>
      <c r="J509" s="16">
        <f>'БА в тыс. руб.'!G509*1000</f>
        <v>263500</v>
      </c>
      <c r="K509" s="169">
        <f t="shared" si="311"/>
        <v>0</v>
      </c>
      <c r="L509" s="16">
        <f>'БА в тыс. руб.'!H509*1000</f>
        <v>237150</v>
      </c>
      <c r="M509" s="169">
        <f t="shared" si="312"/>
        <v>0</v>
      </c>
      <c r="N509" s="16">
        <f>'БА в тыс. руб.'!I509*1000</f>
        <v>237150</v>
      </c>
      <c r="O509" s="169">
        <f t="shared" si="313"/>
        <v>0</v>
      </c>
      <c r="P509" s="16"/>
      <c r="Q509" s="16"/>
      <c r="R509" s="16"/>
      <c r="S509" s="16"/>
      <c r="T509" s="16"/>
      <c r="U509" s="16"/>
    </row>
    <row r="510" spans="1:21" s="83" customFormat="1">
      <c r="A510" s="12" t="s">
        <v>1016</v>
      </c>
      <c r="B510" s="25" t="s">
        <v>69</v>
      </c>
      <c r="C510" s="26" t="s">
        <v>71</v>
      </c>
      <c r="D510" s="26" t="s">
        <v>66</v>
      </c>
      <c r="E510" s="26" t="s">
        <v>253</v>
      </c>
      <c r="F510" s="26" t="s">
        <v>1046</v>
      </c>
      <c r="G510" s="27">
        <f t="shared" ref="G510" si="350">J510</f>
        <v>263500</v>
      </c>
      <c r="H510" s="27">
        <f>L510</f>
        <v>237150</v>
      </c>
      <c r="I510" s="27">
        <f>N510</f>
        <v>237150</v>
      </c>
      <c r="J510" s="16">
        <f>'БА в тыс. руб.'!G510*1000</f>
        <v>263500</v>
      </c>
      <c r="K510" s="169">
        <f t="shared" si="311"/>
        <v>0</v>
      </c>
      <c r="L510" s="16">
        <f>'БА в тыс. руб.'!H510*1000</f>
        <v>237150</v>
      </c>
      <c r="M510" s="169">
        <f t="shared" si="312"/>
        <v>0</v>
      </c>
      <c r="N510" s="16">
        <f>'БА в тыс. руб.'!I510*1000</f>
        <v>237150</v>
      </c>
      <c r="O510" s="169">
        <f t="shared" si="313"/>
        <v>0</v>
      </c>
      <c r="P510" s="16"/>
      <c r="Q510" s="16"/>
      <c r="R510" s="16"/>
      <c r="S510" s="16"/>
      <c r="T510" s="16"/>
      <c r="U510" s="16"/>
    </row>
    <row r="511" spans="1:21" s="30" customFormat="1" ht="25.5">
      <c r="A511" s="11" t="s">
        <v>755</v>
      </c>
      <c r="B511" s="25" t="s">
        <v>69</v>
      </c>
      <c r="C511" s="26" t="s">
        <v>71</v>
      </c>
      <c r="D511" s="26" t="s">
        <v>66</v>
      </c>
      <c r="E511" s="26" t="s">
        <v>256</v>
      </c>
      <c r="F511" s="26" t="s">
        <v>58</v>
      </c>
      <c r="G511" s="27">
        <f t="shared" ref="G511:I514" si="351">G512</f>
        <v>1972000</v>
      </c>
      <c r="H511" s="27">
        <f t="shared" si="351"/>
        <v>1774800</v>
      </c>
      <c r="I511" s="27">
        <f t="shared" si="351"/>
        <v>1774800</v>
      </c>
      <c r="J511" s="16">
        <f>'БА в тыс. руб.'!G511*1000</f>
        <v>1972000</v>
      </c>
      <c r="K511" s="169">
        <f t="shared" si="311"/>
        <v>0</v>
      </c>
      <c r="L511" s="16">
        <f>'БА в тыс. руб.'!H511*1000</f>
        <v>1774800</v>
      </c>
      <c r="M511" s="169">
        <f t="shared" si="312"/>
        <v>0</v>
      </c>
      <c r="N511" s="16">
        <f>'БА в тыс. руб.'!I511*1000</f>
        <v>1774800</v>
      </c>
      <c r="O511" s="169">
        <f t="shared" si="313"/>
        <v>0</v>
      </c>
      <c r="P511" s="16"/>
      <c r="Q511" s="16"/>
      <c r="R511" s="16"/>
      <c r="S511" s="16"/>
      <c r="T511" s="16"/>
      <c r="U511" s="16"/>
    </row>
    <row r="512" spans="1:21" s="30" customFormat="1" ht="25.5">
      <c r="A512" s="11" t="s">
        <v>616</v>
      </c>
      <c r="B512" s="25" t="s">
        <v>69</v>
      </c>
      <c r="C512" s="26" t="s">
        <v>71</v>
      </c>
      <c r="D512" s="26" t="s">
        <v>66</v>
      </c>
      <c r="E512" s="26" t="s">
        <v>321</v>
      </c>
      <c r="F512" s="26" t="s">
        <v>58</v>
      </c>
      <c r="G512" s="27">
        <f t="shared" si="351"/>
        <v>1972000</v>
      </c>
      <c r="H512" s="27">
        <f t="shared" si="351"/>
        <v>1774800</v>
      </c>
      <c r="I512" s="27">
        <f t="shared" si="351"/>
        <v>1774800</v>
      </c>
      <c r="J512" s="16">
        <f>'БА в тыс. руб.'!G512*1000</f>
        <v>1972000</v>
      </c>
      <c r="K512" s="169">
        <f t="shared" si="311"/>
        <v>0</v>
      </c>
      <c r="L512" s="16">
        <f>'БА в тыс. руб.'!H512*1000</f>
        <v>1774800</v>
      </c>
      <c r="M512" s="169">
        <f t="shared" si="312"/>
        <v>0</v>
      </c>
      <c r="N512" s="16">
        <f>'БА в тыс. руб.'!I512*1000</f>
        <v>1774800</v>
      </c>
      <c r="O512" s="169">
        <f t="shared" si="313"/>
        <v>0</v>
      </c>
      <c r="P512" s="16"/>
      <c r="Q512" s="16"/>
      <c r="R512" s="16"/>
      <c r="S512" s="16"/>
      <c r="T512" s="16"/>
      <c r="U512" s="16"/>
    </row>
    <row r="513" spans="1:21" s="30" customFormat="1" ht="25.5">
      <c r="A513" s="11" t="s">
        <v>133</v>
      </c>
      <c r="B513" s="25" t="s">
        <v>69</v>
      </c>
      <c r="C513" s="26" t="s">
        <v>71</v>
      </c>
      <c r="D513" s="26" t="s">
        <v>66</v>
      </c>
      <c r="E513" s="26" t="s">
        <v>322</v>
      </c>
      <c r="F513" s="26" t="s">
        <v>58</v>
      </c>
      <c r="G513" s="27">
        <f t="shared" si="351"/>
        <v>1972000</v>
      </c>
      <c r="H513" s="27">
        <f t="shared" si="351"/>
        <v>1774800</v>
      </c>
      <c r="I513" s="27">
        <f t="shared" si="351"/>
        <v>1774800</v>
      </c>
      <c r="J513" s="16">
        <f>'БА в тыс. руб.'!G513*1000</f>
        <v>1972000</v>
      </c>
      <c r="K513" s="169">
        <f t="shared" si="311"/>
        <v>0</v>
      </c>
      <c r="L513" s="16">
        <f>'БА в тыс. руб.'!H513*1000</f>
        <v>1774800</v>
      </c>
      <c r="M513" s="169">
        <f t="shared" si="312"/>
        <v>0</v>
      </c>
      <c r="N513" s="16">
        <f>'БА в тыс. руб.'!I513*1000</f>
        <v>1774800</v>
      </c>
      <c r="O513" s="169">
        <f t="shared" si="313"/>
        <v>0</v>
      </c>
      <c r="P513" s="16"/>
      <c r="Q513" s="16"/>
      <c r="R513" s="16"/>
      <c r="S513" s="16"/>
      <c r="T513" s="16"/>
      <c r="U513" s="16"/>
    </row>
    <row r="514" spans="1:21" s="30" customFormat="1">
      <c r="A514" s="13" t="s">
        <v>92</v>
      </c>
      <c r="B514" s="25" t="s">
        <v>69</v>
      </c>
      <c r="C514" s="26" t="s">
        <v>71</v>
      </c>
      <c r="D514" s="26" t="s">
        <v>66</v>
      </c>
      <c r="E514" s="26" t="s">
        <v>322</v>
      </c>
      <c r="F514" s="26" t="s">
        <v>138</v>
      </c>
      <c r="G514" s="27">
        <f>G515</f>
        <v>1972000</v>
      </c>
      <c r="H514" s="27">
        <f t="shared" si="351"/>
        <v>1774800</v>
      </c>
      <c r="I514" s="27">
        <f t="shared" si="351"/>
        <v>1774800</v>
      </c>
      <c r="J514" s="16">
        <f>'БА в тыс. руб.'!G514*1000</f>
        <v>1972000</v>
      </c>
      <c r="K514" s="169">
        <f t="shared" si="311"/>
        <v>0</v>
      </c>
      <c r="L514" s="16">
        <f>'БА в тыс. руб.'!H514*1000</f>
        <v>1774800</v>
      </c>
      <c r="M514" s="169">
        <f t="shared" si="312"/>
        <v>0</v>
      </c>
      <c r="N514" s="16">
        <f>'БА в тыс. руб.'!I514*1000</f>
        <v>1774800</v>
      </c>
      <c r="O514" s="169">
        <f t="shared" si="313"/>
        <v>0</v>
      </c>
      <c r="P514" s="16"/>
      <c r="Q514" s="16"/>
      <c r="R514" s="16"/>
      <c r="S514" s="16"/>
      <c r="T514" s="16"/>
      <c r="U514" s="16"/>
    </row>
    <row r="515" spans="1:21" s="83" customFormat="1">
      <c r="A515" s="12" t="s">
        <v>1016</v>
      </c>
      <c r="B515" s="25" t="s">
        <v>69</v>
      </c>
      <c r="C515" s="26" t="s">
        <v>71</v>
      </c>
      <c r="D515" s="26" t="s">
        <v>66</v>
      </c>
      <c r="E515" s="26" t="s">
        <v>322</v>
      </c>
      <c r="F515" s="26" t="s">
        <v>1046</v>
      </c>
      <c r="G515" s="27">
        <f t="shared" ref="G515" si="352">J515</f>
        <v>1972000</v>
      </c>
      <c r="H515" s="27">
        <f>L515</f>
        <v>1774800</v>
      </c>
      <c r="I515" s="27">
        <f>N515</f>
        <v>1774800</v>
      </c>
      <c r="J515" s="16">
        <f>'БА в тыс. руб.'!G515*1000</f>
        <v>1972000</v>
      </c>
      <c r="K515" s="169">
        <f t="shared" si="311"/>
        <v>0</v>
      </c>
      <c r="L515" s="16">
        <f>'БА в тыс. руб.'!H515*1000</f>
        <v>1774800</v>
      </c>
      <c r="M515" s="169">
        <f t="shared" si="312"/>
        <v>0</v>
      </c>
      <c r="N515" s="16">
        <f>'БА в тыс. руб.'!I515*1000</f>
        <v>1774800</v>
      </c>
      <c r="O515" s="169">
        <f t="shared" si="313"/>
        <v>0</v>
      </c>
      <c r="P515" s="16"/>
      <c r="Q515" s="16"/>
      <c r="R515" s="16"/>
      <c r="S515" s="16"/>
      <c r="T515" s="16"/>
      <c r="U515" s="16"/>
    </row>
    <row r="516" spans="1:21" s="30" customFormat="1" ht="63.75">
      <c r="A516" s="11" t="s">
        <v>756</v>
      </c>
      <c r="B516" s="25" t="s">
        <v>69</v>
      </c>
      <c r="C516" s="26" t="s">
        <v>71</v>
      </c>
      <c r="D516" s="26" t="s">
        <v>66</v>
      </c>
      <c r="E516" s="26" t="s">
        <v>339</v>
      </c>
      <c r="F516" s="26" t="s">
        <v>58</v>
      </c>
      <c r="G516" s="27">
        <f t="shared" ref="G516:I518" si="353">G517</f>
        <v>3076060</v>
      </c>
      <c r="H516" s="27">
        <f t="shared" si="353"/>
        <v>2776060</v>
      </c>
      <c r="I516" s="27">
        <f t="shared" si="353"/>
        <v>2776060</v>
      </c>
      <c r="J516" s="16">
        <f>'БА в тыс. руб.'!G516*1000</f>
        <v>3076060</v>
      </c>
      <c r="K516" s="169">
        <f t="shared" si="311"/>
        <v>0</v>
      </c>
      <c r="L516" s="16">
        <f>'БА в тыс. руб.'!H516*1000</f>
        <v>2776060</v>
      </c>
      <c r="M516" s="169">
        <f t="shared" si="312"/>
        <v>0</v>
      </c>
      <c r="N516" s="16">
        <f>'БА в тыс. руб.'!I516*1000</f>
        <v>2776060</v>
      </c>
      <c r="O516" s="169">
        <f t="shared" si="313"/>
        <v>0</v>
      </c>
      <c r="P516" s="16"/>
      <c r="Q516" s="16"/>
      <c r="R516" s="16"/>
      <c r="S516" s="16"/>
      <c r="T516" s="16"/>
      <c r="U516" s="16"/>
    </row>
    <row r="517" spans="1:21" s="30" customFormat="1" ht="25.5">
      <c r="A517" s="11" t="s">
        <v>136</v>
      </c>
      <c r="B517" s="25" t="s">
        <v>69</v>
      </c>
      <c r="C517" s="26" t="s">
        <v>71</v>
      </c>
      <c r="D517" s="26" t="s">
        <v>66</v>
      </c>
      <c r="E517" s="26" t="s">
        <v>340</v>
      </c>
      <c r="F517" s="26" t="s">
        <v>58</v>
      </c>
      <c r="G517" s="27">
        <f t="shared" si="353"/>
        <v>3076060</v>
      </c>
      <c r="H517" s="27">
        <f t="shared" si="353"/>
        <v>2776060</v>
      </c>
      <c r="I517" s="27">
        <f t="shared" si="353"/>
        <v>2776060</v>
      </c>
      <c r="J517" s="16">
        <f>'БА в тыс. руб.'!G517*1000</f>
        <v>3076060</v>
      </c>
      <c r="K517" s="169">
        <f t="shared" si="311"/>
        <v>0</v>
      </c>
      <c r="L517" s="16">
        <f>'БА в тыс. руб.'!H517*1000</f>
        <v>2776060</v>
      </c>
      <c r="M517" s="169">
        <f t="shared" si="312"/>
        <v>0</v>
      </c>
      <c r="N517" s="16">
        <f>'БА в тыс. руб.'!I517*1000</f>
        <v>2776060</v>
      </c>
      <c r="O517" s="169">
        <f t="shared" si="313"/>
        <v>0</v>
      </c>
      <c r="P517" s="16"/>
      <c r="Q517" s="16"/>
      <c r="R517" s="16"/>
      <c r="S517" s="16"/>
      <c r="T517" s="16"/>
      <c r="U517" s="16"/>
    </row>
    <row r="518" spans="1:21" s="30" customFormat="1" ht="25.5">
      <c r="A518" s="11" t="s">
        <v>667</v>
      </c>
      <c r="B518" s="25" t="s">
        <v>69</v>
      </c>
      <c r="C518" s="26" t="s">
        <v>71</v>
      </c>
      <c r="D518" s="26" t="s">
        <v>66</v>
      </c>
      <c r="E518" s="26" t="s">
        <v>609</v>
      </c>
      <c r="F518" s="26" t="s">
        <v>58</v>
      </c>
      <c r="G518" s="27">
        <f t="shared" si="353"/>
        <v>3076060</v>
      </c>
      <c r="H518" s="27">
        <f t="shared" si="353"/>
        <v>2776060</v>
      </c>
      <c r="I518" s="27">
        <f t="shared" si="353"/>
        <v>2776060</v>
      </c>
      <c r="J518" s="16">
        <f>'БА в тыс. руб.'!G518*1000</f>
        <v>3076060</v>
      </c>
      <c r="K518" s="169">
        <f t="shared" si="311"/>
        <v>0</v>
      </c>
      <c r="L518" s="16">
        <f>'БА в тыс. руб.'!H518*1000</f>
        <v>2776060</v>
      </c>
      <c r="M518" s="169">
        <f t="shared" si="312"/>
        <v>0</v>
      </c>
      <c r="N518" s="16">
        <f>'БА в тыс. руб.'!I518*1000</f>
        <v>2776060</v>
      </c>
      <c r="O518" s="169">
        <f t="shared" si="313"/>
        <v>0</v>
      </c>
      <c r="P518" s="16"/>
      <c r="Q518" s="16"/>
      <c r="R518" s="16"/>
      <c r="S518" s="16"/>
      <c r="T518" s="16"/>
      <c r="U518" s="16"/>
    </row>
    <row r="519" spans="1:21" s="30" customFormat="1" ht="38.25">
      <c r="A519" s="11" t="s">
        <v>177</v>
      </c>
      <c r="B519" s="25" t="s">
        <v>69</v>
      </c>
      <c r="C519" s="26" t="s">
        <v>71</v>
      </c>
      <c r="D519" s="26" t="s">
        <v>66</v>
      </c>
      <c r="E519" s="26" t="s">
        <v>610</v>
      </c>
      <c r="F519" s="26" t="s">
        <v>58</v>
      </c>
      <c r="G519" s="27">
        <f>G520+G522</f>
        <v>3076060</v>
      </c>
      <c r="H519" s="27">
        <f>H520+H522</f>
        <v>2776060</v>
      </c>
      <c r="I519" s="27">
        <f>I520+I522</f>
        <v>2776060</v>
      </c>
      <c r="J519" s="16">
        <f>'БА в тыс. руб.'!G519*1000</f>
        <v>3076060</v>
      </c>
      <c r="K519" s="169">
        <f t="shared" si="311"/>
        <v>0</v>
      </c>
      <c r="L519" s="16">
        <f>'БА в тыс. руб.'!H519*1000</f>
        <v>2776060</v>
      </c>
      <c r="M519" s="169">
        <f t="shared" si="312"/>
        <v>0</v>
      </c>
      <c r="N519" s="16">
        <f>'БА в тыс. руб.'!I519*1000</f>
        <v>2776060</v>
      </c>
      <c r="O519" s="169">
        <f t="shared" si="313"/>
        <v>0</v>
      </c>
      <c r="P519" s="16"/>
      <c r="Q519" s="16"/>
      <c r="R519" s="16"/>
      <c r="S519" s="16"/>
      <c r="T519" s="16"/>
      <c r="U519" s="16"/>
    </row>
    <row r="520" spans="1:21" s="30" customFormat="1">
      <c r="A520" s="13" t="s">
        <v>92</v>
      </c>
      <c r="B520" s="25" t="s">
        <v>69</v>
      </c>
      <c r="C520" s="26" t="s">
        <v>71</v>
      </c>
      <c r="D520" s="26" t="s">
        <v>66</v>
      </c>
      <c r="E520" s="26" t="s">
        <v>610</v>
      </c>
      <c r="F520" s="26" t="s">
        <v>138</v>
      </c>
      <c r="G520" s="27">
        <f>G521</f>
        <v>2927360</v>
      </c>
      <c r="H520" s="27">
        <f t="shared" ref="H520:I520" si="354">H521</f>
        <v>2627360</v>
      </c>
      <c r="I520" s="27">
        <f t="shared" si="354"/>
        <v>2627360</v>
      </c>
      <c r="J520" s="16">
        <f>'БА в тыс. руб.'!G520*1000</f>
        <v>2927360</v>
      </c>
      <c r="K520" s="169">
        <f t="shared" ref="K520:K583" si="355">J520-G520</f>
        <v>0</v>
      </c>
      <c r="L520" s="16">
        <f>'БА в тыс. руб.'!H520*1000</f>
        <v>2627360</v>
      </c>
      <c r="M520" s="169">
        <f t="shared" ref="M520:M583" si="356">L520-H520</f>
        <v>0</v>
      </c>
      <c r="N520" s="16">
        <f>'БА в тыс. руб.'!I520*1000</f>
        <v>2627360</v>
      </c>
      <c r="O520" s="169">
        <f t="shared" ref="O520:O583" si="357">N520-I520</f>
        <v>0</v>
      </c>
      <c r="P520" s="16"/>
      <c r="Q520" s="16"/>
      <c r="R520" s="16"/>
      <c r="S520" s="16"/>
      <c r="T520" s="16"/>
      <c r="U520" s="16"/>
    </row>
    <row r="521" spans="1:21" s="83" customFormat="1">
      <c r="A521" s="12" t="s">
        <v>1016</v>
      </c>
      <c r="B521" s="25" t="s">
        <v>69</v>
      </c>
      <c r="C521" s="26" t="s">
        <v>71</v>
      </c>
      <c r="D521" s="26" t="s">
        <v>66</v>
      </c>
      <c r="E521" s="26" t="s">
        <v>610</v>
      </c>
      <c r="F521" s="26" t="s">
        <v>1046</v>
      </c>
      <c r="G521" s="27">
        <f t="shared" ref="G521" si="358">J521</f>
        <v>2927360</v>
      </c>
      <c r="H521" s="27">
        <f>L521</f>
        <v>2627360</v>
      </c>
      <c r="I521" s="27">
        <f>N521</f>
        <v>2627360</v>
      </c>
      <c r="J521" s="16">
        <f>'БА в тыс. руб.'!G521*1000</f>
        <v>2927360</v>
      </c>
      <c r="K521" s="169">
        <f t="shared" si="355"/>
        <v>0</v>
      </c>
      <c r="L521" s="16">
        <f>'БА в тыс. руб.'!H521*1000</f>
        <v>2627360</v>
      </c>
      <c r="M521" s="169">
        <f t="shared" si="356"/>
        <v>0</v>
      </c>
      <c r="N521" s="16">
        <f>'БА в тыс. руб.'!I521*1000</f>
        <v>2627360</v>
      </c>
      <c r="O521" s="169">
        <f t="shared" si="357"/>
        <v>0</v>
      </c>
      <c r="P521" s="16"/>
      <c r="Q521" s="16"/>
      <c r="R521" s="16"/>
      <c r="S521" s="16"/>
      <c r="T521" s="16"/>
      <c r="U521" s="16"/>
    </row>
    <row r="522" spans="1:21" s="30" customFormat="1">
      <c r="A522" s="13" t="s">
        <v>93</v>
      </c>
      <c r="B522" s="25" t="s">
        <v>69</v>
      </c>
      <c r="C522" s="26" t="s">
        <v>71</v>
      </c>
      <c r="D522" s="26" t="s">
        <v>66</v>
      </c>
      <c r="E522" s="26" t="s">
        <v>610</v>
      </c>
      <c r="F522" s="26" t="s">
        <v>20</v>
      </c>
      <c r="G522" s="27">
        <f>G523</f>
        <v>148700</v>
      </c>
      <c r="H522" s="27">
        <f t="shared" ref="H522:I522" si="359">H523</f>
        <v>148700</v>
      </c>
      <c r="I522" s="27">
        <f t="shared" si="359"/>
        <v>148700</v>
      </c>
      <c r="J522" s="16">
        <f>'БА в тыс. руб.'!G522*1000</f>
        <v>148700</v>
      </c>
      <c r="K522" s="169">
        <f t="shared" si="355"/>
        <v>0</v>
      </c>
      <c r="L522" s="16">
        <f>'БА в тыс. руб.'!H522*1000</f>
        <v>148700</v>
      </c>
      <c r="M522" s="169">
        <f t="shared" si="356"/>
        <v>0</v>
      </c>
      <c r="N522" s="16">
        <f>'БА в тыс. руб.'!I522*1000</f>
        <v>148700</v>
      </c>
      <c r="O522" s="169">
        <f t="shared" si="357"/>
        <v>0</v>
      </c>
      <c r="P522" s="16"/>
      <c r="Q522" s="16"/>
      <c r="R522" s="16"/>
      <c r="S522" s="16"/>
      <c r="T522" s="16"/>
      <c r="U522" s="16"/>
    </row>
    <row r="523" spans="1:21" s="83" customFormat="1">
      <c r="A523" s="12" t="s">
        <v>1019</v>
      </c>
      <c r="B523" s="25" t="s">
        <v>69</v>
      </c>
      <c r="C523" s="26" t="s">
        <v>71</v>
      </c>
      <c r="D523" s="26" t="s">
        <v>66</v>
      </c>
      <c r="E523" s="26" t="s">
        <v>610</v>
      </c>
      <c r="F523" s="26" t="s">
        <v>1054</v>
      </c>
      <c r="G523" s="27">
        <f t="shared" ref="G523" si="360">J523</f>
        <v>148700</v>
      </c>
      <c r="H523" s="27">
        <f>L523</f>
        <v>148700</v>
      </c>
      <c r="I523" s="27">
        <f>N523</f>
        <v>148700</v>
      </c>
      <c r="J523" s="16">
        <f>'БА в тыс. руб.'!G523*1000</f>
        <v>148700</v>
      </c>
      <c r="K523" s="169">
        <f t="shared" si="355"/>
        <v>0</v>
      </c>
      <c r="L523" s="16">
        <f>'БА в тыс. руб.'!H523*1000</f>
        <v>148700</v>
      </c>
      <c r="M523" s="169">
        <f t="shared" si="356"/>
        <v>0</v>
      </c>
      <c r="N523" s="16">
        <f>'БА в тыс. руб.'!I523*1000</f>
        <v>148700</v>
      </c>
      <c r="O523" s="169">
        <f t="shared" si="357"/>
        <v>0</v>
      </c>
      <c r="P523" s="16"/>
      <c r="Q523" s="16"/>
      <c r="R523" s="16"/>
      <c r="S523" s="16"/>
      <c r="T523" s="16"/>
      <c r="U523" s="16"/>
    </row>
    <row r="524" spans="1:21" s="30" customFormat="1" ht="25.5">
      <c r="A524" s="13" t="s">
        <v>759</v>
      </c>
      <c r="B524" s="25" t="s">
        <v>69</v>
      </c>
      <c r="C524" s="26" t="s">
        <v>71</v>
      </c>
      <c r="D524" s="26" t="s">
        <v>66</v>
      </c>
      <c r="E524" s="26" t="s">
        <v>259</v>
      </c>
      <c r="F524" s="26" t="s">
        <v>58</v>
      </c>
      <c r="G524" s="27">
        <f t="shared" ref="G524:I528" si="361">G525</f>
        <v>102000</v>
      </c>
      <c r="H524" s="27">
        <f t="shared" si="361"/>
        <v>91800</v>
      </c>
      <c r="I524" s="27">
        <f t="shared" si="361"/>
        <v>91800</v>
      </c>
      <c r="J524" s="16">
        <f>'БА в тыс. руб.'!G524*1000</f>
        <v>102000</v>
      </c>
      <c r="K524" s="169">
        <f t="shared" si="355"/>
        <v>0</v>
      </c>
      <c r="L524" s="16">
        <f>'БА в тыс. руб.'!H524*1000</f>
        <v>91800</v>
      </c>
      <c r="M524" s="169">
        <f t="shared" si="356"/>
        <v>0</v>
      </c>
      <c r="N524" s="16">
        <f>'БА в тыс. руб.'!I524*1000</f>
        <v>91800</v>
      </c>
      <c r="O524" s="169">
        <f t="shared" si="357"/>
        <v>0</v>
      </c>
      <c r="P524" s="16"/>
      <c r="Q524" s="16"/>
      <c r="R524" s="16"/>
      <c r="S524" s="16"/>
      <c r="T524" s="16"/>
      <c r="U524" s="16"/>
    </row>
    <row r="525" spans="1:21" s="30" customFormat="1" ht="25.5">
      <c r="A525" s="13" t="s">
        <v>760</v>
      </c>
      <c r="B525" s="25" t="s">
        <v>69</v>
      </c>
      <c r="C525" s="26" t="s">
        <v>71</v>
      </c>
      <c r="D525" s="26" t="s">
        <v>66</v>
      </c>
      <c r="E525" s="26" t="s">
        <v>260</v>
      </c>
      <c r="F525" s="26" t="s">
        <v>58</v>
      </c>
      <c r="G525" s="27">
        <f t="shared" si="361"/>
        <v>102000</v>
      </c>
      <c r="H525" s="27">
        <f t="shared" si="361"/>
        <v>91800</v>
      </c>
      <c r="I525" s="27">
        <f t="shared" si="361"/>
        <v>91800</v>
      </c>
      <c r="J525" s="16">
        <f>'БА в тыс. руб.'!G525*1000</f>
        <v>102000</v>
      </c>
      <c r="K525" s="169">
        <f t="shared" si="355"/>
        <v>0</v>
      </c>
      <c r="L525" s="16">
        <f>'БА в тыс. руб.'!H525*1000</f>
        <v>91800</v>
      </c>
      <c r="M525" s="169">
        <f t="shared" si="356"/>
        <v>0</v>
      </c>
      <c r="N525" s="16">
        <f>'БА в тыс. руб.'!I525*1000</f>
        <v>91800</v>
      </c>
      <c r="O525" s="169">
        <f t="shared" si="357"/>
        <v>0</v>
      </c>
      <c r="P525" s="16"/>
      <c r="Q525" s="16"/>
      <c r="R525" s="16"/>
      <c r="S525" s="16"/>
      <c r="T525" s="16"/>
      <c r="U525" s="16"/>
    </row>
    <row r="526" spans="1:21" s="30" customFormat="1" ht="51">
      <c r="A526" s="11" t="s">
        <v>784</v>
      </c>
      <c r="B526" s="25" t="s">
        <v>69</v>
      </c>
      <c r="C526" s="26" t="s">
        <v>71</v>
      </c>
      <c r="D526" s="26" t="s">
        <v>66</v>
      </c>
      <c r="E526" s="26" t="s">
        <v>785</v>
      </c>
      <c r="F526" s="26" t="s">
        <v>58</v>
      </c>
      <c r="G526" s="27">
        <f t="shared" si="361"/>
        <v>102000</v>
      </c>
      <c r="H526" s="27">
        <f t="shared" si="361"/>
        <v>91800</v>
      </c>
      <c r="I526" s="27">
        <f t="shared" si="361"/>
        <v>91800</v>
      </c>
      <c r="J526" s="16">
        <f>'БА в тыс. руб.'!G526*1000</f>
        <v>102000</v>
      </c>
      <c r="K526" s="169">
        <f t="shared" si="355"/>
        <v>0</v>
      </c>
      <c r="L526" s="16">
        <f>'БА в тыс. руб.'!H526*1000</f>
        <v>91800</v>
      </c>
      <c r="M526" s="169">
        <f t="shared" si="356"/>
        <v>0</v>
      </c>
      <c r="N526" s="16">
        <f>'БА в тыс. руб.'!I526*1000</f>
        <v>91800</v>
      </c>
      <c r="O526" s="169">
        <f t="shared" si="357"/>
        <v>0</v>
      </c>
      <c r="P526" s="16"/>
      <c r="Q526" s="16"/>
      <c r="R526" s="16"/>
      <c r="S526" s="16"/>
      <c r="T526" s="16"/>
      <c r="U526" s="16"/>
    </row>
    <row r="527" spans="1:21" s="30" customFormat="1" ht="25.5">
      <c r="A527" s="11" t="s">
        <v>786</v>
      </c>
      <c r="B527" s="25" t="s">
        <v>69</v>
      </c>
      <c r="C527" s="26" t="s">
        <v>71</v>
      </c>
      <c r="D527" s="26" t="s">
        <v>66</v>
      </c>
      <c r="E527" s="26" t="s">
        <v>787</v>
      </c>
      <c r="F527" s="26" t="s">
        <v>58</v>
      </c>
      <c r="G527" s="27">
        <f t="shared" si="361"/>
        <v>102000</v>
      </c>
      <c r="H527" s="27">
        <f t="shared" si="361"/>
        <v>91800</v>
      </c>
      <c r="I527" s="27">
        <f t="shared" si="361"/>
        <v>91800</v>
      </c>
      <c r="J527" s="16">
        <f>'БА в тыс. руб.'!G527*1000</f>
        <v>102000</v>
      </c>
      <c r="K527" s="169">
        <f t="shared" si="355"/>
        <v>0</v>
      </c>
      <c r="L527" s="16">
        <f>'БА в тыс. руб.'!H527*1000</f>
        <v>91800</v>
      </c>
      <c r="M527" s="169">
        <f t="shared" si="356"/>
        <v>0</v>
      </c>
      <c r="N527" s="16">
        <f>'БА в тыс. руб.'!I527*1000</f>
        <v>91800</v>
      </c>
      <c r="O527" s="169">
        <f t="shared" si="357"/>
        <v>0</v>
      </c>
      <c r="P527" s="16"/>
      <c r="Q527" s="16"/>
      <c r="R527" s="16"/>
      <c r="S527" s="16"/>
      <c r="T527" s="16"/>
      <c r="U527" s="16"/>
    </row>
    <row r="528" spans="1:21" s="30" customFormat="1">
      <c r="A528" s="13" t="s">
        <v>92</v>
      </c>
      <c r="B528" s="25" t="s">
        <v>69</v>
      </c>
      <c r="C528" s="26" t="s">
        <v>71</v>
      </c>
      <c r="D528" s="26" t="s">
        <v>66</v>
      </c>
      <c r="E528" s="26" t="s">
        <v>787</v>
      </c>
      <c r="F528" s="26" t="s">
        <v>138</v>
      </c>
      <c r="G528" s="27">
        <f>G529</f>
        <v>102000</v>
      </c>
      <c r="H528" s="27">
        <f t="shared" si="361"/>
        <v>91800</v>
      </c>
      <c r="I528" s="27">
        <f t="shared" si="361"/>
        <v>91800</v>
      </c>
      <c r="J528" s="16">
        <f>'БА в тыс. руб.'!G528*1000</f>
        <v>102000</v>
      </c>
      <c r="K528" s="169">
        <f t="shared" si="355"/>
        <v>0</v>
      </c>
      <c r="L528" s="16">
        <f>'БА в тыс. руб.'!H528*1000</f>
        <v>91800</v>
      </c>
      <c r="M528" s="169">
        <f t="shared" si="356"/>
        <v>0</v>
      </c>
      <c r="N528" s="16">
        <f>'БА в тыс. руб.'!I528*1000</f>
        <v>91800</v>
      </c>
      <c r="O528" s="169">
        <f t="shared" si="357"/>
        <v>0</v>
      </c>
      <c r="P528" s="16"/>
      <c r="Q528" s="16"/>
      <c r="R528" s="16"/>
      <c r="S528" s="16"/>
      <c r="T528" s="16"/>
      <c r="U528" s="16"/>
    </row>
    <row r="529" spans="1:21" s="83" customFormat="1">
      <c r="A529" s="12" t="s">
        <v>1016</v>
      </c>
      <c r="B529" s="25" t="s">
        <v>69</v>
      </c>
      <c r="C529" s="26" t="s">
        <v>71</v>
      </c>
      <c r="D529" s="26" t="s">
        <v>66</v>
      </c>
      <c r="E529" s="26" t="s">
        <v>787</v>
      </c>
      <c r="F529" s="26" t="s">
        <v>1046</v>
      </c>
      <c r="G529" s="27">
        <f t="shared" ref="G529" si="362">J529</f>
        <v>102000</v>
      </c>
      <c r="H529" s="27">
        <f>L529</f>
        <v>91800</v>
      </c>
      <c r="I529" s="27">
        <f>N529</f>
        <v>91800</v>
      </c>
      <c r="J529" s="16">
        <f>'БА в тыс. руб.'!G529*1000</f>
        <v>102000</v>
      </c>
      <c r="K529" s="169">
        <f t="shared" si="355"/>
        <v>0</v>
      </c>
      <c r="L529" s="16">
        <f>'БА в тыс. руб.'!H529*1000</f>
        <v>91800</v>
      </c>
      <c r="M529" s="169">
        <f t="shared" si="356"/>
        <v>0</v>
      </c>
      <c r="N529" s="16">
        <f>'БА в тыс. руб.'!I529*1000</f>
        <v>91800</v>
      </c>
      <c r="O529" s="169">
        <f t="shared" si="357"/>
        <v>0</v>
      </c>
      <c r="P529" s="16"/>
      <c r="Q529" s="16"/>
      <c r="R529" s="16"/>
      <c r="S529" s="16"/>
      <c r="T529" s="16"/>
      <c r="U529" s="16"/>
    </row>
    <row r="530" spans="1:21" s="30" customFormat="1">
      <c r="A530" s="21" t="s">
        <v>779</v>
      </c>
      <c r="B530" s="22" t="s">
        <v>69</v>
      </c>
      <c r="C530" s="23" t="s">
        <v>71</v>
      </c>
      <c r="D530" s="23" t="s">
        <v>53</v>
      </c>
      <c r="E530" s="23" t="s">
        <v>196</v>
      </c>
      <c r="F530" s="23" t="s">
        <v>58</v>
      </c>
      <c r="G530" s="24">
        <f>G531+G539</f>
        <v>163705890</v>
      </c>
      <c r="H530" s="24">
        <f>H531+H539</f>
        <v>163923570</v>
      </c>
      <c r="I530" s="24">
        <f>I531+I539</f>
        <v>163923570</v>
      </c>
      <c r="J530" s="16">
        <f>'БА в тыс. руб.'!G530*1000</f>
        <v>163705890</v>
      </c>
      <c r="K530" s="169">
        <f t="shared" si="355"/>
        <v>0</v>
      </c>
      <c r="L530" s="16">
        <f>'БА в тыс. руб.'!H530*1000</f>
        <v>163923570</v>
      </c>
      <c r="M530" s="169">
        <f t="shared" si="356"/>
        <v>0</v>
      </c>
      <c r="N530" s="16">
        <f>'БА в тыс. руб.'!I530*1000</f>
        <v>163923570</v>
      </c>
      <c r="O530" s="169">
        <f t="shared" si="357"/>
        <v>0</v>
      </c>
      <c r="P530" s="16"/>
      <c r="Q530" s="16"/>
      <c r="R530" s="16"/>
      <c r="S530" s="16"/>
      <c r="T530" s="16"/>
      <c r="U530" s="16"/>
    </row>
    <row r="531" spans="1:21" s="30" customFormat="1" ht="25.5">
      <c r="A531" s="13" t="s">
        <v>723</v>
      </c>
      <c r="B531" s="25" t="s">
        <v>69</v>
      </c>
      <c r="C531" s="26" t="s">
        <v>71</v>
      </c>
      <c r="D531" s="26" t="s">
        <v>53</v>
      </c>
      <c r="E531" s="26" t="s">
        <v>331</v>
      </c>
      <c r="F531" s="26" t="s">
        <v>58</v>
      </c>
      <c r="G531" s="27">
        <f>G532</f>
        <v>163360390</v>
      </c>
      <c r="H531" s="27">
        <f t="shared" ref="H531:I533" si="363">H532</f>
        <v>163621070</v>
      </c>
      <c r="I531" s="27">
        <f t="shared" si="363"/>
        <v>163621070</v>
      </c>
      <c r="J531" s="16">
        <f>'БА в тыс. руб.'!G531*1000</f>
        <v>163360390</v>
      </c>
      <c r="K531" s="169">
        <f t="shared" si="355"/>
        <v>0</v>
      </c>
      <c r="L531" s="16">
        <f>'БА в тыс. руб.'!H531*1000</f>
        <v>163621070</v>
      </c>
      <c r="M531" s="169">
        <f t="shared" si="356"/>
        <v>0</v>
      </c>
      <c r="N531" s="16">
        <f>'БА в тыс. руб.'!I531*1000</f>
        <v>163621070</v>
      </c>
      <c r="O531" s="169">
        <f t="shared" si="357"/>
        <v>0</v>
      </c>
      <c r="P531" s="16"/>
      <c r="Q531" s="16"/>
      <c r="R531" s="16"/>
      <c r="S531" s="16"/>
      <c r="T531" s="16"/>
      <c r="U531" s="16"/>
    </row>
    <row r="532" spans="1:21" s="30" customFormat="1" ht="25.5">
      <c r="A532" s="13" t="s">
        <v>860</v>
      </c>
      <c r="B532" s="25" t="s">
        <v>69</v>
      </c>
      <c r="C532" s="26" t="s">
        <v>71</v>
      </c>
      <c r="D532" s="26" t="s">
        <v>53</v>
      </c>
      <c r="E532" s="26" t="s">
        <v>332</v>
      </c>
      <c r="F532" s="26" t="s">
        <v>58</v>
      </c>
      <c r="G532" s="27">
        <f>G533</f>
        <v>163360390</v>
      </c>
      <c r="H532" s="27">
        <f t="shared" si="363"/>
        <v>163621070</v>
      </c>
      <c r="I532" s="27">
        <f t="shared" si="363"/>
        <v>163621070</v>
      </c>
      <c r="J532" s="16">
        <f>'БА в тыс. руб.'!G532*1000</f>
        <v>163360390</v>
      </c>
      <c r="K532" s="169">
        <f t="shared" si="355"/>
        <v>0</v>
      </c>
      <c r="L532" s="16">
        <f>'БА в тыс. руб.'!H532*1000</f>
        <v>163621070</v>
      </c>
      <c r="M532" s="169">
        <f t="shared" si="356"/>
        <v>0</v>
      </c>
      <c r="N532" s="16">
        <f>'БА в тыс. руб.'!I532*1000</f>
        <v>163621070</v>
      </c>
      <c r="O532" s="169">
        <f t="shared" si="357"/>
        <v>0</v>
      </c>
      <c r="P532" s="16"/>
      <c r="Q532" s="16"/>
      <c r="R532" s="16"/>
      <c r="S532" s="16"/>
      <c r="T532" s="16"/>
      <c r="U532" s="16"/>
    </row>
    <row r="533" spans="1:21" s="30" customFormat="1" ht="38.25">
      <c r="A533" s="34" t="s">
        <v>630</v>
      </c>
      <c r="B533" s="35" t="s">
        <v>69</v>
      </c>
      <c r="C533" s="36" t="s">
        <v>71</v>
      </c>
      <c r="D533" s="36" t="s">
        <v>53</v>
      </c>
      <c r="E533" s="36" t="s">
        <v>351</v>
      </c>
      <c r="F533" s="36" t="s">
        <v>58</v>
      </c>
      <c r="G533" s="37">
        <f>G534</f>
        <v>163360390</v>
      </c>
      <c r="H533" s="37">
        <f t="shared" si="363"/>
        <v>163621070</v>
      </c>
      <c r="I533" s="37">
        <f t="shared" si="363"/>
        <v>163621070</v>
      </c>
      <c r="J533" s="16">
        <f>'БА в тыс. руб.'!G533*1000</f>
        <v>163360390</v>
      </c>
      <c r="K533" s="169">
        <f t="shared" si="355"/>
        <v>0</v>
      </c>
      <c r="L533" s="16">
        <f>'БА в тыс. руб.'!H533*1000</f>
        <v>163621070</v>
      </c>
      <c r="M533" s="169">
        <f t="shared" si="356"/>
        <v>0</v>
      </c>
      <c r="N533" s="16">
        <f>'БА в тыс. руб.'!I533*1000</f>
        <v>163621070</v>
      </c>
      <c r="O533" s="169">
        <f t="shared" si="357"/>
        <v>0</v>
      </c>
      <c r="P533" s="16"/>
      <c r="Q533" s="16"/>
      <c r="R533" s="16"/>
      <c r="S533" s="16"/>
      <c r="T533" s="16"/>
      <c r="U533" s="16"/>
    </row>
    <row r="534" spans="1:21" s="30" customFormat="1" ht="25.5">
      <c r="A534" s="40" t="s">
        <v>247</v>
      </c>
      <c r="B534" s="35" t="s">
        <v>69</v>
      </c>
      <c r="C534" s="36" t="s">
        <v>71</v>
      </c>
      <c r="D534" s="36" t="s">
        <v>53</v>
      </c>
      <c r="E534" s="36" t="s">
        <v>352</v>
      </c>
      <c r="F534" s="36" t="s">
        <v>58</v>
      </c>
      <c r="G534" s="37">
        <f>G535+G537</f>
        <v>163360390</v>
      </c>
      <c r="H534" s="37">
        <f t="shared" ref="H534:I534" si="364">H535+H537</f>
        <v>163621070</v>
      </c>
      <c r="I534" s="37">
        <f t="shared" si="364"/>
        <v>163621070</v>
      </c>
      <c r="J534" s="16">
        <f>'БА в тыс. руб.'!G534*1000</f>
        <v>163360390</v>
      </c>
      <c r="K534" s="169">
        <f t="shared" si="355"/>
        <v>0</v>
      </c>
      <c r="L534" s="16">
        <f>'БА в тыс. руб.'!H534*1000</f>
        <v>163621070</v>
      </c>
      <c r="M534" s="169">
        <f t="shared" si="356"/>
        <v>0</v>
      </c>
      <c r="N534" s="16">
        <f>'БА в тыс. руб.'!I534*1000</f>
        <v>163621070</v>
      </c>
      <c r="O534" s="169">
        <f t="shared" si="357"/>
        <v>0</v>
      </c>
      <c r="P534" s="16"/>
      <c r="Q534" s="16"/>
      <c r="R534" s="16"/>
      <c r="S534" s="16"/>
      <c r="T534" s="16"/>
      <c r="U534" s="16"/>
    </row>
    <row r="535" spans="1:21" s="30" customFormat="1">
      <c r="A535" s="40" t="s">
        <v>92</v>
      </c>
      <c r="B535" s="35" t="s">
        <v>69</v>
      </c>
      <c r="C535" s="36" t="s">
        <v>71</v>
      </c>
      <c r="D535" s="36" t="s">
        <v>53</v>
      </c>
      <c r="E535" s="36" t="s">
        <v>352</v>
      </c>
      <c r="F535" s="36" t="s">
        <v>138</v>
      </c>
      <c r="G535" s="27">
        <f>G536</f>
        <v>145597390</v>
      </c>
      <c r="H535" s="27">
        <f t="shared" ref="H535:I535" si="365">H536</f>
        <v>145858070</v>
      </c>
      <c r="I535" s="27">
        <f t="shared" si="365"/>
        <v>145858070</v>
      </c>
      <c r="J535" s="16">
        <f>'БА в тыс. руб.'!G535*1000</f>
        <v>145597390</v>
      </c>
      <c r="K535" s="169">
        <f t="shared" si="355"/>
        <v>0</v>
      </c>
      <c r="L535" s="16">
        <f>'БА в тыс. руб.'!H535*1000</f>
        <v>145858070</v>
      </c>
      <c r="M535" s="169">
        <f t="shared" si="356"/>
        <v>0</v>
      </c>
      <c r="N535" s="16">
        <f>'БА в тыс. руб.'!I535*1000</f>
        <v>145858070</v>
      </c>
      <c r="O535" s="169">
        <f t="shared" si="357"/>
        <v>0</v>
      </c>
      <c r="P535" s="16"/>
      <c r="Q535" s="16"/>
      <c r="R535" s="16"/>
      <c r="S535" s="16"/>
      <c r="T535" s="16"/>
      <c r="U535" s="16"/>
    </row>
    <row r="536" spans="1:21" s="83" customFormat="1" ht="38.25">
      <c r="A536" s="12" t="s">
        <v>1015</v>
      </c>
      <c r="B536" s="35" t="s">
        <v>69</v>
      </c>
      <c r="C536" s="36" t="s">
        <v>71</v>
      </c>
      <c r="D536" s="36" t="s">
        <v>53</v>
      </c>
      <c r="E536" s="36" t="s">
        <v>352</v>
      </c>
      <c r="F536" s="36" t="s">
        <v>67</v>
      </c>
      <c r="G536" s="27">
        <f t="shared" ref="G536" si="366">J536</f>
        <v>145597390</v>
      </c>
      <c r="H536" s="27">
        <f>L536</f>
        <v>145858070</v>
      </c>
      <c r="I536" s="27">
        <f>N536</f>
        <v>145858070</v>
      </c>
      <c r="J536" s="16">
        <f>'БА в тыс. руб.'!G536*1000</f>
        <v>145597390</v>
      </c>
      <c r="K536" s="169">
        <f t="shared" si="355"/>
        <v>0</v>
      </c>
      <c r="L536" s="16">
        <f>'БА в тыс. руб.'!H536*1000</f>
        <v>145858070</v>
      </c>
      <c r="M536" s="169">
        <f t="shared" si="356"/>
        <v>0</v>
      </c>
      <c r="N536" s="16">
        <f>'БА в тыс. руб.'!I536*1000</f>
        <v>145858070</v>
      </c>
      <c r="O536" s="169">
        <f t="shared" si="357"/>
        <v>0</v>
      </c>
      <c r="P536" s="16"/>
      <c r="Q536" s="16"/>
      <c r="R536" s="16"/>
      <c r="S536" s="16"/>
      <c r="T536" s="16"/>
      <c r="U536" s="16"/>
    </row>
    <row r="537" spans="1:21" s="30" customFormat="1">
      <c r="A537" s="40" t="s">
        <v>93</v>
      </c>
      <c r="B537" s="35" t="s">
        <v>69</v>
      </c>
      <c r="C537" s="36" t="s">
        <v>71</v>
      </c>
      <c r="D537" s="36" t="s">
        <v>53</v>
      </c>
      <c r="E537" s="36" t="s">
        <v>352</v>
      </c>
      <c r="F537" s="36" t="s">
        <v>20</v>
      </c>
      <c r="G537" s="27">
        <f>G538</f>
        <v>17763000</v>
      </c>
      <c r="H537" s="27">
        <f t="shared" ref="H537:I537" si="367">H538</f>
        <v>17763000</v>
      </c>
      <c r="I537" s="27">
        <f t="shared" si="367"/>
        <v>17763000</v>
      </c>
      <c r="J537" s="16">
        <f>'БА в тыс. руб.'!G537*1000</f>
        <v>17763000</v>
      </c>
      <c r="K537" s="169">
        <f t="shared" si="355"/>
        <v>0</v>
      </c>
      <c r="L537" s="16">
        <f>'БА в тыс. руб.'!H537*1000</f>
        <v>17763000</v>
      </c>
      <c r="M537" s="169">
        <f t="shared" si="356"/>
        <v>0</v>
      </c>
      <c r="N537" s="16">
        <f>'БА в тыс. руб.'!I537*1000</f>
        <v>17763000</v>
      </c>
      <c r="O537" s="169">
        <f t="shared" si="357"/>
        <v>0</v>
      </c>
      <c r="P537" s="16"/>
      <c r="Q537" s="16"/>
      <c r="R537" s="16"/>
      <c r="S537" s="16"/>
      <c r="T537" s="16"/>
      <c r="U537" s="16"/>
    </row>
    <row r="538" spans="1:21" s="83" customFormat="1" ht="38.25">
      <c r="A538" s="12" t="s">
        <v>1018</v>
      </c>
      <c r="B538" s="35" t="s">
        <v>69</v>
      </c>
      <c r="C538" s="36" t="s">
        <v>71</v>
      </c>
      <c r="D538" s="36" t="s">
        <v>53</v>
      </c>
      <c r="E538" s="36" t="s">
        <v>352</v>
      </c>
      <c r="F538" s="36" t="s">
        <v>16</v>
      </c>
      <c r="G538" s="27">
        <f t="shared" ref="G538" si="368">J538</f>
        <v>17763000</v>
      </c>
      <c r="H538" s="27">
        <f>L538</f>
        <v>17763000</v>
      </c>
      <c r="I538" s="27">
        <f>N538</f>
        <v>17763000</v>
      </c>
      <c r="J538" s="16">
        <f>'БА в тыс. руб.'!G538*1000</f>
        <v>17763000</v>
      </c>
      <c r="K538" s="169">
        <f t="shared" si="355"/>
        <v>0</v>
      </c>
      <c r="L538" s="16">
        <f>'БА в тыс. руб.'!H538*1000</f>
        <v>17763000</v>
      </c>
      <c r="M538" s="169">
        <f t="shared" si="356"/>
        <v>0</v>
      </c>
      <c r="N538" s="16">
        <f>'БА в тыс. руб.'!I538*1000</f>
        <v>17763000</v>
      </c>
      <c r="O538" s="169">
        <f t="shared" si="357"/>
        <v>0</v>
      </c>
      <c r="P538" s="16"/>
      <c r="Q538" s="16"/>
      <c r="R538" s="16"/>
      <c r="S538" s="16"/>
      <c r="T538" s="16"/>
      <c r="U538" s="16"/>
    </row>
    <row r="539" spans="1:21" s="30" customFormat="1" ht="63.75">
      <c r="A539" s="11" t="s">
        <v>756</v>
      </c>
      <c r="B539" s="25" t="s">
        <v>69</v>
      </c>
      <c r="C539" s="36" t="s">
        <v>71</v>
      </c>
      <c r="D539" s="36" t="s">
        <v>53</v>
      </c>
      <c r="E539" s="26" t="s">
        <v>339</v>
      </c>
      <c r="F539" s="26" t="s">
        <v>58</v>
      </c>
      <c r="G539" s="27">
        <f t="shared" ref="G539:I541" si="369">G540</f>
        <v>345500</v>
      </c>
      <c r="H539" s="27">
        <f t="shared" si="369"/>
        <v>302500</v>
      </c>
      <c r="I539" s="27">
        <f t="shared" si="369"/>
        <v>302500</v>
      </c>
      <c r="J539" s="16">
        <f>'БА в тыс. руб.'!G539*1000</f>
        <v>345500</v>
      </c>
      <c r="K539" s="169">
        <f t="shared" si="355"/>
        <v>0</v>
      </c>
      <c r="L539" s="16">
        <f>'БА в тыс. руб.'!H539*1000</f>
        <v>302500</v>
      </c>
      <c r="M539" s="169">
        <f t="shared" si="356"/>
        <v>0</v>
      </c>
      <c r="N539" s="16">
        <f>'БА в тыс. руб.'!I539*1000</f>
        <v>302500</v>
      </c>
      <c r="O539" s="169">
        <f t="shared" si="357"/>
        <v>0</v>
      </c>
      <c r="P539" s="16"/>
      <c r="Q539" s="16"/>
      <c r="R539" s="16"/>
      <c r="S539" s="16"/>
      <c r="T539" s="16"/>
      <c r="U539" s="16"/>
    </row>
    <row r="540" spans="1:21" s="30" customFormat="1" ht="25.5">
      <c r="A540" s="11" t="s">
        <v>136</v>
      </c>
      <c r="B540" s="25" t="s">
        <v>69</v>
      </c>
      <c r="C540" s="36" t="s">
        <v>71</v>
      </c>
      <c r="D540" s="36" t="s">
        <v>53</v>
      </c>
      <c r="E540" s="26" t="s">
        <v>340</v>
      </c>
      <c r="F540" s="26" t="s">
        <v>58</v>
      </c>
      <c r="G540" s="27">
        <f t="shared" si="369"/>
        <v>345500</v>
      </c>
      <c r="H540" s="27">
        <f t="shared" si="369"/>
        <v>302500</v>
      </c>
      <c r="I540" s="27">
        <f t="shared" si="369"/>
        <v>302500</v>
      </c>
      <c r="J540" s="16">
        <f>'БА в тыс. руб.'!G540*1000</f>
        <v>345500</v>
      </c>
      <c r="K540" s="169">
        <f t="shared" si="355"/>
        <v>0</v>
      </c>
      <c r="L540" s="16">
        <f>'БА в тыс. руб.'!H540*1000</f>
        <v>302500</v>
      </c>
      <c r="M540" s="169">
        <f t="shared" si="356"/>
        <v>0</v>
      </c>
      <c r="N540" s="16">
        <f>'БА в тыс. руб.'!I540*1000</f>
        <v>302500</v>
      </c>
      <c r="O540" s="169">
        <f t="shared" si="357"/>
        <v>0</v>
      </c>
      <c r="P540" s="16"/>
      <c r="Q540" s="16"/>
      <c r="R540" s="16"/>
      <c r="S540" s="16"/>
      <c r="T540" s="16"/>
      <c r="U540" s="16"/>
    </row>
    <row r="541" spans="1:21" s="30" customFormat="1" ht="25.5">
      <c r="A541" s="11" t="s">
        <v>667</v>
      </c>
      <c r="B541" s="25" t="s">
        <v>69</v>
      </c>
      <c r="C541" s="36" t="s">
        <v>71</v>
      </c>
      <c r="D541" s="36" t="s">
        <v>53</v>
      </c>
      <c r="E541" s="26" t="s">
        <v>609</v>
      </c>
      <c r="F541" s="26" t="s">
        <v>58</v>
      </c>
      <c r="G541" s="27">
        <f t="shared" si="369"/>
        <v>345500</v>
      </c>
      <c r="H541" s="27">
        <f t="shared" si="369"/>
        <v>302500</v>
      </c>
      <c r="I541" s="27">
        <f t="shared" si="369"/>
        <v>302500</v>
      </c>
      <c r="J541" s="16">
        <f>'БА в тыс. руб.'!G541*1000</f>
        <v>345500</v>
      </c>
      <c r="K541" s="169">
        <f t="shared" si="355"/>
        <v>0</v>
      </c>
      <c r="L541" s="16">
        <f>'БА в тыс. руб.'!H541*1000</f>
        <v>302500</v>
      </c>
      <c r="M541" s="169">
        <f t="shared" si="356"/>
        <v>0</v>
      </c>
      <c r="N541" s="16">
        <f>'БА в тыс. руб.'!I541*1000</f>
        <v>302500</v>
      </c>
      <c r="O541" s="169">
        <f t="shared" si="357"/>
        <v>0</v>
      </c>
      <c r="P541" s="16"/>
      <c r="Q541" s="16"/>
      <c r="R541" s="16"/>
      <c r="S541" s="16"/>
      <c r="T541" s="16"/>
      <c r="U541" s="16"/>
    </row>
    <row r="542" spans="1:21" s="30" customFormat="1" ht="38.25">
      <c r="A542" s="11" t="s">
        <v>177</v>
      </c>
      <c r="B542" s="25" t="s">
        <v>69</v>
      </c>
      <c r="C542" s="36" t="s">
        <v>71</v>
      </c>
      <c r="D542" s="36" t="s">
        <v>53</v>
      </c>
      <c r="E542" s="26" t="s">
        <v>610</v>
      </c>
      <c r="F542" s="26" t="s">
        <v>58</v>
      </c>
      <c r="G542" s="27">
        <f>G543+G545</f>
        <v>345500</v>
      </c>
      <c r="H542" s="27">
        <f t="shared" ref="H542:I542" si="370">H543+H545</f>
        <v>302500</v>
      </c>
      <c r="I542" s="27">
        <f t="shared" si="370"/>
        <v>302500</v>
      </c>
      <c r="J542" s="16">
        <f>'БА в тыс. руб.'!G542*1000</f>
        <v>345500</v>
      </c>
      <c r="K542" s="169">
        <f t="shared" si="355"/>
        <v>0</v>
      </c>
      <c r="L542" s="16">
        <f>'БА в тыс. руб.'!H542*1000</f>
        <v>302500</v>
      </c>
      <c r="M542" s="169">
        <f t="shared" si="356"/>
        <v>0</v>
      </c>
      <c r="N542" s="16">
        <f>'БА в тыс. руб.'!I542*1000</f>
        <v>302500</v>
      </c>
      <c r="O542" s="169">
        <f t="shared" si="357"/>
        <v>0</v>
      </c>
      <c r="P542" s="16"/>
      <c r="Q542" s="16"/>
      <c r="R542" s="16"/>
      <c r="S542" s="16"/>
      <c r="T542" s="16"/>
      <c r="U542" s="16"/>
    </row>
    <row r="543" spans="1:21" s="30" customFormat="1">
      <c r="A543" s="40" t="s">
        <v>92</v>
      </c>
      <c r="B543" s="25" t="s">
        <v>69</v>
      </c>
      <c r="C543" s="36" t="s">
        <v>71</v>
      </c>
      <c r="D543" s="36" t="s">
        <v>53</v>
      </c>
      <c r="E543" s="26" t="s">
        <v>610</v>
      </c>
      <c r="F543" s="26" t="s">
        <v>138</v>
      </c>
      <c r="G543" s="27">
        <f>G544</f>
        <v>286900</v>
      </c>
      <c r="H543" s="27">
        <f t="shared" ref="H543:I543" si="371">H544</f>
        <v>243900</v>
      </c>
      <c r="I543" s="27">
        <f t="shared" si="371"/>
        <v>243900</v>
      </c>
      <c r="J543" s="16">
        <f>'БА в тыс. руб.'!G543*1000</f>
        <v>286900</v>
      </c>
      <c r="K543" s="169">
        <f t="shared" si="355"/>
        <v>0</v>
      </c>
      <c r="L543" s="16">
        <f>'БА в тыс. руб.'!H543*1000</f>
        <v>243900</v>
      </c>
      <c r="M543" s="169">
        <f t="shared" si="356"/>
        <v>0</v>
      </c>
      <c r="N543" s="16">
        <f>'БА в тыс. руб.'!I543*1000</f>
        <v>243900</v>
      </c>
      <c r="O543" s="169">
        <f t="shared" si="357"/>
        <v>0</v>
      </c>
      <c r="P543" s="16"/>
      <c r="Q543" s="16"/>
      <c r="R543" s="16"/>
      <c r="S543" s="16"/>
      <c r="T543" s="16"/>
      <c r="U543" s="16"/>
    </row>
    <row r="544" spans="1:21" s="83" customFormat="1">
      <c r="A544" s="12" t="s">
        <v>1016</v>
      </c>
      <c r="B544" s="25" t="s">
        <v>69</v>
      </c>
      <c r="C544" s="36" t="s">
        <v>71</v>
      </c>
      <c r="D544" s="36" t="s">
        <v>53</v>
      </c>
      <c r="E544" s="26" t="s">
        <v>610</v>
      </c>
      <c r="F544" s="26" t="s">
        <v>1046</v>
      </c>
      <c r="G544" s="27">
        <f t="shared" ref="G544" si="372">J544</f>
        <v>286900</v>
      </c>
      <c r="H544" s="27">
        <f>L544</f>
        <v>243900</v>
      </c>
      <c r="I544" s="27">
        <f>N544</f>
        <v>243900</v>
      </c>
      <c r="J544" s="16">
        <f>'БА в тыс. руб.'!G544*1000</f>
        <v>286900</v>
      </c>
      <c r="K544" s="169">
        <f t="shared" si="355"/>
        <v>0</v>
      </c>
      <c r="L544" s="16">
        <f>'БА в тыс. руб.'!H544*1000</f>
        <v>243900</v>
      </c>
      <c r="M544" s="169">
        <f t="shared" si="356"/>
        <v>0</v>
      </c>
      <c r="N544" s="16">
        <f>'БА в тыс. руб.'!I544*1000</f>
        <v>243900</v>
      </c>
      <c r="O544" s="169">
        <f t="shared" si="357"/>
        <v>0</v>
      </c>
      <c r="P544" s="16"/>
      <c r="Q544" s="16"/>
      <c r="R544" s="16"/>
      <c r="S544" s="16"/>
      <c r="T544" s="16"/>
      <c r="U544" s="16"/>
    </row>
    <row r="545" spans="1:21" s="30" customFormat="1">
      <c r="A545" s="13" t="s">
        <v>93</v>
      </c>
      <c r="B545" s="25" t="s">
        <v>69</v>
      </c>
      <c r="C545" s="36" t="s">
        <v>71</v>
      </c>
      <c r="D545" s="36" t="s">
        <v>53</v>
      </c>
      <c r="E545" s="26" t="s">
        <v>610</v>
      </c>
      <c r="F545" s="26" t="s">
        <v>20</v>
      </c>
      <c r="G545" s="27">
        <f>G546</f>
        <v>58600</v>
      </c>
      <c r="H545" s="27">
        <f t="shared" ref="H545:I545" si="373">H546</f>
        <v>58600</v>
      </c>
      <c r="I545" s="27">
        <f t="shared" si="373"/>
        <v>58600</v>
      </c>
      <c r="J545" s="16">
        <f>'БА в тыс. руб.'!G545*1000</f>
        <v>58600</v>
      </c>
      <c r="K545" s="169">
        <f t="shared" si="355"/>
        <v>0</v>
      </c>
      <c r="L545" s="16">
        <f>'БА в тыс. руб.'!H545*1000</f>
        <v>58600</v>
      </c>
      <c r="M545" s="169">
        <f t="shared" si="356"/>
        <v>0</v>
      </c>
      <c r="N545" s="16">
        <f>'БА в тыс. руб.'!I545*1000</f>
        <v>58600</v>
      </c>
      <c r="O545" s="169">
        <f t="shared" si="357"/>
        <v>0</v>
      </c>
      <c r="P545" s="16"/>
      <c r="Q545" s="16"/>
      <c r="R545" s="16"/>
      <c r="S545" s="16"/>
      <c r="T545" s="16"/>
      <c r="U545" s="16"/>
    </row>
    <row r="546" spans="1:21" s="83" customFormat="1">
      <c r="A546" s="12" t="s">
        <v>1019</v>
      </c>
      <c r="B546" s="25" t="s">
        <v>69</v>
      </c>
      <c r="C546" s="36" t="s">
        <v>71</v>
      </c>
      <c r="D546" s="36" t="s">
        <v>53</v>
      </c>
      <c r="E546" s="26" t="s">
        <v>610</v>
      </c>
      <c r="F546" s="26" t="s">
        <v>1054</v>
      </c>
      <c r="G546" s="27">
        <f t="shared" ref="G546" si="374">J546</f>
        <v>58600</v>
      </c>
      <c r="H546" s="27">
        <f>L546</f>
        <v>58600</v>
      </c>
      <c r="I546" s="27">
        <f>N546</f>
        <v>58600</v>
      </c>
      <c r="J546" s="16">
        <f>'БА в тыс. руб.'!G546*1000</f>
        <v>58600</v>
      </c>
      <c r="K546" s="169">
        <f t="shared" si="355"/>
        <v>0</v>
      </c>
      <c r="L546" s="16">
        <f>'БА в тыс. руб.'!H546*1000</f>
        <v>58600</v>
      </c>
      <c r="M546" s="169">
        <f t="shared" si="356"/>
        <v>0</v>
      </c>
      <c r="N546" s="16">
        <f>'БА в тыс. руб.'!I546*1000</f>
        <v>58600</v>
      </c>
      <c r="O546" s="169">
        <f t="shared" si="357"/>
        <v>0</v>
      </c>
      <c r="P546" s="16"/>
      <c r="Q546" s="16"/>
      <c r="R546" s="16"/>
      <c r="S546" s="16"/>
      <c r="T546" s="16"/>
      <c r="U546" s="16"/>
    </row>
    <row r="547" spans="1:21" s="30" customFormat="1">
      <c r="A547" s="21" t="s">
        <v>783</v>
      </c>
      <c r="B547" s="22" t="s">
        <v>69</v>
      </c>
      <c r="C547" s="23" t="s">
        <v>71</v>
      </c>
      <c r="D547" s="23" t="s">
        <v>71</v>
      </c>
      <c r="E547" s="23" t="s">
        <v>196</v>
      </c>
      <c r="F547" s="23" t="s">
        <v>58</v>
      </c>
      <c r="G547" s="24">
        <f>G548+G557</f>
        <v>24969220</v>
      </c>
      <c r="H547" s="24">
        <f>H548+H557</f>
        <v>24921810</v>
      </c>
      <c r="I547" s="24">
        <f>I548+I557</f>
        <v>24921810</v>
      </c>
      <c r="J547" s="16">
        <f>'БА в тыс. руб.'!G547*1000</f>
        <v>24969219.999999996</v>
      </c>
      <c r="K547" s="169">
        <f t="shared" si="355"/>
        <v>0</v>
      </c>
      <c r="L547" s="16">
        <f>'БА в тыс. руб.'!H547*1000</f>
        <v>24921810</v>
      </c>
      <c r="M547" s="169">
        <f t="shared" si="356"/>
        <v>0</v>
      </c>
      <c r="N547" s="16">
        <f>'БА в тыс. руб.'!I547*1000</f>
        <v>24921810</v>
      </c>
      <c r="O547" s="169">
        <f t="shared" si="357"/>
        <v>0</v>
      </c>
      <c r="P547" s="16"/>
      <c r="Q547" s="16"/>
      <c r="R547" s="16"/>
      <c r="S547" s="16"/>
      <c r="T547" s="16"/>
      <c r="U547" s="16"/>
    </row>
    <row r="548" spans="1:21" s="30" customFormat="1" ht="25.5">
      <c r="A548" s="13" t="s">
        <v>723</v>
      </c>
      <c r="B548" s="25" t="s">
        <v>69</v>
      </c>
      <c r="C548" s="26" t="s">
        <v>71</v>
      </c>
      <c r="D548" s="26" t="s">
        <v>71</v>
      </c>
      <c r="E548" s="26" t="s">
        <v>331</v>
      </c>
      <c r="F548" s="26" t="s">
        <v>58</v>
      </c>
      <c r="G548" s="27">
        <f t="shared" ref="G548:I549" si="375">G549</f>
        <v>24854020</v>
      </c>
      <c r="H548" s="27">
        <f t="shared" si="375"/>
        <v>24876610</v>
      </c>
      <c r="I548" s="27">
        <f t="shared" si="375"/>
        <v>24876610</v>
      </c>
      <c r="J548" s="16">
        <f>'БА в тыс. руб.'!G548*1000</f>
        <v>24854019.999999996</v>
      </c>
      <c r="K548" s="169">
        <f t="shared" si="355"/>
        <v>0</v>
      </c>
      <c r="L548" s="16">
        <f>'БА в тыс. руб.'!H548*1000</f>
        <v>24876610</v>
      </c>
      <c r="M548" s="169">
        <f t="shared" si="356"/>
        <v>0</v>
      </c>
      <c r="N548" s="16">
        <f>'БА в тыс. руб.'!I548*1000</f>
        <v>24876610</v>
      </c>
      <c r="O548" s="169">
        <f t="shared" si="357"/>
        <v>0</v>
      </c>
      <c r="P548" s="16"/>
      <c r="Q548" s="16"/>
      <c r="R548" s="16"/>
      <c r="S548" s="16"/>
      <c r="T548" s="16"/>
      <c r="U548" s="16"/>
    </row>
    <row r="549" spans="1:21" s="30" customFormat="1" ht="25.5">
      <c r="A549" s="13" t="s">
        <v>860</v>
      </c>
      <c r="B549" s="25" t="s">
        <v>69</v>
      </c>
      <c r="C549" s="26" t="s">
        <v>71</v>
      </c>
      <c r="D549" s="26" t="s">
        <v>71</v>
      </c>
      <c r="E549" s="26" t="s">
        <v>332</v>
      </c>
      <c r="F549" s="26" t="s">
        <v>58</v>
      </c>
      <c r="G549" s="27">
        <f t="shared" si="375"/>
        <v>24854020</v>
      </c>
      <c r="H549" s="27">
        <f t="shared" si="375"/>
        <v>24876610</v>
      </c>
      <c r="I549" s="27">
        <f t="shared" si="375"/>
        <v>24876610</v>
      </c>
      <c r="J549" s="16">
        <f>'БА в тыс. руб.'!G549*1000</f>
        <v>24854019.999999996</v>
      </c>
      <c r="K549" s="169">
        <f t="shared" si="355"/>
        <v>0</v>
      </c>
      <c r="L549" s="16">
        <f>'БА в тыс. руб.'!H549*1000</f>
        <v>24876610</v>
      </c>
      <c r="M549" s="169">
        <f t="shared" si="356"/>
        <v>0</v>
      </c>
      <c r="N549" s="16">
        <f>'БА в тыс. руб.'!I549*1000</f>
        <v>24876610</v>
      </c>
      <c r="O549" s="169">
        <f t="shared" si="357"/>
        <v>0</v>
      </c>
      <c r="P549" s="16"/>
      <c r="Q549" s="16"/>
      <c r="R549" s="16"/>
      <c r="S549" s="16"/>
      <c r="T549" s="16"/>
      <c r="U549" s="16"/>
    </row>
    <row r="550" spans="1:21" s="30" customFormat="1" ht="25.5">
      <c r="A550" s="13" t="s">
        <v>631</v>
      </c>
      <c r="B550" s="25" t="s">
        <v>69</v>
      </c>
      <c r="C550" s="26" t="s">
        <v>71</v>
      </c>
      <c r="D550" s="26" t="s">
        <v>71</v>
      </c>
      <c r="E550" s="26" t="s">
        <v>353</v>
      </c>
      <c r="F550" s="26" t="s">
        <v>58</v>
      </c>
      <c r="G550" s="27">
        <f>G551+G554</f>
        <v>24854020</v>
      </c>
      <c r="H550" s="27">
        <f>H551+H554</f>
        <v>24876610</v>
      </c>
      <c r="I550" s="27">
        <f>I551+I554</f>
        <v>24876610</v>
      </c>
      <c r="J550" s="16">
        <f>'БА в тыс. руб.'!G550*1000</f>
        <v>24854019.999999996</v>
      </c>
      <c r="K550" s="169">
        <f t="shared" si="355"/>
        <v>0</v>
      </c>
      <c r="L550" s="16">
        <f>'БА в тыс. руб.'!H550*1000</f>
        <v>24876610</v>
      </c>
      <c r="M550" s="169">
        <f t="shared" si="356"/>
        <v>0</v>
      </c>
      <c r="N550" s="16">
        <f>'БА в тыс. руб.'!I550*1000</f>
        <v>24876610</v>
      </c>
      <c r="O550" s="169">
        <f t="shared" si="357"/>
        <v>0</v>
      </c>
      <c r="P550" s="16"/>
      <c r="Q550" s="16"/>
      <c r="R550" s="16"/>
      <c r="S550" s="16"/>
      <c r="T550" s="16"/>
      <c r="U550" s="16"/>
    </row>
    <row r="551" spans="1:21" s="30" customFormat="1" ht="25.5">
      <c r="A551" s="13" t="s">
        <v>247</v>
      </c>
      <c r="B551" s="25" t="s">
        <v>69</v>
      </c>
      <c r="C551" s="26" t="s">
        <v>71</v>
      </c>
      <c r="D551" s="26" t="s">
        <v>71</v>
      </c>
      <c r="E551" s="26" t="s">
        <v>354</v>
      </c>
      <c r="F551" s="26" t="s">
        <v>58</v>
      </c>
      <c r="G551" s="27">
        <f>G552</f>
        <v>6986650</v>
      </c>
      <c r="H551" s="27">
        <f>H552</f>
        <v>7009240</v>
      </c>
      <c r="I551" s="27">
        <f>I552</f>
        <v>7009240</v>
      </c>
      <c r="J551" s="16">
        <f>'БА в тыс. руб.'!G551*1000</f>
        <v>6986650</v>
      </c>
      <c r="K551" s="169">
        <f t="shared" si="355"/>
        <v>0</v>
      </c>
      <c r="L551" s="16">
        <f>'БА в тыс. руб.'!H551*1000</f>
        <v>7009240</v>
      </c>
      <c r="M551" s="169">
        <f t="shared" si="356"/>
        <v>0</v>
      </c>
      <c r="N551" s="16">
        <f>'БА в тыс. руб.'!I551*1000</f>
        <v>7009240</v>
      </c>
      <c r="O551" s="169">
        <f t="shared" si="357"/>
        <v>0</v>
      </c>
      <c r="P551" s="16"/>
      <c r="Q551" s="16"/>
      <c r="R551" s="16"/>
      <c r="S551" s="16"/>
      <c r="T551" s="16"/>
      <c r="U551" s="16"/>
    </row>
    <row r="552" spans="1:21" s="30" customFormat="1">
      <c r="A552" s="13" t="s">
        <v>93</v>
      </c>
      <c r="B552" s="25" t="s">
        <v>69</v>
      </c>
      <c r="C552" s="26" t="s">
        <v>71</v>
      </c>
      <c r="D552" s="26" t="s">
        <v>71</v>
      </c>
      <c r="E552" s="26" t="s">
        <v>354</v>
      </c>
      <c r="F552" s="26" t="s">
        <v>20</v>
      </c>
      <c r="G552" s="27">
        <f>G553</f>
        <v>6986650</v>
      </c>
      <c r="H552" s="27">
        <f t="shared" ref="H552:I552" si="376">H553</f>
        <v>7009240</v>
      </c>
      <c r="I552" s="27">
        <f t="shared" si="376"/>
        <v>7009240</v>
      </c>
      <c r="J552" s="16">
        <f>'БА в тыс. руб.'!G552*1000</f>
        <v>6986650</v>
      </c>
      <c r="K552" s="169">
        <f t="shared" si="355"/>
        <v>0</v>
      </c>
      <c r="L552" s="16">
        <f>'БА в тыс. руб.'!H552*1000</f>
        <v>7009240</v>
      </c>
      <c r="M552" s="169">
        <f t="shared" si="356"/>
        <v>0</v>
      </c>
      <c r="N552" s="16">
        <f>'БА в тыс. руб.'!I552*1000</f>
        <v>7009240</v>
      </c>
      <c r="O552" s="169">
        <f t="shared" si="357"/>
        <v>0</v>
      </c>
      <c r="P552" s="16"/>
      <c r="Q552" s="16"/>
      <c r="R552" s="16"/>
      <c r="S552" s="16"/>
      <c r="T552" s="16"/>
      <c r="U552" s="16"/>
    </row>
    <row r="553" spans="1:21" s="83" customFormat="1" ht="38.25">
      <c r="A553" s="12" t="s">
        <v>1018</v>
      </c>
      <c r="B553" s="25" t="s">
        <v>69</v>
      </c>
      <c r="C553" s="26" t="s">
        <v>71</v>
      </c>
      <c r="D553" s="26" t="s">
        <v>71</v>
      </c>
      <c r="E553" s="26" t="s">
        <v>354</v>
      </c>
      <c r="F553" s="26" t="s">
        <v>16</v>
      </c>
      <c r="G553" s="27">
        <f t="shared" ref="G553" si="377">J553</f>
        <v>6986650</v>
      </c>
      <c r="H553" s="27">
        <f>L553</f>
        <v>7009240</v>
      </c>
      <c r="I553" s="27">
        <f>N553</f>
        <v>7009240</v>
      </c>
      <c r="J553" s="16">
        <f>'БА в тыс. руб.'!G553*1000</f>
        <v>6986650</v>
      </c>
      <c r="K553" s="169">
        <f t="shared" si="355"/>
        <v>0</v>
      </c>
      <c r="L553" s="16">
        <f>'БА в тыс. руб.'!H553*1000</f>
        <v>7009240</v>
      </c>
      <c r="M553" s="169">
        <f t="shared" si="356"/>
        <v>0</v>
      </c>
      <c r="N553" s="16">
        <f>'БА в тыс. руб.'!I553*1000</f>
        <v>7009240</v>
      </c>
      <c r="O553" s="169">
        <f t="shared" si="357"/>
        <v>0</v>
      </c>
      <c r="P553" s="16"/>
      <c r="Q553" s="16"/>
      <c r="R553" s="16"/>
      <c r="S553" s="16"/>
      <c r="T553" s="16"/>
      <c r="U553" s="16"/>
    </row>
    <row r="554" spans="1:21" s="30" customFormat="1">
      <c r="A554" s="11" t="s">
        <v>355</v>
      </c>
      <c r="B554" s="25" t="s">
        <v>69</v>
      </c>
      <c r="C554" s="26" t="s">
        <v>71</v>
      </c>
      <c r="D554" s="26" t="s">
        <v>71</v>
      </c>
      <c r="E554" s="26" t="s">
        <v>356</v>
      </c>
      <c r="F554" s="26" t="s">
        <v>58</v>
      </c>
      <c r="G554" s="27">
        <f>G555</f>
        <v>17867370</v>
      </c>
      <c r="H554" s="27">
        <f>H555</f>
        <v>17867370</v>
      </c>
      <c r="I554" s="27">
        <f>I555</f>
        <v>17867370</v>
      </c>
      <c r="J554" s="16">
        <f>'БА в тыс. руб.'!G554*1000</f>
        <v>17867370</v>
      </c>
      <c r="K554" s="169">
        <f t="shared" si="355"/>
        <v>0</v>
      </c>
      <c r="L554" s="16">
        <f>'БА в тыс. руб.'!H554*1000</f>
        <v>17867370</v>
      </c>
      <c r="M554" s="169">
        <f t="shared" si="356"/>
        <v>0</v>
      </c>
      <c r="N554" s="16">
        <f>'БА в тыс. руб.'!I554*1000</f>
        <v>17867370</v>
      </c>
      <c r="O554" s="169">
        <f t="shared" si="357"/>
        <v>0</v>
      </c>
      <c r="P554" s="16"/>
      <c r="Q554" s="16"/>
      <c r="R554" s="16"/>
      <c r="S554" s="16"/>
      <c r="T554" s="16"/>
      <c r="U554" s="16"/>
    </row>
    <row r="555" spans="1:21" s="30" customFormat="1">
      <c r="A555" s="13" t="s">
        <v>92</v>
      </c>
      <c r="B555" s="25" t="s">
        <v>69</v>
      </c>
      <c r="C555" s="26" t="s">
        <v>71</v>
      </c>
      <c r="D555" s="26" t="s">
        <v>71</v>
      </c>
      <c r="E555" s="26" t="s">
        <v>356</v>
      </c>
      <c r="F555" s="26" t="s">
        <v>138</v>
      </c>
      <c r="G555" s="27">
        <f>G556</f>
        <v>17867370</v>
      </c>
      <c r="H555" s="27">
        <f t="shared" ref="H555:I555" si="378">H556</f>
        <v>17867370</v>
      </c>
      <c r="I555" s="27">
        <f t="shared" si="378"/>
        <v>17867370</v>
      </c>
      <c r="J555" s="16">
        <f>'БА в тыс. руб.'!G555*1000</f>
        <v>17867370</v>
      </c>
      <c r="K555" s="169">
        <f t="shared" si="355"/>
        <v>0</v>
      </c>
      <c r="L555" s="16">
        <f>'БА в тыс. руб.'!H555*1000</f>
        <v>17867370</v>
      </c>
      <c r="M555" s="169">
        <f t="shared" si="356"/>
        <v>0</v>
      </c>
      <c r="N555" s="16">
        <f>'БА в тыс. руб.'!I555*1000</f>
        <v>17867370</v>
      </c>
      <c r="O555" s="169">
        <f t="shared" si="357"/>
        <v>0</v>
      </c>
      <c r="P555" s="16"/>
      <c r="Q555" s="16"/>
      <c r="R555" s="16"/>
      <c r="S555" s="16"/>
      <c r="T555" s="16"/>
      <c r="U555" s="16"/>
    </row>
    <row r="556" spans="1:21" s="83" customFormat="1">
      <c r="A556" s="12" t="s">
        <v>1016</v>
      </c>
      <c r="B556" s="25" t="s">
        <v>69</v>
      </c>
      <c r="C556" s="26" t="s">
        <v>71</v>
      </c>
      <c r="D556" s="26" t="s">
        <v>71</v>
      </c>
      <c r="E556" s="26" t="s">
        <v>356</v>
      </c>
      <c r="F556" s="26" t="s">
        <v>1046</v>
      </c>
      <c r="G556" s="27">
        <f t="shared" ref="G556" si="379">J556</f>
        <v>17867370</v>
      </c>
      <c r="H556" s="27">
        <f>L556</f>
        <v>17867370</v>
      </c>
      <c r="I556" s="27">
        <f>N556</f>
        <v>17867370</v>
      </c>
      <c r="J556" s="16">
        <f>'БА в тыс. руб.'!G556*1000</f>
        <v>17867370</v>
      </c>
      <c r="K556" s="169">
        <f t="shared" si="355"/>
        <v>0</v>
      </c>
      <c r="L556" s="16">
        <f>'БА в тыс. руб.'!H556*1000</f>
        <v>17867370</v>
      </c>
      <c r="M556" s="169">
        <f t="shared" si="356"/>
        <v>0</v>
      </c>
      <c r="N556" s="16">
        <f>'БА в тыс. руб.'!I556*1000</f>
        <v>17867370</v>
      </c>
      <c r="O556" s="169">
        <f t="shared" si="357"/>
        <v>0</v>
      </c>
      <c r="P556" s="16"/>
      <c r="Q556" s="16"/>
      <c r="R556" s="16"/>
      <c r="S556" s="16"/>
      <c r="T556" s="16"/>
      <c r="U556" s="16"/>
    </row>
    <row r="557" spans="1:21" s="30" customFormat="1" ht="63.75">
      <c r="A557" s="11" t="s">
        <v>756</v>
      </c>
      <c r="B557" s="25" t="s">
        <v>69</v>
      </c>
      <c r="C557" s="26" t="s">
        <v>71</v>
      </c>
      <c r="D557" s="26" t="s">
        <v>71</v>
      </c>
      <c r="E557" s="26" t="s">
        <v>339</v>
      </c>
      <c r="F557" s="26" t="s">
        <v>58</v>
      </c>
      <c r="G557" s="27">
        <f t="shared" ref="G557:I561" si="380">G558</f>
        <v>115200</v>
      </c>
      <c r="H557" s="27">
        <f t="shared" si="380"/>
        <v>45200</v>
      </c>
      <c r="I557" s="27">
        <f t="shared" si="380"/>
        <v>45200</v>
      </c>
      <c r="J557" s="16">
        <f>'БА в тыс. руб.'!G557*1000</f>
        <v>115200</v>
      </c>
      <c r="K557" s="169">
        <f t="shared" si="355"/>
        <v>0</v>
      </c>
      <c r="L557" s="16">
        <f>'БА в тыс. руб.'!H557*1000</f>
        <v>45200</v>
      </c>
      <c r="M557" s="169">
        <f t="shared" si="356"/>
        <v>0</v>
      </c>
      <c r="N557" s="16">
        <f>'БА в тыс. руб.'!I557*1000</f>
        <v>45200</v>
      </c>
      <c r="O557" s="169">
        <f t="shared" si="357"/>
        <v>0</v>
      </c>
      <c r="P557" s="16"/>
      <c r="Q557" s="16"/>
      <c r="R557" s="16"/>
      <c r="S557" s="16"/>
      <c r="T557" s="16"/>
      <c r="U557" s="16"/>
    </row>
    <row r="558" spans="1:21" s="30" customFormat="1" ht="25.5">
      <c r="A558" s="11" t="s">
        <v>136</v>
      </c>
      <c r="B558" s="25" t="s">
        <v>69</v>
      </c>
      <c r="C558" s="26" t="s">
        <v>71</v>
      </c>
      <c r="D558" s="26" t="s">
        <v>71</v>
      </c>
      <c r="E558" s="26" t="s">
        <v>340</v>
      </c>
      <c r="F558" s="26" t="s">
        <v>58</v>
      </c>
      <c r="G558" s="27">
        <f t="shared" si="380"/>
        <v>115200</v>
      </c>
      <c r="H558" s="27">
        <f t="shared" si="380"/>
        <v>45200</v>
      </c>
      <c r="I558" s="27">
        <f t="shared" si="380"/>
        <v>45200</v>
      </c>
      <c r="J558" s="16">
        <f>'БА в тыс. руб.'!G558*1000</f>
        <v>115200</v>
      </c>
      <c r="K558" s="169">
        <f t="shared" si="355"/>
        <v>0</v>
      </c>
      <c r="L558" s="16">
        <f>'БА в тыс. руб.'!H558*1000</f>
        <v>45200</v>
      </c>
      <c r="M558" s="169">
        <f t="shared" si="356"/>
        <v>0</v>
      </c>
      <c r="N558" s="16">
        <f>'БА в тыс. руб.'!I558*1000</f>
        <v>45200</v>
      </c>
      <c r="O558" s="169">
        <f t="shared" si="357"/>
        <v>0</v>
      </c>
      <c r="P558" s="16"/>
      <c r="Q558" s="16"/>
      <c r="R558" s="16"/>
      <c r="S558" s="16"/>
      <c r="T558" s="16"/>
      <c r="U558" s="16"/>
    </row>
    <row r="559" spans="1:21" s="30" customFormat="1" ht="25.5">
      <c r="A559" s="11" t="s">
        <v>667</v>
      </c>
      <c r="B559" s="25" t="s">
        <v>69</v>
      </c>
      <c r="C559" s="26" t="s">
        <v>71</v>
      </c>
      <c r="D559" s="26" t="s">
        <v>71</v>
      </c>
      <c r="E559" s="26" t="s">
        <v>609</v>
      </c>
      <c r="F559" s="26" t="s">
        <v>58</v>
      </c>
      <c r="G559" s="27">
        <f t="shared" si="380"/>
        <v>115200</v>
      </c>
      <c r="H559" s="27">
        <f t="shared" si="380"/>
        <v>45200</v>
      </c>
      <c r="I559" s="27">
        <f t="shared" si="380"/>
        <v>45200</v>
      </c>
      <c r="J559" s="16">
        <f>'БА в тыс. руб.'!G559*1000</f>
        <v>115200</v>
      </c>
      <c r="K559" s="169">
        <f t="shared" si="355"/>
        <v>0</v>
      </c>
      <c r="L559" s="16">
        <f>'БА в тыс. руб.'!H559*1000</f>
        <v>45200</v>
      </c>
      <c r="M559" s="169">
        <f t="shared" si="356"/>
        <v>0</v>
      </c>
      <c r="N559" s="16">
        <f>'БА в тыс. руб.'!I559*1000</f>
        <v>45200</v>
      </c>
      <c r="O559" s="169">
        <f t="shared" si="357"/>
        <v>0</v>
      </c>
      <c r="P559" s="16"/>
      <c r="Q559" s="16"/>
      <c r="R559" s="16"/>
      <c r="S559" s="16"/>
      <c r="T559" s="16"/>
      <c r="U559" s="16"/>
    </row>
    <row r="560" spans="1:21" s="30" customFormat="1" ht="38.25">
      <c r="A560" s="11" t="s">
        <v>177</v>
      </c>
      <c r="B560" s="25" t="s">
        <v>69</v>
      </c>
      <c r="C560" s="26" t="s">
        <v>71</v>
      </c>
      <c r="D560" s="26" t="s">
        <v>71</v>
      </c>
      <c r="E560" s="26" t="s">
        <v>610</v>
      </c>
      <c r="F560" s="26" t="s">
        <v>58</v>
      </c>
      <c r="G560" s="27">
        <f t="shared" si="380"/>
        <v>115200</v>
      </c>
      <c r="H560" s="27">
        <f t="shared" si="380"/>
        <v>45200</v>
      </c>
      <c r="I560" s="27">
        <f t="shared" si="380"/>
        <v>45200</v>
      </c>
      <c r="J560" s="16">
        <f>'БА в тыс. руб.'!G560*1000</f>
        <v>115200</v>
      </c>
      <c r="K560" s="169">
        <f t="shared" si="355"/>
        <v>0</v>
      </c>
      <c r="L560" s="16">
        <f>'БА в тыс. руб.'!H560*1000</f>
        <v>45200</v>
      </c>
      <c r="M560" s="169">
        <f t="shared" si="356"/>
        <v>0</v>
      </c>
      <c r="N560" s="16">
        <f>'БА в тыс. руб.'!I560*1000</f>
        <v>45200</v>
      </c>
      <c r="O560" s="169">
        <f t="shared" si="357"/>
        <v>0</v>
      </c>
      <c r="P560" s="16"/>
      <c r="Q560" s="16"/>
      <c r="R560" s="16"/>
      <c r="S560" s="16"/>
      <c r="T560" s="16"/>
      <c r="U560" s="16"/>
    </row>
    <row r="561" spans="1:21" s="30" customFormat="1">
      <c r="A561" s="13" t="s">
        <v>93</v>
      </c>
      <c r="B561" s="25" t="s">
        <v>69</v>
      </c>
      <c r="C561" s="26" t="s">
        <v>71</v>
      </c>
      <c r="D561" s="26" t="s">
        <v>71</v>
      </c>
      <c r="E561" s="26" t="s">
        <v>610</v>
      </c>
      <c r="F561" s="26" t="s">
        <v>20</v>
      </c>
      <c r="G561" s="27">
        <f>G562</f>
        <v>115200</v>
      </c>
      <c r="H561" s="27">
        <f t="shared" si="380"/>
        <v>45200</v>
      </c>
      <c r="I561" s="27">
        <f t="shared" si="380"/>
        <v>45200</v>
      </c>
      <c r="J561" s="16">
        <f>'БА в тыс. руб.'!G561*1000</f>
        <v>115200</v>
      </c>
      <c r="K561" s="169">
        <f t="shared" si="355"/>
        <v>0</v>
      </c>
      <c r="L561" s="16">
        <f>'БА в тыс. руб.'!H561*1000</f>
        <v>45200</v>
      </c>
      <c r="M561" s="169">
        <f t="shared" si="356"/>
        <v>0</v>
      </c>
      <c r="N561" s="16">
        <f>'БА в тыс. руб.'!I561*1000</f>
        <v>45200</v>
      </c>
      <c r="O561" s="169">
        <f t="shared" si="357"/>
        <v>0</v>
      </c>
      <c r="P561" s="16"/>
      <c r="Q561" s="16"/>
      <c r="R561" s="16"/>
      <c r="S561" s="16"/>
      <c r="T561" s="16"/>
      <c r="U561" s="16"/>
    </row>
    <row r="562" spans="1:21" s="83" customFormat="1">
      <c r="A562" s="12" t="s">
        <v>1019</v>
      </c>
      <c r="B562" s="25" t="s">
        <v>69</v>
      </c>
      <c r="C562" s="26" t="s">
        <v>71</v>
      </c>
      <c r="D562" s="26" t="s">
        <v>71</v>
      </c>
      <c r="E562" s="26" t="s">
        <v>610</v>
      </c>
      <c r="F562" s="26" t="s">
        <v>1054</v>
      </c>
      <c r="G562" s="27">
        <f t="shared" ref="G562" si="381">J562</f>
        <v>115200</v>
      </c>
      <c r="H562" s="27">
        <f>L562</f>
        <v>45200</v>
      </c>
      <c r="I562" s="27">
        <f>N562</f>
        <v>45200</v>
      </c>
      <c r="J562" s="16">
        <f>'БА в тыс. руб.'!G562*1000</f>
        <v>115200</v>
      </c>
      <c r="K562" s="169">
        <f t="shared" si="355"/>
        <v>0</v>
      </c>
      <c r="L562" s="16">
        <f>'БА в тыс. руб.'!H562*1000</f>
        <v>45200</v>
      </c>
      <c r="M562" s="169">
        <f t="shared" si="356"/>
        <v>0</v>
      </c>
      <c r="N562" s="16">
        <f>'БА в тыс. руб.'!I562*1000</f>
        <v>45200</v>
      </c>
      <c r="O562" s="169">
        <f t="shared" si="357"/>
        <v>0</v>
      </c>
      <c r="P562" s="16"/>
      <c r="Q562" s="16"/>
      <c r="R562" s="16"/>
      <c r="S562" s="16"/>
      <c r="T562" s="16"/>
      <c r="U562" s="16"/>
    </row>
    <row r="563" spans="1:21" s="30" customFormat="1">
      <c r="A563" s="21" t="s">
        <v>24</v>
      </c>
      <c r="B563" s="22" t="s">
        <v>69</v>
      </c>
      <c r="C563" s="23" t="s">
        <v>71</v>
      </c>
      <c r="D563" s="23" t="s">
        <v>25</v>
      </c>
      <c r="E563" s="23" t="s">
        <v>196</v>
      </c>
      <c r="F563" s="23" t="s">
        <v>58</v>
      </c>
      <c r="G563" s="24">
        <f>G564+G582+G588</f>
        <v>44170170</v>
      </c>
      <c r="H563" s="24">
        <f>H564+H582+H588</f>
        <v>43599580</v>
      </c>
      <c r="I563" s="24">
        <f>I564+I582+I588</f>
        <v>43599580</v>
      </c>
      <c r="J563" s="16">
        <f>'БА в тыс. руб.'!G563*1000</f>
        <v>44170170</v>
      </c>
      <c r="K563" s="169">
        <f t="shared" si="355"/>
        <v>0</v>
      </c>
      <c r="L563" s="16">
        <f>'БА в тыс. руб.'!H563*1000</f>
        <v>43599580</v>
      </c>
      <c r="M563" s="169">
        <f t="shared" si="356"/>
        <v>0</v>
      </c>
      <c r="N563" s="16">
        <f>'БА в тыс. руб.'!I563*1000</f>
        <v>43599580</v>
      </c>
      <c r="O563" s="169">
        <f t="shared" si="357"/>
        <v>0</v>
      </c>
      <c r="P563" s="16"/>
      <c r="Q563" s="16"/>
      <c r="R563" s="16"/>
      <c r="S563" s="16"/>
      <c r="T563" s="16"/>
      <c r="U563" s="16"/>
    </row>
    <row r="564" spans="1:21" s="30" customFormat="1" ht="25.5">
      <c r="A564" s="13" t="s">
        <v>723</v>
      </c>
      <c r="B564" s="25" t="s">
        <v>69</v>
      </c>
      <c r="C564" s="26" t="s">
        <v>71</v>
      </c>
      <c r="D564" s="26" t="s">
        <v>25</v>
      </c>
      <c r="E564" s="26" t="s">
        <v>331</v>
      </c>
      <c r="F564" s="26" t="s">
        <v>58</v>
      </c>
      <c r="G564" s="27">
        <f>G565</f>
        <v>18420000</v>
      </c>
      <c r="H564" s="27">
        <f>H565</f>
        <v>17843770</v>
      </c>
      <c r="I564" s="27">
        <f>I565</f>
        <v>17843770</v>
      </c>
      <c r="J564" s="16">
        <f>'БА в тыс. руб.'!G564*1000</f>
        <v>18420000</v>
      </c>
      <c r="K564" s="169">
        <f t="shared" si="355"/>
        <v>0</v>
      </c>
      <c r="L564" s="16">
        <f>'БА в тыс. руб.'!H564*1000</f>
        <v>17843770</v>
      </c>
      <c r="M564" s="169">
        <f t="shared" si="356"/>
        <v>0</v>
      </c>
      <c r="N564" s="16">
        <f>'БА в тыс. руб.'!I564*1000</f>
        <v>17843770</v>
      </c>
      <c r="O564" s="169">
        <f t="shared" si="357"/>
        <v>0</v>
      </c>
      <c r="P564" s="16"/>
      <c r="Q564" s="16"/>
      <c r="R564" s="16"/>
      <c r="S564" s="16"/>
      <c r="T564" s="16"/>
      <c r="U564" s="16"/>
    </row>
    <row r="565" spans="1:21" s="30" customFormat="1" ht="25.5">
      <c r="A565" s="13" t="s">
        <v>860</v>
      </c>
      <c r="B565" s="25" t="s">
        <v>69</v>
      </c>
      <c r="C565" s="26" t="s">
        <v>71</v>
      </c>
      <c r="D565" s="26" t="s">
        <v>25</v>
      </c>
      <c r="E565" s="26" t="s">
        <v>332</v>
      </c>
      <c r="F565" s="26" t="s">
        <v>58</v>
      </c>
      <c r="G565" s="27">
        <f>G566+G570+G578</f>
        <v>18420000</v>
      </c>
      <c r="H565" s="27">
        <f>H566+H570+H578</f>
        <v>17843770</v>
      </c>
      <c r="I565" s="27">
        <f>I566+I570+I578</f>
        <v>17843770</v>
      </c>
      <c r="J565" s="16">
        <f>'БА в тыс. руб.'!G565*1000</f>
        <v>18420000</v>
      </c>
      <c r="K565" s="169">
        <f t="shared" si="355"/>
        <v>0</v>
      </c>
      <c r="L565" s="16">
        <f>'БА в тыс. руб.'!H565*1000</f>
        <v>17843770</v>
      </c>
      <c r="M565" s="169">
        <f t="shared" si="356"/>
        <v>0</v>
      </c>
      <c r="N565" s="16">
        <f>'БА в тыс. руб.'!I565*1000</f>
        <v>17843770</v>
      </c>
      <c r="O565" s="169">
        <f t="shared" si="357"/>
        <v>0</v>
      </c>
      <c r="P565" s="16"/>
      <c r="Q565" s="16"/>
      <c r="R565" s="16"/>
      <c r="S565" s="16"/>
      <c r="T565" s="16"/>
      <c r="U565" s="16"/>
    </row>
    <row r="566" spans="1:21" s="30" customFormat="1" ht="38.25">
      <c r="A566" s="34" t="s">
        <v>630</v>
      </c>
      <c r="B566" s="35" t="s">
        <v>69</v>
      </c>
      <c r="C566" s="36" t="s">
        <v>71</v>
      </c>
      <c r="D566" s="36" t="s">
        <v>25</v>
      </c>
      <c r="E566" s="36" t="s">
        <v>351</v>
      </c>
      <c r="F566" s="36" t="s">
        <v>58</v>
      </c>
      <c r="G566" s="37">
        <f>G567</f>
        <v>6745360</v>
      </c>
      <c r="H566" s="37">
        <f t="shared" ref="H566:I566" si="382">H567</f>
        <v>6769130</v>
      </c>
      <c r="I566" s="37">
        <f t="shared" si="382"/>
        <v>6769130</v>
      </c>
      <c r="J566" s="16">
        <f>'БА в тыс. руб.'!G566*1000</f>
        <v>6745360</v>
      </c>
      <c r="K566" s="169">
        <f t="shared" si="355"/>
        <v>0</v>
      </c>
      <c r="L566" s="16">
        <f>'БА в тыс. руб.'!H566*1000</f>
        <v>6769130</v>
      </c>
      <c r="M566" s="169">
        <f t="shared" si="356"/>
        <v>0</v>
      </c>
      <c r="N566" s="16">
        <f>'БА в тыс. руб.'!I566*1000</f>
        <v>6769130</v>
      </c>
      <c r="O566" s="169">
        <f t="shared" si="357"/>
        <v>0</v>
      </c>
      <c r="P566" s="16"/>
      <c r="Q566" s="16"/>
      <c r="R566" s="16"/>
      <c r="S566" s="16"/>
      <c r="T566" s="16"/>
      <c r="U566" s="16"/>
    </row>
    <row r="567" spans="1:21" s="30" customFormat="1" ht="25.5">
      <c r="A567" s="40" t="s">
        <v>247</v>
      </c>
      <c r="B567" s="35" t="s">
        <v>69</v>
      </c>
      <c r="C567" s="36" t="s">
        <v>71</v>
      </c>
      <c r="D567" s="36" t="s">
        <v>25</v>
      </c>
      <c r="E567" s="36" t="s">
        <v>352</v>
      </c>
      <c r="F567" s="36" t="s">
        <v>58</v>
      </c>
      <c r="G567" s="37">
        <f>G568</f>
        <v>6745360</v>
      </c>
      <c r="H567" s="37">
        <f>H568</f>
        <v>6769130</v>
      </c>
      <c r="I567" s="37">
        <f>I568</f>
        <v>6769130</v>
      </c>
      <c r="J567" s="16">
        <f>'БА в тыс. руб.'!G567*1000</f>
        <v>6745360</v>
      </c>
      <c r="K567" s="169">
        <f t="shared" si="355"/>
        <v>0</v>
      </c>
      <c r="L567" s="16">
        <f>'БА в тыс. руб.'!H567*1000</f>
        <v>6769130</v>
      </c>
      <c r="M567" s="169">
        <f t="shared" si="356"/>
        <v>0</v>
      </c>
      <c r="N567" s="16">
        <f>'БА в тыс. руб.'!I567*1000</f>
        <v>6769130</v>
      </c>
      <c r="O567" s="169">
        <f t="shared" si="357"/>
        <v>0</v>
      </c>
      <c r="P567" s="16"/>
      <c r="Q567" s="16"/>
      <c r="R567" s="16"/>
      <c r="S567" s="16"/>
      <c r="T567" s="16"/>
      <c r="U567" s="16"/>
    </row>
    <row r="568" spans="1:21" s="30" customFormat="1">
      <c r="A568" s="40" t="s">
        <v>92</v>
      </c>
      <c r="B568" s="35" t="s">
        <v>69</v>
      </c>
      <c r="C568" s="36" t="s">
        <v>71</v>
      </c>
      <c r="D568" s="36" t="s">
        <v>25</v>
      </c>
      <c r="E568" s="36" t="s">
        <v>352</v>
      </c>
      <c r="F568" s="36" t="s">
        <v>138</v>
      </c>
      <c r="G568" s="27">
        <f>G569</f>
        <v>6745360</v>
      </c>
      <c r="H568" s="27">
        <f t="shared" ref="H568:I568" si="383">H569</f>
        <v>6769130</v>
      </c>
      <c r="I568" s="27">
        <f t="shared" si="383"/>
        <v>6769130</v>
      </c>
      <c r="J568" s="16">
        <f>'БА в тыс. руб.'!G568*1000</f>
        <v>6745360</v>
      </c>
      <c r="K568" s="169">
        <f t="shared" si="355"/>
        <v>0</v>
      </c>
      <c r="L568" s="16">
        <f>'БА в тыс. руб.'!H568*1000</f>
        <v>6769130</v>
      </c>
      <c r="M568" s="169">
        <f t="shared" si="356"/>
        <v>0</v>
      </c>
      <c r="N568" s="16">
        <f>'БА в тыс. руб.'!I568*1000</f>
        <v>6769130</v>
      </c>
      <c r="O568" s="169">
        <f t="shared" si="357"/>
        <v>0</v>
      </c>
      <c r="P568" s="16"/>
      <c r="Q568" s="16"/>
      <c r="R568" s="16"/>
      <c r="S568" s="16"/>
      <c r="T568" s="16"/>
      <c r="U568" s="16"/>
    </row>
    <row r="569" spans="1:21" s="83" customFormat="1" ht="38.25">
      <c r="A569" s="12" t="s">
        <v>1015</v>
      </c>
      <c r="B569" s="35" t="s">
        <v>69</v>
      </c>
      <c r="C569" s="36" t="s">
        <v>71</v>
      </c>
      <c r="D569" s="36" t="s">
        <v>25</v>
      </c>
      <c r="E569" s="36" t="s">
        <v>352</v>
      </c>
      <c r="F569" s="36" t="s">
        <v>67</v>
      </c>
      <c r="G569" s="27">
        <f t="shared" ref="G569" si="384">J569</f>
        <v>6745360</v>
      </c>
      <c r="H569" s="27">
        <f>L569</f>
        <v>6769130</v>
      </c>
      <c r="I569" s="27">
        <f>N569</f>
        <v>6769130</v>
      </c>
      <c r="J569" s="16">
        <f>'БА в тыс. руб.'!G569*1000</f>
        <v>6745360</v>
      </c>
      <c r="K569" s="169">
        <f t="shared" si="355"/>
        <v>0</v>
      </c>
      <c r="L569" s="16">
        <f>'БА в тыс. руб.'!H569*1000</f>
        <v>6769130</v>
      </c>
      <c r="M569" s="169">
        <f t="shared" si="356"/>
        <v>0</v>
      </c>
      <c r="N569" s="16">
        <f>'БА в тыс. руб.'!I569*1000</f>
        <v>6769130</v>
      </c>
      <c r="O569" s="169">
        <f t="shared" si="357"/>
        <v>0</v>
      </c>
      <c r="P569" s="16"/>
      <c r="Q569" s="16"/>
      <c r="R569" s="16"/>
      <c r="S569" s="16"/>
      <c r="T569" s="16"/>
      <c r="U569" s="16"/>
    </row>
    <row r="570" spans="1:21" s="30" customFormat="1" ht="38.25">
      <c r="A570" s="13" t="s">
        <v>633</v>
      </c>
      <c r="B570" s="25" t="s">
        <v>69</v>
      </c>
      <c r="C570" s="26" t="s">
        <v>71</v>
      </c>
      <c r="D570" s="26" t="s">
        <v>25</v>
      </c>
      <c r="E570" s="26" t="s">
        <v>357</v>
      </c>
      <c r="F570" s="26" t="s">
        <v>58</v>
      </c>
      <c r="G570" s="27">
        <f>G571</f>
        <v>4728790</v>
      </c>
      <c r="H570" s="27">
        <f>H571</f>
        <v>4128790</v>
      </c>
      <c r="I570" s="27">
        <f>I571</f>
        <v>4128790</v>
      </c>
      <c r="J570" s="16">
        <f>'БА в тыс. руб.'!G570*1000</f>
        <v>4728790</v>
      </c>
      <c r="K570" s="169">
        <f t="shared" si="355"/>
        <v>0</v>
      </c>
      <c r="L570" s="16">
        <f>'БА в тыс. руб.'!H570*1000</f>
        <v>4128790</v>
      </c>
      <c r="M570" s="169">
        <f t="shared" si="356"/>
        <v>0</v>
      </c>
      <c r="N570" s="16">
        <f>'БА в тыс. руб.'!I570*1000</f>
        <v>4128790</v>
      </c>
      <c r="O570" s="169">
        <f t="shared" si="357"/>
        <v>0</v>
      </c>
      <c r="P570" s="16"/>
      <c r="Q570" s="16"/>
      <c r="R570" s="16"/>
      <c r="S570" s="16"/>
      <c r="T570" s="16"/>
      <c r="U570" s="16"/>
    </row>
    <row r="571" spans="1:21" s="30" customFormat="1">
      <c r="A571" s="13" t="s">
        <v>139</v>
      </c>
      <c r="B571" s="25" t="s">
        <v>69</v>
      </c>
      <c r="C571" s="26" t="s">
        <v>71</v>
      </c>
      <c r="D571" s="26" t="s">
        <v>25</v>
      </c>
      <c r="E571" s="26" t="s">
        <v>632</v>
      </c>
      <c r="F571" s="26" t="s">
        <v>58</v>
      </c>
      <c r="G571" s="27">
        <f>G572+G574+G576</f>
        <v>4728790</v>
      </c>
      <c r="H571" s="27">
        <f>H572+H574+H576</f>
        <v>4128790</v>
      </c>
      <c r="I571" s="27">
        <f>I572+I574+I576</f>
        <v>4128790</v>
      </c>
      <c r="J571" s="16">
        <f>'БА в тыс. руб.'!G571*1000</f>
        <v>4728790</v>
      </c>
      <c r="K571" s="169">
        <f t="shared" si="355"/>
        <v>0</v>
      </c>
      <c r="L571" s="16">
        <f>'БА в тыс. руб.'!H571*1000</f>
        <v>4128790</v>
      </c>
      <c r="M571" s="169">
        <f t="shared" si="356"/>
        <v>0</v>
      </c>
      <c r="N571" s="16">
        <f>'БА в тыс. руб.'!I571*1000</f>
        <v>4128790</v>
      </c>
      <c r="O571" s="169">
        <f t="shared" si="357"/>
        <v>0</v>
      </c>
      <c r="P571" s="16"/>
      <c r="Q571" s="16"/>
      <c r="R571" s="16"/>
      <c r="S571" s="16"/>
      <c r="T571" s="16"/>
      <c r="U571" s="16"/>
    </row>
    <row r="572" spans="1:21" s="30" customFormat="1" ht="25.5">
      <c r="A572" s="11" t="s">
        <v>108</v>
      </c>
      <c r="B572" s="25" t="s">
        <v>69</v>
      </c>
      <c r="C572" s="26" t="s">
        <v>71</v>
      </c>
      <c r="D572" s="26" t="s">
        <v>25</v>
      </c>
      <c r="E572" s="26" t="s">
        <v>632</v>
      </c>
      <c r="F572" s="26" t="s">
        <v>116</v>
      </c>
      <c r="G572" s="27">
        <f>G573</f>
        <v>200000</v>
      </c>
      <c r="H572" s="27">
        <f t="shared" ref="H572:I572" si="385">H573</f>
        <v>200000</v>
      </c>
      <c r="I572" s="27">
        <f t="shared" si="385"/>
        <v>200000</v>
      </c>
      <c r="J572" s="16">
        <f>'БА в тыс. руб.'!G572*1000</f>
        <v>200000</v>
      </c>
      <c r="K572" s="169">
        <f t="shared" si="355"/>
        <v>0</v>
      </c>
      <c r="L572" s="16">
        <f>'БА в тыс. руб.'!H572*1000</f>
        <v>200000</v>
      </c>
      <c r="M572" s="169">
        <f t="shared" si="356"/>
        <v>0</v>
      </c>
      <c r="N572" s="16">
        <f>'БА в тыс. руб.'!I572*1000</f>
        <v>200000</v>
      </c>
      <c r="O572" s="169">
        <f t="shared" si="357"/>
        <v>0</v>
      </c>
      <c r="P572" s="16"/>
      <c r="Q572" s="16"/>
      <c r="R572" s="16"/>
      <c r="S572" s="16"/>
      <c r="T572" s="16"/>
      <c r="U572" s="16"/>
    </row>
    <row r="573" spans="1:21" s="83" customFormat="1" ht="25.5">
      <c r="A573" s="12" t="s">
        <v>973</v>
      </c>
      <c r="B573" s="25" t="s">
        <v>69</v>
      </c>
      <c r="C573" s="26" t="s">
        <v>71</v>
      </c>
      <c r="D573" s="26" t="s">
        <v>25</v>
      </c>
      <c r="E573" s="26" t="s">
        <v>632</v>
      </c>
      <c r="F573" s="26" t="s">
        <v>1043</v>
      </c>
      <c r="G573" s="27">
        <f t="shared" ref="G573" si="386">J573</f>
        <v>200000</v>
      </c>
      <c r="H573" s="27">
        <f>L573</f>
        <v>200000</v>
      </c>
      <c r="I573" s="27">
        <f>N573</f>
        <v>200000</v>
      </c>
      <c r="J573" s="16">
        <f>'БА в тыс. руб.'!G573*1000</f>
        <v>200000</v>
      </c>
      <c r="K573" s="169">
        <f t="shared" si="355"/>
        <v>0</v>
      </c>
      <c r="L573" s="16">
        <f>'БА в тыс. руб.'!H573*1000</f>
        <v>200000</v>
      </c>
      <c r="M573" s="169">
        <f t="shared" si="356"/>
        <v>0</v>
      </c>
      <c r="N573" s="16">
        <f>'БА в тыс. руб.'!I573*1000</f>
        <v>200000</v>
      </c>
      <c r="O573" s="169">
        <f t="shared" si="357"/>
        <v>0</v>
      </c>
      <c r="P573" s="16"/>
      <c r="Q573" s="16"/>
      <c r="R573" s="16"/>
      <c r="S573" s="16"/>
      <c r="T573" s="16"/>
      <c r="U573" s="16"/>
    </row>
    <row r="574" spans="1:21" s="30" customFormat="1">
      <c r="A574" s="13" t="s">
        <v>92</v>
      </c>
      <c r="B574" s="25" t="s">
        <v>69</v>
      </c>
      <c r="C574" s="26" t="s">
        <v>71</v>
      </c>
      <c r="D574" s="26" t="s">
        <v>25</v>
      </c>
      <c r="E574" s="26" t="s">
        <v>632</v>
      </c>
      <c r="F574" s="26" t="s">
        <v>138</v>
      </c>
      <c r="G574" s="27">
        <f>G575</f>
        <v>4183500</v>
      </c>
      <c r="H574" s="27">
        <f t="shared" ref="H574:I574" si="387">H575</f>
        <v>3583500</v>
      </c>
      <c r="I574" s="27">
        <f t="shared" si="387"/>
        <v>3583500</v>
      </c>
      <c r="J574" s="16">
        <f>'БА в тыс. руб.'!G574*1000</f>
        <v>4183500</v>
      </c>
      <c r="K574" s="169">
        <f t="shared" si="355"/>
        <v>0</v>
      </c>
      <c r="L574" s="16">
        <f>'БА в тыс. руб.'!H574*1000</f>
        <v>3583500</v>
      </c>
      <c r="M574" s="169">
        <f t="shared" si="356"/>
        <v>0</v>
      </c>
      <c r="N574" s="16">
        <f>'БА в тыс. руб.'!I574*1000</f>
        <v>3583500</v>
      </c>
      <c r="O574" s="169">
        <f t="shared" si="357"/>
        <v>0</v>
      </c>
      <c r="P574" s="16"/>
      <c r="Q574" s="16"/>
      <c r="R574" s="16"/>
      <c r="S574" s="16"/>
      <c r="T574" s="16"/>
      <c r="U574" s="16"/>
    </row>
    <row r="575" spans="1:21" s="83" customFormat="1">
      <c r="A575" s="12" t="s">
        <v>1016</v>
      </c>
      <c r="B575" s="25" t="s">
        <v>69</v>
      </c>
      <c r="C575" s="26" t="s">
        <v>71</v>
      </c>
      <c r="D575" s="26" t="s">
        <v>25</v>
      </c>
      <c r="E575" s="26" t="s">
        <v>632</v>
      </c>
      <c r="F575" s="26" t="s">
        <v>1046</v>
      </c>
      <c r="G575" s="27">
        <f t="shared" ref="G575" si="388">J575</f>
        <v>4183500</v>
      </c>
      <c r="H575" s="27">
        <f>L575</f>
        <v>3583500</v>
      </c>
      <c r="I575" s="27">
        <f>N575</f>
        <v>3583500</v>
      </c>
      <c r="J575" s="16">
        <f>'БА в тыс. руб.'!G575*1000</f>
        <v>4183500</v>
      </c>
      <c r="K575" s="169">
        <f t="shared" si="355"/>
        <v>0</v>
      </c>
      <c r="L575" s="16">
        <f>'БА в тыс. руб.'!H575*1000</f>
        <v>3583500</v>
      </c>
      <c r="M575" s="169">
        <f t="shared" si="356"/>
        <v>0</v>
      </c>
      <c r="N575" s="16">
        <f>'БА в тыс. руб.'!I575*1000</f>
        <v>3583500</v>
      </c>
      <c r="O575" s="169">
        <f t="shared" si="357"/>
        <v>0</v>
      </c>
      <c r="P575" s="16"/>
      <c r="Q575" s="16"/>
      <c r="R575" s="16"/>
      <c r="S575" s="16"/>
      <c r="T575" s="16"/>
      <c r="U575" s="16"/>
    </row>
    <row r="576" spans="1:21" s="30" customFormat="1">
      <c r="A576" s="13" t="s">
        <v>93</v>
      </c>
      <c r="B576" s="25" t="s">
        <v>69</v>
      </c>
      <c r="C576" s="26" t="s">
        <v>71</v>
      </c>
      <c r="D576" s="26" t="s">
        <v>25</v>
      </c>
      <c r="E576" s="26" t="s">
        <v>632</v>
      </c>
      <c r="F576" s="26" t="s">
        <v>20</v>
      </c>
      <c r="G576" s="27">
        <f>G577</f>
        <v>345290</v>
      </c>
      <c r="H576" s="27">
        <f t="shared" ref="H576:I576" si="389">H577</f>
        <v>345290</v>
      </c>
      <c r="I576" s="27">
        <f t="shared" si="389"/>
        <v>345290</v>
      </c>
      <c r="J576" s="16">
        <f>'БА в тыс. руб.'!G576*1000</f>
        <v>345290</v>
      </c>
      <c r="K576" s="169">
        <f t="shared" si="355"/>
        <v>0</v>
      </c>
      <c r="L576" s="16">
        <f>'БА в тыс. руб.'!H576*1000</f>
        <v>345290</v>
      </c>
      <c r="M576" s="169">
        <f t="shared" si="356"/>
        <v>0</v>
      </c>
      <c r="N576" s="16">
        <f>'БА в тыс. руб.'!I576*1000</f>
        <v>345290</v>
      </c>
      <c r="O576" s="169">
        <f t="shared" si="357"/>
        <v>0</v>
      </c>
      <c r="P576" s="16"/>
      <c r="Q576" s="16"/>
      <c r="R576" s="16"/>
      <c r="S576" s="16"/>
      <c r="T576" s="16"/>
      <c r="U576" s="16"/>
    </row>
    <row r="577" spans="1:21" s="83" customFormat="1">
      <c r="A577" s="12" t="s">
        <v>1019</v>
      </c>
      <c r="B577" s="25" t="s">
        <v>69</v>
      </c>
      <c r="C577" s="26" t="s">
        <v>71</v>
      </c>
      <c r="D577" s="26" t="s">
        <v>25</v>
      </c>
      <c r="E577" s="26" t="s">
        <v>632</v>
      </c>
      <c r="F577" s="26" t="s">
        <v>1054</v>
      </c>
      <c r="G577" s="27">
        <f t="shared" ref="G577" si="390">J577</f>
        <v>345290</v>
      </c>
      <c r="H577" s="27">
        <f>L577</f>
        <v>345290</v>
      </c>
      <c r="I577" s="27">
        <f>N577</f>
        <v>345290</v>
      </c>
      <c r="J577" s="16">
        <f>'БА в тыс. руб.'!G577*1000</f>
        <v>345290</v>
      </c>
      <c r="K577" s="169">
        <f t="shared" si="355"/>
        <v>0</v>
      </c>
      <c r="L577" s="16">
        <f>'БА в тыс. руб.'!H577*1000</f>
        <v>345290</v>
      </c>
      <c r="M577" s="169">
        <f t="shared" si="356"/>
        <v>0</v>
      </c>
      <c r="N577" s="16">
        <f>'БА в тыс. руб.'!I577*1000</f>
        <v>345290</v>
      </c>
      <c r="O577" s="169">
        <f t="shared" si="357"/>
        <v>0</v>
      </c>
      <c r="P577" s="16"/>
      <c r="Q577" s="16"/>
      <c r="R577" s="16"/>
      <c r="S577" s="16"/>
      <c r="T577" s="16"/>
      <c r="U577" s="16"/>
    </row>
    <row r="578" spans="1:21" s="30" customFormat="1" ht="25.5">
      <c r="A578" s="34" t="s">
        <v>674</v>
      </c>
      <c r="B578" s="35" t="s">
        <v>69</v>
      </c>
      <c r="C578" s="36" t="s">
        <v>71</v>
      </c>
      <c r="D578" s="36" t="s">
        <v>25</v>
      </c>
      <c r="E578" s="36" t="s">
        <v>665</v>
      </c>
      <c r="F578" s="36" t="s">
        <v>58</v>
      </c>
      <c r="G578" s="37">
        <f>G579</f>
        <v>6945850</v>
      </c>
      <c r="H578" s="37">
        <f t="shared" ref="H578:I578" si="391">H579</f>
        <v>6945850</v>
      </c>
      <c r="I578" s="37">
        <f t="shared" si="391"/>
        <v>6945850</v>
      </c>
      <c r="J578" s="16">
        <f>'БА в тыс. руб.'!G578*1000</f>
        <v>6945850</v>
      </c>
      <c r="K578" s="169">
        <f t="shared" si="355"/>
        <v>0</v>
      </c>
      <c r="L578" s="16">
        <f>'БА в тыс. руб.'!H578*1000</f>
        <v>6945850</v>
      </c>
      <c r="M578" s="169">
        <f t="shared" si="356"/>
        <v>0</v>
      </c>
      <c r="N578" s="16">
        <f>'БА в тыс. руб.'!I578*1000</f>
        <v>6945850</v>
      </c>
      <c r="O578" s="169">
        <f t="shared" si="357"/>
        <v>0</v>
      </c>
      <c r="P578" s="16"/>
      <c r="Q578" s="16"/>
      <c r="R578" s="16"/>
      <c r="S578" s="16"/>
      <c r="T578" s="16"/>
      <c r="U578" s="16"/>
    </row>
    <row r="579" spans="1:21" s="30" customFormat="1" ht="25.5">
      <c r="A579" s="40" t="s">
        <v>247</v>
      </c>
      <c r="B579" s="35" t="s">
        <v>69</v>
      </c>
      <c r="C579" s="36" t="s">
        <v>71</v>
      </c>
      <c r="D579" s="36" t="s">
        <v>25</v>
      </c>
      <c r="E579" s="36" t="s">
        <v>666</v>
      </c>
      <c r="F579" s="36" t="s">
        <v>58</v>
      </c>
      <c r="G579" s="37">
        <f>SUM(G580:G580)</f>
        <v>6945850</v>
      </c>
      <c r="H579" s="37">
        <f>SUM(H580:H580)</f>
        <v>6945850</v>
      </c>
      <c r="I579" s="37">
        <f>SUM(I580:I580)</f>
        <v>6945850</v>
      </c>
      <c r="J579" s="16">
        <f>'БА в тыс. руб.'!G579*1000</f>
        <v>6945850</v>
      </c>
      <c r="K579" s="169">
        <f t="shared" si="355"/>
        <v>0</v>
      </c>
      <c r="L579" s="16">
        <f>'БА в тыс. руб.'!H579*1000</f>
        <v>6945850</v>
      </c>
      <c r="M579" s="169">
        <f t="shared" si="356"/>
        <v>0</v>
      </c>
      <c r="N579" s="16">
        <f>'БА в тыс. руб.'!I579*1000</f>
        <v>6945850</v>
      </c>
      <c r="O579" s="169">
        <f t="shared" si="357"/>
        <v>0</v>
      </c>
      <c r="P579" s="16"/>
      <c r="Q579" s="16"/>
      <c r="R579" s="16"/>
      <c r="S579" s="16"/>
      <c r="T579" s="16"/>
      <c r="U579" s="16"/>
    </row>
    <row r="580" spans="1:21" s="30" customFormat="1">
      <c r="A580" s="40" t="s">
        <v>92</v>
      </c>
      <c r="B580" s="35" t="s">
        <v>69</v>
      </c>
      <c r="C580" s="36" t="s">
        <v>71</v>
      </c>
      <c r="D580" s="36" t="s">
        <v>25</v>
      </c>
      <c r="E580" s="36" t="s">
        <v>666</v>
      </c>
      <c r="F580" s="36" t="s">
        <v>138</v>
      </c>
      <c r="G580" s="27">
        <f>G581</f>
        <v>6945850</v>
      </c>
      <c r="H580" s="27">
        <f t="shared" ref="H580:I580" si="392">H581</f>
        <v>6945850</v>
      </c>
      <c r="I580" s="27">
        <f t="shared" si="392"/>
        <v>6945850</v>
      </c>
      <c r="J580" s="16">
        <f>'БА в тыс. руб.'!G580*1000</f>
        <v>6945850</v>
      </c>
      <c r="K580" s="169">
        <f t="shared" si="355"/>
        <v>0</v>
      </c>
      <c r="L580" s="16">
        <f>'БА в тыс. руб.'!H580*1000</f>
        <v>6945850</v>
      </c>
      <c r="M580" s="169">
        <f t="shared" si="356"/>
        <v>0</v>
      </c>
      <c r="N580" s="16">
        <f>'БА в тыс. руб.'!I580*1000</f>
        <v>6945850</v>
      </c>
      <c r="O580" s="169">
        <f t="shared" si="357"/>
        <v>0</v>
      </c>
      <c r="P580" s="16"/>
      <c r="Q580" s="16"/>
      <c r="R580" s="16"/>
      <c r="S580" s="16"/>
      <c r="T580" s="16"/>
      <c r="U580" s="16"/>
    </row>
    <row r="581" spans="1:21" s="83" customFormat="1" ht="38.25">
      <c r="A581" s="12" t="s">
        <v>1015</v>
      </c>
      <c r="B581" s="35" t="s">
        <v>69</v>
      </c>
      <c r="C581" s="36" t="s">
        <v>71</v>
      </c>
      <c r="D581" s="36" t="s">
        <v>25</v>
      </c>
      <c r="E581" s="36" t="s">
        <v>666</v>
      </c>
      <c r="F581" s="36" t="s">
        <v>67</v>
      </c>
      <c r="G581" s="27">
        <f t="shared" ref="G581" si="393">J581</f>
        <v>6945850</v>
      </c>
      <c r="H581" s="27">
        <f>L581</f>
        <v>6945850</v>
      </c>
      <c r="I581" s="27">
        <f>N581</f>
        <v>6945850</v>
      </c>
      <c r="J581" s="16">
        <f>'БА в тыс. руб.'!G581*1000</f>
        <v>6945850</v>
      </c>
      <c r="K581" s="169">
        <f t="shared" si="355"/>
        <v>0</v>
      </c>
      <c r="L581" s="16">
        <f>'БА в тыс. руб.'!H581*1000</f>
        <v>6945850</v>
      </c>
      <c r="M581" s="169">
        <f t="shared" si="356"/>
        <v>0</v>
      </c>
      <c r="N581" s="16">
        <f>'БА в тыс. руб.'!I581*1000</f>
        <v>6945850</v>
      </c>
      <c r="O581" s="169">
        <f t="shared" si="357"/>
        <v>0</v>
      </c>
      <c r="P581" s="16"/>
      <c r="Q581" s="16"/>
      <c r="R581" s="16"/>
      <c r="S581" s="16"/>
      <c r="T581" s="16"/>
      <c r="U581" s="16"/>
    </row>
    <row r="582" spans="1:21" s="30" customFormat="1" ht="63.75">
      <c r="A582" s="11" t="s">
        <v>756</v>
      </c>
      <c r="B582" s="25" t="s">
        <v>69</v>
      </c>
      <c r="C582" s="26" t="s">
        <v>71</v>
      </c>
      <c r="D582" s="26" t="s">
        <v>25</v>
      </c>
      <c r="E582" s="26" t="s">
        <v>339</v>
      </c>
      <c r="F582" s="26" t="s">
        <v>58</v>
      </c>
      <c r="G582" s="27">
        <f t="shared" ref="G582:I586" si="394">G583</f>
        <v>73000</v>
      </c>
      <c r="H582" s="27">
        <f t="shared" si="394"/>
        <v>63000</v>
      </c>
      <c r="I582" s="27">
        <f t="shared" si="394"/>
        <v>63000</v>
      </c>
      <c r="J582" s="16">
        <f>'БА в тыс. руб.'!G582*1000</f>
        <v>73000</v>
      </c>
      <c r="K582" s="169">
        <f t="shared" si="355"/>
        <v>0</v>
      </c>
      <c r="L582" s="16">
        <f>'БА в тыс. руб.'!H582*1000</f>
        <v>63000</v>
      </c>
      <c r="M582" s="169">
        <f t="shared" si="356"/>
        <v>0</v>
      </c>
      <c r="N582" s="16">
        <f>'БА в тыс. руб.'!I582*1000</f>
        <v>63000</v>
      </c>
      <c r="O582" s="169">
        <f t="shared" si="357"/>
        <v>0</v>
      </c>
      <c r="P582" s="16"/>
      <c r="Q582" s="16"/>
      <c r="R582" s="16"/>
      <c r="S582" s="16"/>
      <c r="T582" s="16"/>
      <c r="U582" s="16"/>
    </row>
    <row r="583" spans="1:21" s="30" customFormat="1" ht="25.5">
      <c r="A583" s="11" t="s">
        <v>136</v>
      </c>
      <c r="B583" s="25" t="s">
        <v>69</v>
      </c>
      <c r="C583" s="26" t="s">
        <v>71</v>
      </c>
      <c r="D583" s="26" t="s">
        <v>25</v>
      </c>
      <c r="E583" s="26" t="s">
        <v>340</v>
      </c>
      <c r="F583" s="26" t="s">
        <v>58</v>
      </c>
      <c r="G583" s="27">
        <f t="shared" si="394"/>
        <v>73000</v>
      </c>
      <c r="H583" s="27">
        <f t="shared" si="394"/>
        <v>63000</v>
      </c>
      <c r="I583" s="27">
        <f t="shared" si="394"/>
        <v>63000</v>
      </c>
      <c r="J583" s="16">
        <f>'БА в тыс. руб.'!G583*1000</f>
        <v>73000</v>
      </c>
      <c r="K583" s="169">
        <f t="shared" si="355"/>
        <v>0</v>
      </c>
      <c r="L583" s="16">
        <f>'БА в тыс. руб.'!H583*1000</f>
        <v>63000</v>
      </c>
      <c r="M583" s="169">
        <f t="shared" si="356"/>
        <v>0</v>
      </c>
      <c r="N583" s="16">
        <f>'БА в тыс. руб.'!I583*1000</f>
        <v>63000</v>
      </c>
      <c r="O583" s="169">
        <f t="shared" si="357"/>
        <v>0</v>
      </c>
      <c r="P583" s="16"/>
      <c r="Q583" s="16"/>
      <c r="R583" s="16"/>
      <c r="S583" s="16"/>
      <c r="T583" s="16"/>
      <c r="U583" s="16"/>
    </row>
    <row r="584" spans="1:21" s="30" customFormat="1" ht="25.5">
      <c r="A584" s="11" t="s">
        <v>667</v>
      </c>
      <c r="B584" s="25" t="s">
        <v>69</v>
      </c>
      <c r="C584" s="26" t="s">
        <v>71</v>
      </c>
      <c r="D584" s="26" t="s">
        <v>25</v>
      </c>
      <c r="E584" s="26" t="s">
        <v>609</v>
      </c>
      <c r="F584" s="26" t="s">
        <v>58</v>
      </c>
      <c r="G584" s="27">
        <f t="shared" si="394"/>
        <v>73000</v>
      </c>
      <c r="H584" s="27">
        <f t="shared" si="394"/>
        <v>63000</v>
      </c>
      <c r="I584" s="27">
        <f t="shared" si="394"/>
        <v>63000</v>
      </c>
      <c r="J584" s="16">
        <f>'БА в тыс. руб.'!G584*1000</f>
        <v>73000</v>
      </c>
      <c r="K584" s="169">
        <f t="shared" ref="K584:K647" si="395">J584-G584</f>
        <v>0</v>
      </c>
      <c r="L584" s="16">
        <f>'БА в тыс. руб.'!H584*1000</f>
        <v>63000</v>
      </c>
      <c r="M584" s="169">
        <f t="shared" ref="M584:M647" si="396">L584-H584</f>
        <v>0</v>
      </c>
      <c r="N584" s="16">
        <f>'БА в тыс. руб.'!I584*1000</f>
        <v>63000</v>
      </c>
      <c r="O584" s="169">
        <f t="shared" ref="O584:O647" si="397">N584-I584</f>
        <v>0</v>
      </c>
      <c r="P584" s="16"/>
      <c r="Q584" s="16"/>
      <c r="R584" s="16"/>
      <c r="S584" s="16"/>
      <c r="T584" s="16"/>
      <c r="U584" s="16"/>
    </row>
    <row r="585" spans="1:21" s="30" customFormat="1" ht="38.25">
      <c r="A585" s="11" t="s">
        <v>177</v>
      </c>
      <c r="B585" s="25" t="s">
        <v>69</v>
      </c>
      <c r="C585" s="26" t="s">
        <v>71</v>
      </c>
      <c r="D585" s="26" t="s">
        <v>25</v>
      </c>
      <c r="E585" s="26" t="s">
        <v>610</v>
      </c>
      <c r="F585" s="26" t="s">
        <v>58</v>
      </c>
      <c r="G585" s="27">
        <f t="shared" si="394"/>
        <v>73000</v>
      </c>
      <c r="H585" s="27">
        <f t="shared" si="394"/>
        <v>63000</v>
      </c>
      <c r="I585" s="27">
        <f t="shared" si="394"/>
        <v>63000</v>
      </c>
      <c r="J585" s="16">
        <f>'БА в тыс. руб.'!G585*1000</f>
        <v>73000</v>
      </c>
      <c r="K585" s="169">
        <f t="shared" si="395"/>
        <v>0</v>
      </c>
      <c r="L585" s="16">
        <f>'БА в тыс. руб.'!H585*1000</f>
        <v>63000</v>
      </c>
      <c r="M585" s="169">
        <f t="shared" si="396"/>
        <v>0</v>
      </c>
      <c r="N585" s="16">
        <f>'БА в тыс. руб.'!I585*1000</f>
        <v>63000</v>
      </c>
      <c r="O585" s="169">
        <f t="shared" si="397"/>
        <v>0</v>
      </c>
      <c r="P585" s="16"/>
      <c r="Q585" s="16"/>
      <c r="R585" s="16"/>
      <c r="S585" s="16"/>
      <c r="T585" s="16"/>
      <c r="U585" s="16"/>
    </row>
    <row r="586" spans="1:21" s="30" customFormat="1">
      <c r="A586" s="13" t="s">
        <v>92</v>
      </c>
      <c r="B586" s="25" t="s">
        <v>69</v>
      </c>
      <c r="C586" s="26" t="s">
        <v>71</v>
      </c>
      <c r="D586" s="26" t="s">
        <v>25</v>
      </c>
      <c r="E586" s="26" t="s">
        <v>610</v>
      </c>
      <c r="F586" s="26" t="s">
        <v>138</v>
      </c>
      <c r="G586" s="27">
        <f>G587</f>
        <v>73000</v>
      </c>
      <c r="H586" s="27">
        <f t="shared" si="394"/>
        <v>63000</v>
      </c>
      <c r="I586" s="27">
        <f t="shared" si="394"/>
        <v>63000</v>
      </c>
      <c r="J586" s="16">
        <f>'БА в тыс. руб.'!G586*1000</f>
        <v>73000</v>
      </c>
      <c r="K586" s="169">
        <f t="shared" si="395"/>
        <v>0</v>
      </c>
      <c r="L586" s="16">
        <f>'БА в тыс. руб.'!H586*1000</f>
        <v>63000</v>
      </c>
      <c r="M586" s="169">
        <f t="shared" si="396"/>
        <v>0</v>
      </c>
      <c r="N586" s="16">
        <f>'БА в тыс. руб.'!I586*1000</f>
        <v>63000</v>
      </c>
      <c r="O586" s="169">
        <f t="shared" si="397"/>
        <v>0</v>
      </c>
      <c r="P586" s="16"/>
      <c r="Q586" s="16"/>
      <c r="R586" s="16"/>
      <c r="S586" s="16"/>
      <c r="T586" s="16"/>
      <c r="U586" s="16"/>
    </row>
    <row r="587" spans="1:21" s="83" customFormat="1">
      <c r="A587" s="12" t="s">
        <v>1016</v>
      </c>
      <c r="B587" s="25" t="s">
        <v>69</v>
      </c>
      <c r="C587" s="26" t="s">
        <v>71</v>
      </c>
      <c r="D587" s="26" t="s">
        <v>25</v>
      </c>
      <c r="E587" s="26" t="s">
        <v>610</v>
      </c>
      <c r="F587" s="26" t="s">
        <v>1046</v>
      </c>
      <c r="G587" s="27">
        <f t="shared" ref="G587" si="398">J587</f>
        <v>73000</v>
      </c>
      <c r="H587" s="27">
        <f>L587</f>
        <v>63000</v>
      </c>
      <c r="I587" s="27">
        <f>N587</f>
        <v>63000</v>
      </c>
      <c r="J587" s="16">
        <f>'БА в тыс. руб.'!G587*1000</f>
        <v>73000</v>
      </c>
      <c r="K587" s="169">
        <f t="shared" si="395"/>
        <v>0</v>
      </c>
      <c r="L587" s="16">
        <f>'БА в тыс. руб.'!H587*1000</f>
        <v>63000</v>
      </c>
      <c r="M587" s="169">
        <f t="shared" si="396"/>
        <v>0</v>
      </c>
      <c r="N587" s="16">
        <f>'БА в тыс. руб.'!I587*1000</f>
        <v>63000</v>
      </c>
      <c r="O587" s="169">
        <f t="shared" si="397"/>
        <v>0</v>
      </c>
      <c r="P587" s="16"/>
      <c r="Q587" s="16"/>
      <c r="R587" s="16"/>
      <c r="S587" s="16"/>
      <c r="T587" s="16"/>
      <c r="U587" s="16"/>
    </row>
    <row r="588" spans="1:21" s="30" customFormat="1" ht="25.5">
      <c r="A588" s="11" t="s">
        <v>183</v>
      </c>
      <c r="B588" s="25" t="s">
        <v>69</v>
      </c>
      <c r="C588" s="26" t="s">
        <v>71</v>
      </c>
      <c r="D588" s="26" t="s">
        <v>25</v>
      </c>
      <c r="E588" s="26" t="s">
        <v>358</v>
      </c>
      <c r="F588" s="26" t="s">
        <v>58</v>
      </c>
      <c r="G588" s="27">
        <f>G589</f>
        <v>25677170</v>
      </c>
      <c r="H588" s="27">
        <f>H589</f>
        <v>25692810</v>
      </c>
      <c r="I588" s="27">
        <f>I589</f>
        <v>25692810</v>
      </c>
      <c r="J588" s="16">
        <f>'БА в тыс. руб.'!G588*1000</f>
        <v>25677170</v>
      </c>
      <c r="K588" s="169">
        <f t="shared" si="395"/>
        <v>0</v>
      </c>
      <c r="L588" s="16">
        <f>'БА в тыс. руб.'!H588*1000</f>
        <v>25692810.000000004</v>
      </c>
      <c r="M588" s="169">
        <f t="shared" si="396"/>
        <v>0</v>
      </c>
      <c r="N588" s="16">
        <f>'БА в тыс. руб.'!I588*1000</f>
        <v>25692810.000000004</v>
      </c>
      <c r="O588" s="169">
        <f t="shared" si="397"/>
        <v>0</v>
      </c>
      <c r="P588" s="16"/>
      <c r="Q588" s="16"/>
      <c r="R588" s="16"/>
      <c r="S588" s="16"/>
      <c r="T588" s="16"/>
      <c r="U588" s="16"/>
    </row>
    <row r="589" spans="1:21" s="30" customFormat="1" ht="25.5">
      <c r="A589" s="11" t="s">
        <v>184</v>
      </c>
      <c r="B589" s="25" t="s">
        <v>69</v>
      </c>
      <c r="C589" s="26" t="s">
        <v>71</v>
      </c>
      <c r="D589" s="26" t="s">
        <v>25</v>
      </c>
      <c r="E589" s="26" t="s">
        <v>359</v>
      </c>
      <c r="F589" s="26" t="s">
        <v>58</v>
      </c>
      <c r="G589" s="27">
        <f>G590+G599+G603</f>
        <v>25677170</v>
      </c>
      <c r="H589" s="27">
        <f>H590+H599+H603</f>
        <v>25692810</v>
      </c>
      <c r="I589" s="27">
        <f>I590+I599+I603</f>
        <v>25692810</v>
      </c>
      <c r="J589" s="16">
        <f>'БА в тыс. руб.'!G589*1000</f>
        <v>25677170</v>
      </c>
      <c r="K589" s="169">
        <f t="shared" si="395"/>
        <v>0</v>
      </c>
      <c r="L589" s="16">
        <f>'БА в тыс. руб.'!H589*1000</f>
        <v>25692810.000000004</v>
      </c>
      <c r="M589" s="169">
        <f t="shared" si="396"/>
        <v>0</v>
      </c>
      <c r="N589" s="16">
        <f>'БА в тыс. руб.'!I589*1000</f>
        <v>25692810.000000004</v>
      </c>
      <c r="O589" s="169">
        <f t="shared" si="397"/>
        <v>0</v>
      </c>
      <c r="P589" s="16"/>
      <c r="Q589" s="16"/>
      <c r="R589" s="16"/>
      <c r="S589" s="16"/>
      <c r="T589" s="16"/>
      <c r="U589" s="16"/>
    </row>
    <row r="590" spans="1:21" s="30" customFormat="1" ht="25.5">
      <c r="A590" s="11" t="s">
        <v>114</v>
      </c>
      <c r="B590" s="25" t="s">
        <v>69</v>
      </c>
      <c r="C590" s="26" t="s">
        <v>71</v>
      </c>
      <c r="D590" s="26" t="s">
        <v>25</v>
      </c>
      <c r="E590" s="26" t="s">
        <v>360</v>
      </c>
      <c r="F590" s="26" t="s">
        <v>58</v>
      </c>
      <c r="G590" s="27">
        <f>G591+G594+G596</f>
        <v>2408170</v>
      </c>
      <c r="H590" s="27">
        <f t="shared" ref="H590:I590" si="399">H591+H594+H596</f>
        <v>2423810</v>
      </c>
      <c r="I590" s="27">
        <f t="shared" si="399"/>
        <v>2423810</v>
      </c>
      <c r="J590" s="16">
        <f>'БА в тыс. руб.'!G590*1000</f>
        <v>2408169.9999999995</v>
      </c>
      <c r="K590" s="169">
        <f t="shared" si="395"/>
        <v>0</v>
      </c>
      <c r="L590" s="16">
        <f>'БА в тыс. руб.'!H590*1000</f>
        <v>2423810</v>
      </c>
      <c r="M590" s="169">
        <f t="shared" si="396"/>
        <v>0</v>
      </c>
      <c r="N590" s="16">
        <f>'БА в тыс. руб.'!I590*1000</f>
        <v>2423810</v>
      </c>
      <c r="O590" s="169">
        <f t="shared" si="397"/>
        <v>0</v>
      </c>
      <c r="P590" s="16"/>
      <c r="Q590" s="16"/>
      <c r="R590" s="16"/>
      <c r="S590" s="16"/>
      <c r="T590" s="16"/>
      <c r="U590" s="16"/>
    </row>
    <row r="591" spans="1:21" s="30" customFormat="1" ht="25.5">
      <c r="A591" s="11" t="s">
        <v>362</v>
      </c>
      <c r="B591" s="25" t="s">
        <v>69</v>
      </c>
      <c r="C591" s="26" t="s">
        <v>71</v>
      </c>
      <c r="D591" s="26" t="s">
        <v>25</v>
      </c>
      <c r="E591" s="26" t="s">
        <v>360</v>
      </c>
      <c r="F591" s="26" t="s">
        <v>115</v>
      </c>
      <c r="G591" s="27">
        <f>SUM(G592:G593)</f>
        <v>680160</v>
      </c>
      <c r="H591" s="27">
        <f t="shared" ref="H591:I591" si="400">SUM(H592:H593)</f>
        <v>680160</v>
      </c>
      <c r="I591" s="27">
        <f t="shared" si="400"/>
        <v>680160</v>
      </c>
      <c r="J591" s="16">
        <f>'БА в тыс. руб.'!G591*1000</f>
        <v>680160</v>
      </c>
      <c r="K591" s="169">
        <f t="shared" si="395"/>
        <v>0</v>
      </c>
      <c r="L591" s="16">
        <f>'БА в тыс. руб.'!H591*1000</f>
        <v>680160</v>
      </c>
      <c r="M591" s="169">
        <f t="shared" si="396"/>
        <v>0</v>
      </c>
      <c r="N591" s="16">
        <f>'БА в тыс. руб.'!I591*1000</f>
        <v>680160</v>
      </c>
      <c r="O591" s="169">
        <f t="shared" si="397"/>
        <v>0</v>
      </c>
      <c r="P591" s="16"/>
      <c r="Q591" s="16"/>
      <c r="R591" s="16"/>
      <c r="S591" s="16"/>
      <c r="T591" s="16"/>
      <c r="U591" s="16"/>
    </row>
    <row r="592" spans="1:21" s="83" customFormat="1" ht="25.5">
      <c r="A592" s="12" t="s">
        <v>937</v>
      </c>
      <c r="B592" s="25" t="s">
        <v>69</v>
      </c>
      <c r="C592" s="26" t="s">
        <v>71</v>
      </c>
      <c r="D592" s="26" t="s">
        <v>25</v>
      </c>
      <c r="E592" s="26" t="s">
        <v>360</v>
      </c>
      <c r="F592" s="26" t="s">
        <v>1059</v>
      </c>
      <c r="G592" s="27">
        <f t="shared" ref="G592:G593" si="401">J592</f>
        <v>522400</v>
      </c>
      <c r="H592" s="27">
        <f t="shared" ref="H592:H593" si="402">L592</f>
        <v>522400</v>
      </c>
      <c r="I592" s="27">
        <f t="shared" ref="I592:I593" si="403">N592</f>
        <v>522400</v>
      </c>
      <c r="J592" s="16">
        <f>'БА в тыс. руб.'!G592*1000</f>
        <v>522400</v>
      </c>
      <c r="K592" s="169">
        <f t="shared" si="395"/>
        <v>0</v>
      </c>
      <c r="L592" s="16">
        <f>'БА в тыс. руб.'!H592*1000</f>
        <v>522400</v>
      </c>
      <c r="M592" s="169">
        <f t="shared" si="396"/>
        <v>0</v>
      </c>
      <c r="N592" s="16">
        <f>'БА в тыс. руб.'!I592*1000</f>
        <v>522400</v>
      </c>
      <c r="O592" s="169">
        <f t="shared" si="397"/>
        <v>0</v>
      </c>
      <c r="P592" s="16"/>
      <c r="Q592" s="16"/>
      <c r="R592" s="16"/>
      <c r="S592" s="16"/>
      <c r="T592" s="16"/>
      <c r="U592" s="16"/>
    </row>
    <row r="593" spans="1:21" s="83" customFormat="1" ht="38.25">
      <c r="A593" s="12" t="s">
        <v>939</v>
      </c>
      <c r="B593" s="25" t="s">
        <v>69</v>
      </c>
      <c r="C593" s="26" t="s">
        <v>71</v>
      </c>
      <c r="D593" s="26" t="s">
        <v>25</v>
      </c>
      <c r="E593" s="26" t="s">
        <v>360</v>
      </c>
      <c r="F593" s="26" t="s">
        <v>1060</v>
      </c>
      <c r="G593" s="27">
        <f t="shared" si="401"/>
        <v>157760</v>
      </c>
      <c r="H593" s="27">
        <f t="shared" si="402"/>
        <v>157760</v>
      </c>
      <c r="I593" s="27">
        <f t="shared" si="403"/>
        <v>157760</v>
      </c>
      <c r="J593" s="16">
        <f>'БА в тыс. руб.'!G593*1000</f>
        <v>157760</v>
      </c>
      <c r="K593" s="169">
        <f t="shared" si="395"/>
        <v>0</v>
      </c>
      <c r="L593" s="16">
        <f>'БА в тыс. руб.'!H593*1000</f>
        <v>157760</v>
      </c>
      <c r="M593" s="169">
        <f t="shared" si="396"/>
        <v>0</v>
      </c>
      <c r="N593" s="16">
        <f>'БА в тыс. руб.'!I593*1000</f>
        <v>157760</v>
      </c>
      <c r="O593" s="169">
        <f t="shared" si="397"/>
        <v>0</v>
      </c>
      <c r="P593" s="16"/>
      <c r="Q593" s="16"/>
      <c r="R593" s="16"/>
      <c r="S593" s="16"/>
      <c r="T593" s="16"/>
      <c r="U593" s="16"/>
    </row>
    <row r="594" spans="1:21" s="30" customFormat="1" ht="25.5">
      <c r="A594" s="11" t="s">
        <v>108</v>
      </c>
      <c r="B594" s="25" t="s">
        <v>69</v>
      </c>
      <c r="C594" s="26" t="s">
        <v>71</v>
      </c>
      <c r="D594" s="26" t="s">
        <v>25</v>
      </c>
      <c r="E594" s="26" t="s">
        <v>360</v>
      </c>
      <c r="F594" s="26" t="s">
        <v>116</v>
      </c>
      <c r="G594" s="27">
        <f>G595</f>
        <v>1685870</v>
      </c>
      <c r="H594" s="27">
        <f t="shared" ref="H594:I594" si="404">H595</f>
        <v>1701510</v>
      </c>
      <c r="I594" s="27">
        <f t="shared" si="404"/>
        <v>1701510</v>
      </c>
      <c r="J594" s="16">
        <f>'БА в тыс. руб.'!G594*1000</f>
        <v>1685870</v>
      </c>
      <c r="K594" s="169">
        <f t="shared" si="395"/>
        <v>0</v>
      </c>
      <c r="L594" s="16">
        <f>'БА в тыс. руб.'!H594*1000</f>
        <v>1701510</v>
      </c>
      <c r="M594" s="169">
        <f t="shared" si="396"/>
        <v>0</v>
      </c>
      <c r="N594" s="16">
        <f>'БА в тыс. руб.'!I594*1000</f>
        <v>1701510</v>
      </c>
      <c r="O594" s="169">
        <f t="shared" si="397"/>
        <v>0</v>
      </c>
      <c r="P594" s="16"/>
      <c r="Q594" s="16"/>
      <c r="R594" s="16"/>
      <c r="S594" s="16"/>
      <c r="T594" s="16"/>
      <c r="U594" s="16"/>
    </row>
    <row r="595" spans="1:21" s="83" customFormat="1" ht="25.5">
      <c r="A595" s="12" t="s">
        <v>973</v>
      </c>
      <c r="B595" s="25" t="s">
        <v>69</v>
      </c>
      <c r="C595" s="26" t="s">
        <v>71</v>
      </c>
      <c r="D595" s="26" t="s">
        <v>25</v>
      </c>
      <c r="E595" s="26" t="s">
        <v>360</v>
      </c>
      <c r="F595" s="26" t="s">
        <v>1043</v>
      </c>
      <c r="G595" s="27">
        <f t="shared" ref="G595" si="405">J595</f>
        <v>1685870</v>
      </c>
      <c r="H595" s="27">
        <f>L595</f>
        <v>1701510</v>
      </c>
      <c r="I595" s="27">
        <f>N595</f>
        <v>1701510</v>
      </c>
      <c r="J595" s="16">
        <f>'БА в тыс. руб.'!G595*1000</f>
        <v>1685870</v>
      </c>
      <c r="K595" s="169">
        <f t="shared" si="395"/>
        <v>0</v>
      </c>
      <c r="L595" s="16">
        <f>'БА в тыс. руб.'!H595*1000</f>
        <v>1701510</v>
      </c>
      <c r="M595" s="169">
        <f t="shared" si="396"/>
        <v>0</v>
      </c>
      <c r="N595" s="16">
        <f>'БА в тыс. руб.'!I595*1000</f>
        <v>1701510</v>
      </c>
      <c r="O595" s="169">
        <f t="shared" si="397"/>
        <v>0</v>
      </c>
      <c r="P595" s="16"/>
      <c r="Q595" s="16"/>
      <c r="R595" s="16"/>
      <c r="S595" s="16"/>
      <c r="T595" s="16"/>
      <c r="U595" s="16"/>
    </row>
    <row r="596" spans="1:21" s="30" customFormat="1">
      <c r="A596" s="11" t="s">
        <v>97</v>
      </c>
      <c r="B596" s="25" t="s">
        <v>69</v>
      </c>
      <c r="C596" s="26" t="s">
        <v>71</v>
      </c>
      <c r="D596" s="26" t="s">
        <v>25</v>
      </c>
      <c r="E596" s="26" t="s">
        <v>360</v>
      </c>
      <c r="F596" s="26" t="s">
        <v>118</v>
      </c>
      <c r="G596" s="27">
        <f>SUM(G597:G598)</f>
        <v>42140</v>
      </c>
      <c r="H596" s="27">
        <f t="shared" ref="H596:I596" si="406">SUM(H597:H598)</f>
        <v>42140</v>
      </c>
      <c r="I596" s="27">
        <f t="shared" si="406"/>
        <v>42140</v>
      </c>
      <c r="J596" s="16">
        <f>'БА в тыс. руб.'!G596*1000</f>
        <v>42140</v>
      </c>
      <c r="K596" s="169">
        <f t="shared" si="395"/>
        <v>0</v>
      </c>
      <c r="L596" s="16">
        <f>'БА в тыс. руб.'!H596*1000</f>
        <v>42140</v>
      </c>
      <c r="M596" s="169">
        <f t="shared" si="396"/>
        <v>0</v>
      </c>
      <c r="N596" s="16">
        <f>'БА в тыс. руб.'!I596*1000</f>
        <v>42140</v>
      </c>
      <c r="O596" s="169">
        <f t="shared" si="397"/>
        <v>0</v>
      </c>
      <c r="P596" s="16"/>
      <c r="Q596" s="16"/>
      <c r="R596" s="16"/>
      <c r="S596" s="16"/>
      <c r="T596" s="16"/>
      <c r="U596" s="16"/>
    </row>
    <row r="597" spans="1:21" s="83" customFormat="1">
      <c r="A597" s="12" t="s">
        <v>1036</v>
      </c>
      <c r="B597" s="25" t="s">
        <v>69</v>
      </c>
      <c r="C597" s="26" t="s">
        <v>71</v>
      </c>
      <c r="D597" s="26" t="s">
        <v>25</v>
      </c>
      <c r="E597" s="26" t="s">
        <v>360</v>
      </c>
      <c r="F597" s="26" t="s">
        <v>1061</v>
      </c>
      <c r="G597" s="27">
        <f t="shared" ref="G597:G598" si="407">J597</f>
        <v>40240</v>
      </c>
      <c r="H597" s="27">
        <f t="shared" ref="H597:H598" si="408">L597</f>
        <v>40240</v>
      </c>
      <c r="I597" s="27">
        <f t="shared" ref="I597:I598" si="409">N597</f>
        <v>40240</v>
      </c>
      <c r="J597" s="16">
        <f>'БА в тыс. руб.'!G597*1000</f>
        <v>40240</v>
      </c>
      <c r="K597" s="169">
        <f t="shared" si="395"/>
        <v>0</v>
      </c>
      <c r="L597" s="16">
        <f>'БА в тыс. руб.'!H597*1000</f>
        <v>40240</v>
      </c>
      <c r="M597" s="169">
        <f t="shared" si="396"/>
        <v>0</v>
      </c>
      <c r="N597" s="16">
        <f>'БА в тыс. руб.'!I597*1000</f>
        <v>40240</v>
      </c>
      <c r="O597" s="169">
        <f t="shared" si="397"/>
        <v>0</v>
      </c>
      <c r="P597" s="16"/>
      <c r="Q597" s="16"/>
      <c r="R597" s="16"/>
      <c r="S597" s="16"/>
      <c r="T597" s="16"/>
      <c r="U597" s="16"/>
    </row>
    <row r="598" spans="1:21" s="83" customFormat="1">
      <c r="A598" s="12" t="s">
        <v>1037</v>
      </c>
      <c r="B598" s="25" t="s">
        <v>69</v>
      </c>
      <c r="C598" s="26" t="s">
        <v>71</v>
      </c>
      <c r="D598" s="26" t="s">
        <v>25</v>
      </c>
      <c r="E598" s="26" t="s">
        <v>360</v>
      </c>
      <c r="F598" s="26" t="s">
        <v>1062</v>
      </c>
      <c r="G598" s="27">
        <f t="shared" si="407"/>
        <v>1900</v>
      </c>
      <c r="H598" s="27">
        <f t="shared" si="408"/>
        <v>1900</v>
      </c>
      <c r="I598" s="27">
        <f t="shared" si="409"/>
        <v>1900</v>
      </c>
      <c r="J598" s="16">
        <f>'БА в тыс. руб.'!G598*1000</f>
        <v>1900</v>
      </c>
      <c r="K598" s="169">
        <f t="shared" si="395"/>
        <v>0</v>
      </c>
      <c r="L598" s="16">
        <f>'БА в тыс. руб.'!H598*1000</f>
        <v>1900</v>
      </c>
      <c r="M598" s="169">
        <f t="shared" si="396"/>
        <v>0</v>
      </c>
      <c r="N598" s="16">
        <f>'БА в тыс. руб.'!I598*1000</f>
        <v>1900</v>
      </c>
      <c r="O598" s="169">
        <f t="shared" si="397"/>
        <v>0</v>
      </c>
      <c r="P598" s="16"/>
      <c r="Q598" s="16"/>
      <c r="R598" s="16"/>
      <c r="S598" s="16"/>
      <c r="T598" s="16"/>
      <c r="U598" s="16"/>
    </row>
    <row r="599" spans="1:21" s="30" customFormat="1" ht="25.5">
      <c r="A599" s="11" t="s">
        <v>126</v>
      </c>
      <c r="B599" s="25" t="s">
        <v>69</v>
      </c>
      <c r="C599" s="26" t="s">
        <v>71</v>
      </c>
      <c r="D599" s="26" t="s">
        <v>25</v>
      </c>
      <c r="E599" s="26" t="s">
        <v>361</v>
      </c>
      <c r="F599" s="26" t="s">
        <v>58</v>
      </c>
      <c r="G599" s="27">
        <f>G600</f>
        <v>21297580</v>
      </c>
      <c r="H599" s="27">
        <f>H600</f>
        <v>21297580</v>
      </c>
      <c r="I599" s="27">
        <f>I600</f>
        <v>21297580</v>
      </c>
      <c r="J599" s="16">
        <f>'БА в тыс. руб.'!G599*1000</f>
        <v>21297580</v>
      </c>
      <c r="K599" s="169">
        <f t="shared" si="395"/>
        <v>0</v>
      </c>
      <c r="L599" s="16">
        <f>'БА в тыс. руб.'!H599*1000</f>
        <v>21297580</v>
      </c>
      <c r="M599" s="169">
        <f t="shared" si="396"/>
        <v>0</v>
      </c>
      <c r="N599" s="16">
        <f>'БА в тыс. руб.'!I599*1000</f>
        <v>21297580</v>
      </c>
      <c r="O599" s="169">
        <f t="shared" si="397"/>
        <v>0</v>
      </c>
      <c r="P599" s="16"/>
      <c r="Q599" s="16"/>
      <c r="R599" s="16"/>
      <c r="S599" s="16"/>
      <c r="T599" s="16"/>
      <c r="U599" s="16"/>
    </row>
    <row r="600" spans="1:21" s="30" customFormat="1" ht="25.5">
      <c r="A600" s="11" t="s">
        <v>362</v>
      </c>
      <c r="B600" s="25" t="s">
        <v>69</v>
      </c>
      <c r="C600" s="26" t="s">
        <v>71</v>
      </c>
      <c r="D600" s="26" t="s">
        <v>25</v>
      </c>
      <c r="E600" s="26" t="s">
        <v>361</v>
      </c>
      <c r="F600" s="26" t="s">
        <v>115</v>
      </c>
      <c r="G600" s="27">
        <f>SUM(G601:G602)</f>
        <v>21297580</v>
      </c>
      <c r="H600" s="27">
        <f t="shared" ref="H600:I600" si="410">SUM(H601:H602)</f>
        <v>21297580</v>
      </c>
      <c r="I600" s="27">
        <f t="shared" si="410"/>
        <v>21297580</v>
      </c>
      <c r="J600" s="16">
        <f>'БА в тыс. руб.'!G600*1000</f>
        <v>21297580</v>
      </c>
      <c r="K600" s="169">
        <f t="shared" si="395"/>
        <v>0</v>
      </c>
      <c r="L600" s="16">
        <f>'БА в тыс. руб.'!H600*1000</f>
        <v>21297580</v>
      </c>
      <c r="M600" s="169">
        <f t="shared" si="396"/>
        <v>0</v>
      </c>
      <c r="N600" s="16">
        <f>'БА в тыс. руб.'!I600*1000</f>
        <v>21297580</v>
      </c>
      <c r="O600" s="169">
        <f t="shared" si="397"/>
        <v>0</v>
      </c>
      <c r="P600" s="16"/>
      <c r="Q600" s="16"/>
      <c r="R600" s="16"/>
      <c r="S600" s="16"/>
      <c r="T600" s="16"/>
      <c r="U600" s="16"/>
    </row>
    <row r="601" spans="1:21" s="83" customFormat="1">
      <c r="A601" s="12" t="s">
        <v>936</v>
      </c>
      <c r="B601" s="25" t="s">
        <v>69</v>
      </c>
      <c r="C601" s="26" t="s">
        <v>71</v>
      </c>
      <c r="D601" s="26" t="s">
        <v>25</v>
      </c>
      <c r="E601" s="26" t="s">
        <v>361</v>
      </c>
      <c r="F601" s="26" t="s">
        <v>1063</v>
      </c>
      <c r="G601" s="27">
        <f t="shared" ref="G601:G602" si="411">J601</f>
        <v>16357590</v>
      </c>
      <c r="H601" s="27">
        <f t="shared" ref="H601:H602" si="412">L601</f>
        <v>16357590</v>
      </c>
      <c r="I601" s="27">
        <f t="shared" ref="I601:I602" si="413">N601</f>
        <v>16357590</v>
      </c>
      <c r="J601" s="16">
        <f>'БА в тыс. руб.'!G601*1000</f>
        <v>16357590</v>
      </c>
      <c r="K601" s="169">
        <f t="shared" si="395"/>
        <v>0</v>
      </c>
      <c r="L601" s="16">
        <f>'БА в тыс. руб.'!H601*1000</f>
        <v>16357590</v>
      </c>
      <c r="M601" s="169">
        <f t="shared" si="396"/>
        <v>0</v>
      </c>
      <c r="N601" s="16">
        <f>'БА в тыс. руб.'!I601*1000</f>
        <v>16357590</v>
      </c>
      <c r="O601" s="169">
        <f t="shared" si="397"/>
        <v>0</v>
      </c>
      <c r="P601" s="16"/>
      <c r="Q601" s="16"/>
      <c r="R601" s="16"/>
      <c r="S601" s="16"/>
      <c r="T601" s="16"/>
      <c r="U601" s="16"/>
    </row>
    <row r="602" spans="1:21" s="83" customFormat="1" ht="38.25">
      <c r="A602" s="12" t="s">
        <v>939</v>
      </c>
      <c r="B602" s="25" t="s">
        <v>69</v>
      </c>
      <c r="C602" s="26" t="s">
        <v>71</v>
      </c>
      <c r="D602" s="26" t="s">
        <v>25</v>
      </c>
      <c r="E602" s="26" t="s">
        <v>361</v>
      </c>
      <c r="F602" s="26" t="s">
        <v>1060</v>
      </c>
      <c r="G602" s="27">
        <f t="shared" si="411"/>
        <v>4939990</v>
      </c>
      <c r="H602" s="27">
        <f t="shared" si="412"/>
        <v>4939990</v>
      </c>
      <c r="I602" s="27">
        <f t="shared" si="413"/>
        <v>4939990</v>
      </c>
      <c r="J602" s="16">
        <f>'БА в тыс. руб.'!G602*1000</f>
        <v>4939990</v>
      </c>
      <c r="K602" s="169">
        <f t="shared" si="395"/>
        <v>0</v>
      </c>
      <c r="L602" s="16">
        <f>'БА в тыс. руб.'!H602*1000</f>
        <v>4939990</v>
      </c>
      <c r="M602" s="169">
        <f t="shared" si="396"/>
        <v>0</v>
      </c>
      <c r="N602" s="16">
        <f>'БА в тыс. руб.'!I602*1000</f>
        <v>4939990</v>
      </c>
      <c r="O602" s="169">
        <f t="shared" si="397"/>
        <v>0</v>
      </c>
      <c r="P602" s="16"/>
      <c r="Q602" s="16"/>
      <c r="R602" s="16"/>
      <c r="S602" s="16"/>
      <c r="T602" s="16"/>
      <c r="U602" s="16"/>
    </row>
    <row r="603" spans="1:21" s="30" customFormat="1" ht="51">
      <c r="A603" s="11" t="s">
        <v>598</v>
      </c>
      <c r="B603" s="25" t="s">
        <v>69</v>
      </c>
      <c r="C603" s="26" t="s">
        <v>71</v>
      </c>
      <c r="D603" s="26" t="s">
        <v>25</v>
      </c>
      <c r="E603" s="26" t="s">
        <v>363</v>
      </c>
      <c r="F603" s="26" t="s">
        <v>58</v>
      </c>
      <c r="G603" s="27">
        <f>G604</f>
        <v>1971420</v>
      </c>
      <c r="H603" s="27">
        <f>H604</f>
        <v>1971420</v>
      </c>
      <c r="I603" s="27">
        <f>I604</f>
        <v>1971420</v>
      </c>
      <c r="J603" s="16">
        <f>'БА в тыс. руб.'!G603*1000</f>
        <v>1971420</v>
      </c>
      <c r="K603" s="169">
        <f t="shared" si="395"/>
        <v>0</v>
      </c>
      <c r="L603" s="16">
        <f>'БА в тыс. руб.'!H603*1000</f>
        <v>1971420</v>
      </c>
      <c r="M603" s="169">
        <f t="shared" si="396"/>
        <v>0</v>
      </c>
      <c r="N603" s="16">
        <f>'БА в тыс. руб.'!I603*1000</f>
        <v>1971420</v>
      </c>
      <c r="O603" s="169">
        <f t="shared" si="397"/>
        <v>0</v>
      </c>
      <c r="P603" s="16"/>
      <c r="Q603" s="16"/>
      <c r="R603" s="16"/>
      <c r="S603" s="16"/>
      <c r="T603" s="16"/>
      <c r="U603" s="16"/>
    </row>
    <row r="604" spans="1:21" s="30" customFormat="1" ht="25.5">
      <c r="A604" s="11" t="s">
        <v>362</v>
      </c>
      <c r="B604" s="25" t="s">
        <v>69</v>
      </c>
      <c r="C604" s="26" t="s">
        <v>71</v>
      </c>
      <c r="D604" s="26" t="s">
        <v>25</v>
      </c>
      <c r="E604" s="26" t="s">
        <v>363</v>
      </c>
      <c r="F604" s="26" t="s">
        <v>115</v>
      </c>
      <c r="G604" s="27">
        <f>SUM(G605:G607)</f>
        <v>1971420</v>
      </c>
      <c r="H604" s="27">
        <f t="shared" ref="H604:I604" si="414">SUM(H605:H607)</f>
        <v>1971420</v>
      </c>
      <c r="I604" s="27">
        <f t="shared" si="414"/>
        <v>1971420</v>
      </c>
      <c r="J604" s="16">
        <f>'БА в тыс. руб.'!G604*1000</f>
        <v>1971420</v>
      </c>
      <c r="K604" s="169">
        <f t="shared" si="395"/>
        <v>0</v>
      </c>
      <c r="L604" s="16">
        <f>'БА в тыс. руб.'!H604*1000</f>
        <v>1971420</v>
      </c>
      <c r="M604" s="169">
        <f t="shared" si="396"/>
        <v>0</v>
      </c>
      <c r="N604" s="16">
        <f>'БА в тыс. руб.'!I604*1000</f>
        <v>1971420</v>
      </c>
      <c r="O604" s="169">
        <f t="shared" si="397"/>
        <v>0</v>
      </c>
      <c r="P604" s="16"/>
      <c r="Q604" s="16"/>
      <c r="R604" s="16"/>
      <c r="S604" s="16"/>
      <c r="T604" s="16"/>
      <c r="U604" s="16"/>
    </row>
    <row r="605" spans="1:21" s="83" customFormat="1">
      <c r="A605" s="12" t="s">
        <v>936</v>
      </c>
      <c r="B605" s="25" t="s">
        <v>69</v>
      </c>
      <c r="C605" s="26" t="s">
        <v>71</v>
      </c>
      <c r="D605" s="26" t="s">
        <v>25</v>
      </c>
      <c r="E605" s="26" t="s">
        <v>363</v>
      </c>
      <c r="F605" s="26" t="s">
        <v>1063</v>
      </c>
      <c r="G605" s="27">
        <f t="shared" ref="G605:G607" si="415">J605</f>
        <v>1449860</v>
      </c>
      <c r="H605" s="27">
        <f t="shared" ref="H605:H607" si="416">L605</f>
        <v>1449860</v>
      </c>
      <c r="I605" s="27">
        <f t="shared" ref="I605:I607" si="417">N605</f>
        <v>1449860</v>
      </c>
      <c r="J605" s="16">
        <f>'БА в тыс. руб.'!G605*1000</f>
        <v>1449860</v>
      </c>
      <c r="K605" s="169">
        <f t="shared" si="395"/>
        <v>0</v>
      </c>
      <c r="L605" s="16">
        <f>'БА в тыс. руб.'!H605*1000</f>
        <v>1449860</v>
      </c>
      <c r="M605" s="169">
        <f t="shared" si="396"/>
        <v>0</v>
      </c>
      <c r="N605" s="16">
        <f>'БА в тыс. руб.'!I605*1000</f>
        <v>1449860</v>
      </c>
      <c r="O605" s="169">
        <f t="shared" si="397"/>
        <v>0</v>
      </c>
      <c r="P605" s="16"/>
      <c r="Q605" s="16"/>
      <c r="R605" s="16"/>
      <c r="S605" s="16"/>
      <c r="T605" s="16"/>
      <c r="U605" s="16"/>
    </row>
    <row r="606" spans="1:21" s="83" customFormat="1" ht="25.5">
      <c r="A606" s="12" t="s">
        <v>937</v>
      </c>
      <c r="B606" s="25" t="s">
        <v>69</v>
      </c>
      <c r="C606" s="26" t="s">
        <v>71</v>
      </c>
      <c r="D606" s="26" t="s">
        <v>25</v>
      </c>
      <c r="E606" s="26" t="s">
        <v>363</v>
      </c>
      <c r="F606" s="26" t="s">
        <v>1059</v>
      </c>
      <c r="G606" s="27">
        <f t="shared" si="415"/>
        <v>64430.000000000007</v>
      </c>
      <c r="H606" s="27">
        <f t="shared" si="416"/>
        <v>64430.000000000007</v>
      </c>
      <c r="I606" s="27">
        <f t="shared" si="417"/>
        <v>64430.000000000007</v>
      </c>
      <c r="J606" s="16">
        <f>'БА в тыс. руб.'!G606*1000</f>
        <v>64430.000000000007</v>
      </c>
      <c r="K606" s="169"/>
      <c r="L606" s="16">
        <f>'БА в тыс. руб.'!H606*1000</f>
        <v>64430.000000000007</v>
      </c>
      <c r="M606" s="169"/>
      <c r="N606" s="16">
        <f>'БА в тыс. руб.'!I606*1000</f>
        <v>64430.000000000007</v>
      </c>
      <c r="O606" s="169"/>
      <c r="P606" s="16"/>
      <c r="Q606" s="16"/>
      <c r="R606" s="16"/>
      <c r="S606" s="16"/>
      <c r="T606" s="16"/>
      <c r="U606" s="16"/>
    </row>
    <row r="607" spans="1:21" s="83" customFormat="1" ht="38.25">
      <c r="A607" s="12" t="s">
        <v>939</v>
      </c>
      <c r="B607" s="25" t="s">
        <v>69</v>
      </c>
      <c r="C607" s="26" t="s">
        <v>71</v>
      </c>
      <c r="D607" s="26" t="s">
        <v>25</v>
      </c>
      <c r="E607" s="26" t="s">
        <v>363</v>
      </c>
      <c r="F607" s="26" t="s">
        <v>1060</v>
      </c>
      <c r="G607" s="27">
        <f t="shared" si="415"/>
        <v>457130</v>
      </c>
      <c r="H607" s="27">
        <f t="shared" si="416"/>
        <v>457130</v>
      </c>
      <c r="I607" s="27">
        <f t="shared" si="417"/>
        <v>457130</v>
      </c>
      <c r="J607" s="16">
        <f>'БА в тыс. руб.'!G607*1000</f>
        <v>457130</v>
      </c>
      <c r="K607" s="169">
        <f t="shared" si="395"/>
        <v>0</v>
      </c>
      <c r="L607" s="16">
        <f>'БА в тыс. руб.'!H607*1000</f>
        <v>457130</v>
      </c>
      <c r="M607" s="169">
        <f t="shared" si="396"/>
        <v>0</v>
      </c>
      <c r="N607" s="16">
        <f>'БА в тыс. руб.'!I607*1000</f>
        <v>457130</v>
      </c>
      <c r="O607" s="169">
        <f t="shared" si="397"/>
        <v>0</v>
      </c>
      <c r="P607" s="16"/>
      <c r="Q607" s="16"/>
      <c r="R607" s="16"/>
      <c r="S607" s="16"/>
      <c r="T607" s="16"/>
      <c r="U607" s="16"/>
    </row>
    <row r="608" spans="1:21" s="30" customFormat="1">
      <c r="A608" s="17" t="s">
        <v>49</v>
      </c>
      <c r="B608" s="18" t="s">
        <v>69</v>
      </c>
      <c r="C608" s="19" t="s">
        <v>14</v>
      </c>
      <c r="D608" s="19" t="s">
        <v>51</v>
      </c>
      <c r="E608" s="19" t="s">
        <v>196</v>
      </c>
      <c r="F608" s="19" t="s">
        <v>58</v>
      </c>
      <c r="G608" s="20">
        <f t="shared" ref="G608:I610" si="418">G609</f>
        <v>114471410</v>
      </c>
      <c r="H608" s="20">
        <f t="shared" si="418"/>
        <v>114471410</v>
      </c>
      <c r="I608" s="20">
        <f t="shared" si="418"/>
        <v>114471410</v>
      </c>
      <c r="J608" s="16">
        <f>'БА в тыс. руб.'!G608*1000</f>
        <v>114471410</v>
      </c>
      <c r="K608" s="169">
        <f t="shared" si="395"/>
        <v>0</v>
      </c>
      <c r="L608" s="16">
        <f>'БА в тыс. руб.'!H608*1000</f>
        <v>114471410</v>
      </c>
      <c r="M608" s="169">
        <f t="shared" si="396"/>
        <v>0</v>
      </c>
      <c r="N608" s="16">
        <f>'БА в тыс. руб.'!I608*1000</f>
        <v>114471410</v>
      </c>
      <c r="O608" s="169">
        <f t="shared" si="397"/>
        <v>0</v>
      </c>
      <c r="P608" s="16"/>
      <c r="Q608" s="16"/>
      <c r="R608" s="16"/>
      <c r="S608" s="16"/>
      <c r="T608" s="16"/>
      <c r="U608" s="16"/>
    </row>
    <row r="609" spans="1:21" s="30" customFormat="1">
      <c r="A609" s="21" t="s">
        <v>22</v>
      </c>
      <c r="B609" s="22" t="s">
        <v>69</v>
      </c>
      <c r="C609" s="23" t="s">
        <v>14</v>
      </c>
      <c r="D609" s="23" t="s">
        <v>37</v>
      </c>
      <c r="E609" s="23" t="s">
        <v>196</v>
      </c>
      <c r="F609" s="23" t="s">
        <v>58</v>
      </c>
      <c r="G609" s="24">
        <f t="shared" si="418"/>
        <v>114471410</v>
      </c>
      <c r="H609" s="24">
        <f t="shared" si="418"/>
        <v>114471410</v>
      </c>
      <c r="I609" s="24">
        <f t="shared" si="418"/>
        <v>114471410</v>
      </c>
      <c r="J609" s="16">
        <f>'БА в тыс. руб.'!G609*1000</f>
        <v>114471410</v>
      </c>
      <c r="K609" s="169">
        <f t="shared" si="395"/>
        <v>0</v>
      </c>
      <c r="L609" s="16">
        <f>'БА в тыс. руб.'!H609*1000</f>
        <v>114471410</v>
      </c>
      <c r="M609" s="169">
        <f t="shared" si="396"/>
        <v>0</v>
      </c>
      <c r="N609" s="16">
        <f>'БА в тыс. руб.'!I609*1000</f>
        <v>114471410</v>
      </c>
      <c r="O609" s="169">
        <f t="shared" si="397"/>
        <v>0</v>
      </c>
      <c r="P609" s="16"/>
      <c r="Q609" s="16"/>
      <c r="R609" s="16"/>
      <c r="S609" s="16"/>
      <c r="T609" s="16"/>
      <c r="U609" s="16"/>
    </row>
    <row r="610" spans="1:21" s="30" customFormat="1" ht="25.5">
      <c r="A610" s="13" t="s">
        <v>723</v>
      </c>
      <c r="B610" s="25" t="s">
        <v>69</v>
      </c>
      <c r="C610" s="26" t="s">
        <v>14</v>
      </c>
      <c r="D610" s="26" t="s">
        <v>37</v>
      </c>
      <c r="E610" s="26" t="s">
        <v>331</v>
      </c>
      <c r="F610" s="26" t="s">
        <v>58</v>
      </c>
      <c r="G610" s="27">
        <f t="shared" si="418"/>
        <v>114471410</v>
      </c>
      <c r="H610" s="27">
        <f t="shared" si="418"/>
        <v>114471410</v>
      </c>
      <c r="I610" s="27">
        <f t="shared" si="418"/>
        <v>114471410</v>
      </c>
      <c r="J610" s="16">
        <f>'БА в тыс. руб.'!G610*1000</f>
        <v>114471410</v>
      </c>
      <c r="K610" s="169">
        <f t="shared" si="395"/>
        <v>0</v>
      </c>
      <c r="L610" s="16">
        <f>'БА в тыс. руб.'!H610*1000</f>
        <v>114471410</v>
      </c>
      <c r="M610" s="169">
        <f t="shared" si="396"/>
        <v>0</v>
      </c>
      <c r="N610" s="16">
        <f>'БА в тыс. руб.'!I610*1000</f>
        <v>114471410</v>
      </c>
      <c r="O610" s="169">
        <f t="shared" si="397"/>
        <v>0</v>
      </c>
      <c r="P610" s="16"/>
      <c r="Q610" s="16"/>
      <c r="R610" s="16"/>
      <c r="S610" s="16"/>
      <c r="T610" s="16"/>
      <c r="U610" s="16"/>
    </row>
    <row r="611" spans="1:21" s="30" customFormat="1" ht="25.5">
      <c r="A611" s="13" t="s">
        <v>860</v>
      </c>
      <c r="B611" s="25" t="s">
        <v>69</v>
      </c>
      <c r="C611" s="26" t="s">
        <v>14</v>
      </c>
      <c r="D611" s="26" t="s">
        <v>37</v>
      </c>
      <c r="E611" s="26" t="s">
        <v>332</v>
      </c>
      <c r="F611" s="26" t="s">
        <v>58</v>
      </c>
      <c r="G611" s="27">
        <f>G612+G618</f>
        <v>114471410</v>
      </c>
      <c r="H611" s="27">
        <f>H612+H618</f>
        <v>114471410</v>
      </c>
      <c r="I611" s="27">
        <f>I612+I618</f>
        <v>114471410</v>
      </c>
      <c r="J611" s="16">
        <f>'БА в тыс. руб.'!G611*1000</f>
        <v>114471410</v>
      </c>
      <c r="K611" s="169">
        <f t="shared" si="395"/>
        <v>0</v>
      </c>
      <c r="L611" s="16">
        <f>'БА в тыс. руб.'!H611*1000</f>
        <v>114471410</v>
      </c>
      <c r="M611" s="169">
        <f t="shared" si="396"/>
        <v>0</v>
      </c>
      <c r="N611" s="16">
        <f>'БА в тыс. руб.'!I611*1000</f>
        <v>114471410</v>
      </c>
      <c r="O611" s="169">
        <f t="shared" si="397"/>
        <v>0</v>
      </c>
      <c r="P611" s="16"/>
      <c r="Q611" s="16"/>
      <c r="R611" s="16"/>
      <c r="S611" s="16"/>
      <c r="T611" s="16"/>
      <c r="U611" s="16"/>
    </row>
    <row r="612" spans="1:21" s="30" customFormat="1" ht="25.5">
      <c r="A612" s="13" t="s">
        <v>607</v>
      </c>
      <c r="B612" s="25" t="s">
        <v>69</v>
      </c>
      <c r="C612" s="26" t="s">
        <v>14</v>
      </c>
      <c r="D612" s="26" t="s">
        <v>37</v>
      </c>
      <c r="E612" s="26" t="s">
        <v>333</v>
      </c>
      <c r="F612" s="26" t="s">
        <v>58</v>
      </c>
      <c r="G612" s="27">
        <f>G613</f>
        <v>80815450</v>
      </c>
      <c r="H612" s="27">
        <f>H613</f>
        <v>80815450</v>
      </c>
      <c r="I612" s="27">
        <f>I613</f>
        <v>80815450</v>
      </c>
      <c r="J612" s="16">
        <f>'БА в тыс. руб.'!G612*1000</f>
        <v>80815450</v>
      </c>
      <c r="K612" s="169">
        <f t="shared" si="395"/>
        <v>0</v>
      </c>
      <c r="L612" s="16">
        <f>'БА в тыс. руб.'!H612*1000</f>
        <v>80815450</v>
      </c>
      <c r="M612" s="169">
        <f t="shared" si="396"/>
        <v>0</v>
      </c>
      <c r="N612" s="16">
        <f>'БА в тыс. руб.'!I612*1000</f>
        <v>80815450</v>
      </c>
      <c r="O612" s="169">
        <f t="shared" si="397"/>
        <v>0</v>
      </c>
      <c r="P612" s="16"/>
      <c r="Q612" s="16"/>
      <c r="R612" s="16"/>
      <c r="S612" s="16"/>
      <c r="T612" s="16"/>
      <c r="U612" s="16"/>
    </row>
    <row r="613" spans="1:21" s="30" customFormat="1" ht="51">
      <c r="A613" s="13" t="s">
        <v>364</v>
      </c>
      <c r="B613" s="25" t="s">
        <v>69</v>
      </c>
      <c r="C613" s="26" t="s">
        <v>14</v>
      </c>
      <c r="D613" s="26" t="s">
        <v>37</v>
      </c>
      <c r="E613" s="26" t="s">
        <v>365</v>
      </c>
      <c r="F613" s="26" t="s">
        <v>58</v>
      </c>
      <c r="G613" s="27">
        <f>G614+G616</f>
        <v>80815450</v>
      </c>
      <c r="H613" s="27">
        <f t="shared" ref="H613:I613" si="419">H614+H616</f>
        <v>80815450</v>
      </c>
      <c r="I613" s="27">
        <f t="shared" si="419"/>
        <v>80815450</v>
      </c>
      <c r="J613" s="16">
        <f>'БА в тыс. руб.'!G613*1000</f>
        <v>80815450</v>
      </c>
      <c r="K613" s="169">
        <f t="shared" si="395"/>
        <v>0</v>
      </c>
      <c r="L613" s="16">
        <f>'БА в тыс. руб.'!H613*1000</f>
        <v>80815450</v>
      </c>
      <c r="M613" s="169">
        <f t="shared" si="396"/>
        <v>0</v>
      </c>
      <c r="N613" s="16">
        <f>'БА в тыс. руб.'!I613*1000</f>
        <v>80815450</v>
      </c>
      <c r="O613" s="169">
        <f t="shared" si="397"/>
        <v>0</v>
      </c>
      <c r="P613" s="16"/>
      <c r="Q613" s="16"/>
      <c r="R613" s="16"/>
      <c r="S613" s="16"/>
      <c r="T613" s="16"/>
      <c r="U613" s="16"/>
    </row>
    <row r="614" spans="1:21" s="30" customFormat="1" ht="25.5">
      <c r="A614" s="11" t="s">
        <v>108</v>
      </c>
      <c r="B614" s="25" t="s">
        <v>69</v>
      </c>
      <c r="C614" s="26" t="s">
        <v>14</v>
      </c>
      <c r="D614" s="26" t="s">
        <v>37</v>
      </c>
      <c r="E614" s="26" t="s">
        <v>365</v>
      </c>
      <c r="F614" s="26" t="s">
        <v>116</v>
      </c>
      <c r="G614" s="27">
        <f>G615</f>
        <v>1212230</v>
      </c>
      <c r="H614" s="27">
        <f t="shared" ref="H614:I614" si="420">H615</f>
        <v>1212230</v>
      </c>
      <c r="I614" s="27">
        <f t="shared" si="420"/>
        <v>1212230</v>
      </c>
      <c r="J614" s="16">
        <f>'БА в тыс. руб.'!G614*1000</f>
        <v>1212230</v>
      </c>
      <c r="K614" s="169">
        <f t="shared" si="395"/>
        <v>0</v>
      </c>
      <c r="L614" s="16">
        <f>'БА в тыс. руб.'!H614*1000</f>
        <v>1212230</v>
      </c>
      <c r="M614" s="169">
        <f t="shared" si="396"/>
        <v>0</v>
      </c>
      <c r="N614" s="16">
        <f>'БА в тыс. руб.'!I614*1000</f>
        <v>1212230</v>
      </c>
      <c r="O614" s="169">
        <f t="shared" si="397"/>
        <v>0</v>
      </c>
      <c r="P614" s="16"/>
      <c r="Q614" s="16"/>
      <c r="R614" s="16"/>
      <c r="S614" s="16"/>
      <c r="T614" s="16"/>
      <c r="U614" s="16"/>
    </row>
    <row r="615" spans="1:21" s="83" customFormat="1" ht="25.5">
      <c r="A615" s="12" t="s">
        <v>973</v>
      </c>
      <c r="B615" s="25" t="s">
        <v>69</v>
      </c>
      <c r="C615" s="26" t="s">
        <v>14</v>
      </c>
      <c r="D615" s="26" t="s">
        <v>37</v>
      </c>
      <c r="E615" s="26" t="s">
        <v>365</v>
      </c>
      <c r="F615" s="26" t="s">
        <v>1043</v>
      </c>
      <c r="G615" s="27">
        <f t="shared" ref="G615" si="421">J615</f>
        <v>1212230</v>
      </c>
      <c r="H615" s="27">
        <f>L615</f>
        <v>1212230</v>
      </c>
      <c r="I615" s="27">
        <f>N615</f>
        <v>1212230</v>
      </c>
      <c r="J615" s="16">
        <f>'БА в тыс. руб.'!G615*1000</f>
        <v>1212230</v>
      </c>
      <c r="K615" s="169">
        <f t="shared" si="395"/>
        <v>0</v>
      </c>
      <c r="L615" s="16">
        <f>'БА в тыс. руб.'!H615*1000</f>
        <v>1212230</v>
      </c>
      <c r="M615" s="169">
        <f t="shared" si="396"/>
        <v>0</v>
      </c>
      <c r="N615" s="16">
        <f>'БА в тыс. руб.'!I615*1000</f>
        <v>1212230</v>
      </c>
      <c r="O615" s="169">
        <f t="shared" si="397"/>
        <v>0</v>
      </c>
      <c r="P615" s="16"/>
      <c r="Q615" s="16"/>
      <c r="R615" s="16"/>
      <c r="S615" s="16"/>
      <c r="T615" s="16"/>
      <c r="U615" s="16"/>
    </row>
    <row r="616" spans="1:21" s="30" customFormat="1">
      <c r="A616" s="13" t="s">
        <v>109</v>
      </c>
      <c r="B616" s="25" t="s">
        <v>69</v>
      </c>
      <c r="C616" s="26" t="s">
        <v>14</v>
      </c>
      <c r="D616" s="26" t="s">
        <v>37</v>
      </c>
      <c r="E616" s="26" t="s">
        <v>365</v>
      </c>
      <c r="F616" s="26" t="s">
        <v>134</v>
      </c>
      <c r="G616" s="27">
        <f>G617</f>
        <v>79603220</v>
      </c>
      <c r="H616" s="27">
        <f t="shared" ref="H616:I616" si="422">H617</f>
        <v>79603220</v>
      </c>
      <c r="I616" s="27">
        <f t="shared" si="422"/>
        <v>79603220</v>
      </c>
      <c r="J616" s="16">
        <f>'БА в тыс. руб.'!G616*1000</f>
        <v>79603220</v>
      </c>
      <c r="K616" s="169">
        <f t="shared" si="395"/>
        <v>0</v>
      </c>
      <c r="L616" s="16">
        <f>'БА в тыс. руб.'!H616*1000</f>
        <v>79603220</v>
      </c>
      <c r="M616" s="169">
        <f t="shared" si="396"/>
        <v>0</v>
      </c>
      <c r="N616" s="16">
        <f>'БА в тыс. руб.'!I616*1000</f>
        <v>79603220</v>
      </c>
      <c r="O616" s="169">
        <f t="shared" si="397"/>
        <v>0</v>
      </c>
      <c r="P616" s="16"/>
      <c r="Q616" s="16"/>
      <c r="R616" s="16"/>
      <c r="S616" s="16"/>
      <c r="T616" s="16"/>
      <c r="U616" s="16"/>
    </row>
    <row r="617" spans="1:21" s="83" customFormat="1" ht="25.5">
      <c r="A617" s="12" t="s">
        <v>978</v>
      </c>
      <c r="B617" s="25" t="s">
        <v>69</v>
      </c>
      <c r="C617" s="26" t="s">
        <v>14</v>
      </c>
      <c r="D617" s="26" t="s">
        <v>37</v>
      </c>
      <c r="E617" s="26" t="s">
        <v>365</v>
      </c>
      <c r="F617" s="26" t="s">
        <v>1064</v>
      </c>
      <c r="G617" s="27">
        <f t="shared" ref="G617" si="423">J617</f>
        <v>79603220</v>
      </c>
      <c r="H617" s="27">
        <f>L617</f>
        <v>79603220</v>
      </c>
      <c r="I617" s="27">
        <f>N617</f>
        <v>79603220</v>
      </c>
      <c r="J617" s="16">
        <f>'БА в тыс. руб.'!G617*1000</f>
        <v>79603220</v>
      </c>
      <c r="K617" s="169">
        <f t="shared" si="395"/>
        <v>0</v>
      </c>
      <c r="L617" s="16">
        <f>'БА в тыс. руб.'!H617*1000</f>
        <v>79603220</v>
      </c>
      <c r="M617" s="169">
        <f t="shared" si="396"/>
        <v>0</v>
      </c>
      <c r="N617" s="16">
        <f>'БА в тыс. руб.'!I617*1000</f>
        <v>79603220</v>
      </c>
      <c r="O617" s="169">
        <f t="shared" si="397"/>
        <v>0</v>
      </c>
      <c r="P617" s="16"/>
      <c r="Q617" s="16"/>
      <c r="R617" s="16"/>
      <c r="S617" s="16"/>
      <c r="T617" s="16"/>
      <c r="U617" s="16"/>
    </row>
    <row r="618" spans="1:21" s="30" customFormat="1" ht="25.5">
      <c r="A618" s="13" t="s">
        <v>584</v>
      </c>
      <c r="B618" s="25" t="s">
        <v>69</v>
      </c>
      <c r="C618" s="26" t="s">
        <v>14</v>
      </c>
      <c r="D618" s="26" t="s">
        <v>37</v>
      </c>
      <c r="E618" s="26" t="s">
        <v>366</v>
      </c>
      <c r="F618" s="26" t="s">
        <v>58</v>
      </c>
      <c r="G618" s="27">
        <f>G619+G622+G625+G628</f>
        <v>33655960</v>
      </c>
      <c r="H618" s="27">
        <f>H619+H622+H625+H628</f>
        <v>33655960</v>
      </c>
      <c r="I618" s="27">
        <f>I619+I622+I625+I628</f>
        <v>33655960</v>
      </c>
      <c r="J618" s="16">
        <f>'БА в тыс. руб.'!G618*1000</f>
        <v>33655960.000000007</v>
      </c>
      <c r="K618" s="169">
        <f t="shared" si="395"/>
        <v>0</v>
      </c>
      <c r="L618" s="16">
        <f>'БА в тыс. руб.'!H618*1000</f>
        <v>33655960.000000007</v>
      </c>
      <c r="M618" s="169">
        <f t="shared" si="396"/>
        <v>0</v>
      </c>
      <c r="N618" s="16">
        <f>'БА в тыс. руб.'!I618*1000</f>
        <v>33655960.000000007</v>
      </c>
      <c r="O618" s="169">
        <f t="shared" si="397"/>
        <v>0</v>
      </c>
      <c r="P618" s="16"/>
      <c r="Q618" s="16"/>
      <c r="R618" s="16"/>
      <c r="S618" s="16"/>
      <c r="T618" s="16"/>
      <c r="U618" s="16"/>
    </row>
    <row r="619" spans="1:21" s="30" customFormat="1" ht="25.5">
      <c r="A619" s="13" t="s">
        <v>367</v>
      </c>
      <c r="B619" s="25" t="s">
        <v>69</v>
      </c>
      <c r="C619" s="26" t="s">
        <v>14</v>
      </c>
      <c r="D619" s="26" t="s">
        <v>37</v>
      </c>
      <c r="E619" s="26" t="s">
        <v>788</v>
      </c>
      <c r="F619" s="26" t="s">
        <v>58</v>
      </c>
      <c r="G619" s="27">
        <f>G620</f>
        <v>19526720</v>
      </c>
      <c r="H619" s="27">
        <f>H620</f>
        <v>19526720</v>
      </c>
      <c r="I619" s="27">
        <f>I620</f>
        <v>19526720</v>
      </c>
      <c r="J619" s="16">
        <f>'БА в тыс. руб.'!G619*1000</f>
        <v>19526720</v>
      </c>
      <c r="K619" s="169">
        <f t="shared" si="395"/>
        <v>0</v>
      </c>
      <c r="L619" s="16">
        <f>'БА в тыс. руб.'!H619*1000</f>
        <v>19526720</v>
      </c>
      <c r="M619" s="169">
        <f t="shared" si="396"/>
        <v>0</v>
      </c>
      <c r="N619" s="16">
        <f>'БА в тыс. руб.'!I619*1000</f>
        <v>19526720</v>
      </c>
      <c r="O619" s="169">
        <f t="shared" si="397"/>
        <v>0</v>
      </c>
      <c r="P619" s="16"/>
      <c r="Q619" s="16"/>
      <c r="R619" s="16"/>
      <c r="S619" s="16"/>
      <c r="T619" s="16"/>
      <c r="U619" s="16"/>
    </row>
    <row r="620" spans="1:21" s="30" customFormat="1" ht="25.5">
      <c r="A620" s="13" t="s">
        <v>110</v>
      </c>
      <c r="B620" s="25" t="s">
        <v>69</v>
      </c>
      <c r="C620" s="26" t="s">
        <v>14</v>
      </c>
      <c r="D620" s="26" t="s">
        <v>37</v>
      </c>
      <c r="E620" s="26" t="s">
        <v>788</v>
      </c>
      <c r="F620" s="26" t="s">
        <v>117</v>
      </c>
      <c r="G620" s="27">
        <f>G621</f>
        <v>19526720</v>
      </c>
      <c r="H620" s="27">
        <f t="shared" ref="H620:I620" si="424">H621</f>
        <v>19526720</v>
      </c>
      <c r="I620" s="27">
        <f t="shared" si="424"/>
        <v>19526720</v>
      </c>
      <c r="J620" s="16">
        <f>'БА в тыс. руб.'!G620*1000</f>
        <v>19526720</v>
      </c>
      <c r="K620" s="169">
        <f t="shared" si="395"/>
        <v>0</v>
      </c>
      <c r="L620" s="16">
        <f>'БА в тыс. руб.'!H620*1000</f>
        <v>19526720</v>
      </c>
      <c r="M620" s="169">
        <f t="shared" si="396"/>
        <v>0</v>
      </c>
      <c r="N620" s="16">
        <f>'БА в тыс. руб.'!I620*1000</f>
        <v>19526720</v>
      </c>
      <c r="O620" s="169">
        <f t="shared" si="397"/>
        <v>0</v>
      </c>
      <c r="P620" s="16"/>
      <c r="Q620" s="16"/>
      <c r="R620" s="16"/>
      <c r="S620" s="16"/>
      <c r="T620" s="16"/>
      <c r="U620" s="16"/>
    </row>
    <row r="621" spans="1:21" s="83" customFormat="1" ht="25.5">
      <c r="A621" s="12" t="s">
        <v>981</v>
      </c>
      <c r="B621" s="25" t="s">
        <v>69</v>
      </c>
      <c r="C621" s="26" t="s">
        <v>14</v>
      </c>
      <c r="D621" s="26" t="s">
        <v>37</v>
      </c>
      <c r="E621" s="26" t="s">
        <v>788</v>
      </c>
      <c r="F621" s="26" t="s">
        <v>1065</v>
      </c>
      <c r="G621" s="27">
        <f t="shared" ref="G621" si="425">J621</f>
        <v>19526720</v>
      </c>
      <c r="H621" s="27">
        <f>L621</f>
        <v>19526720</v>
      </c>
      <c r="I621" s="27">
        <f>N621</f>
        <v>19526720</v>
      </c>
      <c r="J621" s="16">
        <f>'БА в тыс. руб.'!G621*1000</f>
        <v>19526720</v>
      </c>
      <c r="K621" s="169">
        <f t="shared" si="395"/>
        <v>0</v>
      </c>
      <c r="L621" s="16">
        <f>'БА в тыс. руб.'!H621*1000</f>
        <v>19526720</v>
      </c>
      <c r="M621" s="169">
        <f t="shared" si="396"/>
        <v>0</v>
      </c>
      <c r="N621" s="16">
        <f>'БА в тыс. руб.'!I621*1000</f>
        <v>19526720</v>
      </c>
      <c r="O621" s="169">
        <f t="shared" si="397"/>
        <v>0</v>
      </c>
      <c r="P621" s="16"/>
      <c r="Q621" s="16"/>
      <c r="R621" s="16"/>
      <c r="S621" s="16"/>
      <c r="T621" s="16"/>
      <c r="U621" s="16"/>
    </row>
    <row r="622" spans="1:21" s="30" customFormat="1" ht="51">
      <c r="A622" s="11" t="s">
        <v>594</v>
      </c>
      <c r="B622" s="25" t="s">
        <v>69</v>
      </c>
      <c r="C622" s="26" t="s">
        <v>14</v>
      </c>
      <c r="D622" s="26" t="s">
        <v>37</v>
      </c>
      <c r="E622" s="26" t="s">
        <v>789</v>
      </c>
      <c r="F622" s="26" t="s">
        <v>58</v>
      </c>
      <c r="G622" s="27">
        <f>G623</f>
        <v>1543310</v>
      </c>
      <c r="H622" s="27">
        <f>H623</f>
        <v>1543310</v>
      </c>
      <c r="I622" s="27">
        <f>I623</f>
        <v>1543310</v>
      </c>
      <c r="J622" s="16">
        <f>'БА в тыс. руб.'!G622*1000</f>
        <v>1543310</v>
      </c>
      <c r="K622" s="169">
        <f t="shared" si="395"/>
        <v>0</v>
      </c>
      <c r="L622" s="16">
        <f>'БА в тыс. руб.'!H622*1000</f>
        <v>1543310</v>
      </c>
      <c r="M622" s="169">
        <f t="shared" si="396"/>
        <v>0</v>
      </c>
      <c r="N622" s="16">
        <f>'БА в тыс. руб.'!I622*1000</f>
        <v>1543310</v>
      </c>
      <c r="O622" s="169">
        <f t="shared" si="397"/>
        <v>0</v>
      </c>
      <c r="P622" s="16"/>
      <c r="Q622" s="16"/>
      <c r="R622" s="16"/>
      <c r="S622" s="16"/>
      <c r="T622" s="16"/>
      <c r="U622" s="16"/>
    </row>
    <row r="623" spans="1:21" s="30" customFormat="1" ht="25.5">
      <c r="A623" s="13" t="s">
        <v>110</v>
      </c>
      <c r="B623" s="25" t="s">
        <v>69</v>
      </c>
      <c r="C623" s="26" t="s">
        <v>14</v>
      </c>
      <c r="D623" s="26" t="s">
        <v>37</v>
      </c>
      <c r="E623" s="26" t="s">
        <v>789</v>
      </c>
      <c r="F623" s="26" t="s">
        <v>117</v>
      </c>
      <c r="G623" s="27">
        <f>G624</f>
        <v>1543310</v>
      </c>
      <c r="H623" s="27">
        <f t="shared" ref="H623:I623" si="426">H624</f>
        <v>1543310</v>
      </c>
      <c r="I623" s="27">
        <f t="shared" si="426"/>
        <v>1543310</v>
      </c>
      <c r="J623" s="16">
        <f>'БА в тыс. руб.'!G623*1000</f>
        <v>1543310</v>
      </c>
      <c r="K623" s="169">
        <f t="shared" si="395"/>
        <v>0</v>
      </c>
      <c r="L623" s="16">
        <f>'БА в тыс. руб.'!H623*1000</f>
        <v>1543310</v>
      </c>
      <c r="M623" s="169">
        <f t="shared" si="396"/>
        <v>0</v>
      </c>
      <c r="N623" s="16">
        <f>'БА в тыс. руб.'!I623*1000</f>
        <v>1543310</v>
      </c>
      <c r="O623" s="169">
        <f t="shared" si="397"/>
        <v>0</v>
      </c>
      <c r="P623" s="16"/>
      <c r="Q623" s="16"/>
      <c r="R623" s="16"/>
      <c r="S623" s="16"/>
      <c r="T623" s="16"/>
      <c r="U623" s="16"/>
    </row>
    <row r="624" spans="1:21" s="83" customFormat="1" ht="25.5">
      <c r="A624" s="12" t="s">
        <v>981</v>
      </c>
      <c r="B624" s="25" t="s">
        <v>69</v>
      </c>
      <c r="C624" s="26" t="s">
        <v>14</v>
      </c>
      <c r="D624" s="26" t="s">
        <v>37</v>
      </c>
      <c r="E624" s="26" t="s">
        <v>789</v>
      </c>
      <c r="F624" s="26" t="s">
        <v>1065</v>
      </c>
      <c r="G624" s="27">
        <f t="shared" ref="G624" si="427">J624</f>
        <v>1543310</v>
      </c>
      <c r="H624" s="27">
        <f>L624</f>
        <v>1543310</v>
      </c>
      <c r="I624" s="27">
        <f>N624</f>
        <v>1543310</v>
      </c>
      <c r="J624" s="16">
        <f>'БА в тыс. руб.'!G624*1000</f>
        <v>1543310</v>
      </c>
      <c r="K624" s="169">
        <f t="shared" si="395"/>
        <v>0</v>
      </c>
      <c r="L624" s="16">
        <f>'БА в тыс. руб.'!H624*1000</f>
        <v>1543310</v>
      </c>
      <c r="M624" s="169">
        <f t="shared" si="396"/>
        <v>0</v>
      </c>
      <c r="N624" s="16">
        <f>'БА в тыс. руб.'!I624*1000</f>
        <v>1543310</v>
      </c>
      <c r="O624" s="169">
        <f t="shared" si="397"/>
        <v>0</v>
      </c>
      <c r="P624" s="16"/>
      <c r="Q624" s="16"/>
      <c r="R624" s="16"/>
      <c r="S624" s="16"/>
      <c r="T624" s="16"/>
      <c r="U624" s="16"/>
    </row>
    <row r="625" spans="1:21" s="30" customFormat="1" ht="38.25">
      <c r="A625" s="11" t="s">
        <v>368</v>
      </c>
      <c r="B625" s="25" t="s">
        <v>69</v>
      </c>
      <c r="C625" s="26" t="s">
        <v>14</v>
      </c>
      <c r="D625" s="26" t="s">
        <v>37</v>
      </c>
      <c r="E625" s="26" t="s">
        <v>790</v>
      </c>
      <c r="F625" s="26" t="s">
        <v>58</v>
      </c>
      <c r="G625" s="27">
        <f>G626</f>
        <v>8310930</v>
      </c>
      <c r="H625" s="27">
        <f>H626</f>
        <v>8310930</v>
      </c>
      <c r="I625" s="27">
        <f>I626</f>
        <v>8310930</v>
      </c>
      <c r="J625" s="16">
        <f>'БА в тыс. руб.'!G625*1000</f>
        <v>8310930</v>
      </c>
      <c r="K625" s="169">
        <f t="shared" si="395"/>
        <v>0</v>
      </c>
      <c r="L625" s="16">
        <f>'БА в тыс. руб.'!H625*1000</f>
        <v>8310930</v>
      </c>
      <c r="M625" s="169">
        <f t="shared" si="396"/>
        <v>0</v>
      </c>
      <c r="N625" s="16">
        <f>'БА в тыс. руб.'!I625*1000</f>
        <v>8310930</v>
      </c>
      <c r="O625" s="169">
        <f t="shared" si="397"/>
        <v>0</v>
      </c>
      <c r="P625" s="16"/>
      <c r="Q625" s="16"/>
      <c r="R625" s="16"/>
      <c r="S625" s="16"/>
      <c r="T625" s="16"/>
      <c r="U625" s="16"/>
    </row>
    <row r="626" spans="1:21" s="30" customFormat="1" ht="25.5">
      <c r="A626" s="13" t="s">
        <v>110</v>
      </c>
      <c r="B626" s="25" t="s">
        <v>69</v>
      </c>
      <c r="C626" s="26" t="s">
        <v>14</v>
      </c>
      <c r="D626" s="26" t="s">
        <v>37</v>
      </c>
      <c r="E626" s="26" t="s">
        <v>790</v>
      </c>
      <c r="F626" s="26" t="s">
        <v>117</v>
      </c>
      <c r="G626" s="27">
        <f>G627</f>
        <v>8310930</v>
      </c>
      <c r="H626" s="27">
        <f t="shared" ref="H626:I626" si="428">H627</f>
        <v>8310930</v>
      </c>
      <c r="I626" s="27">
        <f t="shared" si="428"/>
        <v>8310930</v>
      </c>
      <c r="J626" s="16">
        <f>'БА в тыс. руб.'!G626*1000</f>
        <v>8310930</v>
      </c>
      <c r="K626" s="169">
        <f t="shared" si="395"/>
        <v>0</v>
      </c>
      <c r="L626" s="16">
        <f>'БА в тыс. руб.'!H626*1000</f>
        <v>8310930</v>
      </c>
      <c r="M626" s="169">
        <f t="shared" si="396"/>
        <v>0</v>
      </c>
      <c r="N626" s="16">
        <f>'БА в тыс. руб.'!I626*1000</f>
        <v>8310930</v>
      </c>
      <c r="O626" s="169">
        <f t="shared" si="397"/>
        <v>0</v>
      </c>
      <c r="P626" s="16"/>
      <c r="Q626" s="16"/>
      <c r="R626" s="16"/>
      <c r="S626" s="16"/>
      <c r="T626" s="16"/>
      <c r="U626" s="16"/>
    </row>
    <row r="627" spans="1:21" s="83" customFormat="1" ht="25.5">
      <c r="A627" s="12" t="s">
        <v>981</v>
      </c>
      <c r="B627" s="25" t="s">
        <v>69</v>
      </c>
      <c r="C627" s="26" t="s">
        <v>14</v>
      </c>
      <c r="D627" s="26" t="s">
        <v>37</v>
      </c>
      <c r="E627" s="26" t="s">
        <v>790</v>
      </c>
      <c r="F627" s="26" t="s">
        <v>1065</v>
      </c>
      <c r="G627" s="27">
        <f t="shared" ref="G627" si="429">J627</f>
        <v>8310930</v>
      </c>
      <c r="H627" s="27">
        <f>L627</f>
        <v>8310930</v>
      </c>
      <c r="I627" s="27">
        <f>N627</f>
        <v>8310930</v>
      </c>
      <c r="J627" s="16">
        <f>'БА в тыс. руб.'!G627*1000</f>
        <v>8310930</v>
      </c>
      <c r="K627" s="169">
        <f t="shared" si="395"/>
        <v>0</v>
      </c>
      <c r="L627" s="16">
        <f>'БА в тыс. руб.'!H627*1000</f>
        <v>8310930</v>
      </c>
      <c r="M627" s="169">
        <f t="shared" si="396"/>
        <v>0</v>
      </c>
      <c r="N627" s="16">
        <f>'БА в тыс. руб.'!I627*1000</f>
        <v>8310930</v>
      </c>
      <c r="O627" s="169">
        <f t="shared" si="397"/>
        <v>0</v>
      </c>
      <c r="P627" s="16"/>
      <c r="Q627" s="16"/>
      <c r="R627" s="16"/>
      <c r="S627" s="16"/>
      <c r="T627" s="16"/>
      <c r="U627" s="16"/>
    </row>
    <row r="628" spans="1:21" s="30" customFormat="1">
      <c r="A628" s="11" t="s">
        <v>369</v>
      </c>
      <c r="B628" s="25" t="s">
        <v>69</v>
      </c>
      <c r="C628" s="26" t="s">
        <v>14</v>
      </c>
      <c r="D628" s="26" t="s">
        <v>37</v>
      </c>
      <c r="E628" s="26" t="s">
        <v>791</v>
      </c>
      <c r="F628" s="26" t="s">
        <v>58</v>
      </c>
      <c r="G628" s="27">
        <f>G629</f>
        <v>4275000</v>
      </c>
      <c r="H628" s="27">
        <f>H629</f>
        <v>4275000</v>
      </c>
      <c r="I628" s="27">
        <f>I629</f>
        <v>4275000</v>
      </c>
      <c r="J628" s="16">
        <f>'БА в тыс. руб.'!G628*1000</f>
        <v>4275000</v>
      </c>
      <c r="K628" s="169">
        <f t="shared" si="395"/>
        <v>0</v>
      </c>
      <c r="L628" s="16">
        <f>'БА в тыс. руб.'!H628*1000</f>
        <v>4275000</v>
      </c>
      <c r="M628" s="169">
        <f t="shared" si="396"/>
        <v>0</v>
      </c>
      <c r="N628" s="16">
        <f>'БА в тыс. руб.'!I628*1000</f>
        <v>4275000</v>
      </c>
      <c r="O628" s="169">
        <f t="shared" si="397"/>
        <v>0</v>
      </c>
      <c r="P628" s="16"/>
      <c r="Q628" s="16"/>
      <c r="R628" s="16"/>
      <c r="S628" s="16"/>
      <c r="T628" s="16"/>
      <c r="U628" s="16"/>
    </row>
    <row r="629" spans="1:21" s="30" customFormat="1" ht="25.5">
      <c r="A629" s="13" t="s">
        <v>110</v>
      </c>
      <c r="B629" s="25" t="s">
        <v>69</v>
      </c>
      <c r="C629" s="26" t="s">
        <v>14</v>
      </c>
      <c r="D629" s="26" t="s">
        <v>37</v>
      </c>
      <c r="E629" s="26" t="s">
        <v>791</v>
      </c>
      <c r="F629" s="26" t="s">
        <v>117</v>
      </c>
      <c r="G629" s="27">
        <f>G630</f>
        <v>4275000</v>
      </c>
      <c r="H629" s="27">
        <f t="shared" ref="H629:I629" si="430">H630</f>
        <v>4275000</v>
      </c>
      <c r="I629" s="27">
        <f t="shared" si="430"/>
        <v>4275000</v>
      </c>
      <c r="J629" s="16">
        <f>'БА в тыс. руб.'!G629*1000</f>
        <v>4275000</v>
      </c>
      <c r="K629" s="169">
        <f t="shared" si="395"/>
        <v>0</v>
      </c>
      <c r="L629" s="16">
        <f>'БА в тыс. руб.'!H629*1000</f>
        <v>4275000</v>
      </c>
      <c r="M629" s="169">
        <f t="shared" si="396"/>
        <v>0</v>
      </c>
      <c r="N629" s="16">
        <f>'БА в тыс. руб.'!I629*1000</f>
        <v>4275000</v>
      </c>
      <c r="O629" s="169">
        <f t="shared" si="397"/>
        <v>0</v>
      </c>
      <c r="P629" s="16"/>
      <c r="Q629" s="16"/>
      <c r="R629" s="16"/>
      <c r="S629" s="16"/>
      <c r="T629" s="16"/>
      <c r="U629" s="16"/>
    </row>
    <row r="630" spans="1:21" s="83" customFormat="1" ht="25.5">
      <c r="A630" s="12" t="s">
        <v>981</v>
      </c>
      <c r="B630" s="25" t="s">
        <v>69</v>
      </c>
      <c r="C630" s="26" t="s">
        <v>14</v>
      </c>
      <c r="D630" s="26" t="s">
        <v>37</v>
      </c>
      <c r="E630" s="26" t="s">
        <v>791</v>
      </c>
      <c r="F630" s="26" t="s">
        <v>1065</v>
      </c>
      <c r="G630" s="27">
        <f t="shared" ref="G630" si="431">J630</f>
        <v>4275000</v>
      </c>
      <c r="H630" s="27">
        <f t="shared" ref="H630" si="432">L630</f>
        <v>4275000</v>
      </c>
      <c r="I630" s="27">
        <f t="shared" ref="I630" si="433">N630</f>
        <v>4275000</v>
      </c>
      <c r="J630" s="16">
        <f>'БА в тыс. руб.'!G630*1000</f>
        <v>4275000</v>
      </c>
      <c r="K630" s="169">
        <f t="shared" si="395"/>
        <v>0</v>
      </c>
      <c r="L630" s="16">
        <f>'БА в тыс. руб.'!H630*1000</f>
        <v>4275000</v>
      </c>
      <c r="M630" s="169">
        <f t="shared" si="396"/>
        <v>0</v>
      </c>
      <c r="N630" s="16">
        <f>'БА в тыс. руб.'!I630*1000</f>
        <v>4275000</v>
      </c>
      <c r="O630" s="169">
        <f t="shared" si="397"/>
        <v>0</v>
      </c>
      <c r="P630" s="16"/>
      <c r="Q630" s="16"/>
      <c r="R630" s="16"/>
      <c r="S630" s="16"/>
      <c r="T630" s="16"/>
      <c r="U630" s="16"/>
    </row>
    <row r="631" spans="1:21" s="30" customFormat="1">
      <c r="A631" s="13"/>
      <c r="B631" s="25"/>
      <c r="C631" s="26"/>
      <c r="D631" s="26"/>
      <c r="E631" s="26"/>
      <c r="F631" s="26"/>
      <c r="G631" s="27"/>
      <c r="H631" s="27"/>
      <c r="I631" s="27"/>
      <c r="J631" s="16">
        <f>'БА в тыс. руб.'!G631*1000</f>
        <v>0</v>
      </c>
      <c r="K631" s="169">
        <f t="shared" si="395"/>
        <v>0</v>
      </c>
      <c r="L631" s="16">
        <f>'БА в тыс. руб.'!H631*1000</f>
        <v>0</v>
      </c>
      <c r="M631" s="169">
        <f t="shared" si="396"/>
        <v>0</v>
      </c>
      <c r="N631" s="16">
        <f>'БА в тыс. руб.'!I631*1000</f>
        <v>0</v>
      </c>
      <c r="O631" s="169">
        <f t="shared" si="397"/>
        <v>0</v>
      </c>
      <c r="P631" s="16"/>
      <c r="Q631" s="16"/>
      <c r="R631" s="16"/>
      <c r="S631" s="16"/>
      <c r="T631" s="16"/>
      <c r="U631" s="16"/>
    </row>
    <row r="632" spans="1:21" s="3" customFormat="1" ht="25.5">
      <c r="A632" s="28" t="s">
        <v>687</v>
      </c>
      <c r="B632" s="14" t="s">
        <v>26</v>
      </c>
      <c r="C632" s="15" t="s">
        <v>51</v>
      </c>
      <c r="D632" s="15" t="s">
        <v>51</v>
      </c>
      <c r="E632" s="15" t="s">
        <v>196</v>
      </c>
      <c r="F632" s="15" t="s">
        <v>58</v>
      </c>
      <c r="G632" s="29">
        <f>G633+G645+G731</f>
        <v>386298700</v>
      </c>
      <c r="H632" s="29">
        <f>H633+H645+H731</f>
        <v>292915810</v>
      </c>
      <c r="I632" s="29">
        <f>I633+I645+I731</f>
        <v>292915810</v>
      </c>
      <c r="J632" s="16">
        <f>'БА в тыс. руб.'!G632*1000</f>
        <v>386298699.99999994</v>
      </c>
      <c r="K632" s="169">
        <f t="shared" si="395"/>
        <v>0</v>
      </c>
      <c r="L632" s="16">
        <f>'БА в тыс. руб.'!H632*1000</f>
        <v>292915809.99999994</v>
      </c>
      <c r="M632" s="169">
        <f t="shared" si="396"/>
        <v>0</v>
      </c>
      <c r="N632" s="16">
        <f>'БА в тыс. руб.'!I632*1000</f>
        <v>292915810</v>
      </c>
      <c r="O632" s="169">
        <f t="shared" si="397"/>
        <v>0</v>
      </c>
      <c r="P632" s="16"/>
      <c r="Q632" s="16"/>
      <c r="R632" s="16"/>
      <c r="S632" s="16"/>
      <c r="T632" s="16"/>
      <c r="U632" s="16"/>
    </row>
    <row r="633" spans="1:21" s="3" customFormat="1">
      <c r="A633" s="17" t="s">
        <v>64</v>
      </c>
      <c r="B633" s="18" t="s">
        <v>26</v>
      </c>
      <c r="C633" s="19" t="s">
        <v>65</v>
      </c>
      <c r="D633" s="19" t="s">
        <v>51</v>
      </c>
      <c r="E633" s="19" t="s">
        <v>196</v>
      </c>
      <c r="F633" s="19" t="s">
        <v>58</v>
      </c>
      <c r="G633" s="20">
        <f t="shared" ref="G633:I636" si="434">G634</f>
        <v>1386700</v>
      </c>
      <c r="H633" s="20">
        <f t="shared" si="434"/>
        <v>1386700</v>
      </c>
      <c r="I633" s="20">
        <f t="shared" si="434"/>
        <v>1386700</v>
      </c>
      <c r="J633" s="16">
        <f>'БА в тыс. руб.'!G633*1000</f>
        <v>1386700</v>
      </c>
      <c r="K633" s="169">
        <f t="shared" si="395"/>
        <v>0</v>
      </c>
      <c r="L633" s="16">
        <f>'БА в тыс. руб.'!H633*1000</f>
        <v>1386700</v>
      </c>
      <c r="M633" s="169">
        <f t="shared" si="396"/>
        <v>0</v>
      </c>
      <c r="N633" s="16">
        <f>'БА в тыс. руб.'!I633*1000</f>
        <v>1386700</v>
      </c>
      <c r="O633" s="169">
        <f t="shared" si="397"/>
        <v>0</v>
      </c>
      <c r="P633" s="16"/>
      <c r="Q633" s="16"/>
      <c r="R633" s="16"/>
      <c r="S633" s="16"/>
      <c r="T633" s="16"/>
      <c r="U633" s="16"/>
    </row>
    <row r="634" spans="1:21" s="3" customFormat="1">
      <c r="A634" s="21" t="s">
        <v>38</v>
      </c>
      <c r="B634" s="22" t="s">
        <v>26</v>
      </c>
      <c r="C634" s="23" t="s">
        <v>65</v>
      </c>
      <c r="D634" s="23" t="s">
        <v>84</v>
      </c>
      <c r="E634" s="23" t="s">
        <v>196</v>
      </c>
      <c r="F634" s="23" t="s">
        <v>58</v>
      </c>
      <c r="G634" s="24">
        <f t="shared" si="434"/>
        <v>1386700</v>
      </c>
      <c r="H634" s="24">
        <f t="shared" si="434"/>
        <v>1386700</v>
      </c>
      <c r="I634" s="24">
        <f t="shared" si="434"/>
        <v>1386700</v>
      </c>
      <c r="J634" s="16">
        <f>'БА в тыс. руб.'!G634*1000</f>
        <v>1386700</v>
      </c>
      <c r="K634" s="169">
        <f t="shared" si="395"/>
        <v>0</v>
      </c>
      <c r="L634" s="16">
        <f>'БА в тыс. руб.'!H634*1000</f>
        <v>1386700</v>
      </c>
      <c r="M634" s="169">
        <f t="shared" si="396"/>
        <v>0</v>
      </c>
      <c r="N634" s="16">
        <f>'БА в тыс. руб.'!I634*1000</f>
        <v>1386700</v>
      </c>
      <c r="O634" s="169">
        <f t="shared" si="397"/>
        <v>0</v>
      </c>
      <c r="P634" s="16"/>
      <c r="Q634" s="16"/>
      <c r="R634" s="16"/>
      <c r="S634" s="16"/>
      <c r="T634" s="16"/>
      <c r="U634" s="16"/>
    </row>
    <row r="635" spans="1:21" s="3" customFormat="1" ht="38.25">
      <c r="A635" s="11" t="s">
        <v>683</v>
      </c>
      <c r="B635" s="25" t="s">
        <v>26</v>
      </c>
      <c r="C635" s="26" t="s">
        <v>65</v>
      </c>
      <c r="D635" s="26" t="s">
        <v>84</v>
      </c>
      <c r="E635" s="26" t="s">
        <v>680</v>
      </c>
      <c r="F635" s="26" t="s">
        <v>58</v>
      </c>
      <c r="G635" s="27">
        <f t="shared" si="434"/>
        <v>1386700</v>
      </c>
      <c r="H635" s="27">
        <f t="shared" si="434"/>
        <v>1386700</v>
      </c>
      <c r="I635" s="27">
        <f t="shared" si="434"/>
        <v>1386700</v>
      </c>
      <c r="J635" s="16">
        <f>'БА в тыс. руб.'!G635*1000</f>
        <v>1386700</v>
      </c>
      <c r="K635" s="169">
        <f t="shared" si="395"/>
        <v>0</v>
      </c>
      <c r="L635" s="16">
        <f>'БА в тыс. руб.'!H635*1000</f>
        <v>1386700</v>
      </c>
      <c r="M635" s="169">
        <f t="shared" si="396"/>
        <v>0</v>
      </c>
      <c r="N635" s="16">
        <f>'БА в тыс. руб.'!I635*1000</f>
        <v>1386700</v>
      </c>
      <c r="O635" s="169">
        <f t="shared" si="397"/>
        <v>0</v>
      </c>
      <c r="P635" s="16"/>
      <c r="Q635" s="16"/>
      <c r="R635" s="16"/>
      <c r="S635" s="16"/>
      <c r="T635" s="16"/>
      <c r="U635" s="16"/>
    </row>
    <row r="636" spans="1:21" s="3" customFormat="1">
      <c r="A636" s="11" t="s">
        <v>684</v>
      </c>
      <c r="B636" s="25" t="s">
        <v>26</v>
      </c>
      <c r="C636" s="26" t="s">
        <v>65</v>
      </c>
      <c r="D636" s="26" t="s">
        <v>84</v>
      </c>
      <c r="E636" s="26" t="s">
        <v>681</v>
      </c>
      <c r="F636" s="26" t="s">
        <v>58</v>
      </c>
      <c r="G636" s="27">
        <f t="shared" si="434"/>
        <v>1386700</v>
      </c>
      <c r="H636" s="27">
        <f t="shared" si="434"/>
        <v>1386700</v>
      </c>
      <c r="I636" s="27">
        <f t="shared" si="434"/>
        <v>1386700</v>
      </c>
      <c r="J636" s="16">
        <f>'БА в тыс. руб.'!G636*1000</f>
        <v>1386700</v>
      </c>
      <c r="K636" s="169">
        <f t="shared" si="395"/>
        <v>0</v>
      </c>
      <c r="L636" s="16">
        <f>'БА в тыс. руб.'!H636*1000</f>
        <v>1386700</v>
      </c>
      <c r="M636" s="169">
        <f t="shared" si="396"/>
        <v>0</v>
      </c>
      <c r="N636" s="16">
        <f>'БА в тыс. руб.'!I636*1000</f>
        <v>1386700</v>
      </c>
      <c r="O636" s="169">
        <f t="shared" si="397"/>
        <v>0</v>
      </c>
      <c r="P636" s="16"/>
      <c r="Q636" s="16"/>
      <c r="R636" s="16"/>
      <c r="S636" s="16"/>
      <c r="T636" s="16"/>
      <c r="U636" s="16"/>
    </row>
    <row r="637" spans="1:21" s="3" customFormat="1" ht="25.5">
      <c r="A637" s="11" t="s">
        <v>123</v>
      </c>
      <c r="B637" s="25" t="s">
        <v>26</v>
      </c>
      <c r="C637" s="26" t="s">
        <v>65</v>
      </c>
      <c r="D637" s="26" t="s">
        <v>84</v>
      </c>
      <c r="E637" s="26" t="s">
        <v>688</v>
      </c>
      <c r="F637" s="26" t="s">
        <v>58</v>
      </c>
      <c r="G637" s="27">
        <f>G638+G640+G641+G643</f>
        <v>1386700</v>
      </c>
      <c r="H637" s="27">
        <f t="shared" ref="H637:I637" si="435">H638+H640+H641+H643</f>
        <v>1386700</v>
      </c>
      <c r="I637" s="27">
        <f t="shared" si="435"/>
        <v>1386700</v>
      </c>
      <c r="J637" s="16">
        <f>'БА в тыс. руб.'!G637*1000</f>
        <v>1386700</v>
      </c>
      <c r="K637" s="169">
        <f t="shared" si="395"/>
        <v>0</v>
      </c>
      <c r="L637" s="16">
        <f>'БА в тыс. руб.'!H637*1000</f>
        <v>1386700</v>
      </c>
      <c r="M637" s="169">
        <f t="shared" si="396"/>
        <v>0</v>
      </c>
      <c r="N637" s="16">
        <f>'БА в тыс. руб.'!I637*1000</f>
        <v>1386700</v>
      </c>
      <c r="O637" s="169">
        <f t="shared" si="397"/>
        <v>0</v>
      </c>
      <c r="P637" s="16"/>
      <c r="Q637" s="16"/>
      <c r="R637" s="16"/>
      <c r="S637" s="16"/>
      <c r="T637" s="16"/>
      <c r="U637" s="16"/>
    </row>
    <row r="638" spans="1:21" s="3" customFormat="1" ht="25.5">
      <c r="A638" s="11" t="s">
        <v>108</v>
      </c>
      <c r="B638" s="25" t="s">
        <v>26</v>
      </c>
      <c r="C638" s="26" t="s">
        <v>65</v>
      </c>
      <c r="D638" s="26" t="s">
        <v>84</v>
      </c>
      <c r="E638" s="26" t="s">
        <v>688</v>
      </c>
      <c r="F638" s="26" t="s">
        <v>116</v>
      </c>
      <c r="G638" s="27">
        <f>G639</f>
        <v>1058300</v>
      </c>
      <c r="H638" s="27">
        <f t="shared" ref="H638:I638" si="436">H639</f>
        <v>1058300</v>
      </c>
      <c r="I638" s="27">
        <f t="shared" si="436"/>
        <v>1058300</v>
      </c>
      <c r="J638" s="16">
        <f>'БА в тыс. руб.'!G638*1000</f>
        <v>1058300</v>
      </c>
      <c r="K638" s="169">
        <f t="shared" si="395"/>
        <v>0</v>
      </c>
      <c r="L638" s="16">
        <f>'БА в тыс. руб.'!H638*1000</f>
        <v>1058300</v>
      </c>
      <c r="M638" s="169">
        <f t="shared" si="396"/>
        <v>0</v>
      </c>
      <c r="N638" s="16">
        <f>'БА в тыс. руб.'!I638*1000</f>
        <v>1058300</v>
      </c>
      <c r="O638" s="169">
        <f t="shared" si="397"/>
        <v>0</v>
      </c>
      <c r="P638" s="16"/>
      <c r="Q638" s="16"/>
      <c r="R638" s="16"/>
      <c r="S638" s="16"/>
      <c r="T638" s="16"/>
      <c r="U638" s="16"/>
    </row>
    <row r="639" spans="1:21" s="4" customFormat="1" ht="25.5">
      <c r="A639" s="12" t="s">
        <v>973</v>
      </c>
      <c r="B639" s="25" t="s">
        <v>26</v>
      </c>
      <c r="C639" s="26" t="s">
        <v>65</v>
      </c>
      <c r="D639" s="26" t="s">
        <v>84</v>
      </c>
      <c r="E639" s="26" t="s">
        <v>688</v>
      </c>
      <c r="F639" s="26" t="s">
        <v>1043</v>
      </c>
      <c r="G639" s="27">
        <f t="shared" ref="G639:G640" si="437">J639</f>
        <v>1058300</v>
      </c>
      <c r="H639" s="27">
        <f t="shared" ref="H639:H640" si="438">L639</f>
        <v>1058300</v>
      </c>
      <c r="I639" s="27">
        <f t="shared" ref="I639:I640" si="439">N639</f>
        <v>1058300</v>
      </c>
      <c r="J639" s="16">
        <f>'БА в тыс. руб.'!G639*1000</f>
        <v>1058300</v>
      </c>
      <c r="K639" s="169">
        <f t="shared" si="395"/>
        <v>0</v>
      </c>
      <c r="L639" s="16">
        <f>'БА в тыс. руб.'!H639*1000</f>
        <v>1058300</v>
      </c>
      <c r="M639" s="169">
        <f t="shared" si="396"/>
        <v>0</v>
      </c>
      <c r="N639" s="16">
        <f>'БА в тыс. руб.'!I639*1000</f>
        <v>1058300</v>
      </c>
      <c r="O639" s="169">
        <f t="shared" si="397"/>
        <v>0</v>
      </c>
      <c r="P639" s="16"/>
      <c r="Q639" s="16"/>
      <c r="R639" s="16"/>
      <c r="S639" s="16"/>
      <c r="T639" s="16"/>
      <c r="U639" s="16"/>
    </row>
    <row r="640" spans="1:21" s="3" customFormat="1">
      <c r="A640" s="11" t="s">
        <v>91</v>
      </c>
      <c r="B640" s="25" t="s">
        <v>26</v>
      </c>
      <c r="C640" s="26" t="s">
        <v>65</v>
      </c>
      <c r="D640" s="26" t="s">
        <v>84</v>
      </c>
      <c r="E640" s="26" t="s">
        <v>688</v>
      </c>
      <c r="F640" s="26" t="s">
        <v>100</v>
      </c>
      <c r="G640" s="27">
        <f t="shared" si="437"/>
        <v>26400</v>
      </c>
      <c r="H640" s="27">
        <f t="shared" si="438"/>
        <v>26400</v>
      </c>
      <c r="I640" s="27">
        <f t="shared" si="439"/>
        <v>26400</v>
      </c>
      <c r="J640" s="16">
        <f>'БА в тыс. руб.'!G640*1000</f>
        <v>26400</v>
      </c>
      <c r="K640" s="169">
        <f t="shared" si="395"/>
        <v>0</v>
      </c>
      <c r="L640" s="16">
        <f>'БА в тыс. руб.'!H640*1000</f>
        <v>26400</v>
      </c>
      <c r="M640" s="169">
        <f t="shared" si="396"/>
        <v>0</v>
      </c>
      <c r="N640" s="16">
        <f>'БА в тыс. руб.'!I640*1000</f>
        <v>26400</v>
      </c>
      <c r="O640" s="169">
        <f t="shared" si="397"/>
        <v>0</v>
      </c>
      <c r="P640" s="16"/>
      <c r="Q640" s="16"/>
      <c r="R640" s="16"/>
      <c r="S640" s="16"/>
      <c r="T640" s="16"/>
      <c r="U640" s="16"/>
    </row>
    <row r="641" spans="1:21" s="3" customFormat="1" ht="16.149999999999999" customHeight="1">
      <c r="A641" s="11" t="s">
        <v>97</v>
      </c>
      <c r="B641" s="25" t="s">
        <v>26</v>
      </c>
      <c r="C641" s="26" t="s">
        <v>65</v>
      </c>
      <c r="D641" s="26" t="s">
        <v>84</v>
      </c>
      <c r="E641" s="26" t="s">
        <v>688</v>
      </c>
      <c r="F641" s="26" t="s">
        <v>118</v>
      </c>
      <c r="G641" s="27">
        <f>G642</f>
        <v>42000</v>
      </c>
      <c r="H641" s="27">
        <f t="shared" ref="H641:I641" si="440">H642</f>
        <v>42000</v>
      </c>
      <c r="I641" s="27">
        <f t="shared" si="440"/>
        <v>42000</v>
      </c>
      <c r="J641" s="16">
        <f>'БА в тыс. руб.'!G641*1000</f>
        <v>42000</v>
      </c>
      <c r="K641" s="169">
        <f t="shared" si="395"/>
        <v>0</v>
      </c>
      <c r="L641" s="16">
        <f>'БА в тыс. руб.'!H641*1000</f>
        <v>42000</v>
      </c>
      <c r="M641" s="169">
        <f t="shared" si="396"/>
        <v>0</v>
      </c>
      <c r="N641" s="16">
        <f>'БА в тыс. руб.'!I641*1000</f>
        <v>42000</v>
      </c>
      <c r="O641" s="169">
        <f t="shared" si="397"/>
        <v>0</v>
      </c>
      <c r="P641" s="16"/>
      <c r="Q641" s="16"/>
      <c r="R641" s="16"/>
      <c r="S641" s="16"/>
      <c r="T641" s="16"/>
      <c r="U641" s="16"/>
    </row>
    <row r="642" spans="1:21" s="4" customFormat="1" ht="16.149999999999999" customHeight="1">
      <c r="A642" s="12" t="s">
        <v>1038</v>
      </c>
      <c r="B642" s="25" t="s">
        <v>26</v>
      </c>
      <c r="C642" s="26" t="s">
        <v>65</v>
      </c>
      <c r="D642" s="26" t="s">
        <v>84</v>
      </c>
      <c r="E642" s="26" t="s">
        <v>688</v>
      </c>
      <c r="F642" s="26" t="s">
        <v>1066</v>
      </c>
      <c r="G642" s="27">
        <f t="shared" ref="G642" si="441">J642</f>
        <v>42000</v>
      </c>
      <c r="H642" s="27">
        <f>L642</f>
        <v>42000</v>
      </c>
      <c r="I642" s="27">
        <f>N642</f>
        <v>42000</v>
      </c>
      <c r="J642" s="16">
        <f>'БА в тыс. руб.'!G642*1000</f>
        <v>42000</v>
      </c>
      <c r="K642" s="169">
        <f t="shared" si="395"/>
        <v>0</v>
      </c>
      <c r="L642" s="16">
        <f>'БА в тыс. руб.'!H642*1000</f>
        <v>42000</v>
      </c>
      <c r="M642" s="169">
        <f t="shared" si="396"/>
        <v>0</v>
      </c>
      <c r="N642" s="16">
        <f>'БА в тыс. руб.'!I642*1000</f>
        <v>42000</v>
      </c>
      <c r="O642" s="169">
        <f t="shared" si="397"/>
        <v>0</v>
      </c>
      <c r="P642" s="16"/>
      <c r="Q642" s="16"/>
      <c r="R642" s="16"/>
      <c r="S642" s="16"/>
      <c r="T642" s="16"/>
      <c r="U642" s="16"/>
    </row>
    <row r="643" spans="1:21" s="3" customFormat="1" ht="25.5">
      <c r="A643" s="11" t="s">
        <v>704</v>
      </c>
      <c r="B643" s="25" t="s">
        <v>26</v>
      </c>
      <c r="C643" s="26" t="s">
        <v>65</v>
      </c>
      <c r="D643" s="26" t="s">
        <v>84</v>
      </c>
      <c r="E643" s="26" t="s">
        <v>688</v>
      </c>
      <c r="F643" s="26" t="s">
        <v>703</v>
      </c>
      <c r="G643" s="27">
        <f>G644</f>
        <v>260000</v>
      </c>
      <c r="H643" s="27">
        <f t="shared" ref="H643:I643" si="442">H644</f>
        <v>260000</v>
      </c>
      <c r="I643" s="27">
        <f t="shared" si="442"/>
        <v>260000</v>
      </c>
      <c r="J643" s="16">
        <f>'БА в тыс. руб.'!G643*1000</f>
        <v>260000</v>
      </c>
      <c r="K643" s="169">
        <f t="shared" si="395"/>
        <v>0</v>
      </c>
      <c r="L643" s="16">
        <f>'БА в тыс. руб.'!H643*1000</f>
        <v>260000</v>
      </c>
      <c r="M643" s="169">
        <f t="shared" si="396"/>
        <v>0</v>
      </c>
      <c r="N643" s="16">
        <f>'БА в тыс. руб.'!I643*1000</f>
        <v>260000</v>
      </c>
      <c r="O643" s="169">
        <f t="shared" si="397"/>
        <v>0</v>
      </c>
      <c r="P643" s="16"/>
      <c r="Q643" s="16"/>
      <c r="R643" s="16"/>
      <c r="S643" s="16"/>
      <c r="T643" s="16"/>
      <c r="U643" s="16"/>
    </row>
    <row r="644" spans="1:21" s="4" customFormat="1">
      <c r="A644" s="12" t="s">
        <v>1041</v>
      </c>
      <c r="B644" s="25" t="s">
        <v>26</v>
      </c>
      <c r="C644" s="26" t="s">
        <v>65</v>
      </c>
      <c r="D644" s="26" t="s">
        <v>84</v>
      </c>
      <c r="E644" s="26" t="s">
        <v>688</v>
      </c>
      <c r="F644" s="26" t="s">
        <v>1067</v>
      </c>
      <c r="G644" s="27">
        <f t="shared" ref="G644" si="443">J644</f>
        <v>260000</v>
      </c>
      <c r="H644" s="27">
        <f>L644</f>
        <v>260000</v>
      </c>
      <c r="I644" s="27">
        <f>N644</f>
        <v>260000</v>
      </c>
      <c r="J644" s="16">
        <f>'БА в тыс. руб.'!G644*1000</f>
        <v>260000</v>
      </c>
      <c r="K644" s="169">
        <f t="shared" si="395"/>
        <v>0</v>
      </c>
      <c r="L644" s="16">
        <f>'БА в тыс. руб.'!H644*1000</f>
        <v>260000</v>
      </c>
      <c r="M644" s="169">
        <f t="shared" si="396"/>
        <v>0</v>
      </c>
      <c r="N644" s="16">
        <f>'БА в тыс. руб.'!I644*1000</f>
        <v>260000</v>
      </c>
      <c r="O644" s="169">
        <f t="shared" si="397"/>
        <v>0</v>
      </c>
      <c r="P644" s="16"/>
      <c r="Q644" s="16"/>
      <c r="R644" s="16"/>
      <c r="S644" s="16"/>
      <c r="T644" s="16"/>
      <c r="U644" s="16"/>
    </row>
    <row r="645" spans="1:21" s="3" customFormat="1">
      <c r="A645" s="17" t="s">
        <v>70</v>
      </c>
      <c r="B645" s="18" t="s">
        <v>26</v>
      </c>
      <c r="C645" s="19" t="s">
        <v>71</v>
      </c>
      <c r="D645" s="19" t="s">
        <v>51</v>
      </c>
      <c r="E645" s="19" t="s">
        <v>196</v>
      </c>
      <c r="F645" s="19" t="s">
        <v>58</v>
      </c>
      <c r="G645" s="20">
        <f>G646+G694</f>
        <v>129982080</v>
      </c>
      <c r="H645" s="20">
        <f>H646+H694</f>
        <v>126813010</v>
      </c>
      <c r="I645" s="20">
        <f>I646+I694</f>
        <v>129408970</v>
      </c>
      <c r="J645" s="16">
        <f>'БА в тыс. руб.'!G645*1000</f>
        <v>129982080</v>
      </c>
      <c r="K645" s="169">
        <f t="shared" si="395"/>
        <v>0</v>
      </c>
      <c r="L645" s="16">
        <f>'БА в тыс. руб.'!H645*1000</f>
        <v>126813010</v>
      </c>
      <c r="M645" s="169">
        <f t="shared" si="396"/>
        <v>0</v>
      </c>
      <c r="N645" s="16">
        <f>'БА в тыс. руб.'!I645*1000</f>
        <v>129408970</v>
      </c>
      <c r="O645" s="169">
        <f t="shared" si="397"/>
        <v>0</v>
      </c>
      <c r="P645" s="16"/>
      <c r="Q645" s="16"/>
      <c r="R645" s="16"/>
      <c r="S645" s="16"/>
      <c r="T645" s="16"/>
      <c r="U645" s="16"/>
    </row>
    <row r="646" spans="1:21" s="3" customFormat="1">
      <c r="A646" s="21" t="s">
        <v>779</v>
      </c>
      <c r="B646" s="22" t="s">
        <v>26</v>
      </c>
      <c r="C646" s="23" t="s">
        <v>71</v>
      </c>
      <c r="D646" s="23" t="s">
        <v>53</v>
      </c>
      <c r="E646" s="23" t="s">
        <v>196</v>
      </c>
      <c r="F646" s="23" t="s">
        <v>58</v>
      </c>
      <c r="G646" s="24">
        <f>G647+G680+G688</f>
        <v>122975570</v>
      </c>
      <c r="H646" s="24">
        <f>H647+H680+H688</f>
        <v>120235310</v>
      </c>
      <c r="I646" s="24">
        <f>I647+I680+I688</f>
        <v>122831270</v>
      </c>
      <c r="J646" s="16">
        <f>'БА в тыс. руб.'!G646*1000</f>
        <v>122975570</v>
      </c>
      <c r="K646" s="169">
        <f t="shared" si="395"/>
        <v>0</v>
      </c>
      <c r="L646" s="16">
        <f>'БА в тыс. руб.'!H646*1000</f>
        <v>120235310</v>
      </c>
      <c r="M646" s="169">
        <f t="shared" si="396"/>
        <v>0</v>
      </c>
      <c r="N646" s="16">
        <f>'БА в тыс. руб.'!I646*1000</f>
        <v>122831270</v>
      </c>
      <c r="O646" s="169">
        <f t="shared" si="397"/>
        <v>0</v>
      </c>
      <c r="P646" s="16"/>
      <c r="Q646" s="16"/>
      <c r="R646" s="16"/>
      <c r="S646" s="16"/>
      <c r="T646" s="16"/>
      <c r="U646" s="16"/>
    </row>
    <row r="647" spans="1:21" s="3" customFormat="1">
      <c r="A647" s="11" t="s">
        <v>739</v>
      </c>
      <c r="B647" s="25" t="s">
        <v>26</v>
      </c>
      <c r="C647" s="26" t="s">
        <v>71</v>
      </c>
      <c r="D647" s="26" t="s">
        <v>53</v>
      </c>
      <c r="E647" s="26" t="s">
        <v>277</v>
      </c>
      <c r="F647" s="26" t="s">
        <v>58</v>
      </c>
      <c r="G647" s="27">
        <f>G648+G655</f>
        <v>121587130</v>
      </c>
      <c r="H647" s="27">
        <f>H648+H655</f>
        <v>118946430</v>
      </c>
      <c r="I647" s="27">
        <f>I648+I655</f>
        <v>121542390</v>
      </c>
      <c r="J647" s="16">
        <f>'БА в тыс. руб.'!G647*1000</f>
        <v>121587130</v>
      </c>
      <c r="K647" s="169">
        <f t="shared" si="395"/>
        <v>0</v>
      </c>
      <c r="L647" s="16">
        <f>'БА в тыс. руб.'!H647*1000</f>
        <v>118946430</v>
      </c>
      <c r="M647" s="169">
        <f t="shared" si="396"/>
        <v>0</v>
      </c>
      <c r="N647" s="16">
        <f>'БА в тыс. руб.'!I647*1000</f>
        <v>121542390</v>
      </c>
      <c r="O647" s="169">
        <f t="shared" si="397"/>
        <v>0</v>
      </c>
      <c r="P647" s="16"/>
      <c r="Q647" s="16"/>
      <c r="R647" s="16"/>
      <c r="S647" s="16"/>
      <c r="T647" s="16"/>
      <c r="U647" s="16"/>
    </row>
    <row r="648" spans="1:21" s="3" customFormat="1" ht="51">
      <c r="A648" s="11" t="s">
        <v>191</v>
      </c>
      <c r="B648" s="25" t="s">
        <v>26</v>
      </c>
      <c r="C648" s="26" t="s">
        <v>71</v>
      </c>
      <c r="D648" s="26" t="s">
        <v>53</v>
      </c>
      <c r="E648" s="26" t="s">
        <v>278</v>
      </c>
      <c r="F648" s="26" t="s">
        <v>58</v>
      </c>
      <c r="G648" s="27">
        <f t="shared" ref="G648:I649" si="444">G649</f>
        <v>412000</v>
      </c>
      <c r="H648" s="27">
        <f t="shared" si="444"/>
        <v>412000</v>
      </c>
      <c r="I648" s="27">
        <f t="shared" si="444"/>
        <v>412000</v>
      </c>
      <c r="J648" s="16">
        <f>'БА в тыс. руб.'!G648*1000</f>
        <v>412000</v>
      </c>
      <c r="K648" s="169">
        <f t="shared" ref="K648:K711" si="445">J648-G648</f>
        <v>0</v>
      </c>
      <c r="L648" s="16">
        <f>'БА в тыс. руб.'!H648*1000</f>
        <v>412000</v>
      </c>
      <c r="M648" s="169">
        <f t="shared" ref="M648:M711" si="446">L648-H648</f>
        <v>0</v>
      </c>
      <c r="N648" s="16">
        <f>'БА в тыс. руб.'!I648*1000</f>
        <v>412000</v>
      </c>
      <c r="O648" s="169">
        <f t="shared" ref="O648:O711" si="447">N648-I648</f>
        <v>0</v>
      </c>
      <c r="P648" s="16"/>
      <c r="Q648" s="16"/>
      <c r="R648" s="16"/>
      <c r="S648" s="16"/>
      <c r="T648" s="16"/>
      <c r="U648" s="16"/>
    </row>
    <row r="649" spans="1:21" s="3" customFormat="1" ht="63.75">
      <c r="A649" s="11" t="s">
        <v>605</v>
      </c>
      <c r="B649" s="25" t="s">
        <v>26</v>
      </c>
      <c r="C649" s="26" t="s">
        <v>71</v>
      </c>
      <c r="D649" s="26" t="s">
        <v>53</v>
      </c>
      <c r="E649" s="26" t="s">
        <v>279</v>
      </c>
      <c r="F649" s="26" t="s">
        <v>58</v>
      </c>
      <c r="G649" s="27">
        <f t="shared" si="444"/>
        <v>412000</v>
      </c>
      <c r="H649" s="27">
        <f t="shared" si="444"/>
        <v>412000</v>
      </c>
      <c r="I649" s="27">
        <f t="shared" si="444"/>
        <v>412000</v>
      </c>
      <c r="J649" s="16">
        <f>'БА в тыс. руб.'!G649*1000</f>
        <v>412000</v>
      </c>
      <c r="K649" s="169">
        <f t="shared" si="445"/>
        <v>0</v>
      </c>
      <c r="L649" s="16">
        <f>'БА в тыс. руб.'!H649*1000</f>
        <v>412000</v>
      </c>
      <c r="M649" s="169">
        <f t="shared" si="446"/>
        <v>0</v>
      </c>
      <c r="N649" s="16">
        <f>'БА в тыс. руб.'!I649*1000</f>
        <v>412000</v>
      </c>
      <c r="O649" s="169">
        <f t="shared" si="447"/>
        <v>0</v>
      </c>
      <c r="P649" s="16"/>
      <c r="Q649" s="16"/>
      <c r="R649" s="16"/>
      <c r="S649" s="16"/>
      <c r="T649" s="16"/>
      <c r="U649" s="16"/>
    </row>
    <row r="650" spans="1:21" s="3" customFormat="1" ht="25.5">
      <c r="A650" s="11" t="s">
        <v>161</v>
      </c>
      <c r="B650" s="25" t="s">
        <v>26</v>
      </c>
      <c r="C650" s="26" t="s">
        <v>71</v>
      </c>
      <c r="D650" s="26" t="s">
        <v>53</v>
      </c>
      <c r="E650" s="26" t="s">
        <v>320</v>
      </c>
      <c r="F650" s="26" t="s">
        <v>58</v>
      </c>
      <c r="G650" s="27">
        <f>G651+G653</f>
        <v>412000</v>
      </c>
      <c r="H650" s="27">
        <f>H651+H653</f>
        <v>412000</v>
      </c>
      <c r="I650" s="27">
        <f>I651+I653</f>
        <v>412000</v>
      </c>
      <c r="J650" s="16">
        <f>'БА в тыс. руб.'!G650*1000</f>
        <v>412000</v>
      </c>
      <c r="K650" s="169">
        <f t="shared" si="445"/>
        <v>0</v>
      </c>
      <c r="L650" s="16">
        <f>'БА в тыс. руб.'!H650*1000</f>
        <v>412000</v>
      </c>
      <c r="M650" s="169">
        <f t="shared" si="446"/>
        <v>0</v>
      </c>
      <c r="N650" s="16">
        <f>'БА в тыс. руб.'!I650*1000</f>
        <v>412000</v>
      </c>
      <c r="O650" s="169">
        <f t="shared" si="447"/>
        <v>0</v>
      </c>
      <c r="P650" s="16"/>
      <c r="Q650" s="16"/>
      <c r="R650" s="16"/>
      <c r="S650" s="16"/>
      <c r="T650" s="16"/>
      <c r="U650" s="16"/>
    </row>
    <row r="651" spans="1:21" s="3" customFormat="1">
      <c r="A651" s="13" t="s">
        <v>92</v>
      </c>
      <c r="B651" s="25" t="s">
        <v>26</v>
      </c>
      <c r="C651" s="26" t="s">
        <v>71</v>
      </c>
      <c r="D651" s="26" t="s">
        <v>53</v>
      </c>
      <c r="E651" s="26" t="s">
        <v>320</v>
      </c>
      <c r="F651" s="26" t="s">
        <v>138</v>
      </c>
      <c r="G651" s="27">
        <f>G652</f>
        <v>347000</v>
      </c>
      <c r="H651" s="27">
        <f t="shared" ref="H651:I651" si="448">H652</f>
        <v>347000</v>
      </c>
      <c r="I651" s="27">
        <f t="shared" si="448"/>
        <v>347000</v>
      </c>
      <c r="J651" s="16">
        <f>'БА в тыс. руб.'!G651*1000</f>
        <v>347000</v>
      </c>
      <c r="K651" s="169">
        <f t="shared" si="445"/>
        <v>0</v>
      </c>
      <c r="L651" s="16">
        <f>'БА в тыс. руб.'!H651*1000</f>
        <v>347000</v>
      </c>
      <c r="M651" s="169">
        <f t="shared" si="446"/>
        <v>0</v>
      </c>
      <c r="N651" s="16">
        <f>'БА в тыс. руб.'!I651*1000</f>
        <v>347000</v>
      </c>
      <c r="O651" s="169">
        <f t="shared" si="447"/>
        <v>0</v>
      </c>
      <c r="P651" s="16"/>
      <c r="Q651" s="16"/>
      <c r="R651" s="16"/>
      <c r="S651" s="16"/>
      <c r="T651" s="16"/>
      <c r="U651" s="16"/>
    </row>
    <row r="652" spans="1:21" s="4" customFormat="1" ht="38.25">
      <c r="A652" s="12" t="s">
        <v>1015</v>
      </c>
      <c r="B652" s="25" t="s">
        <v>26</v>
      </c>
      <c r="C652" s="26" t="s">
        <v>71</v>
      </c>
      <c r="D652" s="26" t="s">
        <v>53</v>
      </c>
      <c r="E652" s="26" t="s">
        <v>320</v>
      </c>
      <c r="F652" s="26" t="s">
        <v>67</v>
      </c>
      <c r="G652" s="27">
        <f t="shared" ref="G652" si="449">J652</f>
        <v>347000</v>
      </c>
      <c r="H652" s="27">
        <f>L652</f>
        <v>347000</v>
      </c>
      <c r="I652" s="27">
        <f>N652</f>
        <v>347000</v>
      </c>
      <c r="J652" s="16">
        <f>'БА в тыс. руб.'!G652*1000</f>
        <v>347000</v>
      </c>
      <c r="K652" s="169">
        <f t="shared" si="445"/>
        <v>0</v>
      </c>
      <c r="L652" s="16">
        <f>'БА в тыс. руб.'!H652*1000</f>
        <v>347000</v>
      </c>
      <c r="M652" s="169">
        <f t="shared" si="446"/>
        <v>0</v>
      </c>
      <c r="N652" s="16">
        <f>'БА в тыс. руб.'!I652*1000</f>
        <v>347000</v>
      </c>
      <c r="O652" s="169">
        <f t="shared" si="447"/>
        <v>0</v>
      </c>
      <c r="P652" s="16"/>
      <c r="Q652" s="16"/>
      <c r="R652" s="16"/>
      <c r="S652" s="16"/>
      <c r="T652" s="16"/>
      <c r="U652" s="16"/>
    </row>
    <row r="653" spans="1:21" s="3" customFormat="1">
      <c r="A653" s="40" t="s">
        <v>93</v>
      </c>
      <c r="B653" s="25" t="s">
        <v>26</v>
      </c>
      <c r="C653" s="26" t="s">
        <v>71</v>
      </c>
      <c r="D653" s="26" t="s">
        <v>53</v>
      </c>
      <c r="E653" s="26" t="s">
        <v>320</v>
      </c>
      <c r="F653" s="26" t="s">
        <v>20</v>
      </c>
      <c r="G653" s="27">
        <f>G654</f>
        <v>65000</v>
      </c>
      <c r="H653" s="27">
        <f t="shared" ref="H653:I653" si="450">H654</f>
        <v>65000</v>
      </c>
      <c r="I653" s="27">
        <f t="shared" si="450"/>
        <v>65000</v>
      </c>
      <c r="J653" s="16">
        <f>'БА в тыс. руб.'!G653*1000</f>
        <v>65000</v>
      </c>
      <c r="K653" s="169">
        <f t="shared" si="445"/>
        <v>0</v>
      </c>
      <c r="L653" s="16">
        <f>'БА в тыс. руб.'!H653*1000</f>
        <v>65000</v>
      </c>
      <c r="M653" s="169">
        <f t="shared" si="446"/>
        <v>0</v>
      </c>
      <c r="N653" s="16">
        <f>'БА в тыс. руб.'!I653*1000</f>
        <v>65000</v>
      </c>
      <c r="O653" s="169">
        <f t="shared" si="447"/>
        <v>0</v>
      </c>
      <c r="P653" s="16"/>
      <c r="Q653" s="16"/>
      <c r="R653" s="16"/>
      <c r="S653" s="16"/>
      <c r="T653" s="16"/>
      <c r="U653" s="16"/>
    </row>
    <row r="654" spans="1:21" s="4" customFormat="1" ht="38.25">
      <c r="A654" s="12" t="s">
        <v>1018</v>
      </c>
      <c r="B654" s="25" t="s">
        <v>26</v>
      </c>
      <c r="C654" s="26" t="s">
        <v>71</v>
      </c>
      <c r="D654" s="26" t="s">
        <v>53</v>
      </c>
      <c r="E654" s="26" t="s">
        <v>320</v>
      </c>
      <c r="F654" s="26" t="s">
        <v>16</v>
      </c>
      <c r="G654" s="27">
        <f t="shared" ref="G654" si="451">J654</f>
        <v>65000</v>
      </c>
      <c r="H654" s="27">
        <f>L654</f>
        <v>65000</v>
      </c>
      <c r="I654" s="27">
        <f>N654</f>
        <v>65000</v>
      </c>
      <c r="J654" s="16">
        <f>'БА в тыс. руб.'!G654*1000</f>
        <v>65000</v>
      </c>
      <c r="K654" s="169">
        <f t="shared" si="445"/>
        <v>0</v>
      </c>
      <c r="L654" s="16">
        <f>'БА в тыс. руб.'!H654*1000</f>
        <v>65000</v>
      </c>
      <c r="M654" s="169">
        <f t="shared" si="446"/>
        <v>0</v>
      </c>
      <c r="N654" s="16">
        <f>'БА в тыс. руб.'!I654*1000</f>
        <v>65000</v>
      </c>
      <c r="O654" s="169">
        <f t="shared" si="447"/>
        <v>0</v>
      </c>
      <c r="P654" s="16"/>
      <c r="Q654" s="16"/>
      <c r="R654" s="16"/>
      <c r="S654" s="16"/>
      <c r="T654" s="16"/>
      <c r="U654" s="16"/>
    </row>
    <row r="655" spans="1:21" s="3" customFormat="1">
      <c r="A655" s="11" t="s">
        <v>140</v>
      </c>
      <c r="B655" s="25" t="s">
        <v>26</v>
      </c>
      <c r="C655" s="26" t="s">
        <v>71</v>
      </c>
      <c r="D655" s="26" t="s">
        <v>53</v>
      </c>
      <c r="E655" s="26" t="s">
        <v>372</v>
      </c>
      <c r="F655" s="26" t="s">
        <v>58</v>
      </c>
      <c r="G655" s="27">
        <f>G656+G662+G666+G670+G676</f>
        <v>121175130</v>
      </c>
      <c r="H655" s="27">
        <f>H656+H662+H666+H670+H676</f>
        <v>118534430</v>
      </c>
      <c r="I655" s="27">
        <f>I656+I662+I666+I670+I676</f>
        <v>121130390</v>
      </c>
      <c r="J655" s="16">
        <f>'БА в тыс. руб.'!G655*1000</f>
        <v>121175130</v>
      </c>
      <c r="K655" s="169">
        <f t="shared" si="445"/>
        <v>0</v>
      </c>
      <c r="L655" s="16">
        <f>'БА в тыс. руб.'!H655*1000</f>
        <v>118534430</v>
      </c>
      <c r="M655" s="169">
        <f t="shared" si="446"/>
        <v>0</v>
      </c>
      <c r="N655" s="16">
        <f>'БА в тыс. руб.'!I655*1000</f>
        <v>121130390</v>
      </c>
      <c r="O655" s="169">
        <f t="shared" si="447"/>
        <v>0</v>
      </c>
      <c r="P655" s="16"/>
      <c r="Q655" s="16"/>
      <c r="R655" s="16"/>
      <c r="S655" s="16"/>
      <c r="T655" s="16"/>
      <c r="U655" s="16"/>
    </row>
    <row r="656" spans="1:21" s="3" customFormat="1" ht="38.25">
      <c r="A656" s="11" t="s">
        <v>780</v>
      </c>
      <c r="B656" s="25" t="s">
        <v>26</v>
      </c>
      <c r="C656" s="26" t="s">
        <v>71</v>
      </c>
      <c r="D656" s="26" t="s">
        <v>53</v>
      </c>
      <c r="E656" s="26" t="s">
        <v>373</v>
      </c>
      <c r="F656" s="26" t="s">
        <v>58</v>
      </c>
      <c r="G656" s="27">
        <f>G657</f>
        <v>117785180</v>
      </c>
      <c r="H656" s="27">
        <f t="shared" ref="H656:I656" si="452">H657</f>
        <v>118166030</v>
      </c>
      <c r="I656" s="27">
        <f t="shared" si="452"/>
        <v>118166030</v>
      </c>
      <c r="J656" s="16">
        <f>'БА в тыс. руб.'!G656*1000</f>
        <v>117785180.00000001</v>
      </c>
      <c r="K656" s="169">
        <f t="shared" si="445"/>
        <v>0</v>
      </c>
      <c r="L656" s="16">
        <f>'БА в тыс. руб.'!H656*1000</f>
        <v>118166030</v>
      </c>
      <c r="M656" s="169">
        <f t="shared" si="446"/>
        <v>0</v>
      </c>
      <c r="N656" s="16">
        <f>'БА в тыс. руб.'!I656*1000</f>
        <v>118166030</v>
      </c>
      <c r="O656" s="169">
        <f t="shared" si="447"/>
        <v>0</v>
      </c>
      <c r="P656" s="16"/>
      <c r="Q656" s="16"/>
      <c r="R656" s="16"/>
      <c r="S656" s="16"/>
      <c r="T656" s="16"/>
      <c r="U656" s="16"/>
    </row>
    <row r="657" spans="1:21" s="3" customFormat="1" ht="25.5">
      <c r="A657" s="11" t="s">
        <v>247</v>
      </c>
      <c r="B657" s="25" t="s">
        <v>26</v>
      </c>
      <c r="C657" s="26" t="s">
        <v>71</v>
      </c>
      <c r="D657" s="26" t="s">
        <v>53</v>
      </c>
      <c r="E657" s="26" t="s">
        <v>374</v>
      </c>
      <c r="F657" s="26" t="s">
        <v>58</v>
      </c>
      <c r="G657" s="27">
        <f>G658+G660</f>
        <v>117785180</v>
      </c>
      <c r="H657" s="27">
        <f t="shared" ref="H657:I657" si="453">H658+H660</f>
        <v>118166030</v>
      </c>
      <c r="I657" s="27">
        <f t="shared" si="453"/>
        <v>118166030</v>
      </c>
      <c r="J657" s="16">
        <f>'БА в тыс. руб.'!G657*1000</f>
        <v>117785180.00000001</v>
      </c>
      <c r="K657" s="169">
        <f t="shared" si="445"/>
        <v>0</v>
      </c>
      <c r="L657" s="16">
        <f>'БА в тыс. руб.'!H657*1000</f>
        <v>118166030</v>
      </c>
      <c r="M657" s="169">
        <f t="shared" si="446"/>
        <v>0</v>
      </c>
      <c r="N657" s="16">
        <f>'БА в тыс. руб.'!I657*1000</f>
        <v>118166030</v>
      </c>
      <c r="O657" s="169">
        <f t="shared" si="447"/>
        <v>0</v>
      </c>
      <c r="P657" s="16"/>
      <c r="Q657" s="16"/>
      <c r="R657" s="16"/>
      <c r="S657" s="16"/>
      <c r="T657" s="16"/>
      <c r="U657" s="16"/>
    </row>
    <row r="658" spans="1:21" s="3" customFormat="1">
      <c r="A658" s="13" t="s">
        <v>92</v>
      </c>
      <c r="B658" s="25" t="s">
        <v>26</v>
      </c>
      <c r="C658" s="26" t="s">
        <v>71</v>
      </c>
      <c r="D658" s="26" t="s">
        <v>53</v>
      </c>
      <c r="E658" s="26" t="s">
        <v>374</v>
      </c>
      <c r="F658" s="26" t="s">
        <v>138</v>
      </c>
      <c r="G658" s="27">
        <f>G659</f>
        <v>104835600</v>
      </c>
      <c r="H658" s="27">
        <f t="shared" ref="H658:I658" si="454">H659</f>
        <v>104835600</v>
      </c>
      <c r="I658" s="27">
        <f t="shared" si="454"/>
        <v>104835600</v>
      </c>
      <c r="J658" s="16">
        <f>'БА в тыс. руб.'!G658*1000</f>
        <v>104835600</v>
      </c>
      <c r="K658" s="169">
        <f t="shared" si="445"/>
        <v>0</v>
      </c>
      <c r="L658" s="16">
        <f>'БА в тыс. руб.'!H658*1000</f>
        <v>104835600</v>
      </c>
      <c r="M658" s="169">
        <f t="shared" si="446"/>
        <v>0</v>
      </c>
      <c r="N658" s="16">
        <f>'БА в тыс. руб.'!I658*1000</f>
        <v>104835600</v>
      </c>
      <c r="O658" s="169">
        <f t="shared" si="447"/>
        <v>0</v>
      </c>
      <c r="P658" s="16"/>
      <c r="Q658" s="16"/>
      <c r="R658" s="16"/>
      <c r="S658" s="16"/>
      <c r="T658" s="16"/>
      <c r="U658" s="16"/>
    </row>
    <row r="659" spans="1:21" s="4" customFormat="1" ht="38.25">
      <c r="A659" s="12" t="s">
        <v>1015</v>
      </c>
      <c r="B659" s="25" t="s">
        <v>26</v>
      </c>
      <c r="C659" s="26" t="s">
        <v>71</v>
      </c>
      <c r="D659" s="26" t="s">
        <v>53</v>
      </c>
      <c r="E659" s="26" t="s">
        <v>374</v>
      </c>
      <c r="F659" s="26" t="s">
        <v>67</v>
      </c>
      <c r="G659" s="27">
        <f t="shared" ref="G659" si="455">J659</f>
        <v>104835600</v>
      </c>
      <c r="H659" s="27">
        <f>L659</f>
        <v>104835600</v>
      </c>
      <c r="I659" s="27">
        <f>N659</f>
        <v>104835600</v>
      </c>
      <c r="J659" s="16">
        <f>'БА в тыс. руб.'!G659*1000</f>
        <v>104835600</v>
      </c>
      <c r="K659" s="169">
        <f t="shared" si="445"/>
        <v>0</v>
      </c>
      <c r="L659" s="16">
        <f>'БА в тыс. руб.'!H659*1000</f>
        <v>104835600</v>
      </c>
      <c r="M659" s="169">
        <f t="shared" si="446"/>
        <v>0</v>
      </c>
      <c r="N659" s="16">
        <f>'БА в тыс. руб.'!I659*1000</f>
        <v>104835600</v>
      </c>
      <c r="O659" s="169">
        <f t="shared" si="447"/>
        <v>0</v>
      </c>
      <c r="P659" s="16"/>
      <c r="Q659" s="16"/>
      <c r="R659" s="16"/>
      <c r="S659" s="16"/>
      <c r="T659" s="16"/>
      <c r="U659" s="16"/>
    </row>
    <row r="660" spans="1:21" s="30" customFormat="1">
      <c r="A660" s="13" t="s">
        <v>93</v>
      </c>
      <c r="B660" s="25" t="s">
        <v>26</v>
      </c>
      <c r="C660" s="26" t="s">
        <v>71</v>
      </c>
      <c r="D660" s="26" t="s">
        <v>53</v>
      </c>
      <c r="E660" s="26" t="s">
        <v>374</v>
      </c>
      <c r="F660" s="26" t="s">
        <v>20</v>
      </c>
      <c r="G660" s="27">
        <f>G661</f>
        <v>12949580</v>
      </c>
      <c r="H660" s="27">
        <f t="shared" ref="H660:I660" si="456">H661</f>
        <v>13330430</v>
      </c>
      <c r="I660" s="27">
        <f t="shared" si="456"/>
        <v>13330430</v>
      </c>
      <c r="J660" s="16">
        <f>'БА в тыс. руб.'!G660*1000</f>
        <v>12949580</v>
      </c>
      <c r="K660" s="169">
        <f t="shared" si="445"/>
        <v>0</v>
      </c>
      <c r="L660" s="16">
        <f>'БА в тыс. руб.'!H660*1000</f>
        <v>13330430</v>
      </c>
      <c r="M660" s="169">
        <f t="shared" si="446"/>
        <v>0</v>
      </c>
      <c r="N660" s="16">
        <f>'БА в тыс. руб.'!I660*1000</f>
        <v>13330430</v>
      </c>
      <c r="O660" s="169">
        <f t="shared" si="447"/>
        <v>0</v>
      </c>
      <c r="P660" s="16"/>
      <c r="Q660" s="16"/>
      <c r="R660" s="16"/>
      <c r="S660" s="16"/>
      <c r="T660" s="16"/>
      <c r="U660" s="16"/>
    </row>
    <row r="661" spans="1:21" s="83" customFormat="1" ht="38.25">
      <c r="A661" s="12" t="s">
        <v>1018</v>
      </c>
      <c r="B661" s="25" t="s">
        <v>26</v>
      </c>
      <c r="C661" s="26" t="s">
        <v>71</v>
      </c>
      <c r="D661" s="26" t="s">
        <v>53</v>
      </c>
      <c r="E661" s="26" t="s">
        <v>374</v>
      </c>
      <c r="F661" s="26" t="s">
        <v>16</v>
      </c>
      <c r="G661" s="27">
        <f t="shared" ref="G661" si="457">J661</f>
        <v>12949580</v>
      </c>
      <c r="H661" s="27">
        <f>L661</f>
        <v>13330430</v>
      </c>
      <c r="I661" s="27">
        <f>N661</f>
        <v>13330430</v>
      </c>
      <c r="J661" s="16">
        <f>'БА в тыс. руб.'!G661*1000</f>
        <v>12949580</v>
      </c>
      <c r="K661" s="169">
        <f t="shared" si="445"/>
        <v>0</v>
      </c>
      <c r="L661" s="16">
        <f>'БА в тыс. руб.'!H661*1000</f>
        <v>13330430</v>
      </c>
      <c r="M661" s="169">
        <f t="shared" si="446"/>
        <v>0</v>
      </c>
      <c r="N661" s="16">
        <f>'БА в тыс. руб.'!I661*1000</f>
        <v>13330430</v>
      </c>
      <c r="O661" s="169">
        <f t="shared" si="447"/>
        <v>0</v>
      </c>
      <c r="P661" s="16"/>
      <c r="Q661" s="16"/>
      <c r="R661" s="16"/>
      <c r="S661" s="16"/>
      <c r="T661" s="16"/>
      <c r="U661" s="16"/>
    </row>
    <row r="662" spans="1:21" s="3" customFormat="1" ht="38.25">
      <c r="A662" s="11" t="s">
        <v>621</v>
      </c>
      <c r="B662" s="25" t="s">
        <v>26</v>
      </c>
      <c r="C662" s="26" t="s">
        <v>71</v>
      </c>
      <c r="D662" s="26" t="s">
        <v>53</v>
      </c>
      <c r="E662" s="26" t="s">
        <v>375</v>
      </c>
      <c r="F662" s="26" t="s">
        <v>58</v>
      </c>
      <c r="G662" s="27">
        <f t="shared" ref="G662:I664" si="458">G663</f>
        <v>0</v>
      </c>
      <c r="H662" s="27">
        <f t="shared" si="458"/>
        <v>0</v>
      </c>
      <c r="I662" s="27">
        <f t="shared" si="458"/>
        <v>2595960</v>
      </c>
      <c r="J662" s="16">
        <f>'БА в тыс. руб.'!G662*1000</f>
        <v>0</v>
      </c>
      <c r="K662" s="169">
        <f t="shared" si="445"/>
        <v>0</v>
      </c>
      <c r="L662" s="16">
        <f>'БА в тыс. руб.'!H662*1000</f>
        <v>0</v>
      </c>
      <c r="M662" s="169">
        <f t="shared" si="446"/>
        <v>0</v>
      </c>
      <c r="N662" s="16">
        <f>'БА в тыс. руб.'!I662*1000</f>
        <v>2595960</v>
      </c>
      <c r="O662" s="169">
        <f t="shared" si="447"/>
        <v>0</v>
      </c>
      <c r="P662" s="16"/>
      <c r="Q662" s="16"/>
      <c r="R662" s="16"/>
      <c r="S662" s="16"/>
      <c r="T662" s="16"/>
      <c r="U662" s="16"/>
    </row>
    <row r="663" spans="1:21" s="3" customFormat="1" ht="25.5">
      <c r="A663" s="11" t="s">
        <v>162</v>
      </c>
      <c r="B663" s="25" t="s">
        <v>26</v>
      </c>
      <c r="C663" s="26" t="s">
        <v>71</v>
      </c>
      <c r="D663" s="26" t="s">
        <v>53</v>
      </c>
      <c r="E663" s="26" t="s">
        <v>376</v>
      </c>
      <c r="F663" s="26" t="s">
        <v>58</v>
      </c>
      <c r="G663" s="27">
        <f t="shared" si="458"/>
        <v>0</v>
      </c>
      <c r="H663" s="27">
        <f t="shared" si="458"/>
        <v>0</v>
      </c>
      <c r="I663" s="27">
        <f t="shared" si="458"/>
        <v>2595960</v>
      </c>
      <c r="J663" s="16">
        <f>'БА в тыс. руб.'!G663*1000</f>
        <v>0</v>
      </c>
      <c r="K663" s="169">
        <f t="shared" si="445"/>
        <v>0</v>
      </c>
      <c r="L663" s="16">
        <f>'БА в тыс. руб.'!H663*1000</f>
        <v>0</v>
      </c>
      <c r="M663" s="169">
        <f t="shared" si="446"/>
        <v>0</v>
      </c>
      <c r="N663" s="16">
        <f>'БА в тыс. руб.'!I663*1000</f>
        <v>2595960</v>
      </c>
      <c r="O663" s="169">
        <f t="shared" si="447"/>
        <v>0</v>
      </c>
      <c r="P663" s="16"/>
      <c r="Q663" s="16"/>
      <c r="R663" s="16"/>
      <c r="S663" s="16"/>
      <c r="T663" s="16"/>
      <c r="U663" s="16"/>
    </row>
    <row r="664" spans="1:21" s="3" customFormat="1">
      <c r="A664" s="13" t="s">
        <v>92</v>
      </c>
      <c r="B664" s="25" t="s">
        <v>26</v>
      </c>
      <c r="C664" s="26" t="s">
        <v>71</v>
      </c>
      <c r="D664" s="26" t="s">
        <v>53</v>
      </c>
      <c r="E664" s="26" t="s">
        <v>376</v>
      </c>
      <c r="F664" s="26" t="s">
        <v>138</v>
      </c>
      <c r="G664" s="27">
        <f>G665</f>
        <v>0</v>
      </c>
      <c r="H664" s="27">
        <f t="shared" si="458"/>
        <v>0</v>
      </c>
      <c r="I664" s="27">
        <f t="shared" si="458"/>
        <v>2595960</v>
      </c>
      <c r="J664" s="16">
        <f>'БА в тыс. руб.'!G664*1000</f>
        <v>0</v>
      </c>
      <c r="K664" s="169">
        <f t="shared" si="445"/>
        <v>0</v>
      </c>
      <c r="L664" s="16">
        <f>'БА в тыс. руб.'!H664*1000</f>
        <v>0</v>
      </c>
      <c r="M664" s="169">
        <f t="shared" si="446"/>
        <v>0</v>
      </c>
      <c r="N664" s="16">
        <f>'БА в тыс. руб.'!I664*1000</f>
        <v>2595960</v>
      </c>
      <c r="O664" s="169">
        <f t="shared" si="447"/>
        <v>0</v>
      </c>
      <c r="P664" s="16"/>
      <c r="Q664" s="16"/>
      <c r="R664" s="16"/>
      <c r="S664" s="16"/>
      <c r="T664" s="16"/>
      <c r="U664" s="16"/>
    </row>
    <row r="665" spans="1:21" s="3" customFormat="1">
      <c r="A665" s="11" t="s">
        <v>1016</v>
      </c>
      <c r="B665" s="25" t="s">
        <v>26</v>
      </c>
      <c r="C665" s="26" t="s">
        <v>71</v>
      </c>
      <c r="D665" s="26" t="s">
        <v>53</v>
      </c>
      <c r="E665" s="26" t="s">
        <v>376</v>
      </c>
      <c r="F665" s="26" t="s">
        <v>1046</v>
      </c>
      <c r="G665" s="27">
        <f t="shared" ref="G665" si="459">J665</f>
        <v>0</v>
      </c>
      <c r="H665" s="27">
        <f>L665</f>
        <v>0</v>
      </c>
      <c r="I665" s="27">
        <f>N665</f>
        <v>2595960</v>
      </c>
      <c r="J665" s="16">
        <f>'БА в тыс. руб.'!G665*1000</f>
        <v>0</v>
      </c>
      <c r="K665" s="169">
        <f t="shared" si="445"/>
        <v>0</v>
      </c>
      <c r="L665" s="16">
        <f>'БА в тыс. руб.'!H665*1000</f>
        <v>0</v>
      </c>
      <c r="M665" s="169">
        <f t="shared" si="446"/>
        <v>0</v>
      </c>
      <c r="N665" s="16">
        <f>'БА в тыс. руб.'!I665*1000</f>
        <v>2595960</v>
      </c>
      <c r="O665" s="169">
        <f t="shared" si="447"/>
        <v>0</v>
      </c>
      <c r="P665" s="16"/>
      <c r="Q665" s="16"/>
      <c r="R665" s="16"/>
      <c r="S665" s="16"/>
      <c r="T665" s="16"/>
      <c r="U665" s="16"/>
    </row>
    <row r="666" spans="1:21" s="3" customFormat="1" ht="89.25">
      <c r="A666" s="13" t="s">
        <v>850</v>
      </c>
      <c r="B666" s="25" t="s">
        <v>26</v>
      </c>
      <c r="C666" s="26" t="s">
        <v>71</v>
      </c>
      <c r="D666" s="26" t="s">
        <v>53</v>
      </c>
      <c r="E666" s="26" t="s">
        <v>622</v>
      </c>
      <c r="F666" s="26" t="s">
        <v>58</v>
      </c>
      <c r="G666" s="27">
        <f t="shared" ref="G666:I668" si="460">G667</f>
        <v>150000</v>
      </c>
      <c r="H666" s="27">
        <f t="shared" si="460"/>
        <v>150000</v>
      </c>
      <c r="I666" s="27">
        <f t="shared" si="460"/>
        <v>150000</v>
      </c>
      <c r="J666" s="16">
        <f>'БА в тыс. руб.'!G666*1000</f>
        <v>150000</v>
      </c>
      <c r="K666" s="169">
        <f t="shared" si="445"/>
        <v>0</v>
      </c>
      <c r="L666" s="16">
        <f>'БА в тыс. руб.'!H666*1000</f>
        <v>150000</v>
      </c>
      <c r="M666" s="169">
        <f t="shared" si="446"/>
        <v>0</v>
      </c>
      <c r="N666" s="16">
        <f>'БА в тыс. руб.'!I666*1000</f>
        <v>150000</v>
      </c>
      <c r="O666" s="169">
        <f t="shared" si="447"/>
        <v>0</v>
      </c>
      <c r="P666" s="16"/>
      <c r="Q666" s="16"/>
      <c r="R666" s="16"/>
      <c r="S666" s="16"/>
      <c r="T666" s="16"/>
      <c r="U666" s="16"/>
    </row>
    <row r="667" spans="1:21" s="3" customFormat="1" ht="76.5">
      <c r="A667" s="11" t="s">
        <v>853</v>
      </c>
      <c r="B667" s="25" t="s">
        <v>26</v>
      </c>
      <c r="C667" s="26" t="s">
        <v>71</v>
      </c>
      <c r="D667" s="26" t="s">
        <v>53</v>
      </c>
      <c r="E667" s="26" t="s">
        <v>623</v>
      </c>
      <c r="F667" s="26" t="s">
        <v>58</v>
      </c>
      <c r="G667" s="27">
        <f t="shared" si="460"/>
        <v>150000</v>
      </c>
      <c r="H667" s="27">
        <f t="shared" si="460"/>
        <v>150000</v>
      </c>
      <c r="I667" s="27">
        <f t="shared" si="460"/>
        <v>150000</v>
      </c>
      <c r="J667" s="16">
        <f>'БА в тыс. руб.'!G667*1000</f>
        <v>150000</v>
      </c>
      <c r="K667" s="169">
        <f t="shared" si="445"/>
        <v>0</v>
      </c>
      <c r="L667" s="16">
        <f>'БА в тыс. руб.'!H667*1000</f>
        <v>150000</v>
      </c>
      <c r="M667" s="169">
        <f t="shared" si="446"/>
        <v>0</v>
      </c>
      <c r="N667" s="16">
        <f>'БА в тыс. руб.'!I667*1000</f>
        <v>150000</v>
      </c>
      <c r="O667" s="169">
        <f t="shared" si="447"/>
        <v>0</v>
      </c>
      <c r="P667" s="16"/>
      <c r="Q667" s="16"/>
      <c r="R667" s="16"/>
      <c r="S667" s="16"/>
      <c r="T667" s="16"/>
      <c r="U667" s="16"/>
    </row>
    <row r="668" spans="1:21" s="3" customFormat="1">
      <c r="A668" s="13" t="s">
        <v>92</v>
      </c>
      <c r="B668" s="25" t="s">
        <v>26</v>
      </c>
      <c r="C668" s="26" t="s">
        <v>71</v>
      </c>
      <c r="D668" s="26" t="s">
        <v>53</v>
      </c>
      <c r="E668" s="26" t="s">
        <v>623</v>
      </c>
      <c r="F668" s="26" t="s">
        <v>138</v>
      </c>
      <c r="G668" s="27">
        <f>G669</f>
        <v>150000</v>
      </c>
      <c r="H668" s="27">
        <f t="shared" si="460"/>
        <v>150000</v>
      </c>
      <c r="I668" s="27">
        <f t="shared" si="460"/>
        <v>150000</v>
      </c>
      <c r="J668" s="16">
        <f>'БА в тыс. руб.'!G668*1000</f>
        <v>150000</v>
      </c>
      <c r="K668" s="169">
        <f t="shared" si="445"/>
        <v>0</v>
      </c>
      <c r="L668" s="16">
        <f>'БА в тыс. руб.'!H668*1000</f>
        <v>150000</v>
      </c>
      <c r="M668" s="169">
        <f t="shared" si="446"/>
        <v>0</v>
      </c>
      <c r="N668" s="16">
        <f>'БА в тыс. руб.'!I668*1000</f>
        <v>150000</v>
      </c>
      <c r="O668" s="169">
        <f t="shared" si="447"/>
        <v>0</v>
      </c>
      <c r="P668" s="16"/>
      <c r="Q668" s="16"/>
      <c r="R668" s="16"/>
      <c r="S668" s="16"/>
      <c r="T668" s="16"/>
      <c r="U668" s="16"/>
    </row>
    <row r="669" spans="1:21" s="4" customFormat="1">
      <c r="A669" s="11" t="s">
        <v>1016</v>
      </c>
      <c r="B669" s="25" t="s">
        <v>26</v>
      </c>
      <c r="C669" s="26" t="s">
        <v>71</v>
      </c>
      <c r="D669" s="26" t="s">
        <v>53</v>
      </c>
      <c r="E669" s="26" t="s">
        <v>623</v>
      </c>
      <c r="F669" s="26" t="s">
        <v>1046</v>
      </c>
      <c r="G669" s="27">
        <f t="shared" ref="G669" si="461">J669</f>
        <v>150000</v>
      </c>
      <c r="H669" s="27">
        <f>L669</f>
        <v>150000</v>
      </c>
      <c r="I669" s="27">
        <f>N669</f>
        <v>150000</v>
      </c>
      <c r="J669" s="16">
        <f>'БА в тыс. руб.'!G669*1000</f>
        <v>150000</v>
      </c>
      <c r="K669" s="169">
        <f t="shared" si="445"/>
        <v>0</v>
      </c>
      <c r="L669" s="16">
        <f>'БА в тыс. руб.'!H669*1000</f>
        <v>150000</v>
      </c>
      <c r="M669" s="169">
        <f t="shared" si="446"/>
        <v>0</v>
      </c>
      <c r="N669" s="16">
        <f>'БА в тыс. руб.'!I669*1000</f>
        <v>150000</v>
      </c>
      <c r="O669" s="169">
        <f t="shared" si="447"/>
        <v>0</v>
      </c>
      <c r="P669" s="16"/>
      <c r="Q669" s="16"/>
      <c r="R669" s="16"/>
      <c r="S669" s="16"/>
      <c r="T669" s="16"/>
      <c r="U669" s="16"/>
    </row>
    <row r="670" spans="1:21" s="3" customFormat="1" ht="38.25">
      <c r="A670" s="13" t="s">
        <v>854</v>
      </c>
      <c r="B670" s="25" t="s">
        <v>26</v>
      </c>
      <c r="C670" s="26" t="s">
        <v>71</v>
      </c>
      <c r="D670" s="26" t="s">
        <v>53</v>
      </c>
      <c r="E670" s="26" t="s">
        <v>624</v>
      </c>
      <c r="F670" s="26" t="s">
        <v>58</v>
      </c>
      <c r="G670" s="27">
        <f>G671</f>
        <v>300000</v>
      </c>
      <c r="H670" s="27">
        <f>H671</f>
        <v>218400</v>
      </c>
      <c r="I670" s="27">
        <f>I671</f>
        <v>218400</v>
      </c>
      <c r="J670" s="16">
        <f>'БА в тыс. руб.'!G670*1000</f>
        <v>300000</v>
      </c>
      <c r="K670" s="169">
        <f t="shared" si="445"/>
        <v>0</v>
      </c>
      <c r="L670" s="16">
        <f>'БА в тыс. руб.'!H670*1000</f>
        <v>218400</v>
      </c>
      <c r="M670" s="169">
        <f t="shared" si="446"/>
        <v>0</v>
      </c>
      <c r="N670" s="16">
        <f>'БА в тыс. руб.'!I670*1000</f>
        <v>218400</v>
      </c>
      <c r="O670" s="169">
        <f t="shared" si="447"/>
        <v>0</v>
      </c>
      <c r="P670" s="16"/>
      <c r="Q670" s="16"/>
      <c r="R670" s="16"/>
      <c r="S670" s="16"/>
      <c r="T670" s="16"/>
      <c r="U670" s="16"/>
    </row>
    <row r="671" spans="1:21" s="3" customFormat="1" ht="38.25">
      <c r="A671" s="13" t="s">
        <v>855</v>
      </c>
      <c r="B671" s="25" t="s">
        <v>26</v>
      </c>
      <c r="C671" s="26" t="s">
        <v>71</v>
      </c>
      <c r="D671" s="26" t="s">
        <v>53</v>
      </c>
      <c r="E671" s="26" t="s">
        <v>690</v>
      </c>
      <c r="F671" s="26" t="s">
        <v>58</v>
      </c>
      <c r="G671" s="27">
        <f>G672+G674</f>
        <v>300000</v>
      </c>
      <c r="H671" s="27">
        <f t="shared" ref="H671:I671" si="462">H672+H674</f>
        <v>218400</v>
      </c>
      <c r="I671" s="27">
        <f t="shared" si="462"/>
        <v>218400</v>
      </c>
      <c r="J671" s="16">
        <f>'БА в тыс. руб.'!G671*1000</f>
        <v>300000</v>
      </c>
      <c r="K671" s="169">
        <f t="shared" si="445"/>
        <v>0</v>
      </c>
      <c r="L671" s="16">
        <f>'БА в тыс. руб.'!H671*1000</f>
        <v>218400</v>
      </c>
      <c r="M671" s="169">
        <f t="shared" si="446"/>
        <v>0</v>
      </c>
      <c r="N671" s="16">
        <f>'БА в тыс. руб.'!I671*1000</f>
        <v>218400</v>
      </c>
      <c r="O671" s="169">
        <f t="shared" si="447"/>
        <v>0</v>
      </c>
      <c r="P671" s="16"/>
      <c r="Q671" s="16"/>
      <c r="R671" s="16"/>
      <c r="S671" s="16"/>
      <c r="T671" s="16"/>
      <c r="U671" s="16"/>
    </row>
    <row r="672" spans="1:21" s="3" customFormat="1">
      <c r="A672" s="13" t="s">
        <v>92</v>
      </c>
      <c r="B672" s="25" t="s">
        <v>26</v>
      </c>
      <c r="C672" s="26" t="s">
        <v>71</v>
      </c>
      <c r="D672" s="26" t="s">
        <v>53</v>
      </c>
      <c r="E672" s="26" t="s">
        <v>690</v>
      </c>
      <c r="F672" s="26" t="s">
        <v>138</v>
      </c>
      <c r="G672" s="27">
        <f>G673</f>
        <v>225000</v>
      </c>
      <c r="H672" s="27">
        <f t="shared" ref="H672:I672" si="463">H673</f>
        <v>163800</v>
      </c>
      <c r="I672" s="27">
        <f t="shared" si="463"/>
        <v>163800</v>
      </c>
      <c r="J672" s="16">
        <f>'БА в тыс. руб.'!G672*1000</f>
        <v>225000</v>
      </c>
      <c r="K672" s="169">
        <f t="shared" si="445"/>
        <v>0</v>
      </c>
      <c r="L672" s="16">
        <f>'БА в тыс. руб.'!H672*1000</f>
        <v>163800</v>
      </c>
      <c r="M672" s="169">
        <f t="shared" si="446"/>
        <v>0</v>
      </c>
      <c r="N672" s="16">
        <f>'БА в тыс. руб.'!I672*1000</f>
        <v>163800</v>
      </c>
      <c r="O672" s="169">
        <f t="shared" si="447"/>
        <v>0</v>
      </c>
      <c r="P672" s="16"/>
      <c r="Q672" s="16"/>
      <c r="R672" s="16"/>
      <c r="S672" s="16"/>
      <c r="T672" s="16"/>
      <c r="U672" s="16"/>
    </row>
    <row r="673" spans="1:21" s="4" customFormat="1">
      <c r="A673" s="11" t="s">
        <v>1016</v>
      </c>
      <c r="B673" s="25" t="s">
        <v>26</v>
      </c>
      <c r="C673" s="26" t="s">
        <v>71</v>
      </c>
      <c r="D673" s="26" t="s">
        <v>53</v>
      </c>
      <c r="E673" s="26" t="s">
        <v>690</v>
      </c>
      <c r="F673" s="26" t="s">
        <v>1046</v>
      </c>
      <c r="G673" s="27">
        <f t="shared" ref="G673" si="464">J673</f>
        <v>225000</v>
      </c>
      <c r="H673" s="27">
        <f>L673</f>
        <v>163800</v>
      </c>
      <c r="I673" s="27">
        <f>N673</f>
        <v>163800</v>
      </c>
      <c r="J673" s="16">
        <f>'БА в тыс. руб.'!G673*1000</f>
        <v>225000</v>
      </c>
      <c r="K673" s="169">
        <f t="shared" si="445"/>
        <v>0</v>
      </c>
      <c r="L673" s="16">
        <f>'БА в тыс. руб.'!H673*1000</f>
        <v>163800</v>
      </c>
      <c r="M673" s="169">
        <f t="shared" si="446"/>
        <v>0</v>
      </c>
      <c r="N673" s="16">
        <f>'БА в тыс. руб.'!I673*1000</f>
        <v>163800</v>
      </c>
      <c r="O673" s="169">
        <f t="shared" si="447"/>
        <v>0</v>
      </c>
      <c r="P673" s="16"/>
      <c r="Q673" s="16"/>
      <c r="R673" s="16"/>
      <c r="S673" s="16"/>
      <c r="T673" s="16"/>
      <c r="U673" s="16"/>
    </row>
    <row r="674" spans="1:21" s="3" customFormat="1">
      <c r="A674" s="13" t="s">
        <v>93</v>
      </c>
      <c r="B674" s="25" t="s">
        <v>26</v>
      </c>
      <c r="C674" s="26" t="s">
        <v>71</v>
      </c>
      <c r="D674" s="26" t="s">
        <v>53</v>
      </c>
      <c r="E674" s="26" t="s">
        <v>690</v>
      </c>
      <c r="F674" s="26" t="s">
        <v>20</v>
      </c>
      <c r="G674" s="27">
        <f>G675</f>
        <v>75000</v>
      </c>
      <c r="H674" s="27">
        <f t="shared" ref="H674:I674" si="465">H675</f>
        <v>54600</v>
      </c>
      <c r="I674" s="27">
        <f t="shared" si="465"/>
        <v>54600</v>
      </c>
      <c r="J674" s="16">
        <f>'БА в тыс. руб.'!G674*1000</f>
        <v>75000</v>
      </c>
      <c r="K674" s="169">
        <f t="shared" si="445"/>
        <v>0</v>
      </c>
      <c r="L674" s="16">
        <f>'БА в тыс. руб.'!H674*1000</f>
        <v>54600</v>
      </c>
      <c r="M674" s="169">
        <f t="shared" si="446"/>
        <v>0</v>
      </c>
      <c r="N674" s="16">
        <f>'БА в тыс. руб.'!I674*1000</f>
        <v>54600</v>
      </c>
      <c r="O674" s="169">
        <f t="shared" si="447"/>
        <v>0</v>
      </c>
      <c r="P674" s="16"/>
      <c r="Q674" s="16"/>
      <c r="R674" s="16"/>
      <c r="S674" s="16"/>
      <c r="T674" s="16"/>
      <c r="U674" s="16"/>
    </row>
    <row r="675" spans="1:21" s="4" customFormat="1">
      <c r="A675" s="12" t="s">
        <v>1019</v>
      </c>
      <c r="B675" s="25" t="s">
        <v>26</v>
      </c>
      <c r="C675" s="26" t="s">
        <v>71</v>
      </c>
      <c r="D675" s="26" t="s">
        <v>53</v>
      </c>
      <c r="E675" s="26" t="s">
        <v>690</v>
      </c>
      <c r="F675" s="26" t="s">
        <v>1054</v>
      </c>
      <c r="G675" s="27">
        <f t="shared" ref="G675" si="466">J675</f>
        <v>75000</v>
      </c>
      <c r="H675" s="27">
        <f>L675</f>
        <v>54600</v>
      </c>
      <c r="I675" s="27">
        <f>N675</f>
        <v>54600</v>
      </c>
      <c r="J675" s="16">
        <f>'БА в тыс. руб.'!G675*1000</f>
        <v>75000</v>
      </c>
      <c r="K675" s="169">
        <f t="shared" si="445"/>
        <v>0</v>
      </c>
      <c r="L675" s="16">
        <f>'БА в тыс. руб.'!H675*1000</f>
        <v>54600</v>
      </c>
      <c r="M675" s="169">
        <f t="shared" si="446"/>
        <v>0</v>
      </c>
      <c r="N675" s="16">
        <f>'БА в тыс. руб.'!I675*1000</f>
        <v>54600</v>
      </c>
      <c r="O675" s="169">
        <f t="shared" si="447"/>
        <v>0</v>
      </c>
      <c r="P675" s="16"/>
      <c r="Q675" s="16"/>
      <c r="R675" s="16"/>
      <c r="S675" s="16"/>
      <c r="T675" s="16"/>
      <c r="U675" s="16"/>
    </row>
    <row r="676" spans="1:21" s="3" customFormat="1" ht="51">
      <c r="A676" s="13" t="s">
        <v>856</v>
      </c>
      <c r="B676" s="25" t="s">
        <v>26</v>
      </c>
      <c r="C676" s="26" t="s">
        <v>71</v>
      </c>
      <c r="D676" s="26" t="s">
        <v>53</v>
      </c>
      <c r="E676" s="26" t="s">
        <v>781</v>
      </c>
      <c r="F676" s="26" t="s">
        <v>58</v>
      </c>
      <c r="G676" s="27">
        <f>G677</f>
        <v>2939950</v>
      </c>
      <c r="H676" s="27">
        <f t="shared" ref="H676:I678" si="467">H677</f>
        <v>0</v>
      </c>
      <c r="I676" s="27">
        <f t="shared" si="467"/>
        <v>0</v>
      </c>
      <c r="J676" s="16">
        <f>'БА в тыс. руб.'!G676*1000</f>
        <v>2939950</v>
      </c>
      <c r="K676" s="169">
        <f t="shared" si="445"/>
        <v>0</v>
      </c>
      <c r="L676" s="16">
        <f>'БА в тыс. руб.'!H676*1000</f>
        <v>0</v>
      </c>
      <c r="M676" s="169">
        <f t="shared" si="446"/>
        <v>0</v>
      </c>
      <c r="N676" s="16">
        <f>'БА в тыс. руб.'!I676*1000</f>
        <v>0</v>
      </c>
      <c r="O676" s="169">
        <f t="shared" si="447"/>
        <v>0</v>
      </c>
      <c r="P676" s="16"/>
      <c r="Q676" s="16"/>
      <c r="R676" s="16"/>
      <c r="S676" s="16"/>
      <c r="T676" s="16"/>
      <c r="U676" s="16"/>
    </row>
    <row r="677" spans="1:21" s="3" customFormat="1" ht="76.5">
      <c r="A677" s="13" t="s">
        <v>888</v>
      </c>
      <c r="B677" s="25" t="s">
        <v>26</v>
      </c>
      <c r="C677" s="26" t="s">
        <v>71</v>
      </c>
      <c r="D677" s="26" t="s">
        <v>53</v>
      </c>
      <c r="E677" s="26" t="s">
        <v>782</v>
      </c>
      <c r="F677" s="26" t="s">
        <v>58</v>
      </c>
      <c r="G677" s="27">
        <f>G678</f>
        <v>2939950</v>
      </c>
      <c r="H677" s="27">
        <f t="shared" si="467"/>
        <v>0</v>
      </c>
      <c r="I677" s="27">
        <f t="shared" si="467"/>
        <v>0</v>
      </c>
      <c r="J677" s="16">
        <f>'БА в тыс. руб.'!G677*1000</f>
        <v>2939950</v>
      </c>
      <c r="K677" s="169">
        <f t="shared" si="445"/>
        <v>0</v>
      </c>
      <c r="L677" s="16">
        <f>'БА в тыс. руб.'!H677*1000</f>
        <v>0</v>
      </c>
      <c r="M677" s="169">
        <f t="shared" si="446"/>
        <v>0</v>
      </c>
      <c r="N677" s="16">
        <f>'БА в тыс. руб.'!I677*1000</f>
        <v>0</v>
      </c>
      <c r="O677" s="169">
        <f t="shared" si="447"/>
        <v>0</v>
      </c>
      <c r="P677" s="16"/>
      <c r="Q677" s="16"/>
      <c r="R677" s="16"/>
      <c r="S677" s="16"/>
      <c r="T677" s="16"/>
      <c r="U677" s="16"/>
    </row>
    <row r="678" spans="1:21" s="3" customFormat="1">
      <c r="A678" s="13" t="s">
        <v>93</v>
      </c>
      <c r="B678" s="25" t="s">
        <v>26</v>
      </c>
      <c r="C678" s="26" t="s">
        <v>71</v>
      </c>
      <c r="D678" s="26" t="s">
        <v>53</v>
      </c>
      <c r="E678" s="26" t="s">
        <v>782</v>
      </c>
      <c r="F678" s="26" t="s">
        <v>20</v>
      </c>
      <c r="G678" s="27">
        <f>G679</f>
        <v>2939950</v>
      </c>
      <c r="H678" s="27">
        <f t="shared" si="467"/>
        <v>0</v>
      </c>
      <c r="I678" s="27">
        <f t="shared" si="467"/>
        <v>0</v>
      </c>
      <c r="J678" s="16">
        <f>'БА в тыс. руб.'!G678*1000</f>
        <v>2939950</v>
      </c>
      <c r="K678" s="169">
        <f t="shared" si="445"/>
        <v>0</v>
      </c>
      <c r="L678" s="16">
        <f>'БА в тыс. руб.'!H678*1000</f>
        <v>0</v>
      </c>
      <c r="M678" s="169">
        <f t="shared" si="446"/>
        <v>0</v>
      </c>
      <c r="N678" s="16">
        <f>'БА в тыс. руб.'!I678*1000</f>
        <v>0</v>
      </c>
      <c r="O678" s="169">
        <f t="shared" si="447"/>
        <v>0</v>
      </c>
      <c r="P678" s="16"/>
      <c r="Q678" s="16"/>
      <c r="R678" s="16"/>
      <c r="S678" s="16"/>
      <c r="T678" s="16"/>
      <c r="U678" s="16"/>
    </row>
    <row r="679" spans="1:21" s="4" customFormat="1">
      <c r="A679" s="12" t="s">
        <v>1019</v>
      </c>
      <c r="B679" s="25" t="s">
        <v>26</v>
      </c>
      <c r="C679" s="26" t="s">
        <v>71</v>
      </c>
      <c r="D679" s="26" t="s">
        <v>53</v>
      </c>
      <c r="E679" s="26" t="s">
        <v>782</v>
      </c>
      <c r="F679" s="26" t="s">
        <v>1054</v>
      </c>
      <c r="G679" s="27">
        <f t="shared" ref="G679" si="468">J679</f>
        <v>2939950</v>
      </c>
      <c r="H679" s="27">
        <f>L679</f>
        <v>0</v>
      </c>
      <c r="I679" s="27">
        <f>N679</f>
        <v>0</v>
      </c>
      <c r="J679" s="16">
        <f>'БА в тыс. руб.'!G679*1000</f>
        <v>2939950</v>
      </c>
      <c r="K679" s="169">
        <f t="shared" si="445"/>
        <v>0</v>
      </c>
      <c r="L679" s="16">
        <f>'БА в тыс. руб.'!H679*1000</f>
        <v>0</v>
      </c>
      <c r="M679" s="169">
        <f t="shared" si="446"/>
        <v>0</v>
      </c>
      <c r="N679" s="16">
        <f>'БА в тыс. руб.'!I679*1000</f>
        <v>0</v>
      </c>
      <c r="O679" s="169">
        <f t="shared" si="447"/>
        <v>0</v>
      </c>
      <c r="P679" s="16"/>
      <c r="Q679" s="16"/>
      <c r="R679" s="16"/>
      <c r="S679" s="16"/>
      <c r="T679" s="16"/>
      <c r="U679" s="16"/>
    </row>
    <row r="680" spans="1:21" s="3" customFormat="1" ht="63.75">
      <c r="A680" s="11" t="s">
        <v>756</v>
      </c>
      <c r="B680" s="25" t="s">
        <v>26</v>
      </c>
      <c r="C680" s="26" t="s">
        <v>71</v>
      </c>
      <c r="D680" s="26" t="s">
        <v>53</v>
      </c>
      <c r="E680" s="26" t="s">
        <v>339</v>
      </c>
      <c r="F680" s="26" t="s">
        <v>58</v>
      </c>
      <c r="G680" s="27">
        <f t="shared" ref="G680:I682" si="469">G681</f>
        <v>392800</v>
      </c>
      <c r="H680" s="27">
        <f t="shared" si="469"/>
        <v>392800</v>
      </c>
      <c r="I680" s="27">
        <f t="shared" si="469"/>
        <v>392800</v>
      </c>
      <c r="J680" s="16">
        <f>'БА в тыс. руб.'!G680*1000</f>
        <v>392800</v>
      </c>
      <c r="K680" s="169">
        <f t="shared" si="445"/>
        <v>0</v>
      </c>
      <c r="L680" s="16">
        <f>'БА в тыс. руб.'!H680*1000</f>
        <v>392800</v>
      </c>
      <c r="M680" s="169">
        <f t="shared" si="446"/>
        <v>0</v>
      </c>
      <c r="N680" s="16">
        <f>'БА в тыс. руб.'!I680*1000</f>
        <v>392800</v>
      </c>
      <c r="O680" s="169">
        <f t="shared" si="447"/>
        <v>0</v>
      </c>
      <c r="P680" s="16"/>
      <c r="Q680" s="16"/>
      <c r="R680" s="16"/>
      <c r="S680" s="16"/>
      <c r="T680" s="16"/>
      <c r="U680" s="16"/>
    </row>
    <row r="681" spans="1:21" s="3" customFormat="1" ht="25.5">
      <c r="A681" s="11" t="s">
        <v>136</v>
      </c>
      <c r="B681" s="25" t="s">
        <v>26</v>
      </c>
      <c r="C681" s="26" t="s">
        <v>71</v>
      </c>
      <c r="D681" s="26" t="s">
        <v>53</v>
      </c>
      <c r="E681" s="26" t="s">
        <v>340</v>
      </c>
      <c r="F681" s="26" t="s">
        <v>58</v>
      </c>
      <c r="G681" s="27">
        <f t="shared" si="469"/>
        <v>392800</v>
      </c>
      <c r="H681" s="27">
        <f t="shared" si="469"/>
        <v>392800</v>
      </c>
      <c r="I681" s="27">
        <f t="shared" si="469"/>
        <v>392800</v>
      </c>
      <c r="J681" s="16">
        <f>'БА в тыс. руб.'!G681*1000</f>
        <v>392800</v>
      </c>
      <c r="K681" s="169">
        <f t="shared" si="445"/>
        <v>0</v>
      </c>
      <c r="L681" s="16">
        <f>'БА в тыс. руб.'!H681*1000</f>
        <v>392800</v>
      </c>
      <c r="M681" s="169">
        <f t="shared" si="446"/>
        <v>0</v>
      </c>
      <c r="N681" s="16">
        <f>'БА в тыс. руб.'!I681*1000</f>
        <v>392800</v>
      </c>
      <c r="O681" s="169">
        <f t="shared" si="447"/>
        <v>0</v>
      </c>
      <c r="P681" s="16"/>
      <c r="Q681" s="16"/>
      <c r="R681" s="16"/>
      <c r="S681" s="16"/>
      <c r="T681" s="16"/>
      <c r="U681" s="16"/>
    </row>
    <row r="682" spans="1:21" s="3" customFormat="1" ht="25.5">
      <c r="A682" s="11" t="s">
        <v>667</v>
      </c>
      <c r="B682" s="25" t="s">
        <v>26</v>
      </c>
      <c r="C682" s="26" t="s">
        <v>71</v>
      </c>
      <c r="D682" s="26" t="s">
        <v>53</v>
      </c>
      <c r="E682" s="26" t="s">
        <v>609</v>
      </c>
      <c r="F682" s="26" t="s">
        <v>58</v>
      </c>
      <c r="G682" s="27">
        <f t="shared" si="469"/>
        <v>392800</v>
      </c>
      <c r="H682" s="27">
        <f t="shared" si="469"/>
        <v>392800</v>
      </c>
      <c r="I682" s="27">
        <f t="shared" si="469"/>
        <v>392800</v>
      </c>
      <c r="J682" s="16">
        <f>'БА в тыс. руб.'!G682*1000</f>
        <v>392800</v>
      </c>
      <c r="K682" s="169">
        <f t="shared" si="445"/>
        <v>0</v>
      </c>
      <c r="L682" s="16">
        <f>'БА в тыс. руб.'!H682*1000</f>
        <v>392800</v>
      </c>
      <c r="M682" s="169">
        <f t="shared" si="446"/>
        <v>0</v>
      </c>
      <c r="N682" s="16">
        <f>'БА в тыс. руб.'!I682*1000</f>
        <v>392800</v>
      </c>
      <c r="O682" s="169">
        <f t="shared" si="447"/>
        <v>0</v>
      </c>
      <c r="P682" s="16"/>
      <c r="Q682" s="16"/>
      <c r="R682" s="16"/>
      <c r="S682" s="16"/>
      <c r="T682" s="16"/>
      <c r="U682" s="16"/>
    </row>
    <row r="683" spans="1:21" s="3" customFormat="1" ht="38.25">
      <c r="A683" s="11" t="s">
        <v>177</v>
      </c>
      <c r="B683" s="25" t="s">
        <v>26</v>
      </c>
      <c r="C683" s="26" t="s">
        <v>71</v>
      </c>
      <c r="D683" s="26" t="s">
        <v>53</v>
      </c>
      <c r="E683" s="26" t="s">
        <v>610</v>
      </c>
      <c r="F683" s="26" t="s">
        <v>58</v>
      </c>
      <c r="G683" s="27">
        <f>G684+G686</f>
        <v>392800</v>
      </c>
      <c r="H683" s="27">
        <f t="shared" ref="H683:I683" si="470">H684+H686</f>
        <v>392800</v>
      </c>
      <c r="I683" s="27">
        <f t="shared" si="470"/>
        <v>392800</v>
      </c>
      <c r="J683" s="16">
        <f>'БА в тыс. руб.'!G683*1000</f>
        <v>392800</v>
      </c>
      <c r="K683" s="169">
        <f t="shared" si="445"/>
        <v>0</v>
      </c>
      <c r="L683" s="16">
        <f>'БА в тыс. руб.'!H683*1000</f>
        <v>392800</v>
      </c>
      <c r="M683" s="169">
        <f t="shared" si="446"/>
        <v>0</v>
      </c>
      <c r="N683" s="16">
        <f>'БА в тыс. руб.'!I683*1000</f>
        <v>392800</v>
      </c>
      <c r="O683" s="169">
        <f t="shared" si="447"/>
        <v>0</v>
      </c>
      <c r="P683" s="16"/>
      <c r="Q683" s="16"/>
      <c r="R683" s="16"/>
      <c r="S683" s="16"/>
      <c r="T683" s="16"/>
      <c r="U683" s="16"/>
    </row>
    <row r="684" spans="1:21" s="3" customFormat="1">
      <c r="A684" s="13" t="s">
        <v>92</v>
      </c>
      <c r="B684" s="25" t="s">
        <v>26</v>
      </c>
      <c r="C684" s="26" t="s">
        <v>71</v>
      </c>
      <c r="D684" s="26" t="s">
        <v>53</v>
      </c>
      <c r="E684" s="26" t="s">
        <v>610</v>
      </c>
      <c r="F684" s="26" t="s">
        <v>138</v>
      </c>
      <c r="G684" s="27">
        <f>G685</f>
        <v>344800</v>
      </c>
      <c r="H684" s="27">
        <f t="shared" ref="H684:I684" si="471">H685</f>
        <v>344800</v>
      </c>
      <c r="I684" s="27">
        <f t="shared" si="471"/>
        <v>344800</v>
      </c>
      <c r="J684" s="16">
        <f>'БА в тыс. руб.'!G684*1000</f>
        <v>344800</v>
      </c>
      <c r="K684" s="169">
        <f t="shared" si="445"/>
        <v>0</v>
      </c>
      <c r="L684" s="16">
        <f>'БА в тыс. руб.'!H684*1000</f>
        <v>344800</v>
      </c>
      <c r="M684" s="169">
        <f t="shared" si="446"/>
        <v>0</v>
      </c>
      <c r="N684" s="16">
        <f>'БА в тыс. руб.'!I684*1000</f>
        <v>344800</v>
      </c>
      <c r="O684" s="169">
        <f t="shared" si="447"/>
        <v>0</v>
      </c>
      <c r="P684" s="16"/>
      <c r="Q684" s="16"/>
      <c r="R684" s="16"/>
      <c r="S684" s="16"/>
      <c r="T684" s="16"/>
      <c r="U684" s="16"/>
    </row>
    <row r="685" spans="1:21" s="4" customFormat="1">
      <c r="A685" s="12" t="s">
        <v>1016</v>
      </c>
      <c r="B685" s="25" t="s">
        <v>26</v>
      </c>
      <c r="C685" s="26" t="s">
        <v>71</v>
      </c>
      <c r="D685" s="26" t="s">
        <v>53</v>
      </c>
      <c r="E685" s="26" t="s">
        <v>610</v>
      </c>
      <c r="F685" s="26" t="s">
        <v>1046</v>
      </c>
      <c r="G685" s="27">
        <f t="shared" ref="G685" si="472">J685</f>
        <v>344800</v>
      </c>
      <c r="H685" s="27">
        <f>L685</f>
        <v>344800</v>
      </c>
      <c r="I685" s="27">
        <f>N685</f>
        <v>344800</v>
      </c>
      <c r="J685" s="16">
        <f>'БА в тыс. руб.'!G685*1000</f>
        <v>344800</v>
      </c>
      <c r="K685" s="169">
        <f t="shared" si="445"/>
        <v>0</v>
      </c>
      <c r="L685" s="16">
        <f>'БА в тыс. руб.'!H685*1000</f>
        <v>344800</v>
      </c>
      <c r="M685" s="169">
        <f t="shared" si="446"/>
        <v>0</v>
      </c>
      <c r="N685" s="16">
        <f>'БА в тыс. руб.'!I685*1000</f>
        <v>344800</v>
      </c>
      <c r="O685" s="169">
        <f t="shared" si="447"/>
        <v>0</v>
      </c>
      <c r="P685" s="16"/>
      <c r="Q685" s="16"/>
      <c r="R685" s="16"/>
      <c r="S685" s="16"/>
      <c r="T685" s="16"/>
      <c r="U685" s="16"/>
    </row>
    <row r="686" spans="1:21" s="30" customFormat="1">
      <c r="A686" s="13" t="s">
        <v>93</v>
      </c>
      <c r="B686" s="25" t="s">
        <v>26</v>
      </c>
      <c r="C686" s="26" t="s">
        <v>71</v>
      </c>
      <c r="D686" s="26" t="s">
        <v>53</v>
      </c>
      <c r="E686" s="26" t="s">
        <v>610</v>
      </c>
      <c r="F686" s="26" t="s">
        <v>20</v>
      </c>
      <c r="G686" s="27">
        <f>G687</f>
        <v>48000</v>
      </c>
      <c r="H686" s="27">
        <f t="shared" ref="H686:I686" si="473">H687</f>
        <v>48000</v>
      </c>
      <c r="I686" s="27">
        <f t="shared" si="473"/>
        <v>48000</v>
      </c>
      <c r="J686" s="16">
        <f>'БА в тыс. руб.'!G686*1000</f>
        <v>48000</v>
      </c>
      <c r="K686" s="169">
        <f t="shared" si="445"/>
        <v>0</v>
      </c>
      <c r="L686" s="16">
        <f>'БА в тыс. руб.'!H686*1000</f>
        <v>48000</v>
      </c>
      <c r="M686" s="169">
        <f t="shared" si="446"/>
        <v>0</v>
      </c>
      <c r="N686" s="16">
        <f>'БА в тыс. руб.'!I686*1000</f>
        <v>48000</v>
      </c>
      <c r="O686" s="169">
        <f t="shared" si="447"/>
        <v>0</v>
      </c>
      <c r="P686" s="16"/>
      <c r="Q686" s="16"/>
      <c r="R686" s="16"/>
      <c r="S686" s="16"/>
      <c r="T686" s="16"/>
      <c r="U686" s="16"/>
    </row>
    <row r="687" spans="1:21" s="83" customFormat="1">
      <c r="A687" s="12" t="s">
        <v>1019</v>
      </c>
      <c r="B687" s="25" t="s">
        <v>26</v>
      </c>
      <c r="C687" s="26" t="s">
        <v>71</v>
      </c>
      <c r="D687" s="26" t="s">
        <v>53</v>
      </c>
      <c r="E687" s="26" t="s">
        <v>610</v>
      </c>
      <c r="F687" s="26" t="s">
        <v>1054</v>
      </c>
      <c r="G687" s="27">
        <f t="shared" ref="G687" si="474">J687</f>
        <v>48000</v>
      </c>
      <c r="H687" s="27">
        <f>L687</f>
        <v>48000</v>
      </c>
      <c r="I687" s="27">
        <f>N687</f>
        <v>48000</v>
      </c>
      <c r="J687" s="16">
        <f>'БА в тыс. руб.'!G687*1000</f>
        <v>48000</v>
      </c>
      <c r="K687" s="169">
        <f t="shared" si="445"/>
        <v>0</v>
      </c>
      <c r="L687" s="16">
        <f>'БА в тыс. руб.'!H687*1000</f>
        <v>48000</v>
      </c>
      <c r="M687" s="169">
        <f t="shared" si="446"/>
        <v>0</v>
      </c>
      <c r="N687" s="16">
        <f>'БА в тыс. руб.'!I687*1000</f>
        <v>48000</v>
      </c>
      <c r="O687" s="169">
        <f t="shared" si="447"/>
        <v>0</v>
      </c>
      <c r="P687" s="16"/>
      <c r="Q687" s="16"/>
      <c r="R687" s="16"/>
      <c r="S687" s="16"/>
      <c r="T687" s="16"/>
      <c r="U687" s="16"/>
    </row>
    <row r="688" spans="1:21" s="30" customFormat="1" ht="25.5">
      <c r="A688" s="11" t="s">
        <v>757</v>
      </c>
      <c r="B688" s="25" t="s">
        <v>26</v>
      </c>
      <c r="C688" s="26" t="s">
        <v>71</v>
      </c>
      <c r="D688" s="26" t="s">
        <v>53</v>
      </c>
      <c r="E688" s="26" t="s">
        <v>342</v>
      </c>
      <c r="F688" s="26" t="s">
        <v>58</v>
      </c>
      <c r="G688" s="27">
        <f t="shared" ref="G688:I692" si="475">G689</f>
        <v>995640</v>
      </c>
      <c r="H688" s="27">
        <f t="shared" si="475"/>
        <v>896080</v>
      </c>
      <c r="I688" s="27">
        <f t="shared" si="475"/>
        <v>896080</v>
      </c>
      <c r="J688" s="16">
        <f>'БА в тыс. руб.'!G688*1000</f>
        <v>995640</v>
      </c>
      <c r="K688" s="169">
        <f t="shared" si="445"/>
        <v>0</v>
      </c>
      <c r="L688" s="16">
        <f>'БА в тыс. руб.'!H688*1000</f>
        <v>896080</v>
      </c>
      <c r="M688" s="169">
        <f t="shared" si="446"/>
        <v>0</v>
      </c>
      <c r="N688" s="16">
        <f>'БА в тыс. руб.'!I688*1000</f>
        <v>896080</v>
      </c>
      <c r="O688" s="169">
        <f t="shared" si="447"/>
        <v>0</v>
      </c>
      <c r="P688" s="16"/>
      <c r="Q688" s="16"/>
      <c r="R688" s="16"/>
      <c r="S688" s="16"/>
      <c r="T688" s="16"/>
      <c r="U688" s="16"/>
    </row>
    <row r="689" spans="1:21" s="30" customFormat="1" ht="38.25">
      <c r="A689" s="34" t="s">
        <v>758</v>
      </c>
      <c r="B689" s="25" t="s">
        <v>26</v>
      </c>
      <c r="C689" s="26" t="s">
        <v>71</v>
      </c>
      <c r="D689" s="26" t="s">
        <v>53</v>
      </c>
      <c r="E689" s="26" t="s">
        <v>343</v>
      </c>
      <c r="F689" s="26" t="s">
        <v>58</v>
      </c>
      <c r="G689" s="27">
        <f t="shared" si="475"/>
        <v>995640</v>
      </c>
      <c r="H689" s="27">
        <f t="shared" si="475"/>
        <v>896080</v>
      </c>
      <c r="I689" s="27">
        <f t="shared" si="475"/>
        <v>896080</v>
      </c>
      <c r="J689" s="16">
        <f>'БА в тыс. руб.'!G689*1000</f>
        <v>995640</v>
      </c>
      <c r="K689" s="169">
        <f t="shared" si="445"/>
        <v>0</v>
      </c>
      <c r="L689" s="16">
        <f>'БА в тыс. руб.'!H689*1000</f>
        <v>896080</v>
      </c>
      <c r="M689" s="169">
        <f t="shared" si="446"/>
        <v>0</v>
      </c>
      <c r="N689" s="16">
        <f>'БА в тыс. руб.'!I689*1000</f>
        <v>896080</v>
      </c>
      <c r="O689" s="169">
        <f t="shared" si="447"/>
        <v>0</v>
      </c>
      <c r="P689" s="16"/>
      <c r="Q689" s="16"/>
      <c r="R689" s="16"/>
      <c r="S689" s="16"/>
      <c r="T689" s="16"/>
      <c r="U689" s="16"/>
    </row>
    <row r="690" spans="1:21" s="30" customFormat="1" ht="25.5">
      <c r="A690" s="11" t="s">
        <v>344</v>
      </c>
      <c r="B690" s="25" t="s">
        <v>26</v>
      </c>
      <c r="C690" s="26" t="s">
        <v>71</v>
      </c>
      <c r="D690" s="26" t="s">
        <v>53</v>
      </c>
      <c r="E690" s="26" t="s">
        <v>345</v>
      </c>
      <c r="F690" s="26" t="s">
        <v>58</v>
      </c>
      <c r="G690" s="27">
        <f t="shared" si="475"/>
        <v>995640</v>
      </c>
      <c r="H690" s="27">
        <f t="shared" si="475"/>
        <v>896080</v>
      </c>
      <c r="I690" s="27">
        <f t="shared" si="475"/>
        <v>896080</v>
      </c>
      <c r="J690" s="16">
        <f>'БА в тыс. руб.'!G690*1000</f>
        <v>995640</v>
      </c>
      <c r="K690" s="169">
        <f t="shared" si="445"/>
        <v>0</v>
      </c>
      <c r="L690" s="16">
        <f>'БА в тыс. руб.'!H690*1000</f>
        <v>896080</v>
      </c>
      <c r="M690" s="169">
        <f t="shared" si="446"/>
        <v>0</v>
      </c>
      <c r="N690" s="16">
        <f>'БА в тыс. руб.'!I690*1000</f>
        <v>896080</v>
      </c>
      <c r="O690" s="169">
        <f t="shared" si="447"/>
        <v>0</v>
      </c>
      <c r="P690" s="16"/>
      <c r="Q690" s="16"/>
      <c r="R690" s="16"/>
      <c r="S690" s="16"/>
      <c r="T690" s="16"/>
      <c r="U690" s="16"/>
    </row>
    <row r="691" spans="1:21" s="30" customFormat="1" ht="25.5">
      <c r="A691" s="11" t="s">
        <v>174</v>
      </c>
      <c r="B691" s="25" t="s">
        <v>26</v>
      </c>
      <c r="C691" s="26" t="s">
        <v>71</v>
      </c>
      <c r="D691" s="26" t="s">
        <v>53</v>
      </c>
      <c r="E691" s="26" t="s">
        <v>346</v>
      </c>
      <c r="F691" s="26" t="s">
        <v>58</v>
      </c>
      <c r="G691" s="27">
        <f t="shared" si="475"/>
        <v>995640</v>
      </c>
      <c r="H691" s="27">
        <f t="shared" si="475"/>
        <v>896080</v>
      </c>
      <c r="I691" s="27">
        <f t="shared" si="475"/>
        <v>896080</v>
      </c>
      <c r="J691" s="16">
        <f>'БА в тыс. руб.'!G691*1000</f>
        <v>995640</v>
      </c>
      <c r="K691" s="169">
        <f t="shared" si="445"/>
        <v>0</v>
      </c>
      <c r="L691" s="16">
        <f>'БА в тыс. руб.'!H691*1000</f>
        <v>896080</v>
      </c>
      <c r="M691" s="169">
        <f t="shared" si="446"/>
        <v>0</v>
      </c>
      <c r="N691" s="16">
        <f>'БА в тыс. руб.'!I691*1000</f>
        <v>896080</v>
      </c>
      <c r="O691" s="169">
        <f t="shared" si="447"/>
        <v>0</v>
      </c>
      <c r="P691" s="16"/>
      <c r="Q691" s="16"/>
      <c r="R691" s="16"/>
      <c r="S691" s="16"/>
      <c r="T691" s="16"/>
      <c r="U691" s="16"/>
    </row>
    <row r="692" spans="1:21" s="30" customFormat="1">
      <c r="A692" s="13" t="s">
        <v>93</v>
      </c>
      <c r="B692" s="25" t="s">
        <v>26</v>
      </c>
      <c r="C692" s="26" t="s">
        <v>71</v>
      </c>
      <c r="D692" s="26" t="s">
        <v>53</v>
      </c>
      <c r="E692" s="26" t="s">
        <v>346</v>
      </c>
      <c r="F692" s="26" t="s">
        <v>20</v>
      </c>
      <c r="G692" s="27">
        <f>G693</f>
        <v>995640</v>
      </c>
      <c r="H692" s="27">
        <f t="shared" si="475"/>
        <v>896080</v>
      </c>
      <c r="I692" s="27">
        <f t="shared" si="475"/>
        <v>896080</v>
      </c>
      <c r="J692" s="16">
        <f>'БА в тыс. руб.'!G692*1000</f>
        <v>995640</v>
      </c>
      <c r="K692" s="169">
        <f t="shared" si="445"/>
        <v>0</v>
      </c>
      <c r="L692" s="16">
        <f>'БА в тыс. руб.'!H692*1000</f>
        <v>896080</v>
      </c>
      <c r="M692" s="169">
        <f t="shared" si="446"/>
        <v>0</v>
      </c>
      <c r="N692" s="16">
        <f>'БА в тыс. руб.'!I692*1000</f>
        <v>896080</v>
      </c>
      <c r="O692" s="169">
        <f t="shared" si="447"/>
        <v>0</v>
      </c>
      <c r="P692" s="16"/>
      <c r="Q692" s="16"/>
      <c r="R692" s="16"/>
      <c r="S692" s="16"/>
      <c r="T692" s="16"/>
      <c r="U692" s="16"/>
    </row>
    <row r="693" spans="1:21" s="83" customFormat="1">
      <c r="A693" s="12" t="s">
        <v>1019</v>
      </c>
      <c r="B693" s="25" t="s">
        <v>26</v>
      </c>
      <c r="C693" s="26" t="s">
        <v>71</v>
      </c>
      <c r="D693" s="26" t="s">
        <v>53</v>
      </c>
      <c r="E693" s="26" t="s">
        <v>346</v>
      </c>
      <c r="F693" s="26" t="s">
        <v>1054</v>
      </c>
      <c r="G693" s="27">
        <f t="shared" ref="G693" si="476">J693</f>
        <v>995640</v>
      </c>
      <c r="H693" s="27">
        <f>L693</f>
        <v>896080</v>
      </c>
      <c r="I693" s="27">
        <f>N693</f>
        <v>896080</v>
      </c>
      <c r="J693" s="16">
        <f>'БА в тыс. руб.'!G693*1000</f>
        <v>995640</v>
      </c>
      <c r="K693" s="169">
        <f t="shared" si="445"/>
        <v>0</v>
      </c>
      <c r="L693" s="16">
        <f>'БА в тыс. руб.'!H693*1000</f>
        <v>896080</v>
      </c>
      <c r="M693" s="169">
        <f t="shared" si="446"/>
        <v>0</v>
      </c>
      <c r="N693" s="16">
        <f>'БА в тыс. руб.'!I693*1000</f>
        <v>896080</v>
      </c>
      <c r="O693" s="169">
        <f t="shared" si="447"/>
        <v>0</v>
      </c>
      <c r="P693" s="16"/>
      <c r="Q693" s="16"/>
      <c r="R693" s="16"/>
      <c r="S693" s="16"/>
      <c r="T693" s="16"/>
      <c r="U693" s="16"/>
    </row>
    <row r="694" spans="1:21" s="30" customFormat="1">
      <c r="A694" s="21" t="s">
        <v>783</v>
      </c>
      <c r="B694" s="22" t="s">
        <v>26</v>
      </c>
      <c r="C694" s="23" t="s">
        <v>71</v>
      </c>
      <c r="D694" s="23" t="s">
        <v>71</v>
      </c>
      <c r="E694" s="23" t="s">
        <v>196</v>
      </c>
      <c r="F694" s="23" t="s">
        <v>58</v>
      </c>
      <c r="G694" s="24">
        <f>G701+G695</f>
        <v>7006510</v>
      </c>
      <c r="H694" s="24">
        <f>H701+H695</f>
        <v>6577700</v>
      </c>
      <c r="I694" s="24">
        <f>I701+I695</f>
        <v>6577700</v>
      </c>
      <c r="J694" s="16">
        <f>'БА в тыс. руб.'!G694*1000</f>
        <v>7006510</v>
      </c>
      <c r="K694" s="169">
        <f t="shared" si="445"/>
        <v>0</v>
      </c>
      <c r="L694" s="16">
        <f>'БА в тыс. руб.'!H694*1000</f>
        <v>6577700</v>
      </c>
      <c r="M694" s="169">
        <f t="shared" si="446"/>
        <v>0</v>
      </c>
      <c r="N694" s="16">
        <f>'БА в тыс. руб.'!I694*1000</f>
        <v>6577700</v>
      </c>
      <c r="O694" s="169">
        <f t="shared" si="447"/>
        <v>0</v>
      </c>
      <c r="P694" s="16"/>
      <c r="Q694" s="16"/>
      <c r="R694" s="16"/>
      <c r="S694" s="16"/>
      <c r="T694" s="16"/>
      <c r="U694" s="16"/>
    </row>
    <row r="695" spans="1:21" s="30" customFormat="1" ht="38.25">
      <c r="A695" s="12" t="s">
        <v>722</v>
      </c>
      <c r="B695" s="25" t="s">
        <v>26</v>
      </c>
      <c r="C695" s="26" t="s">
        <v>71</v>
      </c>
      <c r="D695" s="26" t="s">
        <v>71</v>
      </c>
      <c r="E695" s="26" t="s">
        <v>300</v>
      </c>
      <c r="F695" s="26" t="s">
        <v>58</v>
      </c>
      <c r="G695" s="27">
        <f t="shared" ref="G695:I699" si="477">G696</f>
        <v>212500</v>
      </c>
      <c r="H695" s="27">
        <f t="shared" si="477"/>
        <v>187500</v>
      </c>
      <c r="I695" s="27">
        <f t="shared" si="477"/>
        <v>187500</v>
      </c>
      <c r="J695" s="16">
        <f>'БА в тыс. руб.'!G695*1000</f>
        <v>212500</v>
      </c>
      <c r="K695" s="169">
        <f t="shared" si="445"/>
        <v>0</v>
      </c>
      <c r="L695" s="16">
        <f>'БА в тыс. руб.'!H695*1000</f>
        <v>187500</v>
      </c>
      <c r="M695" s="169">
        <f t="shared" si="446"/>
        <v>0</v>
      </c>
      <c r="N695" s="16">
        <f>'БА в тыс. руб.'!I695*1000</f>
        <v>187500</v>
      </c>
      <c r="O695" s="169">
        <f t="shared" si="447"/>
        <v>0</v>
      </c>
      <c r="P695" s="16"/>
      <c r="Q695" s="16"/>
      <c r="R695" s="16"/>
      <c r="S695" s="16"/>
      <c r="T695" s="16"/>
      <c r="U695" s="16"/>
    </row>
    <row r="696" spans="1:21" s="30" customFormat="1">
      <c r="A696" s="12" t="s">
        <v>142</v>
      </c>
      <c r="B696" s="25" t="s">
        <v>26</v>
      </c>
      <c r="C696" s="26" t="s">
        <v>71</v>
      </c>
      <c r="D696" s="26" t="s">
        <v>71</v>
      </c>
      <c r="E696" s="26" t="s">
        <v>453</v>
      </c>
      <c r="F696" s="26" t="s">
        <v>58</v>
      </c>
      <c r="G696" s="27">
        <f t="shared" si="477"/>
        <v>212500</v>
      </c>
      <c r="H696" s="27">
        <f t="shared" si="477"/>
        <v>187500</v>
      </c>
      <c r="I696" s="27">
        <f t="shared" si="477"/>
        <v>187500</v>
      </c>
      <c r="J696" s="16">
        <f>'БА в тыс. руб.'!G696*1000</f>
        <v>212500</v>
      </c>
      <c r="K696" s="169">
        <f t="shared" si="445"/>
        <v>0</v>
      </c>
      <c r="L696" s="16">
        <f>'БА в тыс. руб.'!H696*1000</f>
        <v>187500</v>
      </c>
      <c r="M696" s="169">
        <f t="shared" si="446"/>
        <v>0</v>
      </c>
      <c r="N696" s="16">
        <f>'БА в тыс. руб.'!I696*1000</f>
        <v>187500</v>
      </c>
      <c r="O696" s="169">
        <f t="shared" si="447"/>
        <v>0</v>
      </c>
      <c r="P696" s="16"/>
      <c r="Q696" s="16"/>
      <c r="R696" s="16"/>
      <c r="S696" s="16"/>
      <c r="T696" s="16"/>
      <c r="U696" s="16"/>
    </row>
    <row r="697" spans="1:21" s="30" customFormat="1" ht="25.5">
      <c r="A697" s="12" t="s">
        <v>454</v>
      </c>
      <c r="B697" s="25" t="s">
        <v>26</v>
      </c>
      <c r="C697" s="26" t="s">
        <v>71</v>
      </c>
      <c r="D697" s="26" t="s">
        <v>71</v>
      </c>
      <c r="E697" s="26" t="s">
        <v>645</v>
      </c>
      <c r="F697" s="26" t="s">
        <v>58</v>
      </c>
      <c r="G697" s="27">
        <f t="shared" si="477"/>
        <v>212500</v>
      </c>
      <c r="H697" s="27">
        <f t="shared" si="477"/>
        <v>187500</v>
      </c>
      <c r="I697" s="27">
        <f t="shared" si="477"/>
        <v>187500</v>
      </c>
      <c r="J697" s="16">
        <f>'БА в тыс. руб.'!G697*1000</f>
        <v>212500</v>
      </c>
      <c r="K697" s="169">
        <f t="shared" si="445"/>
        <v>0</v>
      </c>
      <c r="L697" s="16">
        <f>'БА в тыс. руб.'!H697*1000</f>
        <v>187500</v>
      </c>
      <c r="M697" s="169">
        <f t="shared" si="446"/>
        <v>0</v>
      </c>
      <c r="N697" s="16">
        <f>'БА в тыс. руб.'!I697*1000</f>
        <v>187500</v>
      </c>
      <c r="O697" s="169">
        <f t="shared" si="447"/>
        <v>0</v>
      </c>
      <c r="P697" s="16"/>
      <c r="Q697" s="16"/>
      <c r="R697" s="16"/>
      <c r="S697" s="16"/>
      <c r="T697" s="16"/>
      <c r="U697" s="16"/>
    </row>
    <row r="698" spans="1:21" s="30" customFormat="1" ht="25.5">
      <c r="A698" s="12" t="s">
        <v>158</v>
      </c>
      <c r="B698" s="25" t="s">
        <v>26</v>
      </c>
      <c r="C698" s="26" t="s">
        <v>71</v>
      </c>
      <c r="D698" s="26" t="s">
        <v>71</v>
      </c>
      <c r="E698" s="26" t="s">
        <v>646</v>
      </c>
      <c r="F698" s="26" t="s">
        <v>58</v>
      </c>
      <c r="G698" s="27">
        <f t="shared" si="477"/>
        <v>212500</v>
      </c>
      <c r="H698" s="27">
        <f t="shared" si="477"/>
        <v>187500</v>
      </c>
      <c r="I698" s="27">
        <f t="shared" si="477"/>
        <v>187500</v>
      </c>
      <c r="J698" s="16">
        <f>'БА в тыс. руб.'!G698*1000</f>
        <v>212500</v>
      </c>
      <c r="K698" s="169">
        <f t="shared" si="445"/>
        <v>0</v>
      </c>
      <c r="L698" s="16">
        <f>'БА в тыс. руб.'!H698*1000</f>
        <v>187500</v>
      </c>
      <c r="M698" s="169">
        <f t="shared" si="446"/>
        <v>0</v>
      </c>
      <c r="N698" s="16">
        <f>'БА в тыс. руб.'!I698*1000</f>
        <v>187500</v>
      </c>
      <c r="O698" s="169">
        <f t="shared" si="447"/>
        <v>0</v>
      </c>
      <c r="P698" s="16"/>
      <c r="Q698" s="16"/>
      <c r="R698" s="16"/>
      <c r="S698" s="16"/>
      <c r="T698" s="16"/>
      <c r="U698" s="16"/>
    </row>
    <row r="699" spans="1:21" s="30" customFormat="1" ht="25.5">
      <c r="A699" s="11" t="s">
        <v>108</v>
      </c>
      <c r="B699" s="25" t="s">
        <v>26</v>
      </c>
      <c r="C699" s="26" t="s">
        <v>71</v>
      </c>
      <c r="D699" s="26" t="s">
        <v>71</v>
      </c>
      <c r="E699" s="26" t="s">
        <v>646</v>
      </c>
      <c r="F699" s="26" t="s">
        <v>116</v>
      </c>
      <c r="G699" s="27">
        <f>G700</f>
        <v>212500</v>
      </c>
      <c r="H699" s="27">
        <f t="shared" si="477"/>
        <v>187500</v>
      </c>
      <c r="I699" s="27">
        <f t="shared" si="477"/>
        <v>187500</v>
      </c>
      <c r="J699" s="16">
        <f>'БА в тыс. руб.'!G699*1000</f>
        <v>212500</v>
      </c>
      <c r="K699" s="169">
        <f t="shared" si="445"/>
        <v>0</v>
      </c>
      <c r="L699" s="16">
        <f>'БА в тыс. руб.'!H699*1000</f>
        <v>187500</v>
      </c>
      <c r="M699" s="169">
        <f t="shared" si="446"/>
        <v>0</v>
      </c>
      <c r="N699" s="16">
        <f>'БА в тыс. руб.'!I699*1000</f>
        <v>187500</v>
      </c>
      <c r="O699" s="169">
        <f t="shared" si="447"/>
        <v>0</v>
      </c>
      <c r="P699" s="16"/>
      <c r="Q699" s="16"/>
      <c r="R699" s="16"/>
      <c r="S699" s="16"/>
      <c r="T699" s="16"/>
      <c r="U699" s="16"/>
    </row>
    <row r="700" spans="1:21" s="83" customFormat="1" ht="25.5">
      <c r="A700" s="12" t="s">
        <v>973</v>
      </c>
      <c r="B700" s="25" t="s">
        <v>26</v>
      </c>
      <c r="C700" s="26" t="s">
        <v>71</v>
      </c>
      <c r="D700" s="26" t="s">
        <v>71</v>
      </c>
      <c r="E700" s="26" t="s">
        <v>646</v>
      </c>
      <c r="F700" s="26" t="s">
        <v>1043</v>
      </c>
      <c r="G700" s="27">
        <f t="shared" ref="G700" si="478">J700</f>
        <v>212500</v>
      </c>
      <c r="H700" s="27">
        <f>L700</f>
        <v>187500</v>
      </c>
      <c r="I700" s="27">
        <f>N700</f>
        <v>187500</v>
      </c>
      <c r="J700" s="16">
        <f>'БА в тыс. руб.'!G700*1000</f>
        <v>212500</v>
      </c>
      <c r="K700" s="169">
        <f t="shared" si="445"/>
        <v>0</v>
      </c>
      <c r="L700" s="16">
        <f>'БА в тыс. руб.'!H700*1000</f>
        <v>187500</v>
      </c>
      <c r="M700" s="169">
        <f t="shared" si="446"/>
        <v>0</v>
      </c>
      <c r="N700" s="16">
        <f>'БА в тыс. руб.'!I700*1000</f>
        <v>187500</v>
      </c>
      <c r="O700" s="169">
        <f t="shared" si="447"/>
        <v>0</v>
      </c>
      <c r="P700" s="16"/>
      <c r="Q700" s="16"/>
      <c r="R700" s="16"/>
      <c r="S700" s="16"/>
      <c r="T700" s="16"/>
      <c r="U700" s="16"/>
    </row>
    <row r="701" spans="1:21" s="30" customFormat="1">
      <c r="A701" s="74" t="s">
        <v>741</v>
      </c>
      <c r="B701" s="25" t="s">
        <v>26</v>
      </c>
      <c r="C701" s="26" t="s">
        <v>71</v>
      </c>
      <c r="D701" s="26" t="s">
        <v>71</v>
      </c>
      <c r="E701" s="26" t="s">
        <v>456</v>
      </c>
      <c r="F701" s="26" t="s">
        <v>58</v>
      </c>
      <c r="G701" s="27">
        <f>G702</f>
        <v>6794010</v>
      </c>
      <c r="H701" s="27">
        <f>H702</f>
        <v>6390200</v>
      </c>
      <c r="I701" s="27">
        <f>I702</f>
        <v>6390200</v>
      </c>
      <c r="J701" s="16">
        <f>'БА в тыс. руб.'!G701*1000</f>
        <v>6794010</v>
      </c>
      <c r="K701" s="169">
        <f t="shared" si="445"/>
        <v>0</v>
      </c>
      <c r="L701" s="16">
        <f>'БА в тыс. руб.'!H701*1000</f>
        <v>6390200</v>
      </c>
      <c r="M701" s="169">
        <f t="shared" si="446"/>
        <v>0</v>
      </c>
      <c r="N701" s="16">
        <f>'БА в тыс. руб.'!I701*1000</f>
        <v>6390200</v>
      </c>
      <c r="O701" s="169">
        <f t="shared" si="447"/>
        <v>0</v>
      </c>
      <c r="P701" s="16"/>
      <c r="Q701" s="16"/>
      <c r="R701" s="16"/>
      <c r="S701" s="16"/>
      <c r="T701" s="16"/>
      <c r="U701" s="16"/>
    </row>
    <row r="702" spans="1:21" s="30" customFormat="1" ht="25.5">
      <c r="A702" s="74" t="s">
        <v>742</v>
      </c>
      <c r="B702" s="25" t="s">
        <v>26</v>
      </c>
      <c r="C702" s="26" t="s">
        <v>71</v>
      </c>
      <c r="D702" s="26" t="s">
        <v>71</v>
      </c>
      <c r="E702" s="26" t="s">
        <v>457</v>
      </c>
      <c r="F702" s="26" t="s">
        <v>58</v>
      </c>
      <c r="G702" s="27">
        <f>G703+G707+G715+G719+G723+G727</f>
        <v>6794010</v>
      </c>
      <c r="H702" s="27">
        <f>H703+H707+H715+H719+H723+H727</f>
        <v>6390200</v>
      </c>
      <c r="I702" s="27">
        <f>I703+I707+I715+I719+I723+I727</f>
        <v>6390200</v>
      </c>
      <c r="J702" s="16">
        <f>'БА в тыс. руб.'!G702*1000</f>
        <v>6794010</v>
      </c>
      <c r="K702" s="169">
        <f t="shared" si="445"/>
        <v>0</v>
      </c>
      <c r="L702" s="16">
        <f>'БА в тыс. руб.'!H702*1000</f>
        <v>6390200</v>
      </c>
      <c r="M702" s="169">
        <f t="shared" si="446"/>
        <v>0</v>
      </c>
      <c r="N702" s="16">
        <f>'БА в тыс. руб.'!I702*1000</f>
        <v>6390200</v>
      </c>
      <c r="O702" s="169">
        <f t="shared" si="447"/>
        <v>0</v>
      </c>
      <c r="P702" s="16"/>
      <c r="Q702" s="16"/>
      <c r="R702" s="16"/>
      <c r="S702" s="16"/>
      <c r="T702" s="16"/>
      <c r="U702" s="16"/>
    </row>
    <row r="703" spans="1:21" s="30" customFormat="1" ht="25.5">
      <c r="A703" s="12" t="s">
        <v>458</v>
      </c>
      <c r="B703" s="25" t="s">
        <v>26</v>
      </c>
      <c r="C703" s="26" t="s">
        <v>71</v>
      </c>
      <c r="D703" s="26" t="s">
        <v>71</v>
      </c>
      <c r="E703" s="26" t="s">
        <v>459</v>
      </c>
      <c r="F703" s="26" t="s">
        <v>58</v>
      </c>
      <c r="G703" s="27">
        <f t="shared" ref="G703:I705" si="479">G704</f>
        <v>779000</v>
      </c>
      <c r="H703" s="27">
        <f t="shared" si="479"/>
        <v>779000</v>
      </c>
      <c r="I703" s="27">
        <f t="shared" si="479"/>
        <v>779000</v>
      </c>
      <c r="J703" s="16">
        <f>'БА в тыс. руб.'!G703*1000</f>
        <v>779000</v>
      </c>
      <c r="K703" s="169">
        <f t="shared" si="445"/>
        <v>0</v>
      </c>
      <c r="L703" s="16">
        <f>'БА в тыс. руб.'!H703*1000</f>
        <v>779000</v>
      </c>
      <c r="M703" s="169">
        <f t="shared" si="446"/>
        <v>0</v>
      </c>
      <c r="N703" s="16">
        <f>'БА в тыс. руб.'!I703*1000</f>
        <v>779000</v>
      </c>
      <c r="O703" s="169">
        <f t="shared" si="447"/>
        <v>0</v>
      </c>
      <c r="P703" s="16"/>
      <c r="Q703" s="16"/>
      <c r="R703" s="16"/>
      <c r="S703" s="16"/>
      <c r="T703" s="16"/>
      <c r="U703" s="16"/>
    </row>
    <row r="704" spans="1:21" s="30" customFormat="1" ht="38.25">
      <c r="A704" s="11" t="s">
        <v>164</v>
      </c>
      <c r="B704" s="25" t="s">
        <v>26</v>
      </c>
      <c r="C704" s="26" t="s">
        <v>71</v>
      </c>
      <c r="D704" s="26" t="s">
        <v>71</v>
      </c>
      <c r="E704" s="26" t="s">
        <v>460</v>
      </c>
      <c r="F704" s="26" t="s">
        <v>58</v>
      </c>
      <c r="G704" s="27">
        <f t="shared" si="479"/>
        <v>779000</v>
      </c>
      <c r="H704" s="27">
        <f t="shared" si="479"/>
        <v>779000</v>
      </c>
      <c r="I704" s="27">
        <f t="shared" si="479"/>
        <v>779000</v>
      </c>
      <c r="J704" s="16">
        <f>'БА в тыс. руб.'!G704*1000</f>
        <v>779000</v>
      </c>
      <c r="K704" s="169">
        <f t="shared" si="445"/>
        <v>0</v>
      </c>
      <c r="L704" s="16">
        <f>'БА в тыс. руб.'!H704*1000</f>
        <v>779000</v>
      </c>
      <c r="M704" s="169">
        <f t="shared" si="446"/>
        <v>0</v>
      </c>
      <c r="N704" s="16">
        <f>'БА в тыс. руб.'!I704*1000</f>
        <v>779000</v>
      </c>
      <c r="O704" s="169">
        <f t="shared" si="447"/>
        <v>0</v>
      </c>
      <c r="P704" s="16"/>
      <c r="Q704" s="16"/>
      <c r="R704" s="16"/>
      <c r="S704" s="16"/>
      <c r="T704" s="16"/>
      <c r="U704" s="16"/>
    </row>
    <row r="705" spans="1:21" s="30" customFormat="1">
      <c r="A705" s="13" t="s">
        <v>92</v>
      </c>
      <c r="B705" s="25" t="s">
        <v>26</v>
      </c>
      <c r="C705" s="26" t="s">
        <v>71</v>
      </c>
      <c r="D705" s="26" t="s">
        <v>71</v>
      </c>
      <c r="E705" s="26" t="s">
        <v>460</v>
      </c>
      <c r="F705" s="26" t="s">
        <v>138</v>
      </c>
      <c r="G705" s="27">
        <f>G706</f>
        <v>779000</v>
      </c>
      <c r="H705" s="27">
        <f t="shared" si="479"/>
        <v>779000</v>
      </c>
      <c r="I705" s="27">
        <f t="shared" si="479"/>
        <v>779000</v>
      </c>
      <c r="J705" s="16">
        <f>'БА в тыс. руб.'!G705*1000</f>
        <v>779000</v>
      </c>
      <c r="K705" s="169">
        <f t="shared" si="445"/>
        <v>0</v>
      </c>
      <c r="L705" s="16">
        <f>'БА в тыс. руб.'!H705*1000</f>
        <v>779000</v>
      </c>
      <c r="M705" s="169">
        <f t="shared" si="446"/>
        <v>0</v>
      </c>
      <c r="N705" s="16">
        <f>'БА в тыс. руб.'!I705*1000</f>
        <v>779000</v>
      </c>
      <c r="O705" s="169">
        <f t="shared" si="447"/>
        <v>0</v>
      </c>
      <c r="P705" s="16"/>
      <c r="Q705" s="16"/>
      <c r="R705" s="16"/>
      <c r="S705" s="16"/>
      <c r="T705" s="16"/>
      <c r="U705" s="16"/>
    </row>
    <row r="706" spans="1:21" s="83" customFormat="1" ht="38.25">
      <c r="A706" s="12" t="s">
        <v>1015</v>
      </c>
      <c r="B706" s="25" t="s">
        <v>26</v>
      </c>
      <c r="C706" s="26" t="s">
        <v>71</v>
      </c>
      <c r="D706" s="26" t="s">
        <v>71</v>
      </c>
      <c r="E706" s="26" t="s">
        <v>460</v>
      </c>
      <c r="F706" s="26" t="s">
        <v>67</v>
      </c>
      <c r="G706" s="27">
        <f t="shared" ref="G706" si="480">J706</f>
        <v>779000</v>
      </c>
      <c r="H706" s="27">
        <f>L706</f>
        <v>779000</v>
      </c>
      <c r="I706" s="27">
        <f>N706</f>
        <v>779000</v>
      </c>
      <c r="J706" s="16">
        <f>'БА в тыс. руб.'!G706*1000</f>
        <v>779000</v>
      </c>
      <c r="K706" s="169">
        <f t="shared" si="445"/>
        <v>0</v>
      </c>
      <c r="L706" s="16">
        <f>'БА в тыс. руб.'!H706*1000</f>
        <v>779000</v>
      </c>
      <c r="M706" s="169">
        <f t="shared" si="446"/>
        <v>0</v>
      </c>
      <c r="N706" s="16">
        <f>'БА в тыс. руб.'!I706*1000</f>
        <v>779000</v>
      </c>
      <c r="O706" s="169">
        <f t="shared" si="447"/>
        <v>0</v>
      </c>
      <c r="P706" s="16"/>
      <c r="Q706" s="16"/>
      <c r="R706" s="16"/>
      <c r="S706" s="16"/>
      <c r="T706" s="16"/>
      <c r="U706" s="16"/>
    </row>
    <row r="707" spans="1:21" s="30" customFormat="1" ht="38.25">
      <c r="A707" s="12" t="s">
        <v>461</v>
      </c>
      <c r="B707" s="25" t="s">
        <v>26</v>
      </c>
      <c r="C707" s="26" t="s">
        <v>71</v>
      </c>
      <c r="D707" s="26" t="s">
        <v>71</v>
      </c>
      <c r="E707" s="26" t="s">
        <v>567</v>
      </c>
      <c r="F707" s="26" t="s">
        <v>58</v>
      </c>
      <c r="G707" s="27">
        <f>G708</f>
        <v>2340000</v>
      </c>
      <c r="H707" s="27">
        <f t="shared" ref="H707:I707" si="481">H708</f>
        <v>2340000</v>
      </c>
      <c r="I707" s="27">
        <f t="shared" si="481"/>
        <v>2340000</v>
      </c>
      <c r="J707" s="16">
        <f>'БА в тыс. руб.'!G707*1000</f>
        <v>2340000</v>
      </c>
      <c r="K707" s="169">
        <f t="shared" si="445"/>
        <v>0</v>
      </c>
      <c r="L707" s="16">
        <f>'БА в тыс. руб.'!H707*1000</f>
        <v>2340000</v>
      </c>
      <c r="M707" s="169">
        <f t="shared" si="446"/>
        <v>0</v>
      </c>
      <c r="N707" s="16">
        <f>'БА в тыс. руб.'!I707*1000</f>
        <v>2340000</v>
      </c>
      <c r="O707" s="169">
        <f t="shared" si="447"/>
        <v>0</v>
      </c>
      <c r="P707" s="16"/>
      <c r="Q707" s="16"/>
      <c r="R707" s="16"/>
      <c r="S707" s="16"/>
      <c r="T707" s="16"/>
      <c r="U707" s="16"/>
    </row>
    <row r="708" spans="1:21" s="30" customFormat="1" ht="38.25">
      <c r="A708" s="11" t="s">
        <v>164</v>
      </c>
      <c r="B708" s="25" t="s">
        <v>26</v>
      </c>
      <c r="C708" s="26" t="s">
        <v>71</v>
      </c>
      <c r="D708" s="26" t="s">
        <v>71</v>
      </c>
      <c r="E708" s="26" t="s">
        <v>462</v>
      </c>
      <c r="F708" s="26" t="s">
        <v>58</v>
      </c>
      <c r="G708" s="27">
        <f>G709+G713+G712+G711</f>
        <v>2340000</v>
      </c>
      <c r="H708" s="27">
        <f>H709+H713+H712+H711</f>
        <v>2340000</v>
      </c>
      <c r="I708" s="27">
        <f>I709+I713+I712+I711</f>
        <v>2340000</v>
      </c>
      <c r="J708" s="16">
        <f>'БА в тыс. руб.'!G708*1000</f>
        <v>2340000</v>
      </c>
      <c r="K708" s="169">
        <f t="shared" si="445"/>
        <v>0</v>
      </c>
      <c r="L708" s="16">
        <f>'БА в тыс. руб.'!H708*1000</f>
        <v>2340000</v>
      </c>
      <c r="M708" s="169">
        <f t="shared" si="446"/>
        <v>0</v>
      </c>
      <c r="N708" s="16">
        <f>'БА в тыс. руб.'!I708*1000</f>
        <v>2340000</v>
      </c>
      <c r="O708" s="169">
        <f t="shared" si="447"/>
        <v>0</v>
      </c>
      <c r="P708" s="16"/>
      <c r="Q708" s="16"/>
      <c r="R708" s="16"/>
      <c r="S708" s="16"/>
      <c r="T708" s="16"/>
      <c r="U708" s="16"/>
    </row>
    <row r="709" spans="1:21" s="30" customFormat="1" ht="25.5">
      <c r="A709" s="11" t="s">
        <v>108</v>
      </c>
      <c r="B709" s="25" t="s">
        <v>26</v>
      </c>
      <c r="C709" s="26" t="s">
        <v>71</v>
      </c>
      <c r="D709" s="26" t="s">
        <v>71</v>
      </c>
      <c r="E709" s="26" t="s">
        <v>462</v>
      </c>
      <c r="F709" s="26" t="s">
        <v>116</v>
      </c>
      <c r="G709" s="27">
        <f>G710</f>
        <v>549500</v>
      </c>
      <c r="H709" s="27">
        <f t="shared" ref="H709:I709" si="482">H710</f>
        <v>549500</v>
      </c>
      <c r="I709" s="27">
        <f t="shared" si="482"/>
        <v>549500</v>
      </c>
      <c r="J709" s="16">
        <f>'БА в тыс. руб.'!G709*1000</f>
        <v>549500</v>
      </c>
      <c r="K709" s="169">
        <f t="shared" si="445"/>
        <v>0</v>
      </c>
      <c r="L709" s="16">
        <f>'БА в тыс. руб.'!H709*1000</f>
        <v>549500</v>
      </c>
      <c r="M709" s="169">
        <f t="shared" si="446"/>
        <v>0</v>
      </c>
      <c r="N709" s="16">
        <f>'БА в тыс. руб.'!I709*1000</f>
        <v>549500</v>
      </c>
      <c r="O709" s="169">
        <f t="shared" si="447"/>
        <v>0</v>
      </c>
      <c r="P709" s="16"/>
      <c r="Q709" s="16"/>
      <c r="R709" s="16"/>
      <c r="S709" s="16"/>
      <c r="T709" s="16"/>
      <c r="U709" s="16"/>
    </row>
    <row r="710" spans="1:21" s="83" customFormat="1" ht="25.5">
      <c r="A710" s="12" t="s">
        <v>973</v>
      </c>
      <c r="B710" s="25" t="s">
        <v>26</v>
      </c>
      <c r="C710" s="26" t="s">
        <v>71</v>
      </c>
      <c r="D710" s="26" t="s">
        <v>71</v>
      </c>
      <c r="E710" s="26" t="s">
        <v>462</v>
      </c>
      <c r="F710" s="26" t="s">
        <v>1043</v>
      </c>
      <c r="G710" s="27">
        <f t="shared" ref="G710:G712" si="483">J710</f>
        <v>549500</v>
      </c>
      <c r="H710" s="27">
        <f t="shared" ref="H710:H712" si="484">L710</f>
        <v>549500</v>
      </c>
      <c r="I710" s="27">
        <f t="shared" ref="I710:I712" si="485">N710</f>
        <v>549500</v>
      </c>
      <c r="J710" s="16">
        <f>'БА в тыс. руб.'!G710*1000</f>
        <v>549500</v>
      </c>
      <c r="K710" s="169">
        <f t="shared" si="445"/>
        <v>0</v>
      </c>
      <c r="L710" s="16">
        <f>'БА в тыс. руб.'!H710*1000</f>
        <v>549500</v>
      </c>
      <c r="M710" s="169">
        <f t="shared" si="446"/>
        <v>0</v>
      </c>
      <c r="N710" s="16">
        <f>'БА в тыс. руб.'!I710*1000</f>
        <v>549500</v>
      </c>
      <c r="O710" s="169">
        <f t="shared" si="447"/>
        <v>0</v>
      </c>
      <c r="P710" s="16"/>
      <c r="Q710" s="16"/>
      <c r="R710" s="16"/>
      <c r="S710" s="16"/>
      <c r="T710" s="16"/>
      <c r="U710" s="16"/>
    </row>
    <row r="711" spans="1:21" s="30" customFormat="1">
      <c r="A711" s="11" t="s">
        <v>89</v>
      </c>
      <c r="B711" s="25" t="s">
        <v>26</v>
      </c>
      <c r="C711" s="26" t="s">
        <v>71</v>
      </c>
      <c r="D711" s="26" t="s">
        <v>71</v>
      </c>
      <c r="E711" s="26" t="s">
        <v>462</v>
      </c>
      <c r="F711" s="26" t="s">
        <v>182</v>
      </c>
      <c r="G711" s="27">
        <f t="shared" si="483"/>
        <v>600500</v>
      </c>
      <c r="H711" s="27">
        <f t="shared" si="484"/>
        <v>600500</v>
      </c>
      <c r="I711" s="27">
        <f t="shared" si="485"/>
        <v>600500</v>
      </c>
      <c r="J711" s="16">
        <f>'БА в тыс. руб.'!G711*1000</f>
        <v>600500</v>
      </c>
      <c r="K711" s="169">
        <f t="shared" si="445"/>
        <v>0</v>
      </c>
      <c r="L711" s="16">
        <f>'БА в тыс. руб.'!H711*1000</f>
        <v>600500</v>
      </c>
      <c r="M711" s="169">
        <f t="shared" si="446"/>
        <v>0</v>
      </c>
      <c r="N711" s="16">
        <f>'БА в тыс. руб.'!I711*1000</f>
        <v>600500</v>
      </c>
      <c r="O711" s="169">
        <f t="shared" si="447"/>
        <v>0</v>
      </c>
      <c r="P711" s="16"/>
      <c r="Q711" s="16"/>
      <c r="R711" s="16"/>
      <c r="S711" s="16"/>
      <c r="T711" s="16"/>
      <c r="U711" s="16"/>
    </row>
    <row r="712" spans="1:21" s="30" customFormat="1">
      <c r="A712" s="11" t="s">
        <v>90</v>
      </c>
      <c r="B712" s="25" t="s">
        <v>26</v>
      </c>
      <c r="C712" s="26" t="s">
        <v>71</v>
      </c>
      <c r="D712" s="26" t="s">
        <v>71</v>
      </c>
      <c r="E712" s="26" t="s">
        <v>462</v>
      </c>
      <c r="F712" s="26" t="s">
        <v>181</v>
      </c>
      <c r="G712" s="27">
        <f t="shared" si="483"/>
        <v>60000</v>
      </c>
      <c r="H712" s="27">
        <f t="shared" si="484"/>
        <v>60000</v>
      </c>
      <c r="I712" s="27">
        <f t="shared" si="485"/>
        <v>60000</v>
      </c>
      <c r="J712" s="16">
        <f>'БА в тыс. руб.'!G712*1000</f>
        <v>60000</v>
      </c>
      <c r="K712" s="169">
        <f t="shared" ref="K712:K775" si="486">J712-G712</f>
        <v>0</v>
      </c>
      <c r="L712" s="16">
        <f>'БА в тыс. руб.'!H712*1000</f>
        <v>60000</v>
      </c>
      <c r="M712" s="169">
        <f t="shared" ref="M712:M775" si="487">L712-H712</f>
        <v>0</v>
      </c>
      <c r="N712" s="16">
        <f>'БА в тыс. руб.'!I712*1000</f>
        <v>60000</v>
      </c>
      <c r="O712" s="169">
        <f t="shared" ref="O712:O775" si="488">N712-I712</f>
        <v>0</v>
      </c>
      <c r="P712" s="16"/>
      <c r="Q712" s="16"/>
      <c r="R712" s="16"/>
      <c r="S712" s="16"/>
      <c r="T712" s="16"/>
      <c r="U712" s="16"/>
    </row>
    <row r="713" spans="1:21" s="30" customFormat="1">
      <c r="A713" s="13" t="s">
        <v>92</v>
      </c>
      <c r="B713" s="25" t="s">
        <v>26</v>
      </c>
      <c r="C713" s="26" t="s">
        <v>71</v>
      </c>
      <c r="D713" s="26" t="s">
        <v>71</v>
      </c>
      <c r="E713" s="26" t="s">
        <v>462</v>
      </c>
      <c r="F713" s="26" t="s">
        <v>138</v>
      </c>
      <c r="G713" s="27">
        <f>G714</f>
        <v>1130000</v>
      </c>
      <c r="H713" s="27">
        <f t="shared" ref="H713:I713" si="489">H714</f>
        <v>1130000</v>
      </c>
      <c r="I713" s="27">
        <f t="shared" si="489"/>
        <v>1130000</v>
      </c>
      <c r="J713" s="16">
        <f>'БА в тыс. руб.'!G713*1000</f>
        <v>1130000</v>
      </c>
      <c r="K713" s="169">
        <f t="shared" si="486"/>
        <v>0</v>
      </c>
      <c r="L713" s="16">
        <f>'БА в тыс. руб.'!H713*1000</f>
        <v>1130000</v>
      </c>
      <c r="M713" s="169">
        <f t="shared" si="487"/>
        <v>0</v>
      </c>
      <c r="N713" s="16">
        <f>'БА в тыс. руб.'!I713*1000</f>
        <v>1130000</v>
      </c>
      <c r="O713" s="169">
        <f t="shared" si="488"/>
        <v>0</v>
      </c>
      <c r="P713" s="16"/>
      <c r="Q713" s="16"/>
      <c r="R713" s="16"/>
      <c r="S713" s="16"/>
      <c r="T713" s="16"/>
      <c r="U713" s="16"/>
    </row>
    <row r="714" spans="1:21" s="83" customFormat="1" ht="38.25">
      <c r="A714" s="12" t="s">
        <v>1015</v>
      </c>
      <c r="B714" s="25" t="s">
        <v>26</v>
      </c>
      <c r="C714" s="26" t="s">
        <v>71</v>
      </c>
      <c r="D714" s="26" t="s">
        <v>71</v>
      </c>
      <c r="E714" s="26" t="s">
        <v>462</v>
      </c>
      <c r="F714" s="26" t="s">
        <v>67</v>
      </c>
      <c r="G714" s="27">
        <f t="shared" ref="G714" si="490">J714</f>
        <v>1130000</v>
      </c>
      <c r="H714" s="27">
        <f>L714</f>
        <v>1130000</v>
      </c>
      <c r="I714" s="27">
        <f>N714</f>
        <v>1130000</v>
      </c>
      <c r="J714" s="16">
        <f>'БА в тыс. руб.'!G714*1000</f>
        <v>1130000</v>
      </c>
      <c r="K714" s="169">
        <f t="shared" si="486"/>
        <v>0</v>
      </c>
      <c r="L714" s="16">
        <f>'БА в тыс. руб.'!H714*1000</f>
        <v>1130000</v>
      </c>
      <c r="M714" s="169">
        <f t="shared" si="487"/>
        <v>0</v>
      </c>
      <c r="N714" s="16">
        <f>'БА в тыс. руб.'!I714*1000</f>
        <v>1130000</v>
      </c>
      <c r="O714" s="169">
        <f t="shared" si="488"/>
        <v>0</v>
      </c>
      <c r="P714" s="16"/>
      <c r="Q714" s="16"/>
      <c r="R714" s="16"/>
      <c r="S714" s="16"/>
      <c r="T714" s="16"/>
      <c r="U714" s="16"/>
    </row>
    <row r="715" spans="1:21" s="30" customFormat="1" ht="25.5">
      <c r="A715" s="12" t="s">
        <v>463</v>
      </c>
      <c r="B715" s="25" t="s">
        <v>26</v>
      </c>
      <c r="C715" s="26" t="s">
        <v>71</v>
      </c>
      <c r="D715" s="26" t="s">
        <v>71</v>
      </c>
      <c r="E715" s="26" t="s">
        <v>464</v>
      </c>
      <c r="F715" s="26" t="s">
        <v>58</v>
      </c>
      <c r="G715" s="27">
        <f t="shared" ref="G715:I717" si="491">G716</f>
        <v>180000</v>
      </c>
      <c r="H715" s="27">
        <f t="shared" si="491"/>
        <v>180000</v>
      </c>
      <c r="I715" s="27">
        <f t="shared" si="491"/>
        <v>180000</v>
      </c>
      <c r="J715" s="16">
        <f>'БА в тыс. руб.'!G715*1000</f>
        <v>180000</v>
      </c>
      <c r="K715" s="169">
        <f t="shared" si="486"/>
        <v>0</v>
      </c>
      <c r="L715" s="16">
        <f>'БА в тыс. руб.'!H715*1000</f>
        <v>180000</v>
      </c>
      <c r="M715" s="169">
        <f t="shared" si="487"/>
        <v>0</v>
      </c>
      <c r="N715" s="16">
        <f>'БА в тыс. руб.'!I715*1000</f>
        <v>180000</v>
      </c>
      <c r="O715" s="169">
        <f t="shared" si="488"/>
        <v>0</v>
      </c>
      <c r="P715" s="16"/>
      <c r="Q715" s="16"/>
      <c r="R715" s="16"/>
      <c r="S715" s="16"/>
      <c r="T715" s="16"/>
      <c r="U715" s="16"/>
    </row>
    <row r="716" spans="1:21" s="30" customFormat="1" ht="38.25">
      <c r="A716" s="11" t="s">
        <v>164</v>
      </c>
      <c r="B716" s="25" t="s">
        <v>26</v>
      </c>
      <c r="C716" s="26" t="s">
        <v>71</v>
      </c>
      <c r="D716" s="26" t="s">
        <v>71</v>
      </c>
      <c r="E716" s="26" t="s">
        <v>465</v>
      </c>
      <c r="F716" s="26" t="s">
        <v>58</v>
      </c>
      <c r="G716" s="27">
        <f t="shared" si="491"/>
        <v>180000</v>
      </c>
      <c r="H716" s="27">
        <f t="shared" si="491"/>
        <v>180000</v>
      </c>
      <c r="I716" s="27">
        <f t="shared" si="491"/>
        <v>180000</v>
      </c>
      <c r="J716" s="16">
        <f>'БА в тыс. руб.'!G716*1000</f>
        <v>180000</v>
      </c>
      <c r="K716" s="169">
        <f t="shared" si="486"/>
        <v>0</v>
      </c>
      <c r="L716" s="16">
        <f>'БА в тыс. руб.'!H716*1000</f>
        <v>180000</v>
      </c>
      <c r="M716" s="169">
        <f t="shared" si="487"/>
        <v>0</v>
      </c>
      <c r="N716" s="16">
        <f>'БА в тыс. руб.'!I716*1000</f>
        <v>180000</v>
      </c>
      <c r="O716" s="169">
        <f t="shared" si="488"/>
        <v>0</v>
      </c>
      <c r="P716" s="16"/>
      <c r="Q716" s="16"/>
      <c r="R716" s="16"/>
      <c r="S716" s="16"/>
      <c r="T716" s="16"/>
      <c r="U716" s="16"/>
    </row>
    <row r="717" spans="1:21" s="30" customFormat="1">
      <c r="A717" s="13" t="s">
        <v>92</v>
      </c>
      <c r="B717" s="25" t="s">
        <v>26</v>
      </c>
      <c r="C717" s="26" t="s">
        <v>71</v>
      </c>
      <c r="D717" s="26" t="s">
        <v>71</v>
      </c>
      <c r="E717" s="26" t="s">
        <v>465</v>
      </c>
      <c r="F717" s="26" t="s">
        <v>138</v>
      </c>
      <c r="G717" s="27">
        <f>G718</f>
        <v>180000</v>
      </c>
      <c r="H717" s="27">
        <f t="shared" si="491"/>
        <v>180000</v>
      </c>
      <c r="I717" s="27">
        <f t="shared" si="491"/>
        <v>180000</v>
      </c>
      <c r="J717" s="16">
        <f>'БА в тыс. руб.'!G717*1000</f>
        <v>180000</v>
      </c>
      <c r="K717" s="169">
        <f t="shared" si="486"/>
        <v>0</v>
      </c>
      <c r="L717" s="16">
        <f>'БА в тыс. руб.'!H717*1000</f>
        <v>180000</v>
      </c>
      <c r="M717" s="169">
        <f t="shared" si="487"/>
        <v>0</v>
      </c>
      <c r="N717" s="16">
        <f>'БА в тыс. руб.'!I717*1000</f>
        <v>180000</v>
      </c>
      <c r="O717" s="169">
        <f t="shared" si="488"/>
        <v>0</v>
      </c>
      <c r="P717" s="16"/>
      <c r="Q717" s="16"/>
      <c r="R717" s="16"/>
      <c r="S717" s="16"/>
      <c r="T717" s="16"/>
      <c r="U717" s="16"/>
    </row>
    <row r="718" spans="1:21" s="83" customFormat="1" ht="38.25">
      <c r="A718" s="12" t="s">
        <v>1015</v>
      </c>
      <c r="B718" s="25" t="s">
        <v>26</v>
      </c>
      <c r="C718" s="26" t="s">
        <v>71</v>
      </c>
      <c r="D718" s="26" t="s">
        <v>71</v>
      </c>
      <c r="E718" s="26" t="s">
        <v>465</v>
      </c>
      <c r="F718" s="26" t="s">
        <v>67</v>
      </c>
      <c r="G718" s="27">
        <f t="shared" ref="G718" si="492">J718</f>
        <v>180000</v>
      </c>
      <c r="H718" s="27">
        <f>L718</f>
        <v>180000</v>
      </c>
      <c r="I718" s="27">
        <f>N718</f>
        <v>180000</v>
      </c>
      <c r="J718" s="16">
        <f>'БА в тыс. руб.'!G718*1000</f>
        <v>180000</v>
      </c>
      <c r="K718" s="169">
        <f t="shared" si="486"/>
        <v>0</v>
      </c>
      <c r="L718" s="16">
        <f>'БА в тыс. руб.'!H718*1000</f>
        <v>180000</v>
      </c>
      <c r="M718" s="169">
        <f t="shared" si="487"/>
        <v>0</v>
      </c>
      <c r="N718" s="16">
        <f>'БА в тыс. руб.'!I718*1000</f>
        <v>180000</v>
      </c>
      <c r="O718" s="169">
        <f t="shared" si="488"/>
        <v>0</v>
      </c>
      <c r="P718" s="16"/>
      <c r="Q718" s="16"/>
      <c r="R718" s="16"/>
      <c r="S718" s="16"/>
      <c r="T718" s="16"/>
      <c r="U718" s="16"/>
    </row>
    <row r="719" spans="1:21" s="30" customFormat="1" ht="38.25">
      <c r="A719" s="12" t="s">
        <v>466</v>
      </c>
      <c r="B719" s="25" t="s">
        <v>26</v>
      </c>
      <c r="C719" s="26" t="s">
        <v>71</v>
      </c>
      <c r="D719" s="26" t="s">
        <v>71</v>
      </c>
      <c r="E719" s="26" t="s">
        <v>467</v>
      </c>
      <c r="F719" s="26" t="s">
        <v>58</v>
      </c>
      <c r="G719" s="27">
        <f t="shared" ref="G719:I721" si="493">G720</f>
        <v>310000</v>
      </c>
      <c r="H719" s="27">
        <f t="shared" si="493"/>
        <v>310000</v>
      </c>
      <c r="I719" s="27">
        <f t="shared" si="493"/>
        <v>310000</v>
      </c>
      <c r="J719" s="16">
        <f>'БА в тыс. руб.'!G719*1000</f>
        <v>310000</v>
      </c>
      <c r="K719" s="169">
        <f t="shared" si="486"/>
        <v>0</v>
      </c>
      <c r="L719" s="16">
        <f>'БА в тыс. руб.'!H719*1000</f>
        <v>310000</v>
      </c>
      <c r="M719" s="169">
        <f t="shared" si="487"/>
        <v>0</v>
      </c>
      <c r="N719" s="16">
        <f>'БА в тыс. руб.'!I719*1000</f>
        <v>310000</v>
      </c>
      <c r="O719" s="169">
        <f t="shared" si="488"/>
        <v>0</v>
      </c>
      <c r="P719" s="16"/>
      <c r="Q719" s="16"/>
      <c r="R719" s="16"/>
      <c r="S719" s="16"/>
      <c r="T719" s="16"/>
      <c r="U719" s="16"/>
    </row>
    <row r="720" spans="1:21" s="30" customFormat="1" ht="38.25">
      <c r="A720" s="11" t="s">
        <v>164</v>
      </c>
      <c r="B720" s="25" t="s">
        <v>26</v>
      </c>
      <c r="C720" s="26" t="s">
        <v>71</v>
      </c>
      <c r="D720" s="26" t="s">
        <v>71</v>
      </c>
      <c r="E720" s="26" t="s">
        <v>468</v>
      </c>
      <c r="F720" s="26" t="s">
        <v>58</v>
      </c>
      <c r="G720" s="27">
        <f t="shared" si="493"/>
        <v>310000</v>
      </c>
      <c r="H720" s="27">
        <f t="shared" si="493"/>
        <v>310000</v>
      </c>
      <c r="I720" s="27">
        <f t="shared" si="493"/>
        <v>310000</v>
      </c>
      <c r="J720" s="16">
        <f>'БА в тыс. руб.'!G720*1000</f>
        <v>310000</v>
      </c>
      <c r="K720" s="169">
        <f t="shared" si="486"/>
        <v>0</v>
      </c>
      <c r="L720" s="16">
        <f>'БА в тыс. руб.'!H720*1000</f>
        <v>310000</v>
      </c>
      <c r="M720" s="169">
        <f t="shared" si="487"/>
        <v>0</v>
      </c>
      <c r="N720" s="16">
        <f>'БА в тыс. руб.'!I720*1000</f>
        <v>310000</v>
      </c>
      <c r="O720" s="169">
        <f t="shared" si="488"/>
        <v>0</v>
      </c>
      <c r="P720" s="16"/>
      <c r="Q720" s="16"/>
      <c r="R720" s="16"/>
      <c r="S720" s="16"/>
      <c r="T720" s="16"/>
      <c r="U720" s="16"/>
    </row>
    <row r="721" spans="1:21" s="30" customFormat="1">
      <c r="A721" s="13" t="s">
        <v>92</v>
      </c>
      <c r="B721" s="25" t="s">
        <v>26</v>
      </c>
      <c r="C721" s="26" t="s">
        <v>71</v>
      </c>
      <c r="D721" s="26" t="s">
        <v>71</v>
      </c>
      <c r="E721" s="26" t="s">
        <v>468</v>
      </c>
      <c r="F721" s="26" t="s">
        <v>138</v>
      </c>
      <c r="G721" s="27">
        <f>G722</f>
        <v>310000</v>
      </c>
      <c r="H721" s="27">
        <f t="shared" si="493"/>
        <v>310000</v>
      </c>
      <c r="I721" s="27">
        <f t="shared" si="493"/>
        <v>310000</v>
      </c>
      <c r="J721" s="16">
        <f>'БА в тыс. руб.'!G721*1000</f>
        <v>310000</v>
      </c>
      <c r="K721" s="169">
        <f t="shared" si="486"/>
        <v>0</v>
      </c>
      <c r="L721" s="16">
        <f>'БА в тыс. руб.'!H721*1000</f>
        <v>310000</v>
      </c>
      <c r="M721" s="169">
        <f t="shared" si="487"/>
        <v>0</v>
      </c>
      <c r="N721" s="16">
        <f>'БА в тыс. руб.'!I721*1000</f>
        <v>310000</v>
      </c>
      <c r="O721" s="169">
        <f t="shared" si="488"/>
        <v>0</v>
      </c>
      <c r="P721" s="16"/>
      <c r="Q721" s="16"/>
      <c r="R721" s="16"/>
      <c r="S721" s="16"/>
      <c r="T721" s="16"/>
      <c r="U721" s="16"/>
    </row>
    <row r="722" spans="1:21" s="83" customFormat="1" ht="38.25">
      <c r="A722" s="12" t="s">
        <v>1015</v>
      </c>
      <c r="B722" s="25" t="s">
        <v>26</v>
      </c>
      <c r="C722" s="26" t="s">
        <v>71</v>
      </c>
      <c r="D722" s="26" t="s">
        <v>71</v>
      </c>
      <c r="E722" s="26" t="s">
        <v>468</v>
      </c>
      <c r="F722" s="26" t="s">
        <v>67</v>
      </c>
      <c r="G722" s="27">
        <f t="shared" ref="G722" si="494">J722</f>
        <v>310000</v>
      </c>
      <c r="H722" s="27">
        <f>L722</f>
        <v>310000</v>
      </c>
      <c r="I722" s="27">
        <f>N722</f>
        <v>310000</v>
      </c>
      <c r="J722" s="16">
        <f>'БА в тыс. руб.'!G722*1000</f>
        <v>310000</v>
      </c>
      <c r="K722" s="169">
        <f t="shared" si="486"/>
        <v>0</v>
      </c>
      <c r="L722" s="16">
        <f>'БА в тыс. руб.'!H722*1000</f>
        <v>310000</v>
      </c>
      <c r="M722" s="169">
        <f t="shared" si="487"/>
        <v>0</v>
      </c>
      <c r="N722" s="16">
        <f>'БА в тыс. руб.'!I722*1000</f>
        <v>310000</v>
      </c>
      <c r="O722" s="169">
        <f t="shared" si="488"/>
        <v>0</v>
      </c>
      <c r="P722" s="16"/>
      <c r="Q722" s="16"/>
      <c r="R722" s="16"/>
      <c r="S722" s="16"/>
      <c r="T722" s="16"/>
      <c r="U722" s="16"/>
    </row>
    <row r="723" spans="1:21" s="30" customFormat="1" ht="38.25">
      <c r="A723" s="12" t="s">
        <v>469</v>
      </c>
      <c r="B723" s="25" t="s">
        <v>26</v>
      </c>
      <c r="C723" s="26" t="s">
        <v>71</v>
      </c>
      <c r="D723" s="26" t="s">
        <v>71</v>
      </c>
      <c r="E723" s="26" t="s">
        <v>470</v>
      </c>
      <c r="F723" s="26" t="s">
        <v>58</v>
      </c>
      <c r="G723" s="27">
        <f t="shared" ref="G723:I725" si="495">G724</f>
        <v>429350</v>
      </c>
      <c r="H723" s="27">
        <f t="shared" si="495"/>
        <v>25540</v>
      </c>
      <c r="I723" s="27">
        <f t="shared" si="495"/>
        <v>25540</v>
      </c>
      <c r="J723" s="16">
        <f>'БА в тыс. руб.'!G723*1000</f>
        <v>429350</v>
      </c>
      <c r="K723" s="169">
        <f t="shared" si="486"/>
        <v>0</v>
      </c>
      <c r="L723" s="16">
        <f>'БА в тыс. руб.'!H723*1000</f>
        <v>25540</v>
      </c>
      <c r="M723" s="169">
        <f t="shared" si="487"/>
        <v>0</v>
      </c>
      <c r="N723" s="16">
        <f>'БА в тыс. руб.'!I723*1000</f>
        <v>25540</v>
      </c>
      <c r="O723" s="169">
        <f t="shared" si="488"/>
        <v>0</v>
      </c>
      <c r="P723" s="16"/>
      <c r="Q723" s="16"/>
      <c r="R723" s="16"/>
      <c r="S723" s="16"/>
      <c r="T723" s="16"/>
      <c r="U723" s="16"/>
    </row>
    <row r="724" spans="1:21" s="30" customFormat="1" ht="38.25">
      <c r="A724" s="11" t="s">
        <v>164</v>
      </c>
      <c r="B724" s="25" t="s">
        <v>26</v>
      </c>
      <c r="C724" s="26" t="s">
        <v>71</v>
      </c>
      <c r="D724" s="26" t="s">
        <v>71</v>
      </c>
      <c r="E724" s="26" t="s">
        <v>471</v>
      </c>
      <c r="F724" s="26" t="s">
        <v>58</v>
      </c>
      <c r="G724" s="27">
        <f t="shared" si="495"/>
        <v>429350</v>
      </c>
      <c r="H724" s="27">
        <f t="shared" si="495"/>
        <v>25540</v>
      </c>
      <c r="I724" s="27">
        <f t="shared" si="495"/>
        <v>25540</v>
      </c>
      <c r="J724" s="16">
        <f>'БА в тыс. руб.'!G724*1000</f>
        <v>429350</v>
      </c>
      <c r="K724" s="169">
        <f t="shared" si="486"/>
        <v>0</v>
      </c>
      <c r="L724" s="16">
        <f>'БА в тыс. руб.'!H724*1000</f>
        <v>25540</v>
      </c>
      <c r="M724" s="169">
        <f t="shared" si="487"/>
        <v>0</v>
      </c>
      <c r="N724" s="16">
        <f>'БА в тыс. руб.'!I724*1000</f>
        <v>25540</v>
      </c>
      <c r="O724" s="169">
        <f t="shared" si="488"/>
        <v>0</v>
      </c>
      <c r="P724" s="16"/>
      <c r="Q724" s="16"/>
      <c r="R724" s="16"/>
      <c r="S724" s="16"/>
      <c r="T724" s="16"/>
      <c r="U724" s="16"/>
    </row>
    <row r="725" spans="1:21" s="30" customFormat="1">
      <c r="A725" s="13" t="s">
        <v>92</v>
      </c>
      <c r="B725" s="25" t="s">
        <v>26</v>
      </c>
      <c r="C725" s="26" t="s">
        <v>71</v>
      </c>
      <c r="D725" s="26" t="s">
        <v>71</v>
      </c>
      <c r="E725" s="26" t="s">
        <v>471</v>
      </c>
      <c r="F725" s="26" t="s">
        <v>138</v>
      </c>
      <c r="G725" s="27">
        <f>G726</f>
        <v>429350</v>
      </c>
      <c r="H725" s="27">
        <f t="shared" si="495"/>
        <v>25540</v>
      </c>
      <c r="I725" s="27">
        <f t="shared" si="495"/>
        <v>25540</v>
      </c>
      <c r="J725" s="16">
        <f>'БА в тыс. руб.'!G725*1000</f>
        <v>429350</v>
      </c>
      <c r="K725" s="169">
        <f t="shared" si="486"/>
        <v>0</v>
      </c>
      <c r="L725" s="16">
        <f>'БА в тыс. руб.'!H725*1000</f>
        <v>25540</v>
      </c>
      <c r="M725" s="169">
        <f t="shared" si="487"/>
        <v>0</v>
      </c>
      <c r="N725" s="16">
        <f>'БА в тыс. руб.'!I725*1000</f>
        <v>25540</v>
      </c>
      <c r="O725" s="169">
        <f t="shared" si="488"/>
        <v>0</v>
      </c>
      <c r="P725" s="16"/>
      <c r="Q725" s="16"/>
      <c r="R725" s="16"/>
      <c r="S725" s="16"/>
      <c r="T725" s="16"/>
      <c r="U725" s="16"/>
    </row>
    <row r="726" spans="1:21" s="83" customFormat="1" ht="38.25">
      <c r="A726" s="12" t="s">
        <v>1015</v>
      </c>
      <c r="B726" s="25" t="s">
        <v>26</v>
      </c>
      <c r="C726" s="26" t="s">
        <v>71</v>
      </c>
      <c r="D726" s="26" t="s">
        <v>71</v>
      </c>
      <c r="E726" s="26" t="s">
        <v>471</v>
      </c>
      <c r="F726" s="26" t="s">
        <v>67</v>
      </c>
      <c r="G726" s="27">
        <f t="shared" ref="G726" si="496">J726</f>
        <v>429350</v>
      </c>
      <c r="H726" s="27">
        <f>L726</f>
        <v>25540</v>
      </c>
      <c r="I726" s="27">
        <f>N726</f>
        <v>25540</v>
      </c>
      <c r="J726" s="16">
        <f>'БА в тыс. руб.'!G726*1000</f>
        <v>429350</v>
      </c>
      <c r="K726" s="169">
        <f t="shared" si="486"/>
        <v>0</v>
      </c>
      <c r="L726" s="16">
        <f>'БА в тыс. руб.'!H726*1000</f>
        <v>25540</v>
      </c>
      <c r="M726" s="169">
        <f t="shared" si="487"/>
        <v>0</v>
      </c>
      <c r="N726" s="16">
        <f>'БА в тыс. руб.'!I726*1000</f>
        <v>25540</v>
      </c>
      <c r="O726" s="169">
        <f t="shared" si="488"/>
        <v>0</v>
      </c>
      <c r="P726" s="16"/>
      <c r="Q726" s="16"/>
      <c r="R726" s="16"/>
      <c r="S726" s="16"/>
      <c r="T726" s="16"/>
      <c r="U726" s="16"/>
    </row>
    <row r="727" spans="1:21" s="30" customFormat="1" ht="25.5">
      <c r="A727" s="12" t="s">
        <v>472</v>
      </c>
      <c r="B727" s="25" t="s">
        <v>26</v>
      </c>
      <c r="C727" s="26" t="s">
        <v>71</v>
      </c>
      <c r="D727" s="26" t="s">
        <v>71</v>
      </c>
      <c r="E727" s="26" t="s">
        <v>473</v>
      </c>
      <c r="F727" s="26" t="s">
        <v>58</v>
      </c>
      <c r="G727" s="27">
        <f t="shared" ref="G727:I729" si="497">G728</f>
        <v>2755660</v>
      </c>
      <c r="H727" s="27">
        <f t="shared" si="497"/>
        <v>2755660</v>
      </c>
      <c r="I727" s="27">
        <f t="shared" si="497"/>
        <v>2755660</v>
      </c>
      <c r="J727" s="16">
        <f>'БА в тыс. руб.'!G727*1000</f>
        <v>2755660</v>
      </c>
      <c r="K727" s="169">
        <f t="shared" si="486"/>
        <v>0</v>
      </c>
      <c r="L727" s="16">
        <f>'БА в тыс. руб.'!H727*1000</f>
        <v>2755660</v>
      </c>
      <c r="M727" s="169">
        <f t="shared" si="487"/>
        <v>0</v>
      </c>
      <c r="N727" s="16">
        <f>'БА в тыс. руб.'!I727*1000</f>
        <v>2755660</v>
      </c>
      <c r="O727" s="169">
        <f t="shared" si="488"/>
        <v>0</v>
      </c>
      <c r="P727" s="16"/>
      <c r="Q727" s="16"/>
      <c r="R727" s="16"/>
      <c r="S727" s="16"/>
      <c r="T727" s="16"/>
      <c r="U727" s="16"/>
    </row>
    <row r="728" spans="1:21" s="30" customFormat="1" ht="25.5">
      <c r="A728" s="39" t="s">
        <v>247</v>
      </c>
      <c r="B728" s="25" t="s">
        <v>26</v>
      </c>
      <c r="C728" s="26" t="s">
        <v>71</v>
      </c>
      <c r="D728" s="26" t="s">
        <v>71</v>
      </c>
      <c r="E728" s="26" t="s">
        <v>474</v>
      </c>
      <c r="F728" s="26" t="s">
        <v>58</v>
      </c>
      <c r="G728" s="27">
        <f t="shared" si="497"/>
        <v>2755660</v>
      </c>
      <c r="H728" s="27">
        <f t="shared" si="497"/>
        <v>2755660</v>
      </c>
      <c r="I728" s="27">
        <f t="shared" si="497"/>
        <v>2755660</v>
      </c>
      <c r="J728" s="16">
        <f>'БА в тыс. руб.'!G728*1000</f>
        <v>2755660</v>
      </c>
      <c r="K728" s="169">
        <f t="shared" si="486"/>
        <v>0</v>
      </c>
      <c r="L728" s="16">
        <f>'БА в тыс. руб.'!H728*1000</f>
        <v>2755660</v>
      </c>
      <c r="M728" s="169">
        <f t="shared" si="487"/>
        <v>0</v>
      </c>
      <c r="N728" s="16">
        <f>'БА в тыс. руб.'!I728*1000</f>
        <v>2755660</v>
      </c>
      <c r="O728" s="169">
        <f t="shared" si="488"/>
        <v>0</v>
      </c>
      <c r="P728" s="16"/>
      <c r="Q728" s="16"/>
      <c r="R728" s="16"/>
      <c r="S728" s="16"/>
      <c r="T728" s="16"/>
      <c r="U728" s="16"/>
    </row>
    <row r="729" spans="1:21" s="30" customFormat="1">
      <c r="A729" s="13" t="s">
        <v>92</v>
      </c>
      <c r="B729" s="25" t="s">
        <v>26</v>
      </c>
      <c r="C729" s="26" t="s">
        <v>71</v>
      </c>
      <c r="D729" s="26" t="s">
        <v>71</v>
      </c>
      <c r="E729" s="26" t="s">
        <v>474</v>
      </c>
      <c r="F729" s="26" t="s">
        <v>138</v>
      </c>
      <c r="G729" s="27">
        <f>G730</f>
        <v>2755660</v>
      </c>
      <c r="H729" s="27">
        <f t="shared" si="497"/>
        <v>2755660</v>
      </c>
      <c r="I729" s="27">
        <f t="shared" si="497"/>
        <v>2755660</v>
      </c>
      <c r="J729" s="16">
        <f>'БА в тыс. руб.'!G729*1000</f>
        <v>2755660</v>
      </c>
      <c r="K729" s="169">
        <f t="shared" si="486"/>
        <v>0</v>
      </c>
      <c r="L729" s="16">
        <f>'БА в тыс. руб.'!H729*1000</f>
        <v>2755660</v>
      </c>
      <c r="M729" s="169">
        <f t="shared" si="487"/>
        <v>0</v>
      </c>
      <c r="N729" s="16">
        <f>'БА в тыс. руб.'!I729*1000</f>
        <v>2755660</v>
      </c>
      <c r="O729" s="169">
        <f t="shared" si="488"/>
        <v>0</v>
      </c>
      <c r="P729" s="16"/>
      <c r="Q729" s="16"/>
      <c r="R729" s="16"/>
      <c r="S729" s="16"/>
      <c r="T729" s="16"/>
      <c r="U729" s="16"/>
    </row>
    <row r="730" spans="1:21" s="83" customFormat="1" ht="38.25">
      <c r="A730" s="12" t="s">
        <v>1015</v>
      </c>
      <c r="B730" s="25" t="s">
        <v>26</v>
      </c>
      <c r="C730" s="26" t="s">
        <v>71</v>
      </c>
      <c r="D730" s="26" t="s">
        <v>71</v>
      </c>
      <c r="E730" s="26" t="s">
        <v>474</v>
      </c>
      <c r="F730" s="26" t="s">
        <v>67</v>
      </c>
      <c r="G730" s="27">
        <f t="shared" ref="G730" si="498">J730</f>
        <v>2755660</v>
      </c>
      <c r="H730" s="27">
        <f>L730</f>
        <v>2755660</v>
      </c>
      <c r="I730" s="27">
        <f>N730</f>
        <v>2755660</v>
      </c>
      <c r="J730" s="16">
        <f>'БА в тыс. руб.'!G730*1000</f>
        <v>2755660</v>
      </c>
      <c r="K730" s="169">
        <f t="shared" si="486"/>
        <v>0</v>
      </c>
      <c r="L730" s="16">
        <f>'БА в тыс. руб.'!H730*1000</f>
        <v>2755660</v>
      </c>
      <c r="M730" s="169">
        <f t="shared" si="487"/>
        <v>0</v>
      </c>
      <c r="N730" s="16">
        <f>'БА в тыс. руб.'!I730*1000</f>
        <v>2755660</v>
      </c>
      <c r="O730" s="169">
        <f t="shared" si="488"/>
        <v>0</v>
      </c>
      <c r="P730" s="16"/>
      <c r="Q730" s="16"/>
      <c r="R730" s="16"/>
      <c r="S730" s="16"/>
      <c r="T730" s="16"/>
      <c r="U730" s="16"/>
    </row>
    <row r="731" spans="1:21" s="3" customFormat="1">
      <c r="A731" s="17" t="s">
        <v>83</v>
      </c>
      <c r="B731" s="18" t="s">
        <v>26</v>
      </c>
      <c r="C731" s="19" t="s">
        <v>50</v>
      </c>
      <c r="D731" s="19" t="s">
        <v>51</v>
      </c>
      <c r="E731" s="19" t="s">
        <v>196</v>
      </c>
      <c r="F731" s="19" t="s">
        <v>58</v>
      </c>
      <c r="G731" s="20">
        <f>G732+G793</f>
        <v>254929920</v>
      </c>
      <c r="H731" s="20">
        <f>H732+H793</f>
        <v>164716100</v>
      </c>
      <c r="I731" s="20">
        <f>I732+I793</f>
        <v>162120140</v>
      </c>
      <c r="J731" s="16">
        <f>'БА в тыс. руб.'!G731*1000</f>
        <v>254929919.99999997</v>
      </c>
      <c r="K731" s="169">
        <f t="shared" si="486"/>
        <v>0</v>
      </c>
      <c r="L731" s="16">
        <f>'БА в тыс. руб.'!H731*1000</f>
        <v>164716099.99999997</v>
      </c>
      <c r="M731" s="169">
        <f t="shared" si="487"/>
        <v>0</v>
      </c>
      <c r="N731" s="16">
        <f>'БА в тыс. руб.'!I731*1000</f>
        <v>162120139.99999997</v>
      </c>
      <c r="O731" s="169">
        <f t="shared" si="488"/>
        <v>0</v>
      </c>
      <c r="P731" s="16"/>
      <c r="Q731" s="16"/>
      <c r="R731" s="16"/>
      <c r="S731" s="16"/>
      <c r="T731" s="16"/>
      <c r="U731" s="16"/>
    </row>
    <row r="732" spans="1:21" s="3" customFormat="1">
      <c r="A732" s="21" t="s">
        <v>27</v>
      </c>
      <c r="B732" s="22" t="s">
        <v>26</v>
      </c>
      <c r="C732" s="23" t="s">
        <v>50</v>
      </c>
      <c r="D732" s="23" t="s">
        <v>65</v>
      </c>
      <c r="E732" s="23" t="s">
        <v>196</v>
      </c>
      <c r="F732" s="23" t="s">
        <v>58</v>
      </c>
      <c r="G732" s="24">
        <f>G733+G787+G781</f>
        <v>241327480</v>
      </c>
      <c r="H732" s="24">
        <f>H733+H787+H781</f>
        <v>151105640</v>
      </c>
      <c r="I732" s="24">
        <f>I733+I787+I781</f>
        <v>148509680</v>
      </c>
      <c r="J732" s="16">
        <f>'БА в тыс. руб.'!G732*1000</f>
        <v>241327479.99999997</v>
      </c>
      <c r="K732" s="169">
        <f t="shared" si="486"/>
        <v>0</v>
      </c>
      <c r="L732" s="16">
        <f>'БА в тыс. руб.'!H732*1000</f>
        <v>151105639.99999997</v>
      </c>
      <c r="M732" s="169">
        <f t="shared" si="487"/>
        <v>0</v>
      </c>
      <c r="N732" s="16">
        <f>'БА в тыс. руб.'!I732*1000</f>
        <v>148509680</v>
      </c>
      <c r="O732" s="169">
        <f t="shared" si="488"/>
        <v>0</v>
      </c>
      <c r="P732" s="16"/>
      <c r="Q732" s="16"/>
      <c r="R732" s="16"/>
      <c r="S732" s="16"/>
      <c r="T732" s="16"/>
      <c r="U732" s="16"/>
    </row>
    <row r="733" spans="1:21" s="3" customFormat="1">
      <c r="A733" s="11" t="s">
        <v>739</v>
      </c>
      <c r="B733" s="25" t="s">
        <v>26</v>
      </c>
      <c r="C733" s="26" t="s">
        <v>50</v>
      </c>
      <c r="D733" s="26" t="s">
        <v>65</v>
      </c>
      <c r="E733" s="26" t="s">
        <v>277</v>
      </c>
      <c r="F733" s="26" t="s">
        <v>58</v>
      </c>
      <c r="G733" s="27">
        <f>G734+G741</f>
        <v>240590120</v>
      </c>
      <c r="H733" s="27">
        <f>H734+H741</f>
        <v>150481290</v>
      </c>
      <c r="I733" s="27">
        <f>I734+I741</f>
        <v>147885330</v>
      </c>
      <c r="J733" s="16">
        <f>'БА в тыс. руб.'!G733*1000</f>
        <v>240590120</v>
      </c>
      <c r="K733" s="169">
        <f t="shared" si="486"/>
        <v>0</v>
      </c>
      <c r="L733" s="16">
        <f>'БА в тыс. руб.'!H733*1000</f>
        <v>150481289.99999997</v>
      </c>
      <c r="M733" s="169">
        <f t="shared" si="487"/>
        <v>0</v>
      </c>
      <c r="N733" s="16">
        <f>'БА в тыс. руб.'!I733*1000</f>
        <v>147885330</v>
      </c>
      <c r="O733" s="169">
        <f t="shared" si="488"/>
        <v>0</v>
      </c>
      <c r="P733" s="16"/>
      <c r="Q733" s="16"/>
      <c r="R733" s="16"/>
      <c r="S733" s="16"/>
      <c r="T733" s="16"/>
      <c r="U733" s="16"/>
    </row>
    <row r="734" spans="1:21" s="3" customFormat="1" ht="51">
      <c r="A734" s="11" t="s">
        <v>191</v>
      </c>
      <c r="B734" s="25" t="s">
        <v>26</v>
      </c>
      <c r="C734" s="26" t="s">
        <v>50</v>
      </c>
      <c r="D734" s="26" t="s">
        <v>65</v>
      </c>
      <c r="E734" s="26" t="s">
        <v>278</v>
      </c>
      <c r="F734" s="26" t="s">
        <v>58</v>
      </c>
      <c r="G734" s="27">
        <f t="shared" ref="G734:I735" si="499">G735</f>
        <v>5593500</v>
      </c>
      <c r="H734" s="27">
        <f t="shared" si="499"/>
        <v>4973000</v>
      </c>
      <c r="I734" s="27">
        <f t="shared" si="499"/>
        <v>4973000</v>
      </c>
      <c r="J734" s="16">
        <f>'БА в тыс. руб.'!G734*1000</f>
        <v>5593500</v>
      </c>
      <c r="K734" s="169">
        <f t="shared" si="486"/>
        <v>0</v>
      </c>
      <c r="L734" s="16">
        <f>'БА в тыс. руб.'!H734*1000</f>
        <v>4973000</v>
      </c>
      <c r="M734" s="169">
        <f t="shared" si="487"/>
        <v>0</v>
      </c>
      <c r="N734" s="16">
        <f>'БА в тыс. руб.'!I734*1000</f>
        <v>4973000</v>
      </c>
      <c r="O734" s="169">
        <f t="shared" si="488"/>
        <v>0</v>
      </c>
      <c r="P734" s="16"/>
      <c r="Q734" s="16"/>
      <c r="R734" s="16"/>
      <c r="S734" s="16"/>
      <c r="T734" s="16"/>
      <c r="U734" s="16"/>
    </row>
    <row r="735" spans="1:21" s="3" customFormat="1" ht="63.75">
      <c r="A735" s="11" t="s">
        <v>605</v>
      </c>
      <c r="B735" s="25" t="s">
        <v>26</v>
      </c>
      <c r="C735" s="26" t="s">
        <v>50</v>
      </c>
      <c r="D735" s="26" t="s">
        <v>65</v>
      </c>
      <c r="E735" s="26" t="s">
        <v>279</v>
      </c>
      <c r="F735" s="26" t="s">
        <v>58</v>
      </c>
      <c r="G735" s="27">
        <f t="shared" si="499"/>
        <v>5593500</v>
      </c>
      <c r="H735" s="27">
        <f t="shared" si="499"/>
        <v>4973000</v>
      </c>
      <c r="I735" s="27">
        <f t="shared" si="499"/>
        <v>4973000</v>
      </c>
      <c r="J735" s="16">
        <f>'БА в тыс. руб.'!G735*1000</f>
        <v>5593500</v>
      </c>
      <c r="K735" s="169">
        <f t="shared" si="486"/>
        <v>0</v>
      </c>
      <c r="L735" s="16">
        <f>'БА в тыс. руб.'!H735*1000</f>
        <v>4973000</v>
      </c>
      <c r="M735" s="169">
        <f t="shared" si="487"/>
        <v>0</v>
      </c>
      <c r="N735" s="16">
        <f>'БА в тыс. руб.'!I735*1000</f>
        <v>4973000</v>
      </c>
      <c r="O735" s="169">
        <f t="shared" si="488"/>
        <v>0</v>
      </c>
      <c r="P735" s="16"/>
      <c r="Q735" s="16"/>
      <c r="R735" s="16"/>
      <c r="S735" s="16"/>
      <c r="T735" s="16"/>
      <c r="U735" s="16"/>
    </row>
    <row r="736" spans="1:21" s="3" customFormat="1" ht="25.5">
      <c r="A736" s="11" t="s">
        <v>161</v>
      </c>
      <c r="B736" s="25" t="s">
        <v>26</v>
      </c>
      <c r="C736" s="26" t="s">
        <v>50</v>
      </c>
      <c r="D736" s="26" t="s">
        <v>65</v>
      </c>
      <c r="E736" s="26" t="s">
        <v>320</v>
      </c>
      <c r="F736" s="26" t="s">
        <v>58</v>
      </c>
      <c r="G736" s="27">
        <f>G737+G739</f>
        <v>5593500</v>
      </c>
      <c r="H736" s="27">
        <f>H737+H739</f>
        <v>4973000</v>
      </c>
      <c r="I736" s="27">
        <f>I737+I739</f>
        <v>4973000</v>
      </c>
      <c r="J736" s="16">
        <f>'БА в тыс. руб.'!G736*1000</f>
        <v>5593500</v>
      </c>
      <c r="K736" s="169">
        <f t="shared" si="486"/>
        <v>0</v>
      </c>
      <c r="L736" s="16">
        <f>'БА в тыс. руб.'!H736*1000</f>
        <v>4973000</v>
      </c>
      <c r="M736" s="169">
        <f t="shared" si="487"/>
        <v>0</v>
      </c>
      <c r="N736" s="16">
        <f>'БА в тыс. руб.'!I736*1000</f>
        <v>4973000</v>
      </c>
      <c r="O736" s="169">
        <f t="shared" si="488"/>
        <v>0</v>
      </c>
      <c r="P736" s="16"/>
      <c r="Q736" s="16"/>
      <c r="R736" s="16"/>
      <c r="S736" s="16"/>
      <c r="T736" s="16"/>
      <c r="U736" s="16"/>
    </row>
    <row r="737" spans="1:21" s="3" customFormat="1">
      <c r="A737" s="13" t="s">
        <v>92</v>
      </c>
      <c r="B737" s="25" t="s">
        <v>26</v>
      </c>
      <c r="C737" s="26" t="s">
        <v>50</v>
      </c>
      <c r="D737" s="26" t="s">
        <v>65</v>
      </c>
      <c r="E737" s="26" t="s">
        <v>320</v>
      </c>
      <c r="F737" s="26" t="s">
        <v>138</v>
      </c>
      <c r="G737" s="27">
        <f>G738</f>
        <v>3642500</v>
      </c>
      <c r="H737" s="27">
        <f t="shared" ref="H737:I737" si="500">H738</f>
        <v>3642500</v>
      </c>
      <c r="I737" s="27">
        <f t="shared" si="500"/>
        <v>3642500</v>
      </c>
      <c r="J737" s="16">
        <f>'БА в тыс. руб.'!G737*1000</f>
        <v>3642500</v>
      </c>
      <c r="K737" s="169">
        <f t="shared" si="486"/>
        <v>0</v>
      </c>
      <c r="L737" s="16">
        <f>'БА в тыс. руб.'!H737*1000</f>
        <v>3642500</v>
      </c>
      <c r="M737" s="169">
        <f t="shared" si="487"/>
        <v>0</v>
      </c>
      <c r="N737" s="16">
        <f>'БА в тыс. руб.'!I737*1000</f>
        <v>3642500</v>
      </c>
      <c r="O737" s="169">
        <f t="shared" si="488"/>
        <v>0</v>
      </c>
      <c r="P737" s="16"/>
      <c r="Q737" s="16"/>
      <c r="R737" s="16"/>
      <c r="S737" s="16"/>
      <c r="T737" s="16"/>
      <c r="U737" s="16"/>
    </row>
    <row r="738" spans="1:21" s="4" customFormat="1" ht="38.25">
      <c r="A738" s="12" t="s">
        <v>1015</v>
      </c>
      <c r="B738" s="25" t="s">
        <v>26</v>
      </c>
      <c r="C738" s="26" t="s">
        <v>50</v>
      </c>
      <c r="D738" s="26" t="s">
        <v>65</v>
      </c>
      <c r="E738" s="26" t="s">
        <v>320</v>
      </c>
      <c r="F738" s="26" t="s">
        <v>67</v>
      </c>
      <c r="G738" s="27">
        <f t="shared" ref="G738" si="501">J738</f>
        <v>3642500</v>
      </c>
      <c r="H738" s="27">
        <f>L738</f>
        <v>3642500</v>
      </c>
      <c r="I738" s="27">
        <f>N738</f>
        <v>3642500</v>
      </c>
      <c r="J738" s="16">
        <f>'БА в тыс. руб.'!G738*1000</f>
        <v>3642500</v>
      </c>
      <c r="K738" s="169">
        <f t="shared" si="486"/>
        <v>0</v>
      </c>
      <c r="L738" s="16">
        <f>'БА в тыс. руб.'!H738*1000</f>
        <v>3642500</v>
      </c>
      <c r="M738" s="169">
        <f t="shared" si="487"/>
        <v>0</v>
      </c>
      <c r="N738" s="16">
        <f>'БА в тыс. руб.'!I738*1000</f>
        <v>3642500</v>
      </c>
      <c r="O738" s="169">
        <f t="shared" si="488"/>
        <v>0</v>
      </c>
      <c r="P738" s="16"/>
      <c r="Q738" s="16"/>
      <c r="R738" s="16"/>
      <c r="S738" s="16"/>
      <c r="T738" s="16"/>
      <c r="U738" s="16"/>
    </row>
    <row r="739" spans="1:21" s="3" customFormat="1">
      <c r="A739" s="13" t="s">
        <v>93</v>
      </c>
      <c r="B739" s="25" t="s">
        <v>26</v>
      </c>
      <c r="C739" s="26" t="s">
        <v>50</v>
      </c>
      <c r="D739" s="26" t="s">
        <v>65</v>
      </c>
      <c r="E739" s="26" t="s">
        <v>320</v>
      </c>
      <c r="F739" s="26" t="s">
        <v>20</v>
      </c>
      <c r="G739" s="27">
        <f>G740</f>
        <v>1951000</v>
      </c>
      <c r="H739" s="27">
        <f t="shared" ref="H739:I739" si="502">H740</f>
        <v>1330500</v>
      </c>
      <c r="I739" s="27">
        <f t="shared" si="502"/>
        <v>1330500</v>
      </c>
      <c r="J739" s="16">
        <f>'БА в тыс. руб.'!G739*1000</f>
        <v>1951000</v>
      </c>
      <c r="K739" s="169">
        <f t="shared" si="486"/>
        <v>0</v>
      </c>
      <c r="L739" s="16">
        <f>'БА в тыс. руб.'!H739*1000</f>
        <v>1330500</v>
      </c>
      <c r="M739" s="169">
        <f t="shared" si="487"/>
        <v>0</v>
      </c>
      <c r="N739" s="16">
        <f>'БА в тыс. руб.'!I739*1000</f>
        <v>1330500</v>
      </c>
      <c r="O739" s="169">
        <f t="shared" si="488"/>
        <v>0</v>
      </c>
      <c r="P739" s="16"/>
      <c r="Q739" s="16"/>
      <c r="R739" s="16"/>
      <c r="S739" s="16"/>
      <c r="T739" s="16"/>
      <c r="U739" s="16"/>
    </row>
    <row r="740" spans="1:21" s="4" customFormat="1" ht="38.25">
      <c r="A740" s="12" t="s">
        <v>1018</v>
      </c>
      <c r="B740" s="25" t="s">
        <v>26</v>
      </c>
      <c r="C740" s="26" t="s">
        <v>50</v>
      </c>
      <c r="D740" s="26" t="s">
        <v>65</v>
      </c>
      <c r="E740" s="26" t="s">
        <v>320</v>
      </c>
      <c r="F740" s="26" t="s">
        <v>16</v>
      </c>
      <c r="G740" s="27">
        <f t="shared" ref="G740" si="503">J740</f>
        <v>1951000</v>
      </c>
      <c r="H740" s="27">
        <f>L740</f>
        <v>1330500</v>
      </c>
      <c r="I740" s="27">
        <f>N740</f>
        <v>1330500</v>
      </c>
      <c r="J740" s="16">
        <f>'БА в тыс. руб.'!G740*1000</f>
        <v>1951000</v>
      </c>
      <c r="K740" s="169">
        <f t="shared" si="486"/>
        <v>0</v>
      </c>
      <c r="L740" s="16">
        <f>'БА в тыс. руб.'!H740*1000</f>
        <v>1330500</v>
      </c>
      <c r="M740" s="169">
        <f t="shared" si="487"/>
        <v>0</v>
      </c>
      <c r="N740" s="16">
        <f>'БА в тыс. руб.'!I740*1000</f>
        <v>1330500</v>
      </c>
      <c r="O740" s="169">
        <f t="shared" si="488"/>
        <v>0</v>
      </c>
      <c r="P740" s="16"/>
      <c r="Q740" s="16"/>
      <c r="R740" s="16"/>
      <c r="S740" s="16"/>
      <c r="T740" s="16"/>
      <c r="U740" s="16"/>
    </row>
    <row r="741" spans="1:21" s="3" customFormat="1">
      <c r="A741" s="11" t="s">
        <v>140</v>
      </c>
      <c r="B741" s="25" t="s">
        <v>26</v>
      </c>
      <c r="C741" s="26" t="s">
        <v>50</v>
      </c>
      <c r="D741" s="26" t="s">
        <v>65</v>
      </c>
      <c r="E741" s="26" t="s">
        <v>372</v>
      </c>
      <c r="F741" s="26" t="s">
        <v>58</v>
      </c>
      <c r="G741" s="27">
        <f>G742+G748+G752+G759+G769+G773+G765+G777</f>
        <v>234996620</v>
      </c>
      <c r="H741" s="27">
        <f>H742+H748+H752+H759+H769+H773+H765+H777</f>
        <v>145508290</v>
      </c>
      <c r="I741" s="27">
        <f>I742+I748+I752+I759+I769+I773+I765+I777</f>
        <v>142912330</v>
      </c>
      <c r="J741" s="16">
        <f>'БА в тыс. руб.'!G741*1000</f>
        <v>234996620</v>
      </c>
      <c r="K741" s="169">
        <f t="shared" si="486"/>
        <v>0</v>
      </c>
      <c r="L741" s="16">
        <f>'БА в тыс. руб.'!H741*1000</f>
        <v>145508289.99999997</v>
      </c>
      <c r="M741" s="169">
        <f t="shared" si="487"/>
        <v>0</v>
      </c>
      <c r="N741" s="16">
        <f>'БА в тыс. руб.'!I741*1000</f>
        <v>142912330</v>
      </c>
      <c r="O741" s="169">
        <f t="shared" si="488"/>
        <v>0</v>
      </c>
      <c r="P741" s="16"/>
      <c r="Q741" s="16"/>
      <c r="R741" s="16"/>
      <c r="S741" s="16"/>
      <c r="T741" s="16"/>
      <c r="U741" s="16"/>
    </row>
    <row r="742" spans="1:21" s="3" customFormat="1" ht="25.5">
      <c r="A742" s="11" t="s">
        <v>377</v>
      </c>
      <c r="B742" s="25" t="s">
        <v>26</v>
      </c>
      <c r="C742" s="26" t="s">
        <v>50</v>
      </c>
      <c r="D742" s="26" t="s">
        <v>65</v>
      </c>
      <c r="E742" s="26" t="s">
        <v>378</v>
      </c>
      <c r="F742" s="26" t="s">
        <v>58</v>
      </c>
      <c r="G742" s="27">
        <f>G743</f>
        <v>49690560</v>
      </c>
      <c r="H742" s="27">
        <f>H743</f>
        <v>50566200</v>
      </c>
      <c r="I742" s="27">
        <f>I743</f>
        <v>50566200</v>
      </c>
      <c r="J742" s="16">
        <f>'БА в тыс. руб.'!G742*1000</f>
        <v>49690560</v>
      </c>
      <c r="K742" s="169">
        <f t="shared" si="486"/>
        <v>0</v>
      </c>
      <c r="L742" s="16">
        <f>'БА в тыс. руб.'!H742*1000</f>
        <v>50566200</v>
      </c>
      <c r="M742" s="169">
        <f t="shared" si="487"/>
        <v>0</v>
      </c>
      <c r="N742" s="16">
        <f>'БА в тыс. руб.'!I742*1000</f>
        <v>50566200</v>
      </c>
      <c r="O742" s="169">
        <f t="shared" si="488"/>
        <v>0</v>
      </c>
      <c r="P742" s="16"/>
      <c r="Q742" s="16"/>
      <c r="R742" s="16"/>
      <c r="S742" s="16"/>
      <c r="T742" s="16"/>
      <c r="U742" s="16"/>
    </row>
    <row r="743" spans="1:21" s="3" customFormat="1" ht="25.5">
      <c r="A743" s="11" t="s">
        <v>247</v>
      </c>
      <c r="B743" s="25" t="s">
        <v>26</v>
      </c>
      <c r="C743" s="26" t="s">
        <v>50</v>
      </c>
      <c r="D743" s="26" t="s">
        <v>65</v>
      </c>
      <c r="E743" s="26" t="s">
        <v>379</v>
      </c>
      <c r="F743" s="26" t="s">
        <v>58</v>
      </c>
      <c r="G743" s="27">
        <f>G744+G746</f>
        <v>49690560</v>
      </c>
      <c r="H743" s="27">
        <f>H744+H746</f>
        <v>50566200</v>
      </c>
      <c r="I743" s="27">
        <f>I744+I746</f>
        <v>50566200</v>
      </c>
      <c r="J743" s="16">
        <f>'БА в тыс. руб.'!G743*1000</f>
        <v>49690560</v>
      </c>
      <c r="K743" s="169">
        <f t="shared" si="486"/>
        <v>0</v>
      </c>
      <c r="L743" s="16">
        <f>'БА в тыс. руб.'!H743*1000</f>
        <v>50566200</v>
      </c>
      <c r="M743" s="169">
        <f t="shared" si="487"/>
        <v>0</v>
      </c>
      <c r="N743" s="16">
        <f>'БА в тыс. руб.'!I743*1000</f>
        <v>50566200</v>
      </c>
      <c r="O743" s="169">
        <f t="shared" si="488"/>
        <v>0</v>
      </c>
      <c r="P743" s="16"/>
      <c r="Q743" s="16"/>
      <c r="R743" s="16"/>
      <c r="S743" s="16"/>
      <c r="T743" s="16"/>
      <c r="U743" s="16"/>
    </row>
    <row r="744" spans="1:21" s="3" customFormat="1">
      <c r="A744" s="13" t="s">
        <v>92</v>
      </c>
      <c r="B744" s="25" t="s">
        <v>26</v>
      </c>
      <c r="C744" s="26" t="s">
        <v>50</v>
      </c>
      <c r="D744" s="26" t="s">
        <v>65</v>
      </c>
      <c r="E744" s="26" t="s">
        <v>379</v>
      </c>
      <c r="F744" s="26" t="s">
        <v>138</v>
      </c>
      <c r="G744" s="27">
        <f>G745</f>
        <v>32804000</v>
      </c>
      <c r="H744" s="27">
        <f t="shared" ref="H744:I744" si="504">H745</f>
        <v>32804000</v>
      </c>
      <c r="I744" s="27">
        <f t="shared" si="504"/>
        <v>32804000</v>
      </c>
      <c r="J744" s="16">
        <f>'БА в тыс. руб.'!G744*1000</f>
        <v>32804000</v>
      </c>
      <c r="K744" s="169">
        <f t="shared" si="486"/>
        <v>0</v>
      </c>
      <c r="L744" s="16">
        <f>'БА в тыс. руб.'!H744*1000</f>
        <v>32804000</v>
      </c>
      <c r="M744" s="169">
        <f t="shared" si="487"/>
        <v>0</v>
      </c>
      <c r="N744" s="16">
        <f>'БА в тыс. руб.'!I744*1000</f>
        <v>32804000</v>
      </c>
      <c r="O744" s="169">
        <f t="shared" si="488"/>
        <v>0</v>
      </c>
      <c r="P744" s="16"/>
      <c r="Q744" s="16"/>
      <c r="R744" s="16"/>
      <c r="S744" s="16"/>
      <c r="T744" s="16"/>
      <c r="U744" s="16"/>
    </row>
    <row r="745" spans="1:21" s="4" customFormat="1" ht="38.25">
      <c r="A745" s="12" t="s">
        <v>1015</v>
      </c>
      <c r="B745" s="25" t="s">
        <v>26</v>
      </c>
      <c r="C745" s="26" t="s">
        <v>50</v>
      </c>
      <c r="D745" s="26" t="s">
        <v>65</v>
      </c>
      <c r="E745" s="26" t="s">
        <v>379</v>
      </c>
      <c r="F745" s="26" t="s">
        <v>67</v>
      </c>
      <c r="G745" s="27">
        <f t="shared" ref="G745" si="505">J745</f>
        <v>32804000</v>
      </c>
      <c r="H745" s="27">
        <f>L745</f>
        <v>32804000</v>
      </c>
      <c r="I745" s="27">
        <f>N745</f>
        <v>32804000</v>
      </c>
      <c r="J745" s="16">
        <f>'БА в тыс. руб.'!G745*1000</f>
        <v>32804000</v>
      </c>
      <c r="K745" s="169">
        <f t="shared" si="486"/>
        <v>0</v>
      </c>
      <c r="L745" s="16">
        <f>'БА в тыс. руб.'!H745*1000</f>
        <v>32804000</v>
      </c>
      <c r="M745" s="169">
        <f t="shared" si="487"/>
        <v>0</v>
      </c>
      <c r="N745" s="16">
        <f>'БА в тыс. руб.'!I745*1000</f>
        <v>32804000</v>
      </c>
      <c r="O745" s="169">
        <f t="shared" si="488"/>
        <v>0</v>
      </c>
      <c r="P745" s="16"/>
      <c r="Q745" s="16"/>
      <c r="R745" s="16"/>
      <c r="S745" s="16"/>
      <c r="T745" s="16"/>
      <c r="U745" s="16"/>
    </row>
    <row r="746" spans="1:21" s="3" customFormat="1">
      <c r="A746" s="13" t="s">
        <v>93</v>
      </c>
      <c r="B746" s="25" t="s">
        <v>26</v>
      </c>
      <c r="C746" s="26" t="s">
        <v>50</v>
      </c>
      <c r="D746" s="26" t="s">
        <v>65</v>
      </c>
      <c r="E746" s="26" t="s">
        <v>379</v>
      </c>
      <c r="F746" s="26" t="s">
        <v>20</v>
      </c>
      <c r="G746" s="27">
        <f>G747</f>
        <v>16886560</v>
      </c>
      <c r="H746" s="27">
        <f t="shared" ref="H746:I746" si="506">H747</f>
        <v>17762200</v>
      </c>
      <c r="I746" s="27">
        <f t="shared" si="506"/>
        <v>17762200</v>
      </c>
      <c r="J746" s="16">
        <f>'БА в тыс. руб.'!G746*1000</f>
        <v>16886560</v>
      </c>
      <c r="K746" s="169">
        <f t="shared" si="486"/>
        <v>0</v>
      </c>
      <c r="L746" s="16">
        <f>'БА в тыс. руб.'!H746*1000</f>
        <v>17762200</v>
      </c>
      <c r="M746" s="169">
        <f t="shared" si="487"/>
        <v>0</v>
      </c>
      <c r="N746" s="16">
        <f>'БА в тыс. руб.'!I746*1000</f>
        <v>17762200</v>
      </c>
      <c r="O746" s="169">
        <f t="shared" si="488"/>
        <v>0</v>
      </c>
      <c r="P746" s="16"/>
      <c r="Q746" s="16"/>
      <c r="R746" s="16"/>
      <c r="S746" s="16"/>
      <c r="T746" s="16"/>
      <c r="U746" s="16"/>
    </row>
    <row r="747" spans="1:21" s="4" customFormat="1" ht="38.25">
      <c r="A747" s="12" t="s">
        <v>1018</v>
      </c>
      <c r="B747" s="25" t="s">
        <v>26</v>
      </c>
      <c r="C747" s="26" t="s">
        <v>50</v>
      </c>
      <c r="D747" s="26" t="s">
        <v>65</v>
      </c>
      <c r="E747" s="26" t="s">
        <v>379</v>
      </c>
      <c r="F747" s="26" t="s">
        <v>16</v>
      </c>
      <c r="G747" s="27">
        <f t="shared" ref="G747" si="507">J747</f>
        <v>16886560</v>
      </c>
      <c r="H747" s="27">
        <f>L747</f>
        <v>17762200</v>
      </c>
      <c r="I747" s="27">
        <f>N747</f>
        <v>17762200</v>
      </c>
      <c r="J747" s="16">
        <f>'БА в тыс. руб.'!G747*1000</f>
        <v>16886560</v>
      </c>
      <c r="K747" s="169">
        <f t="shared" si="486"/>
        <v>0</v>
      </c>
      <c r="L747" s="16">
        <f>'БА в тыс. руб.'!H747*1000</f>
        <v>17762200</v>
      </c>
      <c r="M747" s="169">
        <f t="shared" si="487"/>
        <v>0</v>
      </c>
      <c r="N747" s="16">
        <f>'БА в тыс. руб.'!I747*1000</f>
        <v>17762200</v>
      </c>
      <c r="O747" s="169">
        <f t="shared" si="488"/>
        <v>0</v>
      </c>
      <c r="P747" s="16"/>
      <c r="Q747" s="16"/>
      <c r="R747" s="16"/>
      <c r="S747" s="16"/>
      <c r="T747" s="16"/>
      <c r="U747" s="16"/>
    </row>
    <row r="748" spans="1:21" s="3" customFormat="1" ht="25.5">
      <c r="A748" s="11" t="s">
        <v>380</v>
      </c>
      <c r="B748" s="25" t="s">
        <v>26</v>
      </c>
      <c r="C748" s="26" t="s">
        <v>50</v>
      </c>
      <c r="D748" s="26" t="s">
        <v>65</v>
      </c>
      <c r="E748" s="26" t="s">
        <v>381</v>
      </c>
      <c r="F748" s="26" t="s">
        <v>58</v>
      </c>
      <c r="G748" s="27">
        <f t="shared" ref="G748:I750" si="508">G749</f>
        <v>3081380</v>
      </c>
      <c r="H748" s="27">
        <f t="shared" si="508"/>
        <v>3102840</v>
      </c>
      <c r="I748" s="27">
        <f t="shared" si="508"/>
        <v>3102840</v>
      </c>
      <c r="J748" s="16">
        <f>'БА в тыс. руб.'!G748*1000</f>
        <v>3081380</v>
      </c>
      <c r="K748" s="169">
        <f t="shared" si="486"/>
        <v>0</v>
      </c>
      <c r="L748" s="16">
        <f>'БА в тыс. руб.'!H748*1000</f>
        <v>3102840</v>
      </c>
      <c r="M748" s="169">
        <f t="shared" si="487"/>
        <v>0</v>
      </c>
      <c r="N748" s="16">
        <f>'БА в тыс. руб.'!I748*1000</f>
        <v>3102840</v>
      </c>
      <c r="O748" s="169">
        <f t="shared" si="488"/>
        <v>0</v>
      </c>
      <c r="P748" s="16"/>
      <c r="Q748" s="16"/>
      <c r="R748" s="16"/>
      <c r="S748" s="16"/>
      <c r="T748" s="16"/>
      <c r="U748" s="16"/>
    </row>
    <row r="749" spans="1:21" s="3" customFormat="1" ht="25.5">
      <c r="A749" s="11" t="s">
        <v>247</v>
      </c>
      <c r="B749" s="25" t="s">
        <v>26</v>
      </c>
      <c r="C749" s="26" t="s">
        <v>50</v>
      </c>
      <c r="D749" s="26" t="s">
        <v>65</v>
      </c>
      <c r="E749" s="26" t="s">
        <v>382</v>
      </c>
      <c r="F749" s="26" t="s">
        <v>58</v>
      </c>
      <c r="G749" s="27">
        <f t="shared" si="508"/>
        <v>3081380</v>
      </c>
      <c r="H749" s="27">
        <f t="shared" si="508"/>
        <v>3102840</v>
      </c>
      <c r="I749" s="27">
        <f t="shared" si="508"/>
        <v>3102840</v>
      </c>
      <c r="J749" s="16">
        <f>'БА в тыс. руб.'!G749*1000</f>
        <v>3081380</v>
      </c>
      <c r="K749" s="169">
        <f t="shared" si="486"/>
        <v>0</v>
      </c>
      <c r="L749" s="16">
        <f>'БА в тыс. руб.'!H749*1000</f>
        <v>3102840</v>
      </c>
      <c r="M749" s="169">
        <f t="shared" si="487"/>
        <v>0</v>
      </c>
      <c r="N749" s="16">
        <f>'БА в тыс. руб.'!I749*1000</f>
        <v>3102840</v>
      </c>
      <c r="O749" s="169">
        <f t="shared" si="488"/>
        <v>0</v>
      </c>
      <c r="P749" s="16"/>
      <c r="Q749" s="16"/>
      <c r="R749" s="16"/>
      <c r="S749" s="16"/>
      <c r="T749" s="16"/>
      <c r="U749" s="16"/>
    </row>
    <row r="750" spans="1:21" s="3" customFormat="1">
      <c r="A750" s="13" t="s">
        <v>92</v>
      </c>
      <c r="B750" s="25" t="s">
        <v>26</v>
      </c>
      <c r="C750" s="26" t="s">
        <v>50</v>
      </c>
      <c r="D750" s="26" t="s">
        <v>65</v>
      </c>
      <c r="E750" s="26" t="s">
        <v>382</v>
      </c>
      <c r="F750" s="26" t="s">
        <v>138</v>
      </c>
      <c r="G750" s="27">
        <f>G751</f>
        <v>3081380</v>
      </c>
      <c r="H750" s="27">
        <f t="shared" si="508"/>
        <v>3102840</v>
      </c>
      <c r="I750" s="27">
        <f t="shared" si="508"/>
        <v>3102840</v>
      </c>
      <c r="J750" s="16">
        <f>'БА в тыс. руб.'!G750*1000</f>
        <v>3081380</v>
      </c>
      <c r="K750" s="169">
        <f t="shared" si="486"/>
        <v>0</v>
      </c>
      <c r="L750" s="16">
        <f>'БА в тыс. руб.'!H750*1000</f>
        <v>3102840</v>
      </c>
      <c r="M750" s="169">
        <f t="shared" si="487"/>
        <v>0</v>
      </c>
      <c r="N750" s="16">
        <f>'БА в тыс. руб.'!I750*1000</f>
        <v>3102840</v>
      </c>
      <c r="O750" s="169">
        <f t="shared" si="488"/>
        <v>0</v>
      </c>
      <c r="P750" s="16"/>
      <c r="Q750" s="16"/>
      <c r="R750" s="16"/>
      <c r="S750" s="16"/>
      <c r="T750" s="16"/>
      <c r="U750" s="16"/>
    </row>
    <row r="751" spans="1:21" s="4" customFormat="1" ht="38.25">
      <c r="A751" s="12" t="s">
        <v>1015</v>
      </c>
      <c r="B751" s="25" t="s">
        <v>26</v>
      </c>
      <c r="C751" s="26" t="s">
        <v>50</v>
      </c>
      <c r="D751" s="26" t="s">
        <v>65</v>
      </c>
      <c r="E751" s="26" t="s">
        <v>382</v>
      </c>
      <c r="F751" s="26" t="s">
        <v>67</v>
      </c>
      <c r="G751" s="27">
        <f t="shared" ref="G751" si="509">J751</f>
        <v>3081380</v>
      </c>
      <c r="H751" s="27">
        <f>L751</f>
        <v>3102840</v>
      </c>
      <c r="I751" s="27">
        <f>N751</f>
        <v>3102840</v>
      </c>
      <c r="J751" s="16">
        <f>'БА в тыс. руб.'!G751*1000</f>
        <v>3081380</v>
      </c>
      <c r="K751" s="169">
        <f t="shared" si="486"/>
        <v>0</v>
      </c>
      <c r="L751" s="16">
        <f>'БА в тыс. руб.'!H751*1000</f>
        <v>3102840</v>
      </c>
      <c r="M751" s="169">
        <f t="shared" si="487"/>
        <v>0</v>
      </c>
      <c r="N751" s="16">
        <f>'БА в тыс. руб.'!I751*1000</f>
        <v>3102840</v>
      </c>
      <c r="O751" s="169">
        <f t="shared" si="488"/>
        <v>0</v>
      </c>
      <c r="P751" s="16"/>
      <c r="Q751" s="16"/>
      <c r="R751" s="16"/>
      <c r="S751" s="16"/>
      <c r="T751" s="16"/>
      <c r="U751" s="16"/>
    </row>
    <row r="752" spans="1:21" s="3" customFormat="1" ht="38.25">
      <c r="A752" s="11" t="s">
        <v>383</v>
      </c>
      <c r="B752" s="25" t="s">
        <v>26</v>
      </c>
      <c r="C752" s="26" t="s">
        <v>50</v>
      </c>
      <c r="D752" s="26" t="s">
        <v>65</v>
      </c>
      <c r="E752" s="26" t="s">
        <v>384</v>
      </c>
      <c r="F752" s="26" t="s">
        <v>58</v>
      </c>
      <c r="G752" s="27">
        <f>G753+G756</f>
        <v>39368700</v>
      </c>
      <c r="H752" s="27">
        <f>H753+H756</f>
        <v>39490990</v>
      </c>
      <c r="I752" s="27">
        <f>I753+I756</f>
        <v>39490990</v>
      </c>
      <c r="J752" s="16">
        <f>'БА в тыс. руб.'!G752*1000</f>
        <v>39368700</v>
      </c>
      <c r="K752" s="169">
        <f t="shared" si="486"/>
        <v>0</v>
      </c>
      <c r="L752" s="16">
        <f>'БА в тыс. руб.'!H752*1000</f>
        <v>39490990</v>
      </c>
      <c r="M752" s="169">
        <f t="shared" si="487"/>
        <v>0</v>
      </c>
      <c r="N752" s="16">
        <f>'БА в тыс. руб.'!I752*1000</f>
        <v>39490990</v>
      </c>
      <c r="O752" s="169">
        <f t="shared" si="488"/>
        <v>0</v>
      </c>
      <c r="P752" s="16"/>
      <c r="Q752" s="16"/>
      <c r="R752" s="16"/>
      <c r="S752" s="16"/>
      <c r="T752" s="16"/>
      <c r="U752" s="16"/>
    </row>
    <row r="753" spans="1:21" s="3" customFormat="1" ht="25.5">
      <c r="A753" s="11" t="s">
        <v>247</v>
      </c>
      <c r="B753" s="25" t="s">
        <v>26</v>
      </c>
      <c r="C753" s="26" t="s">
        <v>50</v>
      </c>
      <c r="D753" s="26" t="s">
        <v>65</v>
      </c>
      <c r="E753" s="26" t="s">
        <v>385</v>
      </c>
      <c r="F753" s="26" t="s">
        <v>58</v>
      </c>
      <c r="G753" s="27">
        <f>G754</f>
        <v>38768700</v>
      </c>
      <c r="H753" s="27">
        <f>H754</f>
        <v>38890990</v>
      </c>
      <c r="I753" s="27">
        <f>I754</f>
        <v>38890990</v>
      </c>
      <c r="J753" s="16">
        <f>'БА в тыс. руб.'!G753*1000</f>
        <v>38768700</v>
      </c>
      <c r="K753" s="169">
        <f t="shared" si="486"/>
        <v>0</v>
      </c>
      <c r="L753" s="16">
        <f>'БА в тыс. руб.'!H753*1000</f>
        <v>38890990</v>
      </c>
      <c r="M753" s="169">
        <f t="shared" si="487"/>
        <v>0</v>
      </c>
      <c r="N753" s="16">
        <f>'БА в тыс. руб.'!I753*1000</f>
        <v>38890990</v>
      </c>
      <c r="O753" s="169">
        <f t="shared" si="488"/>
        <v>0</v>
      </c>
      <c r="P753" s="16"/>
      <c r="Q753" s="16"/>
      <c r="R753" s="16"/>
      <c r="S753" s="16"/>
      <c r="T753" s="16"/>
      <c r="U753" s="16"/>
    </row>
    <row r="754" spans="1:21" s="3" customFormat="1">
      <c r="A754" s="13" t="s">
        <v>92</v>
      </c>
      <c r="B754" s="25" t="s">
        <v>26</v>
      </c>
      <c r="C754" s="26" t="s">
        <v>50</v>
      </c>
      <c r="D754" s="26" t="s">
        <v>65</v>
      </c>
      <c r="E754" s="26" t="s">
        <v>385</v>
      </c>
      <c r="F754" s="26" t="s">
        <v>138</v>
      </c>
      <c r="G754" s="27">
        <f>G755</f>
        <v>38768700</v>
      </c>
      <c r="H754" s="27">
        <f t="shared" ref="H754:I754" si="510">H755</f>
        <v>38890990</v>
      </c>
      <c r="I754" s="27">
        <f t="shared" si="510"/>
        <v>38890990</v>
      </c>
      <c r="J754" s="16">
        <f>'БА в тыс. руб.'!G754*1000</f>
        <v>38768700</v>
      </c>
      <c r="K754" s="169">
        <f t="shared" si="486"/>
        <v>0</v>
      </c>
      <c r="L754" s="16">
        <f>'БА в тыс. руб.'!H754*1000</f>
        <v>38890990</v>
      </c>
      <c r="M754" s="169">
        <f t="shared" si="487"/>
        <v>0</v>
      </c>
      <c r="N754" s="16">
        <f>'БА в тыс. руб.'!I754*1000</f>
        <v>38890990</v>
      </c>
      <c r="O754" s="169">
        <f t="shared" si="488"/>
        <v>0</v>
      </c>
      <c r="P754" s="16"/>
      <c r="Q754" s="16"/>
      <c r="R754" s="16"/>
      <c r="S754" s="16"/>
      <c r="T754" s="16"/>
      <c r="U754" s="16"/>
    </row>
    <row r="755" spans="1:21" s="4" customFormat="1" ht="38.25">
      <c r="A755" s="12" t="s">
        <v>1015</v>
      </c>
      <c r="B755" s="25" t="s">
        <v>26</v>
      </c>
      <c r="C755" s="26" t="s">
        <v>50</v>
      </c>
      <c r="D755" s="26" t="s">
        <v>65</v>
      </c>
      <c r="E755" s="26" t="s">
        <v>385</v>
      </c>
      <c r="F755" s="26" t="s">
        <v>67</v>
      </c>
      <c r="G755" s="27">
        <f t="shared" ref="G755" si="511">J755</f>
        <v>38768700</v>
      </c>
      <c r="H755" s="27">
        <f>L755</f>
        <v>38890990</v>
      </c>
      <c r="I755" s="27">
        <f>N755</f>
        <v>38890990</v>
      </c>
      <c r="J755" s="16">
        <f>'БА в тыс. руб.'!G755*1000</f>
        <v>38768700</v>
      </c>
      <c r="K755" s="169">
        <f t="shared" si="486"/>
        <v>0</v>
      </c>
      <c r="L755" s="16">
        <f>'БА в тыс. руб.'!H755*1000</f>
        <v>38890990</v>
      </c>
      <c r="M755" s="169">
        <f t="shared" si="487"/>
        <v>0</v>
      </c>
      <c r="N755" s="16">
        <f>'БА в тыс. руб.'!I755*1000</f>
        <v>38890990</v>
      </c>
      <c r="O755" s="169">
        <f t="shared" si="488"/>
        <v>0</v>
      </c>
      <c r="P755" s="16"/>
      <c r="Q755" s="16"/>
      <c r="R755" s="16"/>
      <c r="S755" s="16"/>
      <c r="T755" s="16"/>
      <c r="U755" s="16"/>
    </row>
    <row r="756" spans="1:21" s="3" customFormat="1" ht="25.5">
      <c r="A756" s="13" t="s">
        <v>919</v>
      </c>
      <c r="B756" s="25" t="s">
        <v>26</v>
      </c>
      <c r="C756" s="26" t="s">
        <v>50</v>
      </c>
      <c r="D756" s="26" t="s">
        <v>65</v>
      </c>
      <c r="E756" s="26" t="s">
        <v>918</v>
      </c>
      <c r="F756" s="26" t="s">
        <v>58</v>
      </c>
      <c r="G756" s="27">
        <f>G757</f>
        <v>600000</v>
      </c>
      <c r="H756" s="27">
        <f t="shared" ref="H756:I757" si="512">H757</f>
        <v>600000</v>
      </c>
      <c r="I756" s="27">
        <f t="shared" si="512"/>
        <v>600000</v>
      </c>
      <c r="J756" s="16">
        <f>'БА в тыс. руб.'!G756*1000</f>
        <v>600000</v>
      </c>
      <c r="K756" s="169">
        <f t="shared" si="486"/>
        <v>0</v>
      </c>
      <c r="L756" s="16">
        <f>'БА в тыс. руб.'!H756*1000</f>
        <v>600000</v>
      </c>
      <c r="M756" s="169">
        <f t="shared" si="487"/>
        <v>0</v>
      </c>
      <c r="N756" s="16">
        <f>'БА в тыс. руб.'!I756*1000</f>
        <v>600000</v>
      </c>
      <c r="O756" s="169">
        <f t="shared" si="488"/>
        <v>0</v>
      </c>
      <c r="P756" s="16"/>
      <c r="Q756" s="16"/>
      <c r="R756" s="16"/>
      <c r="S756" s="16"/>
      <c r="T756" s="16"/>
      <c r="U756" s="16"/>
    </row>
    <row r="757" spans="1:21" s="3" customFormat="1">
      <c r="A757" s="13" t="s">
        <v>92</v>
      </c>
      <c r="B757" s="25" t="s">
        <v>26</v>
      </c>
      <c r="C757" s="26" t="s">
        <v>50</v>
      </c>
      <c r="D757" s="26" t="s">
        <v>65</v>
      </c>
      <c r="E757" s="26" t="s">
        <v>918</v>
      </c>
      <c r="F757" s="26" t="s">
        <v>138</v>
      </c>
      <c r="G757" s="27">
        <f>G758</f>
        <v>600000</v>
      </c>
      <c r="H757" s="27">
        <f t="shared" si="512"/>
        <v>600000</v>
      </c>
      <c r="I757" s="27">
        <f t="shared" si="512"/>
        <v>600000</v>
      </c>
      <c r="J757" s="16">
        <f>'БА в тыс. руб.'!G757*1000</f>
        <v>600000</v>
      </c>
      <c r="K757" s="169">
        <f t="shared" si="486"/>
        <v>0</v>
      </c>
      <c r="L757" s="16">
        <f>'БА в тыс. руб.'!H757*1000</f>
        <v>600000</v>
      </c>
      <c r="M757" s="169">
        <f t="shared" si="487"/>
        <v>0</v>
      </c>
      <c r="N757" s="16">
        <f>'БА в тыс. руб.'!I757*1000</f>
        <v>600000</v>
      </c>
      <c r="O757" s="169">
        <f t="shared" si="488"/>
        <v>0</v>
      </c>
      <c r="P757" s="16"/>
      <c r="Q757" s="16"/>
      <c r="R757" s="16"/>
      <c r="S757" s="16"/>
      <c r="T757" s="16"/>
      <c r="U757" s="16"/>
    </row>
    <row r="758" spans="1:21" s="4" customFormat="1" ht="38.25">
      <c r="A758" s="12" t="s">
        <v>1015</v>
      </c>
      <c r="B758" s="25" t="s">
        <v>26</v>
      </c>
      <c r="C758" s="26" t="s">
        <v>50</v>
      </c>
      <c r="D758" s="26" t="s">
        <v>65</v>
      </c>
      <c r="E758" s="26" t="s">
        <v>918</v>
      </c>
      <c r="F758" s="26" t="s">
        <v>67</v>
      </c>
      <c r="G758" s="27">
        <f t="shared" ref="G758" si="513">J758</f>
        <v>600000</v>
      </c>
      <c r="H758" s="27">
        <f>L758</f>
        <v>600000</v>
      </c>
      <c r="I758" s="27">
        <f>N758</f>
        <v>600000</v>
      </c>
      <c r="J758" s="16">
        <f>'БА в тыс. руб.'!G758*1000</f>
        <v>600000</v>
      </c>
      <c r="K758" s="169">
        <f t="shared" si="486"/>
        <v>0</v>
      </c>
      <c r="L758" s="16">
        <f>'БА в тыс. руб.'!H758*1000</f>
        <v>600000</v>
      </c>
      <c r="M758" s="169">
        <f t="shared" si="487"/>
        <v>0</v>
      </c>
      <c r="N758" s="16">
        <f>'БА в тыс. руб.'!I758*1000</f>
        <v>600000</v>
      </c>
      <c r="O758" s="169">
        <f t="shared" si="488"/>
        <v>0</v>
      </c>
      <c r="P758" s="16"/>
      <c r="Q758" s="16"/>
      <c r="R758" s="16"/>
      <c r="S758" s="16"/>
      <c r="T758" s="16"/>
      <c r="U758" s="16"/>
    </row>
    <row r="759" spans="1:21" s="3" customFormat="1" ht="38.25">
      <c r="A759" s="11" t="s">
        <v>386</v>
      </c>
      <c r="B759" s="25" t="s">
        <v>26</v>
      </c>
      <c r="C759" s="26" t="s">
        <v>50</v>
      </c>
      <c r="D759" s="26" t="s">
        <v>65</v>
      </c>
      <c r="E759" s="26" t="s">
        <v>387</v>
      </c>
      <c r="F759" s="26" t="s">
        <v>58</v>
      </c>
      <c r="G759" s="27">
        <f>G760</f>
        <v>48765980</v>
      </c>
      <c r="H759" s="27">
        <f>H760</f>
        <v>48784700</v>
      </c>
      <c r="I759" s="27">
        <f>I760</f>
        <v>48784700</v>
      </c>
      <c r="J759" s="16">
        <f>'БА в тыс. руб.'!G759*1000</f>
        <v>48765979.999999993</v>
      </c>
      <c r="K759" s="169">
        <f t="shared" si="486"/>
        <v>0</v>
      </c>
      <c r="L759" s="16">
        <f>'БА в тыс. руб.'!H759*1000</f>
        <v>48784700</v>
      </c>
      <c r="M759" s="169">
        <f t="shared" si="487"/>
        <v>0</v>
      </c>
      <c r="N759" s="16">
        <f>'БА в тыс. руб.'!I759*1000</f>
        <v>48784700</v>
      </c>
      <c r="O759" s="169">
        <f t="shared" si="488"/>
        <v>0</v>
      </c>
      <c r="P759" s="16"/>
      <c r="Q759" s="16"/>
      <c r="R759" s="16"/>
      <c r="S759" s="16"/>
      <c r="T759" s="16"/>
      <c r="U759" s="16"/>
    </row>
    <row r="760" spans="1:21" s="3" customFormat="1" ht="25.5">
      <c r="A760" s="11" t="s">
        <v>247</v>
      </c>
      <c r="B760" s="25" t="s">
        <v>26</v>
      </c>
      <c r="C760" s="26" t="s">
        <v>50</v>
      </c>
      <c r="D760" s="26" t="s">
        <v>65</v>
      </c>
      <c r="E760" s="26" t="s">
        <v>388</v>
      </c>
      <c r="F760" s="26" t="s">
        <v>58</v>
      </c>
      <c r="G760" s="27">
        <f>G761+G763</f>
        <v>48765980</v>
      </c>
      <c r="H760" s="27">
        <f t="shared" ref="H760:I760" si="514">H761+H763</f>
        <v>48784700</v>
      </c>
      <c r="I760" s="27">
        <f t="shared" si="514"/>
        <v>48784700</v>
      </c>
      <c r="J760" s="16">
        <f>'БА в тыс. руб.'!G760*1000</f>
        <v>48765979.999999993</v>
      </c>
      <c r="K760" s="169">
        <f t="shared" si="486"/>
        <v>0</v>
      </c>
      <c r="L760" s="16">
        <f>'БА в тыс. руб.'!H760*1000</f>
        <v>48784700</v>
      </c>
      <c r="M760" s="169">
        <f t="shared" si="487"/>
        <v>0</v>
      </c>
      <c r="N760" s="16">
        <f>'БА в тыс. руб.'!I760*1000</f>
        <v>48784700</v>
      </c>
      <c r="O760" s="169">
        <f t="shared" si="488"/>
        <v>0</v>
      </c>
      <c r="P760" s="16"/>
      <c r="Q760" s="16"/>
      <c r="R760" s="16"/>
      <c r="S760" s="16"/>
      <c r="T760" s="16"/>
      <c r="U760" s="16"/>
    </row>
    <row r="761" spans="1:21" s="3" customFormat="1">
      <c r="A761" s="13" t="s">
        <v>92</v>
      </c>
      <c r="B761" s="25" t="s">
        <v>26</v>
      </c>
      <c r="C761" s="26" t="s">
        <v>50</v>
      </c>
      <c r="D761" s="26" t="s">
        <v>65</v>
      </c>
      <c r="E761" s="26" t="s">
        <v>388</v>
      </c>
      <c r="F761" s="26" t="s">
        <v>138</v>
      </c>
      <c r="G761" s="27">
        <f>G762</f>
        <v>40597320</v>
      </c>
      <c r="H761" s="27">
        <f t="shared" ref="H761:I761" si="515">H762</f>
        <v>40616040</v>
      </c>
      <c r="I761" s="27">
        <f t="shared" si="515"/>
        <v>40616040</v>
      </c>
      <c r="J761" s="16">
        <f>'БА в тыс. руб.'!G761*1000</f>
        <v>40597320</v>
      </c>
      <c r="K761" s="169">
        <f t="shared" si="486"/>
        <v>0</v>
      </c>
      <c r="L761" s="16">
        <f>'БА в тыс. руб.'!H761*1000</f>
        <v>40616040</v>
      </c>
      <c r="M761" s="169">
        <f t="shared" si="487"/>
        <v>0</v>
      </c>
      <c r="N761" s="16">
        <f>'БА в тыс. руб.'!I761*1000</f>
        <v>40616040</v>
      </c>
      <c r="O761" s="169">
        <f t="shared" si="488"/>
        <v>0</v>
      </c>
      <c r="P761" s="16"/>
      <c r="Q761" s="16"/>
      <c r="R761" s="16"/>
      <c r="S761" s="16"/>
      <c r="T761" s="16"/>
      <c r="U761" s="16"/>
    </row>
    <row r="762" spans="1:21" s="4" customFormat="1" ht="38.25">
      <c r="A762" s="12" t="s">
        <v>1015</v>
      </c>
      <c r="B762" s="25" t="s">
        <v>26</v>
      </c>
      <c r="C762" s="26" t="s">
        <v>50</v>
      </c>
      <c r="D762" s="26" t="s">
        <v>65</v>
      </c>
      <c r="E762" s="26" t="s">
        <v>388</v>
      </c>
      <c r="F762" s="26" t="s">
        <v>67</v>
      </c>
      <c r="G762" s="27">
        <f t="shared" ref="G762" si="516">J762</f>
        <v>40597320</v>
      </c>
      <c r="H762" s="27">
        <f>L762</f>
        <v>40616040</v>
      </c>
      <c r="I762" s="27">
        <f>N762</f>
        <v>40616040</v>
      </c>
      <c r="J762" s="16">
        <f>'БА в тыс. руб.'!G762*1000</f>
        <v>40597320</v>
      </c>
      <c r="K762" s="169">
        <f t="shared" si="486"/>
        <v>0</v>
      </c>
      <c r="L762" s="16">
        <f>'БА в тыс. руб.'!H762*1000</f>
        <v>40616040</v>
      </c>
      <c r="M762" s="169">
        <f t="shared" si="487"/>
        <v>0</v>
      </c>
      <c r="N762" s="16">
        <f>'БА в тыс. руб.'!I762*1000</f>
        <v>40616040</v>
      </c>
      <c r="O762" s="169">
        <f t="shared" si="488"/>
        <v>0</v>
      </c>
      <c r="P762" s="16"/>
      <c r="Q762" s="16"/>
      <c r="R762" s="16"/>
      <c r="S762" s="16"/>
      <c r="T762" s="16"/>
      <c r="U762" s="16"/>
    </row>
    <row r="763" spans="1:21" s="3" customFormat="1">
      <c r="A763" s="13" t="s">
        <v>93</v>
      </c>
      <c r="B763" s="25" t="s">
        <v>26</v>
      </c>
      <c r="C763" s="26" t="s">
        <v>50</v>
      </c>
      <c r="D763" s="26" t="s">
        <v>65</v>
      </c>
      <c r="E763" s="26" t="s">
        <v>388</v>
      </c>
      <c r="F763" s="26" t="s">
        <v>20</v>
      </c>
      <c r="G763" s="27">
        <f>G764</f>
        <v>8168660</v>
      </c>
      <c r="H763" s="27">
        <f t="shared" ref="H763:I763" si="517">H764</f>
        <v>8168660</v>
      </c>
      <c r="I763" s="27">
        <f t="shared" si="517"/>
        <v>8168660</v>
      </c>
      <c r="J763" s="16">
        <f>'БА в тыс. руб.'!G763*1000</f>
        <v>8168660</v>
      </c>
      <c r="K763" s="169">
        <f t="shared" si="486"/>
        <v>0</v>
      </c>
      <c r="L763" s="16">
        <f>'БА в тыс. руб.'!H763*1000</f>
        <v>8168660</v>
      </c>
      <c r="M763" s="169">
        <f t="shared" si="487"/>
        <v>0</v>
      </c>
      <c r="N763" s="16">
        <f>'БА в тыс. руб.'!I763*1000</f>
        <v>8168660</v>
      </c>
      <c r="O763" s="169">
        <f t="shared" si="488"/>
        <v>0</v>
      </c>
      <c r="P763" s="16"/>
      <c r="Q763" s="16"/>
      <c r="R763" s="16"/>
      <c r="S763" s="16"/>
      <c r="T763" s="16"/>
      <c r="U763" s="16"/>
    </row>
    <row r="764" spans="1:21" s="4" customFormat="1" ht="38.25">
      <c r="A764" s="12" t="s">
        <v>1018</v>
      </c>
      <c r="B764" s="25" t="s">
        <v>26</v>
      </c>
      <c r="C764" s="26" t="s">
        <v>50</v>
      </c>
      <c r="D764" s="26" t="s">
        <v>65</v>
      </c>
      <c r="E764" s="26" t="s">
        <v>388</v>
      </c>
      <c r="F764" s="26" t="s">
        <v>16</v>
      </c>
      <c r="G764" s="27">
        <f t="shared" ref="G764" si="518">J764</f>
        <v>8168660</v>
      </c>
      <c r="H764" s="27">
        <f>L764</f>
        <v>8168660</v>
      </c>
      <c r="I764" s="27">
        <f>N764</f>
        <v>8168660</v>
      </c>
      <c r="J764" s="16">
        <f>'БА в тыс. руб.'!G764*1000</f>
        <v>8168660</v>
      </c>
      <c r="K764" s="169">
        <f t="shared" si="486"/>
        <v>0</v>
      </c>
      <c r="L764" s="16">
        <f>'БА в тыс. руб.'!H764*1000</f>
        <v>8168660</v>
      </c>
      <c r="M764" s="169">
        <f t="shared" si="487"/>
        <v>0</v>
      </c>
      <c r="N764" s="16">
        <f>'БА в тыс. руб.'!I764*1000</f>
        <v>8168660</v>
      </c>
      <c r="O764" s="169">
        <f t="shared" si="488"/>
        <v>0</v>
      </c>
      <c r="P764" s="16"/>
      <c r="Q764" s="16"/>
      <c r="R764" s="16"/>
      <c r="S764" s="16"/>
      <c r="T764" s="16"/>
      <c r="U764" s="16"/>
    </row>
    <row r="765" spans="1:21" s="3" customFormat="1" ht="38.25">
      <c r="A765" s="11" t="s">
        <v>621</v>
      </c>
      <c r="B765" s="25" t="s">
        <v>26</v>
      </c>
      <c r="C765" s="26" t="s">
        <v>50</v>
      </c>
      <c r="D765" s="26" t="s">
        <v>65</v>
      </c>
      <c r="E765" s="26" t="s">
        <v>375</v>
      </c>
      <c r="F765" s="26" t="s">
        <v>58</v>
      </c>
      <c r="G765" s="27">
        <f t="shared" ref="G765:I767" si="519">G766</f>
        <v>0</v>
      </c>
      <c r="H765" s="27">
        <f t="shared" si="519"/>
        <v>2595960</v>
      </c>
      <c r="I765" s="27">
        <f t="shared" si="519"/>
        <v>0</v>
      </c>
      <c r="J765" s="16">
        <f>'БА в тыс. руб.'!G765*1000</f>
        <v>0</v>
      </c>
      <c r="K765" s="169">
        <f t="shared" si="486"/>
        <v>0</v>
      </c>
      <c r="L765" s="16">
        <f>'БА в тыс. руб.'!H765*1000</f>
        <v>2595960</v>
      </c>
      <c r="M765" s="169">
        <f t="shared" si="487"/>
        <v>0</v>
      </c>
      <c r="N765" s="16">
        <f>'БА в тыс. руб.'!I765*1000</f>
        <v>0</v>
      </c>
      <c r="O765" s="169">
        <f t="shared" si="488"/>
        <v>0</v>
      </c>
      <c r="P765" s="16"/>
      <c r="Q765" s="16"/>
      <c r="R765" s="16"/>
      <c r="S765" s="16"/>
      <c r="T765" s="16"/>
      <c r="U765" s="16"/>
    </row>
    <row r="766" spans="1:21" s="3" customFormat="1" ht="25.5">
      <c r="A766" s="11" t="s">
        <v>162</v>
      </c>
      <c r="B766" s="25" t="s">
        <v>26</v>
      </c>
      <c r="C766" s="26" t="s">
        <v>50</v>
      </c>
      <c r="D766" s="26" t="s">
        <v>65</v>
      </c>
      <c r="E766" s="26" t="s">
        <v>376</v>
      </c>
      <c r="F766" s="26" t="s">
        <v>58</v>
      </c>
      <c r="G766" s="27">
        <f t="shared" si="519"/>
        <v>0</v>
      </c>
      <c r="H766" s="27">
        <f t="shared" si="519"/>
        <v>2595960</v>
      </c>
      <c r="I766" s="27">
        <f t="shared" si="519"/>
        <v>0</v>
      </c>
      <c r="J766" s="16">
        <f>'БА в тыс. руб.'!G766*1000</f>
        <v>0</v>
      </c>
      <c r="K766" s="169">
        <f t="shared" si="486"/>
        <v>0</v>
      </c>
      <c r="L766" s="16">
        <f>'БА в тыс. руб.'!H766*1000</f>
        <v>2595960</v>
      </c>
      <c r="M766" s="169">
        <f t="shared" si="487"/>
        <v>0</v>
      </c>
      <c r="N766" s="16">
        <f>'БА в тыс. руб.'!I766*1000</f>
        <v>0</v>
      </c>
      <c r="O766" s="169">
        <f t="shared" si="488"/>
        <v>0</v>
      </c>
      <c r="P766" s="16"/>
      <c r="Q766" s="16"/>
      <c r="R766" s="16"/>
      <c r="S766" s="16"/>
      <c r="T766" s="16"/>
      <c r="U766" s="16"/>
    </row>
    <row r="767" spans="1:21" s="3" customFormat="1">
      <c r="A767" s="13" t="s">
        <v>92</v>
      </c>
      <c r="B767" s="25" t="s">
        <v>26</v>
      </c>
      <c r="C767" s="26" t="s">
        <v>50</v>
      </c>
      <c r="D767" s="26" t="s">
        <v>65</v>
      </c>
      <c r="E767" s="26" t="s">
        <v>376</v>
      </c>
      <c r="F767" s="26" t="s">
        <v>138</v>
      </c>
      <c r="G767" s="27">
        <f>G768</f>
        <v>0</v>
      </c>
      <c r="H767" s="27">
        <f t="shared" si="519"/>
        <v>2595960</v>
      </c>
      <c r="I767" s="27">
        <f t="shared" si="519"/>
        <v>0</v>
      </c>
      <c r="J767" s="16">
        <f>'БА в тыс. руб.'!G767*1000</f>
        <v>0</v>
      </c>
      <c r="K767" s="169">
        <f t="shared" si="486"/>
        <v>0</v>
      </c>
      <c r="L767" s="16">
        <f>'БА в тыс. руб.'!H767*1000</f>
        <v>2595960</v>
      </c>
      <c r="M767" s="169">
        <f t="shared" si="487"/>
        <v>0</v>
      </c>
      <c r="N767" s="16">
        <f>'БА в тыс. руб.'!I767*1000</f>
        <v>0</v>
      </c>
      <c r="O767" s="169">
        <f t="shared" si="488"/>
        <v>0</v>
      </c>
      <c r="P767" s="16"/>
      <c r="Q767" s="16"/>
      <c r="R767" s="16"/>
      <c r="S767" s="16"/>
      <c r="T767" s="16"/>
      <c r="U767" s="16"/>
    </row>
    <row r="768" spans="1:21" s="4" customFormat="1">
      <c r="A768" s="12" t="s">
        <v>1016</v>
      </c>
      <c r="B768" s="25" t="s">
        <v>26</v>
      </c>
      <c r="C768" s="26" t="s">
        <v>50</v>
      </c>
      <c r="D768" s="26" t="s">
        <v>65</v>
      </c>
      <c r="E768" s="26" t="s">
        <v>376</v>
      </c>
      <c r="F768" s="26" t="s">
        <v>1046</v>
      </c>
      <c r="G768" s="27">
        <f t="shared" ref="G768" si="520">J768</f>
        <v>0</v>
      </c>
      <c r="H768" s="27">
        <f>L768</f>
        <v>2595960</v>
      </c>
      <c r="I768" s="27">
        <f>N768</f>
        <v>0</v>
      </c>
      <c r="J768" s="16">
        <f>'БА в тыс. руб.'!G768*1000</f>
        <v>0</v>
      </c>
      <c r="K768" s="169">
        <f t="shared" si="486"/>
        <v>0</v>
      </c>
      <c r="L768" s="16">
        <f>'БА в тыс. руб.'!H768*1000</f>
        <v>2595960</v>
      </c>
      <c r="M768" s="169">
        <f t="shared" si="487"/>
        <v>0</v>
      </c>
      <c r="N768" s="16">
        <f>'БА в тыс. руб.'!I768*1000</f>
        <v>0</v>
      </c>
      <c r="O768" s="169">
        <f t="shared" si="488"/>
        <v>0</v>
      </c>
      <c r="P768" s="16"/>
      <c r="Q768" s="16"/>
      <c r="R768" s="16"/>
      <c r="S768" s="16"/>
      <c r="T768" s="16"/>
      <c r="U768" s="16"/>
    </row>
    <row r="769" spans="1:21" s="3" customFormat="1" ht="89.25">
      <c r="A769" s="13" t="s">
        <v>850</v>
      </c>
      <c r="B769" s="25" t="s">
        <v>26</v>
      </c>
      <c r="C769" s="26" t="s">
        <v>50</v>
      </c>
      <c r="D769" s="26" t="s">
        <v>65</v>
      </c>
      <c r="E769" s="26" t="s">
        <v>622</v>
      </c>
      <c r="F769" s="26" t="s">
        <v>58</v>
      </c>
      <c r="G769" s="27">
        <f t="shared" ref="G769:I771" si="521">G770</f>
        <v>150000</v>
      </c>
      <c r="H769" s="27">
        <f t="shared" si="521"/>
        <v>150000</v>
      </c>
      <c r="I769" s="27">
        <f t="shared" si="521"/>
        <v>150000</v>
      </c>
      <c r="J769" s="16">
        <f>'БА в тыс. руб.'!G769*1000</f>
        <v>150000</v>
      </c>
      <c r="K769" s="169">
        <f t="shared" si="486"/>
        <v>0</v>
      </c>
      <c r="L769" s="16">
        <f>'БА в тыс. руб.'!H769*1000</f>
        <v>150000</v>
      </c>
      <c r="M769" s="169">
        <f t="shared" si="487"/>
        <v>0</v>
      </c>
      <c r="N769" s="16">
        <f>'БА в тыс. руб.'!I769*1000</f>
        <v>150000</v>
      </c>
      <c r="O769" s="169">
        <f t="shared" si="488"/>
        <v>0</v>
      </c>
      <c r="P769" s="16"/>
      <c r="Q769" s="16"/>
      <c r="R769" s="16"/>
      <c r="S769" s="16"/>
      <c r="T769" s="16"/>
      <c r="U769" s="16"/>
    </row>
    <row r="770" spans="1:21" s="3" customFormat="1" ht="76.5">
      <c r="A770" s="11" t="s">
        <v>853</v>
      </c>
      <c r="B770" s="25" t="s">
        <v>26</v>
      </c>
      <c r="C770" s="26" t="s">
        <v>50</v>
      </c>
      <c r="D770" s="26" t="s">
        <v>65</v>
      </c>
      <c r="E770" s="26" t="s">
        <v>623</v>
      </c>
      <c r="F770" s="26" t="s">
        <v>58</v>
      </c>
      <c r="G770" s="27">
        <f t="shared" si="521"/>
        <v>150000</v>
      </c>
      <c r="H770" s="27">
        <f t="shared" si="521"/>
        <v>150000</v>
      </c>
      <c r="I770" s="27">
        <f t="shared" si="521"/>
        <v>150000</v>
      </c>
      <c r="J770" s="16">
        <f>'БА в тыс. руб.'!G770*1000</f>
        <v>150000</v>
      </c>
      <c r="K770" s="169">
        <f t="shared" si="486"/>
        <v>0</v>
      </c>
      <c r="L770" s="16">
        <f>'БА в тыс. руб.'!H770*1000</f>
        <v>150000</v>
      </c>
      <c r="M770" s="169">
        <f t="shared" si="487"/>
        <v>0</v>
      </c>
      <c r="N770" s="16">
        <f>'БА в тыс. руб.'!I770*1000</f>
        <v>150000</v>
      </c>
      <c r="O770" s="169">
        <f t="shared" si="488"/>
        <v>0</v>
      </c>
      <c r="P770" s="16"/>
      <c r="Q770" s="16"/>
      <c r="R770" s="16"/>
      <c r="S770" s="16"/>
      <c r="T770" s="16"/>
      <c r="U770" s="16"/>
    </row>
    <row r="771" spans="1:21" s="3" customFormat="1">
      <c r="A771" s="13" t="s">
        <v>92</v>
      </c>
      <c r="B771" s="25" t="s">
        <v>26</v>
      </c>
      <c r="C771" s="26" t="s">
        <v>50</v>
      </c>
      <c r="D771" s="26" t="s">
        <v>65</v>
      </c>
      <c r="E771" s="26" t="s">
        <v>623</v>
      </c>
      <c r="F771" s="26" t="s">
        <v>138</v>
      </c>
      <c r="G771" s="27">
        <f>G772</f>
        <v>150000</v>
      </c>
      <c r="H771" s="27">
        <f t="shared" si="521"/>
        <v>150000</v>
      </c>
      <c r="I771" s="27">
        <f t="shared" si="521"/>
        <v>150000</v>
      </c>
      <c r="J771" s="16">
        <f>'БА в тыс. руб.'!G771*1000</f>
        <v>150000</v>
      </c>
      <c r="K771" s="169">
        <f t="shared" si="486"/>
        <v>0</v>
      </c>
      <c r="L771" s="16">
        <f>'БА в тыс. руб.'!H771*1000</f>
        <v>150000</v>
      </c>
      <c r="M771" s="169">
        <f t="shared" si="487"/>
        <v>0</v>
      </c>
      <c r="N771" s="16">
        <f>'БА в тыс. руб.'!I771*1000</f>
        <v>150000</v>
      </c>
      <c r="O771" s="169">
        <f t="shared" si="488"/>
        <v>0</v>
      </c>
      <c r="P771" s="16"/>
      <c r="Q771" s="16"/>
      <c r="R771" s="16"/>
      <c r="S771" s="16"/>
      <c r="T771" s="16"/>
      <c r="U771" s="16"/>
    </row>
    <row r="772" spans="1:21" s="4" customFormat="1">
      <c r="A772" s="12" t="s">
        <v>1016</v>
      </c>
      <c r="B772" s="25" t="s">
        <v>26</v>
      </c>
      <c r="C772" s="26" t="s">
        <v>50</v>
      </c>
      <c r="D772" s="26" t="s">
        <v>65</v>
      </c>
      <c r="E772" s="26" t="s">
        <v>623</v>
      </c>
      <c r="F772" s="26" t="s">
        <v>1046</v>
      </c>
      <c r="G772" s="27">
        <f t="shared" ref="G772" si="522">J772</f>
        <v>150000</v>
      </c>
      <c r="H772" s="27">
        <f>L772</f>
        <v>150000</v>
      </c>
      <c r="I772" s="27">
        <f>N772</f>
        <v>150000</v>
      </c>
      <c r="J772" s="16">
        <f>'БА в тыс. руб.'!G772*1000</f>
        <v>150000</v>
      </c>
      <c r="K772" s="169">
        <f t="shared" si="486"/>
        <v>0</v>
      </c>
      <c r="L772" s="16">
        <f>'БА в тыс. руб.'!H772*1000</f>
        <v>150000</v>
      </c>
      <c r="M772" s="169">
        <f t="shared" si="487"/>
        <v>0</v>
      </c>
      <c r="N772" s="16">
        <f>'БА в тыс. руб.'!I772*1000</f>
        <v>150000</v>
      </c>
      <c r="O772" s="169">
        <f t="shared" si="488"/>
        <v>0</v>
      </c>
      <c r="P772" s="16"/>
      <c r="Q772" s="16"/>
      <c r="R772" s="16"/>
      <c r="S772" s="16"/>
      <c r="T772" s="16"/>
      <c r="U772" s="16"/>
    </row>
    <row r="773" spans="1:21" s="3" customFormat="1" ht="38.25">
      <c r="A773" s="13" t="s">
        <v>854</v>
      </c>
      <c r="B773" s="25" t="s">
        <v>26</v>
      </c>
      <c r="C773" s="26" t="s">
        <v>50</v>
      </c>
      <c r="D773" s="26" t="s">
        <v>65</v>
      </c>
      <c r="E773" s="26" t="s">
        <v>624</v>
      </c>
      <c r="F773" s="26" t="s">
        <v>58</v>
      </c>
      <c r="G773" s="27">
        <f t="shared" ref="G773:I775" si="523">G774</f>
        <v>940000</v>
      </c>
      <c r="H773" s="27">
        <f t="shared" si="523"/>
        <v>817600</v>
      </c>
      <c r="I773" s="27">
        <f t="shared" si="523"/>
        <v>817600</v>
      </c>
      <c r="J773" s="16">
        <f>'БА в тыс. руб.'!G773*1000</f>
        <v>940000</v>
      </c>
      <c r="K773" s="169">
        <f t="shared" si="486"/>
        <v>0</v>
      </c>
      <c r="L773" s="16">
        <f>'БА в тыс. руб.'!H773*1000</f>
        <v>817600</v>
      </c>
      <c r="M773" s="169">
        <f t="shared" si="487"/>
        <v>0</v>
      </c>
      <c r="N773" s="16">
        <f>'БА в тыс. руб.'!I773*1000</f>
        <v>817600</v>
      </c>
      <c r="O773" s="169">
        <f t="shared" si="488"/>
        <v>0</v>
      </c>
      <c r="P773" s="16"/>
      <c r="Q773" s="16"/>
      <c r="R773" s="16"/>
      <c r="S773" s="16"/>
      <c r="T773" s="16"/>
      <c r="U773" s="16"/>
    </row>
    <row r="774" spans="1:21" s="3" customFormat="1" ht="38.25">
      <c r="A774" s="13" t="s">
        <v>855</v>
      </c>
      <c r="B774" s="25" t="s">
        <v>26</v>
      </c>
      <c r="C774" s="26" t="s">
        <v>50</v>
      </c>
      <c r="D774" s="26" t="s">
        <v>65</v>
      </c>
      <c r="E774" s="26" t="s">
        <v>690</v>
      </c>
      <c r="F774" s="26" t="s">
        <v>58</v>
      </c>
      <c r="G774" s="27">
        <f t="shared" si="523"/>
        <v>940000</v>
      </c>
      <c r="H774" s="27">
        <f t="shared" si="523"/>
        <v>817600</v>
      </c>
      <c r="I774" s="27">
        <f t="shared" si="523"/>
        <v>817600</v>
      </c>
      <c r="J774" s="16">
        <f>'БА в тыс. руб.'!G774*1000</f>
        <v>940000</v>
      </c>
      <c r="K774" s="169">
        <f t="shared" si="486"/>
        <v>0</v>
      </c>
      <c r="L774" s="16">
        <f>'БА в тыс. руб.'!H774*1000</f>
        <v>817600</v>
      </c>
      <c r="M774" s="169">
        <f t="shared" si="487"/>
        <v>0</v>
      </c>
      <c r="N774" s="16">
        <f>'БА в тыс. руб.'!I774*1000</f>
        <v>817600</v>
      </c>
      <c r="O774" s="169">
        <f t="shared" si="488"/>
        <v>0</v>
      </c>
      <c r="P774" s="16"/>
      <c r="Q774" s="16"/>
      <c r="R774" s="16"/>
      <c r="S774" s="16"/>
      <c r="T774" s="16"/>
      <c r="U774" s="16"/>
    </row>
    <row r="775" spans="1:21" s="3" customFormat="1">
      <c r="A775" s="13" t="s">
        <v>92</v>
      </c>
      <c r="B775" s="25" t="s">
        <v>26</v>
      </c>
      <c r="C775" s="26" t="s">
        <v>50</v>
      </c>
      <c r="D775" s="26" t="s">
        <v>65</v>
      </c>
      <c r="E775" s="26" t="s">
        <v>690</v>
      </c>
      <c r="F775" s="26" t="s">
        <v>138</v>
      </c>
      <c r="G775" s="27">
        <f>G776</f>
        <v>940000</v>
      </c>
      <c r="H775" s="27">
        <f t="shared" si="523"/>
        <v>817600</v>
      </c>
      <c r="I775" s="27">
        <f t="shared" si="523"/>
        <v>817600</v>
      </c>
      <c r="J775" s="16">
        <f>'БА в тыс. руб.'!G775*1000</f>
        <v>940000</v>
      </c>
      <c r="K775" s="169">
        <f t="shared" si="486"/>
        <v>0</v>
      </c>
      <c r="L775" s="16">
        <f>'БА в тыс. руб.'!H775*1000</f>
        <v>817600</v>
      </c>
      <c r="M775" s="169">
        <f t="shared" si="487"/>
        <v>0</v>
      </c>
      <c r="N775" s="16">
        <f>'БА в тыс. руб.'!I775*1000</f>
        <v>817600</v>
      </c>
      <c r="O775" s="169">
        <f t="shared" si="488"/>
        <v>0</v>
      </c>
      <c r="P775" s="16"/>
      <c r="Q775" s="16"/>
      <c r="R775" s="16"/>
      <c r="S775" s="16"/>
      <c r="T775" s="16"/>
      <c r="U775" s="16"/>
    </row>
    <row r="776" spans="1:21" s="4" customFormat="1">
      <c r="A776" s="12" t="s">
        <v>1016</v>
      </c>
      <c r="B776" s="25" t="s">
        <v>26</v>
      </c>
      <c r="C776" s="26" t="s">
        <v>50</v>
      </c>
      <c r="D776" s="26" t="s">
        <v>65</v>
      </c>
      <c r="E776" s="26" t="s">
        <v>690</v>
      </c>
      <c r="F776" s="26" t="s">
        <v>1046</v>
      </c>
      <c r="G776" s="27">
        <f t="shared" ref="G776" si="524">J776</f>
        <v>940000</v>
      </c>
      <c r="H776" s="27">
        <f>L776</f>
        <v>817600</v>
      </c>
      <c r="I776" s="27">
        <f>N776</f>
        <v>817600</v>
      </c>
      <c r="J776" s="16">
        <f>'БА в тыс. руб.'!G776*1000</f>
        <v>940000</v>
      </c>
      <c r="K776" s="169">
        <f t="shared" ref="K776:K839" si="525">J776-G776</f>
        <v>0</v>
      </c>
      <c r="L776" s="16">
        <f>'БА в тыс. руб.'!H776*1000</f>
        <v>817600</v>
      </c>
      <c r="M776" s="169">
        <f t="shared" ref="M776:M839" si="526">L776-H776</f>
        <v>0</v>
      </c>
      <c r="N776" s="16">
        <f>'БА в тыс. руб.'!I776*1000</f>
        <v>817600</v>
      </c>
      <c r="O776" s="169">
        <f t="shared" ref="O776:O839" si="527">N776-I776</f>
        <v>0</v>
      </c>
      <c r="P776" s="16"/>
      <c r="Q776" s="16"/>
      <c r="R776" s="16"/>
      <c r="S776" s="16"/>
      <c r="T776" s="16"/>
      <c r="U776" s="16"/>
    </row>
    <row r="777" spans="1:21" s="3" customFormat="1" ht="51">
      <c r="A777" s="13" t="s">
        <v>715</v>
      </c>
      <c r="B777" s="25" t="s">
        <v>26</v>
      </c>
      <c r="C777" s="26" t="s">
        <v>50</v>
      </c>
      <c r="D777" s="26" t="s">
        <v>65</v>
      </c>
      <c r="E777" s="26" t="s">
        <v>714</v>
      </c>
      <c r="F777" s="26" t="s">
        <v>58</v>
      </c>
      <c r="G777" s="27">
        <f t="shared" ref="G777:I779" si="528">G778</f>
        <v>93000000</v>
      </c>
      <c r="H777" s="27">
        <f t="shared" si="528"/>
        <v>0</v>
      </c>
      <c r="I777" s="27">
        <f t="shared" si="528"/>
        <v>0</v>
      </c>
      <c r="J777" s="16">
        <f>'БА в тыс. руб.'!G777*1000</f>
        <v>93000000</v>
      </c>
      <c r="K777" s="169">
        <f t="shared" si="525"/>
        <v>0</v>
      </c>
      <c r="L777" s="16">
        <f>'БА в тыс. руб.'!H777*1000</f>
        <v>0</v>
      </c>
      <c r="M777" s="169">
        <f t="shared" si="526"/>
        <v>0</v>
      </c>
      <c r="N777" s="16">
        <f>'БА в тыс. руб.'!I777*1000</f>
        <v>0</v>
      </c>
      <c r="O777" s="169">
        <f t="shared" si="527"/>
        <v>0</v>
      </c>
      <c r="P777" s="16"/>
      <c r="Q777" s="16"/>
      <c r="R777" s="16"/>
      <c r="S777" s="16"/>
      <c r="T777" s="16"/>
      <c r="U777" s="16"/>
    </row>
    <row r="778" spans="1:21" s="3" customFormat="1" ht="38.25">
      <c r="A778" s="13" t="s">
        <v>717</v>
      </c>
      <c r="B778" s="25" t="s">
        <v>26</v>
      </c>
      <c r="C778" s="26" t="s">
        <v>50</v>
      </c>
      <c r="D778" s="26" t="s">
        <v>65</v>
      </c>
      <c r="E778" s="26" t="s">
        <v>716</v>
      </c>
      <c r="F778" s="26" t="s">
        <v>58</v>
      </c>
      <c r="G778" s="27">
        <f t="shared" si="528"/>
        <v>93000000</v>
      </c>
      <c r="H778" s="27">
        <f t="shared" si="528"/>
        <v>0</v>
      </c>
      <c r="I778" s="27">
        <f t="shared" si="528"/>
        <v>0</v>
      </c>
      <c r="J778" s="16">
        <f>'БА в тыс. руб.'!G778*1000</f>
        <v>93000000</v>
      </c>
      <c r="K778" s="169">
        <f t="shared" si="525"/>
        <v>0</v>
      </c>
      <c r="L778" s="16">
        <f>'БА в тыс. руб.'!H778*1000</f>
        <v>0</v>
      </c>
      <c r="M778" s="169">
        <f t="shared" si="526"/>
        <v>0</v>
      </c>
      <c r="N778" s="16">
        <f>'БА в тыс. руб.'!I778*1000</f>
        <v>0</v>
      </c>
      <c r="O778" s="169">
        <f t="shared" si="527"/>
        <v>0</v>
      </c>
      <c r="P778" s="16"/>
      <c r="Q778" s="16"/>
      <c r="R778" s="16"/>
      <c r="S778" s="16"/>
      <c r="T778" s="16"/>
      <c r="U778" s="16"/>
    </row>
    <row r="779" spans="1:21" s="3" customFormat="1" ht="25.5">
      <c r="A779" s="13" t="s">
        <v>111</v>
      </c>
      <c r="B779" s="25" t="s">
        <v>26</v>
      </c>
      <c r="C779" s="26" t="s">
        <v>50</v>
      </c>
      <c r="D779" s="26" t="s">
        <v>65</v>
      </c>
      <c r="E779" s="26" t="s">
        <v>716</v>
      </c>
      <c r="F779" s="26" t="s">
        <v>104</v>
      </c>
      <c r="G779" s="27">
        <f>G780</f>
        <v>93000000</v>
      </c>
      <c r="H779" s="27">
        <f t="shared" si="528"/>
        <v>0</v>
      </c>
      <c r="I779" s="27">
        <f t="shared" si="528"/>
        <v>0</v>
      </c>
      <c r="J779" s="16">
        <f>'БА в тыс. руб.'!G779*1000</f>
        <v>93000000</v>
      </c>
      <c r="K779" s="169">
        <f t="shared" si="525"/>
        <v>0</v>
      </c>
      <c r="L779" s="16">
        <f>'БА в тыс. руб.'!H779*1000</f>
        <v>0</v>
      </c>
      <c r="M779" s="169">
        <f t="shared" si="526"/>
        <v>0</v>
      </c>
      <c r="N779" s="16">
        <f>'БА в тыс. руб.'!I779*1000</f>
        <v>0</v>
      </c>
      <c r="O779" s="169">
        <f t="shared" si="527"/>
        <v>0</v>
      </c>
      <c r="P779" s="16"/>
      <c r="Q779" s="16"/>
      <c r="R779" s="16"/>
      <c r="S779" s="16"/>
      <c r="T779" s="16"/>
      <c r="U779" s="16"/>
    </row>
    <row r="780" spans="1:21" s="4" customFormat="1" ht="76.5">
      <c r="A780" s="12" t="s">
        <v>1048</v>
      </c>
      <c r="B780" s="25" t="s">
        <v>26</v>
      </c>
      <c r="C780" s="26" t="s">
        <v>50</v>
      </c>
      <c r="D780" s="26" t="s">
        <v>65</v>
      </c>
      <c r="E780" s="26" t="s">
        <v>716</v>
      </c>
      <c r="F780" s="26" t="s">
        <v>1055</v>
      </c>
      <c r="G780" s="27">
        <f t="shared" ref="G780" si="529">J780</f>
        <v>93000000</v>
      </c>
      <c r="H780" s="27">
        <f>L780</f>
        <v>0</v>
      </c>
      <c r="I780" s="27">
        <f>N780</f>
        <v>0</v>
      </c>
      <c r="J780" s="16">
        <f>'БА в тыс. руб.'!G780*1000</f>
        <v>93000000</v>
      </c>
      <c r="K780" s="169">
        <f t="shared" si="525"/>
        <v>0</v>
      </c>
      <c r="L780" s="16">
        <f>'БА в тыс. руб.'!H780*1000</f>
        <v>0</v>
      </c>
      <c r="M780" s="169">
        <f t="shared" si="526"/>
        <v>0</v>
      </c>
      <c r="N780" s="16">
        <f>'БА в тыс. руб.'!I780*1000</f>
        <v>0</v>
      </c>
      <c r="O780" s="169">
        <f t="shared" si="527"/>
        <v>0</v>
      </c>
      <c r="P780" s="16"/>
      <c r="Q780" s="16"/>
      <c r="R780" s="16"/>
      <c r="S780" s="16"/>
      <c r="T780" s="16"/>
      <c r="U780" s="16"/>
    </row>
    <row r="781" spans="1:21" s="3" customFormat="1" ht="38.25">
      <c r="A781" s="12" t="s">
        <v>752</v>
      </c>
      <c r="B781" s="25" t="s">
        <v>26</v>
      </c>
      <c r="C781" s="26" t="s">
        <v>50</v>
      </c>
      <c r="D781" s="26" t="s">
        <v>65</v>
      </c>
      <c r="E781" s="35" t="s">
        <v>249</v>
      </c>
      <c r="F781" s="35" t="s">
        <v>58</v>
      </c>
      <c r="G781" s="38">
        <f>G782</f>
        <v>85000</v>
      </c>
      <c r="H781" s="38">
        <f t="shared" ref="H781:I782" si="530">H782</f>
        <v>76500</v>
      </c>
      <c r="I781" s="38">
        <f t="shared" si="530"/>
        <v>76500</v>
      </c>
      <c r="J781" s="16">
        <f>'БА в тыс. руб.'!G781*1000</f>
        <v>85000</v>
      </c>
      <c r="K781" s="169">
        <f t="shared" si="525"/>
        <v>0</v>
      </c>
      <c r="L781" s="16">
        <f>'БА в тыс. руб.'!H781*1000</f>
        <v>76500</v>
      </c>
      <c r="M781" s="169">
        <f t="shared" si="526"/>
        <v>0</v>
      </c>
      <c r="N781" s="16">
        <f>'БА в тыс. руб.'!I781*1000</f>
        <v>76500</v>
      </c>
      <c r="O781" s="169">
        <f t="shared" si="527"/>
        <v>0</v>
      </c>
      <c r="P781" s="16"/>
      <c r="Q781" s="16"/>
      <c r="R781" s="16"/>
      <c r="S781" s="16"/>
      <c r="T781" s="16"/>
      <c r="U781" s="16"/>
    </row>
    <row r="782" spans="1:21" s="3" customFormat="1">
      <c r="A782" s="11" t="s">
        <v>753</v>
      </c>
      <c r="B782" s="25" t="s">
        <v>26</v>
      </c>
      <c r="C782" s="26" t="s">
        <v>50</v>
      </c>
      <c r="D782" s="26" t="s">
        <v>65</v>
      </c>
      <c r="E782" s="35" t="s">
        <v>250</v>
      </c>
      <c r="F782" s="35" t="s">
        <v>58</v>
      </c>
      <c r="G782" s="38">
        <f>G783</f>
        <v>85000</v>
      </c>
      <c r="H782" s="38">
        <f t="shared" si="530"/>
        <v>76500</v>
      </c>
      <c r="I782" s="38">
        <f t="shared" si="530"/>
        <v>76500</v>
      </c>
      <c r="J782" s="16">
        <f>'БА в тыс. руб.'!G782*1000</f>
        <v>85000</v>
      </c>
      <c r="K782" s="169">
        <f t="shared" si="525"/>
        <v>0</v>
      </c>
      <c r="L782" s="16">
        <f>'БА в тыс. руб.'!H782*1000</f>
        <v>76500</v>
      </c>
      <c r="M782" s="169">
        <f t="shared" si="526"/>
        <v>0</v>
      </c>
      <c r="N782" s="16">
        <f>'БА в тыс. руб.'!I782*1000</f>
        <v>76500</v>
      </c>
      <c r="O782" s="169">
        <f t="shared" si="527"/>
        <v>0</v>
      </c>
      <c r="P782" s="16"/>
      <c r="Q782" s="16"/>
      <c r="R782" s="16"/>
      <c r="S782" s="16"/>
      <c r="T782" s="16"/>
      <c r="U782" s="16"/>
    </row>
    <row r="783" spans="1:21" s="3" customFormat="1" ht="38.25">
      <c r="A783" s="34" t="s">
        <v>880</v>
      </c>
      <c r="B783" s="25" t="s">
        <v>26</v>
      </c>
      <c r="C783" s="26" t="s">
        <v>50</v>
      </c>
      <c r="D783" s="26" t="s">
        <v>65</v>
      </c>
      <c r="E783" s="35" t="s">
        <v>538</v>
      </c>
      <c r="F783" s="35" t="s">
        <v>58</v>
      </c>
      <c r="G783" s="38">
        <f>G784</f>
        <v>85000</v>
      </c>
      <c r="H783" s="38">
        <f>H784</f>
        <v>76500</v>
      </c>
      <c r="I783" s="38">
        <f>I784</f>
        <v>76500</v>
      </c>
      <c r="J783" s="16">
        <f>'БА в тыс. руб.'!G783*1000</f>
        <v>85000</v>
      </c>
      <c r="K783" s="169">
        <f t="shared" si="525"/>
        <v>0</v>
      </c>
      <c r="L783" s="16">
        <f>'БА в тыс. руб.'!H783*1000</f>
        <v>76500</v>
      </c>
      <c r="M783" s="169">
        <f t="shared" si="526"/>
        <v>0</v>
      </c>
      <c r="N783" s="16">
        <f>'БА в тыс. руб.'!I783*1000</f>
        <v>76500</v>
      </c>
      <c r="O783" s="169">
        <f t="shared" si="527"/>
        <v>0</v>
      </c>
      <c r="P783" s="16"/>
      <c r="Q783" s="16"/>
      <c r="R783" s="16"/>
      <c r="S783" s="16"/>
      <c r="T783" s="16"/>
      <c r="U783" s="16"/>
    </row>
    <row r="784" spans="1:21" s="3" customFormat="1" ht="25.5">
      <c r="A784" s="34" t="s">
        <v>122</v>
      </c>
      <c r="B784" s="25" t="s">
        <v>26</v>
      </c>
      <c r="C784" s="26" t="s">
        <v>50</v>
      </c>
      <c r="D784" s="26" t="s">
        <v>65</v>
      </c>
      <c r="E784" s="35" t="s">
        <v>539</v>
      </c>
      <c r="F784" s="35" t="s">
        <v>58</v>
      </c>
      <c r="G784" s="38">
        <f>SUM(G785:G785)</f>
        <v>85000</v>
      </c>
      <c r="H784" s="38">
        <f>SUM(H785:H785)</f>
        <v>76500</v>
      </c>
      <c r="I784" s="38">
        <f>SUM(I785:I785)</f>
        <v>76500</v>
      </c>
      <c r="J784" s="16">
        <f>'БА в тыс. руб.'!G784*1000</f>
        <v>85000</v>
      </c>
      <c r="K784" s="169">
        <f t="shared" si="525"/>
        <v>0</v>
      </c>
      <c r="L784" s="16">
        <f>'БА в тыс. руб.'!H784*1000</f>
        <v>76500</v>
      </c>
      <c r="M784" s="169">
        <f t="shared" si="526"/>
        <v>0</v>
      </c>
      <c r="N784" s="16">
        <f>'БА в тыс. руб.'!I784*1000</f>
        <v>76500</v>
      </c>
      <c r="O784" s="169">
        <f t="shared" si="527"/>
        <v>0</v>
      </c>
      <c r="P784" s="16"/>
      <c r="Q784" s="16"/>
      <c r="R784" s="16"/>
      <c r="S784" s="16"/>
      <c r="T784" s="16"/>
      <c r="U784" s="16"/>
    </row>
    <row r="785" spans="1:21" s="3" customFormat="1">
      <c r="A785" s="13" t="s">
        <v>92</v>
      </c>
      <c r="B785" s="25" t="s">
        <v>26</v>
      </c>
      <c r="C785" s="26" t="s">
        <v>50</v>
      </c>
      <c r="D785" s="26" t="s">
        <v>65</v>
      </c>
      <c r="E785" s="35" t="s">
        <v>539</v>
      </c>
      <c r="F785" s="35" t="s">
        <v>138</v>
      </c>
      <c r="G785" s="27">
        <f>G786</f>
        <v>85000</v>
      </c>
      <c r="H785" s="27">
        <f t="shared" ref="H785:I785" si="531">H786</f>
        <v>76500</v>
      </c>
      <c r="I785" s="27">
        <f t="shared" si="531"/>
        <v>76500</v>
      </c>
      <c r="J785" s="16">
        <f>'БА в тыс. руб.'!G785*1000</f>
        <v>85000</v>
      </c>
      <c r="K785" s="169">
        <f t="shared" si="525"/>
        <v>0</v>
      </c>
      <c r="L785" s="16">
        <f>'БА в тыс. руб.'!H785*1000</f>
        <v>76500</v>
      </c>
      <c r="M785" s="169">
        <f t="shared" si="526"/>
        <v>0</v>
      </c>
      <c r="N785" s="16">
        <f>'БА в тыс. руб.'!I785*1000</f>
        <v>76500</v>
      </c>
      <c r="O785" s="169">
        <f t="shared" si="527"/>
        <v>0</v>
      </c>
      <c r="P785" s="16"/>
      <c r="Q785" s="16"/>
      <c r="R785" s="16"/>
      <c r="S785" s="16"/>
      <c r="T785" s="16"/>
      <c r="U785" s="16"/>
    </row>
    <row r="786" spans="1:21" s="4" customFormat="1">
      <c r="A786" s="12" t="s">
        <v>1016</v>
      </c>
      <c r="B786" s="25" t="s">
        <v>26</v>
      </c>
      <c r="C786" s="26" t="s">
        <v>50</v>
      </c>
      <c r="D786" s="26" t="s">
        <v>65</v>
      </c>
      <c r="E786" s="35" t="s">
        <v>539</v>
      </c>
      <c r="F786" s="35" t="s">
        <v>1046</v>
      </c>
      <c r="G786" s="27">
        <f t="shared" ref="G786" si="532">J786</f>
        <v>85000</v>
      </c>
      <c r="H786" s="27">
        <f>L786</f>
        <v>76500</v>
      </c>
      <c r="I786" s="27">
        <f>N786</f>
        <v>76500</v>
      </c>
      <c r="J786" s="16">
        <f>'БА в тыс. руб.'!G786*1000</f>
        <v>85000</v>
      </c>
      <c r="K786" s="169">
        <f t="shared" si="525"/>
        <v>0</v>
      </c>
      <c r="L786" s="16">
        <f>'БА в тыс. руб.'!H786*1000</f>
        <v>76500</v>
      </c>
      <c r="M786" s="169">
        <f t="shared" si="526"/>
        <v>0</v>
      </c>
      <c r="N786" s="16">
        <f>'БА в тыс. руб.'!I786*1000</f>
        <v>76500</v>
      </c>
      <c r="O786" s="169">
        <f t="shared" si="527"/>
        <v>0</v>
      </c>
      <c r="P786" s="16"/>
      <c r="Q786" s="16"/>
      <c r="R786" s="16"/>
      <c r="S786" s="16"/>
      <c r="T786" s="16"/>
      <c r="U786" s="16"/>
    </row>
    <row r="787" spans="1:21" s="3" customFormat="1" ht="63.75">
      <c r="A787" s="11" t="s">
        <v>756</v>
      </c>
      <c r="B787" s="25" t="s">
        <v>26</v>
      </c>
      <c r="C787" s="26" t="s">
        <v>50</v>
      </c>
      <c r="D787" s="26" t="s">
        <v>65</v>
      </c>
      <c r="E787" s="26" t="s">
        <v>339</v>
      </c>
      <c r="F787" s="26" t="s">
        <v>58</v>
      </c>
      <c r="G787" s="27">
        <f t="shared" ref="G787:I791" si="533">G788</f>
        <v>652360</v>
      </c>
      <c r="H787" s="27">
        <f t="shared" si="533"/>
        <v>547850</v>
      </c>
      <c r="I787" s="27">
        <f t="shared" si="533"/>
        <v>547850</v>
      </c>
      <c r="J787" s="16">
        <f>'БА в тыс. руб.'!G787*1000</f>
        <v>652360</v>
      </c>
      <c r="K787" s="169">
        <f t="shared" si="525"/>
        <v>0</v>
      </c>
      <c r="L787" s="16">
        <f>'БА в тыс. руб.'!H787*1000</f>
        <v>547850</v>
      </c>
      <c r="M787" s="169">
        <f t="shared" si="526"/>
        <v>0</v>
      </c>
      <c r="N787" s="16">
        <f>'БА в тыс. руб.'!I787*1000</f>
        <v>547850</v>
      </c>
      <c r="O787" s="169">
        <f t="shared" si="527"/>
        <v>0</v>
      </c>
      <c r="P787" s="16"/>
      <c r="Q787" s="16"/>
      <c r="R787" s="16"/>
      <c r="S787" s="16"/>
      <c r="T787" s="16"/>
      <c r="U787" s="16"/>
    </row>
    <row r="788" spans="1:21" s="3" customFormat="1" ht="25.5">
      <c r="A788" s="11" t="s">
        <v>136</v>
      </c>
      <c r="B788" s="25" t="s">
        <v>26</v>
      </c>
      <c r="C788" s="26" t="s">
        <v>50</v>
      </c>
      <c r="D788" s="26" t="s">
        <v>65</v>
      </c>
      <c r="E788" s="26" t="s">
        <v>340</v>
      </c>
      <c r="F788" s="26" t="s">
        <v>58</v>
      </c>
      <c r="G788" s="27">
        <f t="shared" si="533"/>
        <v>652360</v>
      </c>
      <c r="H788" s="27">
        <f t="shared" si="533"/>
        <v>547850</v>
      </c>
      <c r="I788" s="27">
        <f t="shared" si="533"/>
        <v>547850</v>
      </c>
      <c r="J788" s="16">
        <f>'БА в тыс. руб.'!G788*1000</f>
        <v>652360</v>
      </c>
      <c r="K788" s="169">
        <f t="shared" si="525"/>
        <v>0</v>
      </c>
      <c r="L788" s="16">
        <f>'БА в тыс. руб.'!H788*1000</f>
        <v>547850</v>
      </c>
      <c r="M788" s="169">
        <f t="shared" si="526"/>
        <v>0</v>
      </c>
      <c r="N788" s="16">
        <f>'БА в тыс. руб.'!I788*1000</f>
        <v>547850</v>
      </c>
      <c r="O788" s="169">
        <f t="shared" si="527"/>
        <v>0</v>
      </c>
      <c r="P788" s="16"/>
      <c r="Q788" s="16"/>
      <c r="R788" s="16"/>
      <c r="S788" s="16"/>
      <c r="T788" s="16"/>
      <c r="U788" s="16"/>
    </row>
    <row r="789" spans="1:21" s="3" customFormat="1" ht="25.5">
      <c r="A789" s="11" t="s">
        <v>667</v>
      </c>
      <c r="B789" s="25" t="s">
        <v>26</v>
      </c>
      <c r="C789" s="26" t="s">
        <v>50</v>
      </c>
      <c r="D789" s="26" t="s">
        <v>65</v>
      </c>
      <c r="E789" s="26" t="s">
        <v>609</v>
      </c>
      <c r="F789" s="26" t="s">
        <v>58</v>
      </c>
      <c r="G789" s="27">
        <f t="shared" si="533"/>
        <v>652360</v>
      </c>
      <c r="H789" s="27">
        <f t="shared" si="533"/>
        <v>547850</v>
      </c>
      <c r="I789" s="27">
        <f t="shared" si="533"/>
        <v>547850</v>
      </c>
      <c r="J789" s="16">
        <f>'БА в тыс. руб.'!G789*1000</f>
        <v>652360</v>
      </c>
      <c r="K789" s="169">
        <f t="shared" si="525"/>
        <v>0</v>
      </c>
      <c r="L789" s="16">
        <f>'БА в тыс. руб.'!H789*1000</f>
        <v>547850</v>
      </c>
      <c r="M789" s="169">
        <f t="shared" si="526"/>
        <v>0</v>
      </c>
      <c r="N789" s="16">
        <f>'БА в тыс. руб.'!I789*1000</f>
        <v>547850</v>
      </c>
      <c r="O789" s="169">
        <f t="shared" si="527"/>
        <v>0</v>
      </c>
      <c r="P789" s="16"/>
      <c r="Q789" s="16"/>
      <c r="R789" s="16"/>
      <c r="S789" s="16"/>
      <c r="T789" s="16"/>
      <c r="U789" s="16"/>
    </row>
    <row r="790" spans="1:21" s="3" customFormat="1" ht="38.25">
      <c r="A790" s="11" t="s">
        <v>177</v>
      </c>
      <c r="B790" s="25" t="s">
        <v>26</v>
      </c>
      <c r="C790" s="26" t="s">
        <v>50</v>
      </c>
      <c r="D790" s="26" t="s">
        <v>65</v>
      </c>
      <c r="E790" s="26" t="s">
        <v>610</v>
      </c>
      <c r="F790" s="26" t="s">
        <v>58</v>
      </c>
      <c r="G790" s="27">
        <f t="shared" si="533"/>
        <v>652360</v>
      </c>
      <c r="H790" s="27">
        <f t="shared" si="533"/>
        <v>547850</v>
      </c>
      <c r="I790" s="27">
        <f t="shared" si="533"/>
        <v>547850</v>
      </c>
      <c r="J790" s="16">
        <f>'БА в тыс. руб.'!G790*1000</f>
        <v>652360</v>
      </c>
      <c r="K790" s="169">
        <f t="shared" si="525"/>
        <v>0</v>
      </c>
      <c r="L790" s="16">
        <f>'БА в тыс. руб.'!H790*1000</f>
        <v>547850</v>
      </c>
      <c r="M790" s="169">
        <f t="shared" si="526"/>
        <v>0</v>
      </c>
      <c r="N790" s="16">
        <f>'БА в тыс. руб.'!I790*1000</f>
        <v>547850</v>
      </c>
      <c r="O790" s="169">
        <f t="shared" si="527"/>
        <v>0</v>
      </c>
      <c r="P790" s="16"/>
      <c r="Q790" s="16"/>
      <c r="R790" s="16"/>
      <c r="S790" s="16"/>
      <c r="T790" s="16"/>
      <c r="U790" s="16"/>
    </row>
    <row r="791" spans="1:21" s="3" customFormat="1">
      <c r="A791" s="13" t="s">
        <v>92</v>
      </c>
      <c r="B791" s="25" t="s">
        <v>26</v>
      </c>
      <c r="C791" s="26" t="s">
        <v>50</v>
      </c>
      <c r="D791" s="26" t="s">
        <v>65</v>
      </c>
      <c r="E791" s="26" t="s">
        <v>610</v>
      </c>
      <c r="F791" s="26" t="s">
        <v>138</v>
      </c>
      <c r="G791" s="27">
        <f>G792</f>
        <v>652360</v>
      </c>
      <c r="H791" s="27">
        <f t="shared" si="533"/>
        <v>547850</v>
      </c>
      <c r="I791" s="27">
        <f t="shared" si="533"/>
        <v>547850</v>
      </c>
      <c r="J791" s="16">
        <f>'БА в тыс. руб.'!G791*1000</f>
        <v>652360</v>
      </c>
      <c r="K791" s="169">
        <f t="shared" si="525"/>
        <v>0</v>
      </c>
      <c r="L791" s="16">
        <f>'БА в тыс. руб.'!H791*1000</f>
        <v>547850</v>
      </c>
      <c r="M791" s="169">
        <f t="shared" si="526"/>
        <v>0</v>
      </c>
      <c r="N791" s="16">
        <f>'БА в тыс. руб.'!I791*1000</f>
        <v>547850</v>
      </c>
      <c r="O791" s="169">
        <f t="shared" si="527"/>
        <v>0</v>
      </c>
      <c r="P791" s="16"/>
      <c r="Q791" s="16"/>
      <c r="R791" s="16"/>
      <c r="S791" s="16"/>
      <c r="T791" s="16"/>
      <c r="U791" s="16"/>
    </row>
    <row r="792" spans="1:21" s="4" customFormat="1">
      <c r="A792" s="12" t="s">
        <v>1016</v>
      </c>
      <c r="B792" s="25" t="s">
        <v>26</v>
      </c>
      <c r="C792" s="26" t="s">
        <v>50</v>
      </c>
      <c r="D792" s="26" t="s">
        <v>65</v>
      </c>
      <c r="E792" s="26" t="s">
        <v>610</v>
      </c>
      <c r="F792" s="26" t="s">
        <v>1046</v>
      </c>
      <c r="G792" s="27">
        <f t="shared" ref="G792" si="534">J792</f>
        <v>652360</v>
      </c>
      <c r="H792" s="27">
        <f>L792</f>
        <v>547850</v>
      </c>
      <c r="I792" s="27">
        <f>N792</f>
        <v>547850</v>
      </c>
      <c r="J792" s="16">
        <f>'БА в тыс. руб.'!G792*1000</f>
        <v>652360</v>
      </c>
      <c r="K792" s="169">
        <f t="shared" si="525"/>
        <v>0</v>
      </c>
      <c r="L792" s="16">
        <f>'БА в тыс. руб.'!H792*1000</f>
        <v>547850</v>
      </c>
      <c r="M792" s="169">
        <f t="shared" si="526"/>
        <v>0</v>
      </c>
      <c r="N792" s="16">
        <f>'БА в тыс. руб.'!I792*1000</f>
        <v>547850</v>
      </c>
      <c r="O792" s="169">
        <f t="shared" si="527"/>
        <v>0</v>
      </c>
      <c r="P792" s="16"/>
      <c r="Q792" s="16"/>
      <c r="R792" s="16"/>
      <c r="S792" s="16"/>
      <c r="T792" s="16"/>
      <c r="U792" s="16"/>
    </row>
    <row r="793" spans="1:21" s="3" customFormat="1">
      <c r="A793" s="21" t="s">
        <v>676</v>
      </c>
      <c r="B793" s="22" t="s">
        <v>26</v>
      </c>
      <c r="C793" s="23" t="s">
        <v>50</v>
      </c>
      <c r="D793" s="23" t="s">
        <v>37</v>
      </c>
      <c r="E793" s="23" t="s">
        <v>196</v>
      </c>
      <c r="F793" s="23" t="s">
        <v>58</v>
      </c>
      <c r="G793" s="24">
        <f>G794</f>
        <v>13602440</v>
      </c>
      <c r="H793" s="24">
        <f>H794</f>
        <v>13610460</v>
      </c>
      <c r="I793" s="24">
        <f>I794</f>
        <v>13610460</v>
      </c>
      <c r="J793" s="16">
        <f>'БА в тыс. руб.'!G793*1000</f>
        <v>13602439.999999998</v>
      </c>
      <c r="K793" s="169">
        <f t="shared" si="525"/>
        <v>0</v>
      </c>
      <c r="L793" s="16">
        <f>'БА в тыс. руб.'!H793*1000</f>
        <v>13610460</v>
      </c>
      <c r="M793" s="169">
        <f t="shared" si="526"/>
        <v>0</v>
      </c>
      <c r="N793" s="16">
        <f>'БА в тыс. руб.'!I793*1000</f>
        <v>13610460</v>
      </c>
      <c r="O793" s="169">
        <f t="shared" si="527"/>
        <v>0</v>
      </c>
      <c r="P793" s="16"/>
      <c r="Q793" s="16"/>
      <c r="R793" s="16"/>
      <c r="S793" s="16"/>
      <c r="T793" s="16"/>
      <c r="U793" s="16"/>
    </row>
    <row r="794" spans="1:21" s="3" customFormat="1" ht="25.5">
      <c r="A794" s="11" t="s">
        <v>695</v>
      </c>
      <c r="B794" s="25" t="s">
        <v>26</v>
      </c>
      <c r="C794" s="26" t="s">
        <v>50</v>
      </c>
      <c r="D794" s="26" t="s">
        <v>37</v>
      </c>
      <c r="E794" s="26" t="s">
        <v>370</v>
      </c>
      <c r="F794" s="26" t="s">
        <v>58</v>
      </c>
      <c r="G794" s="27">
        <f>G795+G809</f>
        <v>13602440</v>
      </c>
      <c r="H794" s="27">
        <f>H795+H809</f>
        <v>13610460</v>
      </c>
      <c r="I794" s="27">
        <f>I795+I809</f>
        <v>13610460</v>
      </c>
      <c r="J794" s="16">
        <f>'БА в тыс. руб.'!G794*1000</f>
        <v>13602439.999999998</v>
      </c>
      <c r="K794" s="169">
        <f t="shared" si="525"/>
        <v>0</v>
      </c>
      <c r="L794" s="16">
        <f>'БА в тыс. руб.'!H794*1000</f>
        <v>13610460</v>
      </c>
      <c r="M794" s="169">
        <f t="shared" si="526"/>
        <v>0</v>
      </c>
      <c r="N794" s="16">
        <f>'БА в тыс. руб.'!I794*1000</f>
        <v>13610460</v>
      </c>
      <c r="O794" s="169">
        <f t="shared" si="527"/>
        <v>0</v>
      </c>
      <c r="P794" s="16"/>
      <c r="Q794" s="16"/>
      <c r="R794" s="16"/>
      <c r="S794" s="16"/>
      <c r="T794" s="16"/>
      <c r="U794" s="16"/>
    </row>
    <row r="795" spans="1:21" s="3" customFormat="1" ht="38.25">
      <c r="A795" s="11" t="s">
        <v>696</v>
      </c>
      <c r="B795" s="25" t="s">
        <v>26</v>
      </c>
      <c r="C795" s="26" t="s">
        <v>50</v>
      </c>
      <c r="D795" s="26" t="s">
        <v>37</v>
      </c>
      <c r="E795" s="26" t="s">
        <v>389</v>
      </c>
      <c r="F795" s="26" t="s">
        <v>58</v>
      </c>
      <c r="G795" s="27">
        <f>G796+G805</f>
        <v>13442440</v>
      </c>
      <c r="H795" s="27">
        <f>H796+H805</f>
        <v>13450460</v>
      </c>
      <c r="I795" s="27">
        <f>I796+I805</f>
        <v>13450460</v>
      </c>
      <c r="J795" s="16">
        <f>'БА в тыс. руб.'!G795*1000</f>
        <v>13442439.999999998</v>
      </c>
      <c r="K795" s="169">
        <f t="shared" si="525"/>
        <v>0</v>
      </c>
      <c r="L795" s="16">
        <f>'БА в тыс. руб.'!H795*1000</f>
        <v>13450460</v>
      </c>
      <c r="M795" s="169">
        <f t="shared" si="526"/>
        <v>0</v>
      </c>
      <c r="N795" s="16">
        <f>'БА в тыс. руб.'!I795*1000</f>
        <v>13450460</v>
      </c>
      <c r="O795" s="169">
        <f t="shared" si="527"/>
        <v>0</v>
      </c>
      <c r="P795" s="16"/>
      <c r="Q795" s="16"/>
      <c r="R795" s="16"/>
      <c r="S795" s="16"/>
      <c r="T795" s="16"/>
      <c r="U795" s="16"/>
    </row>
    <row r="796" spans="1:21" s="3" customFormat="1" ht="25.5">
      <c r="A796" s="11" t="s">
        <v>114</v>
      </c>
      <c r="B796" s="25" t="s">
        <v>26</v>
      </c>
      <c r="C796" s="26" t="s">
        <v>50</v>
      </c>
      <c r="D796" s="26" t="s">
        <v>37</v>
      </c>
      <c r="E796" s="26" t="s">
        <v>390</v>
      </c>
      <c r="F796" s="26" t="s">
        <v>58</v>
      </c>
      <c r="G796" s="27">
        <f>G797+G800+G802</f>
        <v>1472320</v>
      </c>
      <c r="H796" s="27">
        <f t="shared" ref="H796:I796" si="535">H797+H800+H802</f>
        <v>1480340</v>
      </c>
      <c r="I796" s="27">
        <f t="shared" si="535"/>
        <v>1480340</v>
      </c>
      <c r="J796" s="16">
        <f>'БА в тыс. руб.'!G796*1000</f>
        <v>1472320</v>
      </c>
      <c r="K796" s="169">
        <f t="shared" si="525"/>
        <v>0</v>
      </c>
      <c r="L796" s="16">
        <f>'БА в тыс. руб.'!H796*1000</f>
        <v>1480340</v>
      </c>
      <c r="M796" s="169">
        <f t="shared" si="526"/>
        <v>0</v>
      </c>
      <c r="N796" s="16">
        <f>'БА в тыс. руб.'!I796*1000</f>
        <v>1480340</v>
      </c>
      <c r="O796" s="169">
        <f t="shared" si="527"/>
        <v>0</v>
      </c>
      <c r="P796" s="16"/>
      <c r="Q796" s="16"/>
      <c r="R796" s="16"/>
      <c r="S796" s="16"/>
      <c r="T796" s="16"/>
      <c r="U796" s="16"/>
    </row>
    <row r="797" spans="1:21" s="3" customFormat="1" ht="25.5">
      <c r="A797" s="12" t="s">
        <v>107</v>
      </c>
      <c r="B797" s="25" t="s">
        <v>26</v>
      </c>
      <c r="C797" s="26" t="s">
        <v>50</v>
      </c>
      <c r="D797" s="26" t="s">
        <v>37</v>
      </c>
      <c r="E797" s="26" t="s">
        <v>390</v>
      </c>
      <c r="F797" s="26" t="s">
        <v>115</v>
      </c>
      <c r="G797" s="27">
        <f>SUM(G798:G799)</f>
        <v>357330</v>
      </c>
      <c r="H797" s="27">
        <f t="shared" ref="H797:I797" si="536">SUM(H798:H799)</f>
        <v>357330</v>
      </c>
      <c r="I797" s="27">
        <f t="shared" si="536"/>
        <v>357330</v>
      </c>
      <c r="J797" s="16">
        <f>'БА в тыс. руб.'!G797*1000</f>
        <v>357330</v>
      </c>
      <c r="K797" s="169">
        <f t="shared" si="525"/>
        <v>0</v>
      </c>
      <c r="L797" s="16">
        <f>'БА в тыс. руб.'!H797*1000</f>
        <v>357330</v>
      </c>
      <c r="M797" s="169">
        <f t="shared" si="526"/>
        <v>0</v>
      </c>
      <c r="N797" s="16">
        <f>'БА в тыс. руб.'!I797*1000</f>
        <v>357330</v>
      </c>
      <c r="O797" s="169">
        <f t="shared" si="527"/>
        <v>0</v>
      </c>
      <c r="P797" s="16"/>
      <c r="Q797" s="16"/>
      <c r="R797" s="16"/>
      <c r="S797" s="16"/>
      <c r="T797" s="16"/>
      <c r="U797" s="16"/>
    </row>
    <row r="798" spans="1:21" s="4" customFormat="1" ht="25.5">
      <c r="A798" s="12" t="s">
        <v>937</v>
      </c>
      <c r="B798" s="25" t="s">
        <v>26</v>
      </c>
      <c r="C798" s="26" t="s">
        <v>50</v>
      </c>
      <c r="D798" s="26" t="s">
        <v>37</v>
      </c>
      <c r="E798" s="26" t="s">
        <v>390</v>
      </c>
      <c r="F798" s="26" t="s">
        <v>1059</v>
      </c>
      <c r="G798" s="27">
        <f t="shared" ref="G798:G799" si="537">J798</f>
        <v>274450</v>
      </c>
      <c r="H798" s="27">
        <f t="shared" ref="H798:H799" si="538">L798</f>
        <v>274450</v>
      </c>
      <c r="I798" s="27">
        <f t="shared" ref="I798:I799" si="539">N798</f>
        <v>274450</v>
      </c>
      <c r="J798" s="16">
        <f>'БА в тыс. руб.'!G798*1000</f>
        <v>274450</v>
      </c>
      <c r="K798" s="169">
        <f t="shared" si="525"/>
        <v>0</v>
      </c>
      <c r="L798" s="16">
        <f>'БА в тыс. руб.'!H798*1000</f>
        <v>274450</v>
      </c>
      <c r="M798" s="169">
        <f t="shared" si="526"/>
        <v>0</v>
      </c>
      <c r="N798" s="16">
        <f>'БА в тыс. руб.'!I798*1000</f>
        <v>274450</v>
      </c>
      <c r="O798" s="169">
        <f t="shared" si="527"/>
        <v>0</v>
      </c>
      <c r="P798" s="16"/>
      <c r="Q798" s="16"/>
      <c r="R798" s="16"/>
      <c r="S798" s="16"/>
      <c r="T798" s="16"/>
      <c r="U798" s="16"/>
    </row>
    <row r="799" spans="1:21" s="4" customFormat="1" ht="38.25">
      <c r="A799" s="12" t="s">
        <v>939</v>
      </c>
      <c r="B799" s="25" t="s">
        <v>26</v>
      </c>
      <c r="C799" s="26" t="s">
        <v>50</v>
      </c>
      <c r="D799" s="26" t="s">
        <v>37</v>
      </c>
      <c r="E799" s="26" t="s">
        <v>390</v>
      </c>
      <c r="F799" s="26" t="s">
        <v>1060</v>
      </c>
      <c r="G799" s="27">
        <f t="shared" si="537"/>
        <v>82880</v>
      </c>
      <c r="H799" s="27">
        <f t="shared" si="538"/>
        <v>82880</v>
      </c>
      <c r="I799" s="27">
        <f t="shared" si="539"/>
        <v>82880</v>
      </c>
      <c r="J799" s="16">
        <f>'БА в тыс. руб.'!G799*1000</f>
        <v>82880</v>
      </c>
      <c r="K799" s="169">
        <f t="shared" si="525"/>
        <v>0</v>
      </c>
      <c r="L799" s="16">
        <f>'БА в тыс. руб.'!H799*1000</f>
        <v>82880</v>
      </c>
      <c r="M799" s="169">
        <f t="shared" si="526"/>
        <v>0</v>
      </c>
      <c r="N799" s="16">
        <f>'БА в тыс. руб.'!I799*1000</f>
        <v>82880</v>
      </c>
      <c r="O799" s="169">
        <f t="shared" si="527"/>
        <v>0</v>
      </c>
      <c r="P799" s="16"/>
      <c r="Q799" s="16"/>
      <c r="R799" s="16"/>
      <c r="S799" s="16"/>
      <c r="T799" s="16"/>
      <c r="U799" s="16"/>
    </row>
    <row r="800" spans="1:21" s="3" customFormat="1" ht="25.5">
      <c r="A800" s="11" t="s">
        <v>108</v>
      </c>
      <c r="B800" s="25" t="s">
        <v>26</v>
      </c>
      <c r="C800" s="26" t="s">
        <v>50</v>
      </c>
      <c r="D800" s="26" t="s">
        <v>37</v>
      </c>
      <c r="E800" s="26" t="s">
        <v>390</v>
      </c>
      <c r="F800" s="26" t="s">
        <v>116</v>
      </c>
      <c r="G800" s="27">
        <f>G801</f>
        <v>933790</v>
      </c>
      <c r="H800" s="27">
        <f t="shared" ref="H800:I800" si="540">H801</f>
        <v>941810</v>
      </c>
      <c r="I800" s="27">
        <f t="shared" si="540"/>
        <v>941810</v>
      </c>
      <c r="J800" s="16">
        <f>'БА в тыс. руб.'!G800*1000</f>
        <v>933790</v>
      </c>
      <c r="K800" s="169">
        <f t="shared" si="525"/>
        <v>0</v>
      </c>
      <c r="L800" s="16">
        <f>'БА в тыс. руб.'!H800*1000</f>
        <v>941810</v>
      </c>
      <c r="M800" s="169">
        <f t="shared" si="526"/>
        <v>0</v>
      </c>
      <c r="N800" s="16">
        <f>'БА в тыс. руб.'!I800*1000</f>
        <v>941810</v>
      </c>
      <c r="O800" s="169">
        <f t="shared" si="527"/>
        <v>0</v>
      </c>
      <c r="P800" s="16"/>
      <c r="Q800" s="16"/>
      <c r="R800" s="16"/>
      <c r="S800" s="16"/>
      <c r="T800" s="16"/>
      <c r="U800" s="16"/>
    </row>
    <row r="801" spans="1:21" s="4" customFormat="1" ht="25.5">
      <c r="A801" s="12" t="s">
        <v>973</v>
      </c>
      <c r="B801" s="25" t="s">
        <v>26</v>
      </c>
      <c r="C801" s="26" t="s">
        <v>50</v>
      </c>
      <c r="D801" s="26" t="s">
        <v>37</v>
      </c>
      <c r="E801" s="26" t="s">
        <v>390</v>
      </c>
      <c r="F801" s="26" t="s">
        <v>1043</v>
      </c>
      <c r="G801" s="27">
        <f t="shared" ref="G801" si="541">J801</f>
        <v>933790</v>
      </c>
      <c r="H801" s="27">
        <f>L801</f>
        <v>941810</v>
      </c>
      <c r="I801" s="27">
        <f>N801</f>
        <v>941810</v>
      </c>
      <c r="J801" s="16">
        <f>'БА в тыс. руб.'!G801*1000</f>
        <v>933790</v>
      </c>
      <c r="K801" s="169">
        <f t="shared" si="525"/>
        <v>0</v>
      </c>
      <c r="L801" s="16">
        <f>'БА в тыс. руб.'!H801*1000</f>
        <v>941810</v>
      </c>
      <c r="M801" s="169">
        <f t="shared" si="526"/>
        <v>0</v>
      </c>
      <c r="N801" s="16">
        <f>'БА в тыс. руб.'!I801*1000</f>
        <v>941810</v>
      </c>
      <c r="O801" s="169">
        <f t="shared" si="527"/>
        <v>0</v>
      </c>
      <c r="P801" s="16"/>
      <c r="Q801" s="16"/>
      <c r="R801" s="16"/>
      <c r="S801" s="16"/>
      <c r="T801" s="16"/>
      <c r="U801" s="16"/>
    </row>
    <row r="802" spans="1:21" s="3" customFormat="1">
      <c r="A802" s="11" t="s">
        <v>97</v>
      </c>
      <c r="B802" s="25" t="s">
        <v>26</v>
      </c>
      <c r="C802" s="26" t="s">
        <v>50</v>
      </c>
      <c r="D802" s="26" t="s">
        <v>37</v>
      </c>
      <c r="E802" s="26" t="s">
        <v>390</v>
      </c>
      <c r="F802" s="26" t="s">
        <v>118</v>
      </c>
      <c r="G802" s="27">
        <f>SUM(G803:G804)</f>
        <v>181200</v>
      </c>
      <c r="H802" s="27">
        <f t="shared" ref="H802:I802" si="542">SUM(H803:H804)</f>
        <v>181200</v>
      </c>
      <c r="I802" s="27">
        <f t="shared" si="542"/>
        <v>181200</v>
      </c>
      <c r="J802" s="16">
        <f>'БА в тыс. руб.'!G802*1000</f>
        <v>181200</v>
      </c>
      <c r="K802" s="169">
        <f t="shared" si="525"/>
        <v>0</v>
      </c>
      <c r="L802" s="16">
        <f>'БА в тыс. руб.'!H802*1000</f>
        <v>181200</v>
      </c>
      <c r="M802" s="169">
        <f t="shared" si="526"/>
        <v>0</v>
      </c>
      <c r="N802" s="16">
        <f>'БА в тыс. руб.'!I802*1000</f>
        <v>181200</v>
      </c>
      <c r="O802" s="169">
        <f t="shared" si="527"/>
        <v>0</v>
      </c>
      <c r="P802" s="16"/>
      <c r="Q802" s="16"/>
      <c r="R802" s="16"/>
      <c r="S802" s="16"/>
      <c r="T802" s="16"/>
      <c r="U802" s="16"/>
    </row>
    <row r="803" spans="1:21" s="4" customFormat="1">
      <c r="A803" s="12" t="s">
        <v>1036</v>
      </c>
      <c r="B803" s="25" t="s">
        <v>26</v>
      </c>
      <c r="C803" s="26" t="s">
        <v>50</v>
      </c>
      <c r="D803" s="26" t="s">
        <v>37</v>
      </c>
      <c r="E803" s="26" t="s">
        <v>390</v>
      </c>
      <c r="F803" s="26" t="s">
        <v>1061</v>
      </c>
      <c r="G803" s="27">
        <f t="shared" ref="G803:G804" si="543">J803</f>
        <v>174200</v>
      </c>
      <c r="H803" s="27">
        <f t="shared" ref="H803:H804" si="544">L803</f>
        <v>174200</v>
      </c>
      <c r="I803" s="27">
        <f t="shared" ref="I803:I804" si="545">N803</f>
        <v>174200</v>
      </c>
      <c r="J803" s="16">
        <f>'БА в тыс. руб.'!G803*1000</f>
        <v>174200</v>
      </c>
      <c r="K803" s="169">
        <f t="shared" si="525"/>
        <v>0</v>
      </c>
      <c r="L803" s="16">
        <f>'БА в тыс. руб.'!H803*1000</f>
        <v>174200</v>
      </c>
      <c r="M803" s="169">
        <f t="shared" si="526"/>
        <v>0</v>
      </c>
      <c r="N803" s="16">
        <f>'БА в тыс. руб.'!I803*1000</f>
        <v>174200</v>
      </c>
      <c r="O803" s="169">
        <f t="shared" si="527"/>
        <v>0</v>
      </c>
      <c r="P803" s="16"/>
      <c r="Q803" s="16"/>
      <c r="R803" s="16"/>
      <c r="S803" s="16"/>
      <c r="T803" s="16"/>
      <c r="U803" s="16"/>
    </row>
    <row r="804" spans="1:21" s="4" customFormat="1">
      <c r="A804" s="12" t="s">
        <v>1037</v>
      </c>
      <c r="B804" s="25" t="s">
        <v>26</v>
      </c>
      <c r="C804" s="26" t="s">
        <v>50</v>
      </c>
      <c r="D804" s="26" t="s">
        <v>37</v>
      </c>
      <c r="E804" s="26" t="s">
        <v>390</v>
      </c>
      <c r="F804" s="26" t="s">
        <v>1062</v>
      </c>
      <c r="G804" s="27">
        <f t="shared" si="543"/>
        <v>7000</v>
      </c>
      <c r="H804" s="27">
        <f t="shared" si="544"/>
        <v>7000</v>
      </c>
      <c r="I804" s="27">
        <f t="shared" si="545"/>
        <v>7000</v>
      </c>
      <c r="J804" s="16">
        <f>'БА в тыс. руб.'!G804*1000</f>
        <v>7000</v>
      </c>
      <c r="K804" s="169">
        <f t="shared" si="525"/>
        <v>0</v>
      </c>
      <c r="L804" s="16">
        <f>'БА в тыс. руб.'!H804*1000</f>
        <v>7000</v>
      </c>
      <c r="M804" s="169">
        <f t="shared" si="526"/>
        <v>0</v>
      </c>
      <c r="N804" s="16">
        <f>'БА в тыс. руб.'!I804*1000</f>
        <v>7000</v>
      </c>
      <c r="O804" s="169">
        <f t="shared" si="527"/>
        <v>0</v>
      </c>
      <c r="P804" s="16"/>
      <c r="Q804" s="16"/>
      <c r="R804" s="16"/>
      <c r="S804" s="16"/>
      <c r="T804" s="16"/>
      <c r="U804" s="16"/>
    </row>
    <row r="805" spans="1:21" s="3" customFormat="1" ht="25.5">
      <c r="A805" s="11" t="s">
        <v>126</v>
      </c>
      <c r="B805" s="25" t="s">
        <v>26</v>
      </c>
      <c r="C805" s="26" t="s">
        <v>50</v>
      </c>
      <c r="D805" s="26" t="s">
        <v>37</v>
      </c>
      <c r="E805" s="26" t="s">
        <v>391</v>
      </c>
      <c r="F805" s="26" t="s">
        <v>58</v>
      </c>
      <c r="G805" s="27">
        <f>G806</f>
        <v>11970120</v>
      </c>
      <c r="H805" s="27">
        <f>H806</f>
        <v>11970120</v>
      </c>
      <c r="I805" s="27">
        <f>I806</f>
        <v>11970120</v>
      </c>
      <c r="J805" s="16">
        <f>'БА в тыс. руб.'!G805*1000</f>
        <v>11970119.999999998</v>
      </c>
      <c r="K805" s="169">
        <f t="shared" si="525"/>
        <v>0</v>
      </c>
      <c r="L805" s="16">
        <f>'БА в тыс. руб.'!H805*1000</f>
        <v>11970119.999999998</v>
      </c>
      <c r="M805" s="169">
        <f t="shared" si="526"/>
        <v>0</v>
      </c>
      <c r="N805" s="16">
        <f>'БА в тыс. руб.'!I805*1000</f>
        <v>11970119.999999998</v>
      </c>
      <c r="O805" s="169">
        <f t="shared" si="527"/>
        <v>0</v>
      </c>
      <c r="P805" s="16"/>
      <c r="Q805" s="16"/>
      <c r="R805" s="16"/>
      <c r="S805" s="16"/>
      <c r="T805" s="16"/>
      <c r="U805" s="16"/>
    </row>
    <row r="806" spans="1:21" s="3" customFormat="1" ht="25.5">
      <c r="A806" s="12" t="s">
        <v>107</v>
      </c>
      <c r="B806" s="25" t="s">
        <v>26</v>
      </c>
      <c r="C806" s="26" t="s">
        <v>50</v>
      </c>
      <c r="D806" s="26" t="s">
        <v>37</v>
      </c>
      <c r="E806" s="26" t="s">
        <v>391</v>
      </c>
      <c r="F806" s="26" t="s">
        <v>115</v>
      </c>
      <c r="G806" s="27">
        <f>SUM(G807:G808)</f>
        <v>11970120</v>
      </c>
      <c r="H806" s="27">
        <f t="shared" ref="H806:I806" si="546">SUM(H807:H808)</f>
        <v>11970120</v>
      </c>
      <c r="I806" s="27">
        <f t="shared" si="546"/>
        <v>11970120</v>
      </c>
      <c r="J806" s="16">
        <f>'БА в тыс. руб.'!G806*1000</f>
        <v>11970119.999999998</v>
      </c>
      <c r="K806" s="169">
        <f t="shared" si="525"/>
        <v>0</v>
      </c>
      <c r="L806" s="16">
        <f>'БА в тыс. руб.'!H806*1000</f>
        <v>11970119.999999998</v>
      </c>
      <c r="M806" s="169">
        <f t="shared" si="526"/>
        <v>0</v>
      </c>
      <c r="N806" s="16">
        <f>'БА в тыс. руб.'!I806*1000</f>
        <v>11970119.999999998</v>
      </c>
      <c r="O806" s="169">
        <f t="shared" si="527"/>
        <v>0</v>
      </c>
      <c r="P806" s="16"/>
      <c r="Q806" s="16"/>
      <c r="R806" s="16"/>
      <c r="S806" s="16"/>
      <c r="T806" s="16"/>
      <c r="U806" s="16"/>
    </row>
    <row r="807" spans="1:21" s="4" customFormat="1">
      <c r="A807" s="12" t="s">
        <v>936</v>
      </c>
      <c r="B807" s="25" t="s">
        <v>26</v>
      </c>
      <c r="C807" s="26" t="s">
        <v>50</v>
      </c>
      <c r="D807" s="26" t="s">
        <v>37</v>
      </c>
      <c r="E807" s="26" t="s">
        <v>391</v>
      </c>
      <c r="F807" s="26" t="s">
        <v>1063</v>
      </c>
      <c r="G807" s="27">
        <f t="shared" ref="G807:G808" si="547">J807</f>
        <v>9193640</v>
      </c>
      <c r="H807" s="27">
        <f t="shared" ref="H807:H808" si="548">L807</f>
        <v>9193640</v>
      </c>
      <c r="I807" s="27">
        <f t="shared" ref="I807:I808" si="549">N807</f>
        <v>9193640</v>
      </c>
      <c r="J807" s="16">
        <f>'БА в тыс. руб.'!G807*1000</f>
        <v>9193640</v>
      </c>
      <c r="K807" s="169">
        <f t="shared" si="525"/>
        <v>0</v>
      </c>
      <c r="L807" s="16">
        <f>'БА в тыс. руб.'!H807*1000</f>
        <v>9193640</v>
      </c>
      <c r="M807" s="169">
        <f t="shared" si="526"/>
        <v>0</v>
      </c>
      <c r="N807" s="16">
        <f>'БА в тыс. руб.'!I807*1000</f>
        <v>9193640</v>
      </c>
      <c r="O807" s="169">
        <f t="shared" si="527"/>
        <v>0</v>
      </c>
      <c r="P807" s="16"/>
      <c r="Q807" s="16"/>
      <c r="R807" s="16"/>
      <c r="S807" s="16"/>
      <c r="T807" s="16"/>
      <c r="U807" s="16"/>
    </row>
    <row r="808" spans="1:21" s="4" customFormat="1" ht="38.25">
      <c r="A808" s="12" t="s">
        <v>939</v>
      </c>
      <c r="B808" s="25" t="s">
        <v>26</v>
      </c>
      <c r="C808" s="26" t="s">
        <v>50</v>
      </c>
      <c r="D808" s="26" t="s">
        <v>37</v>
      </c>
      <c r="E808" s="26" t="s">
        <v>391</v>
      </c>
      <c r="F808" s="26" t="s">
        <v>1060</v>
      </c>
      <c r="G808" s="27">
        <f t="shared" si="547"/>
        <v>2776480</v>
      </c>
      <c r="H808" s="27">
        <f t="shared" si="548"/>
        <v>2776480</v>
      </c>
      <c r="I808" s="27">
        <f t="shared" si="549"/>
        <v>2776480</v>
      </c>
      <c r="J808" s="16">
        <f>'БА в тыс. руб.'!G808*1000</f>
        <v>2776480</v>
      </c>
      <c r="K808" s="169">
        <f t="shared" si="525"/>
        <v>0</v>
      </c>
      <c r="L808" s="16">
        <f>'БА в тыс. руб.'!H808*1000</f>
        <v>2776480</v>
      </c>
      <c r="M808" s="169">
        <f t="shared" si="526"/>
        <v>0</v>
      </c>
      <c r="N808" s="16">
        <f>'БА в тыс. руб.'!I808*1000</f>
        <v>2776480</v>
      </c>
      <c r="O808" s="169">
        <f t="shared" si="527"/>
        <v>0</v>
      </c>
      <c r="P808" s="16"/>
      <c r="Q808" s="16"/>
      <c r="R808" s="16"/>
      <c r="S808" s="16"/>
      <c r="T808" s="16"/>
      <c r="U808" s="16"/>
    </row>
    <row r="809" spans="1:21" s="3" customFormat="1">
      <c r="A809" s="12" t="s">
        <v>175</v>
      </c>
      <c r="B809" s="25" t="s">
        <v>26</v>
      </c>
      <c r="C809" s="26" t="s">
        <v>50</v>
      </c>
      <c r="D809" s="26" t="s">
        <v>37</v>
      </c>
      <c r="E809" s="26" t="s">
        <v>371</v>
      </c>
      <c r="F809" s="26" t="s">
        <v>58</v>
      </c>
      <c r="G809" s="27">
        <f t="shared" ref="G809:I811" si="550">G810</f>
        <v>160000</v>
      </c>
      <c r="H809" s="27">
        <f t="shared" si="550"/>
        <v>160000</v>
      </c>
      <c r="I809" s="27">
        <f t="shared" si="550"/>
        <v>160000</v>
      </c>
      <c r="J809" s="16">
        <f>'БА в тыс. руб.'!G809*1000</f>
        <v>160000</v>
      </c>
      <c r="K809" s="169">
        <f t="shared" si="525"/>
        <v>0</v>
      </c>
      <c r="L809" s="16">
        <f>'БА в тыс. руб.'!H809*1000</f>
        <v>160000</v>
      </c>
      <c r="M809" s="169">
        <f t="shared" si="526"/>
        <v>0</v>
      </c>
      <c r="N809" s="16">
        <f>'БА в тыс. руб.'!I809*1000</f>
        <v>160000</v>
      </c>
      <c r="O809" s="169">
        <f t="shared" si="527"/>
        <v>0</v>
      </c>
      <c r="P809" s="16"/>
      <c r="Q809" s="16"/>
      <c r="R809" s="16"/>
      <c r="S809" s="16"/>
      <c r="T809" s="16"/>
      <c r="U809" s="16"/>
    </row>
    <row r="810" spans="1:21" s="3" customFormat="1" ht="38.25">
      <c r="A810" s="11" t="s">
        <v>697</v>
      </c>
      <c r="B810" s="25" t="s">
        <v>26</v>
      </c>
      <c r="C810" s="26" t="s">
        <v>50</v>
      </c>
      <c r="D810" s="26" t="s">
        <v>37</v>
      </c>
      <c r="E810" s="26" t="s">
        <v>689</v>
      </c>
      <c r="F810" s="26" t="s">
        <v>58</v>
      </c>
      <c r="G810" s="27">
        <f t="shared" si="550"/>
        <v>160000</v>
      </c>
      <c r="H810" s="27">
        <f t="shared" si="550"/>
        <v>160000</v>
      </c>
      <c r="I810" s="27">
        <f t="shared" si="550"/>
        <v>160000</v>
      </c>
      <c r="J810" s="16">
        <f>'БА в тыс. руб.'!G810*1000</f>
        <v>160000</v>
      </c>
      <c r="K810" s="169">
        <f t="shared" si="525"/>
        <v>0</v>
      </c>
      <c r="L810" s="16">
        <f>'БА в тыс. руб.'!H810*1000</f>
        <v>160000</v>
      </c>
      <c r="M810" s="169">
        <f t="shared" si="526"/>
        <v>0</v>
      </c>
      <c r="N810" s="16">
        <f>'БА в тыс. руб.'!I810*1000</f>
        <v>160000</v>
      </c>
      <c r="O810" s="169">
        <f t="shared" si="527"/>
        <v>0</v>
      </c>
      <c r="P810" s="16"/>
      <c r="Q810" s="16"/>
      <c r="R810" s="16"/>
      <c r="S810" s="16"/>
      <c r="T810" s="16"/>
      <c r="U810" s="16"/>
    </row>
    <row r="811" spans="1:21" s="3" customFormat="1" ht="25.5">
      <c r="A811" s="11" t="s">
        <v>108</v>
      </c>
      <c r="B811" s="25" t="s">
        <v>26</v>
      </c>
      <c r="C811" s="26" t="s">
        <v>50</v>
      </c>
      <c r="D811" s="26" t="s">
        <v>37</v>
      </c>
      <c r="E811" s="26" t="s">
        <v>689</v>
      </c>
      <c r="F811" s="26" t="s">
        <v>116</v>
      </c>
      <c r="G811" s="27">
        <f>G812</f>
        <v>160000</v>
      </c>
      <c r="H811" s="27">
        <f t="shared" si="550"/>
        <v>160000</v>
      </c>
      <c r="I811" s="27">
        <f t="shared" si="550"/>
        <v>160000</v>
      </c>
      <c r="J811" s="16">
        <f>'БА в тыс. руб.'!G811*1000</f>
        <v>160000</v>
      </c>
      <c r="K811" s="169">
        <f t="shared" si="525"/>
        <v>0</v>
      </c>
      <c r="L811" s="16">
        <f>'БА в тыс. руб.'!H811*1000</f>
        <v>160000</v>
      </c>
      <c r="M811" s="169">
        <f t="shared" si="526"/>
        <v>0</v>
      </c>
      <c r="N811" s="16">
        <f>'БА в тыс. руб.'!I811*1000</f>
        <v>160000</v>
      </c>
      <c r="O811" s="169">
        <f t="shared" si="527"/>
        <v>0</v>
      </c>
      <c r="P811" s="16"/>
      <c r="Q811" s="16"/>
      <c r="R811" s="16"/>
      <c r="S811" s="16"/>
      <c r="T811" s="16"/>
      <c r="U811" s="16"/>
    </row>
    <row r="812" spans="1:21" s="4" customFormat="1" ht="25.5">
      <c r="A812" s="12" t="s">
        <v>973</v>
      </c>
      <c r="B812" s="25" t="s">
        <v>26</v>
      </c>
      <c r="C812" s="26" t="s">
        <v>50</v>
      </c>
      <c r="D812" s="26" t="s">
        <v>37</v>
      </c>
      <c r="E812" s="26" t="s">
        <v>689</v>
      </c>
      <c r="F812" s="26" t="s">
        <v>1043</v>
      </c>
      <c r="G812" s="27">
        <f t="shared" ref="G812" si="551">J812</f>
        <v>160000</v>
      </c>
      <c r="H812" s="27">
        <f t="shared" ref="H812" si="552">L812</f>
        <v>160000</v>
      </c>
      <c r="I812" s="27">
        <f t="shared" ref="I812" si="553">N812</f>
        <v>160000</v>
      </c>
      <c r="J812" s="16">
        <f>'БА в тыс. руб.'!G812*1000</f>
        <v>160000</v>
      </c>
      <c r="K812" s="169">
        <f t="shared" si="525"/>
        <v>0</v>
      </c>
      <c r="L812" s="16">
        <f>'БА в тыс. руб.'!H812*1000</f>
        <v>160000</v>
      </c>
      <c r="M812" s="169">
        <f t="shared" si="526"/>
        <v>0</v>
      </c>
      <c r="N812" s="16">
        <f>'БА в тыс. руб.'!I812*1000</f>
        <v>160000</v>
      </c>
      <c r="O812" s="169">
        <f t="shared" si="527"/>
        <v>0</v>
      </c>
      <c r="P812" s="16"/>
      <c r="Q812" s="16"/>
      <c r="R812" s="16"/>
      <c r="S812" s="16"/>
      <c r="T812" s="16"/>
      <c r="U812" s="16"/>
    </row>
    <row r="813" spans="1:21" s="3" customFormat="1">
      <c r="A813" s="11"/>
      <c r="B813" s="25"/>
      <c r="C813" s="26"/>
      <c r="D813" s="26"/>
      <c r="E813" s="26"/>
      <c r="F813" s="26"/>
      <c r="G813" s="27"/>
      <c r="H813" s="27"/>
      <c r="I813" s="27"/>
      <c r="J813" s="16">
        <f>'БА в тыс. руб.'!G813*1000</f>
        <v>0</v>
      </c>
      <c r="K813" s="169">
        <f t="shared" si="525"/>
        <v>0</v>
      </c>
      <c r="L813" s="16">
        <f>'БА в тыс. руб.'!H813*1000</f>
        <v>0</v>
      </c>
      <c r="M813" s="169">
        <f t="shared" si="526"/>
        <v>0</v>
      </c>
      <c r="N813" s="16">
        <f>'БА в тыс. руб.'!I813*1000</f>
        <v>0</v>
      </c>
      <c r="O813" s="169">
        <f t="shared" si="527"/>
        <v>0</v>
      </c>
      <c r="P813" s="16"/>
      <c r="Q813" s="16"/>
      <c r="R813" s="16"/>
      <c r="S813" s="16"/>
      <c r="T813" s="16"/>
      <c r="U813" s="16"/>
    </row>
    <row r="814" spans="1:21" s="68" customFormat="1" ht="25.5">
      <c r="A814" s="28" t="s">
        <v>178</v>
      </c>
      <c r="B814" s="14" t="s">
        <v>62</v>
      </c>
      <c r="C814" s="15" t="s">
        <v>51</v>
      </c>
      <c r="D814" s="15" t="s">
        <v>51</v>
      </c>
      <c r="E814" s="15" t="s">
        <v>196</v>
      </c>
      <c r="F814" s="15" t="s">
        <v>58</v>
      </c>
      <c r="G814" s="117">
        <f>G823+G815</f>
        <v>1789669020</v>
      </c>
      <c r="H814" s="117">
        <f t="shared" ref="H814:I814" si="554">H823+H815</f>
        <v>1645296270</v>
      </c>
      <c r="I814" s="117">
        <f t="shared" si="554"/>
        <v>1801648700</v>
      </c>
      <c r="J814" s="16">
        <f>'БА в тыс. руб.'!G814*1000</f>
        <v>1789669020.0000005</v>
      </c>
      <c r="K814" s="169">
        <f t="shared" si="525"/>
        <v>0</v>
      </c>
      <c r="L814" s="16">
        <f>'БА в тыс. руб.'!H814*1000</f>
        <v>1645296270</v>
      </c>
      <c r="M814" s="169">
        <f t="shared" si="526"/>
        <v>0</v>
      </c>
      <c r="N814" s="16">
        <f>'БА в тыс. руб.'!I814*1000</f>
        <v>1801648700.0000002</v>
      </c>
      <c r="O814" s="169">
        <f t="shared" si="527"/>
        <v>0</v>
      </c>
      <c r="P814" s="16"/>
      <c r="Q814" s="16"/>
      <c r="R814" s="16"/>
      <c r="S814" s="16"/>
      <c r="T814" s="16"/>
      <c r="U814" s="16"/>
    </row>
    <row r="815" spans="1:21" s="109" customFormat="1" ht="12.75">
      <c r="A815" s="17" t="s">
        <v>64</v>
      </c>
      <c r="B815" s="18" t="s">
        <v>62</v>
      </c>
      <c r="C815" s="19" t="s">
        <v>65</v>
      </c>
      <c r="D815" s="19" t="s">
        <v>51</v>
      </c>
      <c r="E815" s="19" t="s">
        <v>196</v>
      </c>
      <c r="F815" s="19" t="s">
        <v>58</v>
      </c>
      <c r="G815" s="20">
        <f t="shared" ref="G815:I821" si="555">G816</f>
        <v>6590</v>
      </c>
      <c r="H815" s="20">
        <f t="shared" si="555"/>
        <v>6590</v>
      </c>
      <c r="I815" s="20">
        <f t="shared" si="555"/>
        <v>6590</v>
      </c>
      <c r="J815" s="16">
        <f>'БА в тыс. руб.'!G815*1000</f>
        <v>6590</v>
      </c>
      <c r="K815" s="169">
        <f t="shared" si="525"/>
        <v>0</v>
      </c>
      <c r="L815" s="16">
        <f>'БА в тыс. руб.'!H815*1000</f>
        <v>6590</v>
      </c>
      <c r="M815" s="169">
        <f t="shared" si="526"/>
        <v>0</v>
      </c>
      <c r="N815" s="16">
        <f>'БА в тыс. руб.'!I815*1000</f>
        <v>6590</v>
      </c>
      <c r="O815" s="169">
        <f t="shared" si="527"/>
        <v>0</v>
      </c>
      <c r="P815" s="16"/>
      <c r="Q815" s="16"/>
      <c r="R815" s="16"/>
      <c r="S815" s="16"/>
      <c r="T815" s="16"/>
      <c r="U815" s="16"/>
    </row>
    <row r="816" spans="1:21" s="109" customFormat="1" ht="12.75">
      <c r="A816" s="21" t="s">
        <v>38</v>
      </c>
      <c r="B816" s="22" t="s">
        <v>62</v>
      </c>
      <c r="C816" s="23" t="s">
        <v>65</v>
      </c>
      <c r="D816" s="23" t="s">
        <v>84</v>
      </c>
      <c r="E816" s="23" t="s">
        <v>196</v>
      </c>
      <c r="F816" s="23" t="s">
        <v>58</v>
      </c>
      <c r="G816" s="24">
        <f t="shared" si="555"/>
        <v>6590</v>
      </c>
      <c r="H816" s="24">
        <f t="shared" si="555"/>
        <v>6590</v>
      </c>
      <c r="I816" s="24">
        <f t="shared" si="555"/>
        <v>6590</v>
      </c>
      <c r="J816" s="16">
        <f>'БА в тыс. руб.'!G816*1000</f>
        <v>6590</v>
      </c>
      <c r="K816" s="169">
        <f t="shared" si="525"/>
        <v>0</v>
      </c>
      <c r="L816" s="16">
        <f>'БА в тыс. руб.'!H816*1000</f>
        <v>6590</v>
      </c>
      <c r="M816" s="169">
        <f t="shared" si="526"/>
        <v>0</v>
      </c>
      <c r="N816" s="16">
        <f>'БА в тыс. руб.'!I816*1000</f>
        <v>6590</v>
      </c>
      <c r="O816" s="169">
        <f t="shared" si="527"/>
        <v>0</v>
      </c>
      <c r="P816" s="16"/>
      <c r="Q816" s="16"/>
      <c r="R816" s="16"/>
      <c r="S816" s="16"/>
      <c r="T816" s="16"/>
      <c r="U816" s="16"/>
    </row>
    <row r="817" spans="1:21" s="109" customFormat="1" ht="38.25">
      <c r="A817" s="13" t="s">
        <v>745</v>
      </c>
      <c r="B817" s="25" t="s">
        <v>62</v>
      </c>
      <c r="C817" s="26" t="s">
        <v>65</v>
      </c>
      <c r="D817" s="26" t="s">
        <v>84</v>
      </c>
      <c r="E817" s="26" t="s">
        <v>280</v>
      </c>
      <c r="F817" s="26" t="s">
        <v>58</v>
      </c>
      <c r="G817" s="27">
        <f t="shared" si="555"/>
        <v>6590</v>
      </c>
      <c r="H817" s="27">
        <f t="shared" si="555"/>
        <v>6590</v>
      </c>
      <c r="I817" s="27">
        <f t="shared" si="555"/>
        <v>6590</v>
      </c>
      <c r="J817" s="16">
        <f>'БА в тыс. руб.'!G817*1000</f>
        <v>6590</v>
      </c>
      <c r="K817" s="169">
        <f t="shared" si="525"/>
        <v>0</v>
      </c>
      <c r="L817" s="16">
        <f>'БА в тыс. руб.'!H817*1000</f>
        <v>6590</v>
      </c>
      <c r="M817" s="169">
        <f t="shared" si="526"/>
        <v>0</v>
      </c>
      <c r="N817" s="16">
        <f>'БА в тыс. руб.'!I817*1000</f>
        <v>6590</v>
      </c>
      <c r="O817" s="169">
        <f t="shared" si="527"/>
        <v>0</v>
      </c>
      <c r="P817" s="16"/>
      <c r="Q817" s="16"/>
      <c r="R817" s="16"/>
      <c r="S817" s="16"/>
      <c r="T817" s="16"/>
      <c r="U817" s="16"/>
    </row>
    <row r="818" spans="1:21" s="109" customFormat="1" ht="51">
      <c r="A818" s="13" t="s">
        <v>746</v>
      </c>
      <c r="B818" s="25" t="s">
        <v>62</v>
      </c>
      <c r="C818" s="26" t="s">
        <v>65</v>
      </c>
      <c r="D818" s="26" t="s">
        <v>84</v>
      </c>
      <c r="E818" s="26" t="s">
        <v>281</v>
      </c>
      <c r="F818" s="26" t="s">
        <v>58</v>
      </c>
      <c r="G818" s="27">
        <f t="shared" si="555"/>
        <v>6590</v>
      </c>
      <c r="H818" s="27">
        <f t="shared" si="555"/>
        <v>6590</v>
      </c>
      <c r="I818" s="27">
        <f t="shared" si="555"/>
        <v>6590</v>
      </c>
      <c r="J818" s="16">
        <f>'БА в тыс. руб.'!G818*1000</f>
        <v>6590</v>
      </c>
      <c r="K818" s="169">
        <f t="shared" si="525"/>
        <v>0</v>
      </c>
      <c r="L818" s="16">
        <f>'БА в тыс. руб.'!H818*1000</f>
        <v>6590</v>
      </c>
      <c r="M818" s="169">
        <f t="shared" si="526"/>
        <v>0</v>
      </c>
      <c r="N818" s="16">
        <f>'БА в тыс. руб.'!I818*1000</f>
        <v>6590</v>
      </c>
      <c r="O818" s="169">
        <f t="shared" si="527"/>
        <v>0</v>
      </c>
      <c r="P818" s="16"/>
      <c r="Q818" s="16"/>
      <c r="R818" s="16"/>
      <c r="S818" s="16"/>
      <c r="T818" s="16"/>
      <c r="U818" s="16"/>
    </row>
    <row r="819" spans="1:21" s="109" customFormat="1" ht="38.25">
      <c r="A819" s="11" t="s">
        <v>282</v>
      </c>
      <c r="B819" s="25" t="s">
        <v>62</v>
      </c>
      <c r="C819" s="26" t="s">
        <v>65</v>
      </c>
      <c r="D819" s="26" t="s">
        <v>84</v>
      </c>
      <c r="E819" s="26" t="s">
        <v>283</v>
      </c>
      <c r="F819" s="26" t="s">
        <v>58</v>
      </c>
      <c r="G819" s="27">
        <f t="shared" si="555"/>
        <v>6590</v>
      </c>
      <c r="H819" s="27">
        <f t="shared" si="555"/>
        <v>6590</v>
      </c>
      <c r="I819" s="27">
        <f t="shared" si="555"/>
        <v>6590</v>
      </c>
      <c r="J819" s="16">
        <f>'БА в тыс. руб.'!G819*1000</f>
        <v>6590</v>
      </c>
      <c r="K819" s="169">
        <f t="shared" si="525"/>
        <v>0</v>
      </c>
      <c r="L819" s="16">
        <f>'БА в тыс. руб.'!H819*1000</f>
        <v>6590</v>
      </c>
      <c r="M819" s="169">
        <f t="shared" si="526"/>
        <v>0</v>
      </c>
      <c r="N819" s="16">
        <f>'БА в тыс. руб.'!I819*1000</f>
        <v>6590</v>
      </c>
      <c r="O819" s="169">
        <f t="shared" si="527"/>
        <v>0</v>
      </c>
      <c r="P819" s="16"/>
      <c r="Q819" s="16"/>
      <c r="R819" s="16"/>
      <c r="S819" s="16"/>
      <c r="T819" s="16"/>
      <c r="U819" s="16"/>
    </row>
    <row r="820" spans="1:21" s="68" customFormat="1" ht="25.5">
      <c r="A820" s="11" t="s">
        <v>859</v>
      </c>
      <c r="B820" s="25" t="s">
        <v>62</v>
      </c>
      <c r="C820" s="26" t="s">
        <v>65</v>
      </c>
      <c r="D820" s="26" t="s">
        <v>84</v>
      </c>
      <c r="E820" s="26" t="s">
        <v>858</v>
      </c>
      <c r="F820" s="26" t="s">
        <v>58</v>
      </c>
      <c r="G820" s="27">
        <f t="shared" si="555"/>
        <v>6590</v>
      </c>
      <c r="H820" s="27">
        <f t="shared" si="555"/>
        <v>6590</v>
      </c>
      <c r="I820" s="27">
        <f t="shared" si="555"/>
        <v>6590</v>
      </c>
      <c r="J820" s="16">
        <f>'БА в тыс. руб.'!G820*1000</f>
        <v>6590</v>
      </c>
      <c r="K820" s="169">
        <f t="shared" si="525"/>
        <v>0</v>
      </c>
      <c r="L820" s="16">
        <f>'БА в тыс. руб.'!H820*1000</f>
        <v>6590</v>
      </c>
      <c r="M820" s="169">
        <f t="shared" si="526"/>
        <v>0</v>
      </c>
      <c r="N820" s="16">
        <f>'БА в тыс. руб.'!I820*1000</f>
        <v>6590</v>
      </c>
      <c r="O820" s="169">
        <f t="shared" si="527"/>
        <v>0</v>
      </c>
      <c r="P820" s="16"/>
      <c r="Q820" s="16"/>
      <c r="R820" s="16"/>
      <c r="S820" s="16"/>
      <c r="T820" s="16"/>
      <c r="U820" s="16"/>
    </row>
    <row r="821" spans="1:21" s="68" customFormat="1" ht="25.5">
      <c r="A821" s="11" t="s">
        <v>108</v>
      </c>
      <c r="B821" s="25" t="s">
        <v>62</v>
      </c>
      <c r="C821" s="26" t="s">
        <v>65</v>
      </c>
      <c r="D821" s="26" t="s">
        <v>84</v>
      </c>
      <c r="E821" s="26" t="s">
        <v>858</v>
      </c>
      <c r="F821" s="26" t="s">
        <v>116</v>
      </c>
      <c r="G821" s="27">
        <f>G822</f>
        <v>6590</v>
      </c>
      <c r="H821" s="27">
        <f t="shared" si="555"/>
        <v>6590</v>
      </c>
      <c r="I821" s="27">
        <f t="shared" si="555"/>
        <v>6590</v>
      </c>
      <c r="J821" s="16">
        <f>'БА в тыс. руб.'!G821*1000</f>
        <v>6590</v>
      </c>
      <c r="K821" s="169">
        <f t="shared" si="525"/>
        <v>0</v>
      </c>
      <c r="L821" s="16">
        <f>'БА в тыс. руб.'!H821*1000</f>
        <v>6590</v>
      </c>
      <c r="M821" s="169">
        <f t="shared" si="526"/>
        <v>0</v>
      </c>
      <c r="N821" s="16">
        <f>'БА в тыс. руб.'!I821*1000</f>
        <v>6590</v>
      </c>
      <c r="O821" s="169">
        <f t="shared" si="527"/>
        <v>0</v>
      </c>
      <c r="P821" s="16"/>
      <c r="Q821" s="16"/>
      <c r="R821" s="16"/>
      <c r="S821" s="16"/>
      <c r="T821" s="16"/>
      <c r="U821" s="16"/>
    </row>
    <row r="822" spans="1:21" s="118" customFormat="1" ht="25.5">
      <c r="A822" s="12" t="s">
        <v>973</v>
      </c>
      <c r="B822" s="25" t="s">
        <v>62</v>
      </c>
      <c r="C822" s="26" t="s">
        <v>65</v>
      </c>
      <c r="D822" s="26" t="s">
        <v>84</v>
      </c>
      <c r="E822" s="26" t="s">
        <v>858</v>
      </c>
      <c r="F822" s="26" t="s">
        <v>1043</v>
      </c>
      <c r="G822" s="27">
        <f t="shared" ref="G822" si="556">J822</f>
        <v>6590</v>
      </c>
      <c r="H822" s="27">
        <f>L822</f>
        <v>6590</v>
      </c>
      <c r="I822" s="27">
        <f>N822</f>
        <v>6590</v>
      </c>
      <c r="J822" s="16">
        <f>'БА в тыс. руб.'!G822*1000</f>
        <v>6590</v>
      </c>
      <c r="K822" s="169">
        <f t="shared" si="525"/>
        <v>0</v>
      </c>
      <c r="L822" s="16">
        <f>'БА в тыс. руб.'!H822*1000</f>
        <v>6590</v>
      </c>
      <c r="M822" s="169">
        <f t="shared" si="526"/>
        <v>0</v>
      </c>
      <c r="N822" s="16">
        <f>'БА в тыс. руб.'!I822*1000</f>
        <v>6590</v>
      </c>
      <c r="O822" s="169">
        <f t="shared" si="527"/>
        <v>0</v>
      </c>
      <c r="P822" s="16"/>
      <c r="Q822" s="16"/>
      <c r="R822" s="16"/>
      <c r="S822" s="16"/>
      <c r="T822" s="16"/>
      <c r="U822" s="16"/>
    </row>
    <row r="823" spans="1:21" s="30" customFormat="1">
      <c r="A823" s="17" t="s">
        <v>49</v>
      </c>
      <c r="B823" s="18" t="s">
        <v>62</v>
      </c>
      <c r="C823" s="19" t="s">
        <v>14</v>
      </c>
      <c r="D823" s="19" t="s">
        <v>51</v>
      </c>
      <c r="E823" s="19" t="s">
        <v>196</v>
      </c>
      <c r="F823" s="19" t="s">
        <v>58</v>
      </c>
      <c r="G823" s="20">
        <f>G824+G960+G970</f>
        <v>1789662430</v>
      </c>
      <c r="H823" s="20">
        <f>H824+H960+H970</f>
        <v>1645289680</v>
      </c>
      <c r="I823" s="20">
        <f>I824+I960+I970</f>
        <v>1801642110</v>
      </c>
      <c r="J823" s="16">
        <f>'БА в тыс. руб.'!G823*1000</f>
        <v>1789662430.0000005</v>
      </c>
      <c r="K823" s="169">
        <f t="shared" si="525"/>
        <v>0</v>
      </c>
      <c r="L823" s="16">
        <f>'БА в тыс. руб.'!H823*1000</f>
        <v>1645289680</v>
      </c>
      <c r="M823" s="169">
        <f t="shared" si="526"/>
        <v>0</v>
      </c>
      <c r="N823" s="16">
        <f>'БА в тыс. руб.'!I823*1000</f>
        <v>1801642110</v>
      </c>
      <c r="O823" s="169">
        <f t="shared" si="527"/>
        <v>0</v>
      </c>
      <c r="P823" s="16"/>
      <c r="Q823" s="16"/>
      <c r="R823" s="16"/>
      <c r="S823" s="16"/>
      <c r="T823" s="16"/>
      <c r="U823" s="16"/>
    </row>
    <row r="824" spans="1:21" s="30" customFormat="1">
      <c r="A824" s="21" t="s">
        <v>63</v>
      </c>
      <c r="B824" s="22" t="s">
        <v>62</v>
      </c>
      <c r="C824" s="23" t="s">
        <v>14</v>
      </c>
      <c r="D824" s="23" t="s">
        <v>53</v>
      </c>
      <c r="E824" s="23" t="s">
        <v>196</v>
      </c>
      <c r="F824" s="23" t="s">
        <v>58</v>
      </c>
      <c r="G824" s="24">
        <f>G825</f>
        <v>1597546070</v>
      </c>
      <c r="H824" s="24">
        <f>H825</f>
        <v>1453291780</v>
      </c>
      <c r="I824" s="24">
        <f>I825</f>
        <v>1609572210</v>
      </c>
      <c r="J824" s="16">
        <f>'БА в тыс. руб.'!G824*1000</f>
        <v>1597546070.0000002</v>
      </c>
      <c r="K824" s="169">
        <f t="shared" si="525"/>
        <v>0</v>
      </c>
      <c r="L824" s="16">
        <f>'БА в тыс. руб.'!H824*1000</f>
        <v>1453291780</v>
      </c>
      <c r="M824" s="169">
        <f t="shared" si="526"/>
        <v>0</v>
      </c>
      <c r="N824" s="16">
        <f>'БА в тыс. руб.'!I824*1000</f>
        <v>1609572210.0000002</v>
      </c>
      <c r="O824" s="169">
        <f t="shared" si="527"/>
        <v>0</v>
      </c>
      <c r="P824" s="16"/>
      <c r="Q824" s="16"/>
      <c r="R824" s="16"/>
      <c r="S824" s="16"/>
      <c r="T824" s="16"/>
      <c r="U824" s="16"/>
    </row>
    <row r="825" spans="1:21" s="30" customFormat="1" ht="25.5">
      <c r="A825" s="31" t="s">
        <v>727</v>
      </c>
      <c r="B825" s="25" t="s">
        <v>62</v>
      </c>
      <c r="C825" s="26" t="s">
        <v>14</v>
      </c>
      <c r="D825" s="26" t="s">
        <v>53</v>
      </c>
      <c r="E825" s="26" t="s">
        <v>327</v>
      </c>
      <c r="F825" s="26" t="s">
        <v>58</v>
      </c>
      <c r="G825" s="161">
        <f>G826+G906+G955</f>
        <v>1597546070</v>
      </c>
      <c r="H825" s="161">
        <f t="shared" ref="H825:I825" si="557">H826+H906+H955</f>
        <v>1453291780</v>
      </c>
      <c r="I825" s="161">
        <f t="shared" si="557"/>
        <v>1609572210</v>
      </c>
      <c r="J825" s="16">
        <f>'БА в тыс. руб.'!G825*1000</f>
        <v>1597546070.0000002</v>
      </c>
      <c r="K825" s="169">
        <f t="shared" si="525"/>
        <v>0</v>
      </c>
      <c r="L825" s="16">
        <f>'БА в тыс. руб.'!H825*1000</f>
        <v>1453291780</v>
      </c>
      <c r="M825" s="169">
        <f t="shared" si="526"/>
        <v>0</v>
      </c>
      <c r="N825" s="16">
        <f>'БА в тыс. руб.'!I825*1000</f>
        <v>1609572210.0000002</v>
      </c>
      <c r="O825" s="169">
        <f t="shared" si="527"/>
        <v>0</v>
      </c>
      <c r="P825" s="16"/>
      <c r="Q825" s="16"/>
      <c r="R825" s="16"/>
      <c r="S825" s="16"/>
      <c r="T825" s="16"/>
      <c r="U825" s="16"/>
    </row>
    <row r="826" spans="1:21" s="30" customFormat="1" ht="38.25">
      <c r="A826" s="120" t="s">
        <v>728</v>
      </c>
      <c r="B826" s="25" t="s">
        <v>62</v>
      </c>
      <c r="C826" s="26" t="s">
        <v>14</v>
      </c>
      <c r="D826" s="26" t="s">
        <v>53</v>
      </c>
      <c r="E826" s="26" t="s">
        <v>392</v>
      </c>
      <c r="F826" s="26" t="s">
        <v>58</v>
      </c>
      <c r="G826" s="161">
        <f>G827+G884</f>
        <v>1573970700</v>
      </c>
      <c r="H826" s="161">
        <f>H827+H884</f>
        <v>1431232370</v>
      </c>
      <c r="I826" s="161">
        <f>I827+I884</f>
        <v>1587512800</v>
      </c>
      <c r="J826" s="16">
        <f>'БА в тыс. руб.'!G826*1000</f>
        <v>1573970700.0000002</v>
      </c>
      <c r="K826" s="169">
        <f t="shared" si="525"/>
        <v>0</v>
      </c>
      <c r="L826" s="16">
        <f>'БА в тыс. руб.'!H826*1000</f>
        <v>1431232370</v>
      </c>
      <c r="M826" s="169">
        <f t="shared" si="526"/>
        <v>0</v>
      </c>
      <c r="N826" s="16">
        <f>'БА в тыс. руб.'!I826*1000</f>
        <v>1587512800.0000002</v>
      </c>
      <c r="O826" s="169">
        <f t="shared" si="527"/>
        <v>0</v>
      </c>
      <c r="P826" s="16"/>
      <c r="Q826" s="16"/>
      <c r="R826" s="16"/>
      <c r="S826" s="16"/>
      <c r="T826" s="16"/>
      <c r="U826" s="16"/>
    </row>
    <row r="827" spans="1:21" s="30" customFormat="1" ht="25.5">
      <c r="A827" s="152" t="s">
        <v>393</v>
      </c>
      <c r="B827" s="25" t="s">
        <v>62</v>
      </c>
      <c r="C827" s="26" t="s">
        <v>14</v>
      </c>
      <c r="D827" s="26" t="s">
        <v>53</v>
      </c>
      <c r="E827" s="26" t="s">
        <v>394</v>
      </c>
      <c r="F827" s="26" t="s">
        <v>58</v>
      </c>
      <c r="G827" s="119">
        <f>G828+G833+G841+G846+G849+G854+G859+G864+G869+G874+G879</f>
        <v>1255740060</v>
      </c>
      <c r="H827" s="119">
        <f t="shared" ref="H827:I827" si="558">H828+H833+H841+H846+H849+H854+H859+H864+H869+H874+H879</f>
        <v>1120001490</v>
      </c>
      <c r="I827" s="119">
        <f t="shared" si="558"/>
        <v>1252406710</v>
      </c>
      <c r="J827" s="16">
        <f>'БА в тыс. руб.'!G827*1000</f>
        <v>1255740060</v>
      </c>
      <c r="K827" s="169">
        <f t="shared" si="525"/>
        <v>0</v>
      </c>
      <c r="L827" s="16">
        <f>'БА в тыс. руб.'!H827*1000</f>
        <v>1120001490</v>
      </c>
      <c r="M827" s="169">
        <f t="shared" si="526"/>
        <v>0</v>
      </c>
      <c r="N827" s="16">
        <f>'БА в тыс. руб.'!I827*1000</f>
        <v>1252406710.0000002</v>
      </c>
      <c r="O827" s="169">
        <f t="shared" si="527"/>
        <v>0</v>
      </c>
      <c r="P827" s="16"/>
      <c r="Q827" s="16"/>
      <c r="R827" s="16"/>
      <c r="S827" s="16"/>
      <c r="T827" s="16"/>
      <c r="U827" s="16"/>
    </row>
    <row r="828" spans="1:21" s="30" customFormat="1" ht="25.5">
      <c r="A828" s="31" t="s">
        <v>593</v>
      </c>
      <c r="B828" s="25" t="s">
        <v>62</v>
      </c>
      <c r="C828" s="26" t="s">
        <v>14</v>
      </c>
      <c r="D828" s="26" t="s">
        <v>53</v>
      </c>
      <c r="E828" s="26" t="s">
        <v>395</v>
      </c>
      <c r="F828" s="26" t="s">
        <v>58</v>
      </c>
      <c r="G828" s="119">
        <f>G829+G831</f>
        <v>15553000</v>
      </c>
      <c r="H828" s="119">
        <f>H829+H831</f>
        <v>15553000</v>
      </c>
      <c r="I828" s="119">
        <f>I829+I831</f>
        <v>15553000</v>
      </c>
      <c r="J828" s="16">
        <f>'БА в тыс. руб.'!G828*1000</f>
        <v>15553000</v>
      </c>
      <c r="K828" s="169">
        <f t="shared" si="525"/>
        <v>0</v>
      </c>
      <c r="L828" s="16">
        <f>'БА в тыс. руб.'!H828*1000</f>
        <v>15553000</v>
      </c>
      <c r="M828" s="169">
        <f t="shared" si="526"/>
        <v>0</v>
      </c>
      <c r="N828" s="16">
        <f>'БА в тыс. руб.'!I828*1000</f>
        <v>15553000</v>
      </c>
      <c r="O828" s="169">
        <f t="shared" si="527"/>
        <v>0</v>
      </c>
      <c r="P828" s="16"/>
      <c r="Q828" s="16"/>
      <c r="R828" s="16"/>
      <c r="S828" s="16"/>
      <c r="T828" s="16"/>
      <c r="U828" s="16"/>
    </row>
    <row r="829" spans="1:21" s="30" customFormat="1" ht="25.5">
      <c r="A829" s="11" t="s">
        <v>108</v>
      </c>
      <c r="B829" s="25" t="s">
        <v>62</v>
      </c>
      <c r="C829" s="26" t="s">
        <v>14</v>
      </c>
      <c r="D829" s="26" t="s">
        <v>53</v>
      </c>
      <c r="E829" s="26" t="s">
        <v>395</v>
      </c>
      <c r="F829" s="26" t="s">
        <v>116</v>
      </c>
      <c r="G829" s="119">
        <f>G830</f>
        <v>229840</v>
      </c>
      <c r="H829" s="119">
        <f t="shared" ref="H829:I829" si="559">H830</f>
        <v>229840</v>
      </c>
      <c r="I829" s="119">
        <f t="shared" si="559"/>
        <v>229840</v>
      </c>
      <c r="J829" s="16">
        <f>'БА в тыс. руб.'!G829*1000</f>
        <v>229840</v>
      </c>
      <c r="K829" s="169">
        <f t="shared" si="525"/>
        <v>0</v>
      </c>
      <c r="L829" s="16">
        <f>'БА в тыс. руб.'!H829*1000</f>
        <v>229840</v>
      </c>
      <c r="M829" s="169">
        <f t="shared" si="526"/>
        <v>0</v>
      </c>
      <c r="N829" s="16">
        <f>'БА в тыс. руб.'!I829*1000</f>
        <v>229840</v>
      </c>
      <c r="O829" s="169">
        <f t="shared" si="527"/>
        <v>0</v>
      </c>
      <c r="P829" s="16"/>
      <c r="Q829" s="16"/>
      <c r="R829" s="16"/>
      <c r="S829" s="16"/>
      <c r="T829" s="16"/>
      <c r="U829" s="16"/>
    </row>
    <row r="830" spans="1:21" s="83" customFormat="1" ht="25.5">
      <c r="A830" s="12" t="s">
        <v>973</v>
      </c>
      <c r="B830" s="25" t="s">
        <v>62</v>
      </c>
      <c r="C830" s="26" t="s">
        <v>14</v>
      </c>
      <c r="D830" s="26" t="s">
        <v>53</v>
      </c>
      <c r="E830" s="26" t="s">
        <v>395</v>
      </c>
      <c r="F830" s="26" t="s">
        <v>1043</v>
      </c>
      <c r="G830" s="27">
        <f t="shared" ref="G830" si="560">J830</f>
        <v>229840</v>
      </c>
      <c r="H830" s="27">
        <f>L830</f>
        <v>229840</v>
      </c>
      <c r="I830" s="27">
        <f>N830</f>
        <v>229840</v>
      </c>
      <c r="J830" s="16">
        <f>'БА в тыс. руб.'!G830*1000</f>
        <v>229840</v>
      </c>
      <c r="K830" s="169">
        <f t="shared" si="525"/>
        <v>0</v>
      </c>
      <c r="L830" s="16">
        <f>'БА в тыс. руб.'!H830*1000</f>
        <v>229840</v>
      </c>
      <c r="M830" s="169">
        <f t="shared" si="526"/>
        <v>0</v>
      </c>
      <c r="N830" s="16">
        <f>'БА в тыс. руб.'!I830*1000</f>
        <v>229840</v>
      </c>
      <c r="O830" s="169">
        <f t="shared" si="527"/>
        <v>0</v>
      </c>
      <c r="P830" s="16"/>
      <c r="Q830" s="16"/>
      <c r="R830" s="16"/>
      <c r="S830" s="16"/>
      <c r="T830" s="16"/>
      <c r="U830" s="16"/>
    </row>
    <row r="831" spans="1:21" s="30" customFormat="1">
      <c r="A831" s="13" t="s">
        <v>109</v>
      </c>
      <c r="B831" s="25" t="s">
        <v>62</v>
      </c>
      <c r="C831" s="26" t="s">
        <v>14</v>
      </c>
      <c r="D831" s="26" t="s">
        <v>53</v>
      </c>
      <c r="E831" s="26" t="s">
        <v>395</v>
      </c>
      <c r="F831" s="26" t="s">
        <v>134</v>
      </c>
      <c r="G831" s="119">
        <f>G832</f>
        <v>15323160</v>
      </c>
      <c r="H831" s="119">
        <f t="shared" ref="H831:I831" si="561">H832</f>
        <v>15323160</v>
      </c>
      <c r="I831" s="119">
        <f t="shared" si="561"/>
        <v>15323160</v>
      </c>
      <c r="J831" s="16">
        <f>'БА в тыс. руб.'!G831*1000</f>
        <v>15323160</v>
      </c>
      <c r="K831" s="169">
        <f t="shared" si="525"/>
        <v>0</v>
      </c>
      <c r="L831" s="16">
        <f>'БА в тыс. руб.'!H831*1000</f>
        <v>15323160</v>
      </c>
      <c r="M831" s="169">
        <f t="shared" si="526"/>
        <v>0</v>
      </c>
      <c r="N831" s="16">
        <f>'БА в тыс. руб.'!I831*1000</f>
        <v>15323160</v>
      </c>
      <c r="O831" s="169">
        <f t="shared" si="527"/>
        <v>0</v>
      </c>
      <c r="P831" s="16"/>
      <c r="Q831" s="16"/>
      <c r="R831" s="16"/>
      <c r="S831" s="16"/>
      <c r="T831" s="16"/>
      <c r="U831" s="16"/>
    </row>
    <row r="832" spans="1:21" s="83" customFormat="1" ht="25.5">
      <c r="A832" s="12" t="s">
        <v>978</v>
      </c>
      <c r="B832" s="25" t="s">
        <v>62</v>
      </c>
      <c r="C832" s="26" t="s">
        <v>14</v>
      </c>
      <c r="D832" s="26" t="s">
        <v>53</v>
      </c>
      <c r="E832" s="26" t="s">
        <v>395</v>
      </c>
      <c r="F832" s="26" t="s">
        <v>1064</v>
      </c>
      <c r="G832" s="27">
        <f t="shared" ref="G832" si="562">J832</f>
        <v>15323160</v>
      </c>
      <c r="H832" s="27">
        <f>L832</f>
        <v>15323160</v>
      </c>
      <c r="I832" s="27">
        <f>N832</f>
        <v>15323160</v>
      </c>
      <c r="J832" s="16">
        <f>'БА в тыс. руб.'!G832*1000</f>
        <v>15323160</v>
      </c>
      <c r="K832" s="169">
        <f t="shared" si="525"/>
        <v>0</v>
      </c>
      <c r="L832" s="16">
        <f>'БА в тыс. руб.'!H832*1000</f>
        <v>15323160</v>
      </c>
      <c r="M832" s="169">
        <f t="shared" si="526"/>
        <v>0</v>
      </c>
      <c r="N832" s="16">
        <f>'БА в тыс. руб.'!I832*1000</f>
        <v>15323160</v>
      </c>
      <c r="O832" s="169">
        <f t="shared" si="527"/>
        <v>0</v>
      </c>
      <c r="P832" s="16"/>
      <c r="Q832" s="16"/>
      <c r="R832" s="16"/>
      <c r="S832" s="16"/>
      <c r="T832" s="16"/>
      <c r="U832" s="16"/>
    </row>
    <row r="833" spans="1:21" s="30" customFormat="1" ht="25.5">
      <c r="A833" s="31" t="s">
        <v>396</v>
      </c>
      <c r="B833" s="25" t="s">
        <v>62</v>
      </c>
      <c r="C833" s="26" t="s">
        <v>14</v>
      </c>
      <c r="D833" s="26" t="s">
        <v>53</v>
      </c>
      <c r="E833" s="26" t="s">
        <v>397</v>
      </c>
      <c r="F833" s="26" t="s">
        <v>58</v>
      </c>
      <c r="G833" s="119">
        <f>G834+G837+G839</f>
        <v>340047600</v>
      </c>
      <c r="H833" s="119">
        <f>H834+H837+H839</f>
        <v>340355020</v>
      </c>
      <c r="I833" s="119">
        <f>I834+I837+I839</f>
        <v>340145820</v>
      </c>
      <c r="J833" s="16">
        <f>'БА в тыс. руб.'!G833*1000</f>
        <v>340047600</v>
      </c>
      <c r="K833" s="169">
        <f t="shared" si="525"/>
        <v>0</v>
      </c>
      <c r="L833" s="16">
        <f>'БА в тыс. руб.'!H833*1000</f>
        <v>340355020</v>
      </c>
      <c r="M833" s="169">
        <f t="shared" si="526"/>
        <v>0</v>
      </c>
      <c r="N833" s="16">
        <f>'БА в тыс. руб.'!I833*1000</f>
        <v>340145820</v>
      </c>
      <c r="O833" s="169">
        <f t="shared" si="527"/>
        <v>0</v>
      </c>
      <c r="P833" s="16"/>
      <c r="Q833" s="16"/>
      <c r="R833" s="16"/>
      <c r="S833" s="16"/>
      <c r="T833" s="16"/>
      <c r="U833" s="16"/>
    </row>
    <row r="834" spans="1:21" s="30" customFormat="1" ht="25.5">
      <c r="A834" s="12" t="s">
        <v>107</v>
      </c>
      <c r="B834" s="25" t="s">
        <v>62</v>
      </c>
      <c r="C834" s="26" t="s">
        <v>14</v>
      </c>
      <c r="D834" s="26" t="s">
        <v>53</v>
      </c>
      <c r="E834" s="26" t="s">
        <v>397</v>
      </c>
      <c r="F834" s="26" t="s">
        <v>115</v>
      </c>
      <c r="G834" s="119">
        <f>SUM(G835:G836)</f>
        <v>1654900</v>
      </c>
      <c r="H834" s="119">
        <f t="shared" ref="H834:I834" si="563">SUM(H835:H836)</f>
        <v>1654900</v>
      </c>
      <c r="I834" s="119">
        <f t="shared" si="563"/>
        <v>1654900</v>
      </c>
      <c r="J834" s="16">
        <f>'БА в тыс. руб.'!G834*1000</f>
        <v>1654900</v>
      </c>
      <c r="K834" s="169">
        <f t="shared" si="525"/>
        <v>0</v>
      </c>
      <c r="L834" s="16">
        <f>'БА в тыс. руб.'!H834*1000</f>
        <v>1654900</v>
      </c>
      <c r="M834" s="169">
        <f t="shared" si="526"/>
        <v>0</v>
      </c>
      <c r="N834" s="16">
        <f>'БА в тыс. руб.'!I834*1000</f>
        <v>1654900</v>
      </c>
      <c r="O834" s="169">
        <f t="shared" si="527"/>
        <v>0</v>
      </c>
      <c r="P834" s="16"/>
      <c r="Q834" s="16"/>
      <c r="R834" s="16"/>
      <c r="S834" s="16"/>
      <c r="T834" s="16"/>
      <c r="U834" s="16"/>
    </row>
    <row r="835" spans="1:21" s="83" customFormat="1">
      <c r="A835" s="12" t="s">
        <v>936</v>
      </c>
      <c r="B835" s="25" t="s">
        <v>62</v>
      </c>
      <c r="C835" s="26" t="s">
        <v>14</v>
      </c>
      <c r="D835" s="26" t="s">
        <v>53</v>
      </c>
      <c r="E835" s="26" t="s">
        <v>397</v>
      </c>
      <c r="F835" s="26" t="s">
        <v>1063</v>
      </c>
      <c r="G835" s="27">
        <f t="shared" ref="G835:G836" si="564">J835</f>
        <v>1300000</v>
      </c>
      <c r="H835" s="27">
        <f t="shared" ref="H835:H836" si="565">L835</f>
        <v>1300000</v>
      </c>
      <c r="I835" s="27">
        <f t="shared" ref="I835:I836" si="566">N835</f>
        <v>1300000</v>
      </c>
      <c r="J835" s="16">
        <f>'БА в тыс. руб.'!G835*1000</f>
        <v>1300000</v>
      </c>
      <c r="K835" s="169">
        <f t="shared" si="525"/>
        <v>0</v>
      </c>
      <c r="L835" s="16">
        <f>'БА в тыс. руб.'!H835*1000</f>
        <v>1300000</v>
      </c>
      <c r="M835" s="169">
        <f t="shared" si="526"/>
        <v>0</v>
      </c>
      <c r="N835" s="16">
        <f>'БА в тыс. руб.'!I835*1000</f>
        <v>1300000</v>
      </c>
      <c r="O835" s="169">
        <f t="shared" si="527"/>
        <v>0</v>
      </c>
      <c r="P835" s="16"/>
      <c r="Q835" s="16"/>
      <c r="R835" s="16"/>
      <c r="S835" s="16"/>
      <c r="T835" s="16"/>
      <c r="U835" s="16"/>
    </row>
    <row r="836" spans="1:21" s="83" customFormat="1" ht="38.25">
      <c r="A836" s="12" t="s">
        <v>939</v>
      </c>
      <c r="B836" s="25" t="s">
        <v>62</v>
      </c>
      <c r="C836" s="26" t="s">
        <v>14</v>
      </c>
      <c r="D836" s="26" t="s">
        <v>53</v>
      </c>
      <c r="E836" s="26" t="s">
        <v>397</v>
      </c>
      <c r="F836" s="26" t="s">
        <v>1060</v>
      </c>
      <c r="G836" s="27">
        <f t="shared" si="564"/>
        <v>354900</v>
      </c>
      <c r="H836" s="27">
        <f t="shared" si="565"/>
        <v>354900</v>
      </c>
      <c r="I836" s="27">
        <f t="shared" si="566"/>
        <v>354900</v>
      </c>
      <c r="J836" s="16">
        <f>'БА в тыс. руб.'!G836*1000</f>
        <v>354900</v>
      </c>
      <c r="K836" s="169">
        <f t="shared" si="525"/>
        <v>0</v>
      </c>
      <c r="L836" s="16">
        <f>'БА в тыс. руб.'!H836*1000</f>
        <v>354900</v>
      </c>
      <c r="M836" s="169">
        <f t="shared" si="526"/>
        <v>0</v>
      </c>
      <c r="N836" s="16">
        <f>'БА в тыс. руб.'!I836*1000</f>
        <v>354900</v>
      </c>
      <c r="O836" s="169">
        <f t="shared" si="527"/>
        <v>0</v>
      </c>
      <c r="P836" s="16"/>
      <c r="Q836" s="16"/>
      <c r="R836" s="16"/>
      <c r="S836" s="16"/>
      <c r="T836" s="16"/>
      <c r="U836" s="16"/>
    </row>
    <row r="837" spans="1:21" s="30" customFormat="1" ht="25.5">
      <c r="A837" s="11" t="s">
        <v>108</v>
      </c>
      <c r="B837" s="25" t="s">
        <v>62</v>
      </c>
      <c r="C837" s="26" t="s">
        <v>14</v>
      </c>
      <c r="D837" s="26" t="s">
        <v>53</v>
      </c>
      <c r="E837" s="26" t="s">
        <v>397</v>
      </c>
      <c r="F837" s="26" t="s">
        <v>116</v>
      </c>
      <c r="G837" s="119">
        <f>G838</f>
        <v>3369700</v>
      </c>
      <c r="H837" s="119">
        <f t="shared" ref="H837:I837" si="567">H838</f>
        <v>3374920</v>
      </c>
      <c r="I837" s="119">
        <f t="shared" si="567"/>
        <v>3371900</v>
      </c>
      <c r="J837" s="16">
        <f>'БА в тыс. руб.'!G837*1000</f>
        <v>3369700</v>
      </c>
      <c r="K837" s="169">
        <f t="shared" si="525"/>
        <v>0</v>
      </c>
      <c r="L837" s="16">
        <f>'БА в тыс. руб.'!H837*1000</f>
        <v>3374920</v>
      </c>
      <c r="M837" s="169">
        <f t="shared" si="526"/>
        <v>0</v>
      </c>
      <c r="N837" s="16">
        <f>'БА в тыс. руб.'!I837*1000</f>
        <v>3371900</v>
      </c>
      <c r="O837" s="169">
        <f t="shared" si="527"/>
        <v>0</v>
      </c>
      <c r="P837" s="16"/>
      <c r="Q837" s="16"/>
      <c r="R837" s="16"/>
      <c r="S837" s="16"/>
      <c r="T837" s="16"/>
      <c r="U837" s="16"/>
    </row>
    <row r="838" spans="1:21" s="83" customFormat="1" ht="25.5">
      <c r="A838" s="12" t="s">
        <v>973</v>
      </c>
      <c r="B838" s="25" t="s">
        <v>62</v>
      </c>
      <c r="C838" s="26" t="s">
        <v>14</v>
      </c>
      <c r="D838" s="26" t="s">
        <v>53</v>
      </c>
      <c r="E838" s="26" t="s">
        <v>397</v>
      </c>
      <c r="F838" s="26" t="s">
        <v>1043</v>
      </c>
      <c r="G838" s="27">
        <f t="shared" ref="G838" si="568">J838</f>
        <v>3369700</v>
      </c>
      <c r="H838" s="27">
        <f>L838</f>
        <v>3374920</v>
      </c>
      <c r="I838" s="27">
        <f>N838</f>
        <v>3371900</v>
      </c>
      <c r="J838" s="16">
        <f>'БА в тыс. руб.'!G838*1000</f>
        <v>3369700</v>
      </c>
      <c r="K838" s="169">
        <f t="shared" si="525"/>
        <v>0</v>
      </c>
      <c r="L838" s="16">
        <f>'БА в тыс. руб.'!H838*1000</f>
        <v>3374920</v>
      </c>
      <c r="M838" s="169">
        <f t="shared" si="526"/>
        <v>0</v>
      </c>
      <c r="N838" s="16">
        <f>'БА в тыс. руб.'!I838*1000</f>
        <v>3371900</v>
      </c>
      <c r="O838" s="169">
        <f t="shared" si="527"/>
        <v>0</v>
      </c>
      <c r="P838" s="16"/>
      <c r="Q838" s="16"/>
      <c r="R838" s="16"/>
      <c r="S838" s="16"/>
      <c r="T838" s="16"/>
      <c r="U838" s="16"/>
    </row>
    <row r="839" spans="1:21" s="30" customFormat="1">
      <c r="A839" s="13" t="s">
        <v>109</v>
      </c>
      <c r="B839" s="25" t="s">
        <v>62</v>
      </c>
      <c r="C839" s="26" t="s">
        <v>14</v>
      </c>
      <c r="D839" s="26" t="s">
        <v>53</v>
      </c>
      <c r="E839" s="26" t="s">
        <v>397</v>
      </c>
      <c r="F839" s="26" t="s">
        <v>134</v>
      </c>
      <c r="G839" s="119">
        <f>G840</f>
        <v>335023000</v>
      </c>
      <c r="H839" s="119">
        <f t="shared" ref="H839:I839" si="569">H840</f>
        <v>335325200</v>
      </c>
      <c r="I839" s="119">
        <f t="shared" si="569"/>
        <v>335119020</v>
      </c>
      <c r="J839" s="16">
        <f>'БА в тыс. руб.'!G839*1000</f>
        <v>335023000</v>
      </c>
      <c r="K839" s="169">
        <f t="shared" si="525"/>
        <v>0</v>
      </c>
      <c r="L839" s="16">
        <f>'БА в тыс. руб.'!H839*1000</f>
        <v>335325200</v>
      </c>
      <c r="M839" s="169">
        <f t="shared" si="526"/>
        <v>0</v>
      </c>
      <c r="N839" s="16">
        <f>'БА в тыс. руб.'!I839*1000</f>
        <v>335119020</v>
      </c>
      <c r="O839" s="169">
        <f t="shared" si="527"/>
        <v>0</v>
      </c>
      <c r="P839" s="16"/>
      <c r="Q839" s="16"/>
      <c r="R839" s="16"/>
      <c r="S839" s="16"/>
      <c r="T839" s="16"/>
      <c r="U839" s="16"/>
    </row>
    <row r="840" spans="1:21" s="83" customFormat="1" ht="25.5">
      <c r="A840" s="12" t="s">
        <v>978</v>
      </c>
      <c r="B840" s="25" t="s">
        <v>62</v>
      </c>
      <c r="C840" s="26" t="s">
        <v>14</v>
      </c>
      <c r="D840" s="26" t="s">
        <v>53</v>
      </c>
      <c r="E840" s="26" t="s">
        <v>397</v>
      </c>
      <c r="F840" s="26" t="s">
        <v>1064</v>
      </c>
      <c r="G840" s="27">
        <f t="shared" ref="G840" si="570">J840</f>
        <v>335023000</v>
      </c>
      <c r="H840" s="27">
        <f>L840</f>
        <v>335325200</v>
      </c>
      <c r="I840" s="27">
        <f>N840</f>
        <v>335119020</v>
      </c>
      <c r="J840" s="16">
        <f>'БА в тыс. руб.'!G840*1000</f>
        <v>335023000</v>
      </c>
      <c r="K840" s="169">
        <f t="shared" ref="K840:K903" si="571">J840-G840</f>
        <v>0</v>
      </c>
      <c r="L840" s="16">
        <f>'БА в тыс. руб.'!H840*1000</f>
        <v>335325200</v>
      </c>
      <c r="M840" s="169">
        <f t="shared" ref="M840:M903" si="572">L840-H840</f>
        <v>0</v>
      </c>
      <c r="N840" s="16">
        <f>'БА в тыс. руб.'!I840*1000</f>
        <v>335119020</v>
      </c>
      <c r="O840" s="169">
        <f t="shared" ref="O840:O903" si="573">N840-I840</f>
        <v>0</v>
      </c>
      <c r="P840" s="16"/>
      <c r="Q840" s="16"/>
      <c r="R840" s="16"/>
      <c r="S840" s="16"/>
      <c r="T840" s="16"/>
      <c r="U840" s="16"/>
    </row>
    <row r="841" spans="1:21" s="30" customFormat="1" ht="114.75">
      <c r="A841" s="162" t="s">
        <v>887</v>
      </c>
      <c r="B841" s="25" t="s">
        <v>62</v>
      </c>
      <c r="C841" s="26" t="s">
        <v>14</v>
      </c>
      <c r="D841" s="26" t="s">
        <v>53</v>
      </c>
      <c r="E841" s="26" t="s">
        <v>398</v>
      </c>
      <c r="F841" s="26" t="s">
        <v>58</v>
      </c>
      <c r="G841" s="119">
        <f>G842+G844</f>
        <v>120100</v>
      </c>
      <c r="H841" s="119">
        <f>H842+H844</f>
        <v>120000</v>
      </c>
      <c r="I841" s="119">
        <f>I842+I844</f>
        <v>120000</v>
      </c>
      <c r="J841" s="16">
        <f>'БА в тыс. руб.'!G841*1000</f>
        <v>120100</v>
      </c>
      <c r="K841" s="169">
        <f t="shared" si="571"/>
        <v>0</v>
      </c>
      <c r="L841" s="16">
        <f>'БА в тыс. руб.'!H841*1000</f>
        <v>120000</v>
      </c>
      <c r="M841" s="169">
        <f t="shared" si="572"/>
        <v>0</v>
      </c>
      <c r="N841" s="16">
        <f>'БА в тыс. руб.'!I841*1000</f>
        <v>120000</v>
      </c>
      <c r="O841" s="169">
        <f t="shared" si="573"/>
        <v>0</v>
      </c>
      <c r="P841" s="16"/>
      <c r="Q841" s="16"/>
      <c r="R841" s="16"/>
      <c r="S841" s="16"/>
      <c r="T841" s="16"/>
      <c r="U841" s="16"/>
    </row>
    <row r="842" spans="1:21" s="30" customFormat="1" ht="25.5">
      <c r="A842" s="11" t="s">
        <v>108</v>
      </c>
      <c r="B842" s="25" t="s">
        <v>62</v>
      </c>
      <c r="C842" s="26" t="s">
        <v>14</v>
      </c>
      <c r="D842" s="26" t="s">
        <v>53</v>
      </c>
      <c r="E842" s="26" t="s">
        <v>398</v>
      </c>
      <c r="F842" s="26" t="s">
        <v>116</v>
      </c>
      <c r="G842" s="119">
        <f>G843</f>
        <v>1600</v>
      </c>
      <c r="H842" s="119">
        <f t="shared" ref="H842:I842" si="574">H843</f>
        <v>1590</v>
      </c>
      <c r="I842" s="119">
        <f t="shared" si="574"/>
        <v>1590</v>
      </c>
      <c r="J842" s="16">
        <f>'БА в тыс. руб.'!G842*1000</f>
        <v>1600</v>
      </c>
      <c r="K842" s="169">
        <f t="shared" si="571"/>
        <v>0</v>
      </c>
      <c r="L842" s="16">
        <f>'БА в тыс. руб.'!H842*1000</f>
        <v>1590</v>
      </c>
      <c r="M842" s="169">
        <f t="shared" si="572"/>
        <v>0</v>
      </c>
      <c r="N842" s="16">
        <f>'БА в тыс. руб.'!I842*1000</f>
        <v>1590</v>
      </c>
      <c r="O842" s="169">
        <f t="shared" si="573"/>
        <v>0</v>
      </c>
      <c r="P842" s="16"/>
      <c r="Q842" s="16"/>
      <c r="R842" s="16"/>
      <c r="S842" s="16"/>
      <c r="T842" s="16"/>
      <c r="U842" s="16"/>
    </row>
    <row r="843" spans="1:21" s="83" customFormat="1" ht="25.5">
      <c r="A843" s="12" t="s">
        <v>973</v>
      </c>
      <c r="B843" s="25" t="s">
        <v>62</v>
      </c>
      <c r="C843" s="26" t="s">
        <v>14</v>
      </c>
      <c r="D843" s="26" t="s">
        <v>53</v>
      </c>
      <c r="E843" s="26" t="s">
        <v>398</v>
      </c>
      <c r="F843" s="26" t="s">
        <v>1043</v>
      </c>
      <c r="G843" s="27">
        <f t="shared" ref="G843" si="575">J843</f>
        <v>1600</v>
      </c>
      <c r="H843" s="27">
        <f>L843</f>
        <v>1590</v>
      </c>
      <c r="I843" s="27">
        <f>N843</f>
        <v>1590</v>
      </c>
      <c r="J843" s="16">
        <f>'БА в тыс. руб.'!G843*1000</f>
        <v>1600</v>
      </c>
      <c r="K843" s="169">
        <f t="shared" si="571"/>
        <v>0</v>
      </c>
      <c r="L843" s="16">
        <f>'БА в тыс. руб.'!H843*1000</f>
        <v>1590</v>
      </c>
      <c r="M843" s="169">
        <f t="shared" si="572"/>
        <v>0</v>
      </c>
      <c r="N843" s="16">
        <f>'БА в тыс. руб.'!I843*1000</f>
        <v>1590</v>
      </c>
      <c r="O843" s="169">
        <f t="shared" si="573"/>
        <v>0</v>
      </c>
      <c r="P843" s="16"/>
      <c r="Q843" s="16"/>
      <c r="R843" s="16"/>
      <c r="S843" s="16"/>
      <c r="T843" s="16"/>
      <c r="U843" s="16"/>
    </row>
    <row r="844" spans="1:21" s="30" customFormat="1">
      <c r="A844" s="13" t="s">
        <v>109</v>
      </c>
      <c r="B844" s="25" t="s">
        <v>62</v>
      </c>
      <c r="C844" s="26" t="s">
        <v>14</v>
      </c>
      <c r="D844" s="26" t="s">
        <v>53</v>
      </c>
      <c r="E844" s="26" t="s">
        <v>398</v>
      </c>
      <c r="F844" s="26" t="s">
        <v>134</v>
      </c>
      <c r="G844" s="119">
        <f>G845</f>
        <v>118500</v>
      </c>
      <c r="H844" s="119">
        <f t="shared" ref="H844:I844" si="576">H845</f>
        <v>118410</v>
      </c>
      <c r="I844" s="119">
        <f t="shared" si="576"/>
        <v>118410</v>
      </c>
      <c r="J844" s="16">
        <f>'БА в тыс. руб.'!G844*1000</f>
        <v>118500</v>
      </c>
      <c r="K844" s="169">
        <f t="shared" si="571"/>
        <v>0</v>
      </c>
      <c r="L844" s="16">
        <f>'БА в тыс. руб.'!H844*1000</f>
        <v>118410</v>
      </c>
      <c r="M844" s="169">
        <f t="shared" si="572"/>
        <v>0</v>
      </c>
      <c r="N844" s="16">
        <f>'БА в тыс. руб.'!I844*1000</f>
        <v>118410</v>
      </c>
      <c r="O844" s="169">
        <f t="shared" si="573"/>
        <v>0</v>
      </c>
      <c r="P844" s="16"/>
      <c r="Q844" s="16"/>
      <c r="R844" s="16"/>
      <c r="S844" s="16"/>
      <c r="T844" s="16"/>
      <c r="U844" s="16"/>
    </row>
    <row r="845" spans="1:21" s="83" customFormat="1" ht="25.5">
      <c r="A845" s="12" t="s">
        <v>978</v>
      </c>
      <c r="B845" s="25" t="s">
        <v>62</v>
      </c>
      <c r="C845" s="26" t="s">
        <v>14</v>
      </c>
      <c r="D845" s="26" t="s">
        <v>53</v>
      </c>
      <c r="E845" s="26" t="s">
        <v>398</v>
      </c>
      <c r="F845" s="26" t="s">
        <v>1064</v>
      </c>
      <c r="G845" s="27">
        <f t="shared" ref="G845" si="577">J845</f>
        <v>118500</v>
      </c>
      <c r="H845" s="27">
        <f>L845</f>
        <v>118410</v>
      </c>
      <c r="I845" s="27">
        <f>N845</f>
        <v>118410</v>
      </c>
      <c r="J845" s="16">
        <f>'БА в тыс. руб.'!G845*1000</f>
        <v>118500</v>
      </c>
      <c r="K845" s="169">
        <f t="shared" si="571"/>
        <v>0</v>
      </c>
      <c r="L845" s="16">
        <f>'БА в тыс. руб.'!H845*1000</f>
        <v>118410</v>
      </c>
      <c r="M845" s="169">
        <f t="shared" si="572"/>
        <v>0</v>
      </c>
      <c r="N845" s="16">
        <f>'БА в тыс. руб.'!I845*1000</f>
        <v>118410</v>
      </c>
      <c r="O845" s="169">
        <f t="shared" si="573"/>
        <v>0</v>
      </c>
      <c r="P845" s="16"/>
      <c r="Q845" s="16"/>
      <c r="R845" s="16"/>
      <c r="S845" s="16"/>
      <c r="T845" s="16"/>
      <c r="U845" s="16"/>
    </row>
    <row r="846" spans="1:21" s="30" customFormat="1" ht="25.5">
      <c r="A846" s="32" t="s">
        <v>401</v>
      </c>
      <c r="B846" s="25" t="s">
        <v>62</v>
      </c>
      <c r="C846" s="26" t="s">
        <v>14</v>
      </c>
      <c r="D846" s="26" t="s">
        <v>53</v>
      </c>
      <c r="E846" s="26" t="s">
        <v>402</v>
      </c>
      <c r="F846" s="26" t="s">
        <v>58</v>
      </c>
      <c r="G846" s="119">
        <f>G847</f>
        <v>7891750</v>
      </c>
      <c r="H846" s="119">
        <f>H847</f>
        <v>7891750</v>
      </c>
      <c r="I846" s="119">
        <f>I847</f>
        <v>7891750</v>
      </c>
      <c r="J846" s="16">
        <f>'БА в тыс. руб.'!G846*1000</f>
        <v>7891750</v>
      </c>
      <c r="K846" s="169">
        <f t="shared" si="571"/>
        <v>0</v>
      </c>
      <c r="L846" s="16">
        <f>'БА в тыс. руб.'!H846*1000</f>
        <v>7891750</v>
      </c>
      <c r="M846" s="169">
        <f t="shared" si="572"/>
        <v>0</v>
      </c>
      <c r="N846" s="16">
        <f>'БА в тыс. руб.'!I846*1000</f>
        <v>7891750</v>
      </c>
      <c r="O846" s="169">
        <f t="shared" si="573"/>
        <v>0</v>
      </c>
      <c r="P846" s="16"/>
      <c r="Q846" s="16"/>
      <c r="R846" s="16"/>
      <c r="S846" s="16"/>
      <c r="T846" s="16"/>
      <c r="U846" s="16"/>
    </row>
    <row r="847" spans="1:21" s="30" customFormat="1">
      <c r="A847" s="13" t="s">
        <v>109</v>
      </c>
      <c r="B847" s="25" t="s">
        <v>62</v>
      </c>
      <c r="C847" s="26" t="s">
        <v>14</v>
      </c>
      <c r="D847" s="26" t="s">
        <v>53</v>
      </c>
      <c r="E847" s="26" t="s">
        <v>402</v>
      </c>
      <c r="F847" s="26" t="s">
        <v>134</v>
      </c>
      <c r="G847" s="119">
        <f>G848</f>
        <v>7891750</v>
      </c>
      <c r="H847" s="119">
        <f t="shared" ref="H847:I847" si="578">H848</f>
        <v>7891750</v>
      </c>
      <c r="I847" s="119">
        <f t="shared" si="578"/>
        <v>7891750</v>
      </c>
      <c r="J847" s="16">
        <f>'БА в тыс. руб.'!G847*1000</f>
        <v>7891750</v>
      </c>
      <c r="K847" s="169">
        <f t="shared" si="571"/>
        <v>0</v>
      </c>
      <c r="L847" s="16">
        <f>'БА в тыс. руб.'!H847*1000</f>
        <v>7891750</v>
      </c>
      <c r="M847" s="169">
        <f t="shared" si="572"/>
        <v>0</v>
      </c>
      <c r="N847" s="16">
        <f>'БА в тыс. руб.'!I847*1000</f>
        <v>7891750</v>
      </c>
      <c r="O847" s="169">
        <f t="shared" si="573"/>
        <v>0</v>
      </c>
      <c r="P847" s="16"/>
      <c r="Q847" s="16"/>
      <c r="R847" s="16"/>
      <c r="S847" s="16"/>
      <c r="T847" s="16"/>
      <c r="U847" s="16"/>
    </row>
    <row r="848" spans="1:21" s="83" customFormat="1" ht="25.5">
      <c r="A848" s="12" t="s">
        <v>978</v>
      </c>
      <c r="B848" s="25" t="s">
        <v>62</v>
      </c>
      <c r="C848" s="26" t="s">
        <v>14</v>
      </c>
      <c r="D848" s="26" t="s">
        <v>53</v>
      </c>
      <c r="E848" s="26" t="s">
        <v>402</v>
      </c>
      <c r="F848" s="26" t="s">
        <v>1064</v>
      </c>
      <c r="G848" s="27">
        <f t="shared" ref="G848" si="579">J848</f>
        <v>7891750</v>
      </c>
      <c r="H848" s="27">
        <f>L848</f>
        <v>7891750</v>
      </c>
      <c r="I848" s="27">
        <f>N848</f>
        <v>7891750</v>
      </c>
      <c r="J848" s="16">
        <f>'БА в тыс. руб.'!G848*1000</f>
        <v>7891750</v>
      </c>
      <c r="K848" s="169">
        <f t="shared" si="571"/>
        <v>0</v>
      </c>
      <c r="L848" s="16">
        <f>'БА в тыс. руб.'!H848*1000</f>
        <v>7891750</v>
      </c>
      <c r="M848" s="169">
        <f t="shared" si="572"/>
        <v>0</v>
      </c>
      <c r="N848" s="16">
        <f>'БА в тыс. руб.'!I848*1000</f>
        <v>7891750</v>
      </c>
      <c r="O848" s="169">
        <f t="shared" si="573"/>
        <v>0</v>
      </c>
      <c r="P848" s="16"/>
      <c r="Q848" s="16"/>
      <c r="R848" s="16"/>
      <c r="S848" s="16"/>
      <c r="T848" s="16"/>
      <c r="U848" s="16"/>
    </row>
    <row r="849" spans="1:21" s="30" customFormat="1" ht="76.5">
      <c r="A849" s="32" t="s">
        <v>668</v>
      </c>
      <c r="B849" s="25" t="s">
        <v>62</v>
      </c>
      <c r="C849" s="26" t="s">
        <v>14</v>
      </c>
      <c r="D849" s="26" t="s">
        <v>53</v>
      </c>
      <c r="E849" s="26" t="s">
        <v>792</v>
      </c>
      <c r="F849" s="26" t="s">
        <v>58</v>
      </c>
      <c r="G849" s="119">
        <f>G850+G852</f>
        <v>346850340</v>
      </c>
      <c r="H849" s="119">
        <f t="shared" ref="H849:I849" si="580">H850+H852</f>
        <v>301865380</v>
      </c>
      <c r="I849" s="119">
        <f t="shared" si="580"/>
        <v>350298340</v>
      </c>
      <c r="J849" s="16">
        <f>'БА в тыс. руб.'!G849*1000</f>
        <v>346850340</v>
      </c>
      <c r="K849" s="169">
        <f t="shared" si="571"/>
        <v>0</v>
      </c>
      <c r="L849" s="16">
        <f>'БА в тыс. руб.'!H849*1000</f>
        <v>301865380</v>
      </c>
      <c r="M849" s="169">
        <f t="shared" si="572"/>
        <v>0</v>
      </c>
      <c r="N849" s="16">
        <f>'БА в тыс. руб.'!I849*1000</f>
        <v>350298340</v>
      </c>
      <c r="O849" s="169">
        <f t="shared" si="573"/>
        <v>0</v>
      </c>
      <c r="P849" s="16"/>
      <c r="Q849" s="16"/>
      <c r="R849" s="16"/>
      <c r="S849" s="16"/>
      <c r="T849" s="16"/>
      <c r="U849" s="16"/>
    </row>
    <row r="850" spans="1:21" s="30" customFormat="1" ht="25.5">
      <c r="A850" s="11" t="s">
        <v>108</v>
      </c>
      <c r="B850" s="25" t="s">
        <v>62</v>
      </c>
      <c r="C850" s="26" t="s">
        <v>14</v>
      </c>
      <c r="D850" s="26" t="s">
        <v>53</v>
      </c>
      <c r="E850" s="26" t="s">
        <v>792</v>
      </c>
      <c r="F850" s="26" t="s">
        <v>116</v>
      </c>
      <c r="G850" s="119">
        <f>G851</f>
        <v>5250000</v>
      </c>
      <c r="H850" s="119">
        <f t="shared" ref="H850:I850" si="581">H851</f>
        <v>4594000</v>
      </c>
      <c r="I850" s="119">
        <f t="shared" si="581"/>
        <v>5332000</v>
      </c>
      <c r="J850" s="16">
        <f>'БА в тыс. руб.'!G850*1000</f>
        <v>5250000</v>
      </c>
      <c r="K850" s="169">
        <f t="shared" si="571"/>
        <v>0</v>
      </c>
      <c r="L850" s="16">
        <f>'БА в тыс. руб.'!H850*1000</f>
        <v>4594000</v>
      </c>
      <c r="M850" s="169">
        <f t="shared" si="572"/>
        <v>0</v>
      </c>
      <c r="N850" s="16">
        <f>'БА в тыс. руб.'!I850*1000</f>
        <v>5332000</v>
      </c>
      <c r="O850" s="169">
        <f t="shared" si="573"/>
        <v>0</v>
      </c>
      <c r="P850" s="16"/>
      <c r="Q850" s="16"/>
      <c r="R850" s="16"/>
      <c r="S850" s="16"/>
      <c r="T850" s="16"/>
      <c r="U850" s="16"/>
    </row>
    <row r="851" spans="1:21" s="83" customFormat="1" ht="25.5">
      <c r="A851" s="12" t="s">
        <v>973</v>
      </c>
      <c r="B851" s="25" t="s">
        <v>62</v>
      </c>
      <c r="C851" s="26" t="s">
        <v>14</v>
      </c>
      <c r="D851" s="26" t="s">
        <v>53</v>
      </c>
      <c r="E851" s="26" t="s">
        <v>792</v>
      </c>
      <c r="F851" s="26" t="s">
        <v>1043</v>
      </c>
      <c r="G851" s="27">
        <f t="shared" ref="G851" si="582">J851</f>
        <v>5250000</v>
      </c>
      <c r="H851" s="27">
        <f>L851</f>
        <v>4594000</v>
      </c>
      <c r="I851" s="27">
        <f>N851</f>
        <v>5332000</v>
      </c>
      <c r="J851" s="16">
        <f>'БА в тыс. руб.'!G851*1000</f>
        <v>5250000</v>
      </c>
      <c r="K851" s="169">
        <f t="shared" si="571"/>
        <v>0</v>
      </c>
      <c r="L851" s="16">
        <f>'БА в тыс. руб.'!H851*1000</f>
        <v>4594000</v>
      </c>
      <c r="M851" s="169">
        <f t="shared" si="572"/>
        <v>0</v>
      </c>
      <c r="N851" s="16">
        <f>'БА в тыс. руб.'!I851*1000</f>
        <v>5332000</v>
      </c>
      <c r="O851" s="169">
        <f t="shared" si="573"/>
        <v>0</v>
      </c>
      <c r="P851" s="16"/>
      <c r="Q851" s="16"/>
      <c r="R851" s="16"/>
      <c r="S851" s="16"/>
      <c r="T851" s="16"/>
      <c r="U851" s="16"/>
    </row>
    <row r="852" spans="1:21" s="30" customFormat="1">
      <c r="A852" s="13" t="s">
        <v>109</v>
      </c>
      <c r="B852" s="25" t="s">
        <v>62</v>
      </c>
      <c r="C852" s="26" t="s">
        <v>14</v>
      </c>
      <c r="D852" s="26" t="s">
        <v>53</v>
      </c>
      <c r="E852" s="26" t="s">
        <v>792</v>
      </c>
      <c r="F852" s="26" t="s">
        <v>134</v>
      </c>
      <c r="G852" s="119">
        <f>G853</f>
        <v>341600340</v>
      </c>
      <c r="H852" s="119">
        <f t="shared" ref="H852:I852" si="583">H853</f>
        <v>297271380</v>
      </c>
      <c r="I852" s="119">
        <f t="shared" si="583"/>
        <v>344966340</v>
      </c>
      <c r="J852" s="16">
        <f>'БА в тыс. руб.'!G852*1000</f>
        <v>341600340</v>
      </c>
      <c r="K852" s="169">
        <f t="shared" si="571"/>
        <v>0</v>
      </c>
      <c r="L852" s="16">
        <f>'БА в тыс. руб.'!H852*1000</f>
        <v>297271380</v>
      </c>
      <c r="M852" s="169">
        <f t="shared" si="572"/>
        <v>0</v>
      </c>
      <c r="N852" s="16">
        <f>'БА в тыс. руб.'!I852*1000</f>
        <v>344966340</v>
      </c>
      <c r="O852" s="169">
        <f t="shared" si="573"/>
        <v>0</v>
      </c>
      <c r="P852" s="16"/>
      <c r="Q852" s="16"/>
      <c r="R852" s="16"/>
      <c r="S852" s="16"/>
      <c r="T852" s="16"/>
      <c r="U852" s="16"/>
    </row>
    <row r="853" spans="1:21" s="83" customFormat="1" ht="25.5">
      <c r="A853" s="12" t="s">
        <v>978</v>
      </c>
      <c r="B853" s="25" t="s">
        <v>62</v>
      </c>
      <c r="C853" s="26" t="s">
        <v>14</v>
      </c>
      <c r="D853" s="26" t="s">
        <v>53</v>
      </c>
      <c r="E853" s="26" t="s">
        <v>792</v>
      </c>
      <c r="F853" s="26" t="s">
        <v>1064</v>
      </c>
      <c r="G853" s="27">
        <f t="shared" ref="G853" si="584">J853</f>
        <v>341600340</v>
      </c>
      <c r="H853" s="27">
        <f>L853</f>
        <v>297271380</v>
      </c>
      <c r="I853" s="27">
        <f>N853</f>
        <v>344966340</v>
      </c>
      <c r="J853" s="16">
        <f>'БА в тыс. руб.'!G853*1000</f>
        <v>341600340</v>
      </c>
      <c r="K853" s="169">
        <f t="shared" si="571"/>
        <v>0</v>
      </c>
      <c r="L853" s="16">
        <f>'БА в тыс. руб.'!H853*1000</f>
        <v>297271380</v>
      </c>
      <c r="M853" s="169">
        <f t="shared" si="572"/>
        <v>0</v>
      </c>
      <c r="N853" s="16">
        <f>'БА в тыс. руб.'!I853*1000</f>
        <v>344966340</v>
      </c>
      <c r="O853" s="169">
        <f t="shared" si="573"/>
        <v>0</v>
      </c>
      <c r="P853" s="16"/>
      <c r="Q853" s="16"/>
      <c r="R853" s="16"/>
      <c r="S853" s="16"/>
      <c r="T853" s="16"/>
      <c r="U853" s="16"/>
    </row>
    <row r="854" spans="1:21" s="30" customFormat="1" ht="38.25">
      <c r="A854" s="13" t="s">
        <v>399</v>
      </c>
      <c r="B854" s="25" t="s">
        <v>62</v>
      </c>
      <c r="C854" s="26" t="s">
        <v>14</v>
      </c>
      <c r="D854" s="26" t="s">
        <v>53</v>
      </c>
      <c r="E854" s="26" t="s">
        <v>793</v>
      </c>
      <c r="F854" s="26" t="s">
        <v>58</v>
      </c>
      <c r="G854" s="119">
        <f>G855+G857</f>
        <v>253068120</v>
      </c>
      <c r="H854" s="119">
        <f t="shared" ref="H854:I854" si="585">H855+H857</f>
        <v>209812870</v>
      </c>
      <c r="I854" s="119">
        <f t="shared" si="585"/>
        <v>246535940</v>
      </c>
      <c r="J854" s="16">
        <f>'БА в тыс. руб.'!G854*1000</f>
        <v>253068120</v>
      </c>
      <c r="K854" s="169">
        <f t="shared" si="571"/>
        <v>0</v>
      </c>
      <c r="L854" s="16">
        <f>'БА в тыс. руб.'!H854*1000</f>
        <v>209812870</v>
      </c>
      <c r="M854" s="169">
        <f t="shared" si="572"/>
        <v>0</v>
      </c>
      <c r="N854" s="16">
        <f>'БА в тыс. руб.'!I854*1000</f>
        <v>246535940</v>
      </c>
      <c r="O854" s="169">
        <f t="shared" si="573"/>
        <v>0</v>
      </c>
      <c r="P854" s="16"/>
      <c r="Q854" s="16"/>
      <c r="R854" s="16"/>
      <c r="S854" s="16"/>
      <c r="T854" s="16"/>
      <c r="U854" s="16"/>
    </row>
    <row r="855" spans="1:21" s="30" customFormat="1" ht="25.5">
      <c r="A855" s="13" t="s">
        <v>108</v>
      </c>
      <c r="B855" s="25" t="s">
        <v>62</v>
      </c>
      <c r="C855" s="26" t="s">
        <v>14</v>
      </c>
      <c r="D855" s="26" t="s">
        <v>53</v>
      </c>
      <c r="E855" s="26" t="s">
        <v>793</v>
      </c>
      <c r="F855" s="26" t="s">
        <v>116</v>
      </c>
      <c r="G855" s="119">
        <f>G856</f>
        <v>3480000</v>
      </c>
      <c r="H855" s="119">
        <f t="shared" ref="H855:I855" si="586">H856</f>
        <v>2885000</v>
      </c>
      <c r="I855" s="119">
        <f t="shared" si="586"/>
        <v>3390000</v>
      </c>
      <c r="J855" s="16">
        <f>'БА в тыс. руб.'!G855*1000</f>
        <v>3480000</v>
      </c>
      <c r="K855" s="169">
        <f t="shared" si="571"/>
        <v>0</v>
      </c>
      <c r="L855" s="16">
        <f>'БА в тыс. руб.'!H855*1000</f>
        <v>2885000</v>
      </c>
      <c r="M855" s="169">
        <f t="shared" si="572"/>
        <v>0</v>
      </c>
      <c r="N855" s="16">
        <f>'БА в тыс. руб.'!I855*1000</f>
        <v>3390000</v>
      </c>
      <c r="O855" s="169">
        <f t="shared" si="573"/>
        <v>0</v>
      </c>
      <c r="P855" s="16"/>
      <c r="Q855" s="16"/>
      <c r="R855" s="16"/>
      <c r="S855" s="16"/>
      <c r="T855" s="16"/>
      <c r="U855" s="16"/>
    </row>
    <row r="856" spans="1:21" s="83" customFormat="1" ht="25.5">
      <c r="A856" s="12" t="s">
        <v>973</v>
      </c>
      <c r="B856" s="25" t="s">
        <v>62</v>
      </c>
      <c r="C856" s="26" t="s">
        <v>14</v>
      </c>
      <c r="D856" s="26" t="s">
        <v>53</v>
      </c>
      <c r="E856" s="26" t="s">
        <v>793</v>
      </c>
      <c r="F856" s="26" t="s">
        <v>1043</v>
      </c>
      <c r="G856" s="27">
        <f t="shared" ref="G856" si="587">J856</f>
        <v>3480000</v>
      </c>
      <c r="H856" s="27">
        <f>L856</f>
        <v>2885000</v>
      </c>
      <c r="I856" s="27">
        <f>N856</f>
        <v>3390000</v>
      </c>
      <c r="J856" s="16">
        <f>'БА в тыс. руб.'!G856*1000</f>
        <v>3480000</v>
      </c>
      <c r="K856" s="169">
        <f t="shared" si="571"/>
        <v>0</v>
      </c>
      <c r="L856" s="16">
        <f>'БА в тыс. руб.'!H856*1000</f>
        <v>2885000</v>
      </c>
      <c r="M856" s="169">
        <f t="shared" si="572"/>
        <v>0</v>
      </c>
      <c r="N856" s="16">
        <f>'БА в тыс. руб.'!I856*1000</f>
        <v>3390000</v>
      </c>
      <c r="O856" s="169">
        <f t="shared" si="573"/>
        <v>0</v>
      </c>
      <c r="P856" s="16"/>
      <c r="Q856" s="16"/>
      <c r="R856" s="16"/>
      <c r="S856" s="16"/>
      <c r="T856" s="16"/>
      <c r="U856" s="16"/>
    </row>
    <row r="857" spans="1:21" s="30" customFormat="1">
      <c r="A857" s="13" t="s">
        <v>109</v>
      </c>
      <c r="B857" s="25" t="s">
        <v>62</v>
      </c>
      <c r="C857" s="26" t="s">
        <v>14</v>
      </c>
      <c r="D857" s="26" t="s">
        <v>53</v>
      </c>
      <c r="E857" s="26" t="s">
        <v>793</v>
      </c>
      <c r="F857" s="26" t="s">
        <v>134</v>
      </c>
      <c r="G857" s="119">
        <f>G858</f>
        <v>249588120</v>
      </c>
      <c r="H857" s="119">
        <f t="shared" ref="H857:I857" si="588">H858</f>
        <v>206927870</v>
      </c>
      <c r="I857" s="119">
        <f t="shared" si="588"/>
        <v>243145940</v>
      </c>
      <c r="J857" s="16">
        <f>'БА в тыс. руб.'!G857*1000</f>
        <v>249588120</v>
      </c>
      <c r="K857" s="169">
        <f t="shared" si="571"/>
        <v>0</v>
      </c>
      <c r="L857" s="16">
        <f>'БА в тыс. руб.'!H857*1000</f>
        <v>206927870</v>
      </c>
      <c r="M857" s="169">
        <f t="shared" si="572"/>
        <v>0</v>
      </c>
      <c r="N857" s="16">
        <f>'БА в тыс. руб.'!I857*1000</f>
        <v>243145940</v>
      </c>
      <c r="O857" s="169">
        <f t="shared" si="573"/>
        <v>0</v>
      </c>
      <c r="P857" s="16"/>
      <c r="Q857" s="16"/>
      <c r="R857" s="16"/>
      <c r="S857" s="16"/>
      <c r="T857" s="16"/>
      <c r="U857" s="16"/>
    </row>
    <row r="858" spans="1:21" s="103" customFormat="1" ht="25.5">
      <c r="A858" s="12" t="s">
        <v>978</v>
      </c>
      <c r="B858" s="25" t="s">
        <v>62</v>
      </c>
      <c r="C858" s="26" t="s">
        <v>14</v>
      </c>
      <c r="D858" s="26" t="s">
        <v>53</v>
      </c>
      <c r="E858" s="26" t="s">
        <v>793</v>
      </c>
      <c r="F858" s="26" t="s">
        <v>1064</v>
      </c>
      <c r="G858" s="27">
        <f t="shared" ref="G858" si="589">J858</f>
        <v>249588120</v>
      </c>
      <c r="H858" s="27">
        <f>L858</f>
        <v>206927870</v>
      </c>
      <c r="I858" s="27">
        <f>N858</f>
        <v>243145940</v>
      </c>
      <c r="J858" s="16">
        <f>'БА в тыс. руб.'!G858*1000</f>
        <v>249588120</v>
      </c>
      <c r="K858" s="169">
        <f t="shared" si="571"/>
        <v>0</v>
      </c>
      <c r="L858" s="16">
        <f>'БА в тыс. руб.'!H858*1000</f>
        <v>206927870</v>
      </c>
      <c r="M858" s="169">
        <f t="shared" si="572"/>
        <v>0</v>
      </c>
      <c r="N858" s="16">
        <f>'БА в тыс. руб.'!I858*1000</f>
        <v>243145940</v>
      </c>
      <c r="O858" s="169">
        <f t="shared" si="573"/>
        <v>0</v>
      </c>
      <c r="P858" s="16"/>
      <c r="Q858" s="16"/>
      <c r="R858" s="16"/>
      <c r="S858" s="16"/>
      <c r="T858" s="16"/>
      <c r="U858" s="16"/>
    </row>
    <row r="859" spans="1:21" s="30" customFormat="1" ht="38.25">
      <c r="A859" s="32" t="s">
        <v>400</v>
      </c>
      <c r="B859" s="25" t="s">
        <v>62</v>
      </c>
      <c r="C859" s="26" t="s">
        <v>14</v>
      </c>
      <c r="D859" s="26" t="s">
        <v>53</v>
      </c>
      <c r="E859" s="26" t="s">
        <v>794</v>
      </c>
      <c r="F859" s="26" t="s">
        <v>58</v>
      </c>
      <c r="G859" s="119">
        <f>G860+G862</f>
        <v>5936840</v>
      </c>
      <c r="H859" s="119">
        <f t="shared" ref="H859:I859" si="590">H860+H862</f>
        <v>5754930</v>
      </c>
      <c r="I859" s="119">
        <f t="shared" si="590"/>
        <v>5589550</v>
      </c>
      <c r="J859" s="16">
        <f>'БА в тыс. руб.'!G859*1000</f>
        <v>5936840</v>
      </c>
      <c r="K859" s="169">
        <f t="shared" si="571"/>
        <v>0</v>
      </c>
      <c r="L859" s="16">
        <f>'БА в тыс. руб.'!H859*1000</f>
        <v>5754929.9999999991</v>
      </c>
      <c r="M859" s="169">
        <f t="shared" si="572"/>
        <v>0</v>
      </c>
      <c r="N859" s="16">
        <f>'БА в тыс. руб.'!I859*1000</f>
        <v>5589550</v>
      </c>
      <c r="O859" s="169">
        <f t="shared" si="573"/>
        <v>0</v>
      </c>
      <c r="P859" s="16"/>
      <c r="Q859" s="16"/>
      <c r="R859" s="16"/>
      <c r="S859" s="16"/>
      <c r="T859" s="16"/>
      <c r="U859" s="16"/>
    </row>
    <row r="860" spans="1:21" s="30" customFormat="1" ht="25.5">
      <c r="A860" s="11" t="s">
        <v>108</v>
      </c>
      <c r="B860" s="25" t="s">
        <v>62</v>
      </c>
      <c r="C860" s="26" t="s">
        <v>14</v>
      </c>
      <c r="D860" s="26" t="s">
        <v>53</v>
      </c>
      <c r="E860" s="26" t="s">
        <v>794</v>
      </c>
      <c r="F860" s="26" t="s">
        <v>116</v>
      </c>
      <c r="G860" s="119">
        <f>G861</f>
        <v>92000</v>
      </c>
      <c r="H860" s="119">
        <f t="shared" ref="H860:I860" si="591">H861</f>
        <v>89200</v>
      </c>
      <c r="I860" s="119">
        <f t="shared" si="591"/>
        <v>86640</v>
      </c>
      <c r="J860" s="16">
        <f>'БА в тыс. руб.'!G860*1000</f>
        <v>92000</v>
      </c>
      <c r="K860" s="169">
        <f t="shared" si="571"/>
        <v>0</v>
      </c>
      <c r="L860" s="16">
        <f>'БА в тыс. руб.'!H860*1000</f>
        <v>89200</v>
      </c>
      <c r="M860" s="169">
        <f t="shared" si="572"/>
        <v>0</v>
      </c>
      <c r="N860" s="16">
        <f>'БА в тыс. руб.'!I860*1000</f>
        <v>86640</v>
      </c>
      <c r="O860" s="169">
        <f t="shared" si="573"/>
        <v>0</v>
      </c>
      <c r="P860" s="16"/>
      <c r="Q860" s="16"/>
      <c r="R860" s="16"/>
      <c r="S860" s="16"/>
      <c r="T860" s="16"/>
      <c r="U860" s="16"/>
    </row>
    <row r="861" spans="1:21" s="83" customFormat="1" ht="25.5">
      <c r="A861" s="12" t="s">
        <v>973</v>
      </c>
      <c r="B861" s="25" t="s">
        <v>62</v>
      </c>
      <c r="C861" s="26" t="s">
        <v>14</v>
      </c>
      <c r="D861" s="26" t="s">
        <v>53</v>
      </c>
      <c r="E861" s="26" t="s">
        <v>794</v>
      </c>
      <c r="F861" s="26" t="s">
        <v>1043</v>
      </c>
      <c r="G861" s="27">
        <f t="shared" ref="G861" si="592">J861</f>
        <v>92000</v>
      </c>
      <c r="H861" s="27">
        <f>L861</f>
        <v>89200</v>
      </c>
      <c r="I861" s="27">
        <f>N861</f>
        <v>86640</v>
      </c>
      <c r="J861" s="16">
        <f>'БА в тыс. руб.'!G861*1000</f>
        <v>92000</v>
      </c>
      <c r="K861" s="169">
        <f t="shared" si="571"/>
        <v>0</v>
      </c>
      <c r="L861" s="16">
        <f>'БА в тыс. руб.'!H861*1000</f>
        <v>89200</v>
      </c>
      <c r="M861" s="169">
        <f t="shared" si="572"/>
        <v>0</v>
      </c>
      <c r="N861" s="16">
        <f>'БА в тыс. руб.'!I861*1000</f>
        <v>86640</v>
      </c>
      <c r="O861" s="169">
        <f t="shared" si="573"/>
        <v>0</v>
      </c>
      <c r="P861" s="16"/>
      <c r="Q861" s="16"/>
      <c r="R861" s="16"/>
      <c r="S861" s="16"/>
      <c r="T861" s="16"/>
      <c r="U861" s="16"/>
    </row>
    <row r="862" spans="1:21" s="30" customFormat="1">
      <c r="A862" s="13" t="s">
        <v>109</v>
      </c>
      <c r="B862" s="25" t="s">
        <v>62</v>
      </c>
      <c r="C862" s="26" t="s">
        <v>14</v>
      </c>
      <c r="D862" s="26" t="s">
        <v>53</v>
      </c>
      <c r="E862" s="26" t="s">
        <v>794</v>
      </c>
      <c r="F862" s="26" t="s">
        <v>134</v>
      </c>
      <c r="G862" s="119">
        <f>G863</f>
        <v>5844840</v>
      </c>
      <c r="H862" s="119">
        <f t="shared" ref="H862:I862" si="593">H863</f>
        <v>5665730</v>
      </c>
      <c r="I862" s="119">
        <f t="shared" si="593"/>
        <v>5502910</v>
      </c>
      <c r="J862" s="16">
        <f>'БА в тыс. руб.'!G862*1000</f>
        <v>5844840</v>
      </c>
      <c r="K862" s="169">
        <f t="shared" si="571"/>
        <v>0</v>
      </c>
      <c r="L862" s="16">
        <f>'БА в тыс. руб.'!H862*1000</f>
        <v>5665730</v>
      </c>
      <c r="M862" s="169">
        <f t="shared" si="572"/>
        <v>0</v>
      </c>
      <c r="N862" s="16">
        <f>'БА в тыс. руб.'!I862*1000</f>
        <v>5502910</v>
      </c>
      <c r="O862" s="169">
        <f t="shared" si="573"/>
        <v>0</v>
      </c>
      <c r="P862" s="16"/>
      <c r="Q862" s="16"/>
      <c r="R862" s="16"/>
      <c r="S862" s="16"/>
      <c r="T862" s="16"/>
      <c r="U862" s="16"/>
    </row>
    <row r="863" spans="1:21" s="83" customFormat="1" ht="25.5">
      <c r="A863" s="12" t="s">
        <v>978</v>
      </c>
      <c r="B863" s="25" t="s">
        <v>62</v>
      </c>
      <c r="C863" s="26" t="s">
        <v>14</v>
      </c>
      <c r="D863" s="26" t="s">
        <v>53</v>
      </c>
      <c r="E863" s="26" t="s">
        <v>794</v>
      </c>
      <c r="F863" s="26" t="s">
        <v>1064</v>
      </c>
      <c r="G863" s="27">
        <f t="shared" ref="G863" si="594">J863</f>
        <v>5844840</v>
      </c>
      <c r="H863" s="27">
        <f>L863</f>
        <v>5665730</v>
      </c>
      <c r="I863" s="27">
        <f>N863</f>
        <v>5502910</v>
      </c>
      <c r="J863" s="16">
        <f>'БА в тыс. руб.'!G863*1000</f>
        <v>5844840</v>
      </c>
      <c r="K863" s="169">
        <f t="shared" si="571"/>
        <v>0</v>
      </c>
      <c r="L863" s="16">
        <f>'БА в тыс. руб.'!H863*1000</f>
        <v>5665730</v>
      </c>
      <c r="M863" s="169">
        <f t="shared" si="572"/>
        <v>0</v>
      </c>
      <c r="N863" s="16">
        <f>'БА в тыс. руб.'!I863*1000</f>
        <v>5502910</v>
      </c>
      <c r="O863" s="169">
        <f t="shared" si="573"/>
        <v>0</v>
      </c>
      <c r="P863" s="16"/>
      <c r="Q863" s="16"/>
      <c r="R863" s="16"/>
      <c r="S863" s="16"/>
      <c r="T863" s="16"/>
      <c r="U863" s="16"/>
    </row>
    <row r="864" spans="1:21" s="30" customFormat="1" ht="38.25">
      <c r="A864" s="32" t="s">
        <v>404</v>
      </c>
      <c r="B864" s="25" t="s">
        <v>62</v>
      </c>
      <c r="C864" s="26" t="s">
        <v>14</v>
      </c>
      <c r="D864" s="26" t="s">
        <v>53</v>
      </c>
      <c r="E864" s="26" t="s">
        <v>795</v>
      </c>
      <c r="F864" s="26" t="s">
        <v>58</v>
      </c>
      <c r="G864" s="119">
        <f>G865+G867</f>
        <v>196880</v>
      </c>
      <c r="H864" s="119">
        <f>H865+H867</f>
        <v>196880</v>
      </c>
      <c r="I864" s="119">
        <f>I865+I867</f>
        <v>196880</v>
      </c>
      <c r="J864" s="16">
        <f>'БА в тыс. руб.'!G864*1000</f>
        <v>196880</v>
      </c>
      <c r="K864" s="169">
        <f t="shared" si="571"/>
        <v>0</v>
      </c>
      <c r="L864" s="16">
        <f>'БА в тыс. руб.'!H864*1000</f>
        <v>196880</v>
      </c>
      <c r="M864" s="169">
        <f t="shared" si="572"/>
        <v>0</v>
      </c>
      <c r="N864" s="16">
        <f>'БА в тыс. руб.'!I864*1000</f>
        <v>196880</v>
      </c>
      <c r="O864" s="169">
        <f t="shared" si="573"/>
        <v>0</v>
      </c>
      <c r="P864" s="16"/>
      <c r="Q864" s="16"/>
      <c r="R864" s="16"/>
      <c r="S864" s="16"/>
      <c r="T864" s="16"/>
      <c r="U864" s="16"/>
    </row>
    <row r="865" spans="1:21" s="30" customFormat="1" ht="25.5">
      <c r="A865" s="11" t="s">
        <v>108</v>
      </c>
      <c r="B865" s="25" t="s">
        <v>62</v>
      </c>
      <c r="C865" s="26" t="s">
        <v>14</v>
      </c>
      <c r="D865" s="26" t="s">
        <v>53</v>
      </c>
      <c r="E865" s="26" t="s">
        <v>795</v>
      </c>
      <c r="F865" s="26" t="s">
        <v>116</v>
      </c>
      <c r="G865" s="119">
        <f>G866</f>
        <v>1060</v>
      </c>
      <c r="H865" s="119">
        <f t="shared" ref="H865:I865" si="595">H866</f>
        <v>1060</v>
      </c>
      <c r="I865" s="119">
        <f t="shared" si="595"/>
        <v>1060</v>
      </c>
      <c r="J865" s="16">
        <f>'БА в тыс. руб.'!G865*1000</f>
        <v>1060</v>
      </c>
      <c r="K865" s="169">
        <f t="shared" si="571"/>
        <v>0</v>
      </c>
      <c r="L865" s="16">
        <f>'БА в тыс. руб.'!H865*1000</f>
        <v>1060</v>
      </c>
      <c r="M865" s="169">
        <f t="shared" si="572"/>
        <v>0</v>
      </c>
      <c r="N865" s="16">
        <f>'БА в тыс. руб.'!I865*1000</f>
        <v>1060</v>
      </c>
      <c r="O865" s="169">
        <f t="shared" si="573"/>
        <v>0</v>
      </c>
      <c r="P865" s="16"/>
      <c r="Q865" s="16"/>
      <c r="R865" s="16"/>
      <c r="S865" s="16"/>
      <c r="T865" s="16"/>
      <c r="U865" s="16"/>
    </row>
    <row r="866" spans="1:21" s="83" customFormat="1" ht="25.5">
      <c r="A866" s="12" t="s">
        <v>973</v>
      </c>
      <c r="B866" s="25" t="s">
        <v>62</v>
      </c>
      <c r="C866" s="26" t="s">
        <v>14</v>
      </c>
      <c r="D866" s="26" t="s">
        <v>53</v>
      </c>
      <c r="E866" s="26" t="s">
        <v>795</v>
      </c>
      <c r="F866" s="26" t="s">
        <v>1043</v>
      </c>
      <c r="G866" s="27">
        <f t="shared" ref="G866" si="596">J866</f>
        <v>1060</v>
      </c>
      <c r="H866" s="27">
        <f>L866</f>
        <v>1060</v>
      </c>
      <c r="I866" s="27">
        <f>N866</f>
        <v>1060</v>
      </c>
      <c r="J866" s="16">
        <f>'БА в тыс. руб.'!G866*1000</f>
        <v>1060</v>
      </c>
      <c r="K866" s="169">
        <f t="shared" si="571"/>
        <v>0</v>
      </c>
      <c r="L866" s="16">
        <f>'БА в тыс. руб.'!H866*1000</f>
        <v>1060</v>
      </c>
      <c r="M866" s="169">
        <f t="shared" si="572"/>
        <v>0</v>
      </c>
      <c r="N866" s="16">
        <f>'БА в тыс. руб.'!I866*1000</f>
        <v>1060</v>
      </c>
      <c r="O866" s="169">
        <f t="shared" si="573"/>
        <v>0</v>
      </c>
      <c r="P866" s="16"/>
      <c r="Q866" s="16"/>
      <c r="R866" s="16"/>
      <c r="S866" s="16"/>
      <c r="T866" s="16"/>
      <c r="U866" s="16"/>
    </row>
    <row r="867" spans="1:21" s="30" customFormat="1">
      <c r="A867" s="13" t="s">
        <v>109</v>
      </c>
      <c r="B867" s="25" t="s">
        <v>62</v>
      </c>
      <c r="C867" s="26" t="s">
        <v>14</v>
      </c>
      <c r="D867" s="26" t="s">
        <v>53</v>
      </c>
      <c r="E867" s="26" t="s">
        <v>795</v>
      </c>
      <c r="F867" s="26" t="s">
        <v>134</v>
      </c>
      <c r="G867" s="119">
        <f>G868</f>
        <v>195820</v>
      </c>
      <c r="H867" s="119">
        <f t="shared" ref="H867:I867" si="597">H868</f>
        <v>195820</v>
      </c>
      <c r="I867" s="119">
        <f t="shared" si="597"/>
        <v>195820</v>
      </c>
      <c r="J867" s="16">
        <f>'БА в тыс. руб.'!G867*1000</f>
        <v>195820</v>
      </c>
      <c r="K867" s="169">
        <f t="shared" si="571"/>
        <v>0</v>
      </c>
      <c r="L867" s="16">
        <f>'БА в тыс. руб.'!H867*1000</f>
        <v>195820</v>
      </c>
      <c r="M867" s="169">
        <f t="shared" si="572"/>
        <v>0</v>
      </c>
      <c r="N867" s="16">
        <f>'БА в тыс. руб.'!I867*1000</f>
        <v>195820</v>
      </c>
      <c r="O867" s="169">
        <f t="shared" si="573"/>
        <v>0</v>
      </c>
      <c r="P867" s="16"/>
      <c r="Q867" s="16"/>
      <c r="R867" s="16"/>
      <c r="S867" s="16"/>
      <c r="T867" s="16"/>
      <c r="U867" s="16"/>
    </row>
    <row r="868" spans="1:21" s="83" customFormat="1" ht="25.5">
      <c r="A868" s="12" t="s">
        <v>978</v>
      </c>
      <c r="B868" s="25" t="s">
        <v>62</v>
      </c>
      <c r="C868" s="26" t="s">
        <v>14</v>
      </c>
      <c r="D868" s="26" t="s">
        <v>53</v>
      </c>
      <c r="E868" s="26" t="s">
        <v>795</v>
      </c>
      <c r="F868" s="26" t="s">
        <v>1064</v>
      </c>
      <c r="G868" s="27">
        <f t="shared" ref="G868" si="598">J868</f>
        <v>195820</v>
      </c>
      <c r="H868" s="27">
        <f>L868</f>
        <v>195820</v>
      </c>
      <c r="I868" s="27">
        <f>N868</f>
        <v>195820</v>
      </c>
      <c r="J868" s="16">
        <f>'БА в тыс. руб.'!G868*1000</f>
        <v>195820</v>
      </c>
      <c r="K868" s="169">
        <f t="shared" si="571"/>
        <v>0</v>
      </c>
      <c r="L868" s="16">
        <f>'БА в тыс. руб.'!H868*1000</f>
        <v>195820</v>
      </c>
      <c r="M868" s="169">
        <f t="shared" si="572"/>
        <v>0</v>
      </c>
      <c r="N868" s="16">
        <f>'БА в тыс. руб.'!I868*1000</f>
        <v>195820</v>
      </c>
      <c r="O868" s="169">
        <f t="shared" si="573"/>
        <v>0</v>
      </c>
      <c r="P868" s="16"/>
      <c r="Q868" s="16"/>
      <c r="R868" s="16"/>
      <c r="S868" s="16"/>
      <c r="T868" s="16"/>
      <c r="U868" s="16"/>
    </row>
    <row r="869" spans="1:21" s="30" customFormat="1" ht="25.5">
      <c r="A869" s="32" t="s">
        <v>405</v>
      </c>
      <c r="B869" s="25" t="s">
        <v>62</v>
      </c>
      <c r="C869" s="26" t="s">
        <v>14</v>
      </c>
      <c r="D869" s="26" t="s">
        <v>53</v>
      </c>
      <c r="E869" s="26" t="s">
        <v>796</v>
      </c>
      <c r="F869" s="26" t="s">
        <v>58</v>
      </c>
      <c r="G869" s="119">
        <f>G870+G872</f>
        <v>556400</v>
      </c>
      <c r="H869" s="119">
        <f>H870+H872</f>
        <v>556400</v>
      </c>
      <c r="I869" s="119">
        <f>I870+I872</f>
        <v>556400</v>
      </c>
      <c r="J869" s="16">
        <f>'БА в тыс. руб.'!G869*1000</f>
        <v>556400</v>
      </c>
      <c r="K869" s="169">
        <f t="shared" si="571"/>
        <v>0</v>
      </c>
      <c r="L869" s="16">
        <f>'БА в тыс. руб.'!H869*1000</f>
        <v>556400</v>
      </c>
      <c r="M869" s="169">
        <f t="shared" si="572"/>
        <v>0</v>
      </c>
      <c r="N869" s="16">
        <f>'БА в тыс. руб.'!I869*1000</f>
        <v>556400</v>
      </c>
      <c r="O869" s="169">
        <f t="shared" si="573"/>
        <v>0</v>
      </c>
      <c r="P869" s="16"/>
      <c r="Q869" s="16"/>
      <c r="R869" s="16"/>
      <c r="S869" s="16"/>
      <c r="T869" s="16"/>
      <c r="U869" s="16"/>
    </row>
    <row r="870" spans="1:21" s="30" customFormat="1" ht="25.5">
      <c r="A870" s="11" t="s">
        <v>108</v>
      </c>
      <c r="B870" s="25" t="s">
        <v>62</v>
      </c>
      <c r="C870" s="26" t="s">
        <v>14</v>
      </c>
      <c r="D870" s="26" t="s">
        <v>53</v>
      </c>
      <c r="E870" s="26" t="s">
        <v>796</v>
      </c>
      <c r="F870" s="26" t="s">
        <v>116</v>
      </c>
      <c r="G870" s="119">
        <f>G871</f>
        <v>7410</v>
      </c>
      <c r="H870" s="119">
        <f t="shared" ref="H870:I870" si="599">H871</f>
        <v>7410</v>
      </c>
      <c r="I870" s="119">
        <f t="shared" si="599"/>
        <v>7410</v>
      </c>
      <c r="J870" s="16">
        <f>'БА в тыс. руб.'!G870*1000</f>
        <v>7410</v>
      </c>
      <c r="K870" s="169">
        <f t="shared" si="571"/>
        <v>0</v>
      </c>
      <c r="L870" s="16">
        <f>'БА в тыс. руб.'!H870*1000</f>
        <v>7410</v>
      </c>
      <c r="M870" s="169">
        <f t="shared" si="572"/>
        <v>0</v>
      </c>
      <c r="N870" s="16">
        <f>'БА в тыс. руб.'!I870*1000</f>
        <v>7410</v>
      </c>
      <c r="O870" s="169">
        <f t="shared" si="573"/>
        <v>0</v>
      </c>
      <c r="P870" s="16"/>
      <c r="Q870" s="16"/>
      <c r="R870" s="16"/>
      <c r="S870" s="16"/>
      <c r="T870" s="16"/>
      <c r="U870" s="16"/>
    </row>
    <row r="871" spans="1:21" s="83" customFormat="1" ht="25.5">
      <c r="A871" s="12" t="s">
        <v>973</v>
      </c>
      <c r="B871" s="25" t="s">
        <v>62</v>
      </c>
      <c r="C871" s="26" t="s">
        <v>14</v>
      </c>
      <c r="D871" s="26" t="s">
        <v>53</v>
      </c>
      <c r="E871" s="26" t="s">
        <v>796</v>
      </c>
      <c r="F871" s="26" t="s">
        <v>1043</v>
      </c>
      <c r="G871" s="27">
        <f t="shared" ref="G871" si="600">J871</f>
        <v>7410</v>
      </c>
      <c r="H871" s="27">
        <f>L871</f>
        <v>7410</v>
      </c>
      <c r="I871" s="27">
        <f>N871</f>
        <v>7410</v>
      </c>
      <c r="J871" s="16">
        <f>'БА в тыс. руб.'!G871*1000</f>
        <v>7410</v>
      </c>
      <c r="K871" s="169">
        <f t="shared" si="571"/>
        <v>0</v>
      </c>
      <c r="L871" s="16">
        <f>'БА в тыс. руб.'!H871*1000</f>
        <v>7410</v>
      </c>
      <c r="M871" s="169">
        <f t="shared" si="572"/>
        <v>0</v>
      </c>
      <c r="N871" s="16">
        <f>'БА в тыс. руб.'!I871*1000</f>
        <v>7410</v>
      </c>
      <c r="O871" s="169">
        <f t="shared" si="573"/>
        <v>0</v>
      </c>
      <c r="P871" s="16"/>
      <c r="Q871" s="16"/>
      <c r="R871" s="16"/>
      <c r="S871" s="16"/>
      <c r="T871" s="16"/>
      <c r="U871" s="16"/>
    </row>
    <row r="872" spans="1:21" s="30" customFormat="1">
      <c r="A872" s="13" t="s">
        <v>109</v>
      </c>
      <c r="B872" s="25" t="s">
        <v>62</v>
      </c>
      <c r="C872" s="26" t="s">
        <v>14</v>
      </c>
      <c r="D872" s="26" t="s">
        <v>53</v>
      </c>
      <c r="E872" s="26" t="s">
        <v>796</v>
      </c>
      <c r="F872" s="26" t="s">
        <v>134</v>
      </c>
      <c r="G872" s="119">
        <f>G873</f>
        <v>548990</v>
      </c>
      <c r="H872" s="119">
        <f t="shared" ref="H872:I872" si="601">H873</f>
        <v>548990</v>
      </c>
      <c r="I872" s="119">
        <f t="shared" si="601"/>
        <v>548990</v>
      </c>
      <c r="J872" s="16">
        <f>'БА в тыс. руб.'!G872*1000</f>
        <v>548990</v>
      </c>
      <c r="K872" s="169">
        <f t="shared" si="571"/>
        <v>0</v>
      </c>
      <c r="L872" s="16">
        <f>'БА в тыс. руб.'!H872*1000</f>
        <v>548990</v>
      </c>
      <c r="M872" s="169">
        <f t="shared" si="572"/>
        <v>0</v>
      </c>
      <c r="N872" s="16">
        <f>'БА в тыс. руб.'!I872*1000</f>
        <v>548990</v>
      </c>
      <c r="O872" s="169">
        <f t="shared" si="573"/>
        <v>0</v>
      </c>
      <c r="P872" s="16"/>
      <c r="Q872" s="16"/>
      <c r="R872" s="16"/>
      <c r="S872" s="16"/>
      <c r="T872" s="16"/>
      <c r="U872" s="16"/>
    </row>
    <row r="873" spans="1:21" s="83" customFormat="1" ht="25.5">
      <c r="A873" s="12" t="s">
        <v>978</v>
      </c>
      <c r="B873" s="25" t="s">
        <v>62</v>
      </c>
      <c r="C873" s="26" t="s">
        <v>14</v>
      </c>
      <c r="D873" s="26" t="s">
        <v>53</v>
      </c>
      <c r="E873" s="26" t="s">
        <v>796</v>
      </c>
      <c r="F873" s="26" t="s">
        <v>1064</v>
      </c>
      <c r="G873" s="27">
        <f t="shared" ref="G873" si="602">J873</f>
        <v>548990</v>
      </c>
      <c r="H873" s="27">
        <f>L873</f>
        <v>548990</v>
      </c>
      <c r="I873" s="27">
        <f>N873</f>
        <v>548990</v>
      </c>
      <c r="J873" s="16">
        <f>'БА в тыс. руб.'!G873*1000</f>
        <v>548990</v>
      </c>
      <c r="K873" s="169">
        <f t="shared" si="571"/>
        <v>0</v>
      </c>
      <c r="L873" s="16">
        <f>'БА в тыс. руб.'!H873*1000</f>
        <v>548990</v>
      </c>
      <c r="M873" s="169">
        <f t="shared" si="572"/>
        <v>0</v>
      </c>
      <c r="N873" s="16">
        <f>'БА в тыс. руб.'!I873*1000</f>
        <v>548990</v>
      </c>
      <c r="O873" s="169">
        <f t="shared" si="573"/>
        <v>0</v>
      </c>
      <c r="P873" s="16"/>
      <c r="Q873" s="16"/>
      <c r="R873" s="16"/>
      <c r="S873" s="16"/>
      <c r="T873" s="16"/>
      <c r="U873" s="16"/>
    </row>
    <row r="874" spans="1:21" s="30" customFormat="1" ht="25.5">
      <c r="A874" s="32" t="s">
        <v>403</v>
      </c>
      <c r="B874" s="25" t="s">
        <v>62</v>
      </c>
      <c r="C874" s="26" t="s">
        <v>14</v>
      </c>
      <c r="D874" s="26" t="s">
        <v>53</v>
      </c>
      <c r="E874" s="26" t="s">
        <v>797</v>
      </c>
      <c r="F874" s="26" t="s">
        <v>58</v>
      </c>
      <c r="G874" s="119">
        <f>G875+G877</f>
        <v>280139800</v>
      </c>
      <c r="H874" s="119">
        <f>H875+H877</f>
        <v>232516030</v>
      </c>
      <c r="I874" s="119">
        <f>I875+I877</f>
        <v>280139800</v>
      </c>
      <c r="J874" s="16">
        <f>'БА в тыс. руб.'!G874*1000</f>
        <v>280139800</v>
      </c>
      <c r="K874" s="169">
        <f t="shared" si="571"/>
        <v>0</v>
      </c>
      <c r="L874" s="16">
        <f>'БА в тыс. руб.'!H874*1000</f>
        <v>232516030</v>
      </c>
      <c r="M874" s="169">
        <f t="shared" si="572"/>
        <v>0</v>
      </c>
      <c r="N874" s="16">
        <f>'БА в тыс. руб.'!I874*1000</f>
        <v>280139800</v>
      </c>
      <c r="O874" s="169">
        <f t="shared" si="573"/>
        <v>0</v>
      </c>
      <c r="P874" s="16"/>
      <c r="Q874" s="16"/>
      <c r="R874" s="16"/>
      <c r="S874" s="16"/>
      <c r="T874" s="16"/>
      <c r="U874" s="16"/>
    </row>
    <row r="875" spans="1:21" s="30" customFormat="1" ht="25.5">
      <c r="A875" s="11" t="s">
        <v>108</v>
      </c>
      <c r="B875" s="25" t="s">
        <v>62</v>
      </c>
      <c r="C875" s="26" t="s">
        <v>14</v>
      </c>
      <c r="D875" s="26" t="s">
        <v>53</v>
      </c>
      <c r="E875" s="26" t="s">
        <v>797</v>
      </c>
      <c r="F875" s="26" t="s">
        <v>116</v>
      </c>
      <c r="G875" s="119">
        <f>G876</f>
        <v>3726000</v>
      </c>
      <c r="H875" s="119">
        <f t="shared" ref="H875:I875" si="603">H876</f>
        <v>3092360</v>
      </c>
      <c r="I875" s="119">
        <f t="shared" si="603"/>
        <v>3726000</v>
      </c>
      <c r="J875" s="16">
        <f>'БА в тыс. руб.'!G875*1000</f>
        <v>3726000</v>
      </c>
      <c r="K875" s="169">
        <f t="shared" si="571"/>
        <v>0</v>
      </c>
      <c r="L875" s="16">
        <f>'БА в тыс. руб.'!H875*1000</f>
        <v>3092360</v>
      </c>
      <c r="M875" s="169">
        <f t="shared" si="572"/>
        <v>0</v>
      </c>
      <c r="N875" s="16">
        <f>'БА в тыс. руб.'!I875*1000</f>
        <v>3726000</v>
      </c>
      <c r="O875" s="169">
        <f t="shared" si="573"/>
        <v>0</v>
      </c>
      <c r="P875" s="16"/>
      <c r="Q875" s="16"/>
      <c r="R875" s="16"/>
      <c r="S875" s="16"/>
      <c r="T875" s="16"/>
      <c r="U875" s="16"/>
    </row>
    <row r="876" spans="1:21" s="83" customFormat="1" ht="25.5">
      <c r="A876" s="12" t="s">
        <v>973</v>
      </c>
      <c r="B876" s="25" t="s">
        <v>62</v>
      </c>
      <c r="C876" s="26" t="s">
        <v>14</v>
      </c>
      <c r="D876" s="26" t="s">
        <v>53</v>
      </c>
      <c r="E876" s="26" t="s">
        <v>797</v>
      </c>
      <c r="F876" s="26" t="s">
        <v>1043</v>
      </c>
      <c r="G876" s="27">
        <f t="shared" ref="G876" si="604">J876</f>
        <v>3726000</v>
      </c>
      <c r="H876" s="27">
        <f>L876</f>
        <v>3092360</v>
      </c>
      <c r="I876" s="27">
        <f>N876</f>
        <v>3726000</v>
      </c>
      <c r="J876" s="16">
        <f>'БА в тыс. руб.'!G876*1000</f>
        <v>3726000</v>
      </c>
      <c r="K876" s="169">
        <f t="shared" si="571"/>
        <v>0</v>
      </c>
      <c r="L876" s="16">
        <f>'БА в тыс. руб.'!H876*1000</f>
        <v>3092360</v>
      </c>
      <c r="M876" s="169">
        <f t="shared" si="572"/>
        <v>0</v>
      </c>
      <c r="N876" s="16">
        <f>'БА в тыс. руб.'!I876*1000</f>
        <v>3726000</v>
      </c>
      <c r="O876" s="169">
        <f t="shared" si="573"/>
        <v>0</v>
      </c>
      <c r="P876" s="16"/>
      <c r="Q876" s="16"/>
      <c r="R876" s="16"/>
      <c r="S876" s="16"/>
      <c r="T876" s="16"/>
      <c r="U876" s="16"/>
    </row>
    <row r="877" spans="1:21" s="30" customFormat="1">
      <c r="A877" s="13" t="s">
        <v>109</v>
      </c>
      <c r="B877" s="25" t="s">
        <v>62</v>
      </c>
      <c r="C877" s="26" t="s">
        <v>14</v>
      </c>
      <c r="D877" s="26" t="s">
        <v>53</v>
      </c>
      <c r="E877" s="26" t="s">
        <v>797</v>
      </c>
      <c r="F877" s="26" t="s">
        <v>134</v>
      </c>
      <c r="G877" s="119">
        <f>G878</f>
        <v>276413800</v>
      </c>
      <c r="H877" s="119">
        <f t="shared" ref="H877:I877" si="605">H878</f>
        <v>229423670</v>
      </c>
      <c r="I877" s="119">
        <f t="shared" si="605"/>
        <v>276413800</v>
      </c>
      <c r="J877" s="16">
        <f>'БА в тыс. руб.'!G877*1000</f>
        <v>276413800</v>
      </c>
      <c r="K877" s="169">
        <f t="shared" si="571"/>
        <v>0</v>
      </c>
      <c r="L877" s="16">
        <f>'БА в тыс. руб.'!H877*1000</f>
        <v>229423670</v>
      </c>
      <c r="M877" s="169">
        <f t="shared" si="572"/>
        <v>0</v>
      </c>
      <c r="N877" s="16">
        <f>'БА в тыс. руб.'!I877*1000</f>
        <v>276413800</v>
      </c>
      <c r="O877" s="169">
        <f t="shared" si="573"/>
        <v>0</v>
      </c>
      <c r="P877" s="16"/>
      <c r="Q877" s="16"/>
      <c r="R877" s="16"/>
      <c r="S877" s="16"/>
      <c r="T877" s="16"/>
      <c r="U877" s="16"/>
    </row>
    <row r="878" spans="1:21" s="83" customFormat="1" ht="25.5">
      <c r="A878" s="12" t="s">
        <v>978</v>
      </c>
      <c r="B878" s="25" t="s">
        <v>62</v>
      </c>
      <c r="C878" s="26" t="s">
        <v>14</v>
      </c>
      <c r="D878" s="26" t="s">
        <v>53</v>
      </c>
      <c r="E878" s="26" t="s">
        <v>797</v>
      </c>
      <c r="F878" s="26" t="s">
        <v>1064</v>
      </c>
      <c r="G878" s="27">
        <f t="shared" ref="G878" si="606">J878</f>
        <v>276413800</v>
      </c>
      <c r="H878" s="27">
        <f>L878</f>
        <v>229423670</v>
      </c>
      <c r="I878" s="27">
        <f>N878</f>
        <v>276413800</v>
      </c>
      <c r="J878" s="16">
        <f>'БА в тыс. руб.'!G878*1000</f>
        <v>276413800</v>
      </c>
      <c r="K878" s="169">
        <f t="shared" si="571"/>
        <v>0</v>
      </c>
      <c r="L878" s="16">
        <f>'БА в тыс. руб.'!H878*1000</f>
        <v>229423670</v>
      </c>
      <c r="M878" s="169">
        <f t="shared" si="572"/>
        <v>0</v>
      </c>
      <c r="N878" s="16">
        <f>'БА в тыс. руб.'!I878*1000</f>
        <v>276413800</v>
      </c>
      <c r="O878" s="169">
        <f t="shared" si="573"/>
        <v>0</v>
      </c>
      <c r="P878" s="16"/>
      <c r="Q878" s="16"/>
      <c r="R878" s="16"/>
      <c r="S878" s="16"/>
      <c r="T878" s="16"/>
      <c r="U878" s="16"/>
    </row>
    <row r="879" spans="1:21" s="30" customFormat="1" ht="38.25">
      <c r="A879" s="32" t="s">
        <v>693</v>
      </c>
      <c r="B879" s="25" t="s">
        <v>62</v>
      </c>
      <c r="C879" s="26" t="s">
        <v>14</v>
      </c>
      <c r="D879" s="26" t="s">
        <v>53</v>
      </c>
      <c r="E879" s="26" t="s">
        <v>798</v>
      </c>
      <c r="F879" s="26" t="s">
        <v>58</v>
      </c>
      <c r="G879" s="119">
        <f>G882+G880</f>
        <v>5379230</v>
      </c>
      <c r="H879" s="119">
        <f>H882+H880</f>
        <v>5379230</v>
      </c>
      <c r="I879" s="119">
        <f>I882+I880</f>
        <v>5379230</v>
      </c>
      <c r="J879" s="16">
        <f>'БА в тыс. руб.'!G879*1000</f>
        <v>5379230</v>
      </c>
      <c r="K879" s="169">
        <f t="shared" si="571"/>
        <v>0</v>
      </c>
      <c r="L879" s="16">
        <f>'БА в тыс. руб.'!H879*1000</f>
        <v>5379230</v>
      </c>
      <c r="M879" s="169">
        <f t="shared" si="572"/>
        <v>0</v>
      </c>
      <c r="N879" s="16">
        <f>'БА в тыс. руб.'!I879*1000</f>
        <v>5379230</v>
      </c>
      <c r="O879" s="169">
        <f t="shared" si="573"/>
        <v>0</v>
      </c>
      <c r="P879" s="16"/>
      <c r="Q879" s="16"/>
      <c r="R879" s="16"/>
      <c r="S879" s="16"/>
      <c r="T879" s="16"/>
      <c r="U879" s="16"/>
    </row>
    <row r="880" spans="1:21" s="30" customFormat="1" ht="25.5">
      <c r="A880" s="11" t="s">
        <v>108</v>
      </c>
      <c r="B880" s="25" t="s">
        <v>62</v>
      </c>
      <c r="C880" s="26" t="s">
        <v>14</v>
      </c>
      <c r="D880" s="26" t="s">
        <v>53</v>
      </c>
      <c r="E880" s="26" t="s">
        <v>798</v>
      </c>
      <c r="F880" s="26" t="s">
        <v>116</v>
      </c>
      <c r="G880" s="119">
        <f>G881</f>
        <v>61000</v>
      </c>
      <c r="H880" s="119">
        <f t="shared" ref="H880:I880" si="607">H881</f>
        <v>61000</v>
      </c>
      <c r="I880" s="119">
        <f t="shared" si="607"/>
        <v>61000</v>
      </c>
      <c r="J880" s="16">
        <f>'БА в тыс. руб.'!G880*1000</f>
        <v>61000</v>
      </c>
      <c r="K880" s="169">
        <f t="shared" si="571"/>
        <v>0</v>
      </c>
      <c r="L880" s="16">
        <f>'БА в тыс. руб.'!H880*1000</f>
        <v>61000</v>
      </c>
      <c r="M880" s="169">
        <f t="shared" si="572"/>
        <v>0</v>
      </c>
      <c r="N880" s="16">
        <f>'БА в тыс. руб.'!I880*1000</f>
        <v>61000</v>
      </c>
      <c r="O880" s="169">
        <f t="shared" si="573"/>
        <v>0</v>
      </c>
      <c r="P880" s="16"/>
      <c r="Q880" s="16"/>
      <c r="R880" s="16"/>
      <c r="S880" s="16"/>
      <c r="T880" s="16"/>
      <c r="U880" s="16"/>
    </row>
    <row r="881" spans="1:21" s="83" customFormat="1" ht="25.5">
      <c r="A881" s="12" t="s">
        <v>973</v>
      </c>
      <c r="B881" s="25" t="s">
        <v>62</v>
      </c>
      <c r="C881" s="26" t="s">
        <v>14</v>
      </c>
      <c r="D881" s="26" t="s">
        <v>53</v>
      </c>
      <c r="E881" s="26" t="s">
        <v>798</v>
      </c>
      <c r="F881" s="26" t="s">
        <v>1043</v>
      </c>
      <c r="G881" s="27">
        <f t="shared" ref="G881" si="608">J881</f>
        <v>61000</v>
      </c>
      <c r="H881" s="27">
        <f>L881</f>
        <v>61000</v>
      </c>
      <c r="I881" s="27">
        <f>N881</f>
        <v>61000</v>
      </c>
      <c r="J881" s="16">
        <f>'БА в тыс. руб.'!G881*1000</f>
        <v>61000</v>
      </c>
      <c r="K881" s="169">
        <f t="shared" si="571"/>
        <v>0</v>
      </c>
      <c r="L881" s="16">
        <f>'БА в тыс. руб.'!H881*1000</f>
        <v>61000</v>
      </c>
      <c r="M881" s="169">
        <f t="shared" si="572"/>
        <v>0</v>
      </c>
      <c r="N881" s="16">
        <f>'БА в тыс. руб.'!I881*1000</f>
        <v>61000</v>
      </c>
      <c r="O881" s="169">
        <f t="shared" si="573"/>
        <v>0</v>
      </c>
      <c r="P881" s="16"/>
      <c r="Q881" s="16"/>
      <c r="R881" s="16"/>
      <c r="S881" s="16"/>
      <c r="T881" s="16"/>
      <c r="U881" s="16"/>
    </row>
    <row r="882" spans="1:21" s="30" customFormat="1">
      <c r="A882" s="13" t="s">
        <v>109</v>
      </c>
      <c r="B882" s="25" t="s">
        <v>62</v>
      </c>
      <c r="C882" s="26" t="s">
        <v>14</v>
      </c>
      <c r="D882" s="26" t="s">
        <v>53</v>
      </c>
      <c r="E882" s="26" t="s">
        <v>798</v>
      </c>
      <c r="F882" s="26" t="s">
        <v>134</v>
      </c>
      <c r="G882" s="119">
        <f>G883</f>
        <v>5318230</v>
      </c>
      <c r="H882" s="119">
        <f t="shared" ref="H882:I882" si="609">H883</f>
        <v>5318230</v>
      </c>
      <c r="I882" s="119">
        <f t="shared" si="609"/>
        <v>5318230</v>
      </c>
      <c r="J882" s="16">
        <f>'БА в тыс. руб.'!G882*1000</f>
        <v>5318230</v>
      </c>
      <c r="K882" s="169">
        <f t="shared" si="571"/>
        <v>0</v>
      </c>
      <c r="L882" s="16">
        <f>'БА в тыс. руб.'!H882*1000</f>
        <v>5318230</v>
      </c>
      <c r="M882" s="169">
        <f t="shared" si="572"/>
        <v>0</v>
      </c>
      <c r="N882" s="16">
        <f>'БА в тыс. руб.'!I882*1000</f>
        <v>5318230</v>
      </c>
      <c r="O882" s="169">
        <f t="shared" si="573"/>
        <v>0</v>
      </c>
      <c r="P882" s="16"/>
      <c r="Q882" s="16"/>
      <c r="R882" s="16"/>
      <c r="S882" s="16"/>
      <c r="T882" s="16"/>
      <c r="U882" s="16"/>
    </row>
    <row r="883" spans="1:21" s="83" customFormat="1" ht="25.5">
      <c r="A883" s="12" t="s">
        <v>978</v>
      </c>
      <c r="B883" s="25" t="s">
        <v>62</v>
      </c>
      <c r="C883" s="26" t="s">
        <v>14</v>
      </c>
      <c r="D883" s="26" t="s">
        <v>53</v>
      </c>
      <c r="E883" s="26" t="s">
        <v>798</v>
      </c>
      <c r="F883" s="26" t="s">
        <v>1064</v>
      </c>
      <c r="G883" s="27">
        <f t="shared" ref="G883" si="610">J883</f>
        <v>5318230</v>
      </c>
      <c r="H883" s="27">
        <f>L883</f>
        <v>5318230</v>
      </c>
      <c r="I883" s="27">
        <f>N883</f>
        <v>5318230</v>
      </c>
      <c r="J883" s="16">
        <f>'БА в тыс. руб.'!G883*1000</f>
        <v>5318230</v>
      </c>
      <c r="K883" s="169">
        <f t="shared" si="571"/>
        <v>0</v>
      </c>
      <c r="L883" s="16">
        <f>'БА в тыс. руб.'!H883*1000</f>
        <v>5318230</v>
      </c>
      <c r="M883" s="169">
        <f t="shared" si="572"/>
        <v>0</v>
      </c>
      <c r="N883" s="16">
        <f>'БА в тыс. руб.'!I883*1000</f>
        <v>5318230</v>
      </c>
      <c r="O883" s="169">
        <f t="shared" si="573"/>
        <v>0</v>
      </c>
      <c r="P883" s="16"/>
      <c r="Q883" s="16"/>
      <c r="R883" s="16"/>
      <c r="S883" s="16"/>
      <c r="T883" s="16"/>
      <c r="U883" s="16"/>
    </row>
    <row r="884" spans="1:21" s="30" customFormat="1" ht="25.5">
      <c r="A884" s="152" t="s">
        <v>406</v>
      </c>
      <c r="B884" s="25" t="s">
        <v>62</v>
      </c>
      <c r="C884" s="26" t="s">
        <v>14</v>
      </c>
      <c r="D884" s="26" t="s">
        <v>53</v>
      </c>
      <c r="E884" s="26" t="s">
        <v>407</v>
      </c>
      <c r="F884" s="26" t="s">
        <v>58</v>
      </c>
      <c r="G884" s="161">
        <f>G885+G893+G901+G888+G896</f>
        <v>318230640</v>
      </c>
      <c r="H884" s="161">
        <f>H885+H893+H901+H888+H896</f>
        <v>311230880</v>
      </c>
      <c r="I884" s="161">
        <f>I885+I893+I901+I888+I896</f>
        <v>335106090</v>
      </c>
      <c r="J884" s="16">
        <f>'БА в тыс. руб.'!G884*1000</f>
        <v>318230640.00000006</v>
      </c>
      <c r="K884" s="169">
        <f t="shared" si="571"/>
        <v>0</v>
      </c>
      <c r="L884" s="16">
        <f>'БА в тыс. руб.'!H884*1000</f>
        <v>311230880</v>
      </c>
      <c r="M884" s="169">
        <f t="shared" si="572"/>
        <v>0</v>
      </c>
      <c r="N884" s="16">
        <f>'БА в тыс. руб.'!I884*1000</f>
        <v>335106089.99999994</v>
      </c>
      <c r="O884" s="169">
        <f t="shared" si="573"/>
        <v>0</v>
      </c>
      <c r="P884" s="16"/>
      <c r="Q884" s="16"/>
      <c r="R884" s="16"/>
      <c r="S884" s="16"/>
      <c r="T884" s="16"/>
      <c r="U884" s="16"/>
    </row>
    <row r="885" spans="1:21" s="30" customFormat="1" ht="63.75">
      <c r="A885" s="32" t="s">
        <v>408</v>
      </c>
      <c r="B885" s="25" t="s">
        <v>62</v>
      </c>
      <c r="C885" s="26" t="s">
        <v>14</v>
      </c>
      <c r="D885" s="26" t="s">
        <v>53</v>
      </c>
      <c r="E885" s="26" t="s">
        <v>409</v>
      </c>
      <c r="F885" s="26" t="s">
        <v>58</v>
      </c>
      <c r="G885" s="119">
        <f>G886</f>
        <v>168353500</v>
      </c>
      <c r="H885" s="119">
        <f>H886</f>
        <v>168938600</v>
      </c>
      <c r="I885" s="119">
        <f>I886</f>
        <v>169829300</v>
      </c>
      <c r="J885" s="16">
        <f>'БА в тыс. руб.'!G885*1000</f>
        <v>168353500</v>
      </c>
      <c r="K885" s="169">
        <f t="shared" si="571"/>
        <v>0</v>
      </c>
      <c r="L885" s="16">
        <f>'БА в тыс. руб.'!H885*1000</f>
        <v>168938600</v>
      </c>
      <c r="M885" s="169">
        <f t="shared" si="572"/>
        <v>0</v>
      </c>
      <c r="N885" s="16">
        <f>'БА в тыс. руб.'!I885*1000</f>
        <v>169829300</v>
      </c>
      <c r="O885" s="169">
        <f t="shared" si="573"/>
        <v>0</v>
      </c>
      <c r="P885" s="16"/>
      <c r="Q885" s="16"/>
      <c r="R885" s="16"/>
      <c r="S885" s="16"/>
      <c r="T885" s="16"/>
      <c r="U885" s="16"/>
    </row>
    <row r="886" spans="1:21" s="30" customFormat="1">
      <c r="A886" s="13" t="s">
        <v>109</v>
      </c>
      <c r="B886" s="25" t="s">
        <v>62</v>
      </c>
      <c r="C886" s="26" t="s">
        <v>14</v>
      </c>
      <c r="D886" s="26" t="s">
        <v>53</v>
      </c>
      <c r="E886" s="26" t="s">
        <v>409</v>
      </c>
      <c r="F886" s="26" t="s">
        <v>134</v>
      </c>
      <c r="G886" s="119">
        <f>G887</f>
        <v>168353500</v>
      </c>
      <c r="H886" s="119">
        <f t="shared" ref="H886:I886" si="611">H887</f>
        <v>168938600</v>
      </c>
      <c r="I886" s="119">
        <f t="shared" si="611"/>
        <v>169829300</v>
      </c>
      <c r="J886" s="16">
        <f>'БА в тыс. руб.'!G886*1000</f>
        <v>168353500</v>
      </c>
      <c r="K886" s="169">
        <f t="shared" si="571"/>
        <v>0</v>
      </c>
      <c r="L886" s="16">
        <f>'БА в тыс. руб.'!H886*1000</f>
        <v>168938600</v>
      </c>
      <c r="M886" s="169">
        <f t="shared" si="572"/>
        <v>0</v>
      </c>
      <c r="N886" s="16">
        <f>'БА в тыс. руб.'!I886*1000</f>
        <v>169829300</v>
      </c>
      <c r="O886" s="169">
        <f t="shared" si="573"/>
        <v>0</v>
      </c>
      <c r="P886" s="16"/>
      <c r="Q886" s="16"/>
      <c r="R886" s="16"/>
      <c r="S886" s="16"/>
      <c r="T886" s="16"/>
      <c r="U886" s="16"/>
    </row>
    <row r="887" spans="1:21" s="83" customFormat="1" ht="25.5">
      <c r="A887" s="12" t="s">
        <v>978</v>
      </c>
      <c r="B887" s="25" t="s">
        <v>62</v>
      </c>
      <c r="C887" s="26" t="s">
        <v>14</v>
      </c>
      <c r="D887" s="26" t="s">
        <v>53</v>
      </c>
      <c r="E887" s="26" t="s">
        <v>409</v>
      </c>
      <c r="F887" s="26" t="s">
        <v>1064</v>
      </c>
      <c r="G887" s="27">
        <f t="shared" ref="G887" si="612">J887</f>
        <v>168353500</v>
      </c>
      <c r="H887" s="27">
        <f>L887</f>
        <v>168938600</v>
      </c>
      <c r="I887" s="27">
        <f>N887</f>
        <v>169829300</v>
      </c>
      <c r="J887" s="16">
        <f>'БА в тыс. руб.'!G887*1000</f>
        <v>168353500</v>
      </c>
      <c r="K887" s="169">
        <f t="shared" si="571"/>
        <v>0</v>
      </c>
      <c r="L887" s="16">
        <f>'БА в тыс. руб.'!H887*1000</f>
        <v>168938600</v>
      </c>
      <c r="M887" s="169">
        <f t="shared" si="572"/>
        <v>0</v>
      </c>
      <c r="N887" s="16">
        <f>'БА в тыс. руб.'!I887*1000</f>
        <v>169829300</v>
      </c>
      <c r="O887" s="169">
        <f t="shared" si="573"/>
        <v>0</v>
      </c>
      <c r="P887" s="16"/>
      <c r="Q887" s="16"/>
      <c r="R887" s="16"/>
      <c r="S887" s="16"/>
      <c r="T887" s="16"/>
      <c r="U887" s="16"/>
    </row>
    <row r="888" spans="1:21" s="30" customFormat="1">
      <c r="A888" s="32" t="s">
        <v>410</v>
      </c>
      <c r="B888" s="25" t="s">
        <v>62</v>
      </c>
      <c r="C888" s="26" t="s">
        <v>14</v>
      </c>
      <c r="D888" s="26" t="s">
        <v>53</v>
      </c>
      <c r="E888" s="26" t="s">
        <v>411</v>
      </c>
      <c r="F888" s="26" t="s">
        <v>58</v>
      </c>
      <c r="G888" s="119">
        <f>G889+G891</f>
        <v>389830</v>
      </c>
      <c r="H888" s="119">
        <f>H889+H891</f>
        <v>389830</v>
      </c>
      <c r="I888" s="119">
        <f>I889+I891</f>
        <v>389830</v>
      </c>
      <c r="J888" s="16">
        <f>'БА в тыс. руб.'!G888*1000</f>
        <v>389830</v>
      </c>
      <c r="K888" s="169">
        <f t="shared" si="571"/>
        <v>0</v>
      </c>
      <c r="L888" s="16">
        <f>'БА в тыс. руб.'!H888*1000</f>
        <v>389830</v>
      </c>
      <c r="M888" s="169">
        <f t="shared" si="572"/>
        <v>0</v>
      </c>
      <c r="N888" s="16">
        <f>'БА в тыс. руб.'!I888*1000</f>
        <v>389830</v>
      </c>
      <c r="O888" s="169">
        <f t="shared" si="573"/>
        <v>0</v>
      </c>
      <c r="P888" s="16"/>
      <c r="Q888" s="16"/>
      <c r="R888" s="16"/>
      <c r="S888" s="16"/>
      <c r="T888" s="16"/>
      <c r="U888" s="16"/>
    </row>
    <row r="889" spans="1:21" s="30" customFormat="1" ht="25.5">
      <c r="A889" s="11" t="s">
        <v>108</v>
      </c>
      <c r="B889" s="25" t="s">
        <v>62</v>
      </c>
      <c r="C889" s="26" t="s">
        <v>14</v>
      </c>
      <c r="D889" s="26" t="s">
        <v>53</v>
      </c>
      <c r="E889" s="26" t="s">
        <v>411</v>
      </c>
      <c r="F889" s="26" t="s">
        <v>116</v>
      </c>
      <c r="G889" s="119">
        <f>G890</f>
        <v>5760</v>
      </c>
      <c r="H889" s="119">
        <f t="shared" ref="H889:I889" si="613">H890</f>
        <v>5760</v>
      </c>
      <c r="I889" s="119">
        <f t="shared" si="613"/>
        <v>5760</v>
      </c>
      <c r="J889" s="16">
        <f>'БА в тыс. руб.'!G889*1000</f>
        <v>5760</v>
      </c>
      <c r="K889" s="169">
        <f t="shared" si="571"/>
        <v>0</v>
      </c>
      <c r="L889" s="16">
        <f>'БА в тыс. руб.'!H889*1000</f>
        <v>5760</v>
      </c>
      <c r="M889" s="169">
        <f t="shared" si="572"/>
        <v>0</v>
      </c>
      <c r="N889" s="16">
        <f>'БА в тыс. руб.'!I889*1000</f>
        <v>5760</v>
      </c>
      <c r="O889" s="169">
        <f t="shared" si="573"/>
        <v>0</v>
      </c>
      <c r="P889" s="16"/>
      <c r="Q889" s="16"/>
      <c r="R889" s="16"/>
      <c r="S889" s="16"/>
      <c r="T889" s="16"/>
      <c r="U889" s="16"/>
    </row>
    <row r="890" spans="1:21" s="83" customFormat="1" ht="25.5">
      <c r="A890" s="12" t="s">
        <v>973</v>
      </c>
      <c r="B890" s="25" t="s">
        <v>62</v>
      </c>
      <c r="C890" s="26" t="s">
        <v>14</v>
      </c>
      <c r="D890" s="26" t="s">
        <v>53</v>
      </c>
      <c r="E890" s="26" t="s">
        <v>411</v>
      </c>
      <c r="F890" s="26" t="s">
        <v>1043</v>
      </c>
      <c r="G890" s="27">
        <f t="shared" ref="G890" si="614">J890</f>
        <v>5760</v>
      </c>
      <c r="H890" s="27">
        <f>L890</f>
        <v>5760</v>
      </c>
      <c r="I890" s="27">
        <f>N890</f>
        <v>5760</v>
      </c>
      <c r="J890" s="16">
        <f>'БА в тыс. руб.'!G890*1000</f>
        <v>5760</v>
      </c>
      <c r="K890" s="169">
        <f t="shared" si="571"/>
        <v>0</v>
      </c>
      <c r="L890" s="16">
        <f>'БА в тыс. руб.'!H890*1000</f>
        <v>5760</v>
      </c>
      <c r="M890" s="169">
        <f t="shared" si="572"/>
        <v>0</v>
      </c>
      <c r="N890" s="16">
        <f>'БА в тыс. руб.'!I890*1000</f>
        <v>5760</v>
      </c>
      <c r="O890" s="169">
        <f t="shared" si="573"/>
        <v>0</v>
      </c>
      <c r="P890" s="16"/>
      <c r="Q890" s="16"/>
      <c r="R890" s="16"/>
      <c r="S890" s="16"/>
      <c r="T890" s="16"/>
      <c r="U890" s="16"/>
    </row>
    <row r="891" spans="1:21" s="30" customFormat="1">
      <c r="A891" s="13" t="s">
        <v>109</v>
      </c>
      <c r="B891" s="25" t="s">
        <v>62</v>
      </c>
      <c r="C891" s="26" t="s">
        <v>14</v>
      </c>
      <c r="D891" s="26" t="s">
        <v>53</v>
      </c>
      <c r="E891" s="26" t="s">
        <v>411</v>
      </c>
      <c r="F891" s="26" t="s">
        <v>134</v>
      </c>
      <c r="G891" s="119">
        <f>G892</f>
        <v>384070</v>
      </c>
      <c r="H891" s="119">
        <f t="shared" ref="H891:I891" si="615">H892</f>
        <v>384070</v>
      </c>
      <c r="I891" s="119">
        <f t="shared" si="615"/>
        <v>384070</v>
      </c>
      <c r="J891" s="16">
        <f>'БА в тыс. руб.'!G891*1000</f>
        <v>384070</v>
      </c>
      <c r="K891" s="169">
        <f t="shared" si="571"/>
        <v>0</v>
      </c>
      <c r="L891" s="16">
        <f>'БА в тыс. руб.'!H891*1000</f>
        <v>384070</v>
      </c>
      <c r="M891" s="169">
        <f t="shared" si="572"/>
        <v>0</v>
      </c>
      <c r="N891" s="16">
        <f>'БА в тыс. руб.'!I891*1000</f>
        <v>384070</v>
      </c>
      <c r="O891" s="169">
        <f t="shared" si="573"/>
        <v>0</v>
      </c>
      <c r="P891" s="16"/>
      <c r="Q891" s="16"/>
      <c r="R891" s="16"/>
      <c r="S891" s="16"/>
      <c r="T891" s="16"/>
      <c r="U891" s="16"/>
    </row>
    <row r="892" spans="1:21" s="83" customFormat="1" ht="25.5">
      <c r="A892" s="12" t="s">
        <v>978</v>
      </c>
      <c r="B892" s="25" t="s">
        <v>62</v>
      </c>
      <c r="C892" s="26" t="s">
        <v>14</v>
      </c>
      <c r="D892" s="26" t="s">
        <v>53</v>
      </c>
      <c r="E892" s="26" t="s">
        <v>411</v>
      </c>
      <c r="F892" s="26" t="s">
        <v>1064</v>
      </c>
      <c r="G892" s="27">
        <f t="shared" ref="G892" si="616">J892</f>
        <v>384070</v>
      </c>
      <c r="H892" s="27">
        <f>L892</f>
        <v>384070</v>
      </c>
      <c r="I892" s="27">
        <f>N892</f>
        <v>384070</v>
      </c>
      <c r="J892" s="16">
        <f>'БА в тыс. руб.'!G892*1000</f>
        <v>384070</v>
      </c>
      <c r="K892" s="169">
        <f t="shared" si="571"/>
        <v>0</v>
      </c>
      <c r="L892" s="16">
        <f>'БА в тыс. руб.'!H892*1000</f>
        <v>384070</v>
      </c>
      <c r="M892" s="169">
        <f t="shared" si="572"/>
        <v>0</v>
      </c>
      <c r="N892" s="16">
        <f>'БА в тыс. руб.'!I892*1000</f>
        <v>384070</v>
      </c>
      <c r="O892" s="169">
        <f t="shared" si="573"/>
        <v>0</v>
      </c>
      <c r="P892" s="16"/>
      <c r="Q892" s="16"/>
      <c r="R892" s="16"/>
      <c r="S892" s="16"/>
      <c r="T892" s="16"/>
      <c r="U892" s="16"/>
    </row>
    <row r="893" spans="1:21" s="30" customFormat="1">
      <c r="A893" s="32" t="s">
        <v>412</v>
      </c>
      <c r="B893" s="25" t="s">
        <v>62</v>
      </c>
      <c r="C893" s="26" t="s">
        <v>14</v>
      </c>
      <c r="D893" s="26" t="s">
        <v>53</v>
      </c>
      <c r="E893" s="26" t="s">
        <v>413</v>
      </c>
      <c r="F893" s="26" t="s">
        <v>58</v>
      </c>
      <c r="G893" s="119">
        <f>G894</f>
        <v>107715280</v>
      </c>
      <c r="H893" s="119">
        <f>H894</f>
        <v>93066000</v>
      </c>
      <c r="I893" s="119">
        <f>I894</f>
        <v>107715280</v>
      </c>
      <c r="J893" s="16">
        <f>'БА в тыс. руб.'!G893*1000</f>
        <v>107715280</v>
      </c>
      <c r="K893" s="169">
        <f t="shared" si="571"/>
        <v>0</v>
      </c>
      <c r="L893" s="16">
        <f>'БА в тыс. руб.'!H893*1000</f>
        <v>93066000</v>
      </c>
      <c r="M893" s="169">
        <f t="shared" si="572"/>
        <v>0</v>
      </c>
      <c r="N893" s="16">
        <f>'БА в тыс. руб.'!I893*1000</f>
        <v>107715280</v>
      </c>
      <c r="O893" s="169">
        <f t="shared" si="573"/>
        <v>0</v>
      </c>
      <c r="P893" s="16"/>
      <c r="Q893" s="16"/>
      <c r="R893" s="16"/>
      <c r="S893" s="16"/>
      <c r="T893" s="16"/>
      <c r="U893" s="16"/>
    </row>
    <row r="894" spans="1:21" s="30" customFormat="1">
      <c r="A894" s="13" t="s">
        <v>109</v>
      </c>
      <c r="B894" s="25" t="s">
        <v>62</v>
      </c>
      <c r="C894" s="26" t="s">
        <v>14</v>
      </c>
      <c r="D894" s="26" t="s">
        <v>53</v>
      </c>
      <c r="E894" s="26" t="s">
        <v>413</v>
      </c>
      <c r="F894" s="26" t="s">
        <v>134</v>
      </c>
      <c r="G894" s="119">
        <f>G895</f>
        <v>107715280</v>
      </c>
      <c r="H894" s="119">
        <f t="shared" ref="H894:I894" si="617">H895</f>
        <v>93066000</v>
      </c>
      <c r="I894" s="119">
        <f t="shared" si="617"/>
        <v>107715280</v>
      </c>
      <c r="J894" s="16">
        <f>'БА в тыс. руб.'!G894*1000</f>
        <v>107715280</v>
      </c>
      <c r="K894" s="169">
        <f t="shared" si="571"/>
        <v>0</v>
      </c>
      <c r="L894" s="16">
        <f>'БА в тыс. руб.'!H894*1000</f>
        <v>93066000</v>
      </c>
      <c r="M894" s="169">
        <f t="shared" si="572"/>
        <v>0</v>
      </c>
      <c r="N894" s="16">
        <f>'БА в тыс. руб.'!I894*1000</f>
        <v>107715280</v>
      </c>
      <c r="O894" s="169">
        <f t="shared" si="573"/>
        <v>0</v>
      </c>
      <c r="P894" s="16"/>
      <c r="Q894" s="16"/>
      <c r="R894" s="16"/>
      <c r="S894" s="16"/>
      <c r="T894" s="16"/>
      <c r="U894" s="16"/>
    </row>
    <row r="895" spans="1:21" s="83" customFormat="1" ht="25.5">
      <c r="A895" s="12" t="s">
        <v>978</v>
      </c>
      <c r="B895" s="25" t="s">
        <v>62</v>
      </c>
      <c r="C895" s="26" t="s">
        <v>14</v>
      </c>
      <c r="D895" s="26" t="s">
        <v>53</v>
      </c>
      <c r="E895" s="26" t="s">
        <v>413</v>
      </c>
      <c r="F895" s="26" t="s">
        <v>1064</v>
      </c>
      <c r="G895" s="27">
        <f t="shared" ref="G895" si="618">J895</f>
        <v>107715280</v>
      </c>
      <c r="H895" s="27">
        <f>L895</f>
        <v>93066000</v>
      </c>
      <c r="I895" s="27">
        <f>N895</f>
        <v>107715280</v>
      </c>
      <c r="J895" s="16">
        <f>'БА в тыс. руб.'!G895*1000</f>
        <v>107715280</v>
      </c>
      <c r="K895" s="169">
        <f t="shared" si="571"/>
        <v>0</v>
      </c>
      <c r="L895" s="16">
        <f>'БА в тыс. руб.'!H895*1000</f>
        <v>93066000</v>
      </c>
      <c r="M895" s="169">
        <f t="shared" si="572"/>
        <v>0</v>
      </c>
      <c r="N895" s="16">
        <f>'БА в тыс. руб.'!I895*1000</f>
        <v>107715280</v>
      </c>
      <c r="O895" s="169">
        <f t="shared" si="573"/>
        <v>0</v>
      </c>
      <c r="P895" s="16"/>
      <c r="Q895" s="16"/>
      <c r="R895" s="16"/>
      <c r="S895" s="16"/>
      <c r="T895" s="16"/>
      <c r="U895" s="16"/>
    </row>
    <row r="896" spans="1:21" s="30" customFormat="1" ht="63.75">
      <c r="A896" s="126" t="s">
        <v>673</v>
      </c>
      <c r="B896" s="35" t="s">
        <v>62</v>
      </c>
      <c r="C896" s="36" t="s">
        <v>14</v>
      </c>
      <c r="D896" s="36" t="s">
        <v>53</v>
      </c>
      <c r="E896" s="36" t="s">
        <v>672</v>
      </c>
      <c r="F896" s="36" t="s">
        <v>58</v>
      </c>
      <c r="G896" s="161">
        <f>G899+G897</f>
        <v>2524000</v>
      </c>
      <c r="H896" s="161">
        <f>H899+H897</f>
        <v>2524000</v>
      </c>
      <c r="I896" s="161">
        <f>I899+I897</f>
        <v>2524000</v>
      </c>
      <c r="J896" s="16">
        <f>'БА в тыс. руб.'!G896*1000</f>
        <v>2524000</v>
      </c>
      <c r="K896" s="169">
        <f t="shared" si="571"/>
        <v>0</v>
      </c>
      <c r="L896" s="16">
        <f>'БА в тыс. руб.'!H896*1000</f>
        <v>2524000</v>
      </c>
      <c r="M896" s="169">
        <f t="shared" si="572"/>
        <v>0</v>
      </c>
      <c r="N896" s="16">
        <f>'БА в тыс. руб.'!I896*1000</f>
        <v>2524000</v>
      </c>
      <c r="O896" s="169">
        <f t="shared" si="573"/>
        <v>0</v>
      </c>
      <c r="P896" s="16"/>
      <c r="Q896" s="16"/>
      <c r="R896" s="16"/>
      <c r="S896" s="16"/>
      <c r="T896" s="16"/>
      <c r="U896" s="16"/>
    </row>
    <row r="897" spans="1:21" s="30" customFormat="1" ht="25.5">
      <c r="A897" s="11" t="s">
        <v>108</v>
      </c>
      <c r="B897" s="35" t="s">
        <v>62</v>
      </c>
      <c r="C897" s="36" t="s">
        <v>14</v>
      </c>
      <c r="D897" s="36" t="s">
        <v>53</v>
      </c>
      <c r="E897" s="36" t="s">
        <v>672</v>
      </c>
      <c r="F897" s="36" t="s">
        <v>116</v>
      </c>
      <c r="G897" s="119">
        <f>G898</f>
        <v>25000</v>
      </c>
      <c r="H897" s="119">
        <f t="shared" ref="H897:I897" si="619">H898</f>
        <v>25000</v>
      </c>
      <c r="I897" s="119">
        <f t="shared" si="619"/>
        <v>25000</v>
      </c>
      <c r="J897" s="16">
        <f>'БА в тыс. руб.'!G897*1000</f>
        <v>25000</v>
      </c>
      <c r="K897" s="169">
        <f t="shared" si="571"/>
        <v>0</v>
      </c>
      <c r="L897" s="16">
        <f>'БА в тыс. руб.'!H897*1000</f>
        <v>25000</v>
      </c>
      <c r="M897" s="169">
        <f t="shared" si="572"/>
        <v>0</v>
      </c>
      <c r="N897" s="16">
        <f>'БА в тыс. руб.'!I897*1000</f>
        <v>25000</v>
      </c>
      <c r="O897" s="169">
        <f t="shared" si="573"/>
        <v>0</v>
      </c>
      <c r="P897" s="16"/>
      <c r="Q897" s="16"/>
      <c r="R897" s="16"/>
      <c r="S897" s="16"/>
      <c r="T897" s="16"/>
      <c r="U897" s="16"/>
    </row>
    <row r="898" spans="1:21" s="83" customFormat="1" ht="25.5">
      <c r="A898" s="12" t="s">
        <v>973</v>
      </c>
      <c r="B898" s="35" t="s">
        <v>62</v>
      </c>
      <c r="C898" s="36" t="s">
        <v>14</v>
      </c>
      <c r="D898" s="36" t="s">
        <v>53</v>
      </c>
      <c r="E898" s="36" t="s">
        <v>672</v>
      </c>
      <c r="F898" s="36" t="s">
        <v>1043</v>
      </c>
      <c r="G898" s="27">
        <f t="shared" ref="G898" si="620">J898</f>
        <v>25000</v>
      </c>
      <c r="H898" s="27">
        <f>L898</f>
        <v>25000</v>
      </c>
      <c r="I898" s="27">
        <f>N898</f>
        <v>25000</v>
      </c>
      <c r="J898" s="16">
        <f>'БА в тыс. руб.'!G898*1000</f>
        <v>25000</v>
      </c>
      <c r="K898" s="169">
        <f t="shared" si="571"/>
        <v>0</v>
      </c>
      <c r="L898" s="16">
        <f>'БА в тыс. руб.'!H898*1000</f>
        <v>25000</v>
      </c>
      <c r="M898" s="169">
        <f t="shared" si="572"/>
        <v>0</v>
      </c>
      <c r="N898" s="16">
        <f>'БА в тыс. руб.'!I898*1000</f>
        <v>25000</v>
      </c>
      <c r="O898" s="169">
        <f t="shared" si="573"/>
        <v>0</v>
      </c>
      <c r="P898" s="16"/>
      <c r="Q898" s="16"/>
      <c r="R898" s="16"/>
      <c r="S898" s="16"/>
      <c r="T898" s="16"/>
      <c r="U898" s="16"/>
    </row>
    <row r="899" spans="1:21" s="30" customFormat="1">
      <c r="A899" s="40" t="s">
        <v>109</v>
      </c>
      <c r="B899" s="35" t="s">
        <v>62</v>
      </c>
      <c r="C899" s="36" t="s">
        <v>14</v>
      </c>
      <c r="D899" s="36" t="s">
        <v>53</v>
      </c>
      <c r="E899" s="36" t="s">
        <v>672</v>
      </c>
      <c r="F899" s="36" t="s">
        <v>134</v>
      </c>
      <c r="G899" s="119">
        <f>G900</f>
        <v>2499000</v>
      </c>
      <c r="H899" s="119">
        <f t="shared" ref="H899:I899" si="621">H900</f>
        <v>2499000</v>
      </c>
      <c r="I899" s="119">
        <f t="shared" si="621"/>
        <v>2499000</v>
      </c>
      <c r="J899" s="16">
        <f>'БА в тыс. руб.'!G899*1000</f>
        <v>2499000</v>
      </c>
      <c r="K899" s="169">
        <f t="shared" si="571"/>
        <v>0</v>
      </c>
      <c r="L899" s="16">
        <f>'БА в тыс. руб.'!H899*1000</f>
        <v>2499000</v>
      </c>
      <c r="M899" s="169">
        <f t="shared" si="572"/>
        <v>0</v>
      </c>
      <c r="N899" s="16">
        <f>'БА в тыс. руб.'!I899*1000</f>
        <v>2499000</v>
      </c>
      <c r="O899" s="169">
        <f t="shared" si="573"/>
        <v>0</v>
      </c>
      <c r="P899" s="16"/>
      <c r="Q899" s="16"/>
      <c r="R899" s="16"/>
      <c r="S899" s="16"/>
      <c r="T899" s="16"/>
      <c r="U899" s="16"/>
    </row>
    <row r="900" spans="1:21" s="83" customFormat="1" ht="25.5">
      <c r="A900" s="12" t="s">
        <v>978</v>
      </c>
      <c r="B900" s="35" t="s">
        <v>62</v>
      </c>
      <c r="C900" s="36" t="s">
        <v>14</v>
      </c>
      <c r="D900" s="36" t="s">
        <v>53</v>
      </c>
      <c r="E900" s="36" t="s">
        <v>672</v>
      </c>
      <c r="F900" s="36" t="s">
        <v>1064</v>
      </c>
      <c r="G900" s="27">
        <f t="shared" ref="G900" si="622">J900</f>
        <v>2499000</v>
      </c>
      <c r="H900" s="27">
        <f>L900</f>
        <v>2499000</v>
      </c>
      <c r="I900" s="27">
        <f>N900</f>
        <v>2499000</v>
      </c>
      <c r="J900" s="16">
        <f>'БА в тыс. руб.'!G900*1000</f>
        <v>2499000</v>
      </c>
      <c r="K900" s="169">
        <f t="shared" si="571"/>
        <v>0</v>
      </c>
      <c r="L900" s="16">
        <f>'БА в тыс. руб.'!H900*1000</f>
        <v>2499000</v>
      </c>
      <c r="M900" s="169">
        <f t="shared" si="572"/>
        <v>0</v>
      </c>
      <c r="N900" s="16">
        <f>'БА в тыс. руб.'!I900*1000</f>
        <v>2499000</v>
      </c>
      <c r="O900" s="169">
        <f t="shared" si="573"/>
        <v>0</v>
      </c>
      <c r="P900" s="16"/>
      <c r="Q900" s="16"/>
      <c r="R900" s="16"/>
      <c r="S900" s="16"/>
      <c r="T900" s="16"/>
      <c r="U900" s="16"/>
    </row>
    <row r="901" spans="1:21" s="30" customFormat="1" ht="25.5">
      <c r="A901" s="126" t="s">
        <v>675</v>
      </c>
      <c r="B901" s="25" t="s">
        <v>62</v>
      </c>
      <c r="C901" s="26" t="s">
        <v>14</v>
      </c>
      <c r="D901" s="26" t="s">
        <v>53</v>
      </c>
      <c r="E901" s="26" t="s">
        <v>799</v>
      </c>
      <c r="F901" s="26" t="s">
        <v>58</v>
      </c>
      <c r="G901" s="119">
        <f>G902+G904</f>
        <v>39248030</v>
      </c>
      <c r="H901" s="119">
        <f>H902+H904</f>
        <v>46312450</v>
      </c>
      <c r="I901" s="119">
        <f>I902+I904</f>
        <v>54647680</v>
      </c>
      <c r="J901" s="16">
        <f>'БА в тыс. руб.'!G901*1000</f>
        <v>39248030</v>
      </c>
      <c r="K901" s="169">
        <f t="shared" si="571"/>
        <v>0</v>
      </c>
      <c r="L901" s="16">
        <f>'БА в тыс. руб.'!H901*1000</f>
        <v>46312450.000000007</v>
      </c>
      <c r="M901" s="169">
        <f t="shared" si="572"/>
        <v>0</v>
      </c>
      <c r="N901" s="16">
        <f>'БА в тыс. руб.'!I901*1000</f>
        <v>54647680</v>
      </c>
      <c r="O901" s="169">
        <f t="shared" si="573"/>
        <v>0</v>
      </c>
      <c r="P901" s="16"/>
      <c r="Q901" s="16"/>
      <c r="R901" s="16"/>
      <c r="S901" s="16"/>
      <c r="T901" s="16"/>
      <c r="U901" s="16"/>
    </row>
    <row r="902" spans="1:21" s="30" customFormat="1" ht="25.5">
      <c r="A902" s="11" t="s">
        <v>108</v>
      </c>
      <c r="B902" s="25" t="s">
        <v>62</v>
      </c>
      <c r="C902" s="26" t="s">
        <v>14</v>
      </c>
      <c r="D902" s="26" t="s">
        <v>53</v>
      </c>
      <c r="E902" s="26" t="s">
        <v>799</v>
      </c>
      <c r="F902" s="26" t="s">
        <v>116</v>
      </c>
      <c r="G902" s="119">
        <f>G903</f>
        <v>484540</v>
      </c>
      <c r="H902" s="119">
        <f t="shared" ref="H902:I902" si="623">H903</f>
        <v>571760</v>
      </c>
      <c r="I902" s="119">
        <f t="shared" si="623"/>
        <v>674660</v>
      </c>
      <c r="J902" s="16">
        <f>'БА в тыс. руб.'!G902*1000</f>
        <v>484540</v>
      </c>
      <c r="K902" s="169">
        <f t="shared" si="571"/>
        <v>0</v>
      </c>
      <c r="L902" s="16">
        <f>'БА в тыс. руб.'!H902*1000</f>
        <v>571760</v>
      </c>
      <c r="M902" s="169">
        <f t="shared" si="572"/>
        <v>0</v>
      </c>
      <c r="N902" s="16">
        <f>'БА в тыс. руб.'!I902*1000</f>
        <v>674660</v>
      </c>
      <c r="O902" s="169">
        <f t="shared" si="573"/>
        <v>0</v>
      </c>
      <c r="P902" s="16"/>
      <c r="Q902" s="16"/>
      <c r="R902" s="16"/>
      <c r="S902" s="16"/>
      <c r="T902" s="16"/>
      <c r="U902" s="16"/>
    </row>
    <row r="903" spans="1:21" s="83" customFormat="1" ht="25.5">
      <c r="A903" s="12" t="s">
        <v>973</v>
      </c>
      <c r="B903" s="25" t="s">
        <v>62</v>
      </c>
      <c r="C903" s="26" t="s">
        <v>14</v>
      </c>
      <c r="D903" s="26" t="s">
        <v>53</v>
      </c>
      <c r="E903" s="26" t="s">
        <v>799</v>
      </c>
      <c r="F903" s="26" t="s">
        <v>1043</v>
      </c>
      <c r="G903" s="27">
        <f t="shared" ref="G903" si="624">J903</f>
        <v>484540</v>
      </c>
      <c r="H903" s="27">
        <f>L903</f>
        <v>571760</v>
      </c>
      <c r="I903" s="27">
        <f>N903</f>
        <v>674660</v>
      </c>
      <c r="J903" s="16">
        <f>'БА в тыс. руб.'!G903*1000</f>
        <v>484540</v>
      </c>
      <c r="K903" s="169">
        <f t="shared" si="571"/>
        <v>0</v>
      </c>
      <c r="L903" s="16">
        <f>'БА в тыс. руб.'!H903*1000</f>
        <v>571760</v>
      </c>
      <c r="M903" s="169">
        <f t="shared" si="572"/>
        <v>0</v>
      </c>
      <c r="N903" s="16">
        <f>'БА в тыс. руб.'!I903*1000</f>
        <v>674660</v>
      </c>
      <c r="O903" s="169">
        <f t="shared" si="573"/>
        <v>0</v>
      </c>
      <c r="P903" s="16"/>
      <c r="Q903" s="16"/>
      <c r="R903" s="16"/>
      <c r="S903" s="16"/>
      <c r="T903" s="16"/>
      <c r="U903" s="16"/>
    </row>
    <row r="904" spans="1:21" s="30" customFormat="1">
      <c r="A904" s="13" t="s">
        <v>109</v>
      </c>
      <c r="B904" s="25" t="s">
        <v>62</v>
      </c>
      <c r="C904" s="26" t="s">
        <v>14</v>
      </c>
      <c r="D904" s="26" t="s">
        <v>53</v>
      </c>
      <c r="E904" s="26" t="s">
        <v>799</v>
      </c>
      <c r="F904" s="26" t="s">
        <v>134</v>
      </c>
      <c r="G904" s="119">
        <f>G905</f>
        <v>38763490</v>
      </c>
      <c r="H904" s="119">
        <f t="shared" ref="H904:I904" si="625">H905</f>
        <v>45740690</v>
      </c>
      <c r="I904" s="119">
        <f t="shared" si="625"/>
        <v>53973020</v>
      </c>
      <c r="J904" s="16">
        <f>'БА в тыс. руб.'!G904*1000</f>
        <v>38763490</v>
      </c>
      <c r="K904" s="169">
        <f t="shared" ref="K904:K967" si="626">J904-G904</f>
        <v>0</v>
      </c>
      <c r="L904" s="16">
        <f>'БА в тыс. руб.'!H904*1000</f>
        <v>45740690</v>
      </c>
      <c r="M904" s="169">
        <f t="shared" ref="M904:M967" si="627">L904-H904</f>
        <v>0</v>
      </c>
      <c r="N904" s="16">
        <f>'БА в тыс. руб.'!I904*1000</f>
        <v>53973020</v>
      </c>
      <c r="O904" s="169">
        <f t="shared" ref="O904:O967" si="628">N904-I904</f>
        <v>0</v>
      </c>
      <c r="P904" s="16"/>
      <c r="Q904" s="16"/>
      <c r="R904" s="16"/>
      <c r="S904" s="16"/>
      <c r="T904" s="16"/>
      <c r="U904" s="16"/>
    </row>
    <row r="905" spans="1:21" s="83" customFormat="1" ht="25.5">
      <c r="A905" s="12" t="s">
        <v>978</v>
      </c>
      <c r="B905" s="25" t="s">
        <v>62</v>
      </c>
      <c r="C905" s="26" t="s">
        <v>14</v>
      </c>
      <c r="D905" s="26" t="s">
        <v>53</v>
      </c>
      <c r="E905" s="26" t="s">
        <v>799</v>
      </c>
      <c r="F905" s="26" t="s">
        <v>1064</v>
      </c>
      <c r="G905" s="27">
        <f t="shared" ref="G905" si="629">J905</f>
        <v>38763490</v>
      </c>
      <c r="H905" s="27">
        <f>L905</f>
        <v>45740690</v>
      </c>
      <c r="I905" s="27">
        <f>N905</f>
        <v>53973020</v>
      </c>
      <c r="J905" s="16">
        <f>'БА в тыс. руб.'!G905*1000</f>
        <v>38763490</v>
      </c>
      <c r="K905" s="169">
        <f t="shared" si="626"/>
        <v>0</v>
      </c>
      <c r="L905" s="16">
        <f>'БА в тыс. руб.'!H905*1000</f>
        <v>45740690</v>
      </c>
      <c r="M905" s="169">
        <f t="shared" si="627"/>
        <v>0</v>
      </c>
      <c r="N905" s="16">
        <f>'БА в тыс. руб.'!I905*1000</f>
        <v>53973020</v>
      </c>
      <c r="O905" s="169">
        <f t="shared" si="628"/>
        <v>0</v>
      </c>
      <c r="P905" s="16"/>
      <c r="Q905" s="16"/>
      <c r="R905" s="16"/>
      <c r="S905" s="16"/>
      <c r="T905" s="16"/>
      <c r="U905" s="16"/>
    </row>
    <row r="906" spans="1:21" s="30" customFormat="1" ht="38.25">
      <c r="A906" s="13" t="s">
        <v>842</v>
      </c>
      <c r="B906" s="25" t="s">
        <v>62</v>
      </c>
      <c r="C906" s="26" t="s">
        <v>14</v>
      </c>
      <c r="D906" s="26" t="s">
        <v>53</v>
      </c>
      <c r="E906" s="26" t="s">
        <v>414</v>
      </c>
      <c r="F906" s="26" t="s">
        <v>58</v>
      </c>
      <c r="G906" s="119">
        <f>G907+G941+G947+G951</f>
        <v>21836370</v>
      </c>
      <c r="H906" s="119">
        <f t="shared" ref="H906:I906" si="630">H907+H941+H947+H951</f>
        <v>20320410</v>
      </c>
      <c r="I906" s="119">
        <f t="shared" si="630"/>
        <v>20320410</v>
      </c>
      <c r="J906" s="16">
        <f>'БА в тыс. руб.'!G906*1000</f>
        <v>21836370</v>
      </c>
      <c r="K906" s="169">
        <f t="shared" si="626"/>
        <v>0</v>
      </c>
      <c r="L906" s="16">
        <f>'БА в тыс. руб.'!H906*1000</f>
        <v>20320409.999999996</v>
      </c>
      <c r="M906" s="169">
        <f t="shared" si="627"/>
        <v>0</v>
      </c>
      <c r="N906" s="16">
        <f>'БА в тыс. руб.'!I906*1000</f>
        <v>20320409.999999996</v>
      </c>
      <c r="O906" s="169">
        <f t="shared" si="628"/>
        <v>0</v>
      </c>
      <c r="P906" s="16"/>
      <c r="Q906" s="16"/>
      <c r="R906" s="16"/>
      <c r="S906" s="16"/>
      <c r="T906" s="16"/>
      <c r="U906" s="16"/>
    </row>
    <row r="907" spans="1:21" s="30" customFormat="1" ht="25.5">
      <c r="A907" s="152" t="s">
        <v>636</v>
      </c>
      <c r="B907" s="25" t="s">
        <v>62</v>
      </c>
      <c r="C907" s="26" t="s">
        <v>14</v>
      </c>
      <c r="D907" s="26" t="s">
        <v>53</v>
      </c>
      <c r="E907" s="26" t="s">
        <v>415</v>
      </c>
      <c r="F907" s="26" t="s">
        <v>58</v>
      </c>
      <c r="G907" s="119">
        <f>G908+G911+G914+G917+G920+G923+G926+G929+G932+G935+G938</f>
        <v>19925740</v>
      </c>
      <c r="H907" s="119">
        <f t="shared" ref="H907:I907" si="631">H908+H911+H914+H917+H920+H923+H926+H929+H932+H935+H938</f>
        <v>18575740</v>
      </c>
      <c r="I907" s="119">
        <f t="shared" si="631"/>
        <v>18575740</v>
      </c>
      <c r="J907" s="16">
        <f>'БА в тыс. руб.'!G907*1000</f>
        <v>19925739.999999996</v>
      </c>
      <c r="K907" s="169">
        <f t="shared" si="626"/>
        <v>0</v>
      </c>
      <c r="L907" s="16">
        <f>'БА в тыс. руб.'!H907*1000</f>
        <v>18575739.999999996</v>
      </c>
      <c r="M907" s="169">
        <f t="shared" si="627"/>
        <v>0</v>
      </c>
      <c r="N907" s="16">
        <f>'БА в тыс. руб.'!I907*1000</f>
        <v>18575739.999999996</v>
      </c>
      <c r="O907" s="169">
        <f t="shared" si="628"/>
        <v>0</v>
      </c>
      <c r="P907" s="16"/>
      <c r="Q907" s="16"/>
      <c r="R907" s="16"/>
      <c r="S907" s="16"/>
      <c r="T907" s="16"/>
      <c r="U907" s="16"/>
    </row>
    <row r="908" spans="1:21" s="30" customFormat="1" ht="38.25">
      <c r="A908" s="32" t="s">
        <v>416</v>
      </c>
      <c r="B908" s="25" t="s">
        <v>62</v>
      </c>
      <c r="C908" s="26" t="s">
        <v>14</v>
      </c>
      <c r="D908" s="26" t="s">
        <v>53</v>
      </c>
      <c r="E908" s="26" t="s">
        <v>417</v>
      </c>
      <c r="F908" s="26" t="s">
        <v>58</v>
      </c>
      <c r="G908" s="119">
        <f>G909</f>
        <v>6350000</v>
      </c>
      <c r="H908" s="119">
        <f>H909</f>
        <v>6350000</v>
      </c>
      <c r="I908" s="119">
        <f>I909</f>
        <v>6350000</v>
      </c>
      <c r="J908" s="16">
        <f>'БА в тыс. руб.'!G908*1000</f>
        <v>6350000</v>
      </c>
      <c r="K908" s="169">
        <f t="shared" si="626"/>
        <v>0</v>
      </c>
      <c r="L908" s="16">
        <f>'БА в тыс. руб.'!H908*1000</f>
        <v>6350000</v>
      </c>
      <c r="M908" s="169">
        <f t="shared" si="627"/>
        <v>0</v>
      </c>
      <c r="N908" s="16">
        <f>'БА в тыс. руб.'!I908*1000</f>
        <v>6350000</v>
      </c>
      <c r="O908" s="169">
        <f t="shared" si="628"/>
        <v>0</v>
      </c>
      <c r="P908" s="16"/>
      <c r="Q908" s="16"/>
      <c r="R908" s="16"/>
      <c r="S908" s="16"/>
      <c r="T908" s="16"/>
      <c r="U908" s="16"/>
    </row>
    <row r="909" spans="1:21" s="30" customFormat="1">
      <c r="A909" s="13" t="s">
        <v>109</v>
      </c>
      <c r="B909" s="25" t="s">
        <v>62</v>
      </c>
      <c r="C909" s="26" t="s">
        <v>14</v>
      </c>
      <c r="D909" s="26" t="s">
        <v>53</v>
      </c>
      <c r="E909" s="26" t="s">
        <v>417</v>
      </c>
      <c r="F909" s="26" t="s">
        <v>134</v>
      </c>
      <c r="G909" s="119">
        <f>G910</f>
        <v>6350000</v>
      </c>
      <c r="H909" s="119">
        <f t="shared" ref="H909:I909" si="632">H910</f>
        <v>6350000</v>
      </c>
      <c r="I909" s="119">
        <f t="shared" si="632"/>
        <v>6350000</v>
      </c>
      <c r="J909" s="16">
        <f>'БА в тыс. руб.'!G909*1000</f>
        <v>6350000</v>
      </c>
      <c r="K909" s="169">
        <f t="shared" si="626"/>
        <v>0</v>
      </c>
      <c r="L909" s="16">
        <f>'БА в тыс. руб.'!H909*1000</f>
        <v>6350000</v>
      </c>
      <c r="M909" s="169">
        <f t="shared" si="627"/>
        <v>0</v>
      </c>
      <c r="N909" s="16">
        <f>'БА в тыс. руб.'!I909*1000</f>
        <v>6350000</v>
      </c>
      <c r="O909" s="169">
        <f t="shared" si="628"/>
        <v>0</v>
      </c>
      <c r="P909" s="16"/>
      <c r="Q909" s="16"/>
      <c r="R909" s="16"/>
      <c r="S909" s="16"/>
      <c r="T909" s="16"/>
      <c r="U909" s="16"/>
    </row>
    <row r="910" spans="1:21" s="83" customFormat="1" ht="25.5">
      <c r="A910" s="12" t="s">
        <v>978</v>
      </c>
      <c r="B910" s="25" t="s">
        <v>62</v>
      </c>
      <c r="C910" s="26" t="s">
        <v>14</v>
      </c>
      <c r="D910" s="26" t="s">
        <v>53</v>
      </c>
      <c r="E910" s="26" t="s">
        <v>417</v>
      </c>
      <c r="F910" s="26" t="s">
        <v>1064</v>
      </c>
      <c r="G910" s="27">
        <f t="shared" ref="G910" si="633">J910</f>
        <v>6350000</v>
      </c>
      <c r="H910" s="27">
        <f>L910</f>
        <v>6350000</v>
      </c>
      <c r="I910" s="27">
        <f>N910</f>
        <v>6350000</v>
      </c>
      <c r="J910" s="16">
        <f>'БА в тыс. руб.'!G910*1000</f>
        <v>6350000</v>
      </c>
      <c r="K910" s="169">
        <f t="shared" si="626"/>
        <v>0</v>
      </c>
      <c r="L910" s="16">
        <f>'БА в тыс. руб.'!H910*1000</f>
        <v>6350000</v>
      </c>
      <c r="M910" s="169">
        <f t="shared" si="627"/>
        <v>0</v>
      </c>
      <c r="N910" s="16">
        <f>'БА в тыс. руб.'!I910*1000</f>
        <v>6350000</v>
      </c>
      <c r="O910" s="169">
        <f t="shared" si="628"/>
        <v>0</v>
      </c>
      <c r="P910" s="16"/>
      <c r="Q910" s="16"/>
      <c r="R910" s="16"/>
      <c r="S910" s="16"/>
      <c r="T910" s="16"/>
      <c r="U910" s="16"/>
    </row>
    <row r="911" spans="1:21" s="30" customFormat="1" ht="38.25">
      <c r="A911" s="32" t="s">
        <v>418</v>
      </c>
      <c r="B911" s="25" t="s">
        <v>62</v>
      </c>
      <c r="C911" s="26" t="s">
        <v>14</v>
      </c>
      <c r="D911" s="26" t="s">
        <v>53</v>
      </c>
      <c r="E911" s="26" t="s">
        <v>419</v>
      </c>
      <c r="F911" s="26" t="s">
        <v>58</v>
      </c>
      <c r="G911" s="119">
        <f>G912</f>
        <v>694280</v>
      </c>
      <c r="H911" s="119">
        <f>H912</f>
        <v>694280</v>
      </c>
      <c r="I911" s="119">
        <f>I912</f>
        <v>694280</v>
      </c>
      <c r="J911" s="16">
        <f>'БА в тыс. руб.'!G911*1000</f>
        <v>694280</v>
      </c>
      <c r="K911" s="169">
        <f t="shared" si="626"/>
        <v>0</v>
      </c>
      <c r="L911" s="16">
        <f>'БА в тыс. руб.'!H911*1000</f>
        <v>694280</v>
      </c>
      <c r="M911" s="169">
        <f t="shared" si="627"/>
        <v>0</v>
      </c>
      <c r="N911" s="16">
        <f>'БА в тыс. руб.'!I911*1000</f>
        <v>694280</v>
      </c>
      <c r="O911" s="169">
        <f t="shared" si="628"/>
        <v>0</v>
      </c>
      <c r="P911" s="16"/>
      <c r="Q911" s="16"/>
      <c r="R911" s="16"/>
      <c r="S911" s="16"/>
      <c r="T911" s="16"/>
      <c r="U911" s="16"/>
    </row>
    <row r="912" spans="1:21" s="30" customFormat="1">
      <c r="A912" s="13" t="s">
        <v>109</v>
      </c>
      <c r="B912" s="25" t="s">
        <v>62</v>
      </c>
      <c r="C912" s="26" t="s">
        <v>14</v>
      </c>
      <c r="D912" s="26" t="s">
        <v>53</v>
      </c>
      <c r="E912" s="26" t="s">
        <v>419</v>
      </c>
      <c r="F912" s="26" t="s">
        <v>134</v>
      </c>
      <c r="G912" s="119">
        <f>G913</f>
        <v>694280</v>
      </c>
      <c r="H912" s="119">
        <f t="shared" ref="H912:I912" si="634">H913</f>
        <v>694280</v>
      </c>
      <c r="I912" s="119">
        <f t="shared" si="634"/>
        <v>694280</v>
      </c>
      <c r="J912" s="16">
        <f>'БА в тыс. руб.'!G912*1000</f>
        <v>694280</v>
      </c>
      <c r="K912" s="169">
        <f t="shared" si="626"/>
        <v>0</v>
      </c>
      <c r="L912" s="16">
        <f>'БА в тыс. руб.'!H912*1000</f>
        <v>694280</v>
      </c>
      <c r="M912" s="169">
        <f t="shared" si="627"/>
        <v>0</v>
      </c>
      <c r="N912" s="16">
        <f>'БА в тыс. руб.'!I912*1000</f>
        <v>694280</v>
      </c>
      <c r="O912" s="169">
        <f t="shared" si="628"/>
        <v>0</v>
      </c>
      <c r="P912" s="16"/>
      <c r="Q912" s="16"/>
      <c r="R912" s="16"/>
      <c r="S912" s="16"/>
      <c r="T912" s="16"/>
      <c r="U912" s="16"/>
    </row>
    <row r="913" spans="1:21" s="83" customFormat="1" ht="25.5">
      <c r="A913" s="12" t="s">
        <v>978</v>
      </c>
      <c r="B913" s="25" t="s">
        <v>62</v>
      </c>
      <c r="C913" s="26" t="s">
        <v>14</v>
      </c>
      <c r="D913" s="26" t="s">
        <v>53</v>
      </c>
      <c r="E913" s="26" t="s">
        <v>419</v>
      </c>
      <c r="F913" s="26" t="s">
        <v>1064</v>
      </c>
      <c r="G913" s="27">
        <f t="shared" ref="G913" si="635">J913</f>
        <v>694280</v>
      </c>
      <c r="H913" s="27">
        <f>L913</f>
        <v>694280</v>
      </c>
      <c r="I913" s="27">
        <f>N913</f>
        <v>694280</v>
      </c>
      <c r="J913" s="16">
        <f>'БА в тыс. руб.'!G913*1000</f>
        <v>694280</v>
      </c>
      <c r="K913" s="169">
        <f t="shared" si="626"/>
        <v>0</v>
      </c>
      <c r="L913" s="16">
        <f>'БА в тыс. руб.'!H913*1000</f>
        <v>694280</v>
      </c>
      <c r="M913" s="169">
        <f t="shared" si="627"/>
        <v>0</v>
      </c>
      <c r="N913" s="16">
        <f>'БА в тыс. руб.'!I913*1000</f>
        <v>694280</v>
      </c>
      <c r="O913" s="169">
        <f t="shared" si="628"/>
        <v>0</v>
      </c>
      <c r="P913" s="16"/>
      <c r="Q913" s="16"/>
      <c r="R913" s="16"/>
      <c r="S913" s="16"/>
      <c r="T913" s="16"/>
      <c r="U913" s="16"/>
    </row>
    <row r="914" spans="1:21" s="30" customFormat="1" ht="25.5">
      <c r="A914" s="32" t="s">
        <v>420</v>
      </c>
      <c r="B914" s="25" t="s">
        <v>62</v>
      </c>
      <c r="C914" s="26" t="s">
        <v>14</v>
      </c>
      <c r="D914" s="26" t="s">
        <v>53</v>
      </c>
      <c r="E914" s="26" t="s">
        <v>421</v>
      </c>
      <c r="F914" s="26" t="s">
        <v>58</v>
      </c>
      <c r="G914" s="119">
        <f>G915</f>
        <v>5718000</v>
      </c>
      <c r="H914" s="119">
        <f>H915</f>
        <v>5718000</v>
      </c>
      <c r="I914" s="119">
        <f>I915</f>
        <v>5718000</v>
      </c>
      <c r="J914" s="16">
        <f>'БА в тыс. руб.'!G914*1000</f>
        <v>5718000</v>
      </c>
      <c r="K914" s="169">
        <f t="shared" si="626"/>
        <v>0</v>
      </c>
      <c r="L914" s="16">
        <f>'БА в тыс. руб.'!H914*1000</f>
        <v>5718000</v>
      </c>
      <c r="M914" s="169">
        <f t="shared" si="627"/>
        <v>0</v>
      </c>
      <c r="N914" s="16">
        <f>'БА в тыс. руб.'!I914*1000</f>
        <v>5718000</v>
      </c>
      <c r="O914" s="169">
        <f t="shared" si="628"/>
        <v>0</v>
      </c>
      <c r="P914" s="16"/>
      <c r="Q914" s="16"/>
      <c r="R914" s="16"/>
      <c r="S914" s="16"/>
      <c r="T914" s="16"/>
      <c r="U914" s="16"/>
    </row>
    <row r="915" spans="1:21" s="30" customFormat="1">
      <c r="A915" s="13" t="s">
        <v>109</v>
      </c>
      <c r="B915" s="25" t="s">
        <v>62</v>
      </c>
      <c r="C915" s="26" t="s">
        <v>14</v>
      </c>
      <c r="D915" s="26" t="s">
        <v>53</v>
      </c>
      <c r="E915" s="26" t="s">
        <v>421</v>
      </c>
      <c r="F915" s="26" t="s">
        <v>134</v>
      </c>
      <c r="G915" s="119">
        <f>G916</f>
        <v>5718000</v>
      </c>
      <c r="H915" s="119">
        <f t="shared" ref="H915:I915" si="636">H916</f>
        <v>5718000</v>
      </c>
      <c r="I915" s="119">
        <f t="shared" si="636"/>
        <v>5718000</v>
      </c>
      <c r="J915" s="16">
        <f>'БА в тыс. руб.'!G915*1000</f>
        <v>5718000</v>
      </c>
      <c r="K915" s="169">
        <f t="shared" si="626"/>
        <v>0</v>
      </c>
      <c r="L915" s="16">
        <f>'БА в тыс. руб.'!H915*1000</f>
        <v>5718000</v>
      </c>
      <c r="M915" s="169">
        <f t="shared" si="627"/>
        <v>0</v>
      </c>
      <c r="N915" s="16">
        <f>'БА в тыс. руб.'!I915*1000</f>
        <v>5718000</v>
      </c>
      <c r="O915" s="169">
        <f t="shared" si="628"/>
        <v>0</v>
      </c>
      <c r="P915" s="16"/>
      <c r="Q915" s="16"/>
      <c r="R915" s="16"/>
      <c r="S915" s="16"/>
      <c r="T915" s="16"/>
      <c r="U915" s="16"/>
    </row>
    <row r="916" spans="1:21" s="83" customFormat="1" ht="25.5">
      <c r="A916" s="12" t="s">
        <v>978</v>
      </c>
      <c r="B916" s="25" t="s">
        <v>62</v>
      </c>
      <c r="C916" s="26" t="s">
        <v>14</v>
      </c>
      <c r="D916" s="26" t="s">
        <v>53</v>
      </c>
      <c r="E916" s="26" t="s">
        <v>421</v>
      </c>
      <c r="F916" s="26" t="s">
        <v>1064</v>
      </c>
      <c r="G916" s="27">
        <f t="shared" ref="G916" si="637">J916</f>
        <v>5718000</v>
      </c>
      <c r="H916" s="27">
        <f>L916</f>
        <v>5718000</v>
      </c>
      <c r="I916" s="27">
        <f>N916</f>
        <v>5718000</v>
      </c>
      <c r="J916" s="16">
        <f>'БА в тыс. руб.'!G916*1000</f>
        <v>5718000</v>
      </c>
      <c r="K916" s="169">
        <f t="shared" si="626"/>
        <v>0</v>
      </c>
      <c r="L916" s="16">
        <f>'БА в тыс. руб.'!H916*1000</f>
        <v>5718000</v>
      </c>
      <c r="M916" s="169">
        <f t="shared" si="627"/>
        <v>0</v>
      </c>
      <c r="N916" s="16">
        <f>'БА в тыс. руб.'!I916*1000</f>
        <v>5718000</v>
      </c>
      <c r="O916" s="169">
        <f t="shared" si="628"/>
        <v>0</v>
      </c>
      <c r="P916" s="16"/>
      <c r="Q916" s="16"/>
      <c r="R916" s="16"/>
      <c r="S916" s="16"/>
      <c r="T916" s="16"/>
      <c r="U916" s="16"/>
    </row>
    <row r="917" spans="1:21" s="30" customFormat="1" ht="25.5">
      <c r="A917" s="32" t="s">
        <v>422</v>
      </c>
      <c r="B917" s="25" t="s">
        <v>62</v>
      </c>
      <c r="C917" s="26" t="s">
        <v>14</v>
      </c>
      <c r="D917" s="26" t="s">
        <v>53</v>
      </c>
      <c r="E917" s="26" t="s">
        <v>423</v>
      </c>
      <c r="F917" s="26" t="s">
        <v>58</v>
      </c>
      <c r="G917" s="119">
        <f>G918</f>
        <v>1080000</v>
      </c>
      <c r="H917" s="119">
        <f>H918</f>
        <v>1080000</v>
      </c>
      <c r="I917" s="119">
        <f>I918</f>
        <v>1080000</v>
      </c>
      <c r="J917" s="16">
        <f>'БА в тыс. руб.'!G917*1000</f>
        <v>1080000</v>
      </c>
      <c r="K917" s="169">
        <f t="shared" si="626"/>
        <v>0</v>
      </c>
      <c r="L917" s="16">
        <f>'БА в тыс. руб.'!H917*1000</f>
        <v>1080000</v>
      </c>
      <c r="M917" s="169">
        <f t="shared" si="627"/>
        <v>0</v>
      </c>
      <c r="N917" s="16">
        <f>'БА в тыс. руб.'!I917*1000</f>
        <v>1080000</v>
      </c>
      <c r="O917" s="169">
        <f t="shared" si="628"/>
        <v>0</v>
      </c>
      <c r="P917" s="16"/>
      <c r="Q917" s="16"/>
      <c r="R917" s="16"/>
      <c r="S917" s="16"/>
      <c r="T917" s="16"/>
      <c r="U917" s="16"/>
    </row>
    <row r="918" spans="1:21" s="30" customFormat="1">
      <c r="A918" s="13" t="s">
        <v>109</v>
      </c>
      <c r="B918" s="25" t="s">
        <v>62</v>
      </c>
      <c r="C918" s="26" t="s">
        <v>14</v>
      </c>
      <c r="D918" s="26" t="s">
        <v>53</v>
      </c>
      <c r="E918" s="26" t="s">
        <v>423</v>
      </c>
      <c r="F918" s="26" t="s">
        <v>134</v>
      </c>
      <c r="G918" s="119">
        <f>G919</f>
        <v>1080000</v>
      </c>
      <c r="H918" s="119">
        <f t="shared" ref="H918:I918" si="638">H919</f>
        <v>1080000</v>
      </c>
      <c r="I918" s="119">
        <f t="shared" si="638"/>
        <v>1080000</v>
      </c>
      <c r="J918" s="16">
        <f>'БА в тыс. руб.'!G918*1000</f>
        <v>1080000</v>
      </c>
      <c r="K918" s="169">
        <f t="shared" si="626"/>
        <v>0</v>
      </c>
      <c r="L918" s="16">
        <f>'БА в тыс. руб.'!H918*1000</f>
        <v>1080000</v>
      </c>
      <c r="M918" s="169">
        <f t="shared" si="627"/>
        <v>0</v>
      </c>
      <c r="N918" s="16">
        <f>'БА в тыс. руб.'!I918*1000</f>
        <v>1080000</v>
      </c>
      <c r="O918" s="169">
        <f t="shared" si="628"/>
        <v>0</v>
      </c>
      <c r="P918" s="16"/>
      <c r="Q918" s="16"/>
      <c r="R918" s="16"/>
      <c r="S918" s="16"/>
      <c r="T918" s="16"/>
      <c r="U918" s="16"/>
    </row>
    <row r="919" spans="1:21" s="83" customFormat="1" ht="25.5">
      <c r="A919" s="12" t="s">
        <v>978</v>
      </c>
      <c r="B919" s="25" t="s">
        <v>62</v>
      </c>
      <c r="C919" s="26" t="s">
        <v>14</v>
      </c>
      <c r="D919" s="26" t="s">
        <v>53</v>
      </c>
      <c r="E919" s="26" t="s">
        <v>423</v>
      </c>
      <c r="F919" s="26" t="s">
        <v>1064</v>
      </c>
      <c r="G919" s="27">
        <f t="shared" ref="G919" si="639">J919</f>
        <v>1080000</v>
      </c>
      <c r="H919" s="27">
        <f>L919</f>
        <v>1080000</v>
      </c>
      <c r="I919" s="27">
        <f>N919</f>
        <v>1080000</v>
      </c>
      <c r="J919" s="16">
        <f>'БА в тыс. руб.'!G919*1000</f>
        <v>1080000</v>
      </c>
      <c r="K919" s="169">
        <f t="shared" si="626"/>
        <v>0</v>
      </c>
      <c r="L919" s="16">
        <f>'БА в тыс. руб.'!H919*1000</f>
        <v>1080000</v>
      </c>
      <c r="M919" s="169">
        <f t="shared" si="627"/>
        <v>0</v>
      </c>
      <c r="N919" s="16">
        <f>'БА в тыс. руб.'!I919*1000</f>
        <v>1080000</v>
      </c>
      <c r="O919" s="169">
        <f t="shared" si="628"/>
        <v>0</v>
      </c>
      <c r="P919" s="16"/>
      <c r="Q919" s="16"/>
      <c r="R919" s="16"/>
      <c r="S919" s="16"/>
      <c r="T919" s="16"/>
      <c r="U919" s="16"/>
    </row>
    <row r="920" spans="1:21" s="30" customFormat="1" ht="102">
      <c r="A920" s="32" t="s">
        <v>424</v>
      </c>
      <c r="B920" s="25" t="s">
        <v>62</v>
      </c>
      <c r="C920" s="26" t="s">
        <v>14</v>
      </c>
      <c r="D920" s="26" t="s">
        <v>53</v>
      </c>
      <c r="E920" s="26" t="s">
        <v>425</v>
      </c>
      <c r="F920" s="26" t="s">
        <v>58</v>
      </c>
      <c r="G920" s="119">
        <f>G921</f>
        <v>1025460</v>
      </c>
      <c r="H920" s="119">
        <f>H921</f>
        <v>1025460</v>
      </c>
      <c r="I920" s="119">
        <f>I921</f>
        <v>1025460</v>
      </c>
      <c r="J920" s="16">
        <f>'БА в тыс. руб.'!G920*1000</f>
        <v>1025460</v>
      </c>
      <c r="K920" s="169">
        <f t="shared" si="626"/>
        <v>0</v>
      </c>
      <c r="L920" s="16">
        <f>'БА в тыс. руб.'!H920*1000</f>
        <v>1025460</v>
      </c>
      <c r="M920" s="169">
        <f t="shared" si="627"/>
        <v>0</v>
      </c>
      <c r="N920" s="16">
        <f>'БА в тыс. руб.'!I920*1000</f>
        <v>1025460</v>
      </c>
      <c r="O920" s="169">
        <f t="shared" si="628"/>
        <v>0</v>
      </c>
      <c r="P920" s="16"/>
      <c r="Q920" s="16"/>
      <c r="R920" s="16"/>
      <c r="S920" s="16"/>
      <c r="T920" s="16"/>
      <c r="U920" s="16"/>
    </row>
    <row r="921" spans="1:21" s="30" customFormat="1">
      <c r="A921" s="13" t="s">
        <v>109</v>
      </c>
      <c r="B921" s="25" t="s">
        <v>62</v>
      </c>
      <c r="C921" s="26" t="s">
        <v>14</v>
      </c>
      <c r="D921" s="26" t="s">
        <v>53</v>
      </c>
      <c r="E921" s="26" t="s">
        <v>425</v>
      </c>
      <c r="F921" s="26" t="s">
        <v>134</v>
      </c>
      <c r="G921" s="119">
        <f>G922</f>
        <v>1025460</v>
      </c>
      <c r="H921" s="119">
        <f t="shared" ref="H921:I921" si="640">H922</f>
        <v>1025460</v>
      </c>
      <c r="I921" s="119">
        <f t="shared" si="640"/>
        <v>1025460</v>
      </c>
      <c r="J921" s="16">
        <f>'БА в тыс. руб.'!G921*1000</f>
        <v>1025460</v>
      </c>
      <c r="K921" s="169">
        <f t="shared" si="626"/>
        <v>0</v>
      </c>
      <c r="L921" s="16">
        <f>'БА в тыс. руб.'!H921*1000</f>
        <v>1025460</v>
      </c>
      <c r="M921" s="169">
        <f t="shared" si="627"/>
        <v>0</v>
      </c>
      <c r="N921" s="16">
        <f>'БА в тыс. руб.'!I921*1000</f>
        <v>1025460</v>
      </c>
      <c r="O921" s="169">
        <f t="shared" si="628"/>
        <v>0</v>
      </c>
      <c r="P921" s="16"/>
      <c r="Q921" s="16"/>
      <c r="R921" s="16"/>
      <c r="S921" s="16"/>
      <c r="T921" s="16"/>
      <c r="U921" s="16"/>
    </row>
    <row r="922" spans="1:21" s="103" customFormat="1" ht="25.5">
      <c r="A922" s="12" t="s">
        <v>978</v>
      </c>
      <c r="B922" s="25" t="s">
        <v>62</v>
      </c>
      <c r="C922" s="26" t="s">
        <v>14</v>
      </c>
      <c r="D922" s="26" t="s">
        <v>53</v>
      </c>
      <c r="E922" s="26" t="s">
        <v>425</v>
      </c>
      <c r="F922" s="26" t="s">
        <v>1064</v>
      </c>
      <c r="G922" s="27">
        <f t="shared" ref="G922" si="641">J922</f>
        <v>1025460</v>
      </c>
      <c r="H922" s="27">
        <f>L922</f>
        <v>1025460</v>
      </c>
      <c r="I922" s="27">
        <f>N922</f>
        <v>1025460</v>
      </c>
      <c r="J922" s="16">
        <f>'БА в тыс. руб.'!G922*1000</f>
        <v>1025460</v>
      </c>
      <c r="K922" s="169">
        <f t="shared" si="626"/>
        <v>0</v>
      </c>
      <c r="L922" s="16">
        <f>'БА в тыс. руб.'!H922*1000</f>
        <v>1025460</v>
      </c>
      <c r="M922" s="169">
        <f t="shared" si="627"/>
        <v>0</v>
      </c>
      <c r="N922" s="16">
        <f>'БА в тыс. руб.'!I922*1000</f>
        <v>1025460</v>
      </c>
      <c r="O922" s="169">
        <f t="shared" si="628"/>
        <v>0</v>
      </c>
      <c r="P922" s="16"/>
      <c r="Q922" s="16"/>
      <c r="R922" s="16"/>
      <c r="S922" s="16"/>
      <c r="T922" s="16"/>
      <c r="U922" s="16"/>
    </row>
    <row r="923" spans="1:21" s="30" customFormat="1" ht="25.5">
      <c r="A923" s="32" t="s">
        <v>426</v>
      </c>
      <c r="B923" s="25" t="s">
        <v>62</v>
      </c>
      <c r="C923" s="26" t="s">
        <v>14</v>
      </c>
      <c r="D923" s="26" t="s">
        <v>53</v>
      </c>
      <c r="E923" s="26" t="s">
        <v>427</v>
      </c>
      <c r="F923" s="26" t="s">
        <v>58</v>
      </c>
      <c r="G923" s="119">
        <f>G924</f>
        <v>714000</v>
      </c>
      <c r="H923" s="119">
        <f>H924</f>
        <v>714000</v>
      </c>
      <c r="I923" s="119">
        <f>I924</f>
        <v>714000</v>
      </c>
      <c r="J923" s="16">
        <f>'БА в тыс. руб.'!G923*1000</f>
        <v>714000</v>
      </c>
      <c r="K923" s="169">
        <f t="shared" si="626"/>
        <v>0</v>
      </c>
      <c r="L923" s="16">
        <f>'БА в тыс. руб.'!H923*1000</f>
        <v>714000</v>
      </c>
      <c r="M923" s="169">
        <f t="shared" si="627"/>
        <v>0</v>
      </c>
      <c r="N923" s="16">
        <f>'БА в тыс. руб.'!I923*1000</f>
        <v>714000</v>
      </c>
      <c r="O923" s="169">
        <f t="shared" si="628"/>
        <v>0</v>
      </c>
      <c r="P923" s="16"/>
      <c r="Q923" s="16"/>
      <c r="R923" s="16"/>
      <c r="S923" s="16"/>
      <c r="T923" s="16"/>
      <c r="U923" s="16"/>
    </row>
    <row r="924" spans="1:21" s="30" customFormat="1">
      <c r="A924" s="13" t="s">
        <v>109</v>
      </c>
      <c r="B924" s="25" t="s">
        <v>62</v>
      </c>
      <c r="C924" s="26" t="s">
        <v>14</v>
      </c>
      <c r="D924" s="26" t="s">
        <v>53</v>
      </c>
      <c r="E924" s="26" t="s">
        <v>427</v>
      </c>
      <c r="F924" s="26" t="s">
        <v>134</v>
      </c>
      <c r="G924" s="119">
        <f>G925</f>
        <v>714000</v>
      </c>
      <c r="H924" s="119">
        <f t="shared" ref="H924:I924" si="642">H925</f>
        <v>714000</v>
      </c>
      <c r="I924" s="119">
        <f t="shared" si="642"/>
        <v>714000</v>
      </c>
      <c r="J924" s="16">
        <f>'БА в тыс. руб.'!G924*1000</f>
        <v>714000</v>
      </c>
      <c r="K924" s="169">
        <f t="shared" si="626"/>
        <v>0</v>
      </c>
      <c r="L924" s="16">
        <f>'БА в тыс. руб.'!H924*1000</f>
        <v>714000</v>
      </c>
      <c r="M924" s="169">
        <f t="shared" si="627"/>
        <v>0</v>
      </c>
      <c r="N924" s="16">
        <f>'БА в тыс. руб.'!I924*1000</f>
        <v>714000</v>
      </c>
      <c r="O924" s="169">
        <f t="shared" si="628"/>
        <v>0</v>
      </c>
      <c r="P924" s="16"/>
      <c r="Q924" s="16"/>
      <c r="R924" s="16"/>
      <c r="S924" s="16"/>
      <c r="T924" s="16"/>
      <c r="U924" s="16"/>
    </row>
    <row r="925" spans="1:21" s="83" customFormat="1" ht="25.5">
      <c r="A925" s="12" t="s">
        <v>978</v>
      </c>
      <c r="B925" s="25" t="s">
        <v>62</v>
      </c>
      <c r="C925" s="26" t="s">
        <v>14</v>
      </c>
      <c r="D925" s="26" t="s">
        <v>53</v>
      </c>
      <c r="E925" s="26" t="s">
        <v>427</v>
      </c>
      <c r="F925" s="26" t="s">
        <v>1064</v>
      </c>
      <c r="G925" s="27">
        <f t="shared" ref="G925" si="643">J925</f>
        <v>714000</v>
      </c>
      <c r="H925" s="27">
        <f>L925</f>
        <v>714000</v>
      </c>
      <c r="I925" s="27">
        <f>N925</f>
        <v>714000</v>
      </c>
      <c r="J925" s="16">
        <f>'БА в тыс. руб.'!G925*1000</f>
        <v>714000</v>
      </c>
      <c r="K925" s="169">
        <f t="shared" si="626"/>
        <v>0</v>
      </c>
      <c r="L925" s="16">
        <f>'БА в тыс. руб.'!H925*1000</f>
        <v>714000</v>
      </c>
      <c r="M925" s="169">
        <f t="shared" si="627"/>
        <v>0</v>
      </c>
      <c r="N925" s="16">
        <f>'БА в тыс. руб.'!I925*1000</f>
        <v>714000</v>
      </c>
      <c r="O925" s="169">
        <f t="shared" si="628"/>
        <v>0</v>
      </c>
      <c r="P925" s="16"/>
      <c r="Q925" s="16"/>
      <c r="R925" s="16"/>
      <c r="S925" s="16"/>
      <c r="T925" s="16"/>
      <c r="U925" s="16"/>
    </row>
    <row r="926" spans="1:21" s="30" customFormat="1" ht="51">
      <c r="A926" s="32" t="s">
        <v>428</v>
      </c>
      <c r="B926" s="25" t="s">
        <v>62</v>
      </c>
      <c r="C926" s="26" t="s">
        <v>14</v>
      </c>
      <c r="D926" s="26" t="s">
        <v>53</v>
      </c>
      <c r="E926" s="26" t="s">
        <v>429</v>
      </c>
      <c r="F926" s="26" t="s">
        <v>58</v>
      </c>
      <c r="G926" s="119">
        <f>G927</f>
        <v>1350000</v>
      </c>
      <c r="H926" s="119">
        <f>H927</f>
        <v>0</v>
      </c>
      <c r="I926" s="119">
        <f>I927</f>
        <v>0</v>
      </c>
      <c r="J926" s="16">
        <f>'БА в тыс. руб.'!G926*1000</f>
        <v>1350000</v>
      </c>
      <c r="K926" s="169">
        <f t="shared" si="626"/>
        <v>0</v>
      </c>
      <c r="L926" s="16">
        <f>'БА в тыс. руб.'!H926*1000</f>
        <v>0</v>
      </c>
      <c r="M926" s="169">
        <f t="shared" si="627"/>
        <v>0</v>
      </c>
      <c r="N926" s="16">
        <f>'БА в тыс. руб.'!I926*1000</f>
        <v>0</v>
      </c>
      <c r="O926" s="169">
        <f t="shared" si="628"/>
        <v>0</v>
      </c>
      <c r="P926" s="16"/>
      <c r="Q926" s="16"/>
      <c r="R926" s="16"/>
      <c r="S926" s="16"/>
      <c r="T926" s="16"/>
      <c r="U926" s="16"/>
    </row>
    <row r="927" spans="1:21" s="30" customFormat="1">
      <c r="A927" s="13" t="s">
        <v>109</v>
      </c>
      <c r="B927" s="25" t="s">
        <v>62</v>
      </c>
      <c r="C927" s="26" t="s">
        <v>14</v>
      </c>
      <c r="D927" s="26" t="s">
        <v>53</v>
      </c>
      <c r="E927" s="26" t="s">
        <v>429</v>
      </c>
      <c r="F927" s="26" t="s">
        <v>134</v>
      </c>
      <c r="G927" s="119">
        <f>G928</f>
        <v>1350000</v>
      </c>
      <c r="H927" s="119">
        <f t="shared" ref="H927:I927" si="644">H928</f>
        <v>0</v>
      </c>
      <c r="I927" s="119">
        <f t="shared" si="644"/>
        <v>0</v>
      </c>
      <c r="J927" s="16">
        <f>'БА в тыс. руб.'!G927*1000</f>
        <v>1350000</v>
      </c>
      <c r="K927" s="169">
        <f t="shared" si="626"/>
        <v>0</v>
      </c>
      <c r="L927" s="16">
        <f>'БА в тыс. руб.'!H927*1000</f>
        <v>0</v>
      </c>
      <c r="M927" s="169">
        <f t="shared" si="627"/>
        <v>0</v>
      </c>
      <c r="N927" s="16">
        <f>'БА в тыс. руб.'!I927*1000</f>
        <v>0</v>
      </c>
      <c r="O927" s="169">
        <f t="shared" si="628"/>
        <v>0</v>
      </c>
      <c r="P927" s="16"/>
      <c r="Q927" s="16"/>
      <c r="R927" s="16"/>
      <c r="S927" s="16"/>
      <c r="T927" s="16"/>
      <c r="U927" s="16"/>
    </row>
    <row r="928" spans="1:21" s="83" customFormat="1" ht="25.5">
      <c r="A928" s="12" t="s">
        <v>978</v>
      </c>
      <c r="B928" s="25" t="s">
        <v>62</v>
      </c>
      <c r="C928" s="26" t="s">
        <v>14</v>
      </c>
      <c r="D928" s="26" t="s">
        <v>53</v>
      </c>
      <c r="E928" s="26" t="s">
        <v>429</v>
      </c>
      <c r="F928" s="26" t="s">
        <v>1064</v>
      </c>
      <c r="G928" s="27">
        <f t="shared" ref="G928" si="645">J928</f>
        <v>1350000</v>
      </c>
      <c r="H928" s="27">
        <f>L928</f>
        <v>0</v>
      </c>
      <c r="I928" s="27">
        <f>N928</f>
        <v>0</v>
      </c>
      <c r="J928" s="16">
        <f>'БА в тыс. руб.'!G928*1000</f>
        <v>1350000</v>
      </c>
      <c r="K928" s="169">
        <f t="shared" si="626"/>
        <v>0</v>
      </c>
      <c r="L928" s="16">
        <f>'БА в тыс. руб.'!H928*1000</f>
        <v>0</v>
      </c>
      <c r="M928" s="169">
        <f t="shared" si="627"/>
        <v>0</v>
      </c>
      <c r="N928" s="16">
        <f>'БА в тыс. руб.'!I928*1000</f>
        <v>0</v>
      </c>
      <c r="O928" s="169">
        <f t="shared" si="628"/>
        <v>0</v>
      </c>
      <c r="P928" s="16"/>
      <c r="Q928" s="16"/>
      <c r="R928" s="16"/>
      <c r="S928" s="16"/>
      <c r="T928" s="16"/>
      <c r="U928" s="16"/>
    </row>
    <row r="929" spans="1:21" s="30" customFormat="1" ht="25.5">
      <c r="A929" s="32" t="s">
        <v>430</v>
      </c>
      <c r="B929" s="25" t="s">
        <v>62</v>
      </c>
      <c r="C929" s="26" t="s">
        <v>14</v>
      </c>
      <c r="D929" s="26" t="s">
        <v>53</v>
      </c>
      <c r="E929" s="26" t="s">
        <v>431</v>
      </c>
      <c r="F929" s="26" t="s">
        <v>58</v>
      </c>
      <c r="G929" s="119">
        <f>G930</f>
        <v>1000000</v>
      </c>
      <c r="H929" s="119">
        <f>H930</f>
        <v>1000000</v>
      </c>
      <c r="I929" s="119">
        <f>I930</f>
        <v>1000000</v>
      </c>
      <c r="J929" s="16">
        <f>'БА в тыс. руб.'!G929*1000</f>
        <v>1000000</v>
      </c>
      <c r="K929" s="169">
        <f t="shared" si="626"/>
        <v>0</v>
      </c>
      <c r="L929" s="16">
        <f>'БА в тыс. руб.'!H929*1000</f>
        <v>1000000</v>
      </c>
      <c r="M929" s="169">
        <f t="shared" si="627"/>
        <v>0</v>
      </c>
      <c r="N929" s="16">
        <f>'БА в тыс. руб.'!I929*1000</f>
        <v>1000000</v>
      </c>
      <c r="O929" s="169">
        <f t="shared" si="628"/>
        <v>0</v>
      </c>
      <c r="P929" s="16"/>
      <c r="Q929" s="16"/>
      <c r="R929" s="16"/>
      <c r="S929" s="16"/>
      <c r="T929" s="16"/>
      <c r="U929" s="16"/>
    </row>
    <row r="930" spans="1:21" s="30" customFormat="1">
      <c r="A930" s="13" t="s">
        <v>109</v>
      </c>
      <c r="B930" s="25" t="s">
        <v>62</v>
      </c>
      <c r="C930" s="26" t="s">
        <v>14</v>
      </c>
      <c r="D930" s="26" t="s">
        <v>53</v>
      </c>
      <c r="E930" s="26" t="s">
        <v>431</v>
      </c>
      <c r="F930" s="26" t="s">
        <v>134</v>
      </c>
      <c r="G930" s="119">
        <f>G931</f>
        <v>1000000</v>
      </c>
      <c r="H930" s="119">
        <f t="shared" ref="H930:I930" si="646">H931</f>
        <v>1000000</v>
      </c>
      <c r="I930" s="119">
        <f t="shared" si="646"/>
        <v>1000000</v>
      </c>
      <c r="J930" s="16">
        <f>'БА в тыс. руб.'!G930*1000</f>
        <v>1000000</v>
      </c>
      <c r="K930" s="169">
        <f t="shared" si="626"/>
        <v>0</v>
      </c>
      <c r="L930" s="16">
        <f>'БА в тыс. руб.'!H930*1000</f>
        <v>1000000</v>
      </c>
      <c r="M930" s="169">
        <f t="shared" si="627"/>
        <v>0</v>
      </c>
      <c r="N930" s="16">
        <f>'БА в тыс. руб.'!I930*1000</f>
        <v>1000000</v>
      </c>
      <c r="O930" s="169">
        <f t="shared" si="628"/>
        <v>0</v>
      </c>
      <c r="P930" s="16"/>
      <c r="Q930" s="16"/>
      <c r="R930" s="16"/>
      <c r="S930" s="16"/>
      <c r="T930" s="16"/>
      <c r="U930" s="16"/>
    </row>
    <row r="931" spans="1:21" s="83" customFormat="1" ht="25.5">
      <c r="A931" s="12" t="s">
        <v>978</v>
      </c>
      <c r="B931" s="25" t="s">
        <v>62</v>
      </c>
      <c r="C931" s="26" t="s">
        <v>14</v>
      </c>
      <c r="D931" s="26" t="s">
        <v>53</v>
      </c>
      <c r="E931" s="26" t="s">
        <v>431</v>
      </c>
      <c r="F931" s="26" t="s">
        <v>1064</v>
      </c>
      <c r="G931" s="27">
        <f t="shared" ref="G931" si="647">J931</f>
        <v>1000000</v>
      </c>
      <c r="H931" s="27">
        <f>L931</f>
        <v>1000000</v>
      </c>
      <c r="I931" s="27">
        <f>N931</f>
        <v>1000000</v>
      </c>
      <c r="J931" s="16">
        <f>'БА в тыс. руб.'!G931*1000</f>
        <v>1000000</v>
      </c>
      <c r="K931" s="169">
        <f t="shared" si="626"/>
        <v>0</v>
      </c>
      <c r="L931" s="16">
        <f>'БА в тыс. руб.'!H931*1000</f>
        <v>1000000</v>
      </c>
      <c r="M931" s="169">
        <f t="shared" si="627"/>
        <v>0</v>
      </c>
      <c r="N931" s="16">
        <f>'БА в тыс. руб.'!I931*1000</f>
        <v>1000000</v>
      </c>
      <c r="O931" s="169">
        <f t="shared" si="628"/>
        <v>0</v>
      </c>
      <c r="P931" s="16"/>
      <c r="Q931" s="16"/>
      <c r="R931" s="16"/>
      <c r="S931" s="16"/>
      <c r="T931" s="16"/>
      <c r="U931" s="16"/>
    </row>
    <row r="932" spans="1:21" s="33" customFormat="1" ht="25.5">
      <c r="A932" s="32" t="s">
        <v>432</v>
      </c>
      <c r="B932" s="25" t="s">
        <v>62</v>
      </c>
      <c r="C932" s="26" t="s">
        <v>14</v>
      </c>
      <c r="D932" s="26" t="s">
        <v>53</v>
      </c>
      <c r="E932" s="26" t="s">
        <v>433</v>
      </c>
      <c r="F932" s="26" t="s">
        <v>58</v>
      </c>
      <c r="G932" s="119">
        <f>G933</f>
        <v>1854000</v>
      </c>
      <c r="H932" s="119">
        <f>H933</f>
        <v>1854000</v>
      </c>
      <c r="I932" s="119">
        <f>I933</f>
        <v>1854000</v>
      </c>
      <c r="J932" s="16">
        <f>'БА в тыс. руб.'!G932*1000</f>
        <v>1854000</v>
      </c>
      <c r="K932" s="169">
        <f t="shared" si="626"/>
        <v>0</v>
      </c>
      <c r="L932" s="16">
        <f>'БА в тыс. руб.'!H932*1000</f>
        <v>1854000</v>
      </c>
      <c r="M932" s="169">
        <f t="shared" si="627"/>
        <v>0</v>
      </c>
      <c r="N932" s="16">
        <f>'БА в тыс. руб.'!I932*1000</f>
        <v>1854000</v>
      </c>
      <c r="O932" s="169">
        <f t="shared" si="628"/>
        <v>0</v>
      </c>
      <c r="P932" s="16"/>
      <c r="Q932" s="16"/>
      <c r="R932" s="16"/>
      <c r="S932" s="16"/>
      <c r="T932" s="16"/>
      <c r="U932" s="16"/>
    </row>
    <row r="933" spans="1:21" s="33" customFormat="1">
      <c r="A933" s="13" t="s">
        <v>109</v>
      </c>
      <c r="B933" s="25" t="s">
        <v>62</v>
      </c>
      <c r="C933" s="26" t="s">
        <v>14</v>
      </c>
      <c r="D933" s="26" t="s">
        <v>53</v>
      </c>
      <c r="E933" s="26" t="s">
        <v>433</v>
      </c>
      <c r="F933" s="26" t="s">
        <v>134</v>
      </c>
      <c r="G933" s="119">
        <f>G934</f>
        <v>1854000</v>
      </c>
      <c r="H933" s="119">
        <f t="shared" ref="H933:I933" si="648">H934</f>
        <v>1854000</v>
      </c>
      <c r="I933" s="119">
        <f t="shared" si="648"/>
        <v>1854000</v>
      </c>
      <c r="J933" s="16">
        <f>'БА в тыс. руб.'!G933*1000</f>
        <v>1854000</v>
      </c>
      <c r="K933" s="169">
        <f t="shared" si="626"/>
        <v>0</v>
      </c>
      <c r="L933" s="16">
        <f>'БА в тыс. руб.'!H933*1000</f>
        <v>1854000</v>
      </c>
      <c r="M933" s="169">
        <f t="shared" si="627"/>
        <v>0</v>
      </c>
      <c r="N933" s="16">
        <f>'БА в тыс. руб.'!I933*1000</f>
        <v>1854000</v>
      </c>
      <c r="O933" s="169">
        <f t="shared" si="628"/>
        <v>0</v>
      </c>
      <c r="P933" s="16"/>
      <c r="Q933" s="16"/>
      <c r="R933" s="16"/>
      <c r="S933" s="16"/>
      <c r="T933" s="16"/>
      <c r="U933" s="16"/>
    </row>
    <row r="934" spans="1:21" s="125" customFormat="1" ht="25.5">
      <c r="A934" s="12" t="s">
        <v>978</v>
      </c>
      <c r="B934" s="25" t="s">
        <v>62</v>
      </c>
      <c r="C934" s="26" t="s">
        <v>14</v>
      </c>
      <c r="D934" s="26" t="s">
        <v>53</v>
      </c>
      <c r="E934" s="26" t="s">
        <v>433</v>
      </c>
      <c r="F934" s="26" t="s">
        <v>1064</v>
      </c>
      <c r="G934" s="27">
        <f t="shared" ref="G934" si="649">J934</f>
        <v>1854000</v>
      </c>
      <c r="H934" s="27">
        <f>L934</f>
        <v>1854000</v>
      </c>
      <c r="I934" s="27">
        <f>N934</f>
        <v>1854000</v>
      </c>
      <c r="J934" s="16">
        <f>'БА в тыс. руб.'!G934*1000</f>
        <v>1854000</v>
      </c>
      <c r="K934" s="169">
        <f t="shared" si="626"/>
        <v>0</v>
      </c>
      <c r="L934" s="16">
        <f>'БА в тыс. руб.'!H934*1000</f>
        <v>1854000</v>
      </c>
      <c r="M934" s="169">
        <f t="shared" si="627"/>
        <v>0</v>
      </c>
      <c r="N934" s="16">
        <f>'БА в тыс. руб.'!I934*1000</f>
        <v>1854000</v>
      </c>
      <c r="O934" s="169">
        <f t="shared" si="628"/>
        <v>0</v>
      </c>
      <c r="P934" s="16"/>
      <c r="Q934" s="16"/>
      <c r="R934" s="16"/>
      <c r="S934" s="16"/>
      <c r="T934" s="16"/>
      <c r="U934" s="16"/>
    </row>
    <row r="935" spans="1:21" s="33" customFormat="1" ht="25.5">
      <c r="A935" s="32" t="s">
        <v>434</v>
      </c>
      <c r="B935" s="25" t="s">
        <v>62</v>
      </c>
      <c r="C935" s="26" t="s">
        <v>14</v>
      </c>
      <c r="D935" s="26" t="s">
        <v>53</v>
      </c>
      <c r="E935" s="26" t="s">
        <v>435</v>
      </c>
      <c r="F935" s="26" t="s">
        <v>58</v>
      </c>
      <c r="G935" s="119">
        <f>G936</f>
        <v>40000</v>
      </c>
      <c r="H935" s="119">
        <f>H936</f>
        <v>40000</v>
      </c>
      <c r="I935" s="119">
        <f>I936</f>
        <v>40000</v>
      </c>
      <c r="J935" s="16">
        <f>'БА в тыс. руб.'!G935*1000</f>
        <v>40000</v>
      </c>
      <c r="K935" s="169">
        <f t="shared" si="626"/>
        <v>0</v>
      </c>
      <c r="L935" s="16">
        <f>'БА в тыс. руб.'!H935*1000</f>
        <v>40000</v>
      </c>
      <c r="M935" s="169">
        <f t="shared" si="627"/>
        <v>0</v>
      </c>
      <c r="N935" s="16">
        <f>'БА в тыс. руб.'!I935*1000</f>
        <v>40000</v>
      </c>
      <c r="O935" s="169">
        <f t="shared" si="628"/>
        <v>0</v>
      </c>
      <c r="P935" s="16"/>
      <c r="Q935" s="16"/>
      <c r="R935" s="16"/>
      <c r="S935" s="16"/>
      <c r="T935" s="16"/>
      <c r="U935" s="16"/>
    </row>
    <row r="936" spans="1:21" s="33" customFormat="1">
      <c r="A936" s="13" t="s">
        <v>109</v>
      </c>
      <c r="B936" s="25" t="s">
        <v>62</v>
      </c>
      <c r="C936" s="26" t="s">
        <v>14</v>
      </c>
      <c r="D936" s="26" t="s">
        <v>53</v>
      </c>
      <c r="E936" s="26" t="s">
        <v>435</v>
      </c>
      <c r="F936" s="26" t="s">
        <v>134</v>
      </c>
      <c r="G936" s="119">
        <f>G937</f>
        <v>40000</v>
      </c>
      <c r="H936" s="119">
        <f t="shared" ref="H936:I936" si="650">H937</f>
        <v>40000</v>
      </c>
      <c r="I936" s="119">
        <f t="shared" si="650"/>
        <v>40000</v>
      </c>
      <c r="J936" s="16">
        <f>'БА в тыс. руб.'!G936*1000</f>
        <v>40000</v>
      </c>
      <c r="K936" s="169">
        <f t="shared" si="626"/>
        <v>0</v>
      </c>
      <c r="L936" s="16">
        <f>'БА в тыс. руб.'!H936*1000</f>
        <v>40000</v>
      </c>
      <c r="M936" s="169">
        <f t="shared" si="627"/>
        <v>0</v>
      </c>
      <c r="N936" s="16">
        <f>'БА в тыс. руб.'!I936*1000</f>
        <v>40000</v>
      </c>
      <c r="O936" s="169">
        <f t="shared" si="628"/>
        <v>0</v>
      </c>
      <c r="P936" s="16"/>
      <c r="Q936" s="16"/>
      <c r="R936" s="16"/>
      <c r="S936" s="16"/>
      <c r="T936" s="16"/>
      <c r="U936" s="16"/>
    </row>
    <row r="937" spans="1:21" s="125" customFormat="1" ht="25.5">
      <c r="A937" s="12" t="s">
        <v>978</v>
      </c>
      <c r="B937" s="25" t="s">
        <v>62</v>
      </c>
      <c r="C937" s="26" t="s">
        <v>14</v>
      </c>
      <c r="D937" s="26" t="s">
        <v>53</v>
      </c>
      <c r="E937" s="26" t="s">
        <v>435</v>
      </c>
      <c r="F937" s="26" t="s">
        <v>1064</v>
      </c>
      <c r="G937" s="27">
        <f t="shared" ref="G937" si="651">J937</f>
        <v>40000</v>
      </c>
      <c r="H937" s="27">
        <f>L937</f>
        <v>40000</v>
      </c>
      <c r="I937" s="27">
        <f>N937</f>
        <v>40000</v>
      </c>
      <c r="J937" s="16">
        <f>'БА в тыс. руб.'!G937*1000</f>
        <v>40000</v>
      </c>
      <c r="K937" s="169">
        <f t="shared" si="626"/>
        <v>0</v>
      </c>
      <c r="L937" s="16">
        <f>'БА в тыс. руб.'!H937*1000</f>
        <v>40000</v>
      </c>
      <c r="M937" s="169">
        <f t="shared" si="627"/>
        <v>0</v>
      </c>
      <c r="N937" s="16">
        <f>'БА в тыс. руб.'!I937*1000</f>
        <v>40000</v>
      </c>
      <c r="O937" s="169">
        <f t="shared" si="628"/>
        <v>0</v>
      </c>
      <c r="P937" s="16"/>
      <c r="Q937" s="16"/>
      <c r="R937" s="16"/>
      <c r="S937" s="16"/>
      <c r="T937" s="16"/>
      <c r="U937" s="16"/>
    </row>
    <row r="938" spans="1:21" s="33" customFormat="1" ht="38.25">
      <c r="A938" s="32" t="s">
        <v>804</v>
      </c>
      <c r="B938" s="25" t="s">
        <v>62</v>
      </c>
      <c r="C938" s="26" t="s">
        <v>14</v>
      </c>
      <c r="D938" s="26" t="s">
        <v>53</v>
      </c>
      <c r="E938" s="26" t="s">
        <v>436</v>
      </c>
      <c r="F938" s="26" t="s">
        <v>58</v>
      </c>
      <c r="G938" s="121">
        <f>G939</f>
        <v>100000</v>
      </c>
      <c r="H938" s="121">
        <f>H939</f>
        <v>100000</v>
      </c>
      <c r="I938" s="121">
        <f>I939</f>
        <v>100000</v>
      </c>
      <c r="J938" s="16">
        <f>'БА в тыс. руб.'!G938*1000</f>
        <v>100000</v>
      </c>
      <c r="K938" s="169">
        <f t="shared" si="626"/>
        <v>0</v>
      </c>
      <c r="L938" s="16">
        <f>'БА в тыс. руб.'!H938*1000</f>
        <v>100000</v>
      </c>
      <c r="M938" s="169">
        <f t="shared" si="627"/>
        <v>0</v>
      </c>
      <c r="N938" s="16">
        <f>'БА в тыс. руб.'!I938*1000</f>
        <v>100000</v>
      </c>
      <c r="O938" s="169">
        <f t="shared" si="628"/>
        <v>0</v>
      </c>
      <c r="P938" s="16"/>
      <c r="Q938" s="16"/>
      <c r="R938" s="16"/>
      <c r="S938" s="16"/>
      <c r="T938" s="16"/>
      <c r="U938" s="16"/>
    </row>
    <row r="939" spans="1:21" s="33" customFormat="1">
      <c r="A939" s="13" t="s">
        <v>109</v>
      </c>
      <c r="B939" s="25" t="s">
        <v>62</v>
      </c>
      <c r="C939" s="26" t="s">
        <v>14</v>
      </c>
      <c r="D939" s="26" t="s">
        <v>53</v>
      </c>
      <c r="E939" s="26" t="s">
        <v>436</v>
      </c>
      <c r="F939" s="26" t="s">
        <v>134</v>
      </c>
      <c r="G939" s="119">
        <f>G940</f>
        <v>100000</v>
      </c>
      <c r="H939" s="119">
        <f t="shared" ref="H939:I939" si="652">H940</f>
        <v>100000</v>
      </c>
      <c r="I939" s="119">
        <f t="shared" si="652"/>
        <v>100000</v>
      </c>
      <c r="J939" s="16">
        <f>'БА в тыс. руб.'!G939*1000</f>
        <v>100000</v>
      </c>
      <c r="K939" s="169">
        <f t="shared" si="626"/>
        <v>0</v>
      </c>
      <c r="L939" s="16">
        <f>'БА в тыс. руб.'!H939*1000</f>
        <v>100000</v>
      </c>
      <c r="M939" s="169">
        <f t="shared" si="627"/>
        <v>0</v>
      </c>
      <c r="N939" s="16">
        <f>'БА в тыс. руб.'!I939*1000</f>
        <v>100000</v>
      </c>
      <c r="O939" s="169">
        <f t="shared" si="628"/>
        <v>0</v>
      </c>
      <c r="P939" s="16"/>
      <c r="Q939" s="16"/>
      <c r="R939" s="16"/>
      <c r="S939" s="16"/>
      <c r="T939" s="16"/>
      <c r="U939" s="16"/>
    </row>
    <row r="940" spans="1:21" s="125" customFormat="1" ht="25.5">
      <c r="A940" s="12" t="s">
        <v>978</v>
      </c>
      <c r="B940" s="25" t="s">
        <v>62</v>
      </c>
      <c r="C940" s="26" t="s">
        <v>14</v>
      </c>
      <c r="D940" s="26" t="s">
        <v>53</v>
      </c>
      <c r="E940" s="26" t="s">
        <v>436</v>
      </c>
      <c r="F940" s="26" t="s">
        <v>1064</v>
      </c>
      <c r="G940" s="27">
        <f t="shared" ref="G940" si="653">J940</f>
        <v>100000</v>
      </c>
      <c r="H940" s="27">
        <f>L940</f>
        <v>100000</v>
      </c>
      <c r="I940" s="27">
        <f>N940</f>
        <v>100000</v>
      </c>
      <c r="J940" s="16">
        <f>'БА в тыс. руб.'!G940*1000</f>
        <v>100000</v>
      </c>
      <c r="K940" s="169">
        <f t="shared" si="626"/>
        <v>0</v>
      </c>
      <c r="L940" s="16">
        <f>'БА в тыс. руб.'!H940*1000</f>
        <v>100000</v>
      </c>
      <c r="M940" s="169">
        <f t="shared" si="627"/>
        <v>0</v>
      </c>
      <c r="N940" s="16">
        <f>'БА в тыс. руб.'!I940*1000</f>
        <v>100000</v>
      </c>
      <c r="O940" s="169">
        <f t="shared" si="628"/>
        <v>0</v>
      </c>
      <c r="P940" s="16"/>
      <c r="Q940" s="16"/>
      <c r="R940" s="16"/>
      <c r="S940" s="16"/>
      <c r="T940" s="16"/>
      <c r="U940" s="16"/>
    </row>
    <row r="941" spans="1:21" s="33" customFormat="1" ht="25.5">
      <c r="A941" s="32" t="s">
        <v>800</v>
      </c>
      <c r="B941" s="25" t="s">
        <v>62</v>
      </c>
      <c r="C941" s="26" t="s">
        <v>14</v>
      </c>
      <c r="D941" s="26" t="s">
        <v>53</v>
      </c>
      <c r="E941" s="26" t="s">
        <v>801</v>
      </c>
      <c r="F941" s="26" t="s">
        <v>58</v>
      </c>
      <c r="G941" s="121">
        <f>G942</f>
        <v>1287750</v>
      </c>
      <c r="H941" s="121">
        <f t="shared" ref="H941:I941" si="654">H942</f>
        <v>1158980</v>
      </c>
      <c r="I941" s="121">
        <f t="shared" si="654"/>
        <v>1158980</v>
      </c>
      <c r="J941" s="16">
        <f>'БА в тыс. руб.'!G941*1000</f>
        <v>1287750</v>
      </c>
      <c r="K941" s="169">
        <f t="shared" si="626"/>
        <v>0</v>
      </c>
      <c r="L941" s="16">
        <f>'БА в тыс. руб.'!H941*1000</f>
        <v>1158980</v>
      </c>
      <c r="M941" s="169">
        <f t="shared" si="627"/>
        <v>0</v>
      </c>
      <c r="N941" s="16">
        <f>'БА в тыс. руб.'!I941*1000</f>
        <v>1158980</v>
      </c>
      <c r="O941" s="169">
        <f t="shared" si="628"/>
        <v>0</v>
      </c>
      <c r="P941" s="16"/>
      <c r="Q941" s="16"/>
      <c r="R941" s="16"/>
      <c r="S941" s="16"/>
      <c r="T941" s="16"/>
      <c r="U941" s="16"/>
    </row>
    <row r="942" spans="1:21" s="33" customFormat="1" ht="25.5">
      <c r="A942" s="31" t="s">
        <v>192</v>
      </c>
      <c r="B942" s="25" t="s">
        <v>62</v>
      </c>
      <c r="C942" s="26" t="s">
        <v>14</v>
      </c>
      <c r="D942" s="26" t="s">
        <v>53</v>
      </c>
      <c r="E942" s="26" t="s">
        <v>802</v>
      </c>
      <c r="F942" s="26" t="s">
        <v>58</v>
      </c>
      <c r="G942" s="121">
        <f>G943+G945</f>
        <v>1287750</v>
      </c>
      <c r="H942" s="121">
        <f t="shared" ref="H942:I942" si="655">H943+H945</f>
        <v>1158980</v>
      </c>
      <c r="I942" s="121">
        <f t="shared" si="655"/>
        <v>1158980</v>
      </c>
      <c r="J942" s="16">
        <f>'БА в тыс. руб.'!G942*1000</f>
        <v>1287750</v>
      </c>
      <c r="K942" s="169">
        <f t="shared" si="626"/>
        <v>0</v>
      </c>
      <c r="L942" s="16">
        <f>'БА в тыс. руб.'!H942*1000</f>
        <v>1158980</v>
      </c>
      <c r="M942" s="169">
        <f t="shared" si="627"/>
        <v>0</v>
      </c>
      <c r="N942" s="16">
        <f>'БА в тыс. руб.'!I942*1000</f>
        <v>1158980</v>
      </c>
      <c r="O942" s="169">
        <f t="shared" si="628"/>
        <v>0</v>
      </c>
      <c r="P942" s="16"/>
      <c r="Q942" s="16"/>
      <c r="R942" s="16"/>
      <c r="S942" s="16"/>
      <c r="T942" s="16"/>
      <c r="U942" s="16"/>
    </row>
    <row r="943" spans="1:21" s="33" customFormat="1" ht="25.5">
      <c r="A943" s="11" t="s">
        <v>108</v>
      </c>
      <c r="B943" s="25" t="s">
        <v>62</v>
      </c>
      <c r="C943" s="26" t="s">
        <v>14</v>
      </c>
      <c r="D943" s="26" t="s">
        <v>53</v>
      </c>
      <c r="E943" s="26" t="s">
        <v>802</v>
      </c>
      <c r="F943" s="26" t="s">
        <v>116</v>
      </c>
      <c r="G943" s="119">
        <f>G944</f>
        <v>1209000</v>
      </c>
      <c r="H943" s="119">
        <f t="shared" ref="H943:I943" si="656">H944</f>
        <v>1077980</v>
      </c>
      <c r="I943" s="119">
        <f t="shared" si="656"/>
        <v>1077980</v>
      </c>
      <c r="J943" s="16">
        <f>'БА в тыс. руб.'!G943*1000</f>
        <v>1209000</v>
      </c>
      <c r="K943" s="169">
        <f t="shared" si="626"/>
        <v>0</v>
      </c>
      <c r="L943" s="16">
        <f>'БА в тыс. руб.'!H943*1000</f>
        <v>1077980</v>
      </c>
      <c r="M943" s="169">
        <f t="shared" si="627"/>
        <v>0</v>
      </c>
      <c r="N943" s="16">
        <f>'БА в тыс. руб.'!I943*1000</f>
        <v>1077980</v>
      </c>
      <c r="O943" s="169">
        <f t="shared" si="628"/>
        <v>0</v>
      </c>
      <c r="P943" s="16"/>
      <c r="Q943" s="16"/>
      <c r="R943" s="16"/>
      <c r="S943" s="16"/>
      <c r="T943" s="16"/>
      <c r="U943" s="16"/>
    </row>
    <row r="944" spans="1:21" s="125" customFormat="1" ht="25.5">
      <c r="A944" s="12" t="s">
        <v>973</v>
      </c>
      <c r="B944" s="25" t="s">
        <v>62</v>
      </c>
      <c r="C944" s="26" t="s">
        <v>14</v>
      </c>
      <c r="D944" s="26" t="s">
        <v>53</v>
      </c>
      <c r="E944" s="26" t="s">
        <v>802</v>
      </c>
      <c r="F944" s="26" t="s">
        <v>1043</v>
      </c>
      <c r="G944" s="27">
        <f t="shared" ref="G944" si="657">J944</f>
        <v>1209000</v>
      </c>
      <c r="H944" s="27">
        <f>L944</f>
        <v>1077980</v>
      </c>
      <c r="I944" s="27">
        <f>N944</f>
        <v>1077980</v>
      </c>
      <c r="J944" s="16">
        <f>'БА в тыс. руб.'!G944*1000</f>
        <v>1209000</v>
      </c>
      <c r="K944" s="169">
        <f t="shared" si="626"/>
        <v>0</v>
      </c>
      <c r="L944" s="16">
        <f>'БА в тыс. руб.'!H944*1000</f>
        <v>1077980</v>
      </c>
      <c r="M944" s="169">
        <f t="shared" si="627"/>
        <v>0</v>
      </c>
      <c r="N944" s="16">
        <f>'БА в тыс. руб.'!I944*1000</f>
        <v>1077980</v>
      </c>
      <c r="O944" s="169">
        <f t="shared" si="628"/>
        <v>0</v>
      </c>
      <c r="P944" s="16"/>
      <c r="Q944" s="16"/>
      <c r="R944" s="16"/>
      <c r="S944" s="16"/>
      <c r="T944" s="16"/>
      <c r="U944" s="16"/>
    </row>
    <row r="945" spans="1:21" s="33" customFormat="1" ht="25.5">
      <c r="A945" s="13" t="s">
        <v>110</v>
      </c>
      <c r="B945" s="25" t="s">
        <v>62</v>
      </c>
      <c r="C945" s="26" t="s">
        <v>14</v>
      </c>
      <c r="D945" s="26" t="s">
        <v>53</v>
      </c>
      <c r="E945" s="26" t="s">
        <v>802</v>
      </c>
      <c r="F945" s="26" t="s">
        <v>117</v>
      </c>
      <c r="G945" s="119">
        <f>G946</f>
        <v>78750</v>
      </c>
      <c r="H945" s="119">
        <f t="shared" ref="H945:I945" si="658">H946</f>
        <v>81000</v>
      </c>
      <c r="I945" s="119">
        <f t="shared" si="658"/>
        <v>81000</v>
      </c>
      <c r="J945" s="16">
        <f>'БА в тыс. руб.'!G945*1000</f>
        <v>78750</v>
      </c>
      <c r="K945" s="169">
        <f t="shared" si="626"/>
        <v>0</v>
      </c>
      <c r="L945" s="16">
        <f>'БА в тыс. руб.'!H945*1000</f>
        <v>81000</v>
      </c>
      <c r="M945" s="169">
        <f t="shared" si="627"/>
        <v>0</v>
      </c>
      <c r="N945" s="16">
        <f>'БА в тыс. руб.'!I945*1000</f>
        <v>81000</v>
      </c>
      <c r="O945" s="169">
        <f t="shared" si="628"/>
        <v>0</v>
      </c>
      <c r="P945" s="16"/>
      <c r="Q945" s="16"/>
      <c r="R945" s="16"/>
      <c r="S945" s="16"/>
      <c r="T945" s="16"/>
      <c r="U945" s="16"/>
    </row>
    <row r="946" spans="1:21" s="125" customFormat="1" ht="25.5">
      <c r="A946" s="12" t="s">
        <v>981</v>
      </c>
      <c r="B946" s="25" t="s">
        <v>62</v>
      </c>
      <c r="C946" s="26" t="s">
        <v>14</v>
      </c>
      <c r="D946" s="26" t="s">
        <v>53</v>
      </c>
      <c r="E946" s="26" t="s">
        <v>802</v>
      </c>
      <c r="F946" s="26" t="s">
        <v>1065</v>
      </c>
      <c r="G946" s="27">
        <f t="shared" ref="G946" si="659">J946</f>
        <v>78750</v>
      </c>
      <c r="H946" s="27">
        <f>L946</f>
        <v>81000</v>
      </c>
      <c r="I946" s="27">
        <f>N946</f>
        <v>81000</v>
      </c>
      <c r="J946" s="16">
        <f>'БА в тыс. руб.'!G946*1000</f>
        <v>78750</v>
      </c>
      <c r="K946" s="169">
        <f t="shared" si="626"/>
        <v>0</v>
      </c>
      <c r="L946" s="16">
        <f>'БА в тыс. руб.'!H946*1000</f>
        <v>81000</v>
      </c>
      <c r="M946" s="169">
        <f t="shared" si="627"/>
        <v>0</v>
      </c>
      <c r="N946" s="16">
        <f>'БА в тыс. руб.'!I946*1000</f>
        <v>81000</v>
      </c>
      <c r="O946" s="169">
        <f t="shared" si="628"/>
        <v>0</v>
      </c>
      <c r="P946" s="16"/>
      <c r="Q946" s="16"/>
      <c r="R946" s="16"/>
      <c r="S946" s="16"/>
      <c r="T946" s="16"/>
      <c r="U946" s="16"/>
    </row>
    <row r="947" spans="1:21" s="33" customFormat="1" ht="25.5">
      <c r="A947" s="32" t="s">
        <v>803</v>
      </c>
      <c r="B947" s="25" t="s">
        <v>62</v>
      </c>
      <c r="C947" s="26" t="s">
        <v>14</v>
      </c>
      <c r="D947" s="26" t="s">
        <v>53</v>
      </c>
      <c r="E947" s="26" t="s">
        <v>805</v>
      </c>
      <c r="F947" s="26" t="s">
        <v>58</v>
      </c>
      <c r="G947" s="121">
        <f>G948</f>
        <v>251000</v>
      </c>
      <c r="H947" s="121">
        <f t="shared" ref="H947:I947" si="660">H948</f>
        <v>251000</v>
      </c>
      <c r="I947" s="121">
        <f t="shared" si="660"/>
        <v>251000</v>
      </c>
      <c r="J947" s="16">
        <f>'БА в тыс. руб.'!G947*1000</f>
        <v>251000</v>
      </c>
      <c r="K947" s="169">
        <f t="shared" si="626"/>
        <v>0</v>
      </c>
      <c r="L947" s="16">
        <f>'БА в тыс. руб.'!H947*1000</f>
        <v>251000</v>
      </c>
      <c r="M947" s="169">
        <f t="shared" si="627"/>
        <v>0</v>
      </c>
      <c r="N947" s="16">
        <f>'БА в тыс. руб.'!I947*1000</f>
        <v>251000</v>
      </c>
      <c r="O947" s="169">
        <f t="shared" si="628"/>
        <v>0</v>
      </c>
      <c r="P947" s="16"/>
      <c r="Q947" s="16"/>
      <c r="R947" s="16"/>
      <c r="S947" s="16"/>
      <c r="T947" s="16"/>
      <c r="U947" s="16"/>
    </row>
    <row r="948" spans="1:21" s="33" customFormat="1" ht="38.25">
      <c r="A948" s="31" t="s">
        <v>881</v>
      </c>
      <c r="B948" s="25" t="s">
        <v>62</v>
      </c>
      <c r="C948" s="26" t="s">
        <v>14</v>
      </c>
      <c r="D948" s="26" t="s">
        <v>53</v>
      </c>
      <c r="E948" s="26" t="s">
        <v>806</v>
      </c>
      <c r="F948" s="26" t="s">
        <v>58</v>
      </c>
      <c r="G948" s="121">
        <f>G949</f>
        <v>251000</v>
      </c>
      <c r="H948" s="121">
        <f>H949</f>
        <v>251000</v>
      </c>
      <c r="I948" s="121">
        <f>I949</f>
        <v>251000</v>
      </c>
      <c r="J948" s="16">
        <f>'БА в тыс. руб.'!G948*1000</f>
        <v>251000</v>
      </c>
      <c r="K948" s="169">
        <f t="shared" si="626"/>
        <v>0</v>
      </c>
      <c r="L948" s="16">
        <f>'БА в тыс. руб.'!H948*1000</f>
        <v>251000</v>
      </c>
      <c r="M948" s="169">
        <f t="shared" si="627"/>
        <v>0</v>
      </c>
      <c r="N948" s="16">
        <f>'БА в тыс. руб.'!I948*1000</f>
        <v>251000</v>
      </c>
      <c r="O948" s="169">
        <f t="shared" si="628"/>
        <v>0</v>
      </c>
      <c r="P948" s="16"/>
      <c r="Q948" s="16"/>
      <c r="R948" s="16"/>
      <c r="S948" s="16"/>
      <c r="T948" s="16"/>
      <c r="U948" s="16"/>
    </row>
    <row r="949" spans="1:21" s="33" customFormat="1" ht="25.5">
      <c r="A949" s="11" t="s">
        <v>108</v>
      </c>
      <c r="B949" s="25" t="s">
        <v>62</v>
      </c>
      <c r="C949" s="26" t="s">
        <v>14</v>
      </c>
      <c r="D949" s="26" t="s">
        <v>53</v>
      </c>
      <c r="E949" s="26" t="s">
        <v>806</v>
      </c>
      <c r="F949" s="26" t="s">
        <v>116</v>
      </c>
      <c r="G949" s="119">
        <f>G950</f>
        <v>251000</v>
      </c>
      <c r="H949" s="119">
        <f t="shared" ref="H949:I949" si="661">H950</f>
        <v>251000</v>
      </c>
      <c r="I949" s="119">
        <f t="shared" si="661"/>
        <v>251000</v>
      </c>
      <c r="J949" s="16">
        <f>'БА в тыс. руб.'!G949*1000</f>
        <v>251000</v>
      </c>
      <c r="K949" s="169">
        <f t="shared" si="626"/>
        <v>0</v>
      </c>
      <c r="L949" s="16">
        <f>'БА в тыс. руб.'!H949*1000</f>
        <v>251000</v>
      </c>
      <c r="M949" s="169">
        <f t="shared" si="627"/>
        <v>0</v>
      </c>
      <c r="N949" s="16">
        <f>'БА в тыс. руб.'!I949*1000</f>
        <v>251000</v>
      </c>
      <c r="O949" s="169">
        <f t="shared" si="628"/>
        <v>0</v>
      </c>
      <c r="P949" s="16"/>
      <c r="Q949" s="16"/>
      <c r="R949" s="16"/>
      <c r="S949" s="16"/>
      <c r="T949" s="16"/>
      <c r="U949" s="16"/>
    </row>
    <row r="950" spans="1:21" s="125" customFormat="1" ht="25.5">
      <c r="A950" s="12" t="s">
        <v>973</v>
      </c>
      <c r="B950" s="25" t="s">
        <v>62</v>
      </c>
      <c r="C950" s="26" t="s">
        <v>14</v>
      </c>
      <c r="D950" s="26" t="s">
        <v>53</v>
      </c>
      <c r="E950" s="26" t="s">
        <v>806</v>
      </c>
      <c r="F950" s="26" t="s">
        <v>1043</v>
      </c>
      <c r="G950" s="27">
        <f t="shared" ref="G950" si="662">J950</f>
        <v>251000</v>
      </c>
      <c r="H950" s="27">
        <f>L950</f>
        <v>251000</v>
      </c>
      <c r="I950" s="27">
        <f>N950</f>
        <v>251000</v>
      </c>
      <c r="J950" s="16">
        <f>'БА в тыс. руб.'!G950*1000</f>
        <v>251000</v>
      </c>
      <c r="K950" s="169">
        <f t="shared" si="626"/>
        <v>0</v>
      </c>
      <c r="L950" s="16">
        <f>'БА в тыс. руб.'!H950*1000</f>
        <v>251000</v>
      </c>
      <c r="M950" s="169">
        <f t="shared" si="627"/>
        <v>0</v>
      </c>
      <c r="N950" s="16">
        <f>'БА в тыс. руб.'!I950*1000</f>
        <v>251000</v>
      </c>
      <c r="O950" s="169">
        <f t="shared" si="628"/>
        <v>0</v>
      </c>
      <c r="P950" s="16"/>
      <c r="Q950" s="16"/>
      <c r="R950" s="16"/>
      <c r="S950" s="16"/>
      <c r="T950" s="16"/>
      <c r="U950" s="16"/>
    </row>
    <row r="951" spans="1:21" s="33" customFormat="1" ht="25.5">
      <c r="A951" s="11" t="s">
        <v>843</v>
      </c>
      <c r="B951" s="25" t="s">
        <v>62</v>
      </c>
      <c r="C951" s="26" t="s">
        <v>14</v>
      </c>
      <c r="D951" s="26" t="s">
        <v>53</v>
      </c>
      <c r="E951" s="26" t="s">
        <v>807</v>
      </c>
      <c r="F951" s="26" t="s">
        <v>58</v>
      </c>
      <c r="G951" s="119">
        <f>G952</f>
        <v>371880</v>
      </c>
      <c r="H951" s="119">
        <f t="shared" ref="H951:I951" si="663">H952</f>
        <v>334690</v>
      </c>
      <c r="I951" s="119">
        <f t="shared" si="663"/>
        <v>334690</v>
      </c>
      <c r="J951" s="16">
        <f>'БА в тыс. руб.'!G951*1000</f>
        <v>371880</v>
      </c>
      <c r="K951" s="169">
        <f t="shared" si="626"/>
        <v>0</v>
      </c>
      <c r="L951" s="16">
        <f>'БА в тыс. руб.'!H951*1000</f>
        <v>334690</v>
      </c>
      <c r="M951" s="169">
        <f t="shared" si="627"/>
        <v>0</v>
      </c>
      <c r="N951" s="16">
        <f>'БА в тыс. руб.'!I951*1000</f>
        <v>334690</v>
      </c>
      <c r="O951" s="169">
        <f t="shared" si="628"/>
        <v>0</v>
      </c>
      <c r="P951" s="16"/>
      <c r="Q951" s="16"/>
      <c r="R951" s="16"/>
      <c r="S951" s="16"/>
      <c r="T951" s="16"/>
      <c r="U951" s="16"/>
    </row>
    <row r="952" spans="1:21" s="33" customFormat="1" ht="25.5">
      <c r="A952" s="31" t="s">
        <v>882</v>
      </c>
      <c r="B952" s="25" t="s">
        <v>62</v>
      </c>
      <c r="C952" s="26" t="s">
        <v>14</v>
      </c>
      <c r="D952" s="26" t="s">
        <v>53</v>
      </c>
      <c r="E952" s="26" t="s">
        <v>808</v>
      </c>
      <c r="F952" s="26" t="s">
        <v>58</v>
      </c>
      <c r="G952" s="121">
        <f t="shared" ref="G952:I953" si="664">G953</f>
        <v>371880</v>
      </c>
      <c r="H952" s="121">
        <f t="shared" si="664"/>
        <v>334690</v>
      </c>
      <c r="I952" s="121">
        <f t="shared" si="664"/>
        <v>334690</v>
      </c>
      <c r="J952" s="16">
        <f>'БА в тыс. руб.'!G952*1000</f>
        <v>371880</v>
      </c>
      <c r="K952" s="169">
        <f t="shared" si="626"/>
        <v>0</v>
      </c>
      <c r="L952" s="16">
        <f>'БА в тыс. руб.'!H952*1000</f>
        <v>334690</v>
      </c>
      <c r="M952" s="169">
        <f t="shared" si="627"/>
        <v>0</v>
      </c>
      <c r="N952" s="16">
        <f>'БА в тыс. руб.'!I952*1000</f>
        <v>334690</v>
      </c>
      <c r="O952" s="169">
        <f t="shared" si="628"/>
        <v>0</v>
      </c>
      <c r="P952" s="16"/>
      <c r="Q952" s="16"/>
      <c r="R952" s="16"/>
      <c r="S952" s="16"/>
      <c r="T952" s="16"/>
      <c r="U952" s="16"/>
    </row>
    <row r="953" spans="1:21" s="33" customFormat="1" ht="25.5">
      <c r="A953" s="11" t="s">
        <v>108</v>
      </c>
      <c r="B953" s="25" t="s">
        <v>62</v>
      </c>
      <c r="C953" s="26" t="s">
        <v>14</v>
      </c>
      <c r="D953" s="26" t="s">
        <v>53</v>
      </c>
      <c r="E953" s="26" t="s">
        <v>808</v>
      </c>
      <c r="F953" s="26" t="s">
        <v>116</v>
      </c>
      <c r="G953" s="119">
        <f>G954</f>
        <v>371880</v>
      </c>
      <c r="H953" s="119">
        <f t="shared" si="664"/>
        <v>334690</v>
      </c>
      <c r="I953" s="119">
        <f t="shared" si="664"/>
        <v>334690</v>
      </c>
      <c r="J953" s="16">
        <f>'БА в тыс. руб.'!G953*1000</f>
        <v>371880</v>
      </c>
      <c r="K953" s="169">
        <f t="shared" si="626"/>
        <v>0</v>
      </c>
      <c r="L953" s="16">
        <f>'БА в тыс. руб.'!H953*1000</f>
        <v>334690</v>
      </c>
      <c r="M953" s="169">
        <f t="shared" si="627"/>
        <v>0</v>
      </c>
      <c r="N953" s="16">
        <f>'БА в тыс. руб.'!I953*1000</f>
        <v>334690</v>
      </c>
      <c r="O953" s="169">
        <f t="shared" si="628"/>
        <v>0</v>
      </c>
      <c r="P953" s="16"/>
      <c r="Q953" s="16"/>
      <c r="R953" s="16"/>
      <c r="S953" s="16"/>
      <c r="T953" s="16"/>
      <c r="U953" s="16"/>
    </row>
    <row r="954" spans="1:21" s="125" customFormat="1" ht="25.5">
      <c r="A954" s="12" t="s">
        <v>973</v>
      </c>
      <c r="B954" s="25" t="s">
        <v>62</v>
      </c>
      <c r="C954" s="26" t="s">
        <v>14</v>
      </c>
      <c r="D954" s="26" t="s">
        <v>53</v>
      </c>
      <c r="E954" s="26" t="s">
        <v>808</v>
      </c>
      <c r="F954" s="26" t="s">
        <v>1043</v>
      </c>
      <c r="G954" s="27">
        <f t="shared" ref="G954" si="665">J954</f>
        <v>371880</v>
      </c>
      <c r="H954" s="27">
        <f>L954</f>
        <v>334690</v>
      </c>
      <c r="I954" s="27">
        <f>N954</f>
        <v>334690</v>
      </c>
      <c r="J954" s="16">
        <f>'БА в тыс. руб.'!G954*1000</f>
        <v>371880</v>
      </c>
      <c r="K954" s="169">
        <f t="shared" si="626"/>
        <v>0</v>
      </c>
      <c r="L954" s="16">
        <f>'БА в тыс. руб.'!H954*1000</f>
        <v>334690</v>
      </c>
      <c r="M954" s="169">
        <f t="shared" si="627"/>
        <v>0</v>
      </c>
      <c r="N954" s="16">
        <f>'БА в тыс. руб.'!I954*1000</f>
        <v>334690</v>
      </c>
      <c r="O954" s="169">
        <f t="shared" si="628"/>
        <v>0</v>
      </c>
      <c r="P954" s="16"/>
      <c r="Q954" s="16"/>
      <c r="R954" s="16"/>
      <c r="S954" s="16"/>
      <c r="T954" s="16"/>
      <c r="U954" s="16"/>
    </row>
    <row r="955" spans="1:21" s="33" customFormat="1">
      <c r="A955" s="31" t="s">
        <v>145</v>
      </c>
      <c r="B955" s="25" t="s">
        <v>62</v>
      </c>
      <c r="C955" s="26" t="s">
        <v>14</v>
      </c>
      <c r="D955" s="26" t="s">
        <v>53</v>
      </c>
      <c r="E955" s="26" t="s">
        <v>437</v>
      </c>
      <c r="F955" s="26" t="s">
        <v>58</v>
      </c>
      <c r="G955" s="121">
        <f t="shared" ref="G955:I958" si="666">G956</f>
        <v>1739000</v>
      </c>
      <c r="H955" s="121">
        <f t="shared" si="666"/>
        <v>1739000</v>
      </c>
      <c r="I955" s="121">
        <f t="shared" si="666"/>
        <v>1739000</v>
      </c>
      <c r="J955" s="16">
        <f>'БА в тыс. руб.'!G955*1000</f>
        <v>1739000</v>
      </c>
      <c r="K955" s="169">
        <f t="shared" si="626"/>
        <v>0</v>
      </c>
      <c r="L955" s="16">
        <f>'БА в тыс. руб.'!H955*1000</f>
        <v>1739000</v>
      </c>
      <c r="M955" s="169">
        <f t="shared" si="627"/>
        <v>0</v>
      </c>
      <c r="N955" s="16">
        <f>'БА в тыс. руб.'!I955*1000</f>
        <v>1739000</v>
      </c>
      <c r="O955" s="169">
        <f t="shared" si="628"/>
        <v>0</v>
      </c>
      <c r="P955" s="16"/>
      <c r="Q955" s="16"/>
      <c r="R955" s="16"/>
      <c r="S955" s="16"/>
      <c r="T955" s="16"/>
      <c r="U955" s="16"/>
    </row>
    <row r="956" spans="1:21" s="33" customFormat="1" ht="38.25">
      <c r="A956" s="120" t="s">
        <v>439</v>
      </c>
      <c r="B956" s="25" t="s">
        <v>62</v>
      </c>
      <c r="C956" s="26" t="s">
        <v>14</v>
      </c>
      <c r="D956" s="26" t="s">
        <v>53</v>
      </c>
      <c r="E956" s="26" t="s">
        <v>438</v>
      </c>
      <c r="F956" s="26" t="s">
        <v>58</v>
      </c>
      <c r="G956" s="121">
        <f t="shared" si="666"/>
        <v>1739000</v>
      </c>
      <c r="H956" s="121">
        <f t="shared" si="666"/>
        <v>1739000</v>
      </c>
      <c r="I956" s="121">
        <f t="shared" si="666"/>
        <v>1739000</v>
      </c>
      <c r="J956" s="16">
        <f>'БА в тыс. руб.'!G956*1000</f>
        <v>1739000</v>
      </c>
      <c r="K956" s="169">
        <f t="shared" si="626"/>
        <v>0</v>
      </c>
      <c r="L956" s="16">
        <f>'БА в тыс. руб.'!H956*1000</f>
        <v>1739000</v>
      </c>
      <c r="M956" s="169">
        <f t="shared" si="627"/>
        <v>0</v>
      </c>
      <c r="N956" s="16">
        <f>'БА в тыс. руб.'!I956*1000</f>
        <v>1739000</v>
      </c>
      <c r="O956" s="169">
        <f t="shared" si="628"/>
        <v>0</v>
      </c>
      <c r="P956" s="16"/>
      <c r="Q956" s="16"/>
      <c r="R956" s="16"/>
      <c r="S956" s="16"/>
      <c r="T956" s="16"/>
      <c r="U956" s="16"/>
    </row>
    <row r="957" spans="1:21" s="33" customFormat="1" ht="38.25">
      <c r="A957" s="31" t="s">
        <v>157</v>
      </c>
      <c r="B957" s="25" t="s">
        <v>62</v>
      </c>
      <c r="C957" s="26" t="s">
        <v>14</v>
      </c>
      <c r="D957" s="26" t="s">
        <v>53</v>
      </c>
      <c r="E957" s="26" t="s">
        <v>767</v>
      </c>
      <c r="F957" s="26" t="s">
        <v>58</v>
      </c>
      <c r="G957" s="121">
        <f t="shared" si="666"/>
        <v>1739000</v>
      </c>
      <c r="H957" s="121">
        <f t="shared" si="666"/>
        <v>1739000</v>
      </c>
      <c r="I957" s="121">
        <f t="shared" si="666"/>
        <v>1739000</v>
      </c>
      <c r="J957" s="16">
        <f>'БА в тыс. руб.'!G957*1000</f>
        <v>1739000</v>
      </c>
      <c r="K957" s="169">
        <f t="shared" si="626"/>
        <v>0</v>
      </c>
      <c r="L957" s="16">
        <f>'БА в тыс. руб.'!H957*1000</f>
        <v>1739000</v>
      </c>
      <c r="M957" s="169">
        <f t="shared" si="627"/>
        <v>0</v>
      </c>
      <c r="N957" s="16">
        <f>'БА в тыс. руб.'!I957*1000</f>
        <v>1739000</v>
      </c>
      <c r="O957" s="169">
        <f t="shared" si="628"/>
        <v>0</v>
      </c>
      <c r="P957" s="16"/>
      <c r="Q957" s="16"/>
      <c r="R957" s="16"/>
      <c r="S957" s="16"/>
      <c r="T957" s="16"/>
      <c r="U957" s="16"/>
    </row>
    <row r="958" spans="1:21" s="33" customFormat="1" ht="25.5">
      <c r="A958" s="13" t="s">
        <v>110</v>
      </c>
      <c r="B958" s="25" t="s">
        <v>62</v>
      </c>
      <c r="C958" s="26" t="s">
        <v>14</v>
      </c>
      <c r="D958" s="26" t="s">
        <v>53</v>
      </c>
      <c r="E958" s="26" t="s">
        <v>767</v>
      </c>
      <c r="F958" s="26" t="s">
        <v>117</v>
      </c>
      <c r="G958" s="119">
        <f>G959</f>
        <v>1739000</v>
      </c>
      <c r="H958" s="119">
        <f t="shared" si="666"/>
        <v>1739000</v>
      </c>
      <c r="I958" s="119">
        <f t="shared" si="666"/>
        <v>1739000</v>
      </c>
      <c r="J958" s="16">
        <f>'БА в тыс. руб.'!G958*1000</f>
        <v>1739000</v>
      </c>
      <c r="K958" s="169">
        <f t="shared" si="626"/>
        <v>0</v>
      </c>
      <c r="L958" s="16">
        <f>'БА в тыс. руб.'!H958*1000</f>
        <v>1739000</v>
      </c>
      <c r="M958" s="169">
        <f t="shared" si="627"/>
        <v>0</v>
      </c>
      <c r="N958" s="16">
        <f>'БА в тыс. руб.'!I958*1000</f>
        <v>1739000</v>
      </c>
      <c r="O958" s="169">
        <f t="shared" si="628"/>
        <v>0</v>
      </c>
      <c r="P958" s="16"/>
      <c r="Q958" s="16"/>
      <c r="R958" s="16"/>
      <c r="S958" s="16"/>
      <c r="T958" s="16"/>
      <c r="U958" s="16"/>
    </row>
    <row r="959" spans="1:21" s="125" customFormat="1" ht="25.5">
      <c r="A959" s="12" t="s">
        <v>981</v>
      </c>
      <c r="B959" s="25" t="s">
        <v>62</v>
      </c>
      <c r="C959" s="26" t="s">
        <v>14</v>
      </c>
      <c r="D959" s="26" t="s">
        <v>53</v>
      </c>
      <c r="E959" s="26" t="s">
        <v>767</v>
      </c>
      <c r="F959" s="26" t="s">
        <v>1065</v>
      </c>
      <c r="G959" s="27">
        <f t="shared" ref="G959" si="667">J959</f>
        <v>1739000</v>
      </c>
      <c r="H959" s="27">
        <f>L959</f>
        <v>1739000</v>
      </c>
      <c r="I959" s="27">
        <f>N959</f>
        <v>1739000</v>
      </c>
      <c r="J959" s="16">
        <f>'БА в тыс. руб.'!G959*1000</f>
        <v>1739000</v>
      </c>
      <c r="K959" s="169">
        <f t="shared" si="626"/>
        <v>0</v>
      </c>
      <c r="L959" s="16">
        <f>'БА в тыс. руб.'!H959*1000</f>
        <v>1739000</v>
      </c>
      <c r="M959" s="169">
        <f t="shared" si="627"/>
        <v>0</v>
      </c>
      <c r="N959" s="16">
        <f>'БА в тыс. руб.'!I959*1000</f>
        <v>1739000</v>
      </c>
      <c r="O959" s="169">
        <f t="shared" si="628"/>
        <v>0</v>
      </c>
      <c r="P959" s="16"/>
      <c r="Q959" s="16"/>
      <c r="R959" s="16"/>
      <c r="S959" s="16"/>
      <c r="T959" s="16"/>
      <c r="U959" s="16"/>
    </row>
    <row r="960" spans="1:21" s="163" customFormat="1">
      <c r="A960" s="21" t="s">
        <v>22</v>
      </c>
      <c r="B960" s="22" t="s">
        <v>62</v>
      </c>
      <c r="C960" s="23" t="s">
        <v>14</v>
      </c>
      <c r="D960" s="23" t="s">
        <v>37</v>
      </c>
      <c r="E960" s="23" t="s">
        <v>196</v>
      </c>
      <c r="F960" s="23" t="s">
        <v>58</v>
      </c>
      <c r="G960" s="24">
        <f t="shared" ref="G960:I962" si="668">G961</f>
        <v>127928840</v>
      </c>
      <c r="H960" s="24">
        <f t="shared" si="668"/>
        <v>128007240</v>
      </c>
      <c r="I960" s="24">
        <f t="shared" si="668"/>
        <v>128079240</v>
      </c>
      <c r="J960" s="16">
        <f>'БА в тыс. руб.'!G960*1000</f>
        <v>127928840.00000001</v>
      </c>
      <c r="K960" s="169">
        <f t="shared" si="626"/>
        <v>0</v>
      </c>
      <c r="L960" s="16">
        <f>'БА в тыс. руб.'!H960*1000</f>
        <v>128007240</v>
      </c>
      <c r="M960" s="169">
        <f t="shared" si="627"/>
        <v>0</v>
      </c>
      <c r="N960" s="16">
        <f>'БА в тыс. руб.'!I960*1000</f>
        <v>128079240</v>
      </c>
      <c r="O960" s="169">
        <f t="shared" si="628"/>
        <v>0</v>
      </c>
      <c r="P960" s="16"/>
      <c r="Q960" s="16"/>
      <c r="R960" s="16"/>
      <c r="S960" s="16"/>
      <c r="T960" s="16"/>
      <c r="U960" s="16"/>
    </row>
    <row r="961" spans="1:21" s="163" customFormat="1" ht="25.5">
      <c r="A961" s="31" t="s">
        <v>727</v>
      </c>
      <c r="B961" s="25" t="s">
        <v>62</v>
      </c>
      <c r="C961" s="26" t="s">
        <v>14</v>
      </c>
      <c r="D961" s="26" t="s">
        <v>37</v>
      </c>
      <c r="E961" s="26" t="s">
        <v>327</v>
      </c>
      <c r="F961" s="26" t="s">
        <v>58</v>
      </c>
      <c r="G961" s="121">
        <f t="shared" si="668"/>
        <v>127928840</v>
      </c>
      <c r="H961" s="121">
        <f t="shared" si="668"/>
        <v>128007240</v>
      </c>
      <c r="I961" s="121">
        <f t="shared" si="668"/>
        <v>128079240</v>
      </c>
      <c r="J961" s="16">
        <f>'БА в тыс. руб.'!G961*1000</f>
        <v>127928840.00000001</v>
      </c>
      <c r="K961" s="169">
        <f t="shared" si="626"/>
        <v>0</v>
      </c>
      <c r="L961" s="16">
        <f>'БА в тыс. руб.'!H961*1000</f>
        <v>128007240</v>
      </c>
      <c r="M961" s="169">
        <f t="shared" si="627"/>
        <v>0</v>
      </c>
      <c r="N961" s="16">
        <f>'БА в тыс. руб.'!I961*1000</f>
        <v>128079240</v>
      </c>
      <c r="O961" s="169">
        <f t="shared" si="628"/>
        <v>0</v>
      </c>
      <c r="P961" s="16"/>
      <c r="Q961" s="16"/>
      <c r="R961" s="16"/>
      <c r="S961" s="16"/>
      <c r="T961" s="16"/>
      <c r="U961" s="16"/>
    </row>
    <row r="962" spans="1:21" s="163" customFormat="1" ht="38.25">
      <c r="A962" s="120" t="s">
        <v>728</v>
      </c>
      <c r="B962" s="25" t="s">
        <v>62</v>
      </c>
      <c r="C962" s="26" t="s">
        <v>14</v>
      </c>
      <c r="D962" s="26" t="s">
        <v>37</v>
      </c>
      <c r="E962" s="26" t="s">
        <v>392</v>
      </c>
      <c r="F962" s="26" t="s">
        <v>58</v>
      </c>
      <c r="G962" s="121">
        <f t="shared" si="668"/>
        <v>127928840</v>
      </c>
      <c r="H962" s="121">
        <f t="shared" si="668"/>
        <v>128007240</v>
      </c>
      <c r="I962" s="121">
        <f t="shared" si="668"/>
        <v>128079240</v>
      </c>
      <c r="J962" s="16">
        <f>'БА в тыс. руб.'!G962*1000</f>
        <v>127928840.00000001</v>
      </c>
      <c r="K962" s="169">
        <f t="shared" si="626"/>
        <v>0</v>
      </c>
      <c r="L962" s="16">
        <f>'БА в тыс. руб.'!H962*1000</f>
        <v>128007240</v>
      </c>
      <c r="M962" s="169">
        <f t="shared" si="627"/>
        <v>0</v>
      </c>
      <c r="N962" s="16">
        <f>'БА в тыс. руб.'!I962*1000</f>
        <v>128079240</v>
      </c>
      <c r="O962" s="169">
        <f t="shared" si="628"/>
        <v>0</v>
      </c>
      <c r="P962" s="16"/>
      <c r="Q962" s="16"/>
      <c r="R962" s="16"/>
      <c r="S962" s="16"/>
      <c r="T962" s="16"/>
      <c r="U962" s="16"/>
    </row>
    <row r="963" spans="1:21" s="30" customFormat="1" ht="25.5">
      <c r="A963" s="152" t="s">
        <v>406</v>
      </c>
      <c r="B963" s="25" t="s">
        <v>62</v>
      </c>
      <c r="C963" s="26" t="s">
        <v>14</v>
      </c>
      <c r="D963" s="26" t="s">
        <v>37</v>
      </c>
      <c r="E963" s="26" t="s">
        <v>407</v>
      </c>
      <c r="F963" s="26" t="s">
        <v>58</v>
      </c>
      <c r="G963" s="119">
        <f>G964+G967</f>
        <v>127928840</v>
      </c>
      <c r="H963" s="119">
        <f t="shared" ref="H963:I963" si="669">H964+H967</f>
        <v>128007240</v>
      </c>
      <c r="I963" s="119">
        <f t="shared" si="669"/>
        <v>128079240</v>
      </c>
      <c r="J963" s="16">
        <f>'БА в тыс. руб.'!G963*1000</f>
        <v>127928840.00000001</v>
      </c>
      <c r="K963" s="169">
        <f t="shared" si="626"/>
        <v>0</v>
      </c>
      <c r="L963" s="16">
        <f>'БА в тыс. руб.'!H963*1000</f>
        <v>128007240</v>
      </c>
      <c r="M963" s="169">
        <f t="shared" si="627"/>
        <v>0</v>
      </c>
      <c r="N963" s="16">
        <f>'БА в тыс. руб.'!I963*1000</f>
        <v>128079240</v>
      </c>
      <c r="O963" s="169">
        <f t="shared" si="628"/>
        <v>0</v>
      </c>
      <c r="P963" s="16"/>
      <c r="Q963" s="16"/>
      <c r="R963" s="16"/>
      <c r="S963" s="16"/>
      <c r="T963" s="16"/>
      <c r="U963" s="16"/>
    </row>
    <row r="964" spans="1:21" s="30" customFormat="1" ht="51">
      <c r="A964" s="32" t="s">
        <v>920</v>
      </c>
      <c r="B964" s="25" t="s">
        <v>62</v>
      </c>
      <c r="C964" s="26" t="s">
        <v>14</v>
      </c>
      <c r="D964" s="26" t="s">
        <v>37</v>
      </c>
      <c r="E964" s="26" t="s">
        <v>440</v>
      </c>
      <c r="F964" s="26" t="s">
        <v>58</v>
      </c>
      <c r="G964" s="119">
        <f>G965</f>
        <v>126215740</v>
      </c>
      <c r="H964" s="119">
        <f>H965</f>
        <v>126215740</v>
      </c>
      <c r="I964" s="119">
        <f>I965</f>
        <v>126215740</v>
      </c>
      <c r="J964" s="16">
        <f>'БА в тыс. руб.'!G964*1000</f>
        <v>126215740</v>
      </c>
      <c r="K964" s="169">
        <f t="shared" si="626"/>
        <v>0</v>
      </c>
      <c r="L964" s="16">
        <f>'БА в тыс. руб.'!H964*1000</f>
        <v>126215740</v>
      </c>
      <c r="M964" s="169">
        <f t="shared" si="627"/>
        <v>0</v>
      </c>
      <c r="N964" s="16">
        <f>'БА в тыс. руб.'!I964*1000</f>
        <v>126215740</v>
      </c>
      <c r="O964" s="169">
        <f t="shared" si="628"/>
        <v>0</v>
      </c>
      <c r="P964" s="16"/>
      <c r="Q964" s="16"/>
      <c r="R964" s="16"/>
      <c r="S964" s="16"/>
      <c r="T964" s="16"/>
      <c r="U964" s="16"/>
    </row>
    <row r="965" spans="1:21" s="30" customFormat="1">
      <c r="A965" s="13" t="s">
        <v>109</v>
      </c>
      <c r="B965" s="25" t="s">
        <v>62</v>
      </c>
      <c r="C965" s="26" t="s">
        <v>14</v>
      </c>
      <c r="D965" s="26" t="s">
        <v>37</v>
      </c>
      <c r="E965" s="26" t="s">
        <v>440</v>
      </c>
      <c r="F965" s="26" t="s">
        <v>134</v>
      </c>
      <c r="G965" s="119">
        <f>G966</f>
        <v>126215740</v>
      </c>
      <c r="H965" s="119">
        <f t="shared" ref="H965:I965" si="670">H966</f>
        <v>126215740</v>
      </c>
      <c r="I965" s="119">
        <f t="shared" si="670"/>
        <v>126215740</v>
      </c>
      <c r="J965" s="16">
        <f>'БА в тыс. руб.'!G965*1000</f>
        <v>126215740</v>
      </c>
      <c r="K965" s="169">
        <f t="shared" si="626"/>
        <v>0</v>
      </c>
      <c r="L965" s="16">
        <f>'БА в тыс. руб.'!H965*1000</f>
        <v>126215740</v>
      </c>
      <c r="M965" s="169">
        <f t="shared" si="627"/>
        <v>0</v>
      </c>
      <c r="N965" s="16">
        <f>'БА в тыс. руб.'!I965*1000</f>
        <v>126215740</v>
      </c>
      <c r="O965" s="169">
        <f t="shared" si="628"/>
        <v>0</v>
      </c>
      <c r="P965" s="16"/>
      <c r="Q965" s="16"/>
      <c r="R965" s="16"/>
      <c r="S965" s="16"/>
      <c r="T965" s="16"/>
      <c r="U965" s="16"/>
    </row>
    <row r="966" spans="1:21" s="83" customFormat="1" ht="25.5">
      <c r="A966" s="12" t="s">
        <v>978</v>
      </c>
      <c r="B966" s="25" t="s">
        <v>62</v>
      </c>
      <c r="C966" s="26" t="s">
        <v>14</v>
      </c>
      <c r="D966" s="26" t="s">
        <v>37</v>
      </c>
      <c r="E966" s="26" t="s">
        <v>440</v>
      </c>
      <c r="F966" s="26" t="s">
        <v>1064</v>
      </c>
      <c r="G966" s="27">
        <f t="shared" ref="G966" si="671">J966</f>
        <v>126215740</v>
      </c>
      <c r="H966" s="27">
        <f>L966</f>
        <v>126215740</v>
      </c>
      <c r="I966" s="27">
        <f>N966</f>
        <v>126215740</v>
      </c>
      <c r="J966" s="16">
        <f>'БА в тыс. руб.'!G966*1000</f>
        <v>126215740</v>
      </c>
      <c r="K966" s="169">
        <f t="shared" si="626"/>
        <v>0</v>
      </c>
      <c r="L966" s="16">
        <f>'БА в тыс. руб.'!H966*1000</f>
        <v>126215740</v>
      </c>
      <c r="M966" s="169">
        <f t="shared" si="627"/>
        <v>0</v>
      </c>
      <c r="N966" s="16">
        <f>'БА в тыс. руб.'!I966*1000</f>
        <v>126215740</v>
      </c>
      <c r="O966" s="169">
        <f t="shared" si="628"/>
        <v>0</v>
      </c>
      <c r="P966" s="16"/>
      <c r="Q966" s="16"/>
      <c r="R966" s="16"/>
      <c r="S966" s="16"/>
      <c r="T966" s="16"/>
      <c r="U966" s="16"/>
    </row>
    <row r="967" spans="1:21" s="30" customFormat="1" ht="51">
      <c r="A967" s="32" t="s">
        <v>441</v>
      </c>
      <c r="B967" s="25" t="s">
        <v>62</v>
      </c>
      <c r="C967" s="26" t="s">
        <v>14</v>
      </c>
      <c r="D967" s="26" t="s">
        <v>37</v>
      </c>
      <c r="E967" s="26" t="s">
        <v>442</v>
      </c>
      <c r="F967" s="26" t="s">
        <v>58</v>
      </c>
      <c r="G967" s="119">
        <f>G968</f>
        <v>1713100</v>
      </c>
      <c r="H967" s="119">
        <f>H968</f>
        <v>1791500</v>
      </c>
      <c r="I967" s="119">
        <f>I968</f>
        <v>1863500</v>
      </c>
      <c r="J967" s="16">
        <f>'БА в тыс. руб.'!G967*1000</f>
        <v>1713100</v>
      </c>
      <c r="K967" s="169">
        <f t="shared" si="626"/>
        <v>0</v>
      </c>
      <c r="L967" s="16">
        <f>'БА в тыс. руб.'!H967*1000</f>
        <v>1791500</v>
      </c>
      <c r="M967" s="169">
        <f t="shared" si="627"/>
        <v>0</v>
      </c>
      <c r="N967" s="16">
        <f>'БА в тыс. руб.'!I967*1000</f>
        <v>1863500</v>
      </c>
      <c r="O967" s="169">
        <f t="shared" si="628"/>
        <v>0</v>
      </c>
      <c r="P967" s="16"/>
      <c r="Q967" s="16"/>
      <c r="R967" s="16"/>
      <c r="S967" s="16"/>
      <c r="T967" s="16"/>
      <c r="U967" s="16"/>
    </row>
    <row r="968" spans="1:21" s="30" customFormat="1">
      <c r="A968" s="13" t="s">
        <v>109</v>
      </c>
      <c r="B968" s="25" t="s">
        <v>62</v>
      </c>
      <c r="C968" s="26" t="s">
        <v>14</v>
      </c>
      <c r="D968" s="26" t="s">
        <v>37</v>
      </c>
      <c r="E968" s="26" t="s">
        <v>442</v>
      </c>
      <c r="F968" s="26" t="s">
        <v>134</v>
      </c>
      <c r="G968" s="119">
        <f>G969</f>
        <v>1713100</v>
      </c>
      <c r="H968" s="119">
        <f t="shared" ref="H968:I968" si="672">H969</f>
        <v>1791500</v>
      </c>
      <c r="I968" s="119">
        <f t="shared" si="672"/>
        <v>1863500</v>
      </c>
      <c r="J968" s="16">
        <f>'БА в тыс. руб.'!G968*1000</f>
        <v>1713100</v>
      </c>
      <c r="K968" s="169">
        <f t="shared" ref="K968:K1031" si="673">J968-G968</f>
        <v>0</v>
      </c>
      <c r="L968" s="16">
        <f>'БА в тыс. руб.'!H968*1000</f>
        <v>1791500</v>
      </c>
      <c r="M968" s="169">
        <f t="shared" ref="M968:M1031" si="674">L968-H968</f>
        <v>0</v>
      </c>
      <c r="N968" s="16">
        <f>'БА в тыс. руб.'!I968*1000</f>
        <v>1863500</v>
      </c>
      <c r="O968" s="169">
        <f t="shared" ref="O968:O1031" si="675">N968-I968</f>
        <v>0</v>
      </c>
      <c r="P968" s="16"/>
      <c r="Q968" s="16"/>
      <c r="R968" s="16"/>
      <c r="S968" s="16"/>
      <c r="T968" s="16"/>
      <c r="U968" s="16"/>
    </row>
    <row r="969" spans="1:21" s="83" customFormat="1" ht="25.5">
      <c r="A969" s="12" t="s">
        <v>978</v>
      </c>
      <c r="B969" s="25" t="s">
        <v>62</v>
      </c>
      <c r="C969" s="26" t="s">
        <v>14</v>
      </c>
      <c r="D969" s="26" t="s">
        <v>37</v>
      </c>
      <c r="E969" s="26" t="s">
        <v>442</v>
      </c>
      <c r="F969" s="26" t="s">
        <v>1064</v>
      </c>
      <c r="G969" s="27">
        <f t="shared" ref="G969" si="676">J969</f>
        <v>1713100</v>
      </c>
      <c r="H969" s="27">
        <f>L969</f>
        <v>1791500</v>
      </c>
      <c r="I969" s="27">
        <f>N969</f>
        <v>1863500</v>
      </c>
      <c r="J969" s="16">
        <f>'БА в тыс. руб.'!G969*1000</f>
        <v>1713100</v>
      </c>
      <c r="K969" s="169">
        <f t="shared" si="673"/>
        <v>0</v>
      </c>
      <c r="L969" s="16">
        <f>'БА в тыс. руб.'!H969*1000</f>
        <v>1791500</v>
      </c>
      <c r="M969" s="169">
        <f t="shared" si="674"/>
        <v>0</v>
      </c>
      <c r="N969" s="16">
        <f>'БА в тыс. руб.'!I969*1000</f>
        <v>1863500</v>
      </c>
      <c r="O969" s="169">
        <f t="shared" si="675"/>
        <v>0</v>
      </c>
      <c r="P969" s="16"/>
      <c r="Q969" s="16"/>
      <c r="R969" s="16"/>
      <c r="S969" s="16"/>
      <c r="T969" s="16"/>
      <c r="U969" s="16"/>
    </row>
    <row r="970" spans="1:21" s="164" customFormat="1" ht="12.75">
      <c r="A970" s="21" t="s">
        <v>36</v>
      </c>
      <c r="B970" s="22" t="s">
        <v>62</v>
      </c>
      <c r="C970" s="23" t="s">
        <v>14</v>
      </c>
      <c r="D970" s="23" t="s">
        <v>2</v>
      </c>
      <c r="E970" s="23" t="s">
        <v>196</v>
      </c>
      <c r="F970" s="23" t="s">
        <v>58</v>
      </c>
      <c r="G970" s="24">
        <f>G971+G988</f>
        <v>64187520</v>
      </c>
      <c r="H970" s="24">
        <f>H971+H988</f>
        <v>63990660</v>
      </c>
      <c r="I970" s="24">
        <f>I971+I988</f>
        <v>63990660</v>
      </c>
      <c r="J970" s="16">
        <f>'БА в тыс. руб.'!G970*1000</f>
        <v>64187520.000000007</v>
      </c>
      <c r="K970" s="169">
        <f t="shared" si="673"/>
        <v>0</v>
      </c>
      <c r="L970" s="16">
        <f>'БА в тыс. руб.'!H970*1000</f>
        <v>63990660.000000007</v>
      </c>
      <c r="M970" s="169">
        <f t="shared" si="674"/>
        <v>0</v>
      </c>
      <c r="N970" s="16">
        <f>'БА в тыс. руб.'!I970*1000</f>
        <v>63990660.000000007</v>
      </c>
      <c r="O970" s="169">
        <f t="shared" si="675"/>
        <v>0</v>
      </c>
      <c r="P970" s="16"/>
      <c r="Q970" s="16"/>
      <c r="R970" s="16"/>
      <c r="S970" s="16"/>
      <c r="T970" s="16"/>
      <c r="U970" s="16"/>
    </row>
    <row r="971" spans="1:21" s="30" customFormat="1" ht="25.5">
      <c r="A971" s="31" t="s">
        <v>727</v>
      </c>
      <c r="B971" s="25" t="s">
        <v>62</v>
      </c>
      <c r="C971" s="26" t="s">
        <v>14</v>
      </c>
      <c r="D971" s="26" t="s">
        <v>2</v>
      </c>
      <c r="E971" s="26" t="s">
        <v>327</v>
      </c>
      <c r="F971" s="26" t="s">
        <v>58</v>
      </c>
      <c r="G971" s="119">
        <f>G972+G977</f>
        <v>2361660</v>
      </c>
      <c r="H971" s="119">
        <f t="shared" ref="H971:I971" si="677">H972+H977</f>
        <v>2135400</v>
      </c>
      <c r="I971" s="119">
        <f t="shared" si="677"/>
        <v>2135400</v>
      </c>
      <c r="J971" s="16">
        <f>'БА в тыс. руб.'!G971*1000</f>
        <v>2361660</v>
      </c>
      <c r="K971" s="169">
        <f t="shared" si="673"/>
        <v>0</v>
      </c>
      <c r="L971" s="16">
        <f>'БА в тыс. руб.'!H971*1000</f>
        <v>2135400</v>
      </c>
      <c r="M971" s="169">
        <f t="shared" si="674"/>
        <v>0</v>
      </c>
      <c r="N971" s="16">
        <f>'БА в тыс. руб.'!I971*1000</f>
        <v>2135400</v>
      </c>
      <c r="O971" s="169">
        <f t="shared" si="675"/>
        <v>0</v>
      </c>
      <c r="P971" s="16"/>
      <c r="Q971" s="16"/>
      <c r="R971" s="16"/>
      <c r="S971" s="16"/>
      <c r="T971" s="16"/>
      <c r="U971" s="16"/>
    </row>
    <row r="972" spans="1:21" s="33" customFormat="1" ht="38.25">
      <c r="A972" s="31" t="s">
        <v>842</v>
      </c>
      <c r="B972" s="25" t="s">
        <v>62</v>
      </c>
      <c r="C972" s="26" t="s">
        <v>14</v>
      </c>
      <c r="D972" s="26" t="s">
        <v>2</v>
      </c>
      <c r="E972" s="26" t="s">
        <v>328</v>
      </c>
      <c r="F972" s="26" t="s">
        <v>58</v>
      </c>
      <c r="G972" s="121">
        <f t="shared" ref="G972:I975" si="678">G973</f>
        <v>1289450</v>
      </c>
      <c r="H972" s="121">
        <f t="shared" si="678"/>
        <v>1160510</v>
      </c>
      <c r="I972" s="121">
        <f t="shared" si="678"/>
        <v>1160510</v>
      </c>
      <c r="J972" s="16">
        <f>'БА в тыс. руб.'!G972*1000</f>
        <v>1289450</v>
      </c>
      <c r="K972" s="169">
        <f t="shared" si="673"/>
        <v>0</v>
      </c>
      <c r="L972" s="16">
        <f>'БА в тыс. руб.'!H972*1000</f>
        <v>1160510</v>
      </c>
      <c r="M972" s="169">
        <f t="shared" si="674"/>
        <v>0</v>
      </c>
      <c r="N972" s="16">
        <f>'БА в тыс. руб.'!I972*1000</f>
        <v>1160510</v>
      </c>
      <c r="O972" s="169">
        <f t="shared" si="675"/>
        <v>0</v>
      </c>
      <c r="P972" s="16"/>
      <c r="Q972" s="16"/>
      <c r="R972" s="16"/>
      <c r="S972" s="16"/>
      <c r="T972" s="16"/>
      <c r="U972" s="16"/>
    </row>
    <row r="973" spans="1:21" s="33" customFormat="1" ht="25.5">
      <c r="A973" s="31" t="s">
        <v>811</v>
      </c>
      <c r="B973" s="25" t="s">
        <v>62</v>
      </c>
      <c r="C973" s="26" t="s">
        <v>14</v>
      </c>
      <c r="D973" s="26" t="s">
        <v>2</v>
      </c>
      <c r="E973" s="26" t="s">
        <v>809</v>
      </c>
      <c r="F973" s="26" t="s">
        <v>58</v>
      </c>
      <c r="G973" s="121">
        <f t="shared" si="678"/>
        <v>1289450</v>
      </c>
      <c r="H973" s="121">
        <f t="shared" si="678"/>
        <v>1160510</v>
      </c>
      <c r="I973" s="121">
        <f t="shared" si="678"/>
        <v>1160510</v>
      </c>
      <c r="J973" s="16">
        <f>'БА в тыс. руб.'!G973*1000</f>
        <v>1289450</v>
      </c>
      <c r="K973" s="169">
        <f t="shared" si="673"/>
        <v>0</v>
      </c>
      <c r="L973" s="16">
        <f>'БА в тыс. руб.'!H973*1000</f>
        <v>1160510</v>
      </c>
      <c r="M973" s="169">
        <f t="shared" si="674"/>
        <v>0</v>
      </c>
      <c r="N973" s="16">
        <f>'БА в тыс. руб.'!I973*1000</f>
        <v>1160510</v>
      </c>
      <c r="O973" s="169">
        <f t="shared" si="675"/>
        <v>0</v>
      </c>
      <c r="P973" s="16"/>
      <c r="Q973" s="16"/>
      <c r="R973" s="16"/>
      <c r="S973" s="16"/>
      <c r="T973" s="16"/>
      <c r="U973" s="16"/>
    </row>
    <row r="974" spans="1:21" s="33" customFormat="1" ht="25.5">
      <c r="A974" s="31" t="s">
        <v>595</v>
      </c>
      <c r="B974" s="25" t="s">
        <v>62</v>
      </c>
      <c r="C974" s="26" t="s">
        <v>14</v>
      </c>
      <c r="D974" s="26" t="s">
        <v>2</v>
      </c>
      <c r="E974" s="26" t="s">
        <v>810</v>
      </c>
      <c r="F974" s="26" t="s">
        <v>58</v>
      </c>
      <c r="G974" s="121">
        <f t="shared" si="678"/>
        <v>1289450</v>
      </c>
      <c r="H974" s="121">
        <f t="shared" si="678"/>
        <v>1160510</v>
      </c>
      <c r="I974" s="121">
        <f t="shared" si="678"/>
        <v>1160510</v>
      </c>
      <c r="J974" s="16">
        <f>'БА в тыс. руб.'!G974*1000</f>
        <v>1289450</v>
      </c>
      <c r="K974" s="169">
        <f t="shared" si="673"/>
        <v>0</v>
      </c>
      <c r="L974" s="16">
        <f>'БА в тыс. руб.'!H974*1000</f>
        <v>1160510</v>
      </c>
      <c r="M974" s="169">
        <f t="shared" si="674"/>
        <v>0</v>
      </c>
      <c r="N974" s="16">
        <f>'БА в тыс. руб.'!I974*1000</f>
        <v>1160510</v>
      </c>
      <c r="O974" s="169">
        <f t="shared" si="675"/>
        <v>0</v>
      </c>
      <c r="P974" s="16"/>
      <c r="Q974" s="16"/>
      <c r="R974" s="16"/>
      <c r="S974" s="16"/>
      <c r="T974" s="16"/>
      <c r="U974" s="16"/>
    </row>
    <row r="975" spans="1:21" s="33" customFormat="1" ht="25.5">
      <c r="A975" s="31" t="s">
        <v>111</v>
      </c>
      <c r="B975" s="25" t="s">
        <v>62</v>
      </c>
      <c r="C975" s="26" t="s">
        <v>14</v>
      </c>
      <c r="D975" s="26" t="s">
        <v>2</v>
      </c>
      <c r="E975" s="26" t="s">
        <v>810</v>
      </c>
      <c r="F975" s="26" t="s">
        <v>104</v>
      </c>
      <c r="G975" s="119">
        <f>G976</f>
        <v>1289450</v>
      </c>
      <c r="H975" s="119">
        <f t="shared" si="678"/>
        <v>1160510</v>
      </c>
      <c r="I975" s="119">
        <f t="shared" si="678"/>
        <v>1160510</v>
      </c>
      <c r="J975" s="16">
        <f>'БА в тыс. руб.'!G975*1000</f>
        <v>1289450</v>
      </c>
      <c r="K975" s="169">
        <f t="shared" si="673"/>
        <v>0</v>
      </c>
      <c r="L975" s="16">
        <f>'БА в тыс. руб.'!H975*1000</f>
        <v>1160510</v>
      </c>
      <c r="M975" s="169">
        <f t="shared" si="674"/>
        <v>0</v>
      </c>
      <c r="N975" s="16">
        <f>'БА в тыс. руб.'!I975*1000</f>
        <v>1160510</v>
      </c>
      <c r="O975" s="169">
        <f t="shared" si="675"/>
        <v>0</v>
      </c>
      <c r="P975" s="16"/>
      <c r="Q975" s="16"/>
      <c r="R975" s="16"/>
      <c r="S975" s="16"/>
      <c r="T975" s="16"/>
      <c r="U975" s="16"/>
    </row>
    <row r="976" spans="1:21" s="125" customFormat="1" ht="76.5">
      <c r="A976" s="12" t="s">
        <v>1048</v>
      </c>
      <c r="B976" s="25" t="s">
        <v>62</v>
      </c>
      <c r="C976" s="26" t="s">
        <v>14</v>
      </c>
      <c r="D976" s="26" t="s">
        <v>2</v>
      </c>
      <c r="E976" s="26" t="s">
        <v>810</v>
      </c>
      <c r="F976" s="26" t="s">
        <v>1055</v>
      </c>
      <c r="G976" s="27">
        <f t="shared" ref="G976" si="679">J976</f>
        <v>1289450</v>
      </c>
      <c r="H976" s="27">
        <f>L976</f>
        <v>1160510</v>
      </c>
      <c r="I976" s="27">
        <f>N976</f>
        <v>1160510</v>
      </c>
      <c r="J976" s="16">
        <f>'БА в тыс. руб.'!G976*1000</f>
        <v>1289450</v>
      </c>
      <c r="K976" s="169">
        <f t="shared" si="673"/>
        <v>0</v>
      </c>
      <c r="L976" s="16">
        <f>'БА в тыс. руб.'!H976*1000</f>
        <v>1160510</v>
      </c>
      <c r="M976" s="169">
        <f t="shared" si="674"/>
        <v>0</v>
      </c>
      <c r="N976" s="16">
        <f>'БА в тыс. руб.'!I976*1000</f>
        <v>1160510</v>
      </c>
      <c r="O976" s="169">
        <f t="shared" si="675"/>
        <v>0</v>
      </c>
      <c r="P976" s="16"/>
      <c r="Q976" s="16"/>
      <c r="R976" s="16"/>
      <c r="S976" s="16"/>
      <c r="T976" s="16"/>
      <c r="U976" s="16"/>
    </row>
    <row r="977" spans="1:21" s="33" customFormat="1">
      <c r="A977" s="31" t="s">
        <v>145</v>
      </c>
      <c r="B977" s="25" t="s">
        <v>62</v>
      </c>
      <c r="C977" s="26" t="s">
        <v>14</v>
      </c>
      <c r="D977" s="26" t="s">
        <v>2</v>
      </c>
      <c r="E977" s="26" t="s">
        <v>437</v>
      </c>
      <c r="F977" s="26" t="s">
        <v>58</v>
      </c>
      <c r="G977" s="119">
        <f>G978</f>
        <v>1072210</v>
      </c>
      <c r="H977" s="119">
        <f t="shared" ref="H977:I977" si="680">H978</f>
        <v>974890</v>
      </c>
      <c r="I977" s="119">
        <f t="shared" si="680"/>
        <v>974890</v>
      </c>
      <c r="J977" s="16">
        <f>'БА в тыс. руб.'!G977*1000</f>
        <v>1072210</v>
      </c>
      <c r="K977" s="169">
        <f t="shared" si="673"/>
        <v>0</v>
      </c>
      <c r="L977" s="16">
        <f>'БА в тыс. руб.'!H977*1000</f>
        <v>974890</v>
      </c>
      <c r="M977" s="169">
        <f t="shared" si="674"/>
        <v>0</v>
      </c>
      <c r="N977" s="16">
        <f>'БА в тыс. руб.'!I977*1000</f>
        <v>974890</v>
      </c>
      <c r="O977" s="169">
        <f t="shared" si="675"/>
        <v>0</v>
      </c>
      <c r="P977" s="16"/>
      <c r="Q977" s="16"/>
      <c r="R977" s="16"/>
      <c r="S977" s="16"/>
      <c r="T977" s="16"/>
      <c r="U977" s="16"/>
    </row>
    <row r="978" spans="1:21" s="33" customFormat="1" ht="38.25">
      <c r="A978" s="31" t="s">
        <v>439</v>
      </c>
      <c r="B978" s="25" t="s">
        <v>62</v>
      </c>
      <c r="C978" s="26" t="s">
        <v>14</v>
      </c>
      <c r="D978" s="26" t="s">
        <v>2</v>
      </c>
      <c r="E978" s="26" t="s">
        <v>438</v>
      </c>
      <c r="F978" s="26" t="s">
        <v>58</v>
      </c>
      <c r="G978" s="119">
        <f>G979+G985</f>
        <v>1072210</v>
      </c>
      <c r="H978" s="119">
        <f>H979+H985</f>
        <v>974890</v>
      </c>
      <c r="I978" s="119">
        <f>I979+I985</f>
        <v>974890</v>
      </c>
      <c r="J978" s="16">
        <f>'БА в тыс. руб.'!G978*1000</f>
        <v>1072210</v>
      </c>
      <c r="K978" s="169">
        <f t="shared" si="673"/>
        <v>0</v>
      </c>
      <c r="L978" s="16">
        <f>'БА в тыс. руб.'!H978*1000</f>
        <v>974890</v>
      </c>
      <c r="M978" s="169">
        <f t="shared" si="674"/>
        <v>0</v>
      </c>
      <c r="N978" s="16">
        <f>'БА в тыс. руб.'!I978*1000</f>
        <v>974890</v>
      </c>
      <c r="O978" s="169">
        <f t="shared" si="675"/>
        <v>0</v>
      </c>
      <c r="P978" s="16"/>
      <c r="Q978" s="16"/>
      <c r="R978" s="16"/>
      <c r="S978" s="16"/>
      <c r="T978" s="16"/>
      <c r="U978" s="16"/>
    </row>
    <row r="979" spans="1:21" s="33" customFormat="1" ht="38.25">
      <c r="A979" s="31" t="s">
        <v>157</v>
      </c>
      <c r="B979" s="25" t="s">
        <v>62</v>
      </c>
      <c r="C979" s="26" t="s">
        <v>14</v>
      </c>
      <c r="D979" s="26" t="s">
        <v>2</v>
      </c>
      <c r="E979" s="26" t="s">
        <v>767</v>
      </c>
      <c r="F979" s="26" t="s">
        <v>58</v>
      </c>
      <c r="G979" s="119">
        <f>G980+G982</f>
        <v>98960</v>
      </c>
      <c r="H979" s="119">
        <f t="shared" ref="H979:I979" si="681">H980+H982</f>
        <v>98960</v>
      </c>
      <c r="I979" s="119">
        <f t="shared" si="681"/>
        <v>98960</v>
      </c>
      <c r="J979" s="16">
        <f>'БА в тыс. руб.'!G979*1000</f>
        <v>98960.000000000015</v>
      </c>
      <c r="K979" s="169">
        <f t="shared" si="673"/>
        <v>0</v>
      </c>
      <c r="L979" s="16">
        <f>'БА в тыс. руб.'!H979*1000</f>
        <v>98960.000000000015</v>
      </c>
      <c r="M979" s="169">
        <f t="shared" si="674"/>
        <v>0</v>
      </c>
      <c r="N979" s="16">
        <f>'БА в тыс. руб.'!I979*1000</f>
        <v>98960.000000000015</v>
      </c>
      <c r="O979" s="169">
        <f t="shared" si="675"/>
        <v>0</v>
      </c>
      <c r="P979" s="16"/>
      <c r="Q979" s="16"/>
      <c r="R979" s="16"/>
      <c r="S979" s="16"/>
      <c r="T979" s="16"/>
      <c r="U979" s="16"/>
    </row>
    <row r="980" spans="1:21" s="33" customFormat="1" ht="25.5">
      <c r="A980" s="11" t="s">
        <v>108</v>
      </c>
      <c r="B980" s="25" t="s">
        <v>62</v>
      </c>
      <c r="C980" s="26" t="s">
        <v>14</v>
      </c>
      <c r="D980" s="26" t="s">
        <v>2</v>
      </c>
      <c r="E980" s="26" t="s">
        <v>767</v>
      </c>
      <c r="F980" s="26" t="s">
        <v>116</v>
      </c>
      <c r="G980" s="119">
        <f>G981</f>
        <v>71690</v>
      </c>
      <c r="H980" s="119">
        <f t="shared" ref="H980:I980" si="682">H981</f>
        <v>71690</v>
      </c>
      <c r="I980" s="119">
        <f t="shared" si="682"/>
        <v>71690</v>
      </c>
      <c r="J980" s="16">
        <f>'БА в тыс. руб.'!G980*1000</f>
        <v>71690</v>
      </c>
      <c r="K980" s="169">
        <f t="shared" si="673"/>
        <v>0</v>
      </c>
      <c r="L980" s="16">
        <f>'БА в тыс. руб.'!H980*1000</f>
        <v>71690</v>
      </c>
      <c r="M980" s="169">
        <f t="shared" si="674"/>
        <v>0</v>
      </c>
      <c r="N980" s="16">
        <f>'БА в тыс. руб.'!I980*1000</f>
        <v>71690</v>
      </c>
      <c r="O980" s="169">
        <f t="shared" si="675"/>
        <v>0</v>
      </c>
      <c r="P980" s="16"/>
      <c r="Q980" s="16"/>
      <c r="R980" s="16"/>
      <c r="S980" s="16"/>
      <c r="T980" s="16"/>
      <c r="U980" s="16"/>
    </row>
    <row r="981" spans="1:21" s="125" customFormat="1" ht="25.5">
      <c r="A981" s="12" t="s">
        <v>973</v>
      </c>
      <c r="B981" s="25" t="s">
        <v>62</v>
      </c>
      <c r="C981" s="26" t="s">
        <v>14</v>
      </c>
      <c r="D981" s="26" t="s">
        <v>2</v>
      </c>
      <c r="E981" s="26" t="s">
        <v>767</v>
      </c>
      <c r="F981" s="26" t="s">
        <v>1043</v>
      </c>
      <c r="G981" s="27">
        <f t="shared" ref="G981" si="683">J981</f>
        <v>71690</v>
      </c>
      <c r="H981" s="27">
        <f>L981</f>
        <v>71690</v>
      </c>
      <c r="I981" s="27">
        <f>N981</f>
        <v>71690</v>
      </c>
      <c r="J981" s="16">
        <f>'БА в тыс. руб.'!G981*1000</f>
        <v>71690</v>
      </c>
      <c r="K981" s="169">
        <f t="shared" si="673"/>
        <v>0</v>
      </c>
      <c r="L981" s="16">
        <f>'БА в тыс. руб.'!H981*1000</f>
        <v>71690</v>
      </c>
      <c r="M981" s="169">
        <f t="shared" si="674"/>
        <v>0</v>
      </c>
      <c r="N981" s="16">
        <f>'БА в тыс. руб.'!I981*1000</f>
        <v>71690</v>
      </c>
      <c r="O981" s="169">
        <f t="shared" si="675"/>
        <v>0</v>
      </c>
      <c r="P981" s="16"/>
      <c r="Q981" s="16"/>
      <c r="R981" s="16"/>
      <c r="S981" s="16"/>
      <c r="T981" s="16"/>
      <c r="U981" s="16"/>
    </row>
    <row r="982" spans="1:21" s="33" customFormat="1">
      <c r="A982" s="11" t="s">
        <v>97</v>
      </c>
      <c r="B982" s="25" t="s">
        <v>62</v>
      </c>
      <c r="C982" s="26" t="s">
        <v>14</v>
      </c>
      <c r="D982" s="26" t="s">
        <v>2</v>
      </c>
      <c r="E982" s="26" t="s">
        <v>767</v>
      </c>
      <c r="F982" s="26" t="s">
        <v>118</v>
      </c>
      <c r="G982" s="119">
        <f>SUM(G983:G984)</f>
        <v>27270</v>
      </c>
      <c r="H982" s="119">
        <f t="shared" ref="H982:I982" si="684">SUM(H983:H984)</f>
        <v>27270</v>
      </c>
      <c r="I982" s="119">
        <f t="shared" si="684"/>
        <v>27270</v>
      </c>
      <c r="J982" s="16">
        <f>'БА в тыс. руб.'!G982*1000</f>
        <v>27270.000000000004</v>
      </c>
      <c r="K982" s="169">
        <f t="shared" si="673"/>
        <v>0</v>
      </c>
      <c r="L982" s="16">
        <f>'БА в тыс. руб.'!H982*1000</f>
        <v>27270.000000000004</v>
      </c>
      <c r="M982" s="169">
        <f t="shared" si="674"/>
        <v>0</v>
      </c>
      <c r="N982" s="16">
        <f>'БА в тыс. руб.'!I982*1000</f>
        <v>27270.000000000004</v>
      </c>
      <c r="O982" s="169">
        <f t="shared" si="675"/>
        <v>0</v>
      </c>
      <c r="P982" s="16"/>
      <c r="Q982" s="16"/>
      <c r="R982" s="16"/>
      <c r="S982" s="16"/>
      <c r="T982" s="16"/>
      <c r="U982" s="16"/>
    </row>
    <row r="983" spans="1:21" s="125" customFormat="1">
      <c r="A983" s="12" t="s">
        <v>1036</v>
      </c>
      <c r="B983" s="25" t="s">
        <v>62</v>
      </c>
      <c r="C983" s="26" t="s">
        <v>14</v>
      </c>
      <c r="D983" s="26" t="s">
        <v>2</v>
      </c>
      <c r="E983" s="26" t="s">
        <v>767</v>
      </c>
      <c r="F983" s="26" t="s">
        <v>1061</v>
      </c>
      <c r="G983" s="27">
        <f t="shared" ref="G983:G984" si="685">J983</f>
        <v>25100</v>
      </c>
      <c r="H983" s="27">
        <f t="shared" ref="H983:H984" si="686">L983</f>
        <v>25100</v>
      </c>
      <c r="I983" s="27">
        <f t="shared" ref="I983:I984" si="687">N983</f>
        <v>25100</v>
      </c>
      <c r="J983" s="16">
        <f>'БА в тыс. руб.'!G983*1000</f>
        <v>25100</v>
      </c>
      <c r="K983" s="169">
        <f t="shared" si="673"/>
        <v>0</v>
      </c>
      <c r="L983" s="16">
        <f>'БА в тыс. руб.'!H983*1000</f>
        <v>25100</v>
      </c>
      <c r="M983" s="169">
        <f t="shared" si="674"/>
        <v>0</v>
      </c>
      <c r="N983" s="16">
        <f>'БА в тыс. руб.'!I983*1000</f>
        <v>25100</v>
      </c>
      <c r="O983" s="169">
        <f t="shared" si="675"/>
        <v>0</v>
      </c>
      <c r="P983" s="16"/>
      <c r="Q983" s="16"/>
      <c r="R983" s="16"/>
      <c r="S983" s="16"/>
      <c r="T983" s="16"/>
      <c r="U983" s="16"/>
    </row>
    <row r="984" spans="1:21" s="125" customFormat="1">
      <c r="A984" s="12" t="s">
        <v>1037</v>
      </c>
      <c r="B984" s="25" t="s">
        <v>62</v>
      </c>
      <c r="C984" s="26" t="s">
        <v>14</v>
      </c>
      <c r="D984" s="26" t="s">
        <v>2</v>
      </c>
      <c r="E984" s="26" t="s">
        <v>767</v>
      </c>
      <c r="F984" s="26" t="s">
        <v>1062</v>
      </c>
      <c r="G984" s="27">
        <f t="shared" si="685"/>
        <v>2170</v>
      </c>
      <c r="H984" s="27">
        <f t="shared" si="686"/>
        <v>2170</v>
      </c>
      <c r="I984" s="27">
        <f t="shared" si="687"/>
        <v>2170</v>
      </c>
      <c r="J984" s="16">
        <f>'БА в тыс. руб.'!G984*1000</f>
        <v>2170</v>
      </c>
      <c r="K984" s="169">
        <f t="shared" si="673"/>
        <v>0</v>
      </c>
      <c r="L984" s="16">
        <f>'БА в тыс. руб.'!H984*1000</f>
        <v>2170</v>
      </c>
      <c r="M984" s="169">
        <f t="shared" si="674"/>
        <v>0</v>
      </c>
      <c r="N984" s="16">
        <f>'БА в тыс. руб.'!I984*1000</f>
        <v>2170</v>
      </c>
      <c r="O984" s="169">
        <f t="shared" si="675"/>
        <v>0</v>
      </c>
      <c r="P984" s="16"/>
      <c r="Q984" s="16"/>
      <c r="R984" s="16"/>
      <c r="S984" s="16"/>
      <c r="T984" s="16"/>
      <c r="U984" s="16"/>
    </row>
    <row r="985" spans="1:21" s="33" customFormat="1" ht="38.25">
      <c r="A985" s="31" t="s">
        <v>706</v>
      </c>
      <c r="B985" s="25" t="s">
        <v>62</v>
      </c>
      <c r="C985" s="26" t="s">
        <v>14</v>
      </c>
      <c r="D985" s="26" t="s">
        <v>2</v>
      </c>
      <c r="E985" s="26" t="s">
        <v>766</v>
      </c>
      <c r="F985" s="26" t="s">
        <v>58</v>
      </c>
      <c r="G985" s="119">
        <f>G986</f>
        <v>973250</v>
      </c>
      <c r="H985" s="119">
        <f t="shared" ref="H985:I986" si="688">H986</f>
        <v>875930</v>
      </c>
      <c r="I985" s="119">
        <f t="shared" si="688"/>
        <v>875930</v>
      </c>
      <c r="J985" s="16">
        <f>'БА в тыс. руб.'!G985*1000</f>
        <v>973250</v>
      </c>
      <c r="K985" s="169">
        <f t="shared" si="673"/>
        <v>0</v>
      </c>
      <c r="L985" s="16">
        <f>'БА в тыс. руб.'!H985*1000</f>
        <v>875930</v>
      </c>
      <c r="M985" s="169">
        <f t="shared" si="674"/>
        <v>0</v>
      </c>
      <c r="N985" s="16">
        <f>'БА в тыс. руб.'!I985*1000</f>
        <v>875930</v>
      </c>
      <c r="O985" s="169">
        <f t="shared" si="675"/>
        <v>0</v>
      </c>
      <c r="P985" s="16"/>
      <c r="Q985" s="16"/>
      <c r="R985" s="16"/>
      <c r="S985" s="16"/>
      <c r="T985" s="16"/>
      <c r="U985" s="16"/>
    </row>
    <row r="986" spans="1:21" s="33" customFormat="1" ht="25.5">
      <c r="A986" s="31" t="s">
        <v>108</v>
      </c>
      <c r="B986" s="25" t="s">
        <v>62</v>
      </c>
      <c r="C986" s="26" t="s">
        <v>14</v>
      </c>
      <c r="D986" s="26" t="s">
        <v>2</v>
      </c>
      <c r="E986" s="26" t="s">
        <v>766</v>
      </c>
      <c r="F986" s="26" t="s">
        <v>116</v>
      </c>
      <c r="G986" s="119">
        <f>G987</f>
        <v>973250</v>
      </c>
      <c r="H986" s="119">
        <f t="shared" si="688"/>
        <v>875930</v>
      </c>
      <c r="I986" s="119">
        <f t="shared" si="688"/>
        <v>875930</v>
      </c>
      <c r="J986" s="16">
        <f>'БА в тыс. руб.'!G986*1000</f>
        <v>973250</v>
      </c>
      <c r="K986" s="169">
        <f t="shared" si="673"/>
        <v>0</v>
      </c>
      <c r="L986" s="16">
        <f>'БА в тыс. руб.'!H986*1000</f>
        <v>875930</v>
      </c>
      <c r="M986" s="169">
        <f t="shared" si="674"/>
        <v>0</v>
      </c>
      <c r="N986" s="16">
        <f>'БА в тыс. руб.'!I986*1000</f>
        <v>875930</v>
      </c>
      <c r="O986" s="169">
        <f t="shared" si="675"/>
        <v>0</v>
      </c>
      <c r="P986" s="16"/>
      <c r="Q986" s="16"/>
      <c r="R986" s="16"/>
      <c r="S986" s="16"/>
      <c r="T986" s="16"/>
      <c r="U986" s="16"/>
    </row>
    <row r="987" spans="1:21" s="125" customFormat="1" ht="25.5">
      <c r="A987" s="12" t="s">
        <v>973</v>
      </c>
      <c r="B987" s="25" t="s">
        <v>62</v>
      </c>
      <c r="C987" s="26" t="s">
        <v>14</v>
      </c>
      <c r="D987" s="26" t="s">
        <v>2</v>
      </c>
      <c r="E987" s="26" t="s">
        <v>766</v>
      </c>
      <c r="F987" s="26" t="s">
        <v>1043</v>
      </c>
      <c r="G987" s="27">
        <f t="shared" ref="G987" si="689">J987</f>
        <v>973250</v>
      </c>
      <c r="H987" s="27">
        <f>L987</f>
        <v>875930</v>
      </c>
      <c r="I987" s="27">
        <f>N987</f>
        <v>875930</v>
      </c>
      <c r="J987" s="16">
        <f>'БА в тыс. руб.'!G987*1000</f>
        <v>973250</v>
      </c>
      <c r="K987" s="169">
        <f t="shared" si="673"/>
        <v>0</v>
      </c>
      <c r="L987" s="16">
        <f>'БА в тыс. руб.'!H987*1000</f>
        <v>875930</v>
      </c>
      <c r="M987" s="169">
        <f t="shared" si="674"/>
        <v>0</v>
      </c>
      <c r="N987" s="16">
        <f>'БА в тыс. руб.'!I987*1000</f>
        <v>875930</v>
      </c>
      <c r="O987" s="169">
        <f t="shared" si="675"/>
        <v>0</v>
      </c>
      <c r="P987" s="16"/>
      <c r="Q987" s="16"/>
      <c r="R987" s="16"/>
      <c r="S987" s="16"/>
      <c r="T987" s="16"/>
      <c r="U987" s="16"/>
    </row>
    <row r="988" spans="1:21" s="33" customFormat="1" ht="25.5">
      <c r="A988" s="120" t="s">
        <v>186</v>
      </c>
      <c r="B988" s="25" t="s">
        <v>62</v>
      </c>
      <c r="C988" s="26" t="s">
        <v>14</v>
      </c>
      <c r="D988" s="26" t="s">
        <v>2</v>
      </c>
      <c r="E988" s="25" t="s">
        <v>443</v>
      </c>
      <c r="F988" s="26" t="s">
        <v>58</v>
      </c>
      <c r="G988" s="121">
        <f>G989</f>
        <v>61825860</v>
      </c>
      <c r="H988" s="121">
        <f t="shared" ref="H988:I988" si="690">H989</f>
        <v>61855260</v>
      </c>
      <c r="I988" s="121">
        <f t="shared" si="690"/>
        <v>61855260</v>
      </c>
      <c r="J988" s="16">
        <f>'БА в тыс. руб.'!G988*1000</f>
        <v>61825860</v>
      </c>
      <c r="K988" s="169">
        <f t="shared" si="673"/>
        <v>0</v>
      </c>
      <c r="L988" s="16">
        <f>'БА в тыс. руб.'!H988*1000</f>
        <v>61855260.000000007</v>
      </c>
      <c r="M988" s="169">
        <f t="shared" si="674"/>
        <v>0</v>
      </c>
      <c r="N988" s="16">
        <f>'БА в тыс. руб.'!I988*1000</f>
        <v>61855260.000000007</v>
      </c>
      <c r="O988" s="169">
        <f t="shared" si="675"/>
        <v>0</v>
      </c>
      <c r="P988" s="16"/>
      <c r="Q988" s="16"/>
      <c r="R988" s="16"/>
      <c r="S988" s="16"/>
      <c r="T988" s="16"/>
      <c r="U988" s="16"/>
    </row>
    <row r="989" spans="1:21" s="33" customFormat="1" ht="38.25">
      <c r="A989" s="120" t="s">
        <v>189</v>
      </c>
      <c r="B989" s="25" t="s">
        <v>62</v>
      </c>
      <c r="C989" s="26" t="s">
        <v>14</v>
      </c>
      <c r="D989" s="26" t="s">
        <v>2</v>
      </c>
      <c r="E989" s="25" t="s">
        <v>444</v>
      </c>
      <c r="F989" s="26" t="s">
        <v>58</v>
      </c>
      <c r="G989" s="121">
        <f>G990+G998+G1002+G1007</f>
        <v>61825860</v>
      </c>
      <c r="H989" s="121">
        <f>H990+H998+H1002+H1007</f>
        <v>61855260</v>
      </c>
      <c r="I989" s="121">
        <f>I990+I998+I1002+I1007</f>
        <v>61855260</v>
      </c>
      <c r="J989" s="16">
        <f>'БА в тыс. руб.'!G989*1000</f>
        <v>61825860</v>
      </c>
      <c r="K989" s="169">
        <f t="shared" si="673"/>
        <v>0</v>
      </c>
      <c r="L989" s="16">
        <f>'БА в тыс. руб.'!H989*1000</f>
        <v>61855260.000000007</v>
      </c>
      <c r="M989" s="169">
        <f t="shared" si="674"/>
        <v>0</v>
      </c>
      <c r="N989" s="16">
        <f>'БА в тыс. руб.'!I989*1000</f>
        <v>61855260.000000007</v>
      </c>
      <c r="O989" s="169">
        <f t="shared" si="675"/>
        <v>0</v>
      </c>
      <c r="P989" s="16"/>
      <c r="Q989" s="16"/>
      <c r="R989" s="16"/>
      <c r="S989" s="16"/>
      <c r="T989" s="16"/>
      <c r="U989" s="16"/>
    </row>
    <row r="990" spans="1:21" s="33" customFormat="1" ht="25.5">
      <c r="A990" s="122" t="s">
        <v>114</v>
      </c>
      <c r="B990" s="25" t="s">
        <v>62</v>
      </c>
      <c r="C990" s="26" t="s">
        <v>14</v>
      </c>
      <c r="D990" s="26" t="s">
        <v>2</v>
      </c>
      <c r="E990" s="123" t="s">
        <v>445</v>
      </c>
      <c r="F990" s="26" t="s">
        <v>58</v>
      </c>
      <c r="G990" s="121">
        <f>G991+G994+G996</f>
        <v>846890</v>
      </c>
      <c r="H990" s="121">
        <f t="shared" ref="H990:I990" si="691">H991+H994+H996</f>
        <v>856030</v>
      </c>
      <c r="I990" s="121">
        <f t="shared" si="691"/>
        <v>856030</v>
      </c>
      <c r="J990" s="16">
        <f>'БА в тыс. руб.'!G990*1000</f>
        <v>846890</v>
      </c>
      <c r="K990" s="169">
        <f t="shared" si="673"/>
        <v>0</v>
      </c>
      <c r="L990" s="16">
        <f>'БА в тыс. руб.'!H990*1000</f>
        <v>856030.00000000012</v>
      </c>
      <c r="M990" s="169">
        <f t="shared" si="674"/>
        <v>0</v>
      </c>
      <c r="N990" s="16">
        <f>'БА в тыс. руб.'!I990*1000</f>
        <v>856030.00000000012</v>
      </c>
      <c r="O990" s="169">
        <f t="shared" si="675"/>
        <v>0</v>
      </c>
      <c r="P990" s="16"/>
      <c r="Q990" s="16"/>
      <c r="R990" s="16"/>
      <c r="S990" s="16"/>
      <c r="T990" s="16"/>
      <c r="U990" s="16"/>
    </row>
    <row r="991" spans="1:21" s="33" customFormat="1" ht="25.5">
      <c r="A991" s="11" t="s">
        <v>107</v>
      </c>
      <c r="B991" s="25" t="s">
        <v>62</v>
      </c>
      <c r="C991" s="26" t="s">
        <v>14</v>
      </c>
      <c r="D991" s="26" t="s">
        <v>2</v>
      </c>
      <c r="E991" s="123" t="s">
        <v>445</v>
      </c>
      <c r="F991" s="26" t="s">
        <v>115</v>
      </c>
      <c r="G991" s="119">
        <f>SUM(G992:G993)</f>
        <v>132960</v>
      </c>
      <c r="H991" s="119">
        <f t="shared" ref="H991:I991" si="692">SUM(H992:H993)</f>
        <v>132960</v>
      </c>
      <c r="I991" s="119">
        <f t="shared" si="692"/>
        <v>132960</v>
      </c>
      <c r="J991" s="16">
        <f>'БА в тыс. руб.'!G991*1000</f>
        <v>132960</v>
      </c>
      <c r="K991" s="169">
        <f t="shared" si="673"/>
        <v>0</v>
      </c>
      <c r="L991" s="16">
        <f>'БА в тыс. руб.'!H991*1000</f>
        <v>132960</v>
      </c>
      <c r="M991" s="169">
        <f t="shared" si="674"/>
        <v>0</v>
      </c>
      <c r="N991" s="16">
        <f>'БА в тыс. руб.'!I991*1000</f>
        <v>132960</v>
      </c>
      <c r="O991" s="169">
        <f t="shared" si="675"/>
        <v>0</v>
      </c>
      <c r="P991" s="16"/>
      <c r="Q991" s="16"/>
      <c r="R991" s="16"/>
      <c r="S991" s="16"/>
      <c r="T991" s="16"/>
      <c r="U991" s="16"/>
    </row>
    <row r="992" spans="1:21" s="33" customFormat="1" ht="25.5">
      <c r="A992" s="11" t="s">
        <v>937</v>
      </c>
      <c r="B992" s="25" t="s">
        <v>62</v>
      </c>
      <c r="C992" s="26" t="s">
        <v>14</v>
      </c>
      <c r="D992" s="26" t="s">
        <v>2</v>
      </c>
      <c r="E992" s="123" t="s">
        <v>445</v>
      </c>
      <c r="F992" s="26" t="s">
        <v>1059</v>
      </c>
      <c r="G992" s="27">
        <f t="shared" ref="G992:G993" si="693">J992</f>
        <v>102120</v>
      </c>
      <c r="H992" s="27">
        <f t="shared" ref="H992:H993" si="694">L992</f>
        <v>102120</v>
      </c>
      <c r="I992" s="27">
        <f t="shared" ref="I992:I993" si="695">N992</f>
        <v>102120</v>
      </c>
      <c r="J992" s="16">
        <f>'БА в тыс. руб.'!G992*1000</f>
        <v>102120</v>
      </c>
      <c r="K992" s="169">
        <f t="shared" si="673"/>
        <v>0</v>
      </c>
      <c r="L992" s="16">
        <f>'БА в тыс. руб.'!H992*1000</f>
        <v>102120</v>
      </c>
      <c r="M992" s="169">
        <f t="shared" si="674"/>
        <v>0</v>
      </c>
      <c r="N992" s="16">
        <f>'БА в тыс. руб.'!I992*1000</f>
        <v>102120</v>
      </c>
      <c r="O992" s="169">
        <f t="shared" si="675"/>
        <v>0</v>
      </c>
      <c r="P992" s="16"/>
      <c r="Q992" s="16"/>
      <c r="R992" s="16"/>
      <c r="S992" s="16"/>
      <c r="T992" s="16"/>
      <c r="U992" s="16"/>
    </row>
    <row r="993" spans="1:21" s="33" customFormat="1" ht="38.25">
      <c r="A993" s="11" t="s">
        <v>939</v>
      </c>
      <c r="B993" s="25" t="s">
        <v>62</v>
      </c>
      <c r="C993" s="26" t="s">
        <v>14</v>
      </c>
      <c r="D993" s="26" t="s">
        <v>2</v>
      </c>
      <c r="E993" s="123" t="s">
        <v>445</v>
      </c>
      <c r="F993" s="26" t="s">
        <v>1060</v>
      </c>
      <c r="G993" s="27">
        <f t="shared" si="693"/>
        <v>30840</v>
      </c>
      <c r="H993" s="27">
        <f t="shared" si="694"/>
        <v>30840</v>
      </c>
      <c r="I993" s="27">
        <f t="shared" si="695"/>
        <v>30840</v>
      </c>
      <c r="J993" s="16">
        <f>'БА в тыс. руб.'!G993*1000</f>
        <v>30840</v>
      </c>
      <c r="K993" s="169">
        <f t="shared" si="673"/>
        <v>0</v>
      </c>
      <c r="L993" s="16">
        <f>'БА в тыс. руб.'!H993*1000</f>
        <v>30840</v>
      </c>
      <c r="M993" s="169">
        <f t="shared" si="674"/>
        <v>0</v>
      </c>
      <c r="N993" s="16">
        <f>'БА в тыс. руб.'!I993*1000</f>
        <v>30840</v>
      </c>
      <c r="O993" s="169">
        <f t="shared" si="675"/>
        <v>0</v>
      </c>
      <c r="P993" s="16"/>
      <c r="Q993" s="16"/>
      <c r="R993" s="16"/>
      <c r="S993" s="16"/>
      <c r="T993" s="16"/>
      <c r="U993" s="16"/>
    </row>
    <row r="994" spans="1:21" s="33" customFormat="1" ht="25.5">
      <c r="A994" s="11" t="s">
        <v>108</v>
      </c>
      <c r="B994" s="25" t="s">
        <v>62</v>
      </c>
      <c r="C994" s="26" t="s">
        <v>14</v>
      </c>
      <c r="D994" s="26" t="s">
        <v>2</v>
      </c>
      <c r="E994" s="123" t="s">
        <v>445</v>
      </c>
      <c r="F994" s="26" t="s">
        <v>116</v>
      </c>
      <c r="G994" s="119">
        <f>G995</f>
        <v>703930</v>
      </c>
      <c r="H994" s="119">
        <f t="shared" ref="H994:I994" si="696">H995</f>
        <v>713070</v>
      </c>
      <c r="I994" s="119">
        <f t="shared" si="696"/>
        <v>713070</v>
      </c>
      <c r="J994" s="16">
        <f>'БА в тыс. руб.'!G994*1000</f>
        <v>703930</v>
      </c>
      <c r="K994" s="169">
        <f t="shared" si="673"/>
        <v>0</v>
      </c>
      <c r="L994" s="16">
        <f>'БА в тыс. руб.'!H994*1000</f>
        <v>713070</v>
      </c>
      <c r="M994" s="169">
        <f t="shared" si="674"/>
        <v>0</v>
      </c>
      <c r="N994" s="16">
        <f>'БА в тыс. руб.'!I994*1000</f>
        <v>713070</v>
      </c>
      <c r="O994" s="169">
        <f t="shared" si="675"/>
        <v>0</v>
      </c>
      <c r="P994" s="16"/>
      <c r="Q994" s="16"/>
      <c r="R994" s="16"/>
      <c r="S994" s="16"/>
      <c r="T994" s="16"/>
      <c r="U994" s="16"/>
    </row>
    <row r="995" spans="1:21" s="105" customFormat="1" ht="25.5">
      <c r="A995" s="12" t="s">
        <v>973</v>
      </c>
      <c r="B995" s="25" t="s">
        <v>62</v>
      </c>
      <c r="C995" s="26" t="s">
        <v>14</v>
      </c>
      <c r="D995" s="26" t="s">
        <v>2</v>
      </c>
      <c r="E995" s="123" t="s">
        <v>445</v>
      </c>
      <c r="F995" s="26" t="s">
        <v>1043</v>
      </c>
      <c r="G995" s="27">
        <f t="shared" ref="G995" si="697">J995</f>
        <v>703930</v>
      </c>
      <c r="H995" s="27">
        <f>L995</f>
        <v>713070</v>
      </c>
      <c r="I995" s="27">
        <f>N995</f>
        <v>713070</v>
      </c>
      <c r="J995" s="16">
        <f>'БА в тыс. руб.'!G995*1000</f>
        <v>703930</v>
      </c>
      <c r="K995" s="169">
        <f t="shared" si="673"/>
        <v>0</v>
      </c>
      <c r="L995" s="16">
        <f>'БА в тыс. руб.'!H995*1000</f>
        <v>713070</v>
      </c>
      <c r="M995" s="169">
        <f t="shared" si="674"/>
        <v>0</v>
      </c>
      <c r="N995" s="16">
        <f>'БА в тыс. руб.'!I995*1000</f>
        <v>713070</v>
      </c>
      <c r="O995" s="169">
        <f t="shared" si="675"/>
        <v>0</v>
      </c>
      <c r="P995" s="16"/>
      <c r="Q995" s="16"/>
      <c r="R995" s="16"/>
      <c r="S995" s="16"/>
      <c r="T995" s="16"/>
      <c r="U995" s="16"/>
    </row>
    <row r="996" spans="1:21" s="33" customFormat="1">
      <c r="A996" s="11" t="s">
        <v>97</v>
      </c>
      <c r="B996" s="25" t="s">
        <v>62</v>
      </c>
      <c r="C996" s="26" t="s">
        <v>14</v>
      </c>
      <c r="D996" s="26" t="s">
        <v>2</v>
      </c>
      <c r="E996" s="123" t="s">
        <v>445</v>
      </c>
      <c r="F996" s="26" t="s">
        <v>118</v>
      </c>
      <c r="G996" s="119">
        <f>G997</f>
        <v>10000</v>
      </c>
      <c r="H996" s="119">
        <f t="shared" ref="H996:I996" si="698">H997</f>
        <v>10000</v>
      </c>
      <c r="I996" s="119">
        <f t="shared" si="698"/>
        <v>10000</v>
      </c>
      <c r="J996" s="16">
        <f>'БА в тыс. руб.'!G996*1000</f>
        <v>10000</v>
      </c>
      <c r="K996" s="169">
        <f t="shared" si="673"/>
        <v>0</v>
      </c>
      <c r="L996" s="16">
        <f>'БА в тыс. руб.'!H996*1000</f>
        <v>10000</v>
      </c>
      <c r="M996" s="169">
        <f t="shared" si="674"/>
        <v>0</v>
      </c>
      <c r="N996" s="16">
        <f>'БА в тыс. руб.'!I996*1000</f>
        <v>10000</v>
      </c>
      <c r="O996" s="169">
        <f t="shared" si="675"/>
        <v>0</v>
      </c>
      <c r="P996" s="16"/>
      <c r="Q996" s="16"/>
      <c r="R996" s="16"/>
      <c r="S996" s="16"/>
      <c r="T996" s="16"/>
      <c r="U996" s="16"/>
    </row>
    <row r="997" spans="1:21" s="33" customFormat="1">
      <c r="A997" s="11" t="s">
        <v>1037</v>
      </c>
      <c r="B997" s="25" t="s">
        <v>62</v>
      </c>
      <c r="C997" s="26" t="s">
        <v>14</v>
      </c>
      <c r="D997" s="26" t="s">
        <v>2</v>
      </c>
      <c r="E997" s="123" t="s">
        <v>445</v>
      </c>
      <c r="F997" s="26" t="s">
        <v>1062</v>
      </c>
      <c r="G997" s="27">
        <f t="shared" ref="G997" si="699">J997</f>
        <v>10000</v>
      </c>
      <c r="H997" s="27">
        <f>L997</f>
        <v>10000</v>
      </c>
      <c r="I997" s="27">
        <f>N997</f>
        <v>10000</v>
      </c>
      <c r="J997" s="16">
        <f>'БА в тыс. руб.'!G997*1000</f>
        <v>10000</v>
      </c>
      <c r="K997" s="169">
        <f t="shared" si="673"/>
        <v>0</v>
      </c>
      <c r="L997" s="16">
        <f>'БА в тыс. руб.'!H997*1000</f>
        <v>10000</v>
      </c>
      <c r="M997" s="169">
        <f t="shared" si="674"/>
        <v>0</v>
      </c>
      <c r="N997" s="16">
        <f>'БА в тыс. руб.'!I997*1000</f>
        <v>10000</v>
      </c>
      <c r="O997" s="169">
        <f t="shared" si="675"/>
        <v>0</v>
      </c>
      <c r="P997" s="16"/>
      <c r="Q997" s="16"/>
      <c r="R997" s="16"/>
      <c r="S997" s="16"/>
      <c r="T997" s="16"/>
      <c r="U997" s="16"/>
    </row>
    <row r="998" spans="1:21" s="33" customFormat="1" ht="25.5">
      <c r="A998" s="122" t="s">
        <v>126</v>
      </c>
      <c r="B998" s="25" t="s">
        <v>62</v>
      </c>
      <c r="C998" s="26" t="s">
        <v>14</v>
      </c>
      <c r="D998" s="26" t="s">
        <v>2</v>
      </c>
      <c r="E998" s="123" t="s">
        <v>446</v>
      </c>
      <c r="F998" s="26" t="s">
        <v>58</v>
      </c>
      <c r="G998" s="121">
        <f>G999</f>
        <v>6126950</v>
      </c>
      <c r="H998" s="121">
        <f>H999</f>
        <v>6126950</v>
      </c>
      <c r="I998" s="121">
        <f>I999</f>
        <v>6126950</v>
      </c>
      <c r="J998" s="16">
        <f>'БА в тыс. руб.'!G998*1000</f>
        <v>6126950.0000000009</v>
      </c>
      <c r="K998" s="169">
        <f t="shared" si="673"/>
        <v>0</v>
      </c>
      <c r="L998" s="16">
        <f>'БА в тыс. руб.'!H998*1000</f>
        <v>6126950.0000000009</v>
      </c>
      <c r="M998" s="169">
        <f t="shared" si="674"/>
        <v>0</v>
      </c>
      <c r="N998" s="16">
        <f>'БА в тыс. руб.'!I998*1000</f>
        <v>6126950.0000000009</v>
      </c>
      <c r="O998" s="169">
        <f t="shared" si="675"/>
        <v>0</v>
      </c>
      <c r="P998" s="16"/>
      <c r="Q998" s="16"/>
      <c r="R998" s="16"/>
      <c r="S998" s="16"/>
      <c r="T998" s="16"/>
      <c r="U998" s="16"/>
    </row>
    <row r="999" spans="1:21" s="33" customFormat="1" ht="25.5">
      <c r="A999" s="11" t="s">
        <v>107</v>
      </c>
      <c r="B999" s="25" t="s">
        <v>62</v>
      </c>
      <c r="C999" s="26" t="s">
        <v>14</v>
      </c>
      <c r="D999" s="26" t="s">
        <v>2</v>
      </c>
      <c r="E999" s="123" t="s">
        <v>446</v>
      </c>
      <c r="F999" s="26" t="s">
        <v>115</v>
      </c>
      <c r="G999" s="119">
        <f>SUM(G1000:G1001)</f>
        <v>6126950</v>
      </c>
      <c r="H999" s="119">
        <f t="shared" ref="H999:I999" si="700">SUM(H1000:H1001)</f>
        <v>6126950</v>
      </c>
      <c r="I999" s="119">
        <f t="shared" si="700"/>
        <v>6126950</v>
      </c>
      <c r="J999" s="16">
        <f>'БА в тыс. руб.'!G999*1000</f>
        <v>6126950.0000000009</v>
      </c>
      <c r="K999" s="169">
        <f t="shared" si="673"/>
        <v>0</v>
      </c>
      <c r="L999" s="16">
        <f>'БА в тыс. руб.'!H999*1000</f>
        <v>6126950.0000000009</v>
      </c>
      <c r="M999" s="169">
        <f t="shared" si="674"/>
        <v>0</v>
      </c>
      <c r="N999" s="16">
        <f>'БА в тыс. руб.'!I999*1000</f>
        <v>6126950.0000000009</v>
      </c>
      <c r="O999" s="169">
        <f t="shared" si="675"/>
        <v>0</v>
      </c>
      <c r="P999" s="16"/>
      <c r="Q999" s="16"/>
      <c r="R999" s="16"/>
      <c r="S999" s="16"/>
      <c r="T999" s="16"/>
      <c r="U999" s="16"/>
    </row>
    <row r="1000" spans="1:21" s="33" customFormat="1">
      <c r="A1000" s="11" t="s">
        <v>936</v>
      </c>
      <c r="B1000" s="25" t="s">
        <v>62</v>
      </c>
      <c r="C1000" s="26" t="s">
        <v>14</v>
      </c>
      <c r="D1000" s="26" t="s">
        <v>2</v>
      </c>
      <c r="E1000" s="123" t="s">
        <v>446</v>
      </c>
      <c r="F1000" s="26" t="s">
        <v>1063</v>
      </c>
      <c r="G1000" s="27">
        <f t="shared" ref="G1000:G1001" si="701">J1000</f>
        <v>4705800</v>
      </c>
      <c r="H1000" s="27">
        <f t="shared" ref="H1000:H1001" si="702">L1000</f>
        <v>4705800</v>
      </c>
      <c r="I1000" s="27">
        <f t="shared" ref="I1000:I1001" si="703">N1000</f>
        <v>4705800</v>
      </c>
      <c r="J1000" s="16">
        <f>'БА в тыс. руб.'!G1000*1000</f>
        <v>4705800</v>
      </c>
      <c r="K1000" s="169">
        <f t="shared" si="673"/>
        <v>0</v>
      </c>
      <c r="L1000" s="16">
        <f>'БА в тыс. руб.'!H1000*1000</f>
        <v>4705800</v>
      </c>
      <c r="M1000" s="169">
        <f t="shared" si="674"/>
        <v>0</v>
      </c>
      <c r="N1000" s="16">
        <f>'БА в тыс. руб.'!I1000*1000</f>
        <v>4705800</v>
      </c>
      <c r="O1000" s="169">
        <f t="shared" si="675"/>
        <v>0</v>
      </c>
      <c r="P1000" s="16"/>
      <c r="Q1000" s="16"/>
      <c r="R1000" s="16"/>
      <c r="S1000" s="16"/>
      <c r="T1000" s="16"/>
      <c r="U1000" s="16"/>
    </row>
    <row r="1001" spans="1:21" s="33" customFormat="1" ht="38.25">
      <c r="A1001" s="11" t="s">
        <v>939</v>
      </c>
      <c r="B1001" s="25" t="s">
        <v>62</v>
      </c>
      <c r="C1001" s="26" t="s">
        <v>14</v>
      </c>
      <c r="D1001" s="26" t="s">
        <v>2</v>
      </c>
      <c r="E1001" s="123" t="s">
        <v>446</v>
      </c>
      <c r="F1001" s="26" t="s">
        <v>1060</v>
      </c>
      <c r="G1001" s="27">
        <f t="shared" si="701"/>
        <v>1421150</v>
      </c>
      <c r="H1001" s="27">
        <f t="shared" si="702"/>
        <v>1421150</v>
      </c>
      <c r="I1001" s="27">
        <f t="shared" si="703"/>
        <v>1421150</v>
      </c>
      <c r="J1001" s="16">
        <f>'БА в тыс. руб.'!G1001*1000</f>
        <v>1421150</v>
      </c>
      <c r="K1001" s="169">
        <f t="shared" si="673"/>
        <v>0</v>
      </c>
      <c r="L1001" s="16">
        <f>'БА в тыс. руб.'!H1001*1000</f>
        <v>1421150</v>
      </c>
      <c r="M1001" s="169">
        <f t="shared" si="674"/>
        <v>0</v>
      </c>
      <c r="N1001" s="16">
        <f>'БА в тыс. руб.'!I1001*1000</f>
        <v>1421150</v>
      </c>
      <c r="O1001" s="169">
        <f t="shared" si="675"/>
        <v>0</v>
      </c>
      <c r="P1001" s="16"/>
      <c r="Q1001" s="16"/>
      <c r="R1001" s="16"/>
      <c r="S1001" s="16"/>
      <c r="T1001" s="16"/>
      <c r="U1001" s="16"/>
    </row>
    <row r="1002" spans="1:21" s="33" customFormat="1" ht="51">
      <c r="A1002" s="122" t="s">
        <v>599</v>
      </c>
      <c r="B1002" s="25" t="s">
        <v>62</v>
      </c>
      <c r="C1002" s="26" t="s">
        <v>14</v>
      </c>
      <c r="D1002" s="26" t="s">
        <v>2</v>
      </c>
      <c r="E1002" s="123" t="s">
        <v>447</v>
      </c>
      <c r="F1002" s="26" t="s">
        <v>58</v>
      </c>
      <c r="G1002" s="121">
        <f>G1003</f>
        <v>1452290</v>
      </c>
      <c r="H1002" s="121">
        <f>H1003</f>
        <v>1452290</v>
      </c>
      <c r="I1002" s="121">
        <f>I1003</f>
        <v>1452290</v>
      </c>
      <c r="J1002" s="16">
        <f>'БА в тыс. руб.'!G1002*1000</f>
        <v>1452290</v>
      </c>
      <c r="K1002" s="169">
        <f t="shared" si="673"/>
        <v>0</v>
      </c>
      <c r="L1002" s="16">
        <f>'БА в тыс. руб.'!H1002*1000</f>
        <v>1452290</v>
      </c>
      <c r="M1002" s="169">
        <f t="shared" si="674"/>
        <v>0</v>
      </c>
      <c r="N1002" s="16">
        <f>'БА в тыс. руб.'!I1002*1000</f>
        <v>1452290</v>
      </c>
      <c r="O1002" s="169">
        <f t="shared" si="675"/>
        <v>0</v>
      </c>
      <c r="P1002" s="16"/>
      <c r="Q1002" s="16"/>
      <c r="R1002" s="16"/>
      <c r="S1002" s="16"/>
      <c r="T1002" s="16"/>
      <c r="U1002" s="16"/>
    </row>
    <row r="1003" spans="1:21" s="33" customFormat="1" ht="25.5">
      <c r="A1003" s="11" t="s">
        <v>107</v>
      </c>
      <c r="B1003" s="25" t="s">
        <v>62</v>
      </c>
      <c r="C1003" s="26" t="s">
        <v>14</v>
      </c>
      <c r="D1003" s="26" t="s">
        <v>2</v>
      </c>
      <c r="E1003" s="123" t="s">
        <v>447</v>
      </c>
      <c r="F1003" s="26" t="s">
        <v>115</v>
      </c>
      <c r="G1003" s="119">
        <f>SUM(G1004:G1006)</f>
        <v>1452290</v>
      </c>
      <c r="H1003" s="119">
        <f t="shared" ref="H1003:I1003" si="704">SUM(H1004:H1006)</f>
        <v>1452290</v>
      </c>
      <c r="I1003" s="119">
        <f t="shared" si="704"/>
        <v>1452290</v>
      </c>
      <c r="J1003" s="16">
        <f>'БА в тыс. руб.'!G1003*1000</f>
        <v>1452290</v>
      </c>
      <c r="K1003" s="169">
        <f t="shared" si="673"/>
        <v>0</v>
      </c>
      <c r="L1003" s="16">
        <f>'БА в тыс. руб.'!H1003*1000</f>
        <v>1452290</v>
      </c>
      <c r="M1003" s="169">
        <f t="shared" si="674"/>
        <v>0</v>
      </c>
      <c r="N1003" s="16">
        <f>'БА в тыс. руб.'!I1003*1000</f>
        <v>1452290</v>
      </c>
      <c r="O1003" s="169">
        <f t="shared" si="675"/>
        <v>0</v>
      </c>
      <c r="P1003" s="16"/>
      <c r="Q1003" s="16"/>
      <c r="R1003" s="16"/>
      <c r="S1003" s="16"/>
      <c r="T1003" s="16"/>
      <c r="U1003" s="16"/>
    </row>
    <row r="1004" spans="1:21" s="33" customFormat="1">
      <c r="A1004" s="11" t="s">
        <v>936</v>
      </c>
      <c r="B1004" s="25" t="s">
        <v>62</v>
      </c>
      <c r="C1004" s="26" t="s">
        <v>14</v>
      </c>
      <c r="D1004" s="26" t="s">
        <v>2</v>
      </c>
      <c r="E1004" s="123" t="s">
        <v>447</v>
      </c>
      <c r="F1004" s="26" t="s">
        <v>1063</v>
      </c>
      <c r="G1004" s="27">
        <f t="shared" ref="G1004:G1006" si="705">J1004</f>
        <v>1077130</v>
      </c>
      <c r="H1004" s="27">
        <f t="shared" ref="H1004:H1006" si="706">L1004</f>
        <v>1077130</v>
      </c>
      <c r="I1004" s="27">
        <f t="shared" ref="I1004:I1006" si="707">N1004</f>
        <v>1077130</v>
      </c>
      <c r="J1004" s="16">
        <f>'БА в тыс. руб.'!G1004*1000</f>
        <v>1077130</v>
      </c>
      <c r="K1004" s="169">
        <f t="shared" si="673"/>
        <v>0</v>
      </c>
      <c r="L1004" s="16">
        <f>'БА в тыс. руб.'!H1004*1000</f>
        <v>1077130</v>
      </c>
      <c r="M1004" s="169">
        <f t="shared" si="674"/>
        <v>0</v>
      </c>
      <c r="N1004" s="16">
        <f>'БА в тыс. руб.'!I1004*1000</f>
        <v>1077130</v>
      </c>
      <c r="O1004" s="169">
        <f t="shared" si="675"/>
        <v>0</v>
      </c>
      <c r="P1004" s="16"/>
      <c r="Q1004" s="16"/>
      <c r="R1004" s="16"/>
      <c r="S1004" s="16"/>
      <c r="T1004" s="16"/>
      <c r="U1004" s="16"/>
    </row>
    <row r="1005" spans="1:21" s="33" customFormat="1" ht="25.5">
      <c r="A1005" s="11" t="s">
        <v>937</v>
      </c>
      <c r="B1005" s="25" t="s">
        <v>62</v>
      </c>
      <c r="C1005" s="26" t="s">
        <v>14</v>
      </c>
      <c r="D1005" s="26" t="s">
        <v>2</v>
      </c>
      <c r="E1005" s="123" t="s">
        <v>447</v>
      </c>
      <c r="F1005" s="26" t="s">
        <v>1059</v>
      </c>
      <c r="G1005" s="27">
        <f t="shared" si="705"/>
        <v>38300</v>
      </c>
      <c r="H1005" s="27">
        <f t="shared" si="706"/>
        <v>38300</v>
      </c>
      <c r="I1005" s="27">
        <f t="shared" si="707"/>
        <v>38300</v>
      </c>
      <c r="J1005" s="16">
        <f>'БА в тыс. руб.'!G1005*1000</f>
        <v>38300</v>
      </c>
      <c r="K1005" s="169"/>
      <c r="L1005" s="16">
        <f>'БА в тыс. руб.'!H1005*1000</f>
        <v>38300</v>
      </c>
      <c r="M1005" s="169"/>
      <c r="N1005" s="16">
        <f>'БА в тыс. руб.'!I1005*1000</f>
        <v>38300</v>
      </c>
      <c r="O1005" s="169"/>
      <c r="P1005" s="16"/>
      <c r="Q1005" s="16"/>
      <c r="R1005" s="16"/>
      <c r="S1005" s="16"/>
      <c r="T1005" s="16"/>
      <c r="U1005" s="16"/>
    </row>
    <row r="1006" spans="1:21" s="33" customFormat="1" ht="38.25">
      <c r="A1006" s="11" t="s">
        <v>939</v>
      </c>
      <c r="B1006" s="25" t="s">
        <v>62</v>
      </c>
      <c r="C1006" s="26" t="s">
        <v>14</v>
      </c>
      <c r="D1006" s="26" t="s">
        <v>2</v>
      </c>
      <c r="E1006" s="123" t="s">
        <v>447</v>
      </c>
      <c r="F1006" s="26" t="s">
        <v>1060</v>
      </c>
      <c r="G1006" s="27">
        <f t="shared" si="705"/>
        <v>336860</v>
      </c>
      <c r="H1006" s="27">
        <f t="shared" si="706"/>
        <v>336860</v>
      </c>
      <c r="I1006" s="27">
        <f t="shared" si="707"/>
        <v>336860</v>
      </c>
      <c r="J1006" s="16">
        <f>'БА в тыс. руб.'!G1006*1000</f>
        <v>336860</v>
      </c>
      <c r="K1006" s="169">
        <f t="shared" si="673"/>
        <v>0</v>
      </c>
      <c r="L1006" s="16">
        <f>'БА в тыс. руб.'!H1006*1000</f>
        <v>336860</v>
      </c>
      <c r="M1006" s="169">
        <f t="shared" si="674"/>
        <v>0</v>
      </c>
      <c r="N1006" s="16">
        <f>'БА в тыс. руб.'!I1006*1000</f>
        <v>336860</v>
      </c>
      <c r="O1006" s="169">
        <f t="shared" si="675"/>
        <v>0</v>
      </c>
      <c r="P1006" s="16"/>
      <c r="Q1006" s="16"/>
      <c r="R1006" s="16"/>
      <c r="S1006" s="16"/>
      <c r="T1006" s="16"/>
      <c r="U1006" s="16"/>
    </row>
    <row r="1007" spans="1:21" s="33" customFormat="1" ht="38.25">
      <c r="A1007" s="122" t="s">
        <v>600</v>
      </c>
      <c r="B1007" s="25" t="s">
        <v>62</v>
      </c>
      <c r="C1007" s="26" t="s">
        <v>14</v>
      </c>
      <c r="D1007" s="26" t="s">
        <v>2</v>
      </c>
      <c r="E1007" s="123" t="s">
        <v>448</v>
      </c>
      <c r="F1007" s="26" t="s">
        <v>58</v>
      </c>
      <c r="G1007" s="121">
        <f>G1008+G1012+G1014</f>
        <v>53399730</v>
      </c>
      <c r="H1007" s="121">
        <f>H1008+H1012+H1014</f>
        <v>53419990</v>
      </c>
      <c r="I1007" s="121">
        <f>I1008+I1012+I1014</f>
        <v>53419990</v>
      </c>
      <c r="J1007" s="16">
        <f>'БА в тыс. руб.'!G1007*1000</f>
        <v>53399730</v>
      </c>
      <c r="K1007" s="169">
        <f t="shared" si="673"/>
        <v>0</v>
      </c>
      <c r="L1007" s="16">
        <f>'БА в тыс. руб.'!H1007*1000</f>
        <v>53419990.000000007</v>
      </c>
      <c r="M1007" s="169">
        <f t="shared" si="674"/>
        <v>0</v>
      </c>
      <c r="N1007" s="16">
        <f>'БА в тыс. руб.'!I1007*1000</f>
        <v>53419990.000000007</v>
      </c>
      <c r="O1007" s="169">
        <f t="shared" si="675"/>
        <v>0</v>
      </c>
      <c r="P1007" s="16"/>
      <c r="Q1007" s="16"/>
      <c r="R1007" s="16"/>
      <c r="S1007" s="16"/>
      <c r="T1007" s="16"/>
      <c r="U1007" s="16"/>
    </row>
    <row r="1008" spans="1:21" s="33" customFormat="1" ht="25.5">
      <c r="A1008" s="11" t="s">
        <v>107</v>
      </c>
      <c r="B1008" s="25" t="s">
        <v>62</v>
      </c>
      <c r="C1008" s="26" t="s">
        <v>14</v>
      </c>
      <c r="D1008" s="26" t="s">
        <v>2</v>
      </c>
      <c r="E1008" s="123" t="s">
        <v>448</v>
      </c>
      <c r="F1008" s="26" t="s">
        <v>115</v>
      </c>
      <c r="G1008" s="119">
        <f>SUM(G1009:G1011)</f>
        <v>51830190</v>
      </c>
      <c r="H1008" s="119">
        <f>SUM(H1009:H1011)</f>
        <v>51830190</v>
      </c>
      <c r="I1008" s="119">
        <f>SUM(I1009:I1011)</f>
        <v>51830190</v>
      </c>
      <c r="J1008" s="16">
        <f>'БА в тыс. руб.'!G1008*1000</f>
        <v>51830190</v>
      </c>
      <c r="K1008" s="169">
        <f t="shared" si="673"/>
        <v>0</v>
      </c>
      <c r="L1008" s="16">
        <f>'БА в тыс. руб.'!H1008*1000</f>
        <v>51830190</v>
      </c>
      <c r="M1008" s="169">
        <f t="shared" si="674"/>
        <v>0</v>
      </c>
      <c r="N1008" s="16">
        <f>'БА в тыс. руб.'!I1008*1000</f>
        <v>51830190</v>
      </c>
      <c r="O1008" s="169">
        <f t="shared" si="675"/>
        <v>0</v>
      </c>
      <c r="P1008" s="16"/>
      <c r="Q1008" s="16"/>
      <c r="R1008" s="16"/>
      <c r="S1008" s="16"/>
      <c r="T1008" s="16"/>
      <c r="U1008" s="16"/>
    </row>
    <row r="1009" spans="1:21" s="33" customFormat="1">
      <c r="A1009" s="11" t="s">
        <v>936</v>
      </c>
      <c r="B1009" s="25" t="s">
        <v>62</v>
      </c>
      <c r="C1009" s="26" t="s">
        <v>14</v>
      </c>
      <c r="D1009" s="26" t="s">
        <v>2</v>
      </c>
      <c r="E1009" s="123" t="s">
        <v>448</v>
      </c>
      <c r="F1009" s="26" t="s">
        <v>1063</v>
      </c>
      <c r="G1009" s="27">
        <f t="shared" ref="G1009:G1011" si="708">J1009</f>
        <v>38700000</v>
      </c>
      <c r="H1009" s="27">
        <f t="shared" ref="H1009:H1011" si="709">L1009</f>
        <v>38700000</v>
      </c>
      <c r="I1009" s="27">
        <f t="shared" ref="I1009:I1011" si="710">N1009</f>
        <v>38700000</v>
      </c>
      <c r="J1009" s="16">
        <f>'БА в тыс. руб.'!G1009*1000</f>
        <v>38700000</v>
      </c>
      <c r="K1009" s="169">
        <f t="shared" si="673"/>
        <v>0</v>
      </c>
      <c r="L1009" s="16">
        <f>'БА в тыс. руб.'!H1009*1000</f>
        <v>38700000</v>
      </c>
      <c r="M1009" s="169">
        <f t="shared" si="674"/>
        <v>0</v>
      </c>
      <c r="N1009" s="16">
        <f>'БА в тыс. руб.'!I1009*1000</f>
        <v>38700000</v>
      </c>
      <c r="O1009" s="169">
        <f t="shared" si="675"/>
        <v>0</v>
      </c>
      <c r="P1009" s="16"/>
      <c r="Q1009" s="16"/>
      <c r="R1009" s="16"/>
      <c r="S1009" s="16"/>
      <c r="T1009" s="16"/>
      <c r="U1009" s="16"/>
    </row>
    <row r="1010" spans="1:21" s="33" customFormat="1" ht="25.5">
      <c r="A1010" s="11" t="s">
        <v>937</v>
      </c>
      <c r="B1010" s="25" t="s">
        <v>62</v>
      </c>
      <c r="C1010" s="26" t="s">
        <v>14</v>
      </c>
      <c r="D1010" s="26" t="s">
        <v>2</v>
      </c>
      <c r="E1010" s="123" t="s">
        <v>448</v>
      </c>
      <c r="F1010" s="26" t="s">
        <v>1059</v>
      </c>
      <c r="G1010" s="27">
        <f t="shared" si="708"/>
        <v>1404150</v>
      </c>
      <c r="H1010" s="27">
        <f t="shared" si="709"/>
        <v>1404150</v>
      </c>
      <c r="I1010" s="27">
        <f t="shared" si="710"/>
        <v>1404150</v>
      </c>
      <c r="J1010" s="16">
        <f>'БА в тыс. руб.'!G1010*1000</f>
        <v>1404150</v>
      </c>
      <c r="K1010" s="169">
        <f t="shared" si="673"/>
        <v>0</v>
      </c>
      <c r="L1010" s="16">
        <f>'БА в тыс. руб.'!H1010*1000</f>
        <v>1404150</v>
      </c>
      <c r="M1010" s="169">
        <f t="shared" si="674"/>
        <v>0</v>
      </c>
      <c r="N1010" s="16">
        <f>'БА в тыс. руб.'!I1010*1000</f>
        <v>1404150</v>
      </c>
      <c r="O1010" s="169">
        <f t="shared" si="675"/>
        <v>0</v>
      </c>
      <c r="P1010" s="16"/>
      <c r="Q1010" s="16"/>
      <c r="R1010" s="16"/>
      <c r="S1010" s="16"/>
      <c r="T1010" s="16"/>
      <c r="U1010" s="16"/>
    </row>
    <row r="1011" spans="1:21" s="33" customFormat="1" ht="38.25">
      <c r="A1011" s="11" t="s">
        <v>939</v>
      </c>
      <c r="B1011" s="25" t="s">
        <v>62</v>
      </c>
      <c r="C1011" s="26" t="s">
        <v>14</v>
      </c>
      <c r="D1011" s="26" t="s">
        <v>2</v>
      </c>
      <c r="E1011" s="123" t="s">
        <v>448</v>
      </c>
      <c r="F1011" s="26" t="s">
        <v>1060</v>
      </c>
      <c r="G1011" s="27">
        <f t="shared" si="708"/>
        <v>11726040</v>
      </c>
      <c r="H1011" s="27">
        <f t="shared" si="709"/>
        <v>11726040</v>
      </c>
      <c r="I1011" s="27">
        <f t="shared" si="710"/>
        <v>11726040</v>
      </c>
      <c r="J1011" s="16">
        <f>'БА в тыс. руб.'!G1011*1000</f>
        <v>11726040</v>
      </c>
      <c r="K1011" s="169"/>
      <c r="L1011" s="16">
        <f>'БА в тыс. руб.'!H1011*1000</f>
        <v>11726040</v>
      </c>
      <c r="M1011" s="169"/>
      <c r="N1011" s="16">
        <f>'БА в тыс. руб.'!I1011*1000</f>
        <v>11726040</v>
      </c>
      <c r="O1011" s="169"/>
      <c r="P1011" s="16"/>
      <c r="Q1011" s="16"/>
      <c r="R1011" s="16"/>
      <c r="S1011" s="16"/>
      <c r="T1011" s="16"/>
      <c r="U1011" s="16"/>
    </row>
    <row r="1012" spans="1:21" s="33" customFormat="1" ht="25.5">
      <c r="A1012" s="11" t="s">
        <v>108</v>
      </c>
      <c r="B1012" s="25" t="s">
        <v>62</v>
      </c>
      <c r="C1012" s="26" t="s">
        <v>14</v>
      </c>
      <c r="D1012" s="26" t="s">
        <v>2</v>
      </c>
      <c r="E1012" s="123" t="s">
        <v>448</v>
      </c>
      <c r="F1012" s="26" t="s">
        <v>116</v>
      </c>
      <c r="G1012" s="119">
        <f>G1013</f>
        <v>1459540</v>
      </c>
      <c r="H1012" s="119">
        <f t="shared" ref="H1012:I1012" si="711">H1013</f>
        <v>1479800</v>
      </c>
      <c r="I1012" s="119">
        <f t="shared" si="711"/>
        <v>1479800</v>
      </c>
      <c r="J1012" s="16">
        <f>'БА в тыс. руб.'!G1012*1000</f>
        <v>1459540</v>
      </c>
      <c r="K1012" s="169">
        <f t="shared" si="673"/>
        <v>0</v>
      </c>
      <c r="L1012" s="16">
        <f>'БА в тыс. руб.'!H1012*1000</f>
        <v>1479800</v>
      </c>
      <c r="M1012" s="169">
        <f t="shared" si="674"/>
        <v>0</v>
      </c>
      <c r="N1012" s="16">
        <f>'БА в тыс. руб.'!I1012*1000</f>
        <v>1479800</v>
      </c>
      <c r="O1012" s="169">
        <f t="shared" si="675"/>
        <v>0</v>
      </c>
      <c r="P1012" s="16"/>
      <c r="Q1012" s="16"/>
      <c r="R1012" s="16"/>
      <c r="S1012" s="16"/>
      <c r="T1012" s="16"/>
      <c r="U1012" s="16"/>
    </row>
    <row r="1013" spans="1:21" s="105" customFormat="1" ht="25.5">
      <c r="A1013" s="12" t="s">
        <v>973</v>
      </c>
      <c r="B1013" s="25" t="s">
        <v>62</v>
      </c>
      <c r="C1013" s="26" t="s">
        <v>14</v>
      </c>
      <c r="D1013" s="26" t="s">
        <v>2</v>
      </c>
      <c r="E1013" s="123" t="s">
        <v>448</v>
      </c>
      <c r="F1013" s="26" t="s">
        <v>1043</v>
      </c>
      <c r="G1013" s="27">
        <f t="shared" ref="G1013" si="712">J1013</f>
        <v>1459540</v>
      </c>
      <c r="H1013" s="27">
        <f>L1013</f>
        <v>1479800</v>
      </c>
      <c r="I1013" s="27">
        <f>N1013</f>
        <v>1479800</v>
      </c>
      <c r="J1013" s="16">
        <f>'БА в тыс. руб.'!G1013*1000</f>
        <v>1459540</v>
      </c>
      <c r="K1013" s="169">
        <f t="shared" si="673"/>
        <v>0</v>
      </c>
      <c r="L1013" s="16">
        <f>'БА в тыс. руб.'!H1013*1000</f>
        <v>1479800</v>
      </c>
      <c r="M1013" s="169">
        <f t="shared" si="674"/>
        <v>0</v>
      </c>
      <c r="N1013" s="16">
        <f>'БА в тыс. руб.'!I1013*1000</f>
        <v>1479800</v>
      </c>
      <c r="O1013" s="169">
        <f t="shared" si="675"/>
        <v>0</v>
      </c>
      <c r="P1013" s="16"/>
      <c r="Q1013" s="16"/>
      <c r="R1013" s="16"/>
      <c r="S1013" s="16"/>
      <c r="T1013" s="16"/>
      <c r="U1013" s="16"/>
    </row>
    <row r="1014" spans="1:21" s="33" customFormat="1">
      <c r="A1014" s="11" t="s">
        <v>97</v>
      </c>
      <c r="B1014" s="25" t="s">
        <v>62</v>
      </c>
      <c r="C1014" s="26" t="s">
        <v>14</v>
      </c>
      <c r="D1014" s="26" t="s">
        <v>2</v>
      </c>
      <c r="E1014" s="123" t="s">
        <v>448</v>
      </c>
      <c r="F1014" s="26" t="s">
        <v>118</v>
      </c>
      <c r="G1014" s="119">
        <f>SUM(G1015:G1016)</f>
        <v>110000</v>
      </c>
      <c r="H1014" s="119">
        <f t="shared" ref="H1014:I1014" si="713">SUM(H1015:H1016)</f>
        <v>110000</v>
      </c>
      <c r="I1014" s="119">
        <f t="shared" si="713"/>
        <v>110000</v>
      </c>
      <c r="J1014" s="16">
        <f>'БА в тыс. руб.'!G1014*1000</f>
        <v>110000</v>
      </c>
      <c r="K1014" s="169">
        <f t="shared" si="673"/>
        <v>0</v>
      </c>
      <c r="L1014" s="16">
        <f>'БА в тыс. руб.'!H1014*1000</f>
        <v>110000</v>
      </c>
      <c r="M1014" s="169">
        <f t="shared" si="674"/>
        <v>0</v>
      </c>
      <c r="N1014" s="16">
        <f>'БА в тыс. руб.'!I1014*1000</f>
        <v>110000</v>
      </c>
      <c r="O1014" s="169">
        <f t="shared" si="675"/>
        <v>0</v>
      </c>
      <c r="P1014" s="16"/>
      <c r="Q1014" s="16"/>
      <c r="R1014" s="16"/>
      <c r="S1014" s="16"/>
      <c r="T1014" s="16"/>
      <c r="U1014" s="16"/>
    </row>
    <row r="1015" spans="1:21" s="33" customFormat="1">
      <c r="A1015" s="11" t="s">
        <v>1036</v>
      </c>
      <c r="B1015" s="25" t="s">
        <v>62</v>
      </c>
      <c r="C1015" s="26" t="s">
        <v>14</v>
      </c>
      <c r="D1015" s="26" t="s">
        <v>2</v>
      </c>
      <c r="E1015" s="123" t="s">
        <v>448</v>
      </c>
      <c r="F1015" s="26" t="s">
        <v>1061</v>
      </c>
      <c r="G1015" s="27">
        <f t="shared" ref="G1015:G1016" si="714">J1015</f>
        <v>100000</v>
      </c>
      <c r="H1015" s="27">
        <f t="shared" ref="H1015:H1016" si="715">L1015</f>
        <v>100000</v>
      </c>
      <c r="I1015" s="27">
        <f t="shared" ref="I1015:I1016" si="716">N1015</f>
        <v>100000</v>
      </c>
      <c r="J1015" s="16">
        <f>'БА в тыс. руб.'!G1015*1000</f>
        <v>100000</v>
      </c>
      <c r="K1015" s="169">
        <f t="shared" si="673"/>
        <v>0</v>
      </c>
      <c r="L1015" s="16">
        <f>'БА в тыс. руб.'!H1015*1000</f>
        <v>100000</v>
      </c>
      <c r="M1015" s="169">
        <f t="shared" si="674"/>
        <v>0</v>
      </c>
      <c r="N1015" s="16">
        <f>'БА в тыс. руб.'!I1015*1000</f>
        <v>100000</v>
      </c>
      <c r="O1015" s="169">
        <f t="shared" si="675"/>
        <v>0</v>
      </c>
      <c r="P1015" s="16"/>
      <c r="Q1015" s="16"/>
      <c r="R1015" s="16"/>
      <c r="S1015" s="16"/>
      <c r="T1015" s="16"/>
      <c r="U1015" s="16"/>
    </row>
    <row r="1016" spans="1:21" s="33" customFormat="1">
      <c r="A1016" s="11" t="s">
        <v>1037</v>
      </c>
      <c r="B1016" s="25" t="s">
        <v>62</v>
      </c>
      <c r="C1016" s="26" t="s">
        <v>14</v>
      </c>
      <c r="D1016" s="26" t="s">
        <v>2</v>
      </c>
      <c r="E1016" s="123" t="s">
        <v>448</v>
      </c>
      <c r="F1016" s="26" t="s">
        <v>1062</v>
      </c>
      <c r="G1016" s="27">
        <f t="shared" si="714"/>
        <v>10000</v>
      </c>
      <c r="H1016" s="27">
        <f t="shared" si="715"/>
        <v>10000</v>
      </c>
      <c r="I1016" s="27">
        <f t="shared" si="716"/>
        <v>10000</v>
      </c>
      <c r="J1016" s="16">
        <f>'БА в тыс. руб.'!G1016*1000</f>
        <v>10000</v>
      </c>
      <c r="K1016" s="169">
        <f t="shared" si="673"/>
        <v>0</v>
      </c>
      <c r="L1016" s="16">
        <f>'БА в тыс. руб.'!H1016*1000</f>
        <v>10000</v>
      </c>
      <c r="M1016" s="169">
        <f t="shared" si="674"/>
        <v>0</v>
      </c>
      <c r="N1016" s="16">
        <f>'БА в тыс. руб.'!I1016*1000</f>
        <v>10000</v>
      </c>
      <c r="O1016" s="169">
        <f t="shared" si="675"/>
        <v>0</v>
      </c>
      <c r="P1016" s="16"/>
      <c r="Q1016" s="16"/>
      <c r="R1016" s="16"/>
      <c r="S1016" s="16"/>
      <c r="T1016" s="16"/>
      <c r="U1016" s="16"/>
    </row>
    <row r="1017" spans="1:21" s="104" customFormat="1">
      <c r="A1017" s="79"/>
      <c r="B1017" s="92"/>
      <c r="C1017" s="70"/>
      <c r="D1017" s="70"/>
      <c r="E1017" s="106"/>
      <c r="F1017" s="70"/>
      <c r="G1017" s="27"/>
      <c r="H1017" s="27"/>
      <c r="I1017" s="27"/>
      <c r="J1017" s="16">
        <f>'БА в тыс. руб.'!G1017*1000</f>
        <v>0</v>
      </c>
      <c r="K1017" s="169">
        <f t="shared" si="673"/>
        <v>0</v>
      </c>
      <c r="L1017" s="16">
        <f>'БА в тыс. руб.'!H1017*1000</f>
        <v>0</v>
      </c>
      <c r="M1017" s="169">
        <f t="shared" si="674"/>
        <v>0</v>
      </c>
      <c r="N1017" s="16">
        <f>'БА в тыс. руб.'!I1017*1000</f>
        <v>0</v>
      </c>
      <c r="O1017" s="169">
        <f t="shared" si="675"/>
        <v>0</v>
      </c>
      <c r="P1017" s="16"/>
      <c r="Q1017" s="16"/>
      <c r="R1017" s="16"/>
      <c r="S1017" s="16"/>
      <c r="T1017" s="16"/>
      <c r="U1017" s="16"/>
    </row>
    <row r="1018" spans="1:21" s="3" customFormat="1" ht="25.5">
      <c r="A1018" s="28" t="s">
        <v>694</v>
      </c>
      <c r="B1018" s="14" t="s">
        <v>67</v>
      </c>
      <c r="C1018" s="15" t="s">
        <v>51</v>
      </c>
      <c r="D1018" s="15" t="s">
        <v>51</v>
      </c>
      <c r="E1018" s="15" t="s">
        <v>196</v>
      </c>
      <c r="F1018" s="15" t="s">
        <v>58</v>
      </c>
      <c r="G1018" s="29">
        <f>G1019+G1039</f>
        <v>195692910</v>
      </c>
      <c r="H1018" s="29">
        <f>H1019+H1039</f>
        <v>172467660</v>
      </c>
      <c r="I1018" s="29">
        <f>I1019+I1039</f>
        <v>172467660</v>
      </c>
      <c r="J1018" s="16">
        <f>'БА в тыс. руб.'!G1018*1000</f>
        <v>195692909.99999997</v>
      </c>
      <c r="K1018" s="169">
        <f t="shared" si="673"/>
        <v>0</v>
      </c>
      <c r="L1018" s="16">
        <f>'БА в тыс. руб.'!H1018*1000</f>
        <v>172467659.99999997</v>
      </c>
      <c r="M1018" s="169">
        <f t="shared" si="674"/>
        <v>0</v>
      </c>
      <c r="N1018" s="16">
        <f>'БА в тыс. руб.'!I1018*1000</f>
        <v>172467659.99999997</v>
      </c>
      <c r="O1018" s="169">
        <f t="shared" si="675"/>
        <v>0</v>
      </c>
      <c r="P1018" s="16"/>
      <c r="Q1018" s="16"/>
      <c r="R1018" s="16"/>
      <c r="S1018" s="16"/>
      <c r="T1018" s="16"/>
      <c r="U1018" s="16"/>
    </row>
    <row r="1019" spans="1:21" s="3" customFormat="1">
      <c r="A1019" s="17" t="s">
        <v>70</v>
      </c>
      <c r="B1019" s="18" t="s">
        <v>67</v>
      </c>
      <c r="C1019" s="19" t="s">
        <v>71</v>
      </c>
      <c r="D1019" s="19" t="s">
        <v>51</v>
      </c>
      <c r="E1019" s="19" t="s">
        <v>196</v>
      </c>
      <c r="F1019" s="19" t="s">
        <v>58</v>
      </c>
      <c r="G1019" s="20">
        <f>G1020</f>
        <v>148272770</v>
      </c>
      <c r="H1019" s="20">
        <f>H1020</f>
        <v>147969660</v>
      </c>
      <c r="I1019" s="20">
        <f>I1020</f>
        <v>147969660</v>
      </c>
      <c r="J1019" s="16">
        <f>'БА в тыс. руб.'!G1019*1000</f>
        <v>148272770</v>
      </c>
      <c r="K1019" s="169">
        <f t="shared" si="673"/>
        <v>0</v>
      </c>
      <c r="L1019" s="16">
        <f>'БА в тыс. руб.'!H1019*1000</f>
        <v>147969659.99999997</v>
      </c>
      <c r="M1019" s="169">
        <f t="shared" si="674"/>
        <v>0</v>
      </c>
      <c r="N1019" s="16">
        <f>'БА в тыс. руб.'!I1019*1000</f>
        <v>147969659.99999997</v>
      </c>
      <c r="O1019" s="169">
        <f t="shared" si="675"/>
        <v>0</v>
      </c>
      <c r="P1019" s="16"/>
      <c r="Q1019" s="16"/>
      <c r="R1019" s="16"/>
      <c r="S1019" s="16"/>
      <c r="T1019" s="16"/>
      <c r="U1019" s="16"/>
    </row>
    <row r="1020" spans="1:21" s="3" customFormat="1">
      <c r="A1020" s="21" t="s">
        <v>779</v>
      </c>
      <c r="B1020" s="22" t="s">
        <v>67</v>
      </c>
      <c r="C1020" s="23" t="s">
        <v>71</v>
      </c>
      <c r="D1020" s="23" t="s">
        <v>53</v>
      </c>
      <c r="E1020" s="23" t="s">
        <v>196</v>
      </c>
      <c r="F1020" s="23" t="s">
        <v>58</v>
      </c>
      <c r="G1020" s="24">
        <f>G1021+G1027+G1033</f>
        <v>148272770</v>
      </c>
      <c r="H1020" s="24">
        <f>H1021+H1027+H1033</f>
        <v>147969660</v>
      </c>
      <c r="I1020" s="24">
        <f>I1021+I1027+I1033</f>
        <v>147969660</v>
      </c>
      <c r="J1020" s="16">
        <f>'БА в тыс. руб.'!G1020*1000</f>
        <v>148272770</v>
      </c>
      <c r="K1020" s="169">
        <f t="shared" si="673"/>
        <v>0</v>
      </c>
      <c r="L1020" s="16">
        <f>'БА в тыс. руб.'!H1020*1000</f>
        <v>147969659.99999997</v>
      </c>
      <c r="M1020" s="169">
        <f t="shared" si="674"/>
        <v>0</v>
      </c>
      <c r="N1020" s="16">
        <f>'БА в тыс. руб.'!I1020*1000</f>
        <v>147969659.99999997</v>
      </c>
      <c r="O1020" s="169">
        <f t="shared" si="675"/>
        <v>0</v>
      </c>
      <c r="P1020" s="16"/>
      <c r="Q1020" s="16"/>
      <c r="R1020" s="16"/>
      <c r="S1020" s="16"/>
      <c r="T1020" s="16"/>
      <c r="U1020" s="16"/>
    </row>
    <row r="1021" spans="1:21" s="3" customFormat="1" ht="25.5">
      <c r="A1021" s="11" t="s">
        <v>740</v>
      </c>
      <c r="B1021" s="25" t="s">
        <v>67</v>
      </c>
      <c r="C1021" s="26" t="s">
        <v>71</v>
      </c>
      <c r="D1021" s="26" t="s">
        <v>53</v>
      </c>
      <c r="E1021" s="26" t="s">
        <v>449</v>
      </c>
      <c r="F1021" s="26" t="s">
        <v>58</v>
      </c>
      <c r="G1021" s="27">
        <f t="shared" ref="G1021:I1025" si="717">G1022</f>
        <v>147588280</v>
      </c>
      <c r="H1021" s="27">
        <f t="shared" si="717"/>
        <v>147736110</v>
      </c>
      <c r="I1021" s="27">
        <f t="shared" si="717"/>
        <v>147736110</v>
      </c>
      <c r="J1021" s="16">
        <f>'БА в тыс. руб.'!G1021*1000</f>
        <v>147588280</v>
      </c>
      <c r="K1021" s="169">
        <f t="shared" si="673"/>
        <v>0</v>
      </c>
      <c r="L1021" s="16">
        <f>'БА в тыс. руб.'!H1021*1000</f>
        <v>147736110</v>
      </c>
      <c r="M1021" s="169">
        <f t="shared" si="674"/>
        <v>0</v>
      </c>
      <c r="N1021" s="16">
        <f>'БА в тыс. руб.'!I1021*1000</f>
        <v>147736110</v>
      </c>
      <c r="O1021" s="169">
        <f t="shared" si="675"/>
        <v>0</v>
      </c>
      <c r="P1021" s="16"/>
      <c r="Q1021" s="16"/>
      <c r="R1021" s="16"/>
      <c r="S1021" s="16"/>
      <c r="T1021" s="16"/>
      <c r="U1021" s="16"/>
    </row>
    <row r="1022" spans="1:21" s="3" customFormat="1" ht="38.25">
      <c r="A1022" s="11" t="s">
        <v>141</v>
      </c>
      <c r="B1022" s="25" t="s">
        <v>67</v>
      </c>
      <c r="C1022" s="26" t="s">
        <v>71</v>
      </c>
      <c r="D1022" s="26" t="s">
        <v>53</v>
      </c>
      <c r="E1022" s="26" t="s">
        <v>450</v>
      </c>
      <c r="F1022" s="26" t="s">
        <v>58</v>
      </c>
      <c r="G1022" s="27">
        <f t="shared" si="717"/>
        <v>147588280</v>
      </c>
      <c r="H1022" s="27">
        <f t="shared" si="717"/>
        <v>147736110</v>
      </c>
      <c r="I1022" s="27">
        <f t="shared" si="717"/>
        <v>147736110</v>
      </c>
      <c r="J1022" s="16">
        <f>'БА в тыс. руб.'!G1022*1000</f>
        <v>147588280</v>
      </c>
      <c r="K1022" s="169">
        <f t="shared" si="673"/>
        <v>0</v>
      </c>
      <c r="L1022" s="16">
        <f>'БА в тыс. руб.'!H1022*1000</f>
        <v>147736110</v>
      </c>
      <c r="M1022" s="169">
        <f t="shared" si="674"/>
        <v>0</v>
      </c>
      <c r="N1022" s="16">
        <f>'БА в тыс. руб.'!I1022*1000</f>
        <v>147736110</v>
      </c>
      <c r="O1022" s="169">
        <f t="shared" si="675"/>
        <v>0</v>
      </c>
      <c r="P1022" s="16"/>
      <c r="Q1022" s="16"/>
      <c r="R1022" s="16"/>
      <c r="S1022" s="16"/>
      <c r="T1022" s="16"/>
      <c r="U1022" s="16"/>
    </row>
    <row r="1023" spans="1:21" s="3" customFormat="1" ht="38.25">
      <c r="A1023" s="11" t="s">
        <v>587</v>
      </c>
      <c r="B1023" s="25" t="s">
        <v>67</v>
      </c>
      <c r="C1023" s="26" t="s">
        <v>71</v>
      </c>
      <c r="D1023" s="26" t="s">
        <v>53</v>
      </c>
      <c r="E1023" s="26" t="s">
        <v>451</v>
      </c>
      <c r="F1023" s="26" t="s">
        <v>58</v>
      </c>
      <c r="G1023" s="27">
        <f>G1024</f>
        <v>147588280</v>
      </c>
      <c r="H1023" s="27">
        <f t="shared" si="717"/>
        <v>147736110</v>
      </c>
      <c r="I1023" s="27">
        <f t="shared" si="717"/>
        <v>147736110</v>
      </c>
      <c r="J1023" s="16">
        <f>'БА в тыс. руб.'!G1023*1000</f>
        <v>147588280</v>
      </c>
      <c r="K1023" s="169">
        <f t="shared" si="673"/>
        <v>0</v>
      </c>
      <c r="L1023" s="16">
        <f>'БА в тыс. руб.'!H1023*1000</f>
        <v>147736110</v>
      </c>
      <c r="M1023" s="169">
        <f t="shared" si="674"/>
        <v>0</v>
      </c>
      <c r="N1023" s="16">
        <f>'БА в тыс. руб.'!I1023*1000</f>
        <v>147736110</v>
      </c>
      <c r="O1023" s="169">
        <f t="shared" si="675"/>
        <v>0</v>
      </c>
      <c r="P1023" s="16"/>
      <c r="Q1023" s="16"/>
      <c r="R1023" s="16"/>
      <c r="S1023" s="16"/>
      <c r="T1023" s="16"/>
      <c r="U1023" s="16"/>
    </row>
    <row r="1024" spans="1:21" s="3" customFormat="1" ht="25.5">
      <c r="A1024" s="39" t="s">
        <v>247</v>
      </c>
      <c r="B1024" s="25" t="s">
        <v>67</v>
      </c>
      <c r="C1024" s="26" t="s">
        <v>71</v>
      </c>
      <c r="D1024" s="26" t="s">
        <v>53</v>
      </c>
      <c r="E1024" s="26" t="s">
        <v>452</v>
      </c>
      <c r="F1024" s="26" t="s">
        <v>58</v>
      </c>
      <c r="G1024" s="27">
        <f>G1025</f>
        <v>147588280</v>
      </c>
      <c r="H1024" s="27">
        <f t="shared" si="717"/>
        <v>147736110</v>
      </c>
      <c r="I1024" s="27">
        <f t="shared" si="717"/>
        <v>147736110</v>
      </c>
      <c r="J1024" s="16">
        <f>'БА в тыс. руб.'!G1024*1000</f>
        <v>147588280</v>
      </c>
      <c r="K1024" s="169">
        <f t="shared" si="673"/>
        <v>0</v>
      </c>
      <c r="L1024" s="16">
        <f>'БА в тыс. руб.'!H1024*1000</f>
        <v>147736110</v>
      </c>
      <c r="M1024" s="169">
        <f t="shared" si="674"/>
        <v>0</v>
      </c>
      <c r="N1024" s="16">
        <f>'БА в тыс. руб.'!I1024*1000</f>
        <v>147736110</v>
      </c>
      <c r="O1024" s="169">
        <f t="shared" si="675"/>
        <v>0</v>
      </c>
      <c r="P1024" s="16"/>
      <c r="Q1024" s="16"/>
      <c r="R1024" s="16"/>
      <c r="S1024" s="16"/>
      <c r="T1024" s="16"/>
      <c r="U1024" s="16"/>
    </row>
    <row r="1025" spans="1:21" s="3" customFormat="1">
      <c r="A1025" s="13" t="s">
        <v>92</v>
      </c>
      <c r="B1025" s="25" t="s">
        <v>67</v>
      </c>
      <c r="C1025" s="26" t="s">
        <v>71</v>
      </c>
      <c r="D1025" s="26" t="s">
        <v>53</v>
      </c>
      <c r="E1025" s="26" t="s">
        <v>452</v>
      </c>
      <c r="F1025" s="26" t="s">
        <v>138</v>
      </c>
      <c r="G1025" s="27">
        <f>G1026</f>
        <v>147588280</v>
      </c>
      <c r="H1025" s="27">
        <f t="shared" si="717"/>
        <v>147736110</v>
      </c>
      <c r="I1025" s="27">
        <f t="shared" si="717"/>
        <v>147736110</v>
      </c>
      <c r="J1025" s="16">
        <f>'БА в тыс. руб.'!G1025*1000</f>
        <v>147588280</v>
      </c>
      <c r="K1025" s="169">
        <f t="shared" si="673"/>
        <v>0</v>
      </c>
      <c r="L1025" s="16">
        <f>'БА в тыс. руб.'!H1025*1000</f>
        <v>147736110</v>
      </c>
      <c r="M1025" s="169">
        <f t="shared" si="674"/>
        <v>0</v>
      </c>
      <c r="N1025" s="16">
        <f>'БА в тыс. руб.'!I1025*1000</f>
        <v>147736110</v>
      </c>
      <c r="O1025" s="169">
        <f t="shared" si="675"/>
        <v>0</v>
      </c>
      <c r="P1025" s="16"/>
      <c r="Q1025" s="16"/>
      <c r="R1025" s="16"/>
      <c r="S1025" s="16"/>
      <c r="T1025" s="16"/>
      <c r="U1025" s="16"/>
    </row>
    <row r="1026" spans="1:21" s="4" customFormat="1" ht="38.25">
      <c r="A1026" s="12" t="s">
        <v>1015</v>
      </c>
      <c r="B1026" s="25" t="s">
        <v>67</v>
      </c>
      <c r="C1026" s="26" t="s">
        <v>71</v>
      </c>
      <c r="D1026" s="26" t="s">
        <v>53</v>
      </c>
      <c r="E1026" s="26" t="s">
        <v>452</v>
      </c>
      <c r="F1026" s="26" t="s">
        <v>67</v>
      </c>
      <c r="G1026" s="27">
        <f t="shared" ref="G1026" si="718">J1026</f>
        <v>147588280</v>
      </c>
      <c r="H1026" s="27">
        <f>L1026</f>
        <v>147736110</v>
      </c>
      <c r="I1026" s="27">
        <f>N1026</f>
        <v>147736110</v>
      </c>
      <c r="J1026" s="16">
        <f>'БА в тыс. руб.'!G1026*1000</f>
        <v>147588280</v>
      </c>
      <c r="K1026" s="169">
        <f t="shared" si="673"/>
        <v>0</v>
      </c>
      <c r="L1026" s="16">
        <f>'БА в тыс. руб.'!H1026*1000</f>
        <v>147736110</v>
      </c>
      <c r="M1026" s="169">
        <f t="shared" si="674"/>
        <v>0</v>
      </c>
      <c r="N1026" s="16">
        <f>'БА в тыс. руб.'!I1026*1000</f>
        <v>147736110</v>
      </c>
      <c r="O1026" s="169">
        <f t="shared" si="675"/>
        <v>0</v>
      </c>
      <c r="P1026" s="16"/>
      <c r="Q1026" s="16"/>
      <c r="R1026" s="16"/>
      <c r="S1026" s="16"/>
      <c r="T1026" s="16"/>
      <c r="U1026" s="16"/>
    </row>
    <row r="1027" spans="1:21" s="3" customFormat="1" ht="63.75">
      <c r="A1027" s="11" t="s">
        <v>756</v>
      </c>
      <c r="B1027" s="25" t="s">
        <v>67</v>
      </c>
      <c r="C1027" s="26" t="s">
        <v>71</v>
      </c>
      <c r="D1027" s="26" t="s">
        <v>53</v>
      </c>
      <c r="E1027" s="26" t="s">
        <v>339</v>
      </c>
      <c r="F1027" s="26" t="s">
        <v>58</v>
      </c>
      <c r="G1027" s="27">
        <f t="shared" ref="G1027:I1031" si="719">G1028</f>
        <v>259490</v>
      </c>
      <c r="H1027" s="27">
        <f t="shared" si="719"/>
        <v>233550</v>
      </c>
      <c r="I1027" s="27">
        <f t="shared" si="719"/>
        <v>233550</v>
      </c>
      <c r="J1027" s="16">
        <f>'БА в тыс. руб.'!G1027*1000</f>
        <v>259490</v>
      </c>
      <c r="K1027" s="169">
        <f t="shared" si="673"/>
        <v>0</v>
      </c>
      <c r="L1027" s="16">
        <f>'БА в тыс. руб.'!H1027*1000</f>
        <v>233550</v>
      </c>
      <c r="M1027" s="169">
        <f t="shared" si="674"/>
        <v>0</v>
      </c>
      <c r="N1027" s="16">
        <f>'БА в тыс. руб.'!I1027*1000</f>
        <v>233550</v>
      </c>
      <c r="O1027" s="169">
        <f t="shared" si="675"/>
        <v>0</v>
      </c>
      <c r="P1027" s="16"/>
      <c r="Q1027" s="16"/>
      <c r="R1027" s="16"/>
      <c r="S1027" s="16"/>
      <c r="T1027" s="16"/>
      <c r="U1027" s="16"/>
    </row>
    <row r="1028" spans="1:21" s="3" customFormat="1" ht="25.5">
      <c r="A1028" s="11" t="s">
        <v>136</v>
      </c>
      <c r="B1028" s="25" t="s">
        <v>67</v>
      </c>
      <c r="C1028" s="26" t="s">
        <v>71</v>
      </c>
      <c r="D1028" s="26" t="s">
        <v>53</v>
      </c>
      <c r="E1028" s="26" t="s">
        <v>340</v>
      </c>
      <c r="F1028" s="26" t="s">
        <v>58</v>
      </c>
      <c r="G1028" s="27">
        <f t="shared" si="719"/>
        <v>259490</v>
      </c>
      <c r="H1028" s="27">
        <f t="shared" si="719"/>
        <v>233550</v>
      </c>
      <c r="I1028" s="27">
        <f t="shared" si="719"/>
        <v>233550</v>
      </c>
      <c r="J1028" s="16">
        <f>'БА в тыс. руб.'!G1028*1000</f>
        <v>259490</v>
      </c>
      <c r="K1028" s="169">
        <f t="shared" si="673"/>
        <v>0</v>
      </c>
      <c r="L1028" s="16">
        <f>'БА в тыс. руб.'!H1028*1000</f>
        <v>233550</v>
      </c>
      <c r="M1028" s="169">
        <f t="shared" si="674"/>
        <v>0</v>
      </c>
      <c r="N1028" s="16">
        <f>'БА в тыс. руб.'!I1028*1000</f>
        <v>233550</v>
      </c>
      <c r="O1028" s="169">
        <f t="shared" si="675"/>
        <v>0</v>
      </c>
      <c r="P1028" s="16"/>
      <c r="Q1028" s="16"/>
      <c r="R1028" s="16"/>
      <c r="S1028" s="16"/>
      <c r="T1028" s="16"/>
      <c r="U1028" s="16"/>
    </row>
    <row r="1029" spans="1:21" s="3" customFormat="1" ht="25.5">
      <c r="A1029" s="11" t="s">
        <v>667</v>
      </c>
      <c r="B1029" s="25" t="s">
        <v>67</v>
      </c>
      <c r="C1029" s="26" t="s">
        <v>71</v>
      </c>
      <c r="D1029" s="26" t="s">
        <v>53</v>
      </c>
      <c r="E1029" s="26" t="s">
        <v>609</v>
      </c>
      <c r="F1029" s="26" t="s">
        <v>58</v>
      </c>
      <c r="G1029" s="27">
        <f t="shared" si="719"/>
        <v>259490</v>
      </c>
      <c r="H1029" s="27">
        <f t="shared" si="719"/>
        <v>233550</v>
      </c>
      <c r="I1029" s="27">
        <f t="shared" si="719"/>
        <v>233550</v>
      </c>
      <c r="J1029" s="16">
        <f>'БА в тыс. руб.'!G1029*1000</f>
        <v>259490</v>
      </c>
      <c r="K1029" s="169">
        <f t="shared" si="673"/>
        <v>0</v>
      </c>
      <c r="L1029" s="16">
        <f>'БА в тыс. руб.'!H1029*1000</f>
        <v>233550</v>
      </c>
      <c r="M1029" s="169">
        <f t="shared" si="674"/>
        <v>0</v>
      </c>
      <c r="N1029" s="16">
        <f>'БА в тыс. руб.'!I1029*1000</f>
        <v>233550</v>
      </c>
      <c r="O1029" s="169">
        <f t="shared" si="675"/>
        <v>0</v>
      </c>
      <c r="P1029" s="16"/>
      <c r="Q1029" s="16"/>
      <c r="R1029" s="16"/>
      <c r="S1029" s="16"/>
      <c r="T1029" s="16"/>
      <c r="U1029" s="16"/>
    </row>
    <row r="1030" spans="1:21" s="3" customFormat="1" ht="38.25">
      <c r="A1030" s="11" t="s">
        <v>177</v>
      </c>
      <c r="B1030" s="25" t="s">
        <v>67</v>
      </c>
      <c r="C1030" s="26" t="s">
        <v>71</v>
      </c>
      <c r="D1030" s="26" t="s">
        <v>53</v>
      </c>
      <c r="E1030" s="26" t="s">
        <v>610</v>
      </c>
      <c r="F1030" s="26" t="s">
        <v>58</v>
      </c>
      <c r="G1030" s="27">
        <f t="shared" si="719"/>
        <v>259490</v>
      </c>
      <c r="H1030" s="27">
        <f t="shared" si="719"/>
        <v>233550</v>
      </c>
      <c r="I1030" s="27">
        <f t="shared" si="719"/>
        <v>233550</v>
      </c>
      <c r="J1030" s="16">
        <f>'БА в тыс. руб.'!G1030*1000</f>
        <v>259490</v>
      </c>
      <c r="K1030" s="169">
        <f t="shared" si="673"/>
        <v>0</v>
      </c>
      <c r="L1030" s="16">
        <f>'БА в тыс. руб.'!H1030*1000</f>
        <v>233550</v>
      </c>
      <c r="M1030" s="169">
        <f t="shared" si="674"/>
        <v>0</v>
      </c>
      <c r="N1030" s="16">
        <f>'БА в тыс. руб.'!I1030*1000</f>
        <v>233550</v>
      </c>
      <c r="O1030" s="169">
        <f t="shared" si="675"/>
        <v>0</v>
      </c>
      <c r="P1030" s="16"/>
      <c r="Q1030" s="16"/>
      <c r="R1030" s="16"/>
      <c r="S1030" s="16"/>
      <c r="T1030" s="16"/>
      <c r="U1030" s="16"/>
    </row>
    <row r="1031" spans="1:21" s="3" customFormat="1">
      <c r="A1031" s="13" t="s">
        <v>92</v>
      </c>
      <c r="B1031" s="25" t="s">
        <v>67</v>
      </c>
      <c r="C1031" s="26" t="s">
        <v>71</v>
      </c>
      <c r="D1031" s="26" t="s">
        <v>53</v>
      </c>
      <c r="E1031" s="26" t="s">
        <v>610</v>
      </c>
      <c r="F1031" s="26" t="s">
        <v>138</v>
      </c>
      <c r="G1031" s="27">
        <f>G1032</f>
        <v>259490</v>
      </c>
      <c r="H1031" s="27">
        <f t="shared" si="719"/>
        <v>233550</v>
      </c>
      <c r="I1031" s="27">
        <f t="shared" si="719"/>
        <v>233550</v>
      </c>
      <c r="J1031" s="16">
        <f>'БА в тыс. руб.'!G1031*1000</f>
        <v>259490</v>
      </c>
      <c r="K1031" s="169">
        <f t="shared" si="673"/>
        <v>0</v>
      </c>
      <c r="L1031" s="16">
        <f>'БА в тыс. руб.'!H1031*1000</f>
        <v>233550</v>
      </c>
      <c r="M1031" s="169">
        <f t="shared" si="674"/>
        <v>0</v>
      </c>
      <c r="N1031" s="16">
        <f>'БА в тыс. руб.'!I1031*1000</f>
        <v>233550</v>
      </c>
      <c r="O1031" s="169">
        <f t="shared" si="675"/>
        <v>0</v>
      </c>
      <c r="P1031" s="16"/>
      <c r="Q1031" s="16"/>
      <c r="R1031" s="16"/>
      <c r="S1031" s="16"/>
      <c r="T1031" s="16"/>
      <c r="U1031" s="16"/>
    </row>
    <row r="1032" spans="1:21" s="4" customFormat="1">
      <c r="A1032" s="12" t="s">
        <v>1016</v>
      </c>
      <c r="B1032" s="25" t="s">
        <v>67</v>
      </c>
      <c r="C1032" s="26" t="s">
        <v>71</v>
      </c>
      <c r="D1032" s="26" t="s">
        <v>53</v>
      </c>
      <c r="E1032" s="26" t="s">
        <v>610</v>
      </c>
      <c r="F1032" s="26" t="s">
        <v>1046</v>
      </c>
      <c r="G1032" s="27">
        <f t="shared" ref="G1032" si="720">J1032</f>
        <v>259490</v>
      </c>
      <c r="H1032" s="27">
        <f>L1032</f>
        <v>233550</v>
      </c>
      <c r="I1032" s="27">
        <f>N1032</f>
        <v>233550</v>
      </c>
      <c r="J1032" s="16">
        <f>'БА в тыс. руб.'!G1032*1000</f>
        <v>259490</v>
      </c>
      <c r="K1032" s="169">
        <f t="shared" ref="K1032:K1095" si="721">J1032-G1032</f>
        <v>0</v>
      </c>
      <c r="L1032" s="16">
        <f>'БА в тыс. руб.'!H1032*1000</f>
        <v>233550</v>
      </c>
      <c r="M1032" s="169">
        <f t="shared" ref="M1032:M1095" si="722">L1032-H1032</f>
        <v>0</v>
      </c>
      <c r="N1032" s="16">
        <f>'БА в тыс. руб.'!I1032*1000</f>
        <v>233550</v>
      </c>
      <c r="O1032" s="169">
        <f t="shared" ref="O1032:O1095" si="723">N1032-I1032</f>
        <v>0</v>
      </c>
      <c r="P1032" s="16"/>
      <c r="Q1032" s="16"/>
      <c r="R1032" s="16"/>
      <c r="S1032" s="16"/>
      <c r="T1032" s="16"/>
      <c r="U1032" s="16"/>
    </row>
    <row r="1033" spans="1:21" s="3" customFormat="1" ht="25.5">
      <c r="A1033" s="11" t="s">
        <v>757</v>
      </c>
      <c r="B1033" s="25" t="s">
        <v>67</v>
      </c>
      <c r="C1033" s="26" t="s">
        <v>71</v>
      </c>
      <c r="D1033" s="26" t="s">
        <v>53</v>
      </c>
      <c r="E1033" s="26" t="s">
        <v>342</v>
      </c>
      <c r="F1033" s="26" t="s">
        <v>58</v>
      </c>
      <c r="G1033" s="27">
        <f t="shared" ref="G1033:I1034" si="724">G1034</f>
        <v>425000</v>
      </c>
      <c r="H1033" s="27">
        <f t="shared" si="724"/>
        <v>0</v>
      </c>
      <c r="I1033" s="27">
        <f t="shared" si="724"/>
        <v>0</v>
      </c>
      <c r="J1033" s="16">
        <f>'БА в тыс. руб.'!G1033*1000</f>
        <v>425000</v>
      </c>
      <c r="K1033" s="169">
        <f t="shared" si="721"/>
        <v>0</v>
      </c>
      <c r="L1033" s="16">
        <f>'БА в тыс. руб.'!H1033*1000</f>
        <v>0</v>
      </c>
      <c r="M1033" s="169">
        <f t="shared" si="722"/>
        <v>0</v>
      </c>
      <c r="N1033" s="16">
        <f>'БА в тыс. руб.'!I1033*1000</f>
        <v>0</v>
      </c>
      <c r="O1033" s="169">
        <f t="shared" si="723"/>
        <v>0</v>
      </c>
      <c r="P1033" s="16"/>
      <c r="Q1033" s="16"/>
      <c r="R1033" s="16"/>
      <c r="S1033" s="16"/>
      <c r="T1033" s="16"/>
      <c r="U1033" s="16"/>
    </row>
    <row r="1034" spans="1:21" s="3" customFormat="1" ht="38.25">
      <c r="A1034" s="34" t="s">
        <v>758</v>
      </c>
      <c r="B1034" s="25" t="s">
        <v>67</v>
      </c>
      <c r="C1034" s="26" t="s">
        <v>71</v>
      </c>
      <c r="D1034" s="26" t="s">
        <v>53</v>
      </c>
      <c r="E1034" s="26" t="s">
        <v>343</v>
      </c>
      <c r="F1034" s="26" t="s">
        <v>58</v>
      </c>
      <c r="G1034" s="27">
        <f t="shared" si="724"/>
        <v>425000</v>
      </c>
      <c r="H1034" s="27">
        <f t="shared" si="724"/>
        <v>0</v>
      </c>
      <c r="I1034" s="27">
        <f t="shared" si="724"/>
        <v>0</v>
      </c>
      <c r="J1034" s="16">
        <f>'БА в тыс. руб.'!G1034*1000</f>
        <v>425000</v>
      </c>
      <c r="K1034" s="169">
        <f t="shared" si="721"/>
        <v>0</v>
      </c>
      <c r="L1034" s="16">
        <f>'БА в тыс. руб.'!H1034*1000</f>
        <v>0</v>
      </c>
      <c r="M1034" s="169">
        <f t="shared" si="722"/>
        <v>0</v>
      </c>
      <c r="N1034" s="16">
        <f>'БА в тыс. руб.'!I1034*1000</f>
        <v>0</v>
      </c>
      <c r="O1034" s="169">
        <f t="shared" si="723"/>
        <v>0</v>
      </c>
      <c r="P1034" s="16"/>
      <c r="Q1034" s="16"/>
      <c r="R1034" s="16"/>
      <c r="S1034" s="16"/>
      <c r="T1034" s="16"/>
      <c r="U1034" s="16"/>
    </row>
    <row r="1035" spans="1:21" s="3" customFormat="1" ht="25.5">
      <c r="A1035" s="11" t="s">
        <v>344</v>
      </c>
      <c r="B1035" s="25" t="s">
        <v>67</v>
      </c>
      <c r="C1035" s="26" t="s">
        <v>71</v>
      </c>
      <c r="D1035" s="26" t="s">
        <v>53</v>
      </c>
      <c r="E1035" s="26" t="s">
        <v>345</v>
      </c>
      <c r="F1035" s="26" t="s">
        <v>58</v>
      </c>
      <c r="G1035" s="27">
        <f>G1037</f>
        <v>425000</v>
      </c>
      <c r="H1035" s="27">
        <f>H1037</f>
        <v>0</v>
      </c>
      <c r="I1035" s="27">
        <f>I1037</f>
        <v>0</v>
      </c>
      <c r="J1035" s="16">
        <f>'БА в тыс. руб.'!G1035*1000</f>
        <v>425000</v>
      </c>
      <c r="K1035" s="169">
        <f t="shared" si="721"/>
        <v>0</v>
      </c>
      <c r="L1035" s="16">
        <f>'БА в тыс. руб.'!H1035*1000</f>
        <v>0</v>
      </c>
      <c r="M1035" s="169">
        <f t="shared" si="722"/>
        <v>0</v>
      </c>
      <c r="N1035" s="16">
        <f>'БА в тыс. руб.'!I1035*1000</f>
        <v>0</v>
      </c>
      <c r="O1035" s="169">
        <f t="shared" si="723"/>
        <v>0</v>
      </c>
      <c r="P1035" s="16"/>
      <c r="Q1035" s="16"/>
      <c r="R1035" s="16"/>
      <c r="S1035" s="16"/>
      <c r="T1035" s="16"/>
      <c r="U1035" s="16"/>
    </row>
    <row r="1036" spans="1:21" s="3" customFormat="1" ht="25.5">
      <c r="A1036" s="13" t="s">
        <v>174</v>
      </c>
      <c r="B1036" s="25" t="s">
        <v>67</v>
      </c>
      <c r="C1036" s="26" t="s">
        <v>71</v>
      </c>
      <c r="D1036" s="26" t="s">
        <v>53</v>
      </c>
      <c r="E1036" s="26" t="s">
        <v>346</v>
      </c>
      <c r="F1036" s="26" t="s">
        <v>58</v>
      </c>
      <c r="G1036" s="27">
        <f>G1037</f>
        <v>425000</v>
      </c>
      <c r="H1036" s="27">
        <f>H1037</f>
        <v>0</v>
      </c>
      <c r="I1036" s="27">
        <f>I1037</f>
        <v>0</v>
      </c>
      <c r="J1036" s="16">
        <f>'БА в тыс. руб.'!G1036*1000</f>
        <v>425000</v>
      </c>
      <c r="K1036" s="169">
        <f t="shared" si="721"/>
        <v>0</v>
      </c>
      <c r="L1036" s="16">
        <f>'БА в тыс. руб.'!H1036*1000</f>
        <v>0</v>
      </c>
      <c r="M1036" s="169">
        <f t="shared" si="722"/>
        <v>0</v>
      </c>
      <c r="N1036" s="16">
        <f>'БА в тыс. руб.'!I1036*1000</f>
        <v>0</v>
      </c>
      <c r="O1036" s="169">
        <f t="shared" si="723"/>
        <v>0</v>
      </c>
      <c r="P1036" s="16"/>
      <c r="Q1036" s="16"/>
      <c r="R1036" s="16"/>
      <c r="S1036" s="16"/>
      <c r="T1036" s="16"/>
      <c r="U1036" s="16"/>
    </row>
    <row r="1037" spans="1:21" s="3" customFormat="1" ht="16.149999999999999" customHeight="1">
      <c r="A1037" s="13" t="s">
        <v>92</v>
      </c>
      <c r="B1037" s="25" t="s">
        <v>67</v>
      </c>
      <c r="C1037" s="26" t="s">
        <v>71</v>
      </c>
      <c r="D1037" s="26" t="s">
        <v>53</v>
      </c>
      <c r="E1037" s="26" t="s">
        <v>346</v>
      </c>
      <c r="F1037" s="26" t="s">
        <v>138</v>
      </c>
      <c r="G1037" s="27">
        <f>G1038</f>
        <v>425000</v>
      </c>
      <c r="H1037" s="27">
        <f t="shared" ref="H1037:I1037" si="725">H1038</f>
        <v>0</v>
      </c>
      <c r="I1037" s="27">
        <f t="shared" si="725"/>
        <v>0</v>
      </c>
      <c r="J1037" s="16">
        <f>'БА в тыс. руб.'!G1037*1000</f>
        <v>425000</v>
      </c>
      <c r="K1037" s="169">
        <f t="shared" si="721"/>
        <v>0</v>
      </c>
      <c r="L1037" s="16">
        <f>'БА в тыс. руб.'!H1037*1000</f>
        <v>0</v>
      </c>
      <c r="M1037" s="169">
        <f t="shared" si="722"/>
        <v>0</v>
      </c>
      <c r="N1037" s="16">
        <f>'БА в тыс. руб.'!I1037*1000</f>
        <v>0</v>
      </c>
      <c r="O1037" s="169">
        <f t="shared" si="723"/>
        <v>0</v>
      </c>
      <c r="P1037" s="16"/>
      <c r="Q1037" s="16"/>
      <c r="R1037" s="16"/>
      <c r="S1037" s="16"/>
      <c r="T1037" s="16"/>
      <c r="U1037" s="16"/>
    </row>
    <row r="1038" spans="1:21" s="4" customFormat="1" ht="16.149999999999999" customHeight="1">
      <c r="A1038" s="12" t="s">
        <v>1016</v>
      </c>
      <c r="B1038" s="25" t="s">
        <v>67</v>
      </c>
      <c r="C1038" s="26" t="s">
        <v>71</v>
      </c>
      <c r="D1038" s="26" t="s">
        <v>53</v>
      </c>
      <c r="E1038" s="26" t="s">
        <v>346</v>
      </c>
      <c r="F1038" s="26" t="s">
        <v>1046</v>
      </c>
      <c r="G1038" s="27">
        <f t="shared" ref="G1038" si="726">J1038</f>
        <v>425000</v>
      </c>
      <c r="H1038" s="27">
        <f>L1038</f>
        <v>0</v>
      </c>
      <c r="I1038" s="27">
        <f>N1038</f>
        <v>0</v>
      </c>
      <c r="J1038" s="16">
        <f>'БА в тыс. руб.'!G1038*1000</f>
        <v>425000</v>
      </c>
      <c r="K1038" s="169">
        <f t="shared" si="721"/>
        <v>0</v>
      </c>
      <c r="L1038" s="16">
        <f>'БА в тыс. руб.'!H1038*1000</f>
        <v>0</v>
      </c>
      <c r="M1038" s="169">
        <f t="shared" si="722"/>
        <v>0</v>
      </c>
      <c r="N1038" s="16">
        <f>'БА в тыс. руб.'!I1038*1000</f>
        <v>0</v>
      </c>
      <c r="O1038" s="169">
        <f t="shared" si="723"/>
        <v>0</v>
      </c>
      <c r="P1038" s="16"/>
      <c r="Q1038" s="16"/>
      <c r="R1038" s="16"/>
      <c r="S1038" s="16"/>
      <c r="T1038" s="16"/>
      <c r="U1038" s="16"/>
    </row>
    <row r="1039" spans="1:21" s="3" customFormat="1">
      <c r="A1039" s="17" t="s">
        <v>39</v>
      </c>
      <c r="B1039" s="18" t="s">
        <v>67</v>
      </c>
      <c r="C1039" s="19" t="s">
        <v>78</v>
      </c>
      <c r="D1039" s="19" t="s">
        <v>51</v>
      </c>
      <c r="E1039" s="19" t="s">
        <v>196</v>
      </c>
      <c r="F1039" s="19" t="s">
        <v>58</v>
      </c>
      <c r="G1039" s="20">
        <f>G1040+G1047+G1069+G1079</f>
        <v>47420140</v>
      </c>
      <c r="H1039" s="20">
        <f>H1040+H1047+H1069+H1079</f>
        <v>24498000</v>
      </c>
      <c r="I1039" s="20">
        <f>I1040+I1047+I1069+I1079</f>
        <v>24498000</v>
      </c>
      <c r="J1039" s="16">
        <f>'БА в тыс. руб.'!G1039*1000</f>
        <v>47420140</v>
      </c>
      <c r="K1039" s="169">
        <f t="shared" si="721"/>
        <v>0</v>
      </c>
      <c r="L1039" s="16">
        <f>'БА в тыс. руб.'!H1039*1000</f>
        <v>24498000</v>
      </c>
      <c r="M1039" s="169">
        <f t="shared" si="722"/>
        <v>0</v>
      </c>
      <c r="N1039" s="16">
        <f>'БА в тыс. руб.'!I1039*1000</f>
        <v>24498000</v>
      </c>
      <c r="O1039" s="169">
        <f t="shared" si="723"/>
        <v>0</v>
      </c>
      <c r="P1039" s="16"/>
      <c r="Q1039" s="16"/>
      <c r="R1039" s="16"/>
      <c r="S1039" s="16"/>
      <c r="T1039" s="16"/>
      <c r="U1039" s="16"/>
    </row>
    <row r="1040" spans="1:21" s="3" customFormat="1">
      <c r="A1040" s="21" t="s">
        <v>79</v>
      </c>
      <c r="B1040" s="22" t="s">
        <v>67</v>
      </c>
      <c r="C1040" s="23" t="s">
        <v>78</v>
      </c>
      <c r="D1040" s="23" t="s">
        <v>65</v>
      </c>
      <c r="E1040" s="23" t="s">
        <v>196</v>
      </c>
      <c r="F1040" s="23" t="s">
        <v>58</v>
      </c>
      <c r="G1040" s="24">
        <f t="shared" ref="G1040:I1045" si="727">G1041</f>
        <v>2976140</v>
      </c>
      <c r="H1040" s="24">
        <f t="shared" si="727"/>
        <v>2977180</v>
      </c>
      <c r="I1040" s="24">
        <f t="shared" si="727"/>
        <v>2977180</v>
      </c>
      <c r="J1040" s="16">
        <f>'БА в тыс. руб.'!G1040*1000</f>
        <v>2976140</v>
      </c>
      <c r="K1040" s="169">
        <f t="shared" si="721"/>
        <v>0</v>
      </c>
      <c r="L1040" s="16">
        <f>'БА в тыс. руб.'!H1040*1000</f>
        <v>2977180</v>
      </c>
      <c r="M1040" s="169">
        <f t="shared" si="722"/>
        <v>0</v>
      </c>
      <c r="N1040" s="16">
        <f>'БА в тыс. руб.'!I1040*1000</f>
        <v>2977180</v>
      </c>
      <c r="O1040" s="169">
        <f t="shared" si="723"/>
        <v>0</v>
      </c>
      <c r="P1040" s="16"/>
      <c r="Q1040" s="16"/>
      <c r="R1040" s="16"/>
      <c r="S1040" s="16"/>
      <c r="T1040" s="16"/>
      <c r="U1040" s="16"/>
    </row>
    <row r="1041" spans="1:21" s="3" customFormat="1" ht="25.5">
      <c r="A1041" s="11" t="s">
        <v>740</v>
      </c>
      <c r="B1041" s="25" t="s">
        <v>67</v>
      </c>
      <c r="C1041" s="26" t="s">
        <v>78</v>
      </c>
      <c r="D1041" s="26" t="s">
        <v>65</v>
      </c>
      <c r="E1041" s="26" t="s">
        <v>449</v>
      </c>
      <c r="F1041" s="26" t="s">
        <v>58</v>
      </c>
      <c r="G1041" s="27">
        <f t="shared" si="727"/>
        <v>2976140</v>
      </c>
      <c r="H1041" s="27">
        <f t="shared" si="727"/>
        <v>2977180</v>
      </c>
      <c r="I1041" s="27">
        <f t="shared" si="727"/>
        <v>2977180</v>
      </c>
      <c r="J1041" s="16">
        <f>'БА в тыс. руб.'!G1041*1000</f>
        <v>2976140</v>
      </c>
      <c r="K1041" s="169">
        <f t="shared" si="721"/>
        <v>0</v>
      </c>
      <c r="L1041" s="16">
        <f>'БА в тыс. руб.'!H1041*1000</f>
        <v>2977180</v>
      </c>
      <c r="M1041" s="169">
        <f t="shared" si="722"/>
        <v>0</v>
      </c>
      <c r="N1041" s="16">
        <f>'БА в тыс. руб.'!I1041*1000</f>
        <v>2977180</v>
      </c>
      <c r="O1041" s="169">
        <f t="shared" si="723"/>
        <v>0</v>
      </c>
      <c r="P1041" s="16"/>
      <c r="Q1041" s="16"/>
      <c r="R1041" s="16"/>
      <c r="S1041" s="16"/>
      <c r="T1041" s="16"/>
      <c r="U1041" s="16"/>
    </row>
    <row r="1042" spans="1:21" s="3" customFormat="1" ht="38.25">
      <c r="A1042" s="11" t="s">
        <v>141</v>
      </c>
      <c r="B1042" s="25" t="s">
        <v>67</v>
      </c>
      <c r="C1042" s="26" t="s">
        <v>78</v>
      </c>
      <c r="D1042" s="26" t="s">
        <v>65</v>
      </c>
      <c r="E1042" s="26" t="s">
        <v>450</v>
      </c>
      <c r="F1042" s="26" t="s">
        <v>58</v>
      </c>
      <c r="G1042" s="27">
        <f>G1043</f>
        <v>2976140</v>
      </c>
      <c r="H1042" s="27">
        <f>H1043</f>
        <v>2977180</v>
      </c>
      <c r="I1042" s="27">
        <f>I1043</f>
        <v>2977180</v>
      </c>
      <c r="J1042" s="16">
        <f>'БА в тыс. руб.'!G1042*1000</f>
        <v>2976140</v>
      </c>
      <c r="K1042" s="169">
        <f t="shared" si="721"/>
        <v>0</v>
      </c>
      <c r="L1042" s="16">
        <f>'БА в тыс. руб.'!H1042*1000</f>
        <v>2977180</v>
      </c>
      <c r="M1042" s="169">
        <f t="shared" si="722"/>
        <v>0</v>
      </c>
      <c r="N1042" s="16">
        <f>'БА в тыс. руб.'!I1042*1000</f>
        <v>2977180</v>
      </c>
      <c r="O1042" s="169">
        <f t="shared" si="723"/>
        <v>0</v>
      </c>
      <c r="P1042" s="16"/>
      <c r="Q1042" s="16"/>
      <c r="R1042" s="16"/>
      <c r="S1042" s="16"/>
      <c r="T1042" s="16"/>
      <c r="U1042" s="16"/>
    </row>
    <row r="1043" spans="1:21" s="3" customFormat="1" ht="25.5">
      <c r="A1043" s="34" t="s">
        <v>475</v>
      </c>
      <c r="B1043" s="35" t="s">
        <v>67</v>
      </c>
      <c r="C1043" s="36" t="s">
        <v>78</v>
      </c>
      <c r="D1043" s="36" t="s">
        <v>65</v>
      </c>
      <c r="E1043" s="36" t="s">
        <v>476</v>
      </c>
      <c r="F1043" s="36" t="s">
        <v>58</v>
      </c>
      <c r="G1043" s="37">
        <f>G1044</f>
        <v>2976140</v>
      </c>
      <c r="H1043" s="37">
        <f t="shared" ref="H1043:I1043" si="728">H1044</f>
        <v>2977180</v>
      </c>
      <c r="I1043" s="37">
        <f t="shared" si="728"/>
        <v>2977180</v>
      </c>
      <c r="J1043" s="16">
        <f>'БА в тыс. руб.'!G1043*1000</f>
        <v>2976140</v>
      </c>
      <c r="K1043" s="169">
        <f t="shared" si="721"/>
        <v>0</v>
      </c>
      <c r="L1043" s="16">
        <f>'БА в тыс. руб.'!H1043*1000</f>
        <v>2977180</v>
      </c>
      <c r="M1043" s="169">
        <f t="shared" si="722"/>
        <v>0</v>
      </c>
      <c r="N1043" s="16">
        <f>'БА в тыс. руб.'!I1043*1000</f>
        <v>2977180</v>
      </c>
      <c r="O1043" s="169">
        <f t="shared" si="723"/>
        <v>0</v>
      </c>
      <c r="P1043" s="16"/>
      <c r="Q1043" s="16"/>
      <c r="R1043" s="16"/>
      <c r="S1043" s="16"/>
      <c r="T1043" s="16"/>
      <c r="U1043" s="16"/>
    </row>
    <row r="1044" spans="1:21" s="3" customFormat="1" ht="25.5">
      <c r="A1044" s="39" t="s">
        <v>247</v>
      </c>
      <c r="B1044" s="35" t="s">
        <v>67</v>
      </c>
      <c r="C1044" s="36" t="s">
        <v>78</v>
      </c>
      <c r="D1044" s="36" t="s">
        <v>65</v>
      </c>
      <c r="E1044" s="36" t="s">
        <v>477</v>
      </c>
      <c r="F1044" s="36" t="s">
        <v>58</v>
      </c>
      <c r="G1044" s="37">
        <f t="shared" si="727"/>
        <v>2976140</v>
      </c>
      <c r="H1044" s="37">
        <f t="shared" si="727"/>
        <v>2977180</v>
      </c>
      <c r="I1044" s="37">
        <f t="shared" si="727"/>
        <v>2977180</v>
      </c>
      <c r="J1044" s="16">
        <f>'БА в тыс. руб.'!G1044*1000</f>
        <v>2976140</v>
      </c>
      <c r="K1044" s="169">
        <f t="shared" si="721"/>
        <v>0</v>
      </c>
      <c r="L1044" s="16">
        <f>'БА в тыс. руб.'!H1044*1000</f>
        <v>2977180</v>
      </c>
      <c r="M1044" s="169">
        <f t="shared" si="722"/>
        <v>0</v>
      </c>
      <c r="N1044" s="16">
        <f>'БА в тыс. руб.'!I1044*1000</f>
        <v>2977180</v>
      </c>
      <c r="O1044" s="169">
        <f t="shared" si="723"/>
        <v>0</v>
      </c>
      <c r="P1044" s="16"/>
      <c r="Q1044" s="16"/>
      <c r="R1044" s="16"/>
      <c r="S1044" s="16"/>
      <c r="T1044" s="16"/>
      <c r="U1044" s="16"/>
    </row>
    <row r="1045" spans="1:21" s="3" customFormat="1">
      <c r="A1045" s="13" t="s">
        <v>92</v>
      </c>
      <c r="B1045" s="35" t="s">
        <v>67</v>
      </c>
      <c r="C1045" s="36" t="s">
        <v>78</v>
      </c>
      <c r="D1045" s="36" t="s">
        <v>65</v>
      </c>
      <c r="E1045" s="36" t="s">
        <v>477</v>
      </c>
      <c r="F1045" s="36" t="s">
        <v>138</v>
      </c>
      <c r="G1045" s="27">
        <f>G1046</f>
        <v>2976140</v>
      </c>
      <c r="H1045" s="27">
        <f t="shared" si="727"/>
        <v>2977180</v>
      </c>
      <c r="I1045" s="27">
        <f t="shared" si="727"/>
        <v>2977180</v>
      </c>
      <c r="J1045" s="16">
        <f>'БА в тыс. руб.'!G1045*1000</f>
        <v>2976140</v>
      </c>
      <c r="K1045" s="169">
        <f t="shared" si="721"/>
        <v>0</v>
      </c>
      <c r="L1045" s="16">
        <f>'БА в тыс. руб.'!H1045*1000</f>
        <v>2977180</v>
      </c>
      <c r="M1045" s="169">
        <f t="shared" si="722"/>
        <v>0</v>
      </c>
      <c r="N1045" s="16">
        <f>'БА в тыс. руб.'!I1045*1000</f>
        <v>2977180</v>
      </c>
      <c r="O1045" s="169">
        <f t="shared" si="723"/>
        <v>0</v>
      </c>
      <c r="P1045" s="16"/>
      <c r="Q1045" s="16"/>
      <c r="R1045" s="16"/>
      <c r="S1045" s="16"/>
      <c r="T1045" s="16"/>
      <c r="U1045" s="16"/>
    </row>
    <row r="1046" spans="1:21" s="4" customFormat="1" ht="38.25">
      <c r="A1046" s="12" t="s">
        <v>1015</v>
      </c>
      <c r="B1046" s="35" t="s">
        <v>67</v>
      </c>
      <c r="C1046" s="36" t="s">
        <v>78</v>
      </c>
      <c r="D1046" s="36" t="s">
        <v>65</v>
      </c>
      <c r="E1046" s="36" t="s">
        <v>477</v>
      </c>
      <c r="F1046" s="36" t="s">
        <v>67</v>
      </c>
      <c r="G1046" s="27">
        <f t="shared" ref="G1046" si="729">J1046</f>
        <v>2976140</v>
      </c>
      <c r="H1046" s="27">
        <f>L1046</f>
        <v>2977180</v>
      </c>
      <c r="I1046" s="27">
        <f>N1046</f>
        <v>2977180</v>
      </c>
      <c r="J1046" s="16">
        <f>'БА в тыс. руб.'!G1046*1000</f>
        <v>2976140</v>
      </c>
      <c r="K1046" s="169">
        <f t="shared" si="721"/>
        <v>0</v>
      </c>
      <c r="L1046" s="16">
        <f>'БА в тыс. руб.'!H1046*1000</f>
        <v>2977180</v>
      </c>
      <c r="M1046" s="169">
        <f t="shared" si="722"/>
        <v>0</v>
      </c>
      <c r="N1046" s="16">
        <f>'БА в тыс. руб.'!I1046*1000</f>
        <v>2977180</v>
      </c>
      <c r="O1046" s="169">
        <f t="shared" si="723"/>
        <v>0</v>
      </c>
      <c r="P1046" s="16"/>
      <c r="Q1046" s="16"/>
      <c r="R1046" s="16"/>
      <c r="S1046" s="16"/>
      <c r="T1046" s="16"/>
      <c r="U1046" s="16"/>
    </row>
    <row r="1047" spans="1:21" s="3" customFormat="1">
      <c r="A1047" s="21" t="s">
        <v>80</v>
      </c>
      <c r="B1047" s="22" t="s">
        <v>67</v>
      </c>
      <c r="C1047" s="23" t="s">
        <v>78</v>
      </c>
      <c r="D1047" s="23" t="s">
        <v>66</v>
      </c>
      <c r="E1047" s="23" t="s">
        <v>196</v>
      </c>
      <c r="F1047" s="23" t="s">
        <v>58</v>
      </c>
      <c r="G1047" s="24">
        <f>G1048+G1054</f>
        <v>13046770</v>
      </c>
      <c r="H1047" s="24">
        <f>H1048+H1054</f>
        <v>11728590</v>
      </c>
      <c r="I1047" s="24">
        <f>I1048+I1054</f>
        <v>11728590</v>
      </c>
      <c r="J1047" s="16">
        <f>'БА в тыс. руб.'!G1047*1000</f>
        <v>13046770</v>
      </c>
      <c r="K1047" s="169">
        <f t="shared" si="721"/>
        <v>0</v>
      </c>
      <c r="L1047" s="16">
        <f>'БА в тыс. руб.'!H1047*1000</f>
        <v>11728590</v>
      </c>
      <c r="M1047" s="169">
        <f t="shared" si="722"/>
        <v>0</v>
      </c>
      <c r="N1047" s="16">
        <f>'БА в тыс. руб.'!I1047*1000</f>
        <v>11728590</v>
      </c>
      <c r="O1047" s="169">
        <f t="shared" si="723"/>
        <v>0</v>
      </c>
      <c r="P1047" s="16"/>
      <c r="Q1047" s="16"/>
      <c r="R1047" s="16"/>
      <c r="S1047" s="16"/>
      <c r="T1047" s="16"/>
      <c r="U1047" s="16"/>
    </row>
    <row r="1048" spans="1:21" s="3" customFormat="1" ht="25.5">
      <c r="A1048" s="11" t="s">
        <v>740</v>
      </c>
      <c r="B1048" s="25" t="s">
        <v>67</v>
      </c>
      <c r="C1048" s="26" t="s">
        <v>78</v>
      </c>
      <c r="D1048" s="26" t="s">
        <v>66</v>
      </c>
      <c r="E1048" s="26" t="s">
        <v>449</v>
      </c>
      <c r="F1048" s="26" t="s">
        <v>58</v>
      </c>
      <c r="G1048" s="27">
        <f t="shared" ref="G1048:I1050" si="730">G1049</f>
        <v>8206770</v>
      </c>
      <c r="H1048" s="27">
        <f t="shared" si="730"/>
        <v>7386090</v>
      </c>
      <c r="I1048" s="27">
        <f t="shared" si="730"/>
        <v>7386090</v>
      </c>
      <c r="J1048" s="16">
        <f>'БА в тыс. руб.'!G1048*1000</f>
        <v>8206770</v>
      </c>
      <c r="K1048" s="169">
        <f t="shared" si="721"/>
        <v>0</v>
      </c>
      <c r="L1048" s="16">
        <f>'БА в тыс. руб.'!H1048*1000</f>
        <v>7386090</v>
      </c>
      <c r="M1048" s="169">
        <f t="shared" si="722"/>
        <v>0</v>
      </c>
      <c r="N1048" s="16">
        <f>'БА в тыс. руб.'!I1048*1000</f>
        <v>7386090</v>
      </c>
      <c r="O1048" s="169">
        <f t="shared" si="723"/>
        <v>0</v>
      </c>
      <c r="P1048" s="16"/>
      <c r="Q1048" s="16"/>
      <c r="R1048" s="16"/>
      <c r="S1048" s="16"/>
      <c r="T1048" s="16"/>
      <c r="U1048" s="16"/>
    </row>
    <row r="1049" spans="1:21" s="3" customFormat="1" ht="38.25">
      <c r="A1049" s="11" t="s">
        <v>141</v>
      </c>
      <c r="B1049" s="25" t="s">
        <v>67</v>
      </c>
      <c r="C1049" s="26" t="s">
        <v>78</v>
      </c>
      <c r="D1049" s="26" t="s">
        <v>66</v>
      </c>
      <c r="E1049" s="26" t="s">
        <v>450</v>
      </c>
      <c r="F1049" s="26" t="s">
        <v>58</v>
      </c>
      <c r="G1049" s="27">
        <f t="shared" si="730"/>
        <v>8206770</v>
      </c>
      <c r="H1049" s="27">
        <f t="shared" si="730"/>
        <v>7386090</v>
      </c>
      <c r="I1049" s="27">
        <f t="shared" si="730"/>
        <v>7386090</v>
      </c>
      <c r="J1049" s="16">
        <f>'БА в тыс. руб.'!G1049*1000</f>
        <v>8206770</v>
      </c>
      <c r="K1049" s="169">
        <f t="shared" si="721"/>
        <v>0</v>
      </c>
      <c r="L1049" s="16">
        <f>'БА в тыс. руб.'!H1049*1000</f>
        <v>7386090</v>
      </c>
      <c r="M1049" s="169">
        <f t="shared" si="722"/>
        <v>0</v>
      </c>
      <c r="N1049" s="16">
        <f>'БА в тыс. руб.'!I1049*1000</f>
        <v>7386090</v>
      </c>
      <c r="O1049" s="169">
        <f t="shared" si="723"/>
        <v>0</v>
      </c>
      <c r="P1049" s="16"/>
      <c r="Q1049" s="16"/>
      <c r="R1049" s="16"/>
      <c r="S1049" s="16"/>
      <c r="T1049" s="16"/>
      <c r="U1049" s="16"/>
    </row>
    <row r="1050" spans="1:21" s="3" customFormat="1" ht="63.75">
      <c r="A1050" s="11" t="s">
        <v>884</v>
      </c>
      <c r="B1050" s="25" t="s">
        <v>67</v>
      </c>
      <c r="C1050" s="26" t="s">
        <v>78</v>
      </c>
      <c r="D1050" s="26" t="s">
        <v>66</v>
      </c>
      <c r="E1050" s="26" t="s">
        <v>812</v>
      </c>
      <c r="F1050" s="26" t="s">
        <v>58</v>
      </c>
      <c r="G1050" s="27">
        <f>G1051</f>
        <v>8206770</v>
      </c>
      <c r="H1050" s="27">
        <f t="shared" si="730"/>
        <v>7386090</v>
      </c>
      <c r="I1050" s="27">
        <f t="shared" si="730"/>
        <v>7386090</v>
      </c>
      <c r="J1050" s="16">
        <f>'БА в тыс. руб.'!G1050*1000</f>
        <v>8206770</v>
      </c>
      <c r="K1050" s="169">
        <f t="shared" si="721"/>
        <v>0</v>
      </c>
      <c r="L1050" s="16">
        <f>'БА в тыс. руб.'!H1050*1000</f>
        <v>7386090</v>
      </c>
      <c r="M1050" s="169">
        <f t="shared" si="722"/>
        <v>0</v>
      </c>
      <c r="N1050" s="16">
        <f>'БА в тыс. руб.'!I1050*1000</f>
        <v>7386090</v>
      </c>
      <c r="O1050" s="169">
        <f t="shared" si="723"/>
        <v>0</v>
      </c>
      <c r="P1050" s="16"/>
      <c r="Q1050" s="16"/>
      <c r="R1050" s="16"/>
      <c r="S1050" s="16"/>
      <c r="T1050" s="16"/>
      <c r="U1050" s="16"/>
    </row>
    <row r="1051" spans="1:21" s="3" customFormat="1" ht="25.5">
      <c r="A1051" s="39" t="s">
        <v>247</v>
      </c>
      <c r="B1051" s="35" t="s">
        <v>67</v>
      </c>
      <c r="C1051" s="26" t="s">
        <v>78</v>
      </c>
      <c r="D1051" s="26" t="s">
        <v>66</v>
      </c>
      <c r="E1051" s="36" t="s">
        <v>813</v>
      </c>
      <c r="F1051" s="36" t="s">
        <v>58</v>
      </c>
      <c r="G1051" s="37">
        <f t="shared" ref="G1051:I1052" si="731">G1052</f>
        <v>8206770</v>
      </c>
      <c r="H1051" s="37">
        <f t="shared" si="731"/>
        <v>7386090</v>
      </c>
      <c r="I1051" s="37">
        <f t="shared" si="731"/>
        <v>7386090</v>
      </c>
      <c r="J1051" s="16">
        <f>'БА в тыс. руб.'!G1051*1000</f>
        <v>8206770</v>
      </c>
      <c r="K1051" s="169">
        <f t="shared" si="721"/>
        <v>0</v>
      </c>
      <c r="L1051" s="16">
        <f>'БА в тыс. руб.'!H1051*1000</f>
        <v>7386090</v>
      </c>
      <c r="M1051" s="169">
        <f t="shared" si="722"/>
        <v>0</v>
      </c>
      <c r="N1051" s="16">
        <f>'БА в тыс. руб.'!I1051*1000</f>
        <v>7386090</v>
      </c>
      <c r="O1051" s="169">
        <f t="shared" si="723"/>
        <v>0</v>
      </c>
      <c r="P1051" s="16"/>
      <c r="Q1051" s="16"/>
      <c r="R1051" s="16"/>
      <c r="S1051" s="16"/>
      <c r="T1051" s="16"/>
      <c r="U1051" s="16"/>
    </row>
    <row r="1052" spans="1:21" s="3" customFormat="1">
      <c r="A1052" s="13" t="s">
        <v>92</v>
      </c>
      <c r="B1052" s="35" t="s">
        <v>67</v>
      </c>
      <c r="C1052" s="26" t="s">
        <v>78</v>
      </c>
      <c r="D1052" s="26" t="s">
        <v>66</v>
      </c>
      <c r="E1052" s="36" t="s">
        <v>813</v>
      </c>
      <c r="F1052" s="36" t="s">
        <v>138</v>
      </c>
      <c r="G1052" s="27">
        <f>G1053</f>
        <v>8206770</v>
      </c>
      <c r="H1052" s="27">
        <f t="shared" si="731"/>
        <v>7386090</v>
      </c>
      <c r="I1052" s="27">
        <f t="shared" si="731"/>
        <v>7386090</v>
      </c>
      <c r="J1052" s="16">
        <f>'БА в тыс. руб.'!G1052*1000</f>
        <v>8206770</v>
      </c>
      <c r="K1052" s="169">
        <f t="shared" si="721"/>
        <v>0</v>
      </c>
      <c r="L1052" s="16">
        <f>'БА в тыс. руб.'!H1052*1000</f>
        <v>7386090</v>
      </c>
      <c r="M1052" s="169">
        <f t="shared" si="722"/>
        <v>0</v>
      </c>
      <c r="N1052" s="16">
        <f>'БА в тыс. руб.'!I1052*1000</f>
        <v>7386090</v>
      </c>
      <c r="O1052" s="169">
        <f t="shared" si="723"/>
        <v>0</v>
      </c>
      <c r="P1052" s="16"/>
      <c r="Q1052" s="16"/>
      <c r="R1052" s="16"/>
      <c r="S1052" s="16"/>
      <c r="T1052" s="16"/>
      <c r="U1052" s="16"/>
    </row>
    <row r="1053" spans="1:21" s="4" customFormat="1" ht="38.25">
      <c r="A1053" s="12" t="s">
        <v>1015</v>
      </c>
      <c r="B1053" s="35" t="s">
        <v>67</v>
      </c>
      <c r="C1053" s="26" t="s">
        <v>78</v>
      </c>
      <c r="D1053" s="26" t="s">
        <v>66</v>
      </c>
      <c r="E1053" s="36" t="s">
        <v>813</v>
      </c>
      <c r="F1053" s="36" t="s">
        <v>67</v>
      </c>
      <c r="G1053" s="27">
        <f t="shared" ref="G1053" si="732">J1053</f>
        <v>8206770</v>
      </c>
      <c r="H1053" s="27">
        <f>L1053</f>
        <v>7386090</v>
      </c>
      <c r="I1053" s="27">
        <f>N1053</f>
        <v>7386090</v>
      </c>
      <c r="J1053" s="16">
        <f>'БА в тыс. руб.'!G1053*1000</f>
        <v>8206770</v>
      </c>
      <c r="K1053" s="169">
        <f t="shared" si="721"/>
        <v>0</v>
      </c>
      <c r="L1053" s="16">
        <f>'БА в тыс. руб.'!H1053*1000</f>
        <v>7386090</v>
      </c>
      <c r="M1053" s="169">
        <f t="shared" si="722"/>
        <v>0</v>
      </c>
      <c r="N1053" s="16">
        <f>'БА в тыс. руб.'!I1053*1000</f>
        <v>7386090</v>
      </c>
      <c r="O1053" s="169">
        <f t="shared" si="723"/>
        <v>0</v>
      </c>
      <c r="P1053" s="16"/>
      <c r="Q1053" s="16"/>
      <c r="R1053" s="16"/>
      <c r="S1053" s="16"/>
      <c r="T1053" s="16"/>
      <c r="U1053" s="16"/>
    </row>
    <row r="1054" spans="1:21" s="3" customFormat="1" ht="25.5">
      <c r="A1054" s="11" t="s">
        <v>883</v>
      </c>
      <c r="B1054" s="25" t="s">
        <v>67</v>
      </c>
      <c r="C1054" s="26" t="s">
        <v>78</v>
      </c>
      <c r="D1054" s="26" t="s">
        <v>66</v>
      </c>
      <c r="E1054" s="26" t="s">
        <v>478</v>
      </c>
      <c r="F1054" s="26" t="s">
        <v>58</v>
      </c>
      <c r="G1054" s="27">
        <f>G1055+G1061+G1065</f>
        <v>4840000</v>
      </c>
      <c r="H1054" s="27">
        <f>H1055+H1061+H1065</f>
        <v>4342500</v>
      </c>
      <c r="I1054" s="27">
        <f>I1055+I1061+I1065</f>
        <v>4342500</v>
      </c>
      <c r="J1054" s="16">
        <f>'БА в тыс. руб.'!G1054*1000</f>
        <v>4840000</v>
      </c>
      <c r="K1054" s="169">
        <f t="shared" si="721"/>
        <v>0</v>
      </c>
      <c r="L1054" s="16">
        <f>'БА в тыс. руб.'!H1054*1000</f>
        <v>4342500</v>
      </c>
      <c r="M1054" s="169">
        <f t="shared" si="722"/>
        <v>0</v>
      </c>
      <c r="N1054" s="16">
        <f>'БА в тыс. руб.'!I1054*1000</f>
        <v>4342500</v>
      </c>
      <c r="O1054" s="169">
        <f t="shared" si="723"/>
        <v>0</v>
      </c>
      <c r="P1054" s="16"/>
      <c r="Q1054" s="16"/>
      <c r="R1054" s="16"/>
      <c r="S1054" s="16"/>
      <c r="T1054" s="16"/>
      <c r="U1054" s="16"/>
    </row>
    <row r="1055" spans="1:21" s="3" customFormat="1" ht="25.5">
      <c r="A1055" s="11" t="s">
        <v>619</v>
      </c>
      <c r="B1055" s="25" t="s">
        <v>67</v>
      </c>
      <c r="C1055" s="26" t="s">
        <v>78</v>
      </c>
      <c r="D1055" s="26" t="s">
        <v>66</v>
      </c>
      <c r="E1055" s="26" t="s">
        <v>479</v>
      </c>
      <c r="F1055" s="26" t="s">
        <v>58</v>
      </c>
      <c r="G1055" s="27">
        <f>G1056</f>
        <v>4750000</v>
      </c>
      <c r="H1055" s="27">
        <f t="shared" ref="H1055:I1055" si="733">H1056</f>
        <v>4275000</v>
      </c>
      <c r="I1055" s="27">
        <f t="shared" si="733"/>
        <v>4275000</v>
      </c>
      <c r="J1055" s="16">
        <f>'БА в тыс. руб.'!G1055*1000</f>
        <v>4750000</v>
      </c>
      <c r="K1055" s="169">
        <f t="shared" si="721"/>
        <v>0</v>
      </c>
      <c r="L1055" s="16">
        <f>'БА в тыс. руб.'!H1055*1000</f>
        <v>4275000</v>
      </c>
      <c r="M1055" s="169">
        <f t="shared" si="722"/>
        <v>0</v>
      </c>
      <c r="N1055" s="16">
        <f>'БА в тыс. руб.'!I1055*1000</f>
        <v>4275000</v>
      </c>
      <c r="O1055" s="169">
        <f t="shared" si="723"/>
        <v>0</v>
      </c>
      <c r="P1055" s="16"/>
      <c r="Q1055" s="16"/>
      <c r="R1055" s="16"/>
      <c r="S1055" s="16"/>
      <c r="T1055" s="16"/>
      <c r="U1055" s="16"/>
    </row>
    <row r="1056" spans="1:21" s="3" customFormat="1" ht="25.5">
      <c r="A1056" s="11" t="s">
        <v>163</v>
      </c>
      <c r="B1056" s="25" t="s">
        <v>67</v>
      </c>
      <c r="C1056" s="26" t="s">
        <v>78</v>
      </c>
      <c r="D1056" s="26" t="s">
        <v>66</v>
      </c>
      <c r="E1056" s="26" t="s">
        <v>480</v>
      </c>
      <c r="F1056" s="26" t="s">
        <v>58</v>
      </c>
      <c r="G1056" s="27">
        <f>G1059+G1057</f>
        <v>4750000</v>
      </c>
      <c r="H1056" s="27">
        <f>H1059+H1057</f>
        <v>4275000</v>
      </c>
      <c r="I1056" s="27">
        <f>I1059+I1057</f>
        <v>4275000</v>
      </c>
      <c r="J1056" s="16">
        <f>'БА в тыс. руб.'!G1056*1000</f>
        <v>4750000</v>
      </c>
      <c r="K1056" s="169">
        <f t="shared" si="721"/>
        <v>0</v>
      </c>
      <c r="L1056" s="16">
        <f>'БА в тыс. руб.'!H1056*1000</f>
        <v>4275000</v>
      </c>
      <c r="M1056" s="169">
        <f t="shared" si="722"/>
        <v>0</v>
      </c>
      <c r="N1056" s="16">
        <f>'БА в тыс. руб.'!I1056*1000</f>
        <v>4275000</v>
      </c>
      <c r="O1056" s="169">
        <f t="shared" si="723"/>
        <v>0</v>
      </c>
      <c r="P1056" s="16"/>
      <c r="Q1056" s="16"/>
      <c r="R1056" s="16"/>
      <c r="S1056" s="16"/>
      <c r="T1056" s="16"/>
      <c r="U1056" s="16"/>
    </row>
    <row r="1057" spans="1:21" s="3" customFormat="1">
      <c r="A1057" s="11" t="s">
        <v>106</v>
      </c>
      <c r="B1057" s="25" t="s">
        <v>67</v>
      </c>
      <c r="C1057" s="26" t="s">
        <v>78</v>
      </c>
      <c r="D1057" s="26" t="s">
        <v>66</v>
      </c>
      <c r="E1057" s="26" t="s">
        <v>480</v>
      </c>
      <c r="F1057" s="26" t="s">
        <v>121</v>
      </c>
      <c r="G1057" s="27">
        <f>G1058</f>
        <v>3052000</v>
      </c>
      <c r="H1057" s="27">
        <f t="shared" ref="H1057:I1057" si="734">H1058</f>
        <v>2577000</v>
      </c>
      <c r="I1057" s="27">
        <f t="shared" si="734"/>
        <v>2577000</v>
      </c>
      <c r="J1057" s="16">
        <f>'БА в тыс. руб.'!G1057*1000</f>
        <v>3052000</v>
      </c>
      <c r="K1057" s="169">
        <f t="shared" si="721"/>
        <v>0</v>
      </c>
      <c r="L1057" s="16">
        <f>'БА в тыс. руб.'!H1057*1000</f>
        <v>2577000</v>
      </c>
      <c r="M1057" s="169">
        <f t="shared" si="722"/>
        <v>0</v>
      </c>
      <c r="N1057" s="16">
        <f>'БА в тыс. руб.'!I1057*1000</f>
        <v>2577000</v>
      </c>
      <c r="O1057" s="169">
        <f t="shared" si="723"/>
        <v>0</v>
      </c>
      <c r="P1057" s="16"/>
      <c r="Q1057" s="16"/>
      <c r="R1057" s="16"/>
      <c r="S1057" s="16"/>
      <c r="T1057" s="16"/>
      <c r="U1057" s="16"/>
    </row>
    <row r="1058" spans="1:21" s="4" customFormat="1" ht="38.25">
      <c r="A1058" s="12" t="s">
        <v>934</v>
      </c>
      <c r="B1058" s="25" t="s">
        <v>67</v>
      </c>
      <c r="C1058" s="26" t="s">
        <v>78</v>
      </c>
      <c r="D1058" s="26" t="s">
        <v>66</v>
      </c>
      <c r="E1058" s="26" t="s">
        <v>480</v>
      </c>
      <c r="F1058" s="26" t="s">
        <v>1071</v>
      </c>
      <c r="G1058" s="27">
        <f t="shared" ref="G1058" si="735">J1058</f>
        <v>3052000</v>
      </c>
      <c r="H1058" s="27">
        <f>L1058</f>
        <v>2577000</v>
      </c>
      <c r="I1058" s="27">
        <f>N1058</f>
        <v>2577000</v>
      </c>
      <c r="J1058" s="16">
        <f>'БА в тыс. руб.'!G1058*1000</f>
        <v>3052000</v>
      </c>
      <c r="K1058" s="169">
        <f t="shared" si="721"/>
        <v>0</v>
      </c>
      <c r="L1058" s="16">
        <f>'БА в тыс. руб.'!H1058*1000</f>
        <v>2577000</v>
      </c>
      <c r="M1058" s="169">
        <f t="shared" si="722"/>
        <v>0</v>
      </c>
      <c r="N1058" s="16">
        <f>'БА в тыс. руб.'!I1058*1000</f>
        <v>2577000</v>
      </c>
      <c r="O1058" s="169">
        <f t="shared" si="723"/>
        <v>0</v>
      </c>
      <c r="P1058" s="16"/>
      <c r="Q1058" s="16"/>
      <c r="R1058" s="16"/>
      <c r="S1058" s="16"/>
      <c r="T1058" s="16"/>
      <c r="U1058" s="16"/>
    </row>
    <row r="1059" spans="1:21" s="3" customFormat="1" ht="25.5">
      <c r="A1059" s="11" t="s">
        <v>108</v>
      </c>
      <c r="B1059" s="25" t="s">
        <v>67</v>
      </c>
      <c r="C1059" s="26" t="s">
        <v>78</v>
      </c>
      <c r="D1059" s="26" t="s">
        <v>66</v>
      </c>
      <c r="E1059" s="26" t="s">
        <v>480</v>
      </c>
      <c r="F1059" s="26" t="s">
        <v>116</v>
      </c>
      <c r="G1059" s="27">
        <f>G1060</f>
        <v>1698000</v>
      </c>
      <c r="H1059" s="27">
        <f t="shared" ref="H1059:I1059" si="736">H1060</f>
        <v>1698000</v>
      </c>
      <c r="I1059" s="27">
        <f t="shared" si="736"/>
        <v>1698000</v>
      </c>
      <c r="J1059" s="16">
        <f>'БА в тыс. руб.'!G1059*1000</f>
        <v>1698000</v>
      </c>
      <c r="K1059" s="169">
        <f t="shared" si="721"/>
        <v>0</v>
      </c>
      <c r="L1059" s="16">
        <f>'БА в тыс. руб.'!H1059*1000</f>
        <v>1698000</v>
      </c>
      <c r="M1059" s="169">
        <f t="shared" si="722"/>
        <v>0</v>
      </c>
      <c r="N1059" s="16">
        <f>'БА в тыс. руб.'!I1059*1000</f>
        <v>1698000</v>
      </c>
      <c r="O1059" s="169">
        <f t="shared" si="723"/>
        <v>0</v>
      </c>
      <c r="P1059" s="16"/>
      <c r="Q1059" s="16"/>
      <c r="R1059" s="16"/>
      <c r="S1059" s="16"/>
      <c r="T1059" s="16"/>
      <c r="U1059" s="16"/>
    </row>
    <row r="1060" spans="1:21" s="4" customFormat="1" ht="25.5">
      <c r="A1060" s="12" t="s">
        <v>973</v>
      </c>
      <c r="B1060" s="25" t="s">
        <v>67</v>
      </c>
      <c r="C1060" s="26" t="s">
        <v>78</v>
      </c>
      <c r="D1060" s="26" t="s">
        <v>66</v>
      </c>
      <c r="E1060" s="26" t="s">
        <v>480</v>
      </c>
      <c r="F1060" s="26" t="s">
        <v>1043</v>
      </c>
      <c r="G1060" s="27">
        <f t="shared" ref="G1060" si="737">J1060</f>
        <v>1698000</v>
      </c>
      <c r="H1060" s="27">
        <f>L1060</f>
        <v>1698000</v>
      </c>
      <c r="I1060" s="27">
        <f>N1060</f>
        <v>1698000</v>
      </c>
      <c r="J1060" s="16">
        <f>'БА в тыс. руб.'!G1060*1000</f>
        <v>1698000</v>
      </c>
      <c r="K1060" s="169">
        <f t="shared" si="721"/>
        <v>0</v>
      </c>
      <c r="L1060" s="16">
        <f>'БА в тыс. руб.'!H1060*1000</f>
        <v>1698000</v>
      </c>
      <c r="M1060" s="169">
        <f t="shared" si="722"/>
        <v>0</v>
      </c>
      <c r="N1060" s="16">
        <f>'БА в тыс. руб.'!I1060*1000</f>
        <v>1698000</v>
      </c>
      <c r="O1060" s="169">
        <f t="shared" si="723"/>
        <v>0</v>
      </c>
      <c r="P1060" s="16"/>
      <c r="Q1060" s="16"/>
      <c r="R1060" s="16"/>
      <c r="S1060" s="16"/>
      <c r="T1060" s="16"/>
      <c r="U1060" s="16"/>
    </row>
    <row r="1061" spans="1:21" s="3" customFormat="1" ht="38.25">
      <c r="A1061" s="40" t="s">
        <v>814</v>
      </c>
      <c r="B1061" s="25" t="s">
        <v>67</v>
      </c>
      <c r="C1061" s="26" t="s">
        <v>78</v>
      </c>
      <c r="D1061" s="26" t="s">
        <v>66</v>
      </c>
      <c r="E1061" s="26" t="s">
        <v>815</v>
      </c>
      <c r="F1061" s="26" t="s">
        <v>58</v>
      </c>
      <c r="G1061" s="27">
        <f>G1062</f>
        <v>15000</v>
      </c>
      <c r="H1061" s="27">
        <f t="shared" ref="H1061:I1063" si="738">H1062</f>
        <v>11250</v>
      </c>
      <c r="I1061" s="27">
        <f t="shared" si="738"/>
        <v>11250</v>
      </c>
      <c r="J1061" s="16">
        <f>'БА в тыс. руб.'!G1061*1000</f>
        <v>15000</v>
      </c>
      <c r="K1061" s="169">
        <f t="shared" si="721"/>
        <v>0</v>
      </c>
      <c r="L1061" s="16">
        <f>'БА в тыс. руб.'!H1061*1000</f>
        <v>11250</v>
      </c>
      <c r="M1061" s="169">
        <f t="shared" si="722"/>
        <v>0</v>
      </c>
      <c r="N1061" s="16">
        <f>'БА в тыс. руб.'!I1061*1000</f>
        <v>11250</v>
      </c>
      <c r="O1061" s="169">
        <f t="shared" si="723"/>
        <v>0</v>
      </c>
      <c r="P1061" s="16"/>
      <c r="Q1061" s="16"/>
      <c r="R1061" s="16"/>
      <c r="S1061" s="16"/>
      <c r="T1061" s="16"/>
      <c r="U1061" s="16"/>
    </row>
    <row r="1062" spans="1:21" s="3" customFormat="1">
      <c r="A1062" s="12" t="s">
        <v>885</v>
      </c>
      <c r="B1062" s="25" t="s">
        <v>67</v>
      </c>
      <c r="C1062" s="26" t="s">
        <v>78</v>
      </c>
      <c r="D1062" s="26" t="s">
        <v>66</v>
      </c>
      <c r="E1062" s="26" t="s">
        <v>816</v>
      </c>
      <c r="F1062" s="26" t="s">
        <v>58</v>
      </c>
      <c r="G1062" s="27">
        <f>G1063</f>
        <v>15000</v>
      </c>
      <c r="H1062" s="27">
        <f t="shared" si="738"/>
        <v>11250</v>
      </c>
      <c r="I1062" s="27">
        <f t="shared" si="738"/>
        <v>11250</v>
      </c>
      <c r="J1062" s="16">
        <f>'БА в тыс. руб.'!G1062*1000</f>
        <v>15000</v>
      </c>
      <c r="K1062" s="169">
        <f t="shared" si="721"/>
        <v>0</v>
      </c>
      <c r="L1062" s="16">
        <f>'БА в тыс. руб.'!H1062*1000</f>
        <v>11250</v>
      </c>
      <c r="M1062" s="169">
        <f t="shared" si="722"/>
        <v>0</v>
      </c>
      <c r="N1062" s="16">
        <f>'БА в тыс. руб.'!I1062*1000</f>
        <v>11250</v>
      </c>
      <c r="O1062" s="169">
        <f t="shared" si="723"/>
        <v>0</v>
      </c>
      <c r="P1062" s="16"/>
      <c r="Q1062" s="16"/>
      <c r="R1062" s="16"/>
      <c r="S1062" s="16"/>
      <c r="T1062" s="16"/>
      <c r="U1062" s="16"/>
    </row>
    <row r="1063" spans="1:21" s="3" customFormat="1" ht="25.5">
      <c r="A1063" s="11" t="s">
        <v>108</v>
      </c>
      <c r="B1063" s="25" t="s">
        <v>67</v>
      </c>
      <c r="C1063" s="26" t="s">
        <v>78</v>
      </c>
      <c r="D1063" s="26" t="s">
        <v>66</v>
      </c>
      <c r="E1063" s="26" t="s">
        <v>816</v>
      </c>
      <c r="F1063" s="26" t="s">
        <v>116</v>
      </c>
      <c r="G1063" s="27">
        <f>G1064</f>
        <v>15000</v>
      </c>
      <c r="H1063" s="27">
        <f t="shared" si="738"/>
        <v>11250</v>
      </c>
      <c r="I1063" s="27">
        <f t="shared" si="738"/>
        <v>11250</v>
      </c>
      <c r="J1063" s="16">
        <f>'БА в тыс. руб.'!G1063*1000</f>
        <v>15000</v>
      </c>
      <c r="K1063" s="169">
        <f t="shared" si="721"/>
        <v>0</v>
      </c>
      <c r="L1063" s="16">
        <f>'БА в тыс. руб.'!H1063*1000</f>
        <v>11250</v>
      </c>
      <c r="M1063" s="169">
        <f t="shared" si="722"/>
        <v>0</v>
      </c>
      <c r="N1063" s="16">
        <f>'БА в тыс. руб.'!I1063*1000</f>
        <v>11250</v>
      </c>
      <c r="O1063" s="169">
        <f t="shared" si="723"/>
        <v>0</v>
      </c>
      <c r="P1063" s="16"/>
      <c r="Q1063" s="16"/>
      <c r="R1063" s="16"/>
      <c r="S1063" s="16"/>
      <c r="T1063" s="16"/>
      <c r="U1063" s="16"/>
    </row>
    <row r="1064" spans="1:21" s="4" customFormat="1" ht="25.5">
      <c r="A1064" s="12" t="s">
        <v>973</v>
      </c>
      <c r="B1064" s="25" t="s">
        <v>67</v>
      </c>
      <c r="C1064" s="26" t="s">
        <v>78</v>
      </c>
      <c r="D1064" s="26" t="s">
        <v>66</v>
      </c>
      <c r="E1064" s="26" t="s">
        <v>816</v>
      </c>
      <c r="F1064" s="26" t="s">
        <v>1043</v>
      </c>
      <c r="G1064" s="27">
        <f t="shared" ref="G1064" si="739">J1064</f>
        <v>15000</v>
      </c>
      <c r="H1064" s="27">
        <f>L1064</f>
        <v>11250</v>
      </c>
      <c r="I1064" s="27">
        <f>N1064</f>
        <v>11250</v>
      </c>
      <c r="J1064" s="16">
        <f>'БА в тыс. руб.'!G1064*1000</f>
        <v>15000</v>
      </c>
      <c r="K1064" s="169">
        <f t="shared" si="721"/>
        <v>0</v>
      </c>
      <c r="L1064" s="16">
        <f>'БА в тыс. руб.'!H1064*1000</f>
        <v>11250</v>
      </c>
      <c r="M1064" s="169">
        <f t="shared" si="722"/>
        <v>0</v>
      </c>
      <c r="N1064" s="16">
        <f>'БА в тыс. руб.'!I1064*1000</f>
        <v>11250</v>
      </c>
      <c r="O1064" s="169">
        <f t="shared" si="723"/>
        <v>0</v>
      </c>
      <c r="P1064" s="16"/>
      <c r="Q1064" s="16"/>
      <c r="R1064" s="16"/>
      <c r="S1064" s="16"/>
      <c r="T1064" s="16"/>
      <c r="U1064" s="16"/>
    </row>
    <row r="1065" spans="1:21" s="3" customFormat="1" ht="38.25">
      <c r="A1065" s="40" t="s">
        <v>817</v>
      </c>
      <c r="B1065" s="25" t="s">
        <v>67</v>
      </c>
      <c r="C1065" s="26" t="s">
        <v>78</v>
      </c>
      <c r="D1065" s="26" t="s">
        <v>66</v>
      </c>
      <c r="E1065" s="26" t="s">
        <v>818</v>
      </c>
      <c r="F1065" s="26" t="s">
        <v>58</v>
      </c>
      <c r="G1065" s="27">
        <f t="shared" ref="G1065:I1067" si="740">G1066</f>
        <v>75000</v>
      </c>
      <c r="H1065" s="27">
        <f t="shared" si="740"/>
        <v>56250</v>
      </c>
      <c r="I1065" s="27">
        <f t="shared" si="740"/>
        <v>56250</v>
      </c>
      <c r="J1065" s="16">
        <f>'БА в тыс. руб.'!G1065*1000</f>
        <v>75000</v>
      </c>
      <c r="K1065" s="169">
        <f t="shared" si="721"/>
        <v>0</v>
      </c>
      <c r="L1065" s="16">
        <f>'БА в тыс. руб.'!H1065*1000</f>
        <v>56250</v>
      </c>
      <c r="M1065" s="169">
        <f t="shared" si="722"/>
        <v>0</v>
      </c>
      <c r="N1065" s="16">
        <f>'БА в тыс. руб.'!I1065*1000</f>
        <v>56250</v>
      </c>
      <c r="O1065" s="169">
        <f t="shared" si="723"/>
        <v>0</v>
      </c>
      <c r="P1065" s="16"/>
      <c r="Q1065" s="16"/>
      <c r="R1065" s="16"/>
      <c r="S1065" s="16"/>
      <c r="T1065" s="16"/>
      <c r="U1065" s="16"/>
    </row>
    <row r="1066" spans="1:21" s="3" customFormat="1" ht="25.5">
      <c r="A1066" s="12" t="s">
        <v>886</v>
      </c>
      <c r="B1066" s="25" t="s">
        <v>67</v>
      </c>
      <c r="C1066" s="26" t="s">
        <v>78</v>
      </c>
      <c r="D1066" s="26" t="s">
        <v>66</v>
      </c>
      <c r="E1066" s="26" t="s">
        <v>908</v>
      </c>
      <c r="F1066" s="26" t="s">
        <v>58</v>
      </c>
      <c r="G1066" s="27">
        <f>G1067</f>
        <v>75000</v>
      </c>
      <c r="H1066" s="27">
        <f t="shared" si="740"/>
        <v>56250</v>
      </c>
      <c r="I1066" s="27">
        <f t="shared" si="740"/>
        <v>56250</v>
      </c>
      <c r="J1066" s="16">
        <f>'БА в тыс. руб.'!G1066*1000</f>
        <v>75000</v>
      </c>
      <c r="K1066" s="169">
        <f t="shared" si="721"/>
        <v>0</v>
      </c>
      <c r="L1066" s="16">
        <f>'БА в тыс. руб.'!H1066*1000</f>
        <v>56250</v>
      </c>
      <c r="M1066" s="169">
        <f t="shared" si="722"/>
        <v>0</v>
      </c>
      <c r="N1066" s="16">
        <f>'БА в тыс. руб.'!I1066*1000</f>
        <v>56250</v>
      </c>
      <c r="O1066" s="169">
        <f t="shared" si="723"/>
        <v>0</v>
      </c>
      <c r="P1066" s="16"/>
      <c r="Q1066" s="16"/>
      <c r="R1066" s="16"/>
      <c r="S1066" s="16"/>
      <c r="T1066" s="16"/>
      <c r="U1066" s="16"/>
    </row>
    <row r="1067" spans="1:21" s="3" customFormat="1" ht="25.5">
      <c r="A1067" s="11" t="s">
        <v>108</v>
      </c>
      <c r="B1067" s="25" t="s">
        <v>67</v>
      </c>
      <c r="C1067" s="26" t="s">
        <v>78</v>
      </c>
      <c r="D1067" s="26" t="s">
        <v>66</v>
      </c>
      <c r="E1067" s="26" t="s">
        <v>908</v>
      </c>
      <c r="F1067" s="26" t="s">
        <v>116</v>
      </c>
      <c r="G1067" s="27">
        <f>G1068</f>
        <v>75000</v>
      </c>
      <c r="H1067" s="27">
        <f t="shared" si="740"/>
        <v>56250</v>
      </c>
      <c r="I1067" s="27">
        <f t="shared" si="740"/>
        <v>56250</v>
      </c>
      <c r="J1067" s="16">
        <f>'БА в тыс. руб.'!G1067*1000</f>
        <v>75000</v>
      </c>
      <c r="K1067" s="169">
        <f t="shared" si="721"/>
        <v>0</v>
      </c>
      <c r="L1067" s="16">
        <f>'БА в тыс. руб.'!H1067*1000</f>
        <v>56250</v>
      </c>
      <c r="M1067" s="169">
        <f t="shared" si="722"/>
        <v>0</v>
      </c>
      <c r="N1067" s="16">
        <f>'БА в тыс. руб.'!I1067*1000</f>
        <v>56250</v>
      </c>
      <c r="O1067" s="169">
        <f t="shared" si="723"/>
        <v>0</v>
      </c>
      <c r="P1067" s="16"/>
      <c r="Q1067" s="16"/>
      <c r="R1067" s="16"/>
      <c r="S1067" s="16"/>
      <c r="T1067" s="16"/>
      <c r="U1067" s="16"/>
    </row>
    <row r="1068" spans="1:21" s="4" customFormat="1" ht="25.5">
      <c r="A1068" s="12" t="s">
        <v>973</v>
      </c>
      <c r="B1068" s="25" t="s">
        <v>67</v>
      </c>
      <c r="C1068" s="26" t="s">
        <v>78</v>
      </c>
      <c r="D1068" s="26" t="s">
        <v>66</v>
      </c>
      <c r="E1068" s="26" t="s">
        <v>908</v>
      </c>
      <c r="F1068" s="26" t="s">
        <v>1043</v>
      </c>
      <c r="G1068" s="27">
        <f t="shared" ref="G1068" si="741">J1068</f>
        <v>75000</v>
      </c>
      <c r="H1068" s="27">
        <f>L1068</f>
        <v>56250</v>
      </c>
      <c r="I1068" s="27">
        <f>N1068</f>
        <v>56250</v>
      </c>
      <c r="J1068" s="16">
        <f>'БА в тыс. руб.'!G1068*1000</f>
        <v>75000</v>
      </c>
      <c r="K1068" s="169">
        <f t="shared" si="721"/>
        <v>0</v>
      </c>
      <c r="L1068" s="16">
        <f>'БА в тыс. руб.'!H1068*1000</f>
        <v>56250</v>
      </c>
      <c r="M1068" s="169">
        <f t="shared" si="722"/>
        <v>0</v>
      </c>
      <c r="N1068" s="16">
        <f>'БА в тыс. руб.'!I1068*1000</f>
        <v>56250</v>
      </c>
      <c r="O1068" s="169">
        <f t="shared" si="723"/>
        <v>0</v>
      </c>
      <c r="P1068" s="16"/>
      <c r="Q1068" s="16"/>
      <c r="R1068" s="16"/>
      <c r="S1068" s="16"/>
      <c r="T1068" s="16"/>
      <c r="U1068" s="16"/>
    </row>
    <row r="1069" spans="1:21" s="3" customFormat="1">
      <c r="A1069" s="21" t="s">
        <v>81</v>
      </c>
      <c r="B1069" s="22" t="s">
        <v>67</v>
      </c>
      <c r="C1069" s="23" t="s">
        <v>78</v>
      </c>
      <c r="D1069" s="23" t="s">
        <v>53</v>
      </c>
      <c r="E1069" s="23" t="s">
        <v>196</v>
      </c>
      <c r="F1069" s="23" t="s">
        <v>58</v>
      </c>
      <c r="G1069" s="24">
        <f>G1070</f>
        <v>21605000</v>
      </c>
      <c r="H1069" s="24">
        <f>H1070</f>
        <v>0</v>
      </c>
      <c r="I1069" s="24">
        <f>I1070</f>
        <v>0</v>
      </c>
      <c r="J1069" s="16">
        <f>'БА в тыс. руб.'!G1069*1000</f>
        <v>21605000</v>
      </c>
      <c r="K1069" s="169">
        <f t="shared" si="721"/>
        <v>0</v>
      </c>
      <c r="L1069" s="16">
        <f>'БА в тыс. руб.'!H1069*1000</f>
        <v>0</v>
      </c>
      <c r="M1069" s="169">
        <f t="shared" si="722"/>
        <v>0</v>
      </c>
      <c r="N1069" s="16">
        <f>'БА в тыс. руб.'!I1069*1000</f>
        <v>0</v>
      </c>
      <c r="O1069" s="169">
        <f t="shared" si="723"/>
        <v>0</v>
      </c>
      <c r="P1069" s="16"/>
      <c r="Q1069" s="16"/>
      <c r="R1069" s="16"/>
      <c r="S1069" s="16"/>
      <c r="T1069" s="16"/>
      <c r="U1069" s="16"/>
    </row>
    <row r="1070" spans="1:21" s="3" customFormat="1" ht="25.5">
      <c r="A1070" s="11" t="s">
        <v>740</v>
      </c>
      <c r="B1070" s="25" t="s">
        <v>67</v>
      </c>
      <c r="C1070" s="26" t="s">
        <v>78</v>
      </c>
      <c r="D1070" s="26" t="s">
        <v>53</v>
      </c>
      <c r="E1070" s="26" t="s">
        <v>449</v>
      </c>
      <c r="F1070" s="26" t="s">
        <v>58</v>
      </c>
      <c r="G1070" s="27">
        <f t="shared" ref="G1070:I1077" si="742">G1071</f>
        <v>21605000</v>
      </c>
      <c r="H1070" s="27">
        <f t="shared" si="742"/>
        <v>0</v>
      </c>
      <c r="I1070" s="27">
        <f t="shared" si="742"/>
        <v>0</v>
      </c>
      <c r="J1070" s="16">
        <f>'БА в тыс. руб.'!G1070*1000</f>
        <v>21605000</v>
      </c>
      <c r="K1070" s="169">
        <f t="shared" si="721"/>
        <v>0</v>
      </c>
      <c r="L1070" s="16">
        <f>'БА в тыс. руб.'!H1070*1000</f>
        <v>0</v>
      </c>
      <c r="M1070" s="169">
        <f t="shared" si="722"/>
        <v>0</v>
      </c>
      <c r="N1070" s="16">
        <f>'БА в тыс. руб.'!I1070*1000</f>
        <v>0</v>
      </c>
      <c r="O1070" s="169">
        <f t="shared" si="723"/>
        <v>0</v>
      </c>
      <c r="P1070" s="16"/>
      <c r="Q1070" s="16"/>
      <c r="R1070" s="16"/>
      <c r="S1070" s="16"/>
      <c r="T1070" s="16"/>
      <c r="U1070" s="16"/>
    </row>
    <row r="1071" spans="1:21" s="3" customFormat="1" ht="25.5">
      <c r="A1071" s="11" t="s">
        <v>883</v>
      </c>
      <c r="B1071" s="25" t="s">
        <v>67</v>
      </c>
      <c r="C1071" s="26" t="s">
        <v>78</v>
      </c>
      <c r="D1071" s="26" t="s">
        <v>53</v>
      </c>
      <c r="E1071" s="26" t="s">
        <v>478</v>
      </c>
      <c r="F1071" s="26" t="s">
        <v>58</v>
      </c>
      <c r="G1071" s="27">
        <f>G1072</f>
        <v>21605000</v>
      </c>
      <c r="H1071" s="27">
        <f t="shared" si="742"/>
        <v>0</v>
      </c>
      <c r="I1071" s="27">
        <f t="shared" si="742"/>
        <v>0</v>
      </c>
      <c r="J1071" s="16">
        <f>'БА в тыс. руб.'!G1071*1000</f>
        <v>21605000</v>
      </c>
      <c r="K1071" s="169">
        <f t="shared" si="721"/>
        <v>0</v>
      </c>
      <c r="L1071" s="16">
        <f>'БА в тыс. руб.'!H1071*1000</f>
        <v>0</v>
      </c>
      <c r="M1071" s="169">
        <f t="shared" si="722"/>
        <v>0</v>
      </c>
      <c r="N1071" s="16">
        <f>'БА в тыс. руб.'!I1071*1000</f>
        <v>0</v>
      </c>
      <c r="O1071" s="169">
        <f t="shared" si="723"/>
        <v>0</v>
      </c>
      <c r="P1071" s="16"/>
      <c r="Q1071" s="16"/>
      <c r="R1071" s="16"/>
      <c r="S1071" s="16"/>
      <c r="T1071" s="16"/>
      <c r="U1071" s="16"/>
    </row>
    <row r="1072" spans="1:21" s="3" customFormat="1" ht="51">
      <c r="A1072" s="11" t="s">
        <v>925</v>
      </c>
      <c r="B1072" s="25" t="s">
        <v>67</v>
      </c>
      <c r="C1072" s="26" t="s">
        <v>78</v>
      </c>
      <c r="D1072" s="26" t="s">
        <v>53</v>
      </c>
      <c r="E1072" s="26" t="s">
        <v>613</v>
      </c>
      <c r="F1072" s="26" t="s">
        <v>58</v>
      </c>
      <c r="G1072" s="27">
        <f>G1073+G1076</f>
        <v>21605000</v>
      </c>
      <c r="H1072" s="27">
        <f t="shared" ref="H1072:I1072" si="743">H1073+H1076</f>
        <v>0</v>
      </c>
      <c r="I1072" s="27">
        <f t="shared" si="743"/>
        <v>0</v>
      </c>
      <c r="J1072" s="16">
        <f>'БА в тыс. руб.'!G1072*1000</f>
        <v>21605000</v>
      </c>
      <c r="K1072" s="169">
        <f t="shared" si="721"/>
        <v>0</v>
      </c>
      <c r="L1072" s="16">
        <f>'БА в тыс. руб.'!H1072*1000</f>
        <v>0</v>
      </c>
      <c r="M1072" s="169">
        <f t="shared" si="722"/>
        <v>0</v>
      </c>
      <c r="N1072" s="16">
        <f>'БА в тыс. руб.'!I1072*1000</f>
        <v>0</v>
      </c>
      <c r="O1072" s="169">
        <f t="shared" si="723"/>
        <v>0</v>
      </c>
      <c r="P1072" s="16"/>
      <c r="Q1072" s="16"/>
      <c r="R1072" s="16"/>
      <c r="S1072" s="16"/>
      <c r="T1072" s="16"/>
      <c r="U1072" s="16"/>
    </row>
    <row r="1073" spans="1:21" s="3" customFormat="1" ht="63.75">
      <c r="A1073" s="11" t="s">
        <v>904</v>
      </c>
      <c r="B1073" s="25" t="s">
        <v>67</v>
      </c>
      <c r="C1073" s="26" t="s">
        <v>78</v>
      </c>
      <c r="D1073" s="26" t="s">
        <v>53</v>
      </c>
      <c r="E1073" s="26" t="s">
        <v>614</v>
      </c>
      <c r="F1073" s="26" t="s">
        <v>58</v>
      </c>
      <c r="G1073" s="27">
        <f t="shared" si="742"/>
        <v>1105000</v>
      </c>
      <c r="H1073" s="27">
        <f t="shared" si="742"/>
        <v>0</v>
      </c>
      <c r="I1073" s="27">
        <f t="shared" si="742"/>
        <v>0</v>
      </c>
      <c r="J1073" s="16">
        <f>'БА в тыс. руб.'!G1073*1000</f>
        <v>1105000</v>
      </c>
      <c r="K1073" s="169">
        <f t="shared" si="721"/>
        <v>0</v>
      </c>
      <c r="L1073" s="16">
        <f>'БА в тыс. руб.'!H1073*1000</f>
        <v>0</v>
      </c>
      <c r="M1073" s="169">
        <f t="shared" si="722"/>
        <v>0</v>
      </c>
      <c r="N1073" s="16">
        <f>'БА в тыс. руб.'!I1073*1000</f>
        <v>0</v>
      </c>
      <c r="O1073" s="169">
        <f t="shared" si="723"/>
        <v>0</v>
      </c>
      <c r="P1073" s="16"/>
      <c r="Q1073" s="16"/>
      <c r="R1073" s="16"/>
      <c r="S1073" s="16"/>
      <c r="T1073" s="16"/>
      <c r="U1073" s="16"/>
    </row>
    <row r="1074" spans="1:21" s="3" customFormat="1" ht="25.5">
      <c r="A1074" s="11" t="s">
        <v>111</v>
      </c>
      <c r="B1074" s="25" t="s">
        <v>67</v>
      </c>
      <c r="C1074" s="26" t="s">
        <v>78</v>
      </c>
      <c r="D1074" s="26" t="s">
        <v>53</v>
      </c>
      <c r="E1074" s="26" t="s">
        <v>614</v>
      </c>
      <c r="F1074" s="26" t="s">
        <v>104</v>
      </c>
      <c r="G1074" s="27">
        <f>G1075</f>
        <v>1105000</v>
      </c>
      <c r="H1074" s="27">
        <f t="shared" si="742"/>
        <v>0</v>
      </c>
      <c r="I1074" s="27">
        <f t="shared" si="742"/>
        <v>0</v>
      </c>
      <c r="J1074" s="16">
        <f>'БА в тыс. руб.'!G1074*1000</f>
        <v>1105000</v>
      </c>
      <c r="K1074" s="169">
        <f t="shared" si="721"/>
        <v>0</v>
      </c>
      <c r="L1074" s="16">
        <f>'БА в тыс. руб.'!H1074*1000</f>
        <v>0</v>
      </c>
      <c r="M1074" s="169">
        <f t="shared" si="722"/>
        <v>0</v>
      </c>
      <c r="N1074" s="16">
        <f>'БА в тыс. руб.'!I1074*1000</f>
        <v>0</v>
      </c>
      <c r="O1074" s="169">
        <f t="shared" si="723"/>
        <v>0</v>
      </c>
      <c r="P1074" s="16"/>
      <c r="Q1074" s="16"/>
      <c r="R1074" s="16"/>
      <c r="S1074" s="16"/>
      <c r="T1074" s="16"/>
      <c r="U1074" s="16"/>
    </row>
    <row r="1075" spans="1:21" s="94" customFormat="1" ht="76.5">
      <c r="A1075" s="12" t="s">
        <v>1048</v>
      </c>
      <c r="B1075" s="25" t="s">
        <v>67</v>
      </c>
      <c r="C1075" s="26" t="s">
        <v>78</v>
      </c>
      <c r="D1075" s="26" t="s">
        <v>53</v>
      </c>
      <c r="E1075" s="26" t="s">
        <v>614</v>
      </c>
      <c r="F1075" s="26" t="s">
        <v>1055</v>
      </c>
      <c r="G1075" s="27">
        <f t="shared" ref="G1075" si="744">J1075</f>
        <v>1105000</v>
      </c>
      <c r="H1075" s="27">
        <f>L1075</f>
        <v>0</v>
      </c>
      <c r="I1075" s="27">
        <f>N1075</f>
        <v>0</v>
      </c>
      <c r="J1075" s="16">
        <f>'БА в тыс. руб.'!G1075*1000</f>
        <v>1105000</v>
      </c>
      <c r="K1075" s="169">
        <f t="shared" si="721"/>
        <v>0</v>
      </c>
      <c r="L1075" s="16">
        <f>'БА в тыс. руб.'!H1075*1000</f>
        <v>0</v>
      </c>
      <c r="M1075" s="169">
        <f t="shared" si="722"/>
        <v>0</v>
      </c>
      <c r="N1075" s="16">
        <f>'БА в тыс. руб.'!I1075*1000</f>
        <v>0</v>
      </c>
      <c r="O1075" s="169">
        <f t="shared" si="723"/>
        <v>0</v>
      </c>
      <c r="P1075" s="16"/>
      <c r="Q1075" s="16"/>
      <c r="R1075" s="16"/>
      <c r="S1075" s="16"/>
      <c r="T1075" s="16"/>
      <c r="U1075" s="16"/>
    </row>
    <row r="1076" spans="1:21" s="3" customFormat="1" ht="51">
      <c r="A1076" s="11" t="s">
        <v>927</v>
      </c>
      <c r="B1076" s="25" t="s">
        <v>67</v>
      </c>
      <c r="C1076" s="26" t="s">
        <v>78</v>
      </c>
      <c r="D1076" s="26" t="s">
        <v>53</v>
      </c>
      <c r="E1076" s="26" t="s">
        <v>926</v>
      </c>
      <c r="F1076" s="26" t="s">
        <v>58</v>
      </c>
      <c r="G1076" s="27">
        <f t="shared" si="742"/>
        <v>20500000</v>
      </c>
      <c r="H1076" s="27">
        <f t="shared" si="742"/>
        <v>0</v>
      </c>
      <c r="I1076" s="27">
        <f t="shared" si="742"/>
        <v>0</v>
      </c>
      <c r="J1076" s="16">
        <f>'БА в тыс. руб.'!G1076*1000</f>
        <v>20500000</v>
      </c>
      <c r="K1076" s="169">
        <f t="shared" si="721"/>
        <v>0</v>
      </c>
      <c r="L1076" s="16">
        <f>'БА в тыс. руб.'!H1076*1000</f>
        <v>0</v>
      </c>
      <c r="M1076" s="169">
        <f t="shared" si="722"/>
        <v>0</v>
      </c>
      <c r="N1076" s="16">
        <f>'БА в тыс. руб.'!I1076*1000</f>
        <v>0</v>
      </c>
      <c r="O1076" s="169">
        <f t="shared" si="723"/>
        <v>0</v>
      </c>
      <c r="P1076" s="16"/>
      <c r="Q1076" s="16"/>
      <c r="R1076" s="16"/>
      <c r="S1076" s="16"/>
      <c r="T1076" s="16"/>
      <c r="U1076" s="16"/>
    </row>
    <row r="1077" spans="1:21" s="3" customFormat="1" ht="25.5">
      <c r="A1077" s="11" t="s">
        <v>111</v>
      </c>
      <c r="B1077" s="25" t="s">
        <v>67</v>
      </c>
      <c r="C1077" s="26" t="s">
        <v>78</v>
      </c>
      <c r="D1077" s="26" t="s">
        <v>53</v>
      </c>
      <c r="E1077" s="26" t="s">
        <v>926</v>
      </c>
      <c r="F1077" s="26" t="s">
        <v>104</v>
      </c>
      <c r="G1077" s="27">
        <f>G1078</f>
        <v>20500000</v>
      </c>
      <c r="H1077" s="27">
        <f t="shared" si="742"/>
        <v>0</v>
      </c>
      <c r="I1077" s="27">
        <f t="shared" si="742"/>
        <v>0</v>
      </c>
      <c r="J1077" s="16">
        <f>'БА в тыс. руб.'!G1077*1000</f>
        <v>20500000</v>
      </c>
      <c r="K1077" s="169">
        <f t="shared" si="721"/>
        <v>0</v>
      </c>
      <c r="L1077" s="16">
        <f>'БА в тыс. руб.'!H1077*1000</f>
        <v>0</v>
      </c>
      <c r="M1077" s="169">
        <f t="shared" si="722"/>
        <v>0</v>
      </c>
      <c r="N1077" s="16">
        <f>'БА в тыс. руб.'!I1077*1000</f>
        <v>0</v>
      </c>
      <c r="O1077" s="169">
        <f t="shared" si="723"/>
        <v>0</v>
      </c>
      <c r="P1077" s="16"/>
      <c r="Q1077" s="16"/>
      <c r="R1077" s="16"/>
      <c r="S1077" s="16"/>
      <c r="T1077" s="16"/>
      <c r="U1077" s="16"/>
    </row>
    <row r="1078" spans="1:21" s="4" customFormat="1" ht="76.5">
      <c r="A1078" s="12" t="s">
        <v>1048</v>
      </c>
      <c r="B1078" s="25" t="s">
        <v>67</v>
      </c>
      <c r="C1078" s="26" t="s">
        <v>78</v>
      </c>
      <c r="D1078" s="26" t="s">
        <v>53</v>
      </c>
      <c r="E1078" s="26" t="s">
        <v>926</v>
      </c>
      <c r="F1078" s="26" t="s">
        <v>1055</v>
      </c>
      <c r="G1078" s="27">
        <f t="shared" ref="G1078" si="745">J1078</f>
        <v>20500000</v>
      </c>
      <c r="H1078" s="27">
        <f>L1078</f>
        <v>0</v>
      </c>
      <c r="I1078" s="27">
        <f>N1078</f>
        <v>0</v>
      </c>
      <c r="J1078" s="16">
        <f>'БА в тыс. руб.'!G1078*1000</f>
        <v>20500000</v>
      </c>
      <c r="K1078" s="169">
        <f t="shared" si="721"/>
        <v>0</v>
      </c>
      <c r="L1078" s="16">
        <f>'БА в тыс. руб.'!H1078*1000</f>
        <v>0</v>
      </c>
      <c r="M1078" s="169">
        <f t="shared" si="722"/>
        <v>0</v>
      </c>
      <c r="N1078" s="16">
        <f>'БА в тыс. руб.'!I1078*1000</f>
        <v>0</v>
      </c>
      <c r="O1078" s="169">
        <f t="shared" si="723"/>
        <v>0</v>
      </c>
      <c r="P1078" s="16"/>
      <c r="Q1078" s="16"/>
      <c r="R1078" s="16"/>
      <c r="S1078" s="16"/>
      <c r="T1078" s="16"/>
      <c r="U1078" s="16"/>
    </row>
    <row r="1079" spans="1:21" s="3" customFormat="1">
      <c r="A1079" s="21" t="s">
        <v>82</v>
      </c>
      <c r="B1079" s="22" t="s">
        <v>67</v>
      </c>
      <c r="C1079" s="23" t="s">
        <v>78</v>
      </c>
      <c r="D1079" s="23" t="s">
        <v>8</v>
      </c>
      <c r="E1079" s="23" t="s">
        <v>196</v>
      </c>
      <c r="F1079" s="23" t="s">
        <v>58</v>
      </c>
      <c r="G1079" s="24">
        <f t="shared" ref="G1079:I1080" si="746">G1080</f>
        <v>9792230</v>
      </c>
      <c r="H1079" s="24">
        <f t="shared" si="746"/>
        <v>9792230</v>
      </c>
      <c r="I1079" s="24">
        <f t="shared" si="746"/>
        <v>9792230</v>
      </c>
      <c r="J1079" s="16">
        <f>'БА в тыс. руб.'!G1079*1000</f>
        <v>9792230</v>
      </c>
      <c r="K1079" s="169">
        <f t="shared" si="721"/>
        <v>0</v>
      </c>
      <c r="L1079" s="16">
        <f>'БА в тыс. руб.'!H1079*1000</f>
        <v>9792230</v>
      </c>
      <c r="M1079" s="169">
        <f t="shared" si="722"/>
        <v>0</v>
      </c>
      <c r="N1079" s="16">
        <f>'БА в тыс. руб.'!I1079*1000</f>
        <v>9792230</v>
      </c>
      <c r="O1079" s="169">
        <f t="shared" si="723"/>
        <v>0</v>
      </c>
      <c r="P1079" s="16"/>
      <c r="Q1079" s="16"/>
      <c r="R1079" s="16"/>
      <c r="S1079" s="16"/>
      <c r="T1079" s="16"/>
      <c r="U1079" s="16"/>
    </row>
    <row r="1080" spans="1:21" s="3" customFormat="1" ht="25.5">
      <c r="A1080" s="11" t="s">
        <v>698</v>
      </c>
      <c r="B1080" s="25" t="s">
        <v>67</v>
      </c>
      <c r="C1080" s="26" t="s">
        <v>78</v>
      </c>
      <c r="D1080" s="26" t="s">
        <v>8</v>
      </c>
      <c r="E1080" s="26" t="s">
        <v>481</v>
      </c>
      <c r="F1080" s="26" t="s">
        <v>58</v>
      </c>
      <c r="G1080" s="27">
        <f t="shared" si="746"/>
        <v>9792230</v>
      </c>
      <c r="H1080" s="27">
        <f t="shared" si="746"/>
        <v>9792230</v>
      </c>
      <c r="I1080" s="27">
        <f t="shared" si="746"/>
        <v>9792230</v>
      </c>
      <c r="J1080" s="16">
        <f>'БА в тыс. руб.'!G1080*1000</f>
        <v>9792230</v>
      </c>
      <c r="K1080" s="169">
        <f t="shared" si="721"/>
        <v>0</v>
      </c>
      <c r="L1080" s="16">
        <f>'БА в тыс. руб.'!H1080*1000</f>
        <v>9792230</v>
      </c>
      <c r="M1080" s="169">
        <f t="shared" si="722"/>
        <v>0</v>
      </c>
      <c r="N1080" s="16">
        <f>'БА в тыс. руб.'!I1080*1000</f>
        <v>9792230</v>
      </c>
      <c r="O1080" s="169">
        <f t="shared" si="723"/>
        <v>0</v>
      </c>
      <c r="P1080" s="16"/>
      <c r="Q1080" s="16"/>
      <c r="R1080" s="16"/>
      <c r="S1080" s="16"/>
      <c r="T1080" s="16"/>
      <c r="U1080" s="16"/>
    </row>
    <row r="1081" spans="1:21" s="3" customFormat="1" ht="38.25">
      <c r="A1081" s="11" t="s">
        <v>699</v>
      </c>
      <c r="B1081" s="25" t="s">
        <v>67</v>
      </c>
      <c r="C1081" s="26" t="s">
        <v>78</v>
      </c>
      <c r="D1081" s="26" t="s">
        <v>8</v>
      </c>
      <c r="E1081" s="26" t="s">
        <v>482</v>
      </c>
      <c r="F1081" s="26" t="s">
        <v>58</v>
      </c>
      <c r="G1081" s="27">
        <f>G1082+G1091</f>
        <v>9792230</v>
      </c>
      <c r="H1081" s="27">
        <f>H1082+H1091</f>
        <v>9792230</v>
      </c>
      <c r="I1081" s="27">
        <f>I1082+I1091</f>
        <v>9792230</v>
      </c>
      <c r="J1081" s="16">
        <f>'БА в тыс. руб.'!G1081*1000</f>
        <v>9792230</v>
      </c>
      <c r="K1081" s="169">
        <f t="shared" si="721"/>
        <v>0</v>
      </c>
      <c r="L1081" s="16">
        <f>'БА в тыс. руб.'!H1081*1000</f>
        <v>9792230</v>
      </c>
      <c r="M1081" s="169">
        <f t="shared" si="722"/>
        <v>0</v>
      </c>
      <c r="N1081" s="16">
        <f>'БА в тыс. руб.'!I1081*1000</f>
        <v>9792230</v>
      </c>
      <c r="O1081" s="169">
        <f t="shared" si="723"/>
        <v>0</v>
      </c>
      <c r="P1081" s="16"/>
      <c r="Q1081" s="16"/>
      <c r="R1081" s="16"/>
      <c r="S1081" s="16"/>
      <c r="T1081" s="16"/>
      <c r="U1081" s="16"/>
    </row>
    <row r="1082" spans="1:21" s="3" customFormat="1" ht="25.5">
      <c r="A1082" s="11" t="s">
        <v>114</v>
      </c>
      <c r="B1082" s="25" t="s">
        <v>67</v>
      </c>
      <c r="C1082" s="26" t="s">
        <v>78</v>
      </c>
      <c r="D1082" s="26" t="s">
        <v>8</v>
      </c>
      <c r="E1082" s="26" t="s">
        <v>483</v>
      </c>
      <c r="F1082" s="26" t="s">
        <v>58</v>
      </c>
      <c r="G1082" s="27">
        <f>G1083+G1086+G1088</f>
        <v>1028750</v>
      </c>
      <c r="H1082" s="27">
        <f t="shared" ref="H1082:I1082" si="747">H1083+H1086+H1088</f>
        <v>1028750</v>
      </c>
      <c r="I1082" s="27">
        <f t="shared" si="747"/>
        <v>1028750</v>
      </c>
      <c r="J1082" s="16">
        <f>'БА в тыс. руб.'!G1082*1000</f>
        <v>1028750</v>
      </c>
      <c r="K1082" s="169">
        <f t="shared" si="721"/>
        <v>0</v>
      </c>
      <c r="L1082" s="16">
        <f>'БА в тыс. руб.'!H1082*1000</f>
        <v>1028750</v>
      </c>
      <c r="M1082" s="169">
        <f t="shared" si="722"/>
        <v>0</v>
      </c>
      <c r="N1082" s="16">
        <f>'БА в тыс. руб.'!I1082*1000</f>
        <v>1028750</v>
      </c>
      <c r="O1082" s="169">
        <f t="shared" si="723"/>
        <v>0</v>
      </c>
      <c r="P1082" s="16"/>
      <c r="Q1082" s="16"/>
      <c r="R1082" s="16"/>
      <c r="S1082" s="16"/>
      <c r="T1082" s="16"/>
      <c r="U1082" s="16"/>
    </row>
    <row r="1083" spans="1:21" s="3" customFormat="1" ht="25.5">
      <c r="A1083" s="12" t="s">
        <v>107</v>
      </c>
      <c r="B1083" s="25" t="s">
        <v>67</v>
      </c>
      <c r="C1083" s="26" t="s">
        <v>78</v>
      </c>
      <c r="D1083" s="26" t="s">
        <v>8</v>
      </c>
      <c r="E1083" s="26" t="s">
        <v>483</v>
      </c>
      <c r="F1083" s="26" t="s">
        <v>115</v>
      </c>
      <c r="G1083" s="27">
        <f>SUM(G1084:G1085)</f>
        <v>235450</v>
      </c>
      <c r="H1083" s="27">
        <f t="shared" ref="H1083:I1083" si="748">SUM(H1084:H1085)</f>
        <v>235450</v>
      </c>
      <c r="I1083" s="27">
        <f t="shared" si="748"/>
        <v>235450</v>
      </c>
      <c r="J1083" s="16">
        <f>'БА в тыс. руб.'!G1083*1000</f>
        <v>235450</v>
      </c>
      <c r="K1083" s="169">
        <f t="shared" si="721"/>
        <v>0</v>
      </c>
      <c r="L1083" s="16">
        <f>'БА в тыс. руб.'!H1083*1000</f>
        <v>235450</v>
      </c>
      <c r="M1083" s="169">
        <f t="shared" si="722"/>
        <v>0</v>
      </c>
      <c r="N1083" s="16">
        <f>'БА в тыс. руб.'!I1083*1000</f>
        <v>235450</v>
      </c>
      <c r="O1083" s="169">
        <f t="shared" si="723"/>
        <v>0</v>
      </c>
      <c r="P1083" s="16"/>
      <c r="Q1083" s="16"/>
      <c r="R1083" s="16"/>
      <c r="S1083" s="16"/>
      <c r="T1083" s="16"/>
      <c r="U1083" s="16"/>
    </row>
    <row r="1084" spans="1:21" s="3" customFormat="1" ht="25.5">
      <c r="A1084" s="11" t="s">
        <v>937</v>
      </c>
      <c r="B1084" s="25" t="s">
        <v>67</v>
      </c>
      <c r="C1084" s="26" t="s">
        <v>78</v>
      </c>
      <c r="D1084" s="26" t="s">
        <v>8</v>
      </c>
      <c r="E1084" s="26" t="s">
        <v>483</v>
      </c>
      <c r="F1084" s="26" t="s">
        <v>1059</v>
      </c>
      <c r="G1084" s="27">
        <f t="shared" ref="G1084:G1085" si="749">J1084</f>
        <v>180840</v>
      </c>
      <c r="H1084" s="27">
        <f t="shared" ref="H1084:H1085" si="750">L1084</f>
        <v>180840</v>
      </c>
      <c r="I1084" s="27">
        <f t="shared" ref="I1084:I1085" si="751">N1084</f>
        <v>180840</v>
      </c>
      <c r="J1084" s="16">
        <f>'БА в тыс. руб.'!G1084*1000</f>
        <v>180840</v>
      </c>
      <c r="K1084" s="169">
        <f t="shared" si="721"/>
        <v>0</v>
      </c>
      <c r="L1084" s="16">
        <f>'БА в тыс. руб.'!H1084*1000</f>
        <v>180840</v>
      </c>
      <c r="M1084" s="169">
        <f t="shared" si="722"/>
        <v>0</v>
      </c>
      <c r="N1084" s="16">
        <f>'БА в тыс. руб.'!I1084*1000</f>
        <v>180840</v>
      </c>
      <c r="O1084" s="169">
        <f t="shared" si="723"/>
        <v>0</v>
      </c>
      <c r="P1084" s="16"/>
      <c r="Q1084" s="16"/>
      <c r="R1084" s="16"/>
      <c r="S1084" s="16"/>
      <c r="T1084" s="16"/>
      <c r="U1084" s="16"/>
    </row>
    <row r="1085" spans="1:21" s="3" customFormat="1" ht="38.25">
      <c r="A1085" s="11" t="s">
        <v>939</v>
      </c>
      <c r="B1085" s="25" t="s">
        <v>67</v>
      </c>
      <c r="C1085" s="26" t="s">
        <v>78</v>
      </c>
      <c r="D1085" s="26" t="s">
        <v>8</v>
      </c>
      <c r="E1085" s="26" t="s">
        <v>483</v>
      </c>
      <c r="F1085" s="26" t="s">
        <v>1060</v>
      </c>
      <c r="G1085" s="27">
        <f t="shared" si="749"/>
        <v>54610</v>
      </c>
      <c r="H1085" s="27">
        <f t="shared" si="750"/>
        <v>54610</v>
      </c>
      <c r="I1085" s="27">
        <f t="shared" si="751"/>
        <v>54610</v>
      </c>
      <c r="J1085" s="16">
        <f>'БА в тыс. руб.'!G1085*1000</f>
        <v>54610</v>
      </c>
      <c r="K1085" s="169">
        <f t="shared" si="721"/>
        <v>0</v>
      </c>
      <c r="L1085" s="16">
        <f>'БА в тыс. руб.'!H1085*1000</f>
        <v>54610</v>
      </c>
      <c r="M1085" s="169">
        <f t="shared" si="722"/>
        <v>0</v>
      </c>
      <c r="N1085" s="16">
        <f>'БА в тыс. руб.'!I1085*1000</f>
        <v>54610</v>
      </c>
      <c r="O1085" s="169">
        <f t="shared" si="723"/>
        <v>0</v>
      </c>
      <c r="P1085" s="16"/>
      <c r="Q1085" s="16"/>
      <c r="R1085" s="16"/>
      <c r="S1085" s="16"/>
      <c r="T1085" s="16"/>
      <c r="U1085" s="16"/>
    </row>
    <row r="1086" spans="1:21" s="3" customFormat="1" ht="25.5">
      <c r="A1086" s="11" t="s">
        <v>108</v>
      </c>
      <c r="B1086" s="25" t="s">
        <v>67</v>
      </c>
      <c r="C1086" s="26" t="s">
        <v>78</v>
      </c>
      <c r="D1086" s="26" t="s">
        <v>8</v>
      </c>
      <c r="E1086" s="26" t="s">
        <v>483</v>
      </c>
      <c r="F1086" s="26" t="s">
        <v>116</v>
      </c>
      <c r="G1086" s="27">
        <f>G1087</f>
        <v>786300</v>
      </c>
      <c r="H1086" s="27">
        <f t="shared" ref="H1086:I1086" si="752">H1087</f>
        <v>786300</v>
      </c>
      <c r="I1086" s="27">
        <f t="shared" si="752"/>
        <v>786300</v>
      </c>
      <c r="J1086" s="16">
        <f>'БА в тыс. руб.'!G1086*1000</f>
        <v>786300</v>
      </c>
      <c r="K1086" s="169">
        <f t="shared" si="721"/>
        <v>0</v>
      </c>
      <c r="L1086" s="16">
        <f>'БА в тыс. руб.'!H1086*1000</f>
        <v>786300</v>
      </c>
      <c r="M1086" s="169">
        <f t="shared" si="722"/>
        <v>0</v>
      </c>
      <c r="N1086" s="16">
        <f>'БА в тыс. руб.'!I1086*1000</f>
        <v>786300</v>
      </c>
      <c r="O1086" s="169">
        <f t="shared" si="723"/>
        <v>0</v>
      </c>
      <c r="P1086" s="16"/>
      <c r="Q1086" s="16"/>
      <c r="R1086" s="16"/>
      <c r="S1086" s="16"/>
      <c r="T1086" s="16"/>
      <c r="U1086" s="16"/>
    </row>
    <row r="1087" spans="1:21" s="94" customFormat="1" ht="25.5">
      <c r="A1087" s="12" t="s">
        <v>973</v>
      </c>
      <c r="B1087" s="25" t="s">
        <v>67</v>
      </c>
      <c r="C1087" s="26" t="s">
        <v>78</v>
      </c>
      <c r="D1087" s="26" t="s">
        <v>8</v>
      </c>
      <c r="E1087" s="26" t="s">
        <v>483</v>
      </c>
      <c r="F1087" s="26" t="s">
        <v>1043</v>
      </c>
      <c r="G1087" s="27">
        <f t="shared" ref="G1087" si="753">J1087</f>
        <v>786300</v>
      </c>
      <c r="H1087" s="27">
        <f>L1087</f>
        <v>786300</v>
      </c>
      <c r="I1087" s="27">
        <f>N1087</f>
        <v>786300</v>
      </c>
      <c r="J1087" s="16">
        <f>'БА в тыс. руб.'!G1087*1000</f>
        <v>786300</v>
      </c>
      <c r="K1087" s="169">
        <f t="shared" si="721"/>
        <v>0</v>
      </c>
      <c r="L1087" s="16">
        <f>'БА в тыс. руб.'!H1087*1000</f>
        <v>786300</v>
      </c>
      <c r="M1087" s="169">
        <f t="shared" si="722"/>
        <v>0</v>
      </c>
      <c r="N1087" s="16">
        <f>'БА в тыс. руб.'!I1087*1000</f>
        <v>786300</v>
      </c>
      <c r="O1087" s="169">
        <f t="shared" si="723"/>
        <v>0</v>
      </c>
      <c r="P1087" s="16"/>
      <c r="Q1087" s="16"/>
      <c r="R1087" s="16"/>
      <c r="S1087" s="16"/>
      <c r="T1087" s="16"/>
      <c r="U1087" s="16"/>
    </row>
    <row r="1088" spans="1:21" s="3" customFormat="1">
      <c r="A1088" s="11" t="s">
        <v>97</v>
      </c>
      <c r="B1088" s="25" t="s">
        <v>67</v>
      </c>
      <c r="C1088" s="26" t="s">
        <v>78</v>
      </c>
      <c r="D1088" s="26" t="s">
        <v>8</v>
      </c>
      <c r="E1088" s="26" t="s">
        <v>483</v>
      </c>
      <c r="F1088" s="26" t="s">
        <v>118</v>
      </c>
      <c r="G1088" s="27">
        <f>SUM(G1089:G1090)</f>
        <v>7000</v>
      </c>
      <c r="H1088" s="27">
        <f>SUM(H1089:H1090)</f>
        <v>7000</v>
      </c>
      <c r="I1088" s="27">
        <f>SUM(I1089:I1090)</f>
        <v>7000</v>
      </c>
      <c r="J1088" s="16">
        <f>'БА в тыс. руб.'!G1088*1000</f>
        <v>7000</v>
      </c>
      <c r="K1088" s="169">
        <f t="shared" si="721"/>
        <v>0</v>
      </c>
      <c r="L1088" s="16">
        <f>'БА в тыс. руб.'!H1088*1000</f>
        <v>7000</v>
      </c>
      <c r="M1088" s="169">
        <f t="shared" si="722"/>
        <v>0</v>
      </c>
      <c r="N1088" s="16">
        <f>'БА в тыс. руб.'!I1088*1000</f>
        <v>7000</v>
      </c>
      <c r="O1088" s="169">
        <f t="shared" si="723"/>
        <v>0</v>
      </c>
      <c r="P1088" s="16"/>
      <c r="Q1088" s="16"/>
      <c r="R1088" s="16"/>
      <c r="S1088" s="16"/>
      <c r="T1088" s="16"/>
      <c r="U1088" s="16"/>
    </row>
    <row r="1089" spans="1:21" s="3" customFormat="1">
      <c r="A1089" s="11" t="s">
        <v>1036</v>
      </c>
      <c r="B1089" s="25" t="s">
        <v>67</v>
      </c>
      <c r="C1089" s="26" t="s">
        <v>78</v>
      </c>
      <c r="D1089" s="26" t="s">
        <v>8</v>
      </c>
      <c r="E1089" s="26" t="s">
        <v>483</v>
      </c>
      <c r="F1089" s="26" t="s">
        <v>1061</v>
      </c>
      <c r="G1089" s="27">
        <f t="shared" ref="G1089:G1090" si="754">J1089</f>
        <v>2000</v>
      </c>
      <c r="H1089" s="27">
        <f t="shared" ref="H1089:H1090" si="755">L1089</f>
        <v>2000</v>
      </c>
      <c r="I1089" s="27">
        <f t="shared" ref="I1089:I1090" si="756">N1089</f>
        <v>2000</v>
      </c>
      <c r="J1089" s="16">
        <f>'БА в тыс. руб.'!G1089*1000</f>
        <v>2000</v>
      </c>
      <c r="K1089" s="169">
        <f t="shared" si="721"/>
        <v>0</v>
      </c>
      <c r="L1089" s="16">
        <f>'БА в тыс. руб.'!H1089*1000</f>
        <v>2000</v>
      </c>
      <c r="M1089" s="169">
        <f t="shared" si="722"/>
        <v>0</v>
      </c>
      <c r="N1089" s="16">
        <f>'БА в тыс. руб.'!I1089*1000</f>
        <v>2000</v>
      </c>
      <c r="O1089" s="169">
        <f t="shared" si="723"/>
        <v>0</v>
      </c>
      <c r="P1089" s="16"/>
      <c r="Q1089" s="16"/>
      <c r="R1089" s="16"/>
      <c r="S1089" s="16"/>
      <c r="T1089" s="16"/>
      <c r="U1089" s="16"/>
    </row>
    <row r="1090" spans="1:21" s="3" customFormat="1">
      <c r="A1090" s="11" t="s">
        <v>1037</v>
      </c>
      <c r="B1090" s="25" t="s">
        <v>67</v>
      </c>
      <c r="C1090" s="26" t="s">
        <v>78</v>
      </c>
      <c r="D1090" s="26" t="s">
        <v>8</v>
      </c>
      <c r="E1090" s="26" t="s">
        <v>483</v>
      </c>
      <c r="F1090" s="26" t="s">
        <v>1062</v>
      </c>
      <c r="G1090" s="27">
        <f t="shared" si="754"/>
        <v>5000</v>
      </c>
      <c r="H1090" s="27">
        <f t="shared" si="755"/>
        <v>5000</v>
      </c>
      <c r="I1090" s="27">
        <f t="shared" si="756"/>
        <v>5000</v>
      </c>
      <c r="J1090" s="16">
        <f>'БА в тыс. руб.'!G1090*1000</f>
        <v>5000</v>
      </c>
      <c r="K1090" s="169">
        <f t="shared" si="721"/>
        <v>0</v>
      </c>
      <c r="L1090" s="16">
        <f>'БА в тыс. руб.'!H1090*1000</f>
        <v>5000</v>
      </c>
      <c r="M1090" s="169">
        <f t="shared" si="722"/>
        <v>0</v>
      </c>
      <c r="N1090" s="16">
        <f>'БА в тыс. руб.'!I1090*1000</f>
        <v>5000</v>
      </c>
      <c r="O1090" s="169">
        <f t="shared" si="723"/>
        <v>0</v>
      </c>
      <c r="P1090" s="16"/>
      <c r="Q1090" s="16"/>
      <c r="R1090" s="16"/>
      <c r="S1090" s="16"/>
      <c r="T1090" s="16"/>
      <c r="U1090" s="16"/>
    </row>
    <row r="1091" spans="1:21" s="3" customFormat="1" ht="25.5">
      <c r="A1091" s="11" t="s">
        <v>126</v>
      </c>
      <c r="B1091" s="25" t="s">
        <v>67</v>
      </c>
      <c r="C1091" s="26" t="s">
        <v>78</v>
      </c>
      <c r="D1091" s="26" t="s">
        <v>8</v>
      </c>
      <c r="E1091" s="26" t="s">
        <v>484</v>
      </c>
      <c r="F1091" s="26" t="s">
        <v>58</v>
      </c>
      <c r="G1091" s="27">
        <f>G1092</f>
        <v>8763480</v>
      </c>
      <c r="H1091" s="27">
        <f t="shared" ref="H1091:I1091" si="757">H1092</f>
        <v>8763480</v>
      </c>
      <c r="I1091" s="27">
        <f t="shared" si="757"/>
        <v>8763480</v>
      </c>
      <c r="J1091" s="16">
        <f>'БА в тыс. руб.'!G1091*1000</f>
        <v>8763480</v>
      </c>
      <c r="K1091" s="169">
        <f t="shared" si="721"/>
        <v>0</v>
      </c>
      <c r="L1091" s="16">
        <f>'БА в тыс. руб.'!H1091*1000</f>
        <v>8763480</v>
      </c>
      <c r="M1091" s="169">
        <f t="shared" si="722"/>
        <v>0</v>
      </c>
      <c r="N1091" s="16">
        <f>'БА в тыс. руб.'!I1091*1000</f>
        <v>8763480</v>
      </c>
      <c r="O1091" s="169">
        <f t="shared" si="723"/>
        <v>0</v>
      </c>
      <c r="P1091" s="16"/>
      <c r="Q1091" s="16"/>
      <c r="R1091" s="16"/>
      <c r="S1091" s="16"/>
      <c r="T1091" s="16"/>
      <c r="U1091" s="16"/>
    </row>
    <row r="1092" spans="1:21" s="3" customFormat="1" ht="25.5">
      <c r="A1092" s="11" t="s">
        <v>107</v>
      </c>
      <c r="B1092" s="25" t="s">
        <v>67</v>
      </c>
      <c r="C1092" s="26" t="s">
        <v>78</v>
      </c>
      <c r="D1092" s="26" t="s">
        <v>8</v>
      </c>
      <c r="E1092" s="26" t="s">
        <v>484</v>
      </c>
      <c r="F1092" s="26" t="s">
        <v>115</v>
      </c>
      <c r="G1092" s="27">
        <f>SUM(G1093:G1094)</f>
        <v>8763480</v>
      </c>
      <c r="H1092" s="27">
        <f t="shared" ref="H1092:I1092" si="758">SUM(H1093:H1094)</f>
        <v>8763480</v>
      </c>
      <c r="I1092" s="27">
        <f t="shared" si="758"/>
        <v>8763480</v>
      </c>
      <c r="J1092" s="16">
        <f>'БА в тыс. руб.'!G1092*1000</f>
        <v>8763480</v>
      </c>
      <c r="K1092" s="169">
        <f t="shared" si="721"/>
        <v>0</v>
      </c>
      <c r="L1092" s="16">
        <f>'БА в тыс. руб.'!H1092*1000</f>
        <v>8763480</v>
      </c>
      <c r="M1092" s="169">
        <f t="shared" si="722"/>
        <v>0</v>
      </c>
      <c r="N1092" s="16">
        <f>'БА в тыс. руб.'!I1092*1000</f>
        <v>8763480</v>
      </c>
      <c r="O1092" s="169">
        <f t="shared" si="723"/>
        <v>0</v>
      </c>
      <c r="P1092" s="16"/>
      <c r="Q1092" s="16"/>
      <c r="R1092" s="16"/>
      <c r="S1092" s="16"/>
      <c r="T1092" s="16"/>
      <c r="U1092" s="16"/>
    </row>
    <row r="1093" spans="1:21" s="3" customFormat="1">
      <c r="A1093" s="11" t="s">
        <v>936</v>
      </c>
      <c r="B1093" s="25" t="s">
        <v>67</v>
      </c>
      <c r="C1093" s="26" t="s">
        <v>78</v>
      </c>
      <c r="D1093" s="26" t="s">
        <v>8</v>
      </c>
      <c r="E1093" s="26" t="s">
        <v>484</v>
      </c>
      <c r="F1093" s="26" t="s">
        <v>1063</v>
      </c>
      <c r="G1093" s="27">
        <f t="shared" ref="G1093:G1094" si="759">J1093</f>
        <v>6730780</v>
      </c>
      <c r="H1093" s="27">
        <f t="shared" ref="H1093:H1094" si="760">L1093</f>
        <v>6730780</v>
      </c>
      <c r="I1093" s="27">
        <f t="shared" ref="I1093:I1094" si="761">N1093</f>
        <v>6730780</v>
      </c>
      <c r="J1093" s="16">
        <f>'БА в тыс. руб.'!G1093*1000</f>
        <v>6730780</v>
      </c>
      <c r="K1093" s="169">
        <f t="shared" si="721"/>
        <v>0</v>
      </c>
      <c r="L1093" s="16">
        <f>'БА в тыс. руб.'!H1093*1000</f>
        <v>6730780</v>
      </c>
      <c r="M1093" s="169">
        <f t="shared" si="722"/>
        <v>0</v>
      </c>
      <c r="N1093" s="16">
        <f>'БА в тыс. руб.'!I1093*1000</f>
        <v>6730780</v>
      </c>
      <c r="O1093" s="169">
        <f t="shared" si="723"/>
        <v>0</v>
      </c>
      <c r="P1093" s="16"/>
      <c r="Q1093" s="16"/>
      <c r="R1093" s="16"/>
      <c r="S1093" s="16"/>
      <c r="T1093" s="16"/>
      <c r="U1093" s="16"/>
    </row>
    <row r="1094" spans="1:21" s="3" customFormat="1" ht="38.25">
      <c r="A1094" s="11" t="s">
        <v>939</v>
      </c>
      <c r="B1094" s="25" t="s">
        <v>67</v>
      </c>
      <c r="C1094" s="26" t="s">
        <v>78</v>
      </c>
      <c r="D1094" s="26" t="s">
        <v>8</v>
      </c>
      <c r="E1094" s="26" t="s">
        <v>484</v>
      </c>
      <c r="F1094" s="26" t="s">
        <v>1060</v>
      </c>
      <c r="G1094" s="27">
        <f t="shared" si="759"/>
        <v>2032700</v>
      </c>
      <c r="H1094" s="27">
        <f t="shared" si="760"/>
        <v>2032700</v>
      </c>
      <c r="I1094" s="27">
        <f t="shared" si="761"/>
        <v>2032700</v>
      </c>
      <c r="J1094" s="16">
        <f>'БА в тыс. руб.'!G1094*1000</f>
        <v>2032700</v>
      </c>
      <c r="K1094" s="169">
        <f t="shared" si="721"/>
        <v>0</v>
      </c>
      <c r="L1094" s="16">
        <f>'БА в тыс. руб.'!H1094*1000</f>
        <v>2032700</v>
      </c>
      <c r="M1094" s="169">
        <f t="shared" si="722"/>
        <v>0</v>
      </c>
      <c r="N1094" s="16">
        <f>'БА в тыс. руб.'!I1094*1000</f>
        <v>2032700</v>
      </c>
      <c r="O1094" s="169">
        <f t="shared" si="723"/>
        <v>0</v>
      </c>
      <c r="P1094" s="16"/>
      <c r="Q1094" s="16"/>
      <c r="R1094" s="16"/>
      <c r="S1094" s="16"/>
      <c r="T1094" s="16"/>
      <c r="U1094" s="16"/>
    </row>
    <row r="1095" spans="1:21" s="71" customFormat="1">
      <c r="A1095" s="93"/>
      <c r="B1095" s="92"/>
      <c r="C1095" s="70"/>
      <c r="D1095" s="70"/>
      <c r="E1095" s="70"/>
      <c r="F1095" s="70"/>
      <c r="G1095" s="27"/>
      <c r="H1095" s="27"/>
      <c r="I1095" s="27"/>
      <c r="J1095" s="16">
        <f>'БА в тыс. руб.'!G1095*1000</f>
        <v>0</v>
      </c>
      <c r="K1095" s="169">
        <f t="shared" si="721"/>
        <v>0</v>
      </c>
      <c r="L1095" s="16">
        <f>'БА в тыс. руб.'!H1095*1000</f>
        <v>0</v>
      </c>
      <c r="M1095" s="169">
        <f t="shared" si="722"/>
        <v>0</v>
      </c>
      <c r="N1095" s="16">
        <f>'БА в тыс. руб.'!I1095*1000</f>
        <v>0</v>
      </c>
      <c r="O1095" s="169">
        <f t="shared" si="723"/>
        <v>0</v>
      </c>
      <c r="P1095" s="16"/>
      <c r="Q1095" s="16"/>
      <c r="R1095" s="16"/>
      <c r="S1095" s="16"/>
      <c r="T1095" s="16"/>
      <c r="U1095" s="16"/>
    </row>
    <row r="1096" spans="1:21" s="3" customFormat="1">
      <c r="A1096" s="28" t="s">
        <v>4</v>
      </c>
      <c r="B1096" s="14" t="s">
        <v>5</v>
      </c>
      <c r="C1096" s="15" t="s">
        <v>51</v>
      </c>
      <c r="D1096" s="15" t="s">
        <v>51</v>
      </c>
      <c r="E1096" s="15" t="s">
        <v>196</v>
      </c>
      <c r="F1096" s="15" t="s">
        <v>58</v>
      </c>
      <c r="G1096" s="29">
        <f>G1097+G1134+G1148+G1170</f>
        <v>122620650</v>
      </c>
      <c r="H1096" s="29">
        <f>H1097+H1134+H1148+H1170</f>
        <v>116143740</v>
      </c>
      <c r="I1096" s="29">
        <f>I1097+I1134+I1148+I1170</f>
        <v>116143740</v>
      </c>
      <c r="J1096" s="16">
        <f>'БА в тыс. руб.'!G1096*1000</f>
        <v>122620650.00000003</v>
      </c>
      <c r="K1096" s="169">
        <f t="shared" ref="K1096:K1159" si="762">J1096-G1096</f>
        <v>0</v>
      </c>
      <c r="L1096" s="16">
        <f>'БА в тыс. руб.'!H1096*1000</f>
        <v>116143740</v>
      </c>
      <c r="M1096" s="169">
        <f t="shared" ref="M1096:M1159" si="763">L1096-H1096</f>
        <v>0</v>
      </c>
      <c r="N1096" s="16">
        <f>'БА в тыс. руб.'!I1096*1000</f>
        <v>116143740</v>
      </c>
      <c r="O1096" s="169">
        <f t="shared" ref="O1096:O1159" si="764">N1096-I1096</f>
        <v>0</v>
      </c>
      <c r="P1096" s="16"/>
      <c r="Q1096" s="16"/>
      <c r="R1096" s="16"/>
      <c r="S1096" s="16"/>
      <c r="T1096" s="16"/>
      <c r="U1096" s="16"/>
    </row>
    <row r="1097" spans="1:21" s="3" customFormat="1">
      <c r="A1097" s="17" t="s">
        <v>64</v>
      </c>
      <c r="B1097" s="18" t="s">
        <v>5</v>
      </c>
      <c r="C1097" s="19" t="s">
        <v>65</v>
      </c>
      <c r="D1097" s="19" t="s">
        <v>51</v>
      </c>
      <c r="E1097" s="19" t="s">
        <v>196</v>
      </c>
      <c r="F1097" s="19" t="s">
        <v>58</v>
      </c>
      <c r="G1097" s="20">
        <f>G1098+G1124</f>
        <v>32698800</v>
      </c>
      <c r="H1097" s="20">
        <f>H1098+H1124</f>
        <v>32713680</v>
      </c>
      <c r="I1097" s="20">
        <f>I1098+I1124</f>
        <v>32713680</v>
      </c>
      <c r="J1097" s="16">
        <f>'БА в тыс. руб.'!G1097*1000</f>
        <v>32698800.000000004</v>
      </c>
      <c r="K1097" s="169">
        <f t="shared" si="762"/>
        <v>0</v>
      </c>
      <c r="L1097" s="16">
        <f>'БА в тыс. руб.'!H1097*1000</f>
        <v>32713680</v>
      </c>
      <c r="M1097" s="169">
        <f t="shared" si="763"/>
        <v>0</v>
      </c>
      <c r="N1097" s="16">
        <f>'БА в тыс. руб.'!I1097*1000</f>
        <v>32713680</v>
      </c>
      <c r="O1097" s="169">
        <f t="shared" si="764"/>
        <v>0</v>
      </c>
      <c r="P1097" s="16"/>
      <c r="Q1097" s="16"/>
      <c r="R1097" s="16"/>
      <c r="S1097" s="16"/>
      <c r="T1097" s="16"/>
      <c r="U1097" s="16"/>
    </row>
    <row r="1098" spans="1:21" s="3" customFormat="1" ht="38.25">
      <c r="A1098" s="21" t="s">
        <v>31</v>
      </c>
      <c r="B1098" s="22" t="s">
        <v>5</v>
      </c>
      <c r="C1098" s="23" t="s">
        <v>65</v>
      </c>
      <c r="D1098" s="23" t="s">
        <v>37</v>
      </c>
      <c r="E1098" s="23" t="s">
        <v>196</v>
      </c>
      <c r="F1098" s="23" t="s">
        <v>58</v>
      </c>
      <c r="G1098" s="24">
        <f t="shared" ref="G1098:I1099" si="765">G1099</f>
        <v>32308600</v>
      </c>
      <c r="H1098" s="24">
        <f t="shared" si="765"/>
        <v>32323480</v>
      </c>
      <c r="I1098" s="24">
        <f t="shared" si="765"/>
        <v>32323480</v>
      </c>
      <c r="J1098" s="16">
        <f>'БА в тыс. руб.'!G1098*1000</f>
        <v>32308600.000000004</v>
      </c>
      <c r="K1098" s="169">
        <f t="shared" si="762"/>
        <v>0</v>
      </c>
      <c r="L1098" s="16">
        <f>'БА в тыс. руб.'!H1098*1000</f>
        <v>32323480</v>
      </c>
      <c r="M1098" s="169">
        <f t="shared" si="763"/>
        <v>0</v>
      </c>
      <c r="N1098" s="16">
        <f>'БА в тыс. руб.'!I1098*1000</f>
        <v>32323480</v>
      </c>
      <c r="O1098" s="169">
        <f t="shared" si="764"/>
        <v>0</v>
      </c>
      <c r="P1098" s="16"/>
      <c r="Q1098" s="16"/>
      <c r="R1098" s="16"/>
      <c r="S1098" s="16"/>
      <c r="T1098" s="16"/>
      <c r="U1098" s="16"/>
    </row>
    <row r="1099" spans="1:21" s="3" customFormat="1" ht="25.5">
      <c r="A1099" s="40" t="s">
        <v>146</v>
      </c>
      <c r="B1099" s="35" t="s">
        <v>5</v>
      </c>
      <c r="C1099" s="36" t="s">
        <v>65</v>
      </c>
      <c r="D1099" s="36" t="s">
        <v>37</v>
      </c>
      <c r="E1099" s="36" t="s">
        <v>485</v>
      </c>
      <c r="F1099" s="36" t="s">
        <v>58</v>
      </c>
      <c r="G1099" s="37">
        <f t="shared" si="765"/>
        <v>32308600</v>
      </c>
      <c r="H1099" s="37">
        <f t="shared" si="765"/>
        <v>32323480</v>
      </c>
      <c r="I1099" s="37">
        <f t="shared" si="765"/>
        <v>32323480</v>
      </c>
      <c r="J1099" s="16">
        <f>'БА в тыс. руб.'!G1099*1000</f>
        <v>32308600.000000004</v>
      </c>
      <c r="K1099" s="169">
        <f t="shared" si="762"/>
        <v>0</v>
      </c>
      <c r="L1099" s="16">
        <f>'БА в тыс. руб.'!H1099*1000</f>
        <v>32323480</v>
      </c>
      <c r="M1099" s="169">
        <f t="shared" si="763"/>
        <v>0</v>
      </c>
      <c r="N1099" s="16">
        <f>'БА в тыс. руб.'!I1099*1000</f>
        <v>32323480</v>
      </c>
      <c r="O1099" s="169">
        <f t="shared" si="764"/>
        <v>0</v>
      </c>
      <c r="P1099" s="16"/>
      <c r="Q1099" s="16"/>
      <c r="R1099" s="16"/>
      <c r="S1099" s="16"/>
      <c r="T1099" s="16"/>
      <c r="U1099" s="16"/>
    </row>
    <row r="1100" spans="1:21" s="3" customFormat="1" ht="25.5">
      <c r="A1100" s="40" t="s">
        <v>147</v>
      </c>
      <c r="B1100" s="35" t="s">
        <v>5</v>
      </c>
      <c r="C1100" s="36" t="s">
        <v>65</v>
      </c>
      <c r="D1100" s="36" t="s">
        <v>37</v>
      </c>
      <c r="E1100" s="36" t="s">
        <v>486</v>
      </c>
      <c r="F1100" s="36" t="s">
        <v>58</v>
      </c>
      <c r="G1100" s="37">
        <f>G1101+G1110+G1114+G1121</f>
        <v>32308600</v>
      </c>
      <c r="H1100" s="37">
        <f>H1101+H1110+H1114+H1121</f>
        <v>32323480</v>
      </c>
      <c r="I1100" s="37">
        <f>I1101+I1110+I1114+I1121</f>
        <v>32323480</v>
      </c>
      <c r="J1100" s="16">
        <f>'БА в тыс. руб.'!G1100*1000</f>
        <v>32308600.000000004</v>
      </c>
      <c r="K1100" s="169">
        <f t="shared" si="762"/>
        <v>0</v>
      </c>
      <c r="L1100" s="16">
        <f>'БА в тыс. руб.'!H1100*1000</f>
        <v>32323480</v>
      </c>
      <c r="M1100" s="169">
        <f t="shared" si="763"/>
        <v>0</v>
      </c>
      <c r="N1100" s="16">
        <f>'БА в тыс. руб.'!I1100*1000</f>
        <v>32323480</v>
      </c>
      <c r="O1100" s="169">
        <f t="shared" si="764"/>
        <v>0</v>
      </c>
      <c r="P1100" s="16"/>
      <c r="Q1100" s="16"/>
      <c r="R1100" s="16"/>
      <c r="S1100" s="16"/>
      <c r="T1100" s="16"/>
      <c r="U1100" s="16"/>
    </row>
    <row r="1101" spans="1:21" s="3" customFormat="1" ht="25.5">
      <c r="A1101" s="11" t="s">
        <v>114</v>
      </c>
      <c r="B1101" s="35" t="s">
        <v>5</v>
      </c>
      <c r="C1101" s="36" t="s">
        <v>65</v>
      </c>
      <c r="D1101" s="36" t="s">
        <v>37</v>
      </c>
      <c r="E1101" s="36" t="s">
        <v>487</v>
      </c>
      <c r="F1101" s="36" t="s">
        <v>58</v>
      </c>
      <c r="G1101" s="37">
        <f>G1102+G1105+G1107</f>
        <v>3523330</v>
      </c>
      <c r="H1101" s="37">
        <f t="shared" ref="H1101:I1101" si="766">H1102+H1105+H1107</f>
        <v>3538210</v>
      </c>
      <c r="I1101" s="37">
        <f t="shared" si="766"/>
        <v>3538210</v>
      </c>
      <c r="J1101" s="16">
        <f>'БА в тыс. руб.'!G1101*1000</f>
        <v>3523330</v>
      </c>
      <c r="K1101" s="169">
        <f t="shared" si="762"/>
        <v>0</v>
      </c>
      <c r="L1101" s="16">
        <f>'БА в тыс. руб.'!H1101*1000</f>
        <v>3538210</v>
      </c>
      <c r="M1101" s="169">
        <f t="shared" si="763"/>
        <v>0</v>
      </c>
      <c r="N1101" s="16">
        <f>'БА в тыс. руб.'!I1101*1000</f>
        <v>3538210</v>
      </c>
      <c r="O1101" s="169">
        <f t="shared" si="764"/>
        <v>0</v>
      </c>
      <c r="P1101" s="16"/>
      <c r="Q1101" s="16"/>
      <c r="R1101" s="16"/>
      <c r="S1101" s="16"/>
      <c r="T1101" s="16"/>
      <c r="U1101" s="16"/>
    </row>
    <row r="1102" spans="1:21" s="3" customFormat="1" ht="25.5">
      <c r="A1102" s="12" t="s">
        <v>107</v>
      </c>
      <c r="B1102" s="35" t="s">
        <v>5</v>
      </c>
      <c r="C1102" s="36" t="s">
        <v>65</v>
      </c>
      <c r="D1102" s="36" t="s">
        <v>37</v>
      </c>
      <c r="E1102" s="36" t="s">
        <v>487</v>
      </c>
      <c r="F1102" s="36" t="s">
        <v>115</v>
      </c>
      <c r="G1102" s="37">
        <f>SUM(G1103:G1104)</f>
        <v>620460</v>
      </c>
      <c r="H1102" s="37">
        <f t="shared" ref="H1102:I1102" si="767">SUM(H1103:H1104)</f>
        <v>620460</v>
      </c>
      <c r="I1102" s="37">
        <f t="shared" si="767"/>
        <v>620460</v>
      </c>
      <c r="J1102" s="16">
        <f>'БА в тыс. руб.'!G1102*1000</f>
        <v>620460</v>
      </c>
      <c r="K1102" s="169">
        <f t="shared" si="762"/>
        <v>0</v>
      </c>
      <c r="L1102" s="16">
        <f>'БА в тыс. руб.'!H1102*1000</f>
        <v>620460</v>
      </c>
      <c r="M1102" s="169">
        <f t="shared" si="763"/>
        <v>0</v>
      </c>
      <c r="N1102" s="16">
        <f>'БА в тыс. руб.'!I1102*1000</f>
        <v>620460</v>
      </c>
      <c r="O1102" s="169">
        <f t="shared" si="764"/>
        <v>0</v>
      </c>
      <c r="P1102" s="16"/>
      <c r="Q1102" s="16"/>
      <c r="R1102" s="16"/>
      <c r="S1102" s="16"/>
      <c r="T1102" s="16"/>
      <c r="U1102" s="16"/>
    </row>
    <row r="1103" spans="1:21" s="71" customFormat="1" ht="25.5">
      <c r="A1103" s="11" t="s">
        <v>937</v>
      </c>
      <c r="B1103" s="25" t="s">
        <v>5</v>
      </c>
      <c r="C1103" s="26" t="s">
        <v>65</v>
      </c>
      <c r="D1103" s="26" t="s">
        <v>37</v>
      </c>
      <c r="E1103" s="26" t="s">
        <v>487</v>
      </c>
      <c r="F1103" s="26" t="s">
        <v>1059</v>
      </c>
      <c r="G1103" s="27">
        <f t="shared" ref="G1103:G1104" si="768">J1103</f>
        <v>476560</v>
      </c>
      <c r="H1103" s="27">
        <f t="shared" ref="H1103:H1104" si="769">L1103</f>
        <v>476560</v>
      </c>
      <c r="I1103" s="27">
        <f t="shared" ref="I1103:I1104" si="770">N1103</f>
        <v>476560</v>
      </c>
      <c r="J1103" s="16">
        <f>'БА в тыс. руб.'!G1103*1000</f>
        <v>476560</v>
      </c>
      <c r="K1103" s="169">
        <f t="shared" si="762"/>
        <v>0</v>
      </c>
      <c r="L1103" s="16">
        <f>'БА в тыс. руб.'!H1103*1000</f>
        <v>476560</v>
      </c>
      <c r="M1103" s="169">
        <f t="shared" si="763"/>
        <v>0</v>
      </c>
      <c r="N1103" s="16">
        <f>'БА в тыс. руб.'!I1103*1000</f>
        <v>476560</v>
      </c>
      <c r="O1103" s="169">
        <f t="shared" si="764"/>
        <v>0</v>
      </c>
      <c r="P1103" s="16"/>
      <c r="Q1103" s="16"/>
      <c r="R1103" s="16"/>
      <c r="S1103" s="16"/>
      <c r="T1103" s="16"/>
      <c r="U1103" s="16"/>
    </row>
    <row r="1104" spans="1:21" s="71" customFormat="1" ht="38.25">
      <c r="A1104" s="11" t="s">
        <v>939</v>
      </c>
      <c r="B1104" s="25" t="s">
        <v>5</v>
      </c>
      <c r="C1104" s="26" t="s">
        <v>65</v>
      </c>
      <c r="D1104" s="26" t="s">
        <v>37</v>
      </c>
      <c r="E1104" s="26" t="s">
        <v>487</v>
      </c>
      <c r="F1104" s="26" t="s">
        <v>1060</v>
      </c>
      <c r="G1104" s="27">
        <f t="shared" si="768"/>
        <v>143900</v>
      </c>
      <c r="H1104" s="27">
        <f t="shared" si="769"/>
        <v>143900</v>
      </c>
      <c r="I1104" s="27">
        <f t="shared" si="770"/>
        <v>143900</v>
      </c>
      <c r="J1104" s="16">
        <f>'БА в тыс. руб.'!G1104*1000</f>
        <v>143900</v>
      </c>
      <c r="K1104" s="169">
        <f t="shared" si="762"/>
        <v>0</v>
      </c>
      <c r="L1104" s="16">
        <f>'БА в тыс. руб.'!H1104*1000</f>
        <v>143900</v>
      </c>
      <c r="M1104" s="169">
        <f t="shared" si="763"/>
        <v>0</v>
      </c>
      <c r="N1104" s="16">
        <f>'БА в тыс. руб.'!I1104*1000</f>
        <v>143900</v>
      </c>
      <c r="O1104" s="169">
        <f t="shared" si="764"/>
        <v>0</v>
      </c>
      <c r="P1104" s="16"/>
      <c r="Q1104" s="16"/>
      <c r="R1104" s="16"/>
      <c r="S1104" s="16"/>
      <c r="T1104" s="16"/>
      <c r="U1104" s="16"/>
    </row>
    <row r="1105" spans="1:21" s="3" customFormat="1" ht="25.5">
      <c r="A1105" s="11" t="s">
        <v>108</v>
      </c>
      <c r="B1105" s="35" t="s">
        <v>5</v>
      </c>
      <c r="C1105" s="36" t="s">
        <v>65</v>
      </c>
      <c r="D1105" s="36" t="s">
        <v>37</v>
      </c>
      <c r="E1105" s="36" t="s">
        <v>487</v>
      </c>
      <c r="F1105" s="36" t="s">
        <v>116</v>
      </c>
      <c r="G1105" s="37">
        <f>G1106</f>
        <v>2805870</v>
      </c>
      <c r="H1105" s="37">
        <f t="shared" ref="H1105:I1105" si="771">H1106</f>
        <v>2820750</v>
      </c>
      <c r="I1105" s="37">
        <f t="shared" si="771"/>
        <v>2820750</v>
      </c>
      <c r="J1105" s="16">
        <f>'БА в тыс. руб.'!G1105*1000</f>
        <v>2805870</v>
      </c>
      <c r="K1105" s="169">
        <f t="shared" si="762"/>
        <v>0</v>
      </c>
      <c r="L1105" s="16">
        <f>'БА в тыс. руб.'!H1105*1000</f>
        <v>2820750</v>
      </c>
      <c r="M1105" s="169">
        <f t="shared" si="763"/>
        <v>0</v>
      </c>
      <c r="N1105" s="16">
        <f>'БА в тыс. руб.'!I1105*1000</f>
        <v>2820750</v>
      </c>
      <c r="O1105" s="169">
        <f t="shared" si="764"/>
        <v>0</v>
      </c>
      <c r="P1105" s="16"/>
      <c r="Q1105" s="16"/>
      <c r="R1105" s="16"/>
      <c r="S1105" s="16"/>
      <c r="T1105" s="16"/>
      <c r="U1105" s="16"/>
    </row>
    <row r="1106" spans="1:21" s="4" customFormat="1" ht="25.5">
      <c r="A1106" s="12" t="s">
        <v>973</v>
      </c>
      <c r="B1106" s="35" t="s">
        <v>5</v>
      </c>
      <c r="C1106" s="36" t="s">
        <v>65</v>
      </c>
      <c r="D1106" s="36" t="s">
        <v>37</v>
      </c>
      <c r="E1106" s="36" t="s">
        <v>487</v>
      </c>
      <c r="F1106" s="36" t="s">
        <v>1043</v>
      </c>
      <c r="G1106" s="27">
        <f t="shared" ref="G1106" si="772">J1106</f>
        <v>2805870</v>
      </c>
      <c r="H1106" s="27">
        <f>L1106</f>
        <v>2820750</v>
      </c>
      <c r="I1106" s="27">
        <f>N1106</f>
        <v>2820750</v>
      </c>
      <c r="J1106" s="16">
        <f>'БА в тыс. руб.'!G1106*1000</f>
        <v>2805870</v>
      </c>
      <c r="K1106" s="169">
        <f t="shared" si="762"/>
        <v>0</v>
      </c>
      <c r="L1106" s="16">
        <f>'БА в тыс. руб.'!H1106*1000</f>
        <v>2820750</v>
      </c>
      <c r="M1106" s="169">
        <f t="shared" si="763"/>
        <v>0</v>
      </c>
      <c r="N1106" s="16">
        <f>'БА в тыс. руб.'!I1106*1000</f>
        <v>2820750</v>
      </c>
      <c r="O1106" s="169">
        <f t="shared" si="764"/>
        <v>0</v>
      </c>
      <c r="P1106" s="16"/>
      <c r="Q1106" s="16"/>
      <c r="R1106" s="16"/>
      <c r="S1106" s="16"/>
      <c r="T1106" s="16"/>
      <c r="U1106" s="16"/>
    </row>
    <row r="1107" spans="1:21" s="3" customFormat="1">
      <c r="A1107" s="11" t="s">
        <v>97</v>
      </c>
      <c r="B1107" s="25" t="s">
        <v>5</v>
      </c>
      <c r="C1107" s="26" t="s">
        <v>65</v>
      </c>
      <c r="D1107" s="26" t="s">
        <v>37</v>
      </c>
      <c r="E1107" s="26" t="s">
        <v>487</v>
      </c>
      <c r="F1107" s="26" t="s">
        <v>118</v>
      </c>
      <c r="G1107" s="27">
        <f>SUM(G1108:G1109)</f>
        <v>97000</v>
      </c>
      <c r="H1107" s="27">
        <f t="shared" ref="H1107:I1107" si="773">SUM(H1108:H1109)</f>
        <v>97000</v>
      </c>
      <c r="I1107" s="27">
        <f t="shared" si="773"/>
        <v>97000</v>
      </c>
      <c r="J1107" s="16">
        <f>'БА в тыс. руб.'!G1107*1000</f>
        <v>97000</v>
      </c>
      <c r="K1107" s="169">
        <f t="shared" si="762"/>
        <v>0</v>
      </c>
      <c r="L1107" s="16">
        <f>'БА в тыс. руб.'!H1107*1000</f>
        <v>97000</v>
      </c>
      <c r="M1107" s="169">
        <f t="shared" si="763"/>
        <v>0</v>
      </c>
      <c r="N1107" s="16">
        <f>'БА в тыс. руб.'!I1107*1000</f>
        <v>97000</v>
      </c>
      <c r="O1107" s="169">
        <f t="shared" si="764"/>
        <v>0</v>
      </c>
      <c r="P1107" s="16"/>
      <c r="Q1107" s="16"/>
      <c r="R1107" s="16"/>
      <c r="S1107" s="16"/>
      <c r="T1107" s="16"/>
      <c r="U1107" s="16"/>
    </row>
    <row r="1108" spans="1:21" s="3" customFormat="1">
      <c r="A1108" s="11" t="s">
        <v>1036</v>
      </c>
      <c r="B1108" s="25" t="s">
        <v>5</v>
      </c>
      <c r="C1108" s="26" t="s">
        <v>65</v>
      </c>
      <c r="D1108" s="26" t="s">
        <v>37</v>
      </c>
      <c r="E1108" s="26" t="s">
        <v>487</v>
      </c>
      <c r="F1108" s="26" t="s">
        <v>1061</v>
      </c>
      <c r="G1108" s="27">
        <f t="shared" ref="G1108:G1109" si="774">J1108</f>
        <v>77000</v>
      </c>
      <c r="H1108" s="27">
        <f t="shared" ref="H1108:H1109" si="775">L1108</f>
        <v>77000</v>
      </c>
      <c r="I1108" s="27">
        <f t="shared" ref="I1108:I1109" si="776">N1108</f>
        <v>77000</v>
      </c>
      <c r="J1108" s="16">
        <f>'БА в тыс. руб.'!G1108*1000</f>
        <v>77000</v>
      </c>
      <c r="K1108" s="169">
        <f t="shared" si="762"/>
        <v>0</v>
      </c>
      <c r="L1108" s="16">
        <f>'БА в тыс. руб.'!H1108*1000</f>
        <v>77000</v>
      </c>
      <c r="M1108" s="169">
        <f t="shared" si="763"/>
        <v>0</v>
      </c>
      <c r="N1108" s="16">
        <f>'БА в тыс. руб.'!I1108*1000</f>
        <v>77000</v>
      </c>
      <c r="O1108" s="169">
        <f t="shared" si="764"/>
        <v>0</v>
      </c>
      <c r="P1108" s="16"/>
      <c r="Q1108" s="16"/>
      <c r="R1108" s="16"/>
      <c r="S1108" s="16"/>
      <c r="T1108" s="16"/>
      <c r="U1108" s="16"/>
    </row>
    <row r="1109" spans="1:21" s="3" customFormat="1">
      <c r="A1109" s="11" t="s">
        <v>1037</v>
      </c>
      <c r="B1109" s="25" t="s">
        <v>5</v>
      </c>
      <c r="C1109" s="26" t="s">
        <v>65</v>
      </c>
      <c r="D1109" s="26" t="s">
        <v>37</v>
      </c>
      <c r="E1109" s="26" t="s">
        <v>487</v>
      </c>
      <c r="F1109" s="26" t="s">
        <v>1062</v>
      </c>
      <c r="G1109" s="27">
        <f t="shared" si="774"/>
        <v>20000</v>
      </c>
      <c r="H1109" s="27">
        <f t="shared" si="775"/>
        <v>20000</v>
      </c>
      <c r="I1109" s="27">
        <f t="shared" si="776"/>
        <v>20000</v>
      </c>
      <c r="J1109" s="16">
        <f>'БА в тыс. руб.'!G1109*1000</f>
        <v>20000</v>
      </c>
      <c r="K1109" s="169">
        <f t="shared" si="762"/>
        <v>0</v>
      </c>
      <c r="L1109" s="16">
        <f>'БА в тыс. руб.'!H1109*1000</f>
        <v>20000</v>
      </c>
      <c r="M1109" s="169">
        <f t="shared" si="763"/>
        <v>0</v>
      </c>
      <c r="N1109" s="16">
        <f>'БА в тыс. руб.'!I1109*1000</f>
        <v>20000</v>
      </c>
      <c r="O1109" s="169">
        <f t="shared" si="764"/>
        <v>0</v>
      </c>
      <c r="P1109" s="16"/>
      <c r="Q1109" s="16"/>
      <c r="R1109" s="16"/>
      <c r="S1109" s="16"/>
      <c r="T1109" s="16"/>
      <c r="U1109" s="16"/>
    </row>
    <row r="1110" spans="1:21" s="3" customFormat="1" ht="25.5">
      <c r="A1110" s="11" t="s">
        <v>126</v>
      </c>
      <c r="B1110" s="25" t="s">
        <v>5</v>
      </c>
      <c r="C1110" s="26" t="s">
        <v>65</v>
      </c>
      <c r="D1110" s="26" t="s">
        <v>37</v>
      </c>
      <c r="E1110" s="26" t="s">
        <v>488</v>
      </c>
      <c r="F1110" s="26" t="s">
        <v>58</v>
      </c>
      <c r="G1110" s="27">
        <f>G1111</f>
        <v>27685780</v>
      </c>
      <c r="H1110" s="27">
        <f>H1111</f>
        <v>27685780</v>
      </c>
      <c r="I1110" s="27">
        <f>I1111</f>
        <v>27685780</v>
      </c>
      <c r="J1110" s="16">
        <f>'БА в тыс. руб.'!G1110*1000</f>
        <v>27685780</v>
      </c>
      <c r="K1110" s="169">
        <f t="shared" si="762"/>
        <v>0</v>
      </c>
      <c r="L1110" s="16">
        <f>'БА в тыс. руб.'!H1110*1000</f>
        <v>27685780</v>
      </c>
      <c r="M1110" s="169">
        <f t="shared" si="763"/>
        <v>0</v>
      </c>
      <c r="N1110" s="16">
        <f>'БА в тыс. руб.'!I1110*1000</f>
        <v>27685780</v>
      </c>
      <c r="O1110" s="169">
        <f t="shared" si="764"/>
        <v>0</v>
      </c>
      <c r="P1110" s="16"/>
      <c r="Q1110" s="16"/>
      <c r="R1110" s="16"/>
      <c r="S1110" s="16"/>
      <c r="T1110" s="16"/>
      <c r="U1110" s="16"/>
    </row>
    <row r="1111" spans="1:21" s="3" customFormat="1" ht="25.5">
      <c r="A1111" s="11" t="s">
        <v>107</v>
      </c>
      <c r="B1111" s="25" t="s">
        <v>5</v>
      </c>
      <c r="C1111" s="26" t="s">
        <v>65</v>
      </c>
      <c r="D1111" s="26" t="s">
        <v>37</v>
      </c>
      <c r="E1111" s="26" t="s">
        <v>488</v>
      </c>
      <c r="F1111" s="26" t="s">
        <v>115</v>
      </c>
      <c r="G1111" s="27">
        <f>SUM(G1112:G1113)</f>
        <v>27685780</v>
      </c>
      <c r="H1111" s="27">
        <f t="shared" ref="H1111:I1111" si="777">SUM(H1112:H1113)</f>
        <v>27685780</v>
      </c>
      <c r="I1111" s="27">
        <f t="shared" si="777"/>
        <v>27685780</v>
      </c>
      <c r="J1111" s="16">
        <f>'БА в тыс. руб.'!G1111*1000</f>
        <v>27685780</v>
      </c>
      <c r="K1111" s="169">
        <f t="shared" si="762"/>
        <v>0</v>
      </c>
      <c r="L1111" s="16">
        <f>'БА в тыс. руб.'!H1111*1000</f>
        <v>27685780</v>
      </c>
      <c r="M1111" s="169">
        <f t="shared" si="763"/>
        <v>0</v>
      </c>
      <c r="N1111" s="16">
        <f>'БА в тыс. руб.'!I1111*1000</f>
        <v>27685780</v>
      </c>
      <c r="O1111" s="169">
        <f t="shared" si="764"/>
        <v>0</v>
      </c>
      <c r="P1111" s="16"/>
      <c r="Q1111" s="16"/>
      <c r="R1111" s="16"/>
      <c r="S1111" s="16"/>
      <c r="T1111" s="16"/>
      <c r="U1111" s="16"/>
    </row>
    <row r="1112" spans="1:21" s="3" customFormat="1">
      <c r="A1112" s="11" t="s">
        <v>936</v>
      </c>
      <c r="B1112" s="25" t="s">
        <v>5</v>
      </c>
      <c r="C1112" s="26" t="s">
        <v>65</v>
      </c>
      <c r="D1112" s="26" t="s">
        <v>37</v>
      </c>
      <c r="E1112" s="26" t="s">
        <v>488</v>
      </c>
      <c r="F1112" s="26" t="s">
        <v>1063</v>
      </c>
      <c r="G1112" s="27">
        <f t="shared" ref="G1112:G1113" si="778">J1112</f>
        <v>21264040</v>
      </c>
      <c r="H1112" s="27">
        <f t="shared" ref="H1112:H1113" si="779">L1112</f>
        <v>21264040</v>
      </c>
      <c r="I1112" s="27">
        <f t="shared" ref="I1112:I1113" si="780">N1112</f>
        <v>21264040</v>
      </c>
      <c r="J1112" s="16">
        <f>'БА в тыс. руб.'!G1112*1000</f>
        <v>21264040</v>
      </c>
      <c r="K1112" s="169">
        <f t="shared" si="762"/>
        <v>0</v>
      </c>
      <c r="L1112" s="16">
        <f>'БА в тыс. руб.'!H1112*1000</f>
        <v>21264040</v>
      </c>
      <c r="M1112" s="169">
        <f t="shared" si="763"/>
        <v>0</v>
      </c>
      <c r="N1112" s="16">
        <f>'БА в тыс. руб.'!I1112*1000</f>
        <v>21264040</v>
      </c>
      <c r="O1112" s="169">
        <f t="shared" si="764"/>
        <v>0</v>
      </c>
      <c r="P1112" s="16"/>
      <c r="Q1112" s="16"/>
      <c r="R1112" s="16"/>
      <c r="S1112" s="16"/>
      <c r="T1112" s="16"/>
      <c r="U1112" s="16"/>
    </row>
    <row r="1113" spans="1:21" s="3" customFormat="1" ht="38.25">
      <c r="A1113" s="11" t="s">
        <v>939</v>
      </c>
      <c r="B1113" s="25" t="s">
        <v>5</v>
      </c>
      <c r="C1113" s="26" t="s">
        <v>65</v>
      </c>
      <c r="D1113" s="26" t="s">
        <v>37</v>
      </c>
      <c r="E1113" s="26" t="s">
        <v>488</v>
      </c>
      <c r="F1113" s="26" t="s">
        <v>1060</v>
      </c>
      <c r="G1113" s="27">
        <f t="shared" si="778"/>
        <v>6421740</v>
      </c>
      <c r="H1113" s="27">
        <f t="shared" si="779"/>
        <v>6421740</v>
      </c>
      <c r="I1113" s="27">
        <f t="shared" si="780"/>
        <v>6421740</v>
      </c>
      <c r="J1113" s="16">
        <f>'БА в тыс. руб.'!G1113*1000</f>
        <v>6421740</v>
      </c>
      <c r="K1113" s="169">
        <f t="shared" si="762"/>
        <v>0</v>
      </c>
      <c r="L1113" s="16">
        <f>'БА в тыс. руб.'!H1113*1000</f>
        <v>6421740</v>
      </c>
      <c r="M1113" s="169">
        <f t="shared" si="763"/>
        <v>0</v>
      </c>
      <c r="N1113" s="16">
        <f>'БА в тыс. руб.'!I1113*1000</f>
        <v>6421740</v>
      </c>
      <c r="O1113" s="169">
        <f t="shared" si="764"/>
        <v>0</v>
      </c>
      <c r="P1113" s="16"/>
      <c r="Q1113" s="16"/>
      <c r="R1113" s="16"/>
      <c r="S1113" s="16"/>
      <c r="T1113" s="16"/>
      <c r="U1113" s="16"/>
    </row>
    <row r="1114" spans="1:21" s="3" customFormat="1" ht="51">
      <c r="A1114" s="32" t="s">
        <v>598</v>
      </c>
      <c r="B1114" s="25" t="s">
        <v>5</v>
      </c>
      <c r="C1114" s="26" t="s">
        <v>65</v>
      </c>
      <c r="D1114" s="26" t="s">
        <v>37</v>
      </c>
      <c r="E1114" s="26" t="s">
        <v>489</v>
      </c>
      <c r="F1114" s="26" t="s">
        <v>58</v>
      </c>
      <c r="G1114" s="27">
        <f>G1115+G1119</f>
        <v>1047750</v>
      </c>
      <c r="H1114" s="27">
        <f>H1115+H1119</f>
        <v>1047750</v>
      </c>
      <c r="I1114" s="27">
        <f>I1115+I1119</f>
        <v>1047750</v>
      </c>
      <c r="J1114" s="16">
        <f>'БА в тыс. руб.'!G1114*1000</f>
        <v>1047750</v>
      </c>
      <c r="K1114" s="169">
        <f t="shared" si="762"/>
        <v>0</v>
      </c>
      <c r="L1114" s="16">
        <f>'БА в тыс. руб.'!H1114*1000</f>
        <v>1047750</v>
      </c>
      <c r="M1114" s="169">
        <f t="shared" si="763"/>
        <v>0</v>
      </c>
      <c r="N1114" s="16">
        <f>'БА в тыс. руб.'!I1114*1000</f>
        <v>1047750</v>
      </c>
      <c r="O1114" s="169">
        <f t="shared" si="764"/>
        <v>0</v>
      </c>
      <c r="P1114" s="16"/>
      <c r="Q1114" s="16"/>
      <c r="R1114" s="16"/>
      <c r="S1114" s="16"/>
      <c r="T1114" s="16"/>
      <c r="U1114" s="16"/>
    </row>
    <row r="1115" spans="1:21" s="3" customFormat="1" ht="25.5">
      <c r="A1115" s="11" t="s">
        <v>107</v>
      </c>
      <c r="B1115" s="25" t="s">
        <v>5</v>
      </c>
      <c r="C1115" s="26" t="s">
        <v>65</v>
      </c>
      <c r="D1115" s="26" t="s">
        <v>37</v>
      </c>
      <c r="E1115" s="26" t="s">
        <v>489</v>
      </c>
      <c r="F1115" s="26" t="s">
        <v>115</v>
      </c>
      <c r="G1115" s="27">
        <f>SUM(G1116:G1118)</f>
        <v>989330</v>
      </c>
      <c r="H1115" s="27">
        <f t="shared" ref="H1115:I1115" si="781">SUM(H1116:H1118)</f>
        <v>989330</v>
      </c>
      <c r="I1115" s="27">
        <f t="shared" si="781"/>
        <v>989330</v>
      </c>
      <c r="J1115" s="16">
        <f>'БА в тыс. руб.'!G1115*1000</f>
        <v>989329.99999999988</v>
      </c>
      <c r="K1115" s="169">
        <f t="shared" si="762"/>
        <v>0</v>
      </c>
      <c r="L1115" s="16">
        <f>'БА в тыс. руб.'!H1115*1000</f>
        <v>989329.99999999988</v>
      </c>
      <c r="M1115" s="169">
        <f t="shared" si="763"/>
        <v>0</v>
      </c>
      <c r="N1115" s="16">
        <f>'БА в тыс. руб.'!I1115*1000</f>
        <v>989329.99999999988</v>
      </c>
      <c r="O1115" s="169">
        <f t="shared" si="764"/>
        <v>0</v>
      </c>
      <c r="P1115" s="16"/>
      <c r="Q1115" s="16"/>
      <c r="R1115" s="16"/>
      <c r="S1115" s="16"/>
      <c r="T1115" s="16"/>
      <c r="U1115" s="16"/>
    </row>
    <row r="1116" spans="1:21" s="3" customFormat="1">
      <c r="A1116" s="11" t="s">
        <v>936</v>
      </c>
      <c r="B1116" s="25" t="s">
        <v>5</v>
      </c>
      <c r="C1116" s="26" t="s">
        <v>65</v>
      </c>
      <c r="D1116" s="26" t="s">
        <v>37</v>
      </c>
      <c r="E1116" s="26" t="s">
        <v>489</v>
      </c>
      <c r="F1116" s="26" t="s">
        <v>1063</v>
      </c>
      <c r="G1116" s="27">
        <f t="shared" ref="G1116:G1118" si="782">J1116</f>
        <v>721560</v>
      </c>
      <c r="H1116" s="27">
        <f t="shared" ref="H1116:H1118" si="783">L1116</f>
        <v>721560</v>
      </c>
      <c r="I1116" s="27">
        <f t="shared" ref="I1116:I1118" si="784">N1116</f>
        <v>721560</v>
      </c>
      <c r="J1116" s="16">
        <f>'БА в тыс. руб.'!G1116*1000</f>
        <v>721560</v>
      </c>
      <c r="K1116" s="169">
        <f t="shared" si="762"/>
        <v>0</v>
      </c>
      <c r="L1116" s="16">
        <f>'БА в тыс. руб.'!H1116*1000</f>
        <v>721560</v>
      </c>
      <c r="M1116" s="169">
        <f t="shared" si="763"/>
        <v>0</v>
      </c>
      <c r="N1116" s="16">
        <f>'БА в тыс. руб.'!I1116*1000</f>
        <v>721560</v>
      </c>
      <c r="O1116" s="169">
        <f t="shared" si="764"/>
        <v>0</v>
      </c>
      <c r="P1116" s="16"/>
      <c r="Q1116" s="16"/>
      <c r="R1116" s="16"/>
      <c r="S1116" s="16"/>
      <c r="T1116" s="16"/>
      <c r="U1116" s="16"/>
    </row>
    <row r="1117" spans="1:21" s="3" customFormat="1" ht="25.5">
      <c r="A1117" s="12" t="s">
        <v>937</v>
      </c>
      <c r="B1117" s="25" t="s">
        <v>5</v>
      </c>
      <c r="C1117" s="26" t="s">
        <v>65</v>
      </c>
      <c r="D1117" s="26" t="s">
        <v>37</v>
      </c>
      <c r="E1117" s="26" t="s">
        <v>489</v>
      </c>
      <c r="F1117" s="26" t="s">
        <v>1059</v>
      </c>
      <c r="G1117" s="27">
        <f t="shared" si="782"/>
        <v>38300</v>
      </c>
      <c r="H1117" s="27">
        <f t="shared" si="783"/>
        <v>38300</v>
      </c>
      <c r="I1117" s="27">
        <f t="shared" si="784"/>
        <v>38300</v>
      </c>
      <c r="J1117" s="16">
        <f>'БА в тыс. руб.'!G1117*1000</f>
        <v>38300</v>
      </c>
      <c r="K1117" s="169">
        <f t="shared" si="762"/>
        <v>0</v>
      </c>
      <c r="L1117" s="16">
        <f>'БА в тыс. руб.'!H1117*1000</f>
        <v>38300</v>
      </c>
      <c r="M1117" s="169"/>
      <c r="N1117" s="16">
        <f>'БА в тыс. руб.'!I1117*1000</f>
        <v>38300</v>
      </c>
      <c r="O1117" s="169"/>
      <c r="P1117" s="16"/>
      <c r="Q1117" s="16"/>
      <c r="R1117" s="16"/>
      <c r="S1117" s="16"/>
      <c r="T1117" s="16"/>
      <c r="U1117" s="16"/>
    </row>
    <row r="1118" spans="1:21" s="3" customFormat="1" ht="38.25">
      <c r="A1118" s="11" t="s">
        <v>939</v>
      </c>
      <c r="B1118" s="25" t="s">
        <v>5</v>
      </c>
      <c r="C1118" s="26" t="s">
        <v>65</v>
      </c>
      <c r="D1118" s="26" t="s">
        <v>37</v>
      </c>
      <c r="E1118" s="26" t="s">
        <v>489</v>
      </c>
      <c r="F1118" s="26" t="s">
        <v>1060</v>
      </c>
      <c r="G1118" s="27">
        <f t="shared" si="782"/>
        <v>229470</v>
      </c>
      <c r="H1118" s="27">
        <f t="shared" si="783"/>
        <v>229470</v>
      </c>
      <c r="I1118" s="27">
        <f t="shared" si="784"/>
        <v>229470</v>
      </c>
      <c r="J1118" s="16">
        <f>'БА в тыс. руб.'!G1118*1000</f>
        <v>229470</v>
      </c>
      <c r="K1118" s="169">
        <f t="shared" si="762"/>
        <v>0</v>
      </c>
      <c r="L1118" s="16">
        <f>'БА в тыс. руб.'!H1118*1000</f>
        <v>229470</v>
      </c>
      <c r="M1118" s="169">
        <f t="shared" si="763"/>
        <v>0</v>
      </c>
      <c r="N1118" s="16">
        <f>'БА в тыс. руб.'!I1118*1000</f>
        <v>229470</v>
      </c>
      <c r="O1118" s="169">
        <f t="shared" si="764"/>
        <v>0</v>
      </c>
      <c r="P1118" s="16"/>
      <c r="Q1118" s="16"/>
      <c r="R1118" s="16"/>
      <c r="S1118" s="16"/>
      <c r="T1118" s="16"/>
      <c r="U1118" s="16"/>
    </row>
    <row r="1119" spans="1:21" s="3" customFormat="1" ht="25.5">
      <c r="A1119" s="11" t="s">
        <v>108</v>
      </c>
      <c r="B1119" s="25" t="s">
        <v>5</v>
      </c>
      <c r="C1119" s="26" t="s">
        <v>65</v>
      </c>
      <c r="D1119" s="26" t="s">
        <v>37</v>
      </c>
      <c r="E1119" s="26" t="s">
        <v>489</v>
      </c>
      <c r="F1119" s="26" t="s">
        <v>116</v>
      </c>
      <c r="G1119" s="27">
        <f>G1120</f>
        <v>58420</v>
      </c>
      <c r="H1119" s="27">
        <f t="shared" ref="H1119:I1119" si="785">H1120</f>
        <v>58420</v>
      </c>
      <c r="I1119" s="27">
        <f t="shared" si="785"/>
        <v>58420</v>
      </c>
      <c r="J1119" s="16">
        <f>'БА в тыс. руб.'!G1119*1000</f>
        <v>58420</v>
      </c>
      <c r="K1119" s="169">
        <f t="shared" si="762"/>
        <v>0</v>
      </c>
      <c r="L1119" s="16">
        <f>'БА в тыс. руб.'!H1119*1000</f>
        <v>58420</v>
      </c>
      <c r="M1119" s="169">
        <f t="shared" si="763"/>
        <v>0</v>
      </c>
      <c r="N1119" s="16">
        <f>'БА в тыс. руб.'!I1119*1000</f>
        <v>58420</v>
      </c>
      <c r="O1119" s="169">
        <f t="shared" si="764"/>
        <v>0</v>
      </c>
      <c r="P1119" s="16"/>
      <c r="Q1119" s="16"/>
      <c r="R1119" s="16"/>
      <c r="S1119" s="16"/>
      <c r="T1119" s="16"/>
      <c r="U1119" s="16"/>
    </row>
    <row r="1120" spans="1:21" s="94" customFormat="1" ht="25.5">
      <c r="A1120" s="12" t="s">
        <v>973</v>
      </c>
      <c r="B1120" s="25" t="s">
        <v>5</v>
      </c>
      <c r="C1120" s="26" t="s">
        <v>65</v>
      </c>
      <c r="D1120" s="26" t="s">
        <v>37</v>
      </c>
      <c r="E1120" s="26" t="s">
        <v>489</v>
      </c>
      <c r="F1120" s="26" t="s">
        <v>1043</v>
      </c>
      <c r="G1120" s="27">
        <f t="shared" ref="G1120" si="786">J1120</f>
        <v>58420</v>
      </c>
      <c r="H1120" s="27">
        <f>L1120</f>
        <v>58420</v>
      </c>
      <c r="I1120" s="27">
        <f>N1120</f>
        <v>58420</v>
      </c>
      <c r="J1120" s="16">
        <f>'БА в тыс. руб.'!G1120*1000</f>
        <v>58420</v>
      </c>
      <c r="K1120" s="169">
        <f t="shared" si="762"/>
        <v>0</v>
      </c>
      <c r="L1120" s="16">
        <f>'БА в тыс. руб.'!H1120*1000</f>
        <v>58420</v>
      </c>
      <c r="M1120" s="169">
        <f t="shared" si="763"/>
        <v>0</v>
      </c>
      <c r="N1120" s="16">
        <f>'БА в тыс. руб.'!I1120*1000</f>
        <v>58420</v>
      </c>
      <c r="O1120" s="169">
        <f t="shared" si="764"/>
        <v>0</v>
      </c>
      <c r="P1120" s="16"/>
      <c r="Q1120" s="16"/>
      <c r="R1120" s="16"/>
      <c r="S1120" s="16"/>
      <c r="T1120" s="16"/>
      <c r="U1120" s="16"/>
    </row>
    <row r="1121" spans="1:21" s="3" customFormat="1" ht="51">
      <c r="A1121" s="34" t="s">
        <v>870</v>
      </c>
      <c r="B1121" s="35" t="s">
        <v>5</v>
      </c>
      <c r="C1121" s="36" t="s">
        <v>65</v>
      </c>
      <c r="D1121" s="36" t="s">
        <v>37</v>
      </c>
      <c r="E1121" s="36" t="s">
        <v>490</v>
      </c>
      <c r="F1121" s="36" t="s">
        <v>58</v>
      </c>
      <c r="G1121" s="37">
        <f>G1122</f>
        <v>51740</v>
      </c>
      <c r="H1121" s="37">
        <f>H1122</f>
        <v>51740</v>
      </c>
      <c r="I1121" s="37">
        <f>I1122</f>
        <v>51740</v>
      </c>
      <c r="J1121" s="16">
        <f>'БА в тыс. руб.'!G1121*1000</f>
        <v>51740</v>
      </c>
      <c r="K1121" s="169">
        <f t="shared" si="762"/>
        <v>0</v>
      </c>
      <c r="L1121" s="16">
        <f>'БА в тыс. руб.'!H1121*1000</f>
        <v>51740</v>
      </c>
      <c r="M1121" s="169">
        <f t="shared" si="763"/>
        <v>0</v>
      </c>
      <c r="N1121" s="16">
        <f>'БА в тыс. руб.'!I1121*1000</f>
        <v>51740</v>
      </c>
      <c r="O1121" s="169">
        <f t="shared" si="764"/>
        <v>0</v>
      </c>
      <c r="P1121" s="16"/>
      <c r="Q1121" s="16"/>
      <c r="R1121" s="16"/>
      <c r="S1121" s="16"/>
      <c r="T1121" s="16"/>
      <c r="U1121" s="16"/>
    </row>
    <row r="1122" spans="1:21" s="3" customFormat="1" ht="25.5">
      <c r="A1122" s="11" t="s">
        <v>108</v>
      </c>
      <c r="B1122" s="35" t="s">
        <v>5</v>
      </c>
      <c r="C1122" s="36" t="s">
        <v>65</v>
      </c>
      <c r="D1122" s="36" t="s">
        <v>37</v>
      </c>
      <c r="E1122" s="36" t="s">
        <v>490</v>
      </c>
      <c r="F1122" s="36" t="s">
        <v>116</v>
      </c>
      <c r="G1122" s="37">
        <f>G1123</f>
        <v>51740</v>
      </c>
      <c r="H1122" s="37">
        <f t="shared" ref="H1122:I1122" si="787">H1123</f>
        <v>51740</v>
      </c>
      <c r="I1122" s="37">
        <f t="shared" si="787"/>
        <v>51740</v>
      </c>
      <c r="J1122" s="16">
        <f>'БА в тыс. руб.'!G1122*1000</f>
        <v>51740</v>
      </c>
      <c r="K1122" s="169">
        <f t="shared" si="762"/>
        <v>0</v>
      </c>
      <c r="L1122" s="16">
        <f>'БА в тыс. руб.'!H1122*1000</f>
        <v>51740</v>
      </c>
      <c r="M1122" s="169">
        <f t="shared" si="763"/>
        <v>0</v>
      </c>
      <c r="N1122" s="16">
        <f>'БА в тыс. руб.'!I1122*1000</f>
        <v>51740</v>
      </c>
      <c r="O1122" s="169">
        <f t="shared" si="764"/>
        <v>0</v>
      </c>
      <c r="P1122" s="16"/>
      <c r="Q1122" s="16"/>
      <c r="R1122" s="16"/>
      <c r="S1122" s="16"/>
      <c r="T1122" s="16"/>
      <c r="U1122" s="16"/>
    </row>
    <row r="1123" spans="1:21" s="4" customFormat="1" ht="25.5">
      <c r="A1123" s="12" t="s">
        <v>973</v>
      </c>
      <c r="B1123" s="35" t="s">
        <v>5</v>
      </c>
      <c r="C1123" s="36" t="s">
        <v>65</v>
      </c>
      <c r="D1123" s="36" t="s">
        <v>37</v>
      </c>
      <c r="E1123" s="36" t="s">
        <v>490</v>
      </c>
      <c r="F1123" s="36" t="s">
        <v>1043</v>
      </c>
      <c r="G1123" s="27">
        <f t="shared" ref="G1123" si="788">J1123</f>
        <v>51740</v>
      </c>
      <c r="H1123" s="27">
        <f>L1123</f>
        <v>51740</v>
      </c>
      <c r="I1123" s="27">
        <f>N1123</f>
        <v>51740</v>
      </c>
      <c r="J1123" s="16">
        <f>'БА в тыс. руб.'!G1123*1000</f>
        <v>51740</v>
      </c>
      <c r="K1123" s="169">
        <f t="shared" si="762"/>
        <v>0</v>
      </c>
      <c r="L1123" s="16">
        <f>'БА в тыс. руб.'!H1123*1000</f>
        <v>51740</v>
      </c>
      <c r="M1123" s="169">
        <f t="shared" si="763"/>
        <v>0</v>
      </c>
      <c r="N1123" s="16">
        <f>'БА в тыс. руб.'!I1123*1000</f>
        <v>51740</v>
      </c>
      <c r="O1123" s="169">
        <f t="shared" si="764"/>
        <v>0</v>
      </c>
      <c r="P1123" s="16"/>
      <c r="Q1123" s="16"/>
      <c r="R1123" s="16"/>
      <c r="S1123" s="16"/>
      <c r="T1123" s="16"/>
      <c r="U1123" s="16"/>
    </row>
    <row r="1124" spans="1:21" s="3" customFormat="1">
      <c r="A1124" s="21" t="s">
        <v>38</v>
      </c>
      <c r="B1124" s="22" t="s">
        <v>5</v>
      </c>
      <c r="C1124" s="23" t="s">
        <v>65</v>
      </c>
      <c r="D1124" s="23" t="s">
        <v>84</v>
      </c>
      <c r="E1124" s="23" t="s">
        <v>196</v>
      </c>
      <c r="F1124" s="23" t="s">
        <v>58</v>
      </c>
      <c r="G1124" s="24">
        <f>G1125</f>
        <v>390200</v>
      </c>
      <c r="H1124" s="24">
        <f t="shared" ref="H1124:I1124" si="789">H1125</f>
        <v>390200</v>
      </c>
      <c r="I1124" s="24">
        <f t="shared" si="789"/>
        <v>390200</v>
      </c>
      <c r="J1124" s="16">
        <f>'БА в тыс. руб.'!G1124*1000</f>
        <v>390200</v>
      </c>
      <c r="K1124" s="169">
        <f t="shared" si="762"/>
        <v>0</v>
      </c>
      <c r="L1124" s="16">
        <f>'БА в тыс. руб.'!H1124*1000</f>
        <v>390200</v>
      </c>
      <c r="M1124" s="169">
        <f t="shared" si="763"/>
        <v>0</v>
      </c>
      <c r="N1124" s="16">
        <f>'БА в тыс. руб.'!I1124*1000</f>
        <v>390200</v>
      </c>
      <c r="O1124" s="169">
        <f t="shared" si="764"/>
        <v>0</v>
      </c>
      <c r="P1124" s="16"/>
      <c r="Q1124" s="16"/>
      <c r="R1124" s="16"/>
      <c r="S1124" s="16"/>
      <c r="T1124" s="16"/>
      <c r="U1124" s="16"/>
    </row>
    <row r="1125" spans="1:21" s="3" customFormat="1" ht="38.25">
      <c r="A1125" s="13" t="s">
        <v>745</v>
      </c>
      <c r="B1125" s="35" t="s">
        <v>5</v>
      </c>
      <c r="C1125" s="36" t="s">
        <v>65</v>
      </c>
      <c r="D1125" s="36" t="s">
        <v>84</v>
      </c>
      <c r="E1125" s="36" t="s">
        <v>280</v>
      </c>
      <c r="F1125" s="36" t="s">
        <v>58</v>
      </c>
      <c r="G1125" s="37">
        <f t="shared" ref="G1125:I1129" si="790">G1126</f>
        <v>390200</v>
      </c>
      <c r="H1125" s="37">
        <f t="shared" si="790"/>
        <v>390200</v>
      </c>
      <c r="I1125" s="37">
        <f t="shared" si="790"/>
        <v>390200</v>
      </c>
      <c r="J1125" s="16">
        <f>'БА в тыс. руб.'!G1125*1000</f>
        <v>390200</v>
      </c>
      <c r="K1125" s="169">
        <f t="shared" si="762"/>
        <v>0</v>
      </c>
      <c r="L1125" s="16">
        <f>'БА в тыс. руб.'!H1125*1000</f>
        <v>390200</v>
      </c>
      <c r="M1125" s="169">
        <f t="shared" si="763"/>
        <v>0</v>
      </c>
      <c r="N1125" s="16">
        <f>'БА в тыс. руб.'!I1125*1000</f>
        <v>390200</v>
      </c>
      <c r="O1125" s="169">
        <f t="shared" si="764"/>
        <v>0</v>
      </c>
      <c r="P1125" s="16"/>
      <c r="Q1125" s="16"/>
      <c r="R1125" s="16"/>
      <c r="S1125" s="16"/>
      <c r="T1125" s="16"/>
      <c r="U1125" s="16"/>
    </row>
    <row r="1126" spans="1:21" s="3" customFormat="1" ht="51">
      <c r="A1126" s="13" t="s">
        <v>746</v>
      </c>
      <c r="B1126" s="25" t="s">
        <v>5</v>
      </c>
      <c r="C1126" s="36" t="s">
        <v>65</v>
      </c>
      <c r="D1126" s="36" t="s">
        <v>84</v>
      </c>
      <c r="E1126" s="36" t="s">
        <v>281</v>
      </c>
      <c r="F1126" s="36" t="s">
        <v>58</v>
      </c>
      <c r="G1126" s="37">
        <f t="shared" si="790"/>
        <v>390200</v>
      </c>
      <c r="H1126" s="37">
        <f t="shared" si="790"/>
        <v>390200</v>
      </c>
      <c r="I1126" s="37">
        <f t="shared" si="790"/>
        <v>390200</v>
      </c>
      <c r="J1126" s="16">
        <f>'БА в тыс. руб.'!G1126*1000</f>
        <v>390200</v>
      </c>
      <c r="K1126" s="169">
        <f t="shared" si="762"/>
        <v>0</v>
      </c>
      <c r="L1126" s="16">
        <f>'БА в тыс. руб.'!H1126*1000</f>
        <v>390200</v>
      </c>
      <c r="M1126" s="169">
        <f t="shared" si="763"/>
        <v>0</v>
      </c>
      <c r="N1126" s="16">
        <f>'БА в тыс. руб.'!I1126*1000</f>
        <v>390200</v>
      </c>
      <c r="O1126" s="169">
        <f t="shared" si="764"/>
        <v>0</v>
      </c>
      <c r="P1126" s="16"/>
      <c r="Q1126" s="16"/>
      <c r="R1126" s="16"/>
      <c r="S1126" s="16"/>
      <c r="T1126" s="16"/>
      <c r="U1126" s="16"/>
    </row>
    <row r="1127" spans="1:21" s="3" customFormat="1" ht="38.25">
      <c r="A1127" s="11" t="s">
        <v>282</v>
      </c>
      <c r="B1127" s="25" t="s">
        <v>5</v>
      </c>
      <c r="C1127" s="36" t="s">
        <v>65</v>
      </c>
      <c r="D1127" s="36" t="s">
        <v>84</v>
      </c>
      <c r="E1127" s="36" t="s">
        <v>283</v>
      </c>
      <c r="F1127" s="36" t="s">
        <v>58</v>
      </c>
      <c r="G1127" s="37">
        <f>G1128+G1131</f>
        <v>390200</v>
      </c>
      <c r="H1127" s="37">
        <f>H1128+H1131</f>
        <v>390200</v>
      </c>
      <c r="I1127" s="37">
        <f>I1128+I1131</f>
        <v>390200</v>
      </c>
      <c r="J1127" s="16">
        <f>'БА в тыс. руб.'!G1127*1000</f>
        <v>390200</v>
      </c>
      <c r="K1127" s="169">
        <f t="shared" si="762"/>
        <v>0</v>
      </c>
      <c r="L1127" s="16">
        <f>'БА в тыс. руб.'!H1127*1000</f>
        <v>390200</v>
      </c>
      <c r="M1127" s="169">
        <f t="shared" si="763"/>
        <v>0</v>
      </c>
      <c r="N1127" s="16">
        <f>'БА в тыс. руб.'!I1127*1000</f>
        <v>390200</v>
      </c>
      <c r="O1127" s="169">
        <f t="shared" si="764"/>
        <v>0</v>
      </c>
      <c r="P1127" s="16"/>
      <c r="Q1127" s="16"/>
      <c r="R1127" s="16"/>
      <c r="S1127" s="16"/>
      <c r="T1127" s="16"/>
      <c r="U1127" s="16"/>
    </row>
    <row r="1128" spans="1:21" s="3" customFormat="1" ht="25.5">
      <c r="A1128" s="11" t="s">
        <v>167</v>
      </c>
      <c r="B1128" s="25" t="s">
        <v>5</v>
      </c>
      <c r="C1128" s="36" t="s">
        <v>65</v>
      </c>
      <c r="D1128" s="36" t="s">
        <v>84</v>
      </c>
      <c r="E1128" s="36" t="s">
        <v>491</v>
      </c>
      <c r="F1128" s="36" t="s">
        <v>58</v>
      </c>
      <c r="G1128" s="37">
        <f t="shared" si="790"/>
        <v>350000</v>
      </c>
      <c r="H1128" s="37">
        <f t="shared" si="790"/>
        <v>350000</v>
      </c>
      <c r="I1128" s="37">
        <f t="shared" si="790"/>
        <v>350000</v>
      </c>
      <c r="J1128" s="16">
        <f>'БА в тыс. руб.'!G1128*1000</f>
        <v>350000</v>
      </c>
      <c r="K1128" s="169">
        <f t="shared" si="762"/>
        <v>0</v>
      </c>
      <c r="L1128" s="16">
        <f>'БА в тыс. руб.'!H1128*1000</f>
        <v>350000</v>
      </c>
      <c r="M1128" s="169">
        <f t="shared" si="763"/>
        <v>0</v>
      </c>
      <c r="N1128" s="16">
        <f>'БА в тыс. руб.'!I1128*1000</f>
        <v>350000</v>
      </c>
      <c r="O1128" s="169">
        <f t="shared" si="764"/>
        <v>0</v>
      </c>
      <c r="P1128" s="16"/>
      <c r="Q1128" s="16"/>
      <c r="R1128" s="16"/>
      <c r="S1128" s="16"/>
      <c r="T1128" s="16"/>
      <c r="U1128" s="16"/>
    </row>
    <row r="1129" spans="1:21" s="3" customFormat="1" ht="25.5">
      <c r="A1129" s="11" t="s">
        <v>108</v>
      </c>
      <c r="B1129" s="25" t="s">
        <v>5</v>
      </c>
      <c r="C1129" s="36" t="s">
        <v>65</v>
      </c>
      <c r="D1129" s="36" t="s">
        <v>84</v>
      </c>
      <c r="E1129" s="36" t="s">
        <v>491</v>
      </c>
      <c r="F1129" s="36" t="s">
        <v>116</v>
      </c>
      <c r="G1129" s="37">
        <f>G1130</f>
        <v>350000</v>
      </c>
      <c r="H1129" s="37">
        <f t="shared" si="790"/>
        <v>350000</v>
      </c>
      <c r="I1129" s="37">
        <f t="shared" si="790"/>
        <v>350000</v>
      </c>
      <c r="J1129" s="16">
        <f>'БА в тыс. руб.'!G1129*1000</f>
        <v>350000</v>
      </c>
      <c r="K1129" s="169">
        <f t="shared" si="762"/>
        <v>0</v>
      </c>
      <c r="L1129" s="16">
        <f>'БА в тыс. руб.'!H1129*1000</f>
        <v>350000</v>
      </c>
      <c r="M1129" s="169">
        <f t="shared" si="763"/>
        <v>0</v>
      </c>
      <c r="N1129" s="16">
        <f>'БА в тыс. руб.'!I1129*1000</f>
        <v>350000</v>
      </c>
      <c r="O1129" s="169">
        <f t="shared" si="764"/>
        <v>0</v>
      </c>
      <c r="P1129" s="16"/>
      <c r="Q1129" s="16"/>
      <c r="R1129" s="16"/>
      <c r="S1129" s="16"/>
      <c r="T1129" s="16"/>
      <c r="U1129" s="16"/>
    </row>
    <row r="1130" spans="1:21" s="4" customFormat="1" ht="25.5">
      <c r="A1130" s="12" t="s">
        <v>973</v>
      </c>
      <c r="B1130" s="25" t="s">
        <v>5</v>
      </c>
      <c r="C1130" s="36" t="s">
        <v>65</v>
      </c>
      <c r="D1130" s="36" t="s">
        <v>84</v>
      </c>
      <c r="E1130" s="36" t="s">
        <v>491</v>
      </c>
      <c r="F1130" s="36" t="s">
        <v>1043</v>
      </c>
      <c r="G1130" s="27">
        <f t="shared" ref="G1130" si="791">J1130</f>
        <v>350000</v>
      </c>
      <c r="H1130" s="27">
        <f>L1130</f>
        <v>350000</v>
      </c>
      <c r="I1130" s="27">
        <f>N1130</f>
        <v>350000</v>
      </c>
      <c r="J1130" s="16">
        <f>'БА в тыс. руб.'!G1130*1000</f>
        <v>350000</v>
      </c>
      <c r="K1130" s="169">
        <f t="shared" si="762"/>
        <v>0</v>
      </c>
      <c r="L1130" s="16">
        <f>'БА в тыс. руб.'!H1130*1000</f>
        <v>350000</v>
      </c>
      <c r="M1130" s="169">
        <f t="shared" si="763"/>
        <v>0</v>
      </c>
      <c r="N1130" s="16">
        <f>'БА в тыс. руб.'!I1130*1000</f>
        <v>350000</v>
      </c>
      <c r="O1130" s="169">
        <f t="shared" si="764"/>
        <v>0</v>
      </c>
      <c r="P1130" s="16"/>
      <c r="Q1130" s="16"/>
      <c r="R1130" s="16"/>
      <c r="S1130" s="16"/>
      <c r="T1130" s="16"/>
      <c r="U1130" s="16"/>
    </row>
    <row r="1131" spans="1:21" s="3" customFormat="1" ht="25.5">
      <c r="A1131" s="11" t="s">
        <v>859</v>
      </c>
      <c r="B1131" s="25" t="s">
        <v>5</v>
      </c>
      <c r="C1131" s="36" t="s">
        <v>65</v>
      </c>
      <c r="D1131" s="36" t="s">
        <v>84</v>
      </c>
      <c r="E1131" s="43" t="s">
        <v>858</v>
      </c>
      <c r="F1131" s="26" t="s">
        <v>58</v>
      </c>
      <c r="G1131" s="27">
        <f>G1132</f>
        <v>40200</v>
      </c>
      <c r="H1131" s="27">
        <f t="shared" ref="H1131:I1132" si="792">H1132</f>
        <v>40200</v>
      </c>
      <c r="I1131" s="27">
        <f t="shared" si="792"/>
        <v>40200</v>
      </c>
      <c r="J1131" s="16">
        <f>'БА в тыс. руб.'!G1131*1000</f>
        <v>40200</v>
      </c>
      <c r="K1131" s="169">
        <f t="shared" si="762"/>
        <v>0</v>
      </c>
      <c r="L1131" s="16">
        <f>'БА в тыс. руб.'!H1131*1000</f>
        <v>40200</v>
      </c>
      <c r="M1131" s="169">
        <f t="shared" si="763"/>
        <v>0</v>
      </c>
      <c r="N1131" s="16">
        <f>'БА в тыс. руб.'!I1131*1000</f>
        <v>40200</v>
      </c>
      <c r="O1131" s="169">
        <f t="shared" si="764"/>
        <v>0</v>
      </c>
      <c r="P1131" s="16"/>
      <c r="Q1131" s="16"/>
      <c r="R1131" s="16"/>
      <c r="S1131" s="16"/>
      <c r="T1131" s="16"/>
      <c r="U1131" s="16"/>
    </row>
    <row r="1132" spans="1:21" s="3" customFormat="1" ht="25.5">
      <c r="A1132" s="11" t="s">
        <v>108</v>
      </c>
      <c r="B1132" s="25" t="s">
        <v>5</v>
      </c>
      <c r="C1132" s="36" t="s">
        <v>65</v>
      </c>
      <c r="D1132" s="36" t="s">
        <v>84</v>
      </c>
      <c r="E1132" s="43" t="s">
        <v>858</v>
      </c>
      <c r="F1132" s="26" t="s">
        <v>116</v>
      </c>
      <c r="G1132" s="27">
        <f>G1133</f>
        <v>40200</v>
      </c>
      <c r="H1132" s="27">
        <f t="shared" si="792"/>
        <v>40200</v>
      </c>
      <c r="I1132" s="27">
        <f t="shared" si="792"/>
        <v>40200</v>
      </c>
      <c r="J1132" s="16">
        <f>'БА в тыс. руб.'!G1132*1000</f>
        <v>40200</v>
      </c>
      <c r="K1132" s="169">
        <f t="shared" si="762"/>
        <v>0</v>
      </c>
      <c r="L1132" s="16">
        <f>'БА в тыс. руб.'!H1132*1000</f>
        <v>40200</v>
      </c>
      <c r="M1132" s="169">
        <f t="shared" si="763"/>
        <v>0</v>
      </c>
      <c r="N1132" s="16">
        <f>'БА в тыс. руб.'!I1132*1000</f>
        <v>40200</v>
      </c>
      <c r="O1132" s="169">
        <f t="shared" si="764"/>
        <v>0</v>
      </c>
      <c r="P1132" s="16"/>
      <c r="Q1132" s="16"/>
      <c r="R1132" s="16"/>
      <c r="S1132" s="16"/>
      <c r="T1132" s="16"/>
      <c r="U1132" s="16"/>
    </row>
    <row r="1133" spans="1:21" s="4" customFormat="1" ht="25.5">
      <c r="A1133" s="12" t="s">
        <v>973</v>
      </c>
      <c r="B1133" s="25" t="s">
        <v>5</v>
      </c>
      <c r="C1133" s="36" t="s">
        <v>65</v>
      </c>
      <c r="D1133" s="36" t="s">
        <v>84</v>
      </c>
      <c r="E1133" s="43" t="s">
        <v>858</v>
      </c>
      <c r="F1133" s="26" t="s">
        <v>1043</v>
      </c>
      <c r="G1133" s="27">
        <f t="shared" ref="G1133" si="793">J1133</f>
        <v>40200</v>
      </c>
      <c r="H1133" s="27">
        <f>L1133</f>
        <v>40200</v>
      </c>
      <c r="I1133" s="27">
        <f>N1133</f>
        <v>40200</v>
      </c>
      <c r="J1133" s="16">
        <f>'БА в тыс. руб.'!G1133*1000</f>
        <v>40200</v>
      </c>
      <c r="K1133" s="169">
        <f t="shared" si="762"/>
        <v>0</v>
      </c>
      <c r="L1133" s="16">
        <f>'БА в тыс. руб.'!H1133*1000</f>
        <v>40200</v>
      </c>
      <c r="M1133" s="169">
        <f t="shared" si="763"/>
        <v>0</v>
      </c>
      <c r="N1133" s="16">
        <f>'БА в тыс. руб.'!I1133*1000</f>
        <v>40200</v>
      </c>
      <c r="O1133" s="169">
        <f t="shared" si="764"/>
        <v>0</v>
      </c>
      <c r="P1133" s="16"/>
      <c r="Q1133" s="16"/>
      <c r="R1133" s="16"/>
      <c r="S1133" s="16"/>
      <c r="T1133" s="16"/>
      <c r="U1133" s="16"/>
    </row>
    <row r="1134" spans="1:21" s="3" customFormat="1">
      <c r="A1134" s="17" t="s">
        <v>35</v>
      </c>
      <c r="B1134" s="18" t="s">
        <v>5</v>
      </c>
      <c r="C1134" s="19" t="s">
        <v>37</v>
      </c>
      <c r="D1134" s="19" t="s">
        <v>51</v>
      </c>
      <c r="E1134" s="19" t="s">
        <v>196</v>
      </c>
      <c r="F1134" s="19" t="s">
        <v>58</v>
      </c>
      <c r="G1134" s="20">
        <f t="shared" ref="G1134:I1137" si="794">G1135</f>
        <v>67497950</v>
      </c>
      <c r="H1134" s="20">
        <f t="shared" si="794"/>
        <v>61526090</v>
      </c>
      <c r="I1134" s="20">
        <f t="shared" si="794"/>
        <v>61526090</v>
      </c>
      <c r="J1134" s="16">
        <f>'БА в тыс. руб.'!G1134*1000</f>
        <v>67497950.000000015</v>
      </c>
      <c r="K1134" s="169">
        <f t="shared" si="762"/>
        <v>0</v>
      </c>
      <c r="L1134" s="16">
        <f>'БА в тыс. руб.'!H1134*1000</f>
        <v>61526090.000000007</v>
      </c>
      <c r="M1134" s="169">
        <f t="shared" si="763"/>
        <v>0</v>
      </c>
      <c r="N1134" s="16">
        <f>'БА в тыс. руб.'!I1134*1000</f>
        <v>61526090.000000007</v>
      </c>
      <c r="O1134" s="169">
        <f t="shared" si="764"/>
        <v>0</v>
      </c>
      <c r="P1134" s="16"/>
      <c r="Q1134" s="16"/>
      <c r="R1134" s="16"/>
      <c r="S1134" s="16"/>
      <c r="T1134" s="16"/>
      <c r="U1134" s="16"/>
    </row>
    <row r="1135" spans="1:21" s="3" customFormat="1">
      <c r="A1135" s="21" t="s">
        <v>88</v>
      </c>
      <c r="B1135" s="22" t="s">
        <v>5</v>
      </c>
      <c r="C1135" s="23" t="s">
        <v>37</v>
      </c>
      <c r="D1135" s="23" t="s">
        <v>25</v>
      </c>
      <c r="E1135" s="23" t="s">
        <v>196</v>
      </c>
      <c r="F1135" s="23" t="s">
        <v>58</v>
      </c>
      <c r="G1135" s="24">
        <f t="shared" si="794"/>
        <v>67497950</v>
      </c>
      <c r="H1135" s="24">
        <f t="shared" si="794"/>
        <v>61526090</v>
      </c>
      <c r="I1135" s="24">
        <f t="shared" si="794"/>
        <v>61526090</v>
      </c>
      <c r="J1135" s="16">
        <f>'БА в тыс. руб.'!G1135*1000</f>
        <v>67497950.000000015</v>
      </c>
      <c r="K1135" s="169">
        <f t="shared" si="762"/>
        <v>0</v>
      </c>
      <c r="L1135" s="16">
        <f>'БА в тыс. руб.'!H1135*1000</f>
        <v>61526090.000000007</v>
      </c>
      <c r="M1135" s="169">
        <f t="shared" si="763"/>
        <v>0</v>
      </c>
      <c r="N1135" s="16">
        <f>'БА в тыс. руб.'!I1135*1000</f>
        <v>61526090.000000007</v>
      </c>
      <c r="O1135" s="169">
        <f t="shared" si="764"/>
        <v>0</v>
      </c>
      <c r="P1135" s="16"/>
      <c r="Q1135" s="16"/>
      <c r="R1135" s="16"/>
      <c r="S1135" s="16"/>
      <c r="T1135" s="16"/>
      <c r="U1135" s="16"/>
    </row>
    <row r="1136" spans="1:21" s="3" customFormat="1" ht="38.25">
      <c r="A1136" s="12" t="s">
        <v>722</v>
      </c>
      <c r="B1136" s="35" t="s">
        <v>5</v>
      </c>
      <c r="C1136" s="36" t="s">
        <v>37</v>
      </c>
      <c r="D1136" s="36" t="s">
        <v>25</v>
      </c>
      <c r="E1136" s="36" t="s">
        <v>300</v>
      </c>
      <c r="F1136" s="36" t="s">
        <v>58</v>
      </c>
      <c r="G1136" s="37">
        <f t="shared" si="794"/>
        <v>67497950</v>
      </c>
      <c r="H1136" s="37">
        <f t="shared" si="794"/>
        <v>61526090</v>
      </c>
      <c r="I1136" s="37">
        <f t="shared" si="794"/>
        <v>61526090</v>
      </c>
      <c r="J1136" s="16">
        <f>'БА в тыс. руб.'!G1136*1000</f>
        <v>67497950.000000015</v>
      </c>
      <c r="K1136" s="169">
        <f t="shared" si="762"/>
        <v>0</v>
      </c>
      <c r="L1136" s="16">
        <f>'БА в тыс. руб.'!H1136*1000</f>
        <v>61526090.000000007</v>
      </c>
      <c r="M1136" s="169">
        <f t="shared" si="763"/>
        <v>0</v>
      </c>
      <c r="N1136" s="16">
        <f>'БА в тыс. руб.'!I1136*1000</f>
        <v>61526090.000000007</v>
      </c>
      <c r="O1136" s="169">
        <f t="shared" si="764"/>
        <v>0</v>
      </c>
      <c r="P1136" s="16"/>
      <c r="Q1136" s="16"/>
      <c r="R1136" s="16"/>
      <c r="S1136" s="16"/>
      <c r="T1136" s="16"/>
      <c r="U1136" s="16"/>
    </row>
    <row r="1137" spans="1:21" s="3" customFormat="1" ht="38.25">
      <c r="A1137" s="40" t="s">
        <v>729</v>
      </c>
      <c r="B1137" s="35" t="s">
        <v>5</v>
      </c>
      <c r="C1137" s="36" t="s">
        <v>37</v>
      </c>
      <c r="D1137" s="36" t="s">
        <v>25</v>
      </c>
      <c r="E1137" s="36" t="s">
        <v>301</v>
      </c>
      <c r="F1137" s="36" t="s">
        <v>58</v>
      </c>
      <c r="G1137" s="37">
        <f t="shared" si="794"/>
        <v>67497950</v>
      </c>
      <c r="H1137" s="37">
        <f t="shared" si="794"/>
        <v>61526090</v>
      </c>
      <c r="I1137" s="37">
        <f t="shared" si="794"/>
        <v>61526090</v>
      </c>
      <c r="J1137" s="16">
        <f>'БА в тыс. руб.'!G1137*1000</f>
        <v>67497950.000000015</v>
      </c>
      <c r="K1137" s="169">
        <f t="shared" si="762"/>
        <v>0</v>
      </c>
      <c r="L1137" s="16">
        <f>'БА в тыс. руб.'!H1137*1000</f>
        <v>61526090.000000007</v>
      </c>
      <c r="M1137" s="169">
        <f t="shared" si="763"/>
        <v>0</v>
      </c>
      <c r="N1137" s="16">
        <f>'БА в тыс. руб.'!I1137*1000</f>
        <v>61526090.000000007</v>
      </c>
      <c r="O1137" s="169">
        <f t="shared" si="764"/>
        <v>0</v>
      </c>
      <c r="P1137" s="16"/>
      <c r="Q1137" s="16"/>
      <c r="R1137" s="16"/>
      <c r="S1137" s="16"/>
      <c r="T1137" s="16"/>
      <c r="U1137" s="16"/>
    </row>
    <row r="1138" spans="1:21" s="3" customFormat="1" ht="38.25">
      <c r="A1138" s="40" t="s">
        <v>644</v>
      </c>
      <c r="B1138" s="35" t="s">
        <v>5</v>
      </c>
      <c r="C1138" s="36" t="s">
        <v>37</v>
      </c>
      <c r="D1138" s="36" t="s">
        <v>25</v>
      </c>
      <c r="E1138" s="36" t="s">
        <v>302</v>
      </c>
      <c r="F1138" s="36" t="s">
        <v>58</v>
      </c>
      <c r="G1138" s="37">
        <f>G1145+G1139+G1142</f>
        <v>67497950</v>
      </c>
      <c r="H1138" s="37">
        <f>H1145+H1139+H1142</f>
        <v>61526090</v>
      </c>
      <c r="I1138" s="37">
        <f>I1145+I1139+I1142</f>
        <v>61526090</v>
      </c>
      <c r="J1138" s="16">
        <f>'БА в тыс. руб.'!G1138*1000</f>
        <v>67497950.000000015</v>
      </c>
      <c r="K1138" s="169">
        <f t="shared" si="762"/>
        <v>0</v>
      </c>
      <c r="L1138" s="16">
        <f>'БА в тыс. руб.'!H1138*1000</f>
        <v>61526090.000000007</v>
      </c>
      <c r="M1138" s="169">
        <f t="shared" si="763"/>
        <v>0</v>
      </c>
      <c r="N1138" s="16">
        <f>'БА в тыс. руб.'!I1138*1000</f>
        <v>61526090.000000007</v>
      </c>
      <c r="O1138" s="169">
        <f t="shared" si="764"/>
        <v>0</v>
      </c>
      <c r="P1138" s="16"/>
      <c r="Q1138" s="16"/>
      <c r="R1138" s="16"/>
      <c r="S1138" s="16"/>
      <c r="T1138" s="16"/>
      <c r="U1138" s="16"/>
    </row>
    <row r="1139" spans="1:21" s="127" customFormat="1" ht="25.5">
      <c r="A1139" s="11" t="s">
        <v>493</v>
      </c>
      <c r="B1139" s="25" t="s">
        <v>5</v>
      </c>
      <c r="C1139" s="26" t="s">
        <v>37</v>
      </c>
      <c r="D1139" s="26" t="s">
        <v>25</v>
      </c>
      <c r="E1139" s="26" t="s">
        <v>494</v>
      </c>
      <c r="F1139" s="26" t="s">
        <v>58</v>
      </c>
      <c r="G1139" s="27">
        <f t="shared" ref="G1139:I1140" si="795">G1140</f>
        <v>10668700</v>
      </c>
      <c r="H1139" s="27">
        <f t="shared" si="795"/>
        <v>10379760</v>
      </c>
      <c r="I1139" s="27">
        <f t="shared" si="795"/>
        <v>10379760</v>
      </c>
      <c r="J1139" s="16">
        <f>'БА в тыс. руб.'!G1139*1000</f>
        <v>10668700</v>
      </c>
      <c r="K1139" s="169">
        <f t="shared" si="762"/>
        <v>0</v>
      </c>
      <c r="L1139" s="16">
        <f>'БА в тыс. руб.'!H1139*1000</f>
        <v>10379760</v>
      </c>
      <c r="M1139" s="169">
        <f t="shared" si="763"/>
        <v>0</v>
      </c>
      <c r="N1139" s="16">
        <f>'БА в тыс. руб.'!I1139*1000</f>
        <v>10379760</v>
      </c>
      <c r="O1139" s="169">
        <f t="shared" si="764"/>
        <v>0</v>
      </c>
      <c r="P1139" s="16"/>
      <c r="Q1139" s="16"/>
      <c r="R1139" s="16"/>
      <c r="S1139" s="16"/>
      <c r="T1139" s="16"/>
      <c r="U1139" s="16"/>
    </row>
    <row r="1140" spans="1:21" s="127" customFormat="1" ht="25.5">
      <c r="A1140" s="11" t="s">
        <v>108</v>
      </c>
      <c r="B1140" s="25" t="s">
        <v>5</v>
      </c>
      <c r="C1140" s="26" t="s">
        <v>37</v>
      </c>
      <c r="D1140" s="26" t="s">
        <v>25</v>
      </c>
      <c r="E1140" s="26" t="s">
        <v>494</v>
      </c>
      <c r="F1140" s="26" t="s">
        <v>116</v>
      </c>
      <c r="G1140" s="27">
        <f t="shared" si="795"/>
        <v>10668700</v>
      </c>
      <c r="H1140" s="27">
        <f t="shared" si="795"/>
        <v>10379760</v>
      </c>
      <c r="I1140" s="27">
        <f t="shared" si="795"/>
        <v>10379760</v>
      </c>
      <c r="J1140" s="16">
        <f>'БА в тыс. руб.'!G1140*1000</f>
        <v>10668700</v>
      </c>
      <c r="K1140" s="169">
        <f t="shared" si="762"/>
        <v>0</v>
      </c>
      <c r="L1140" s="16">
        <f>'БА в тыс. руб.'!H1140*1000</f>
        <v>10379760</v>
      </c>
      <c r="M1140" s="169">
        <f t="shared" si="763"/>
        <v>0</v>
      </c>
      <c r="N1140" s="16">
        <f>'БА в тыс. руб.'!I1140*1000</f>
        <v>10379760</v>
      </c>
      <c r="O1140" s="169">
        <f t="shared" si="764"/>
        <v>0</v>
      </c>
      <c r="P1140" s="16"/>
      <c r="Q1140" s="16"/>
      <c r="R1140" s="16"/>
      <c r="S1140" s="16"/>
      <c r="T1140" s="16"/>
      <c r="U1140" s="16"/>
    </row>
    <row r="1141" spans="1:21" s="4" customFormat="1" ht="25.5">
      <c r="A1141" s="12" t="s">
        <v>973</v>
      </c>
      <c r="B1141" s="25" t="s">
        <v>5</v>
      </c>
      <c r="C1141" s="26" t="s">
        <v>37</v>
      </c>
      <c r="D1141" s="26" t="s">
        <v>25</v>
      </c>
      <c r="E1141" s="26" t="s">
        <v>494</v>
      </c>
      <c r="F1141" s="26" t="s">
        <v>1043</v>
      </c>
      <c r="G1141" s="27">
        <f t="shared" ref="G1141" si="796">J1141</f>
        <v>10668700</v>
      </c>
      <c r="H1141" s="27">
        <f>L1141</f>
        <v>10379760</v>
      </c>
      <c r="I1141" s="27">
        <f>N1141</f>
        <v>10379760</v>
      </c>
      <c r="J1141" s="16">
        <f>'БА в тыс. руб.'!G1141*1000</f>
        <v>10668700</v>
      </c>
      <c r="K1141" s="169">
        <f t="shared" si="762"/>
        <v>0</v>
      </c>
      <c r="L1141" s="16">
        <f>'БА в тыс. руб.'!H1141*1000</f>
        <v>10379760</v>
      </c>
      <c r="M1141" s="169">
        <f t="shared" si="763"/>
        <v>0</v>
      </c>
      <c r="N1141" s="16">
        <f>'БА в тыс. руб.'!I1141*1000</f>
        <v>10379760</v>
      </c>
      <c r="O1141" s="169">
        <f t="shared" si="764"/>
        <v>0</v>
      </c>
      <c r="P1141" s="16"/>
      <c r="Q1141" s="16"/>
      <c r="R1141" s="16"/>
      <c r="S1141" s="16"/>
      <c r="T1141" s="16"/>
      <c r="U1141" s="16"/>
    </row>
    <row r="1142" spans="1:21" s="127" customFormat="1" ht="63.75">
      <c r="A1142" s="11" t="s">
        <v>889</v>
      </c>
      <c r="B1142" s="25" t="s">
        <v>5</v>
      </c>
      <c r="C1142" s="26" t="s">
        <v>37</v>
      </c>
      <c r="D1142" s="26" t="s">
        <v>25</v>
      </c>
      <c r="E1142" s="26" t="s">
        <v>834</v>
      </c>
      <c r="F1142" s="26" t="s">
        <v>58</v>
      </c>
      <c r="G1142" s="27">
        <f>G1143</f>
        <v>14389290</v>
      </c>
      <c r="H1142" s="27">
        <f t="shared" ref="H1142:I1143" si="797">H1143</f>
        <v>0</v>
      </c>
      <c r="I1142" s="27">
        <f t="shared" si="797"/>
        <v>0</v>
      </c>
      <c r="J1142" s="16">
        <f>'БА в тыс. руб.'!G1142*1000</f>
        <v>14389290</v>
      </c>
      <c r="K1142" s="169">
        <f t="shared" si="762"/>
        <v>0</v>
      </c>
      <c r="L1142" s="16">
        <f>'БА в тыс. руб.'!H1142*1000</f>
        <v>0</v>
      </c>
      <c r="M1142" s="169">
        <f t="shared" si="763"/>
        <v>0</v>
      </c>
      <c r="N1142" s="16">
        <f>'БА в тыс. руб.'!I1142*1000</f>
        <v>0</v>
      </c>
      <c r="O1142" s="169">
        <f t="shared" si="764"/>
        <v>0</v>
      </c>
      <c r="P1142" s="16"/>
      <c r="Q1142" s="16"/>
      <c r="R1142" s="16"/>
      <c r="S1142" s="16"/>
      <c r="T1142" s="16"/>
      <c r="U1142" s="16"/>
    </row>
    <row r="1143" spans="1:21" s="127" customFormat="1" ht="25.5">
      <c r="A1143" s="11" t="s">
        <v>108</v>
      </c>
      <c r="B1143" s="25" t="s">
        <v>5</v>
      </c>
      <c r="C1143" s="26" t="s">
        <v>37</v>
      </c>
      <c r="D1143" s="26" t="s">
        <v>25</v>
      </c>
      <c r="E1143" s="26" t="s">
        <v>834</v>
      </c>
      <c r="F1143" s="26" t="s">
        <v>116</v>
      </c>
      <c r="G1143" s="27">
        <f>G1144</f>
        <v>14389290</v>
      </c>
      <c r="H1143" s="27">
        <f t="shared" si="797"/>
        <v>0</v>
      </c>
      <c r="I1143" s="27">
        <f t="shared" si="797"/>
        <v>0</v>
      </c>
      <c r="J1143" s="16">
        <f>'БА в тыс. руб.'!G1143*1000</f>
        <v>14389290</v>
      </c>
      <c r="K1143" s="169">
        <f t="shared" si="762"/>
        <v>0</v>
      </c>
      <c r="L1143" s="16">
        <f>'БА в тыс. руб.'!H1143*1000</f>
        <v>0</v>
      </c>
      <c r="M1143" s="169">
        <f t="shared" si="763"/>
        <v>0</v>
      </c>
      <c r="N1143" s="16">
        <f>'БА в тыс. руб.'!I1143*1000</f>
        <v>0</v>
      </c>
      <c r="O1143" s="169">
        <f t="shared" si="764"/>
        <v>0</v>
      </c>
      <c r="P1143" s="16"/>
      <c r="Q1143" s="16"/>
      <c r="R1143" s="16"/>
      <c r="S1143" s="16"/>
      <c r="T1143" s="16"/>
      <c r="U1143" s="16"/>
    </row>
    <row r="1144" spans="1:21" s="4" customFormat="1" ht="25.5">
      <c r="A1144" s="12" t="s">
        <v>973</v>
      </c>
      <c r="B1144" s="25" t="s">
        <v>5</v>
      </c>
      <c r="C1144" s="26" t="s">
        <v>37</v>
      </c>
      <c r="D1144" s="26" t="s">
        <v>25</v>
      </c>
      <c r="E1144" s="26" t="s">
        <v>834</v>
      </c>
      <c r="F1144" s="26" t="s">
        <v>1043</v>
      </c>
      <c r="G1144" s="27">
        <f t="shared" ref="G1144" si="798">J1144</f>
        <v>14389290</v>
      </c>
      <c r="H1144" s="27">
        <f>L1144</f>
        <v>0</v>
      </c>
      <c r="I1144" s="27">
        <f>N1144</f>
        <v>0</v>
      </c>
      <c r="J1144" s="16">
        <f>'БА в тыс. руб.'!G1144*1000</f>
        <v>14389290</v>
      </c>
      <c r="K1144" s="169">
        <f t="shared" si="762"/>
        <v>0</v>
      </c>
      <c r="L1144" s="16">
        <f>'БА в тыс. руб.'!H1144*1000</f>
        <v>0</v>
      </c>
      <c r="M1144" s="169">
        <f t="shared" si="763"/>
        <v>0</v>
      </c>
      <c r="N1144" s="16">
        <f>'БА в тыс. руб.'!I1144*1000</f>
        <v>0</v>
      </c>
      <c r="O1144" s="169">
        <f t="shared" si="764"/>
        <v>0</v>
      </c>
      <c r="P1144" s="16"/>
      <c r="Q1144" s="16"/>
      <c r="R1144" s="16"/>
      <c r="S1144" s="16"/>
      <c r="T1144" s="16"/>
      <c r="U1144" s="16"/>
    </row>
    <row r="1145" spans="1:21" s="3" customFormat="1" ht="25.5">
      <c r="A1145" s="11" t="s">
        <v>902</v>
      </c>
      <c r="B1145" s="25" t="s">
        <v>5</v>
      </c>
      <c r="C1145" s="26" t="s">
        <v>37</v>
      </c>
      <c r="D1145" s="26" t="s">
        <v>25</v>
      </c>
      <c r="E1145" s="26" t="s">
        <v>909</v>
      </c>
      <c r="F1145" s="26" t="s">
        <v>58</v>
      </c>
      <c r="G1145" s="27">
        <f>G1146</f>
        <v>42439960</v>
      </c>
      <c r="H1145" s="27">
        <f>H1146</f>
        <v>51146330</v>
      </c>
      <c r="I1145" s="27">
        <f>I1146</f>
        <v>51146330</v>
      </c>
      <c r="J1145" s="16">
        <f>'БА в тыс. руб.'!G1145*1000</f>
        <v>42439960</v>
      </c>
      <c r="K1145" s="169">
        <f t="shared" si="762"/>
        <v>0</v>
      </c>
      <c r="L1145" s="16">
        <f>'БА в тыс. руб.'!H1145*1000</f>
        <v>51146330</v>
      </c>
      <c r="M1145" s="169">
        <f t="shared" si="763"/>
        <v>0</v>
      </c>
      <c r="N1145" s="16">
        <f>'БА в тыс. руб.'!I1145*1000</f>
        <v>51146330</v>
      </c>
      <c r="O1145" s="169">
        <f t="shared" si="764"/>
        <v>0</v>
      </c>
      <c r="P1145" s="16"/>
      <c r="Q1145" s="16"/>
      <c r="R1145" s="16"/>
      <c r="S1145" s="16"/>
      <c r="T1145" s="16"/>
      <c r="U1145" s="16"/>
    </row>
    <row r="1146" spans="1:21" s="3" customFormat="1" ht="25.5">
      <c r="A1146" s="11" t="s">
        <v>108</v>
      </c>
      <c r="B1146" s="25" t="s">
        <v>5</v>
      </c>
      <c r="C1146" s="26" t="s">
        <v>37</v>
      </c>
      <c r="D1146" s="26" t="s">
        <v>25</v>
      </c>
      <c r="E1146" s="26" t="s">
        <v>909</v>
      </c>
      <c r="F1146" s="26" t="s">
        <v>116</v>
      </c>
      <c r="G1146" s="27">
        <f>G1147</f>
        <v>42439960</v>
      </c>
      <c r="H1146" s="27">
        <f t="shared" ref="H1146:I1146" si="799">H1147</f>
        <v>51146330</v>
      </c>
      <c r="I1146" s="27">
        <f t="shared" si="799"/>
        <v>51146330</v>
      </c>
      <c r="J1146" s="16">
        <f>'БА в тыс. руб.'!G1146*1000</f>
        <v>42439960</v>
      </c>
      <c r="K1146" s="169">
        <f t="shared" si="762"/>
        <v>0</v>
      </c>
      <c r="L1146" s="16">
        <f>'БА в тыс. руб.'!H1146*1000</f>
        <v>51146330</v>
      </c>
      <c r="M1146" s="169">
        <f t="shared" si="763"/>
        <v>0</v>
      </c>
      <c r="N1146" s="16">
        <f>'БА в тыс. руб.'!I1146*1000</f>
        <v>51146330</v>
      </c>
      <c r="O1146" s="169">
        <f t="shared" si="764"/>
        <v>0</v>
      </c>
      <c r="P1146" s="16"/>
      <c r="Q1146" s="16"/>
      <c r="R1146" s="16"/>
      <c r="S1146" s="16"/>
      <c r="T1146" s="16"/>
      <c r="U1146" s="16"/>
    </row>
    <row r="1147" spans="1:21" s="4" customFormat="1" ht="25.5">
      <c r="A1147" s="12" t="s">
        <v>973</v>
      </c>
      <c r="B1147" s="25" t="s">
        <v>5</v>
      </c>
      <c r="C1147" s="26" t="s">
        <v>37</v>
      </c>
      <c r="D1147" s="26" t="s">
        <v>25</v>
      </c>
      <c r="E1147" s="26" t="s">
        <v>909</v>
      </c>
      <c r="F1147" s="26" t="s">
        <v>1043</v>
      </c>
      <c r="G1147" s="27">
        <f t="shared" ref="G1147" si="800">J1147</f>
        <v>42439960</v>
      </c>
      <c r="H1147" s="27">
        <f>L1147</f>
        <v>51146330</v>
      </c>
      <c r="I1147" s="27">
        <f>N1147</f>
        <v>51146330</v>
      </c>
      <c r="J1147" s="16">
        <f>'БА в тыс. руб.'!G1147*1000</f>
        <v>42439960</v>
      </c>
      <c r="K1147" s="169">
        <f t="shared" si="762"/>
        <v>0</v>
      </c>
      <c r="L1147" s="16">
        <f>'БА в тыс. руб.'!H1147*1000</f>
        <v>51146330</v>
      </c>
      <c r="M1147" s="169">
        <f t="shared" si="763"/>
        <v>0</v>
      </c>
      <c r="N1147" s="16">
        <f>'БА в тыс. руб.'!I1147*1000</f>
        <v>51146330</v>
      </c>
      <c r="O1147" s="169">
        <f t="shared" si="764"/>
        <v>0</v>
      </c>
      <c r="P1147" s="16"/>
      <c r="Q1147" s="16"/>
      <c r="R1147" s="16"/>
      <c r="S1147" s="16"/>
      <c r="T1147" s="16"/>
      <c r="U1147" s="16"/>
    </row>
    <row r="1148" spans="1:21" s="130" customFormat="1">
      <c r="A1148" s="17" t="s">
        <v>7</v>
      </c>
      <c r="B1148" s="18" t="s">
        <v>5</v>
      </c>
      <c r="C1148" s="19" t="s">
        <v>8</v>
      </c>
      <c r="D1148" s="19" t="s">
        <v>51</v>
      </c>
      <c r="E1148" s="19" t="s">
        <v>196</v>
      </c>
      <c r="F1148" s="19" t="s">
        <v>58</v>
      </c>
      <c r="G1148" s="20">
        <f>G1149+G1157</f>
        <v>20783350</v>
      </c>
      <c r="H1148" s="20">
        <f>H1149+H1157</f>
        <v>20312970</v>
      </c>
      <c r="I1148" s="20">
        <f>I1149+I1157</f>
        <v>20312970</v>
      </c>
      <c r="J1148" s="16">
        <f>'БА в тыс. руб.'!G1148*1000</f>
        <v>20783350.000000004</v>
      </c>
      <c r="K1148" s="170">
        <f t="shared" si="762"/>
        <v>0</v>
      </c>
      <c r="L1148" s="16">
        <f>'БА в тыс. руб.'!H1148*1000</f>
        <v>20312969.999999996</v>
      </c>
      <c r="M1148" s="170">
        <f t="shared" si="763"/>
        <v>0</v>
      </c>
      <c r="N1148" s="16">
        <f>'БА в тыс. руб.'!I1148*1000</f>
        <v>20312969.999999996</v>
      </c>
      <c r="O1148" s="170">
        <f t="shared" si="764"/>
        <v>0</v>
      </c>
      <c r="P1148" s="16"/>
      <c r="Q1148" s="16"/>
      <c r="R1148" s="16"/>
      <c r="S1148" s="16"/>
      <c r="T1148" s="16"/>
      <c r="U1148" s="16"/>
    </row>
    <row r="1149" spans="1:21" s="3" customFormat="1">
      <c r="A1149" s="21" t="s">
        <v>9</v>
      </c>
      <c r="B1149" s="22" t="s">
        <v>5</v>
      </c>
      <c r="C1149" s="23" t="s">
        <v>8</v>
      </c>
      <c r="D1149" s="23" t="s">
        <v>65</v>
      </c>
      <c r="E1149" s="23" t="s">
        <v>196</v>
      </c>
      <c r="F1149" s="23" t="s">
        <v>58</v>
      </c>
      <c r="G1149" s="24">
        <f t="shared" ref="G1149:I1153" si="801">G1150</f>
        <v>1601730</v>
      </c>
      <c r="H1149" s="24">
        <f t="shared" si="801"/>
        <v>1635850</v>
      </c>
      <c r="I1149" s="24">
        <f t="shared" si="801"/>
        <v>1635850</v>
      </c>
      <c r="J1149" s="16">
        <f>'БА в тыс. руб.'!G1149*1000</f>
        <v>1601730</v>
      </c>
      <c r="K1149" s="169">
        <f t="shared" si="762"/>
        <v>0</v>
      </c>
      <c r="L1149" s="16">
        <f>'БА в тыс. руб.'!H1149*1000</f>
        <v>1635850</v>
      </c>
      <c r="M1149" s="169">
        <f t="shared" si="763"/>
        <v>0</v>
      </c>
      <c r="N1149" s="16">
        <f>'БА в тыс. руб.'!I1149*1000</f>
        <v>1635850</v>
      </c>
      <c r="O1149" s="169">
        <f t="shared" si="764"/>
        <v>0</v>
      </c>
      <c r="P1149" s="16"/>
      <c r="Q1149" s="16"/>
      <c r="R1149" s="16"/>
      <c r="S1149" s="16"/>
      <c r="T1149" s="16"/>
      <c r="U1149" s="16"/>
    </row>
    <row r="1150" spans="1:21" s="3" customFormat="1" ht="38.25">
      <c r="A1150" s="11" t="s">
        <v>722</v>
      </c>
      <c r="B1150" s="25" t="s">
        <v>5</v>
      </c>
      <c r="C1150" s="26" t="s">
        <v>8</v>
      </c>
      <c r="D1150" s="26" t="s">
        <v>65</v>
      </c>
      <c r="E1150" s="26" t="s">
        <v>300</v>
      </c>
      <c r="F1150" s="26" t="s">
        <v>58</v>
      </c>
      <c r="G1150" s="27">
        <f t="shared" si="801"/>
        <v>1601730</v>
      </c>
      <c r="H1150" s="27">
        <f t="shared" si="801"/>
        <v>1635850</v>
      </c>
      <c r="I1150" s="27">
        <f t="shared" si="801"/>
        <v>1635850</v>
      </c>
      <c r="J1150" s="16">
        <f>'БА в тыс. руб.'!G1150*1000</f>
        <v>1601730</v>
      </c>
      <c r="K1150" s="169">
        <f t="shared" si="762"/>
        <v>0</v>
      </c>
      <c r="L1150" s="16">
        <f>'БА в тыс. руб.'!H1150*1000</f>
        <v>1635850</v>
      </c>
      <c r="M1150" s="169">
        <f t="shared" si="763"/>
        <v>0</v>
      </c>
      <c r="N1150" s="16">
        <f>'БА в тыс. руб.'!I1150*1000</f>
        <v>1635850</v>
      </c>
      <c r="O1150" s="169">
        <f t="shared" si="764"/>
        <v>0</v>
      </c>
      <c r="P1150" s="16"/>
      <c r="Q1150" s="16"/>
      <c r="R1150" s="16"/>
      <c r="S1150" s="16"/>
      <c r="T1150" s="16"/>
      <c r="U1150" s="16"/>
    </row>
    <row r="1151" spans="1:21" s="3" customFormat="1" ht="25.5">
      <c r="A1151" s="13" t="s">
        <v>155</v>
      </c>
      <c r="B1151" s="25" t="s">
        <v>5</v>
      </c>
      <c r="C1151" s="26" t="s">
        <v>8</v>
      </c>
      <c r="D1151" s="26" t="s">
        <v>65</v>
      </c>
      <c r="E1151" s="26" t="s">
        <v>495</v>
      </c>
      <c r="F1151" s="26" t="s">
        <v>58</v>
      </c>
      <c r="G1151" s="27">
        <f t="shared" si="801"/>
        <v>1601730</v>
      </c>
      <c r="H1151" s="27">
        <f t="shared" si="801"/>
        <v>1635850</v>
      </c>
      <c r="I1151" s="27">
        <f t="shared" si="801"/>
        <v>1635850</v>
      </c>
      <c r="J1151" s="16">
        <f>'БА в тыс. руб.'!G1151*1000</f>
        <v>1601730</v>
      </c>
      <c r="K1151" s="169">
        <f t="shared" si="762"/>
        <v>0</v>
      </c>
      <c r="L1151" s="16">
        <f>'БА в тыс. руб.'!H1151*1000</f>
        <v>1635850</v>
      </c>
      <c r="M1151" s="169">
        <f t="shared" si="763"/>
        <v>0</v>
      </c>
      <c r="N1151" s="16">
        <f>'БА в тыс. руб.'!I1151*1000</f>
        <v>1635850</v>
      </c>
      <c r="O1151" s="169">
        <f t="shared" si="764"/>
        <v>0</v>
      </c>
      <c r="P1151" s="16"/>
      <c r="Q1151" s="16"/>
      <c r="R1151" s="16"/>
      <c r="S1151" s="16"/>
      <c r="T1151" s="16"/>
      <c r="U1151" s="16"/>
    </row>
    <row r="1152" spans="1:21" s="3" customFormat="1" ht="38.25">
      <c r="A1152" s="13" t="s">
        <v>496</v>
      </c>
      <c r="B1152" s="25" t="s">
        <v>5</v>
      </c>
      <c r="C1152" s="26" t="s">
        <v>8</v>
      </c>
      <c r="D1152" s="26" t="s">
        <v>65</v>
      </c>
      <c r="E1152" s="26" t="s">
        <v>497</v>
      </c>
      <c r="F1152" s="26" t="s">
        <v>58</v>
      </c>
      <c r="G1152" s="27">
        <f>G1153</f>
        <v>1601730</v>
      </c>
      <c r="H1152" s="27">
        <f t="shared" si="801"/>
        <v>1635850</v>
      </c>
      <c r="I1152" s="27">
        <f t="shared" si="801"/>
        <v>1635850</v>
      </c>
      <c r="J1152" s="16">
        <f>'БА в тыс. руб.'!G1152*1000</f>
        <v>1601730</v>
      </c>
      <c r="K1152" s="169">
        <f t="shared" si="762"/>
        <v>0</v>
      </c>
      <c r="L1152" s="16">
        <f>'БА в тыс. руб.'!H1152*1000</f>
        <v>1635850</v>
      </c>
      <c r="M1152" s="169">
        <f t="shared" si="763"/>
        <v>0</v>
      </c>
      <c r="N1152" s="16">
        <f>'БА в тыс. руб.'!I1152*1000</f>
        <v>1635850</v>
      </c>
      <c r="O1152" s="169">
        <f t="shared" si="764"/>
        <v>0</v>
      </c>
      <c r="P1152" s="16"/>
      <c r="Q1152" s="16"/>
      <c r="R1152" s="16"/>
      <c r="S1152" s="16"/>
      <c r="T1152" s="16"/>
      <c r="U1152" s="16"/>
    </row>
    <row r="1153" spans="1:21" s="3" customFormat="1" ht="25.5">
      <c r="A1153" s="11" t="s">
        <v>148</v>
      </c>
      <c r="B1153" s="25" t="s">
        <v>5</v>
      </c>
      <c r="C1153" s="26" t="s">
        <v>8</v>
      </c>
      <c r="D1153" s="26" t="s">
        <v>65</v>
      </c>
      <c r="E1153" s="26" t="s">
        <v>498</v>
      </c>
      <c r="F1153" s="26" t="s">
        <v>58</v>
      </c>
      <c r="G1153" s="27">
        <f t="shared" si="801"/>
        <v>1601730</v>
      </c>
      <c r="H1153" s="27">
        <f t="shared" si="801"/>
        <v>1635850</v>
      </c>
      <c r="I1153" s="27">
        <f t="shared" si="801"/>
        <v>1635850</v>
      </c>
      <c r="J1153" s="16">
        <f>'БА в тыс. руб.'!G1153*1000</f>
        <v>1601730</v>
      </c>
      <c r="K1153" s="169">
        <f t="shared" si="762"/>
        <v>0</v>
      </c>
      <c r="L1153" s="16">
        <f>'БА в тыс. руб.'!H1153*1000</f>
        <v>1635850</v>
      </c>
      <c r="M1153" s="169">
        <f t="shared" si="763"/>
        <v>0</v>
      </c>
      <c r="N1153" s="16">
        <f>'БА в тыс. руб.'!I1153*1000</f>
        <v>1635850</v>
      </c>
      <c r="O1153" s="169">
        <f t="shared" si="764"/>
        <v>0</v>
      </c>
      <c r="P1153" s="16"/>
      <c r="Q1153" s="16"/>
      <c r="R1153" s="16"/>
      <c r="S1153" s="16"/>
      <c r="T1153" s="16"/>
      <c r="U1153" s="16"/>
    </row>
    <row r="1154" spans="1:21" s="3" customFormat="1" ht="25.5">
      <c r="A1154" s="11" t="s">
        <v>108</v>
      </c>
      <c r="B1154" s="25" t="s">
        <v>5</v>
      </c>
      <c r="C1154" s="26" t="s">
        <v>8</v>
      </c>
      <c r="D1154" s="26" t="s">
        <v>65</v>
      </c>
      <c r="E1154" s="26" t="s">
        <v>498</v>
      </c>
      <c r="F1154" s="26" t="s">
        <v>116</v>
      </c>
      <c r="G1154" s="27">
        <f>SUM(G1155:G1156)</f>
        <v>1601730</v>
      </c>
      <c r="H1154" s="27">
        <f t="shared" ref="H1154:I1154" si="802">SUM(H1155:H1156)</f>
        <v>1635850</v>
      </c>
      <c r="I1154" s="27">
        <f t="shared" si="802"/>
        <v>1635850</v>
      </c>
      <c r="J1154" s="16">
        <f>'БА в тыс. руб.'!G1154*1000</f>
        <v>1601730</v>
      </c>
      <c r="K1154" s="169">
        <f t="shared" si="762"/>
        <v>0</v>
      </c>
      <c r="L1154" s="16">
        <f>'БА в тыс. руб.'!H1154*1000</f>
        <v>1635850</v>
      </c>
      <c r="M1154" s="169">
        <f t="shared" si="763"/>
        <v>0</v>
      </c>
      <c r="N1154" s="16">
        <f>'БА в тыс. руб.'!I1154*1000</f>
        <v>1635850</v>
      </c>
      <c r="O1154" s="169">
        <f t="shared" si="764"/>
        <v>0</v>
      </c>
      <c r="P1154" s="16"/>
      <c r="Q1154" s="16"/>
      <c r="R1154" s="16"/>
      <c r="S1154" s="16"/>
      <c r="T1154" s="16"/>
      <c r="U1154" s="16"/>
    </row>
    <row r="1155" spans="1:21" s="3" customFormat="1">
      <c r="A1155" s="11"/>
      <c r="B1155" s="25" t="s">
        <v>5</v>
      </c>
      <c r="C1155" s="26" t="s">
        <v>8</v>
      </c>
      <c r="D1155" s="26" t="s">
        <v>65</v>
      </c>
      <c r="E1155" s="26" t="s">
        <v>498</v>
      </c>
      <c r="F1155" s="26" t="s">
        <v>1070</v>
      </c>
      <c r="G1155" s="27">
        <f t="shared" ref="G1155:G1156" si="803">J1155</f>
        <v>501730</v>
      </c>
      <c r="H1155" s="27">
        <f t="shared" ref="H1155:H1156" si="804">L1155</f>
        <v>535850</v>
      </c>
      <c r="I1155" s="27">
        <f t="shared" ref="I1155:I1156" si="805">N1155</f>
        <v>535850</v>
      </c>
      <c r="J1155" s="16">
        <f>'БА в тыс. руб.'!G1155*1000</f>
        <v>501730</v>
      </c>
      <c r="K1155" s="169"/>
      <c r="L1155" s="16">
        <f>'БА в тыс. руб.'!H1155*1000</f>
        <v>535850</v>
      </c>
      <c r="M1155" s="169"/>
      <c r="N1155" s="16">
        <f>'БА в тыс. руб.'!I1155*1000</f>
        <v>535850</v>
      </c>
      <c r="O1155" s="169"/>
      <c r="P1155" s="16"/>
      <c r="Q1155" s="16"/>
      <c r="R1155" s="16"/>
      <c r="S1155" s="16"/>
      <c r="T1155" s="16"/>
      <c r="U1155" s="16"/>
    </row>
    <row r="1156" spans="1:21" s="3" customFormat="1" ht="25.5">
      <c r="A1156" s="12" t="s">
        <v>973</v>
      </c>
      <c r="B1156" s="25" t="s">
        <v>5</v>
      </c>
      <c r="C1156" s="26" t="s">
        <v>8</v>
      </c>
      <c r="D1156" s="26" t="s">
        <v>65</v>
      </c>
      <c r="E1156" s="26" t="s">
        <v>498</v>
      </c>
      <c r="F1156" s="26" t="s">
        <v>1043</v>
      </c>
      <c r="G1156" s="27">
        <f t="shared" si="803"/>
        <v>1100000</v>
      </c>
      <c r="H1156" s="27">
        <f t="shared" si="804"/>
        <v>1100000</v>
      </c>
      <c r="I1156" s="27">
        <f t="shared" si="805"/>
        <v>1100000</v>
      </c>
      <c r="J1156" s="16">
        <f>'БА в тыс. руб.'!G1156*1000</f>
        <v>1100000</v>
      </c>
      <c r="K1156" s="169">
        <f t="shared" si="762"/>
        <v>0</v>
      </c>
      <c r="L1156" s="16">
        <f>'БА в тыс. руб.'!H1156*1000</f>
        <v>1100000</v>
      </c>
      <c r="M1156" s="169">
        <f t="shared" si="763"/>
        <v>0</v>
      </c>
      <c r="N1156" s="16">
        <f>'БА в тыс. руб.'!I1156*1000</f>
        <v>1100000</v>
      </c>
      <c r="O1156" s="169">
        <f t="shared" si="764"/>
        <v>0</v>
      </c>
      <c r="P1156" s="16"/>
      <c r="Q1156" s="16"/>
      <c r="R1156" s="16"/>
      <c r="S1156" s="16"/>
      <c r="T1156" s="16"/>
      <c r="U1156" s="16"/>
    </row>
    <row r="1157" spans="1:21" s="3" customFormat="1">
      <c r="A1157" s="21" t="s">
        <v>1</v>
      </c>
      <c r="B1157" s="22" t="s">
        <v>5</v>
      </c>
      <c r="C1157" s="23" t="s">
        <v>8</v>
      </c>
      <c r="D1157" s="23" t="s">
        <v>53</v>
      </c>
      <c r="E1157" s="23" t="s">
        <v>196</v>
      </c>
      <c r="F1157" s="23" t="s">
        <v>58</v>
      </c>
      <c r="G1157" s="24">
        <f t="shared" ref="G1157:I1159" si="806">G1158</f>
        <v>19181620</v>
      </c>
      <c r="H1157" s="24">
        <f t="shared" si="806"/>
        <v>18677120</v>
      </c>
      <c r="I1157" s="24">
        <f t="shared" si="806"/>
        <v>18677120</v>
      </c>
      <c r="J1157" s="16">
        <f>'БА в тыс. руб.'!G1157*1000</f>
        <v>19181620.000000004</v>
      </c>
      <c r="K1157" s="169">
        <f t="shared" si="762"/>
        <v>0</v>
      </c>
      <c r="L1157" s="16">
        <f>'БА в тыс. руб.'!H1157*1000</f>
        <v>18677120</v>
      </c>
      <c r="M1157" s="169">
        <f t="shared" si="763"/>
        <v>0</v>
      </c>
      <c r="N1157" s="16">
        <f>'БА в тыс. руб.'!I1157*1000</f>
        <v>18677120</v>
      </c>
      <c r="O1157" s="169">
        <f t="shared" si="764"/>
        <v>0</v>
      </c>
      <c r="P1157" s="16"/>
      <c r="Q1157" s="16"/>
      <c r="R1157" s="16"/>
      <c r="S1157" s="16"/>
      <c r="T1157" s="16"/>
      <c r="U1157" s="16"/>
    </row>
    <row r="1158" spans="1:21" s="3" customFormat="1" ht="38.25">
      <c r="A1158" s="12" t="s">
        <v>722</v>
      </c>
      <c r="B1158" s="35" t="s">
        <v>5</v>
      </c>
      <c r="C1158" s="36" t="s">
        <v>8</v>
      </c>
      <c r="D1158" s="36" t="s">
        <v>53</v>
      </c>
      <c r="E1158" s="36" t="s">
        <v>300</v>
      </c>
      <c r="F1158" s="36" t="s">
        <v>58</v>
      </c>
      <c r="G1158" s="37">
        <f t="shared" si="806"/>
        <v>19181620</v>
      </c>
      <c r="H1158" s="37">
        <f t="shared" si="806"/>
        <v>18677120</v>
      </c>
      <c r="I1158" s="37">
        <f t="shared" si="806"/>
        <v>18677120</v>
      </c>
      <c r="J1158" s="16">
        <f>'БА в тыс. руб.'!G1158*1000</f>
        <v>19181620.000000004</v>
      </c>
      <c r="K1158" s="169">
        <f t="shared" si="762"/>
        <v>0</v>
      </c>
      <c r="L1158" s="16">
        <f>'БА в тыс. руб.'!H1158*1000</f>
        <v>18677120</v>
      </c>
      <c r="M1158" s="169">
        <f t="shared" si="763"/>
        <v>0</v>
      </c>
      <c r="N1158" s="16">
        <f>'БА в тыс. руб.'!I1158*1000</f>
        <v>18677120</v>
      </c>
      <c r="O1158" s="169">
        <f t="shared" si="764"/>
        <v>0</v>
      </c>
      <c r="P1158" s="16"/>
      <c r="Q1158" s="16"/>
      <c r="R1158" s="16"/>
      <c r="S1158" s="16"/>
      <c r="T1158" s="16"/>
      <c r="U1158" s="16"/>
    </row>
    <row r="1159" spans="1:21" s="3" customFormat="1">
      <c r="A1159" s="40" t="s">
        <v>142</v>
      </c>
      <c r="B1159" s="35" t="s">
        <v>5</v>
      </c>
      <c r="C1159" s="36" t="s">
        <v>8</v>
      </c>
      <c r="D1159" s="36" t="s">
        <v>53</v>
      </c>
      <c r="E1159" s="36" t="s">
        <v>453</v>
      </c>
      <c r="F1159" s="36" t="s">
        <v>58</v>
      </c>
      <c r="G1159" s="37">
        <f t="shared" si="806"/>
        <v>19181620</v>
      </c>
      <c r="H1159" s="37">
        <f t="shared" si="806"/>
        <v>18677120</v>
      </c>
      <c r="I1159" s="37">
        <f t="shared" si="806"/>
        <v>18677120</v>
      </c>
      <c r="J1159" s="16">
        <f>'БА в тыс. руб.'!G1159*1000</f>
        <v>19181620.000000004</v>
      </c>
      <c r="K1159" s="169">
        <f t="shared" si="762"/>
        <v>0</v>
      </c>
      <c r="L1159" s="16">
        <f>'БА в тыс. руб.'!H1159*1000</f>
        <v>18677120</v>
      </c>
      <c r="M1159" s="169">
        <f t="shared" si="763"/>
        <v>0</v>
      </c>
      <c r="N1159" s="16">
        <f>'БА в тыс. руб.'!I1159*1000</f>
        <v>18677120</v>
      </c>
      <c r="O1159" s="169">
        <f t="shared" si="764"/>
        <v>0</v>
      </c>
      <c r="P1159" s="16"/>
      <c r="Q1159" s="16"/>
      <c r="R1159" s="16"/>
      <c r="S1159" s="16"/>
      <c r="T1159" s="16"/>
      <c r="U1159" s="16"/>
    </row>
    <row r="1160" spans="1:21" s="3" customFormat="1" ht="25.5">
      <c r="A1160" s="40" t="s">
        <v>454</v>
      </c>
      <c r="B1160" s="35" t="s">
        <v>5</v>
      </c>
      <c r="C1160" s="36" t="s">
        <v>8</v>
      </c>
      <c r="D1160" s="36" t="s">
        <v>53</v>
      </c>
      <c r="E1160" s="26" t="s">
        <v>645</v>
      </c>
      <c r="F1160" s="36" t="s">
        <v>58</v>
      </c>
      <c r="G1160" s="37">
        <f>G1161+G1164+G1167</f>
        <v>19181620</v>
      </c>
      <c r="H1160" s="37">
        <f>H1161+H1164+H1167</f>
        <v>18677120</v>
      </c>
      <c r="I1160" s="37">
        <f>I1161+I1164+I1167</f>
        <v>18677120</v>
      </c>
      <c r="J1160" s="16">
        <f>'БА в тыс. руб.'!G1160*1000</f>
        <v>19181620.000000004</v>
      </c>
      <c r="K1160" s="169">
        <f t="shared" ref="K1160:K1224" si="807">J1160-G1160</f>
        <v>0</v>
      </c>
      <c r="L1160" s="16">
        <f>'БА в тыс. руб.'!H1160*1000</f>
        <v>18677120</v>
      </c>
      <c r="M1160" s="169">
        <f t="shared" ref="M1160:M1224" si="808">L1160-H1160</f>
        <v>0</v>
      </c>
      <c r="N1160" s="16">
        <f>'БА в тыс. руб.'!I1160*1000</f>
        <v>18677120</v>
      </c>
      <c r="O1160" s="169">
        <f t="shared" ref="O1160:O1224" si="809">N1160-I1160</f>
        <v>0</v>
      </c>
      <c r="P1160" s="16"/>
      <c r="Q1160" s="16"/>
      <c r="R1160" s="16"/>
      <c r="S1160" s="16"/>
      <c r="T1160" s="16"/>
      <c r="U1160" s="16"/>
    </row>
    <row r="1161" spans="1:21" s="3" customFormat="1" ht="25.5">
      <c r="A1161" s="11" t="s">
        <v>158</v>
      </c>
      <c r="B1161" s="35" t="s">
        <v>5</v>
      </c>
      <c r="C1161" s="36" t="s">
        <v>8</v>
      </c>
      <c r="D1161" s="36" t="s">
        <v>53</v>
      </c>
      <c r="E1161" s="36" t="s">
        <v>646</v>
      </c>
      <c r="F1161" s="36" t="s">
        <v>58</v>
      </c>
      <c r="G1161" s="37">
        <f>G1162</f>
        <v>8659190</v>
      </c>
      <c r="H1161" s="37">
        <f>H1162</f>
        <v>8259320</v>
      </c>
      <c r="I1161" s="37">
        <f>I1162</f>
        <v>8259320</v>
      </c>
      <c r="J1161" s="16">
        <f>'БА в тыс. руб.'!G1161*1000</f>
        <v>8659190</v>
      </c>
      <c r="K1161" s="169">
        <f t="shared" si="807"/>
        <v>0</v>
      </c>
      <c r="L1161" s="16">
        <f>'БА в тыс. руб.'!H1161*1000</f>
        <v>8259320</v>
      </c>
      <c r="M1161" s="169">
        <f t="shared" si="808"/>
        <v>0</v>
      </c>
      <c r="N1161" s="16">
        <f>'БА в тыс. руб.'!I1161*1000</f>
        <v>8259320</v>
      </c>
      <c r="O1161" s="169">
        <f t="shared" si="809"/>
        <v>0</v>
      </c>
      <c r="P1161" s="16"/>
      <c r="Q1161" s="16"/>
      <c r="R1161" s="16"/>
      <c r="S1161" s="16"/>
      <c r="T1161" s="16"/>
      <c r="U1161" s="16"/>
    </row>
    <row r="1162" spans="1:21" s="3" customFormat="1" ht="25.5">
      <c r="A1162" s="11" t="s">
        <v>108</v>
      </c>
      <c r="B1162" s="35" t="s">
        <v>5</v>
      </c>
      <c r="C1162" s="36" t="s">
        <v>8</v>
      </c>
      <c r="D1162" s="36" t="s">
        <v>53</v>
      </c>
      <c r="E1162" s="36" t="s">
        <v>646</v>
      </c>
      <c r="F1162" s="36" t="s">
        <v>116</v>
      </c>
      <c r="G1162" s="37">
        <f>G1163</f>
        <v>8659190</v>
      </c>
      <c r="H1162" s="37">
        <f t="shared" ref="H1162:I1162" si="810">H1163</f>
        <v>8259320</v>
      </c>
      <c r="I1162" s="37">
        <f t="shared" si="810"/>
        <v>8259320</v>
      </c>
      <c r="J1162" s="16">
        <f>'БА в тыс. руб.'!G1162*1000</f>
        <v>8659190</v>
      </c>
      <c r="K1162" s="169">
        <f t="shared" si="807"/>
        <v>0</v>
      </c>
      <c r="L1162" s="16">
        <f>'БА в тыс. руб.'!H1162*1000</f>
        <v>8259320</v>
      </c>
      <c r="M1162" s="169">
        <f t="shared" si="808"/>
        <v>0</v>
      </c>
      <c r="N1162" s="16">
        <f>'БА в тыс. руб.'!I1162*1000</f>
        <v>8259320</v>
      </c>
      <c r="O1162" s="169">
        <f t="shared" si="809"/>
        <v>0</v>
      </c>
      <c r="P1162" s="16"/>
      <c r="Q1162" s="16"/>
      <c r="R1162" s="16"/>
      <c r="S1162" s="16"/>
      <c r="T1162" s="16"/>
      <c r="U1162" s="16"/>
    </row>
    <row r="1163" spans="1:21" s="4" customFormat="1" ht="25.5">
      <c r="A1163" s="12" t="s">
        <v>973</v>
      </c>
      <c r="B1163" s="35" t="s">
        <v>5</v>
      </c>
      <c r="C1163" s="36" t="s">
        <v>8</v>
      </c>
      <c r="D1163" s="36" t="s">
        <v>53</v>
      </c>
      <c r="E1163" s="36" t="s">
        <v>646</v>
      </c>
      <c r="F1163" s="36" t="s">
        <v>1043</v>
      </c>
      <c r="G1163" s="27">
        <f t="shared" ref="G1163" si="811">J1163</f>
        <v>8659190</v>
      </c>
      <c r="H1163" s="27">
        <f>L1163</f>
        <v>8259320</v>
      </c>
      <c r="I1163" s="27">
        <f>N1163</f>
        <v>8259320</v>
      </c>
      <c r="J1163" s="16">
        <f>'БА в тыс. руб.'!G1163*1000</f>
        <v>8659190</v>
      </c>
      <c r="K1163" s="169">
        <f t="shared" si="807"/>
        <v>0</v>
      </c>
      <c r="L1163" s="16">
        <f>'БА в тыс. руб.'!H1163*1000</f>
        <v>8259320</v>
      </c>
      <c r="M1163" s="169">
        <f t="shared" si="808"/>
        <v>0</v>
      </c>
      <c r="N1163" s="16">
        <f>'БА в тыс. руб.'!I1163*1000</f>
        <v>8259320</v>
      </c>
      <c r="O1163" s="169">
        <f t="shared" si="809"/>
        <v>0</v>
      </c>
      <c r="P1163" s="16"/>
      <c r="Q1163" s="16"/>
      <c r="R1163" s="16"/>
      <c r="S1163" s="16"/>
      <c r="T1163" s="16"/>
      <c r="U1163" s="16"/>
    </row>
    <row r="1164" spans="1:21" s="3" customFormat="1">
      <c r="A1164" s="12" t="s">
        <v>890</v>
      </c>
      <c r="B1164" s="35" t="s">
        <v>5</v>
      </c>
      <c r="C1164" s="36" t="s">
        <v>8</v>
      </c>
      <c r="D1164" s="36" t="s">
        <v>53</v>
      </c>
      <c r="E1164" s="36" t="s">
        <v>910</v>
      </c>
      <c r="F1164" s="36" t="s">
        <v>58</v>
      </c>
      <c r="G1164" s="37">
        <f>G1165</f>
        <v>1046349.9999999999</v>
      </c>
      <c r="H1164" s="37">
        <f>H1165</f>
        <v>941720</v>
      </c>
      <c r="I1164" s="37">
        <f>I1165</f>
        <v>941720</v>
      </c>
      <c r="J1164" s="16">
        <f>'БА в тыс. руб.'!G1164*1000</f>
        <v>1046349.9999999999</v>
      </c>
      <c r="K1164" s="169">
        <f t="shared" si="807"/>
        <v>0</v>
      </c>
      <c r="L1164" s="16">
        <f>'БА в тыс. руб.'!H1164*1000</f>
        <v>941720</v>
      </c>
      <c r="M1164" s="169">
        <f t="shared" si="808"/>
        <v>0</v>
      </c>
      <c r="N1164" s="16">
        <f>'БА в тыс. руб.'!I1164*1000</f>
        <v>941720</v>
      </c>
      <c r="O1164" s="169">
        <f t="shared" si="809"/>
        <v>0</v>
      </c>
      <c r="P1164" s="16"/>
      <c r="Q1164" s="16"/>
      <c r="R1164" s="16"/>
      <c r="S1164" s="16"/>
      <c r="T1164" s="16"/>
      <c r="U1164" s="16"/>
    </row>
    <row r="1165" spans="1:21" s="3" customFormat="1" ht="25.5">
      <c r="A1165" s="11" t="s">
        <v>108</v>
      </c>
      <c r="B1165" s="35" t="s">
        <v>5</v>
      </c>
      <c r="C1165" s="36" t="s">
        <v>8</v>
      </c>
      <c r="D1165" s="36" t="s">
        <v>53</v>
      </c>
      <c r="E1165" s="36" t="s">
        <v>910</v>
      </c>
      <c r="F1165" s="36" t="s">
        <v>116</v>
      </c>
      <c r="G1165" s="37">
        <f>G1166</f>
        <v>1046349.9999999999</v>
      </c>
      <c r="H1165" s="37">
        <f t="shared" ref="H1165:I1165" si="812">H1166</f>
        <v>941720</v>
      </c>
      <c r="I1165" s="37">
        <f t="shared" si="812"/>
        <v>941720</v>
      </c>
      <c r="J1165" s="16">
        <f>'БА в тыс. руб.'!G1165*1000</f>
        <v>1046349.9999999999</v>
      </c>
      <c r="K1165" s="169">
        <f t="shared" si="807"/>
        <v>0</v>
      </c>
      <c r="L1165" s="16">
        <f>'БА в тыс. руб.'!H1165*1000</f>
        <v>941720</v>
      </c>
      <c r="M1165" s="169">
        <f t="shared" si="808"/>
        <v>0</v>
      </c>
      <c r="N1165" s="16">
        <f>'БА в тыс. руб.'!I1165*1000</f>
        <v>941720</v>
      </c>
      <c r="O1165" s="169">
        <f t="shared" si="809"/>
        <v>0</v>
      </c>
      <c r="P1165" s="16"/>
      <c r="Q1165" s="16"/>
      <c r="R1165" s="16"/>
      <c r="S1165" s="16"/>
      <c r="T1165" s="16"/>
      <c r="U1165" s="16"/>
    </row>
    <row r="1166" spans="1:21" s="4" customFormat="1" ht="25.5">
      <c r="A1166" s="12" t="s">
        <v>973</v>
      </c>
      <c r="B1166" s="35" t="s">
        <v>5</v>
      </c>
      <c r="C1166" s="36" t="s">
        <v>8</v>
      </c>
      <c r="D1166" s="36" t="s">
        <v>53</v>
      </c>
      <c r="E1166" s="36" t="s">
        <v>910</v>
      </c>
      <c r="F1166" s="36" t="s">
        <v>1043</v>
      </c>
      <c r="G1166" s="27">
        <f t="shared" ref="G1166" si="813">J1166</f>
        <v>1046349.9999999999</v>
      </c>
      <c r="H1166" s="27">
        <f>L1166</f>
        <v>941720</v>
      </c>
      <c r="I1166" s="27">
        <f>N1166</f>
        <v>941720</v>
      </c>
      <c r="J1166" s="16">
        <f>'БА в тыс. руб.'!G1166*1000</f>
        <v>1046349.9999999999</v>
      </c>
      <c r="K1166" s="169">
        <f t="shared" si="807"/>
        <v>0</v>
      </c>
      <c r="L1166" s="16">
        <f>'БА в тыс. руб.'!H1166*1000</f>
        <v>941720</v>
      </c>
      <c r="M1166" s="169">
        <f t="shared" si="808"/>
        <v>0</v>
      </c>
      <c r="N1166" s="16">
        <f>'БА в тыс. руб.'!I1166*1000</f>
        <v>941720</v>
      </c>
      <c r="O1166" s="169">
        <f t="shared" si="809"/>
        <v>0</v>
      </c>
      <c r="P1166" s="16"/>
      <c r="Q1166" s="16"/>
      <c r="R1166" s="16"/>
      <c r="S1166" s="16"/>
      <c r="T1166" s="16"/>
      <c r="U1166" s="16"/>
    </row>
    <row r="1167" spans="1:21" s="3" customFormat="1" ht="51">
      <c r="A1167" s="12" t="s">
        <v>891</v>
      </c>
      <c r="B1167" s="35" t="s">
        <v>5</v>
      </c>
      <c r="C1167" s="36" t="s">
        <v>8</v>
      </c>
      <c r="D1167" s="36" t="s">
        <v>53</v>
      </c>
      <c r="E1167" s="36" t="s">
        <v>911</v>
      </c>
      <c r="F1167" s="36" t="s">
        <v>58</v>
      </c>
      <c r="G1167" s="37">
        <f>G1168</f>
        <v>9476080</v>
      </c>
      <c r="H1167" s="37">
        <f>H1168</f>
        <v>9476080</v>
      </c>
      <c r="I1167" s="37">
        <f>I1168</f>
        <v>9476080</v>
      </c>
      <c r="J1167" s="16">
        <f>'БА в тыс. руб.'!G1167*1000</f>
        <v>9476080</v>
      </c>
      <c r="K1167" s="169">
        <f t="shared" si="807"/>
        <v>0</v>
      </c>
      <c r="L1167" s="16">
        <f>'БА в тыс. руб.'!H1167*1000</f>
        <v>9476080</v>
      </c>
      <c r="M1167" s="169">
        <f t="shared" si="808"/>
        <v>0</v>
      </c>
      <c r="N1167" s="16">
        <f>'БА в тыс. руб.'!I1167*1000</f>
        <v>9476080</v>
      </c>
      <c r="O1167" s="169">
        <f t="shared" si="809"/>
        <v>0</v>
      </c>
      <c r="P1167" s="16"/>
      <c r="Q1167" s="16"/>
      <c r="R1167" s="16"/>
      <c r="S1167" s="16"/>
      <c r="T1167" s="16"/>
      <c r="U1167" s="16"/>
    </row>
    <row r="1168" spans="1:21" s="3" customFormat="1" ht="25.5">
      <c r="A1168" s="11" t="s">
        <v>108</v>
      </c>
      <c r="B1168" s="35" t="s">
        <v>5</v>
      </c>
      <c r="C1168" s="36" t="s">
        <v>8</v>
      </c>
      <c r="D1168" s="36" t="s">
        <v>53</v>
      </c>
      <c r="E1168" s="36" t="s">
        <v>911</v>
      </c>
      <c r="F1168" s="36" t="s">
        <v>116</v>
      </c>
      <c r="G1168" s="37">
        <f>G1169</f>
        <v>9476080</v>
      </c>
      <c r="H1168" s="37">
        <f t="shared" ref="H1168:I1168" si="814">H1169</f>
        <v>9476080</v>
      </c>
      <c r="I1168" s="37">
        <f t="shared" si="814"/>
        <v>9476080</v>
      </c>
      <c r="J1168" s="16">
        <f>'БА в тыс. руб.'!G1168*1000</f>
        <v>9476080</v>
      </c>
      <c r="K1168" s="169">
        <f t="shared" si="807"/>
        <v>0</v>
      </c>
      <c r="L1168" s="16">
        <f>'БА в тыс. руб.'!H1168*1000</f>
        <v>9476080</v>
      </c>
      <c r="M1168" s="169">
        <f t="shared" si="808"/>
        <v>0</v>
      </c>
      <c r="N1168" s="16">
        <f>'БА в тыс. руб.'!I1168*1000</f>
        <v>9476080</v>
      </c>
      <c r="O1168" s="169">
        <f t="shared" si="809"/>
        <v>0</v>
      </c>
      <c r="P1168" s="16"/>
      <c r="Q1168" s="16"/>
      <c r="R1168" s="16"/>
      <c r="S1168" s="16"/>
      <c r="T1168" s="16"/>
      <c r="U1168" s="16"/>
    </row>
    <row r="1169" spans="1:21" s="4" customFormat="1" ht="25.5">
      <c r="A1169" s="12" t="s">
        <v>973</v>
      </c>
      <c r="B1169" s="35" t="s">
        <v>5</v>
      </c>
      <c r="C1169" s="36" t="s">
        <v>8</v>
      </c>
      <c r="D1169" s="36" t="s">
        <v>53</v>
      </c>
      <c r="E1169" s="36" t="s">
        <v>911</v>
      </c>
      <c r="F1169" s="36" t="s">
        <v>1043</v>
      </c>
      <c r="G1169" s="27">
        <f t="shared" ref="G1169" si="815">J1169</f>
        <v>9476080</v>
      </c>
      <c r="H1169" s="27">
        <f>L1169</f>
        <v>9476080</v>
      </c>
      <c r="I1169" s="27">
        <f>N1169</f>
        <v>9476080</v>
      </c>
      <c r="J1169" s="16">
        <f>'БА в тыс. руб.'!G1169*1000</f>
        <v>9476080</v>
      </c>
      <c r="K1169" s="169">
        <f t="shared" si="807"/>
        <v>0</v>
      </c>
      <c r="L1169" s="16">
        <f>'БА в тыс. руб.'!H1169*1000</f>
        <v>9476080</v>
      </c>
      <c r="M1169" s="169">
        <f t="shared" si="808"/>
        <v>0</v>
      </c>
      <c r="N1169" s="16">
        <f>'БА в тыс. руб.'!I1169*1000</f>
        <v>9476080</v>
      </c>
      <c r="O1169" s="169">
        <f t="shared" si="809"/>
        <v>0</v>
      </c>
      <c r="P1169" s="16"/>
      <c r="Q1169" s="16"/>
      <c r="R1169" s="16"/>
      <c r="S1169" s="16"/>
      <c r="T1169" s="16"/>
      <c r="U1169" s="16"/>
    </row>
    <row r="1170" spans="1:21" s="3" customFormat="1">
      <c r="A1170" s="17" t="s">
        <v>499</v>
      </c>
      <c r="B1170" s="18" t="s">
        <v>5</v>
      </c>
      <c r="C1170" s="19" t="s">
        <v>50</v>
      </c>
      <c r="D1170" s="19" t="s">
        <v>51</v>
      </c>
      <c r="E1170" s="19" t="s">
        <v>196</v>
      </c>
      <c r="F1170" s="19" t="s">
        <v>58</v>
      </c>
      <c r="G1170" s="20">
        <f t="shared" ref="G1170:I1173" si="816">G1171</f>
        <v>1640550</v>
      </c>
      <c r="H1170" s="20">
        <f t="shared" si="816"/>
        <v>1591000</v>
      </c>
      <c r="I1170" s="20">
        <f t="shared" si="816"/>
        <v>1591000</v>
      </c>
      <c r="J1170" s="16">
        <f>'БА в тыс. руб.'!G1170*1000</f>
        <v>1640550</v>
      </c>
      <c r="K1170" s="169">
        <f t="shared" si="807"/>
        <v>0</v>
      </c>
      <c r="L1170" s="16">
        <f>'БА в тыс. руб.'!H1170*1000</f>
        <v>1591000</v>
      </c>
      <c r="M1170" s="169">
        <f t="shared" si="808"/>
        <v>0</v>
      </c>
      <c r="N1170" s="16">
        <f>'БА в тыс. руб.'!I1170*1000</f>
        <v>1591000</v>
      </c>
      <c r="O1170" s="169">
        <f t="shared" si="809"/>
        <v>0</v>
      </c>
      <c r="P1170" s="16"/>
      <c r="Q1170" s="16"/>
      <c r="R1170" s="16"/>
      <c r="S1170" s="16"/>
      <c r="T1170" s="16"/>
      <c r="U1170" s="16"/>
    </row>
    <row r="1171" spans="1:21" s="3" customFormat="1">
      <c r="A1171" s="21" t="s">
        <v>27</v>
      </c>
      <c r="B1171" s="22" t="s">
        <v>5</v>
      </c>
      <c r="C1171" s="23" t="s">
        <v>50</v>
      </c>
      <c r="D1171" s="23" t="s">
        <v>65</v>
      </c>
      <c r="E1171" s="23" t="s">
        <v>196</v>
      </c>
      <c r="F1171" s="23" t="s">
        <v>58</v>
      </c>
      <c r="G1171" s="24">
        <f t="shared" si="816"/>
        <v>1640550</v>
      </c>
      <c r="H1171" s="24">
        <f t="shared" si="816"/>
        <v>1591000</v>
      </c>
      <c r="I1171" s="24">
        <f t="shared" si="816"/>
        <v>1591000</v>
      </c>
      <c r="J1171" s="16">
        <f>'БА в тыс. руб.'!G1171*1000</f>
        <v>1640550</v>
      </c>
      <c r="K1171" s="169">
        <f t="shared" si="807"/>
        <v>0</v>
      </c>
      <c r="L1171" s="16">
        <f>'БА в тыс. руб.'!H1171*1000</f>
        <v>1591000</v>
      </c>
      <c r="M1171" s="169">
        <f t="shared" si="808"/>
        <v>0</v>
      </c>
      <c r="N1171" s="16">
        <f>'БА в тыс. руб.'!I1171*1000</f>
        <v>1591000</v>
      </c>
      <c r="O1171" s="169">
        <f t="shared" si="809"/>
        <v>0</v>
      </c>
      <c r="P1171" s="16"/>
      <c r="Q1171" s="16"/>
      <c r="R1171" s="16"/>
      <c r="S1171" s="16"/>
      <c r="T1171" s="16"/>
      <c r="U1171" s="16"/>
    </row>
    <row r="1172" spans="1:21" s="3" customFormat="1">
      <c r="A1172" s="11" t="s">
        <v>739</v>
      </c>
      <c r="B1172" s="35" t="s">
        <v>5</v>
      </c>
      <c r="C1172" s="36" t="s">
        <v>50</v>
      </c>
      <c r="D1172" s="36" t="s">
        <v>65</v>
      </c>
      <c r="E1172" s="36" t="s">
        <v>277</v>
      </c>
      <c r="F1172" s="36" t="s">
        <v>58</v>
      </c>
      <c r="G1172" s="37">
        <f t="shared" si="816"/>
        <v>1640550</v>
      </c>
      <c r="H1172" s="37">
        <f t="shared" si="816"/>
        <v>1591000</v>
      </c>
      <c r="I1172" s="37">
        <f t="shared" si="816"/>
        <v>1591000</v>
      </c>
      <c r="J1172" s="16">
        <f>'БА в тыс. руб.'!G1172*1000</f>
        <v>1640550</v>
      </c>
      <c r="K1172" s="169">
        <f t="shared" si="807"/>
        <v>0</v>
      </c>
      <c r="L1172" s="16">
        <f>'БА в тыс. руб.'!H1172*1000</f>
        <v>1591000</v>
      </c>
      <c r="M1172" s="169">
        <f t="shared" si="808"/>
        <v>0</v>
      </c>
      <c r="N1172" s="16">
        <f>'БА в тыс. руб.'!I1172*1000</f>
        <v>1591000</v>
      </c>
      <c r="O1172" s="169">
        <f t="shared" si="809"/>
        <v>0</v>
      </c>
      <c r="P1172" s="16"/>
      <c r="Q1172" s="16"/>
      <c r="R1172" s="16"/>
      <c r="S1172" s="16"/>
      <c r="T1172" s="16"/>
      <c r="U1172" s="16"/>
    </row>
    <row r="1173" spans="1:21" s="3" customFormat="1" ht="51">
      <c r="A1173" s="40" t="s">
        <v>191</v>
      </c>
      <c r="B1173" s="35" t="s">
        <v>5</v>
      </c>
      <c r="C1173" s="36" t="s">
        <v>50</v>
      </c>
      <c r="D1173" s="36" t="s">
        <v>65</v>
      </c>
      <c r="E1173" s="36" t="s">
        <v>278</v>
      </c>
      <c r="F1173" s="36" t="s">
        <v>58</v>
      </c>
      <c r="G1173" s="37">
        <f t="shared" si="816"/>
        <v>1640550</v>
      </c>
      <c r="H1173" s="37">
        <f t="shared" si="816"/>
        <v>1591000</v>
      </c>
      <c r="I1173" s="37">
        <f t="shared" si="816"/>
        <v>1591000</v>
      </c>
      <c r="J1173" s="16">
        <f>'БА в тыс. руб.'!G1173*1000</f>
        <v>1640550</v>
      </c>
      <c r="K1173" s="169">
        <f t="shared" si="807"/>
        <v>0</v>
      </c>
      <c r="L1173" s="16">
        <f>'БА в тыс. руб.'!H1173*1000</f>
        <v>1591000</v>
      </c>
      <c r="M1173" s="169">
        <f t="shared" si="808"/>
        <v>0</v>
      </c>
      <c r="N1173" s="16">
        <f>'БА в тыс. руб.'!I1173*1000</f>
        <v>1591000</v>
      </c>
      <c r="O1173" s="169">
        <f t="shared" si="809"/>
        <v>0</v>
      </c>
      <c r="P1173" s="16"/>
      <c r="Q1173" s="16"/>
      <c r="R1173" s="16"/>
      <c r="S1173" s="16"/>
      <c r="T1173" s="16"/>
      <c r="U1173" s="16"/>
    </row>
    <row r="1174" spans="1:21" s="3" customFormat="1" ht="63.75">
      <c r="A1174" s="40" t="s">
        <v>605</v>
      </c>
      <c r="B1174" s="35" t="s">
        <v>5</v>
      </c>
      <c r="C1174" s="36" t="s">
        <v>50</v>
      </c>
      <c r="D1174" s="36" t="s">
        <v>65</v>
      </c>
      <c r="E1174" s="36" t="s">
        <v>279</v>
      </c>
      <c r="F1174" s="36" t="s">
        <v>58</v>
      </c>
      <c r="G1174" s="37">
        <f>G1175+G1178</f>
        <v>1640550</v>
      </c>
      <c r="H1174" s="37">
        <f>H1175+H1178</f>
        <v>1591000</v>
      </c>
      <c r="I1174" s="37">
        <f>I1175+I1178</f>
        <v>1591000</v>
      </c>
      <c r="J1174" s="16">
        <f>'БА в тыс. руб.'!G1174*1000</f>
        <v>1640550</v>
      </c>
      <c r="K1174" s="169">
        <f t="shared" si="807"/>
        <v>0</v>
      </c>
      <c r="L1174" s="16">
        <f>'БА в тыс. руб.'!H1174*1000</f>
        <v>1591000</v>
      </c>
      <c r="M1174" s="169">
        <f t="shared" si="808"/>
        <v>0</v>
      </c>
      <c r="N1174" s="16">
        <f>'БА в тыс. руб.'!I1174*1000</f>
        <v>1591000</v>
      </c>
      <c r="O1174" s="169">
        <f t="shared" si="809"/>
        <v>0</v>
      </c>
      <c r="P1174" s="16"/>
      <c r="Q1174" s="16"/>
      <c r="R1174" s="16"/>
      <c r="S1174" s="16"/>
      <c r="T1174" s="16"/>
      <c r="U1174" s="16"/>
    </row>
    <row r="1175" spans="1:21" s="3" customFormat="1" ht="25.5">
      <c r="A1175" s="11" t="s">
        <v>161</v>
      </c>
      <c r="B1175" s="35" t="s">
        <v>5</v>
      </c>
      <c r="C1175" s="36" t="s">
        <v>50</v>
      </c>
      <c r="D1175" s="36" t="s">
        <v>65</v>
      </c>
      <c r="E1175" s="36" t="s">
        <v>320</v>
      </c>
      <c r="F1175" s="36" t="s">
        <v>58</v>
      </c>
      <c r="G1175" s="37">
        <f>G1176</f>
        <v>1145000</v>
      </c>
      <c r="H1175" s="37">
        <f>H1176</f>
        <v>1095450</v>
      </c>
      <c r="I1175" s="37">
        <f>I1176</f>
        <v>1095450</v>
      </c>
      <c r="J1175" s="16">
        <f>'БА в тыс. руб.'!G1175*1000</f>
        <v>1145000</v>
      </c>
      <c r="K1175" s="169">
        <f t="shared" si="807"/>
        <v>0</v>
      </c>
      <c r="L1175" s="16">
        <f>'БА в тыс. руб.'!H1175*1000</f>
        <v>1095450</v>
      </c>
      <c r="M1175" s="169">
        <f t="shared" si="808"/>
        <v>0</v>
      </c>
      <c r="N1175" s="16">
        <f>'БА в тыс. руб.'!I1175*1000</f>
        <v>1095450</v>
      </c>
      <c r="O1175" s="169">
        <f t="shared" si="809"/>
        <v>0</v>
      </c>
      <c r="P1175" s="16"/>
      <c r="Q1175" s="16"/>
      <c r="R1175" s="16"/>
      <c r="S1175" s="16"/>
      <c r="T1175" s="16"/>
      <c r="U1175" s="16"/>
    </row>
    <row r="1176" spans="1:21" s="3" customFormat="1" ht="25.5">
      <c r="A1176" s="11" t="s">
        <v>108</v>
      </c>
      <c r="B1176" s="35" t="s">
        <v>5</v>
      </c>
      <c r="C1176" s="36" t="s">
        <v>50</v>
      </c>
      <c r="D1176" s="36" t="s">
        <v>65</v>
      </c>
      <c r="E1176" s="36" t="s">
        <v>320</v>
      </c>
      <c r="F1176" s="36" t="s">
        <v>116</v>
      </c>
      <c r="G1176" s="37">
        <f>G1177</f>
        <v>1145000</v>
      </c>
      <c r="H1176" s="37">
        <f t="shared" ref="H1176:I1176" si="817">H1177</f>
        <v>1095450</v>
      </c>
      <c r="I1176" s="37">
        <f t="shared" si="817"/>
        <v>1095450</v>
      </c>
      <c r="J1176" s="16">
        <f>'БА в тыс. руб.'!G1176*1000</f>
        <v>1145000</v>
      </c>
      <c r="K1176" s="169">
        <f t="shared" si="807"/>
        <v>0</v>
      </c>
      <c r="L1176" s="16">
        <f>'БА в тыс. руб.'!H1176*1000</f>
        <v>1095450</v>
      </c>
      <c r="M1176" s="169">
        <f t="shared" si="808"/>
        <v>0</v>
      </c>
      <c r="N1176" s="16">
        <f>'БА в тыс. руб.'!I1176*1000</f>
        <v>1095450</v>
      </c>
      <c r="O1176" s="169">
        <f t="shared" si="809"/>
        <v>0</v>
      </c>
      <c r="P1176" s="16"/>
      <c r="Q1176" s="16"/>
      <c r="R1176" s="16"/>
      <c r="S1176" s="16"/>
      <c r="T1176" s="16"/>
      <c r="U1176" s="16"/>
    </row>
    <row r="1177" spans="1:21" s="4" customFormat="1" ht="25.5">
      <c r="A1177" s="12" t="s">
        <v>973</v>
      </c>
      <c r="B1177" s="35" t="s">
        <v>5</v>
      </c>
      <c r="C1177" s="36" t="s">
        <v>50</v>
      </c>
      <c r="D1177" s="36" t="s">
        <v>65</v>
      </c>
      <c r="E1177" s="36" t="s">
        <v>320</v>
      </c>
      <c r="F1177" s="36" t="s">
        <v>1043</v>
      </c>
      <c r="G1177" s="27">
        <f t="shared" ref="G1177" si="818">J1177</f>
        <v>1145000</v>
      </c>
      <c r="H1177" s="27">
        <f>L1177</f>
        <v>1095450</v>
      </c>
      <c r="I1177" s="27">
        <f>N1177</f>
        <v>1095450</v>
      </c>
      <c r="J1177" s="16">
        <f>'БА в тыс. руб.'!G1177*1000</f>
        <v>1145000</v>
      </c>
      <c r="K1177" s="169">
        <f t="shared" si="807"/>
        <v>0</v>
      </c>
      <c r="L1177" s="16">
        <f>'БА в тыс. руб.'!H1177*1000</f>
        <v>1095450</v>
      </c>
      <c r="M1177" s="169">
        <f t="shared" si="808"/>
        <v>0</v>
      </c>
      <c r="N1177" s="16">
        <f>'БА в тыс. руб.'!I1177*1000</f>
        <v>1095450</v>
      </c>
      <c r="O1177" s="169">
        <f t="shared" si="809"/>
        <v>0</v>
      </c>
      <c r="P1177" s="16"/>
      <c r="Q1177" s="16"/>
      <c r="R1177" s="16"/>
      <c r="S1177" s="16"/>
      <c r="T1177" s="16"/>
      <c r="U1177" s="16"/>
    </row>
    <row r="1178" spans="1:21" s="3" customFormat="1" ht="25.5">
      <c r="A1178" s="12" t="s">
        <v>892</v>
      </c>
      <c r="B1178" s="35" t="s">
        <v>5</v>
      </c>
      <c r="C1178" s="36" t="s">
        <v>50</v>
      </c>
      <c r="D1178" s="36" t="s">
        <v>65</v>
      </c>
      <c r="E1178" s="36" t="s">
        <v>500</v>
      </c>
      <c r="F1178" s="36" t="s">
        <v>58</v>
      </c>
      <c r="G1178" s="37">
        <f>G1179</f>
        <v>495550</v>
      </c>
      <c r="H1178" s="37">
        <f>H1179</f>
        <v>495550</v>
      </c>
      <c r="I1178" s="37">
        <f>I1179</f>
        <v>495550</v>
      </c>
      <c r="J1178" s="16">
        <f>'БА в тыс. руб.'!G1178*1000</f>
        <v>495550</v>
      </c>
      <c r="K1178" s="169">
        <f t="shared" si="807"/>
        <v>0</v>
      </c>
      <c r="L1178" s="16">
        <f>'БА в тыс. руб.'!H1178*1000</f>
        <v>495550</v>
      </c>
      <c r="M1178" s="169">
        <f t="shared" si="808"/>
        <v>0</v>
      </c>
      <c r="N1178" s="16">
        <f>'БА в тыс. руб.'!I1178*1000</f>
        <v>495550</v>
      </c>
      <c r="O1178" s="169">
        <f t="shared" si="809"/>
        <v>0</v>
      </c>
      <c r="P1178" s="16"/>
      <c r="Q1178" s="16"/>
      <c r="R1178" s="16"/>
      <c r="S1178" s="16"/>
      <c r="T1178" s="16"/>
      <c r="U1178" s="16"/>
    </row>
    <row r="1179" spans="1:21" ht="25.5">
      <c r="A1179" s="11" t="s">
        <v>108</v>
      </c>
      <c r="B1179" s="35" t="s">
        <v>5</v>
      </c>
      <c r="C1179" s="36" t="s">
        <v>50</v>
      </c>
      <c r="D1179" s="36" t="s">
        <v>65</v>
      </c>
      <c r="E1179" s="36" t="s">
        <v>500</v>
      </c>
      <c r="F1179" s="36" t="s">
        <v>116</v>
      </c>
      <c r="G1179" s="37">
        <f>G1180</f>
        <v>495550</v>
      </c>
      <c r="H1179" s="37">
        <f t="shared" ref="H1179:I1179" si="819">H1180</f>
        <v>495550</v>
      </c>
      <c r="I1179" s="37">
        <f t="shared" si="819"/>
        <v>495550</v>
      </c>
      <c r="J1179" s="16">
        <f>'БА в тыс. руб.'!G1179*1000</f>
        <v>495550</v>
      </c>
      <c r="K1179" s="169">
        <f t="shared" si="807"/>
        <v>0</v>
      </c>
      <c r="L1179" s="16">
        <f>'БА в тыс. руб.'!H1179*1000</f>
        <v>495550</v>
      </c>
      <c r="M1179" s="169">
        <f t="shared" si="808"/>
        <v>0</v>
      </c>
      <c r="N1179" s="16">
        <f>'БА в тыс. руб.'!I1179*1000</f>
        <v>495550</v>
      </c>
      <c r="O1179" s="169">
        <f t="shared" si="809"/>
        <v>0</v>
      </c>
      <c r="P1179" s="16"/>
      <c r="Q1179" s="16"/>
      <c r="R1179" s="16"/>
      <c r="S1179" s="16"/>
      <c r="T1179" s="16"/>
      <c r="U1179" s="16"/>
    </row>
    <row r="1180" spans="1:21" s="98" customFormat="1" ht="25.5">
      <c r="A1180" s="12" t="s">
        <v>973</v>
      </c>
      <c r="B1180" s="35" t="s">
        <v>5</v>
      </c>
      <c r="C1180" s="36" t="s">
        <v>50</v>
      </c>
      <c r="D1180" s="36" t="s">
        <v>65</v>
      </c>
      <c r="E1180" s="36" t="s">
        <v>500</v>
      </c>
      <c r="F1180" s="36" t="s">
        <v>1043</v>
      </c>
      <c r="G1180" s="27">
        <f t="shared" ref="G1180" si="820">J1180</f>
        <v>495550</v>
      </c>
      <c r="H1180" s="27">
        <f t="shared" ref="H1180" si="821">L1180</f>
        <v>495550</v>
      </c>
      <c r="I1180" s="27">
        <f t="shared" ref="I1180" si="822">N1180</f>
        <v>495550</v>
      </c>
      <c r="J1180" s="16">
        <f>'БА в тыс. руб.'!G1180*1000</f>
        <v>495550</v>
      </c>
      <c r="K1180" s="169">
        <f t="shared" si="807"/>
        <v>0</v>
      </c>
      <c r="L1180" s="16">
        <f>'БА в тыс. руб.'!H1180*1000</f>
        <v>495550</v>
      </c>
      <c r="M1180" s="169">
        <f t="shared" si="808"/>
        <v>0</v>
      </c>
      <c r="N1180" s="16">
        <f>'БА в тыс. руб.'!I1180*1000</f>
        <v>495550</v>
      </c>
      <c r="O1180" s="169">
        <f t="shared" si="809"/>
        <v>0</v>
      </c>
      <c r="P1180" s="16"/>
      <c r="Q1180" s="16"/>
      <c r="R1180" s="16"/>
      <c r="S1180" s="16"/>
      <c r="T1180" s="16"/>
      <c r="U1180" s="16"/>
    </row>
    <row r="1181" spans="1:21" s="98" customFormat="1">
      <c r="A1181" s="79"/>
      <c r="B1181" s="96"/>
      <c r="C1181" s="97"/>
      <c r="D1181" s="97"/>
      <c r="E1181" s="97"/>
      <c r="F1181" s="97"/>
      <c r="G1181" s="27"/>
      <c r="H1181" s="27"/>
      <c r="I1181" s="27"/>
      <c r="J1181" s="16">
        <f>'БА в тыс. руб.'!G1181*1000</f>
        <v>0</v>
      </c>
      <c r="K1181" s="169">
        <f t="shared" si="807"/>
        <v>0</v>
      </c>
      <c r="L1181" s="16">
        <f>'БА в тыс. руб.'!H1181*1000</f>
        <v>0</v>
      </c>
      <c r="M1181" s="169">
        <f t="shared" si="808"/>
        <v>0</v>
      </c>
      <c r="N1181" s="16">
        <f>'БА в тыс. руб.'!I1181*1000</f>
        <v>0</v>
      </c>
      <c r="O1181" s="169">
        <f t="shared" si="809"/>
        <v>0</v>
      </c>
      <c r="P1181" s="16"/>
      <c r="Q1181" s="16"/>
      <c r="R1181" s="16"/>
      <c r="S1181" s="16"/>
      <c r="T1181" s="16"/>
      <c r="U1181" s="16"/>
    </row>
    <row r="1182" spans="1:21" s="3" customFormat="1">
      <c r="A1182" s="28" t="s">
        <v>11</v>
      </c>
      <c r="B1182" s="14" t="s">
        <v>12</v>
      </c>
      <c r="C1182" s="15" t="s">
        <v>51</v>
      </c>
      <c r="D1182" s="15" t="s">
        <v>51</v>
      </c>
      <c r="E1182" s="15" t="s">
        <v>196</v>
      </c>
      <c r="F1182" s="15" t="s">
        <v>58</v>
      </c>
      <c r="G1182" s="29">
        <f>G1183+G1217+G1231+G1253</f>
        <v>108451540</v>
      </c>
      <c r="H1182" s="29">
        <f>H1183+H1217+H1231+H1253</f>
        <v>102174110</v>
      </c>
      <c r="I1182" s="29">
        <f>I1183+I1217+I1231+I1253</f>
        <v>102174110</v>
      </c>
      <c r="J1182" s="16">
        <f>'БА в тыс. руб.'!G1182*1000</f>
        <v>108451540</v>
      </c>
      <c r="K1182" s="169">
        <f t="shared" si="807"/>
        <v>0</v>
      </c>
      <c r="L1182" s="16">
        <f>'БА в тыс. руб.'!H1182*1000</f>
        <v>102174110</v>
      </c>
      <c r="M1182" s="169">
        <f t="shared" si="808"/>
        <v>0</v>
      </c>
      <c r="N1182" s="16">
        <f>'БА в тыс. руб.'!I1182*1000</f>
        <v>102174110</v>
      </c>
      <c r="O1182" s="169">
        <f t="shared" si="809"/>
        <v>0</v>
      </c>
      <c r="P1182" s="16"/>
      <c r="Q1182" s="16"/>
      <c r="R1182" s="16"/>
      <c r="S1182" s="16"/>
      <c r="T1182" s="16"/>
      <c r="U1182" s="16"/>
    </row>
    <row r="1183" spans="1:21" s="3" customFormat="1">
      <c r="A1183" s="17" t="s">
        <v>64</v>
      </c>
      <c r="B1183" s="18" t="s">
        <v>12</v>
      </c>
      <c r="C1183" s="19" t="s">
        <v>65</v>
      </c>
      <c r="D1183" s="19" t="s">
        <v>51</v>
      </c>
      <c r="E1183" s="19" t="s">
        <v>196</v>
      </c>
      <c r="F1183" s="19" t="s">
        <v>58</v>
      </c>
      <c r="G1183" s="20">
        <f>G1184+G1210</f>
        <v>30927470</v>
      </c>
      <c r="H1183" s="20">
        <f>H1184+H1210</f>
        <v>30960300</v>
      </c>
      <c r="I1183" s="20">
        <f>I1184+I1210</f>
        <v>30960300</v>
      </c>
      <c r="J1183" s="16">
        <f>'БА в тыс. руб.'!G1183*1000</f>
        <v>30927470</v>
      </c>
      <c r="K1183" s="169">
        <f t="shared" si="807"/>
        <v>0</v>
      </c>
      <c r="L1183" s="16">
        <f>'БА в тыс. руб.'!H1183*1000</f>
        <v>30960300.000000004</v>
      </c>
      <c r="M1183" s="169">
        <f t="shared" si="808"/>
        <v>0</v>
      </c>
      <c r="N1183" s="16">
        <f>'БА в тыс. руб.'!I1183*1000</f>
        <v>30960300.000000004</v>
      </c>
      <c r="O1183" s="169">
        <f t="shared" si="809"/>
        <v>0</v>
      </c>
      <c r="P1183" s="16"/>
      <c r="Q1183" s="16"/>
      <c r="R1183" s="16"/>
      <c r="S1183" s="16"/>
      <c r="T1183" s="16"/>
      <c r="U1183" s="16"/>
    </row>
    <row r="1184" spans="1:21" s="3" customFormat="1" ht="38.25">
      <c r="A1184" s="21" t="s">
        <v>31</v>
      </c>
      <c r="B1184" s="22" t="s">
        <v>12</v>
      </c>
      <c r="C1184" s="23" t="s">
        <v>65</v>
      </c>
      <c r="D1184" s="23" t="s">
        <v>37</v>
      </c>
      <c r="E1184" s="23" t="s">
        <v>196</v>
      </c>
      <c r="F1184" s="23" t="s">
        <v>58</v>
      </c>
      <c r="G1184" s="24">
        <f t="shared" ref="G1184:I1185" si="823">G1185</f>
        <v>30573170</v>
      </c>
      <c r="H1184" s="24">
        <f t="shared" si="823"/>
        <v>30602450</v>
      </c>
      <c r="I1184" s="24">
        <f t="shared" si="823"/>
        <v>30602450</v>
      </c>
      <c r="J1184" s="16">
        <f>'БА в тыс. руб.'!G1184*1000</f>
        <v>30573170.000000004</v>
      </c>
      <c r="K1184" s="169">
        <f t="shared" si="807"/>
        <v>0</v>
      </c>
      <c r="L1184" s="16">
        <f>'БА в тыс. руб.'!H1184*1000</f>
        <v>30602450.000000004</v>
      </c>
      <c r="M1184" s="169">
        <f t="shared" si="808"/>
        <v>0</v>
      </c>
      <c r="N1184" s="16">
        <f>'БА в тыс. руб.'!I1184*1000</f>
        <v>30602450.000000004</v>
      </c>
      <c r="O1184" s="169">
        <f t="shared" si="809"/>
        <v>0</v>
      </c>
      <c r="P1184" s="16"/>
      <c r="Q1184" s="16"/>
      <c r="R1184" s="16"/>
      <c r="S1184" s="16"/>
      <c r="T1184" s="16"/>
      <c r="U1184" s="16"/>
    </row>
    <row r="1185" spans="1:21" s="3" customFormat="1" ht="25.5">
      <c r="A1185" s="11" t="s">
        <v>149</v>
      </c>
      <c r="B1185" s="25" t="s">
        <v>12</v>
      </c>
      <c r="C1185" s="26" t="s">
        <v>65</v>
      </c>
      <c r="D1185" s="26" t="s">
        <v>37</v>
      </c>
      <c r="E1185" s="26" t="s">
        <v>501</v>
      </c>
      <c r="F1185" s="26" t="s">
        <v>58</v>
      </c>
      <c r="G1185" s="27">
        <f t="shared" si="823"/>
        <v>30573170</v>
      </c>
      <c r="H1185" s="27">
        <f t="shared" si="823"/>
        <v>30602450</v>
      </c>
      <c r="I1185" s="27">
        <f t="shared" si="823"/>
        <v>30602450</v>
      </c>
      <c r="J1185" s="16">
        <f>'БА в тыс. руб.'!G1185*1000</f>
        <v>30573170.000000004</v>
      </c>
      <c r="K1185" s="169">
        <f t="shared" si="807"/>
        <v>0</v>
      </c>
      <c r="L1185" s="16">
        <f>'БА в тыс. руб.'!H1185*1000</f>
        <v>30602450.000000004</v>
      </c>
      <c r="M1185" s="169">
        <f t="shared" si="808"/>
        <v>0</v>
      </c>
      <c r="N1185" s="16">
        <f>'БА в тыс. руб.'!I1185*1000</f>
        <v>30602450.000000004</v>
      </c>
      <c r="O1185" s="169">
        <f t="shared" si="809"/>
        <v>0</v>
      </c>
      <c r="P1185" s="16"/>
      <c r="Q1185" s="16"/>
      <c r="R1185" s="16"/>
      <c r="S1185" s="16"/>
      <c r="T1185" s="16"/>
      <c r="U1185" s="16"/>
    </row>
    <row r="1186" spans="1:21" s="3" customFormat="1" ht="25.5">
      <c r="A1186" s="11" t="s">
        <v>150</v>
      </c>
      <c r="B1186" s="25" t="s">
        <v>12</v>
      </c>
      <c r="C1186" s="26" t="s">
        <v>65</v>
      </c>
      <c r="D1186" s="26" t="s">
        <v>37</v>
      </c>
      <c r="E1186" s="26" t="s">
        <v>502</v>
      </c>
      <c r="F1186" s="26" t="s">
        <v>58</v>
      </c>
      <c r="G1186" s="27">
        <f>G1187+G1196+G1200+G1207</f>
        <v>30573170</v>
      </c>
      <c r="H1186" s="27">
        <f>H1187+H1196+H1200+H1207</f>
        <v>30602450</v>
      </c>
      <c r="I1186" s="27">
        <f>I1187+I1196+I1200+I1207</f>
        <v>30602450</v>
      </c>
      <c r="J1186" s="16">
        <f>'БА в тыс. руб.'!G1186*1000</f>
        <v>30573170.000000004</v>
      </c>
      <c r="K1186" s="169">
        <f t="shared" si="807"/>
        <v>0</v>
      </c>
      <c r="L1186" s="16">
        <f>'БА в тыс. руб.'!H1186*1000</f>
        <v>30602450.000000004</v>
      </c>
      <c r="M1186" s="169">
        <f t="shared" si="808"/>
        <v>0</v>
      </c>
      <c r="N1186" s="16">
        <f>'БА в тыс. руб.'!I1186*1000</f>
        <v>30602450.000000004</v>
      </c>
      <c r="O1186" s="169">
        <f t="shared" si="809"/>
        <v>0</v>
      </c>
      <c r="P1186" s="16"/>
      <c r="Q1186" s="16"/>
      <c r="R1186" s="16"/>
      <c r="S1186" s="16"/>
      <c r="T1186" s="16"/>
      <c r="U1186" s="16"/>
    </row>
    <row r="1187" spans="1:21" s="3" customFormat="1" ht="25.5">
      <c r="A1187" s="11" t="s">
        <v>114</v>
      </c>
      <c r="B1187" s="25" t="s">
        <v>12</v>
      </c>
      <c r="C1187" s="26" t="s">
        <v>65</v>
      </c>
      <c r="D1187" s="26" t="s">
        <v>37</v>
      </c>
      <c r="E1187" s="26" t="s">
        <v>503</v>
      </c>
      <c r="F1187" s="26" t="s">
        <v>58</v>
      </c>
      <c r="G1187" s="27">
        <f>G1188+G1191+G1193</f>
        <v>3759800</v>
      </c>
      <c r="H1187" s="27">
        <f t="shared" ref="H1187:I1187" si="824">H1188+H1191+H1193</f>
        <v>3789080</v>
      </c>
      <c r="I1187" s="27">
        <f t="shared" si="824"/>
        <v>3789080</v>
      </c>
      <c r="J1187" s="16">
        <f>'БА в тыс. руб.'!G1187*1000</f>
        <v>3759800</v>
      </c>
      <c r="K1187" s="169">
        <f t="shared" si="807"/>
        <v>0</v>
      </c>
      <c r="L1187" s="16">
        <f>'БА в тыс. руб.'!H1187*1000</f>
        <v>3789080.0000000005</v>
      </c>
      <c r="M1187" s="169">
        <f t="shared" si="808"/>
        <v>0</v>
      </c>
      <c r="N1187" s="16">
        <f>'БА в тыс. руб.'!I1187*1000</f>
        <v>3789080.0000000005</v>
      </c>
      <c r="O1187" s="169">
        <f t="shared" si="809"/>
        <v>0</v>
      </c>
      <c r="P1187" s="16"/>
      <c r="Q1187" s="16"/>
      <c r="R1187" s="16"/>
      <c r="S1187" s="16"/>
      <c r="T1187" s="16"/>
      <c r="U1187" s="16"/>
    </row>
    <row r="1188" spans="1:21" s="3" customFormat="1" ht="25.5">
      <c r="A1188" s="34" t="s">
        <v>107</v>
      </c>
      <c r="B1188" s="25" t="s">
        <v>12</v>
      </c>
      <c r="C1188" s="26" t="s">
        <v>65</v>
      </c>
      <c r="D1188" s="26" t="s">
        <v>37</v>
      </c>
      <c r="E1188" s="26" t="s">
        <v>503</v>
      </c>
      <c r="F1188" s="26" t="s">
        <v>115</v>
      </c>
      <c r="G1188" s="27">
        <f>SUM(G1189:G1190)</f>
        <v>637110</v>
      </c>
      <c r="H1188" s="27">
        <f t="shared" ref="H1188:I1188" si="825">SUM(H1189:H1190)</f>
        <v>637110</v>
      </c>
      <c r="I1188" s="27">
        <f t="shared" si="825"/>
        <v>637110</v>
      </c>
      <c r="J1188" s="16">
        <f>'БА в тыс. руб.'!G1188*1000</f>
        <v>637110</v>
      </c>
      <c r="K1188" s="169">
        <f t="shared" si="807"/>
        <v>0</v>
      </c>
      <c r="L1188" s="16">
        <f>'БА в тыс. руб.'!H1188*1000</f>
        <v>637110</v>
      </c>
      <c r="M1188" s="169">
        <f t="shared" si="808"/>
        <v>0</v>
      </c>
      <c r="N1188" s="16">
        <f>'БА в тыс. руб.'!I1188*1000</f>
        <v>637110</v>
      </c>
      <c r="O1188" s="169">
        <f t="shared" si="809"/>
        <v>0</v>
      </c>
      <c r="P1188" s="16"/>
      <c r="Q1188" s="16"/>
      <c r="R1188" s="16"/>
      <c r="S1188" s="16"/>
      <c r="T1188" s="16"/>
      <c r="U1188" s="16"/>
    </row>
    <row r="1189" spans="1:21" s="71" customFormat="1" ht="25.5">
      <c r="A1189" s="12" t="s">
        <v>937</v>
      </c>
      <c r="B1189" s="25" t="s">
        <v>12</v>
      </c>
      <c r="C1189" s="26" t="s">
        <v>65</v>
      </c>
      <c r="D1189" s="26" t="s">
        <v>37</v>
      </c>
      <c r="E1189" s="26" t="s">
        <v>503</v>
      </c>
      <c r="F1189" s="26" t="s">
        <v>1059</v>
      </c>
      <c r="G1189" s="27">
        <f t="shared" ref="G1189:G1190" si="826">J1189</f>
        <v>489330</v>
      </c>
      <c r="H1189" s="27">
        <f t="shared" ref="H1189:H1190" si="827">L1189</f>
        <v>489330</v>
      </c>
      <c r="I1189" s="27">
        <f t="shared" ref="I1189:I1190" si="828">N1189</f>
        <v>489330</v>
      </c>
      <c r="J1189" s="16">
        <f>'БА в тыс. руб.'!G1189*1000</f>
        <v>489330</v>
      </c>
      <c r="K1189" s="169">
        <f t="shared" si="807"/>
        <v>0</v>
      </c>
      <c r="L1189" s="16">
        <f>'БА в тыс. руб.'!H1189*1000</f>
        <v>489330</v>
      </c>
      <c r="M1189" s="169">
        <f t="shared" si="808"/>
        <v>0</v>
      </c>
      <c r="N1189" s="16">
        <f>'БА в тыс. руб.'!I1189*1000</f>
        <v>489330</v>
      </c>
      <c r="O1189" s="169">
        <f t="shared" si="809"/>
        <v>0</v>
      </c>
      <c r="P1189" s="16"/>
      <c r="Q1189" s="16"/>
      <c r="R1189" s="16"/>
      <c r="S1189" s="16"/>
      <c r="T1189" s="16"/>
      <c r="U1189" s="16"/>
    </row>
    <row r="1190" spans="1:21" s="71" customFormat="1" ht="38.25">
      <c r="A1190" s="12" t="s">
        <v>939</v>
      </c>
      <c r="B1190" s="25" t="s">
        <v>12</v>
      </c>
      <c r="C1190" s="26" t="s">
        <v>65</v>
      </c>
      <c r="D1190" s="26" t="s">
        <v>37</v>
      </c>
      <c r="E1190" s="26" t="s">
        <v>503</v>
      </c>
      <c r="F1190" s="26" t="s">
        <v>1060</v>
      </c>
      <c r="G1190" s="27">
        <f t="shared" si="826"/>
        <v>147780</v>
      </c>
      <c r="H1190" s="27">
        <f t="shared" si="827"/>
        <v>147780</v>
      </c>
      <c r="I1190" s="27">
        <f t="shared" si="828"/>
        <v>147780</v>
      </c>
      <c r="J1190" s="16">
        <f>'БА в тыс. руб.'!G1190*1000</f>
        <v>147780</v>
      </c>
      <c r="K1190" s="169">
        <f t="shared" si="807"/>
        <v>0</v>
      </c>
      <c r="L1190" s="16">
        <f>'БА в тыс. руб.'!H1190*1000</f>
        <v>147780</v>
      </c>
      <c r="M1190" s="169">
        <f t="shared" si="808"/>
        <v>0</v>
      </c>
      <c r="N1190" s="16">
        <f>'БА в тыс. руб.'!I1190*1000</f>
        <v>147780</v>
      </c>
      <c r="O1190" s="169">
        <f t="shared" si="809"/>
        <v>0</v>
      </c>
      <c r="P1190" s="16"/>
      <c r="Q1190" s="16"/>
      <c r="R1190" s="16"/>
      <c r="S1190" s="16"/>
      <c r="T1190" s="16"/>
      <c r="U1190" s="16"/>
    </row>
    <row r="1191" spans="1:21" s="3" customFormat="1" ht="25.5">
      <c r="A1191" s="11" t="s">
        <v>108</v>
      </c>
      <c r="B1191" s="25" t="s">
        <v>12</v>
      </c>
      <c r="C1191" s="26" t="s">
        <v>65</v>
      </c>
      <c r="D1191" s="26" t="s">
        <v>37</v>
      </c>
      <c r="E1191" s="26" t="s">
        <v>503</v>
      </c>
      <c r="F1191" s="26" t="s">
        <v>116</v>
      </c>
      <c r="G1191" s="27">
        <f>G1192</f>
        <v>3080790</v>
      </c>
      <c r="H1191" s="27">
        <f t="shared" ref="H1191:I1191" si="829">H1192</f>
        <v>3110070</v>
      </c>
      <c r="I1191" s="27">
        <f t="shared" si="829"/>
        <v>3110070</v>
      </c>
      <c r="J1191" s="16">
        <f>'БА в тыс. руб.'!G1191*1000</f>
        <v>3080790</v>
      </c>
      <c r="K1191" s="169">
        <f t="shared" si="807"/>
        <v>0</v>
      </c>
      <c r="L1191" s="16">
        <f>'БА в тыс. руб.'!H1191*1000</f>
        <v>3110070</v>
      </c>
      <c r="M1191" s="169">
        <f t="shared" si="808"/>
        <v>0</v>
      </c>
      <c r="N1191" s="16">
        <f>'БА в тыс. руб.'!I1191*1000</f>
        <v>3110070</v>
      </c>
      <c r="O1191" s="169">
        <f t="shared" si="809"/>
        <v>0</v>
      </c>
      <c r="P1191" s="16"/>
      <c r="Q1191" s="16"/>
      <c r="R1191" s="16"/>
      <c r="S1191" s="16"/>
      <c r="T1191" s="16"/>
      <c r="U1191" s="16"/>
    </row>
    <row r="1192" spans="1:21" s="4" customFormat="1" ht="25.5">
      <c r="A1192" s="12" t="s">
        <v>973</v>
      </c>
      <c r="B1192" s="25" t="s">
        <v>12</v>
      </c>
      <c r="C1192" s="26" t="s">
        <v>65</v>
      </c>
      <c r="D1192" s="26" t="s">
        <v>37</v>
      </c>
      <c r="E1192" s="26" t="s">
        <v>503</v>
      </c>
      <c r="F1192" s="26" t="s">
        <v>1043</v>
      </c>
      <c r="G1192" s="27">
        <f t="shared" ref="G1192" si="830">J1192</f>
        <v>3080790</v>
      </c>
      <c r="H1192" s="27">
        <f>L1192</f>
        <v>3110070</v>
      </c>
      <c r="I1192" s="27">
        <f>N1192</f>
        <v>3110070</v>
      </c>
      <c r="J1192" s="16">
        <f>'БА в тыс. руб.'!G1192*1000</f>
        <v>3080790</v>
      </c>
      <c r="K1192" s="169">
        <f t="shared" si="807"/>
        <v>0</v>
      </c>
      <c r="L1192" s="16">
        <f>'БА в тыс. руб.'!H1192*1000</f>
        <v>3110070</v>
      </c>
      <c r="M1192" s="169">
        <f t="shared" si="808"/>
        <v>0</v>
      </c>
      <c r="N1192" s="16">
        <f>'БА в тыс. руб.'!I1192*1000</f>
        <v>3110070</v>
      </c>
      <c r="O1192" s="169">
        <f t="shared" si="809"/>
        <v>0</v>
      </c>
      <c r="P1192" s="16"/>
      <c r="Q1192" s="16"/>
      <c r="R1192" s="16"/>
      <c r="S1192" s="16"/>
      <c r="T1192" s="16"/>
      <c r="U1192" s="16"/>
    </row>
    <row r="1193" spans="1:21" s="3" customFormat="1">
      <c r="A1193" s="11" t="s">
        <v>97</v>
      </c>
      <c r="B1193" s="25" t="s">
        <v>12</v>
      </c>
      <c r="C1193" s="26" t="s">
        <v>65</v>
      </c>
      <c r="D1193" s="26" t="s">
        <v>37</v>
      </c>
      <c r="E1193" s="26" t="s">
        <v>503</v>
      </c>
      <c r="F1193" s="26" t="s">
        <v>118</v>
      </c>
      <c r="G1193" s="27">
        <f>SUM(G1194:G1195)</f>
        <v>41900</v>
      </c>
      <c r="H1193" s="27">
        <f t="shared" ref="H1193:I1193" si="831">SUM(H1194:H1195)</f>
        <v>41900</v>
      </c>
      <c r="I1193" s="27">
        <f t="shared" si="831"/>
        <v>41900</v>
      </c>
      <c r="J1193" s="16">
        <f>'БА в тыс. руб.'!G1193*1000</f>
        <v>41900.000000000007</v>
      </c>
      <c r="K1193" s="169">
        <f t="shared" si="807"/>
        <v>0</v>
      </c>
      <c r="L1193" s="16">
        <f>'БА в тыс. руб.'!H1193*1000</f>
        <v>41900.000000000007</v>
      </c>
      <c r="M1193" s="169">
        <f t="shared" si="808"/>
        <v>0</v>
      </c>
      <c r="N1193" s="16">
        <f>'БА в тыс. руб.'!I1193*1000</f>
        <v>41900.000000000007</v>
      </c>
      <c r="O1193" s="169">
        <f t="shared" si="809"/>
        <v>0</v>
      </c>
      <c r="P1193" s="16"/>
      <c r="Q1193" s="16"/>
      <c r="R1193" s="16"/>
      <c r="S1193" s="16"/>
      <c r="T1193" s="16"/>
      <c r="U1193" s="16"/>
    </row>
    <row r="1194" spans="1:21" s="3" customFormat="1">
      <c r="A1194" s="11" t="s">
        <v>1036</v>
      </c>
      <c r="B1194" s="25" t="s">
        <v>12</v>
      </c>
      <c r="C1194" s="26" t="s">
        <v>65</v>
      </c>
      <c r="D1194" s="26" t="s">
        <v>37</v>
      </c>
      <c r="E1194" s="26" t="s">
        <v>503</v>
      </c>
      <c r="F1194" s="26" t="s">
        <v>1061</v>
      </c>
      <c r="G1194" s="27">
        <f t="shared" ref="G1194:G1195" si="832">J1194</f>
        <v>22800</v>
      </c>
      <c r="H1194" s="27">
        <f t="shared" ref="H1194:H1195" si="833">L1194</f>
        <v>22800</v>
      </c>
      <c r="I1194" s="27">
        <f t="shared" ref="I1194:I1195" si="834">N1194</f>
        <v>22800</v>
      </c>
      <c r="J1194" s="16">
        <f>'БА в тыс. руб.'!G1194*1000</f>
        <v>22800</v>
      </c>
      <c r="K1194" s="169">
        <f t="shared" si="807"/>
        <v>0</v>
      </c>
      <c r="L1194" s="16">
        <f>'БА в тыс. руб.'!H1194*1000</f>
        <v>22800</v>
      </c>
      <c r="M1194" s="169">
        <f t="shared" si="808"/>
        <v>0</v>
      </c>
      <c r="N1194" s="16">
        <f>'БА в тыс. руб.'!I1194*1000</f>
        <v>22800</v>
      </c>
      <c r="O1194" s="169">
        <f t="shared" si="809"/>
        <v>0</v>
      </c>
      <c r="P1194" s="16"/>
      <c r="Q1194" s="16"/>
      <c r="R1194" s="16"/>
      <c r="S1194" s="16"/>
      <c r="T1194" s="16"/>
      <c r="U1194" s="16"/>
    </row>
    <row r="1195" spans="1:21" s="3" customFormat="1">
      <c r="A1195" s="11" t="s">
        <v>1037</v>
      </c>
      <c r="B1195" s="25" t="s">
        <v>12</v>
      </c>
      <c r="C1195" s="26" t="s">
        <v>65</v>
      </c>
      <c r="D1195" s="26" t="s">
        <v>37</v>
      </c>
      <c r="E1195" s="26" t="s">
        <v>503</v>
      </c>
      <c r="F1195" s="26" t="s">
        <v>1062</v>
      </c>
      <c r="G1195" s="27">
        <f t="shared" si="832"/>
        <v>19100</v>
      </c>
      <c r="H1195" s="27">
        <f t="shared" si="833"/>
        <v>19100</v>
      </c>
      <c r="I1195" s="27">
        <f t="shared" si="834"/>
        <v>19100</v>
      </c>
      <c r="J1195" s="16">
        <f>'БА в тыс. руб.'!G1195*1000</f>
        <v>19100</v>
      </c>
      <c r="K1195" s="169">
        <f t="shared" si="807"/>
        <v>0</v>
      </c>
      <c r="L1195" s="16">
        <f>'БА в тыс. руб.'!H1195*1000</f>
        <v>19100</v>
      </c>
      <c r="M1195" s="169">
        <f t="shared" si="808"/>
        <v>0</v>
      </c>
      <c r="N1195" s="16">
        <f>'БА в тыс. руб.'!I1195*1000</f>
        <v>19100</v>
      </c>
      <c r="O1195" s="169">
        <f t="shared" si="809"/>
        <v>0</v>
      </c>
      <c r="P1195" s="16"/>
      <c r="Q1195" s="16"/>
      <c r="R1195" s="16"/>
      <c r="S1195" s="16"/>
      <c r="T1195" s="16"/>
      <c r="U1195" s="16"/>
    </row>
    <row r="1196" spans="1:21" s="3" customFormat="1" ht="25.5">
      <c r="A1196" s="34" t="s">
        <v>504</v>
      </c>
      <c r="B1196" s="25" t="s">
        <v>12</v>
      </c>
      <c r="C1196" s="26" t="s">
        <v>65</v>
      </c>
      <c r="D1196" s="26" t="s">
        <v>37</v>
      </c>
      <c r="E1196" s="26" t="s">
        <v>505</v>
      </c>
      <c r="F1196" s="26" t="s">
        <v>58</v>
      </c>
      <c r="G1196" s="27">
        <f>G1197</f>
        <v>25543000</v>
      </c>
      <c r="H1196" s="27">
        <f>H1197</f>
        <v>25543000</v>
      </c>
      <c r="I1196" s="27">
        <f>I1197</f>
        <v>25543000</v>
      </c>
      <c r="J1196" s="16">
        <f>'БА в тыс. руб.'!G1196*1000</f>
        <v>25543000</v>
      </c>
      <c r="K1196" s="169">
        <f t="shared" si="807"/>
        <v>0</v>
      </c>
      <c r="L1196" s="16">
        <f>'БА в тыс. руб.'!H1196*1000</f>
        <v>25543000</v>
      </c>
      <c r="M1196" s="169">
        <f t="shared" si="808"/>
        <v>0</v>
      </c>
      <c r="N1196" s="16">
        <f>'БА в тыс. руб.'!I1196*1000</f>
        <v>25543000</v>
      </c>
      <c r="O1196" s="169">
        <f t="shared" si="809"/>
        <v>0</v>
      </c>
      <c r="P1196" s="16"/>
      <c r="Q1196" s="16"/>
      <c r="R1196" s="16"/>
      <c r="S1196" s="16"/>
      <c r="T1196" s="16"/>
      <c r="U1196" s="16"/>
    </row>
    <row r="1197" spans="1:21" s="3" customFormat="1" ht="25.5">
      <c r="A1197" s="34" t="s">
        <v>107</v>
      </c>
      <c r="B1197" s="25" t="s">
        <v>12</v>
      </c>
      <c r="C1197" s="26" t="s">
        <v>65</v>
      </c>
      <c r="D1197" s="26" t="s">
        <v>37</v>
      </c>
      <c r="E1197" s="26" t="s">
        <v>505</v>
      </c>
      <c r="F1197" s="26" t="s">
        <v>115</v>
      </c>
      <c r="G1197" s="27">
        <f>SUM(G1198:G1199)</f>
        <v>25543000</v>
      </c>
      <c r="H1197" s="27">
        <f t="shared" ref="H1197:I1197" si="835">SUM(H1198:H1199)</f>
        <v>25543000</v>
      </c>
      <c r="I1197" s="27">
        <f t="shared" si="835"/>
        <v>25543000</v>
      </c>
      <c r="J1197" s="16">
        <f>'БА в тыс. руб.'!G1197*1000</f>
        <v>25543000</v>
      </c>
      <c r="K1197" s="169">
        <f t="shared" si="807"/>
        <v>0</v>
      </c>
      <c r="L1197" s="16">
        <f>'БА в тыс. руб.'!H1197*1000</f>
        <v>25543000</v>
      </c>
      <c r="M1197" s="169">
        <f t="shared" si="808"/>
        <v>0</v>
      </c>
      <c r="N1197" s="16">
        <f>'БА в тыс. руб.'!I1197*1000</f>
        <v>25543000</v>
      </c>
      <c r="O1197" s="169">
        <f t="shared" si="809"/>
        <v>0</v>
      </c>
      <c r="P1197" s="16"/>
      <c r="Q1197" s="16"/>
      <c r="R1197" s="16"/>
      <c r="S1197" s="16"/>
      <c r="T1197" s="16"/>
      <c r="U1197" s="16"/>
    </row>
    <row r="1198" spans="1:21" s="94" customFormat="1">
      <c r="A1198" s="12" t="s">
        <v>936</v>
      </c>
      <c r="B1198" s="25" t="s">
        <v>12</v>
      </c>
      <c r="C1198" s="26" t="s">
        <v>65</v>
      </c>
      <c r="D1198" s="26" t="s">
        <v>37</v>
      </c>
      <c r="E1198" s="26" t="s">
        <v>505</v>
      </c>
      <c r="F1198" s="26" t="s">
        <v>1063</v>
      </c>
      <c r="G1198" s="27">
        <f t="shared" ref="G1198:G1199" si="836">J1198</f>
        <v>19618280</v>
      </c>
      <c r="H1198" s="27">
        <f t="shared" ref="H1198:H1199" si="837">L1198</f>
        <v>19618280</v>
      </c>
      <c r="I1198" s="27">
        <f t="shared" ref="I1198:I1199" si="838">N1198</f>
        <v>19618280</v>
      </c>
      <c r="J1198" s="16">
        <f>'БА в тыс. руб.'!G1198*1000</f>
        <v>19618280</v>
      </c>
      <c r="K1198" s="169">
        <f t="shared" si="807"/>
        <v>0</v>
      </c>
      <c r="L1198" s="16">
        <f>'БА в тыс. руб.'!H1198*1000</f>
        <v>19618280</v>
      </c>
      <c r="M1198" s="169">
        <f t="shared" si="808"/>
        <v>0</v>
      </c>
      <c r="N1198" s="16">
        <f>'БА в тыс. руб.'!I1198*1000</f>
        <v>19618280</v>
      </c>
      <c r="O1198" s="169">
        <f t="shared" si="809"/>
        <v>0</v>
      </c>
      <c r="P1198" s="16"/>
      <c r="Q1198" s="16"/>
      <c r="R1198" s="16"/>
      <c r="S1198" s="16"/>
      <c r="T1198" s="16"/>
      <c r="U1198" s="16"/>
    </row>
    <row r="1199" spans="1:21" s="94" customFormat="1" ht="38.25">
      <c r="A1199" s="12" t="s">
        <v>939</v>
      </c>
      <c r="B1199" s="25" t="s">
        <v>12</v>
      </c>
      <c r="C1199" s="26" t="s">
        <v>65</v>
      </c>
      <c r="D1199" s="26" t="s">
        <v>37</v>
      </c>
      <c r="E1199" s="26" t="s">
        <v>505</v>
      </c>
      <c r="F1199" s="26" t="s">
        <v>1060</v>
      </c>
      <c r="G1199" s="27">
        <f t="shared" si="836"/>
        <v>5924720</v>
      </c>
      <c r="H1199" s="27">
        <f t="shared" si="837"/>
        <v>5924720</v>
      </c>
      <c r="I1199" s="27">
        <f t="shared" si="838"/>
        <v>5924720</v>
      </c>
      <c r="J1199" s="16">
        <f>'БА в тыс. руб.'!G1199*1000</f>
        <v>5924720</v>
      </c>
      <c r="K1199" s="169">
        <f t="shared" si="807"/>
        <v>0</v>
      </c>
      <c r="L1199" s="16">
        <f>'БА в тыс. руб.'!H1199*1000</f>
        <v>5924720</v>
      </c>
      <c r="M1199" s="169">
        <f t="shared" si="808"/>
        <v>0</v>
      </c>
      <c r="N1199" s="16">
        <f>'БА в тыс. руб.'!I1199*1000</f>
        <v>5924720</v>
      </c>
      <c r="O1199" s="169">
        <f t="shared" si="809"/>
        <v>0</v>
      </c>
      <c r="P1199" s="16"/>
      <c r="Q1199" s="16"/>
      <c r="R1199" s="16"/>
      <c r="S1199" s="16"/>
      <c r="T1199" s="16"/>
      <c r="U1199" s="16"/>
    </row>
    <row r="1200" spans="1:21" s="3" customFormat="1" ht="51">
      <c r="A1200" s="126" t="s">
        <v>598</v>
      </c>
      <c r="B1200" s="25" t="s">
        <v>12</v>
      </c>
      <c r="C1200" s="26" t="s">
        <v>65</v>
      </c>
      <c r="D1200" s="26" t="s">
        <v>37</v>
      </c>
      <c r="E1200" s="26" t="s">
        <v>506</v>
      </c>
      <c r="F1200" s="26" t="s">
        <v>58</v>
      </c>
      <c r="G1200" s="27">
        <f>G1201+G1205</f>
        <v>1218630</v>
      </c>
      <c r="H1200" s="27">
        <f>H1201+H1205</f>
        <v>1218630</v>
      </c>
      <c r="I1200" s="27">
        <f>I1201+I1205</f>
        <v>1218630</v>
      </c>
      <c r="J1200" s="16">
        <f>'БА в тыс. руб.'!G1200*1000</f>
        <v>1218630</v>
      </c>
      <c r="K1200" s="169">
        <f t="shared" si="807"/>
        <v>0</v>
      </c>
      <c r="L1200" s="16">
        <f>'БА в тыс. руб.'!H1200*1000</f>
        <v>1218630</v>
      </c>
      <c r="M1200" s="169">
        <f t="shared" si="808"/>
        <v>0</v>
      </c>
      <c r="N1200" s="16">
        <f>'БА в тыс. руб.'!I1200*1000</f>
        <v>1218630</v>
      </c>
      <c r="O1200" s="169">
        <f t="shared" si="809"/>
        <v>0</v>
      </c>
      <c r="P1200" s="16"/>
      <c r="Q1200" s="16"/>
      <c r="R1200" s="16"/>
      <c r="S1200" s="16"/>
      <c r="T1200" s="16"/>
      <c r="U1200" s="16"/>
    </row>
    <row r="1201" spans="1:21" s="3" customFormat="1" ht="25.5">
      <c r="A1201" s="34" t="s">
        <v>107</v>
      </c>
      <c r="B1201" s="25" t="s">
        <v>12</v>
      </c>
      <c r="C1201" s="26" t="s">
        <v>65</v>
      </c>
      <c r="D1201" s="26" t="s">
        <v>37</v>
      </c>
      <c r="E1201" s="26" t="s">
        <v>506</v>
      </c>
      <c r="F1201" s="26" t="s">
        <v>115</v>
      </c>
      <c r="G1201" s="27">
        <f>SUM(G1202:G1204)</f>
        <v>1059710</v>
      </c>
      <c r="H1201" s="27">
        <f t="shared" ref="H1201:I1201" si="839">SUM(H1202:H1204)</f>
        <v>1059710</v>
      </c>
      <c r="I1201" s="27">
        <f t="shared" si="839"/>
        <v>1059710</v>
      </c>
      <c r="J1201" s="16">
        <f>'БА в тыс. руб.'!G1201*1000</f>
        <v>1059710</v>
      </c>
      <c r="K1201" s="169">
        <f t="shared" si="807"/>
        <v>0</v>
      </c>
      <c r="L1201" s="16">
        <f>'БА в тыс. руб.'!H1201*1000</f>
        <v>1059710</v>
      </c>
      <c r="M1201" s="169">
        <f t="shared" si="808"/>
        <v>0</v>
      </c>
      <c r="N1201" s="16">
        <f>'БА в тыс. руб.'!I1201*1000</f>
        <v>1059710</v>
      </c>
      <c r="O1201" s="169">
        <f t="shared" si="809"/>
        <v>0</v>
      </c>
      <c r="P1201" s="16"/>
      <c r="Q1201" s="16"/>
      <c r="R1201" s="16"/>
      <c r="S1201" s="16"/>
      <c r="T1201" s="16"/>
      <c r="U1201" s="16"/>
    </row>
    <row r="1202" spans="1:21" s="4" customFormat="1">
      <c r="A1202" s="11" t="s">
        <v>936</v>
      </c>
      <c r="B1202" s="25" t="s">
        <v>12</v>
      </c>
      <c r="C1202" s="26" t="s">
        <v>65</v>
      </c>
      <c r="D1202" s="26" t="s">
        <v>37</v>
      </c>
      <c r="E1202" s="26" t="s">
        <v>506</v>
      </c>
      <c r="F1202" s="26" t="s">
        <v>1063</v>
      </c>
      <c r="G1202" s="27">
        <f t="shared" ref="G1202:G1204" si="840">J1202</f>
        <v>775600</v>
      </c>
      <c r="H1202" s="27">
        <f t="shared" ref="H1202:H1204" si="841">L1202</f>
        <v>775600</v>
      </c>
      <c r="I1202" s="27">
        <f t="shared" ref="I1202:I1204" si="842">N1202</f>
        <v>775600</v>
      </c>
      <c r="J1202" s="16">
        <f>'БА в тыс. руб.'!G1202*1000</f>
        <v>775600</v>
      </c>
      <c r="K1202" s="169">
        <f t="shared" si="807"/>
        <v>0</v>
      </c>
      <c r="L1202" s="16">
        <f>'БА в тыс. руб.'!H1202*1000</f>
        <v>775600</v>
      </c>
      <c r="M1202" s="169">
        <f t="shared" si="808"/>
        <v>0</v>
      </c>
      <c r="N1202" s="16">
        <f>'БА в тыс. руб.'!I1202*1000</f>
        <v>775600</v>
      </c>
      <c r="O1202" s="169">
        <f t="shared" si="809"/>
        <v>0</v>
      </c>
      <c r="P1202" s="16"/>
      <c r="Q1202" s="16"/>
      <c r="R1202" s="16"/>
      <c r="S1202" s="16"/>
      <c r="T1202" s="16"/>
      <c r="U1202" s="16"/>
    </row>
    <row r="1203" spans="1:21" s="4" customFormat="1" ht="25.5">
      <c r="A1203" s="12" t="s">
        <v>937</v>
      </c>
      <c r="B1203" s="25" t="s">
        <v>12</v>
      </c>
      <c r="C1203" s="26" t="s">
        <v>65</v>
      </c>
      <c r="D1203" s="26" t="s">
        <v>37</v>
      </c>
      <c r="E1203" s="26" t="s">
        <v>506</v>
      </c>
      <c r="F1203" s="26" t="s">
        <v>1059</v>
      </c>
      <c r="G1203" s="27">
        <f t="shared" si="840"/>
        <v>38300</v>
      </c>
      <c r="H1203" s="27">
        <f t="shared" si="841"/>
        <v>38300</v>
      </c>
      <c r="I1203" s="27">
        <f t="shared" si="842"/>
        <v>38300</v>
      </c>
      <c r="J1203" s="16">
        <f>'БА в тыс. руб.'!G1203*1000</f>
        <v>38300</v>
      </c>
      <c r="K1203" s="169"/>
      <c r="L1203" s="16">
        <f>'БА в тыс. руб.'!H1203*1000</f>
        <v>38300</v>
      </c>
      <c r="M1203" s="169"/>
      <c r="N1203" s="16">
        <f>'БА в тыс. руб.'!I1203*1000</f>
        <v>38300</v>
      </c>
      <c r="O1203" s="169"/>
      <c r="P1203" s="16"/>
      <c r="Q1203" s="16"/>
      <c r="R1203" s="16"/>
      <c r="S1203" s="16"/>
      <c r="T1203" s="16"/>
      <c r="U1203" s="16"/>
    </row>
    <row r="1204" spans="1:21" s="4" customFormat="1" ht="38.25">
      <c r="A1204" s="11" t="s">
        <v>939</v>
      </c>
      <c r="B1204" s="25" t="s">
        <v>12</v>
      </c>
      <c r="C1204" s="26" t="s">
        <v>65</v>
      </c>
      <c r="D1204" s="26" t="s">
        <v>37</v>
      </c>
      <c r="E1204" s="26" t="s">
        <v>506</v>
      </c>
      <c r="F1204" s="26" t="s">
        <v>1060</v>
      </c>
      <c r="G1204" s="27">
        <f t="shared" si="840"/>
        <v>245810</v>
      </c>
      <c r="H1204" s="27">
        <f t="shared" si="841"/>
        <v>245810</v>
      </c>
      <c r="I1204" s="27">
        <f t="shared" si="842"/>
        <v>245810</v>
      </c>
      <c r="J1204" s="16">
        <f>'БА в тыс. руб.'!G1204*1000</f>
        <v>245810</v>
      </c>
      <c r="K1204" s="169">
        <f t="shared" si="807"/>
        <v>0</v>
      </c>
      <c r="L1204" s="16">
        <f>'БА в тыс. руб.'!H1204*1000</f>
        <v>245810</v>
      </c>
      <c r="M1204" s="169">
        <f t="shared" si="808"/>
        <v>0</v>
      </c>
      <c r="N1204" s="16">
        <f>'БА в тыс. руб.'!I1204*1000</f>
        <v>245810</v>
      </c>
      <c r="O1204" s="169">
        <f t="shared" si="809"/>
        <v>0</v>
      </c>
      <c r="P1204" s="16"/>
      <c r="Q1204" s="16"/>
      <c r="R1204" s="16"/>
      <c r="S1204" s="16"/>
      <c r="T1204" s="16"/>
      <c r="U1204" s="16"/>
    </row>
    <row r="1205" spans="1:21" s="3" customFormat="1" ht="25.5">
      <c r="A1205" s="11" t="s">
        <v>108</v>
      </c>
      <c r="B1205" s="25" t="s">
        <v>12</v>
      </c>
      <c r="C1205" s="26" t="s">
        <v>65</v>
      </c>
      <c r="D1205" s="26" t="s">
        <v>37</v>
      </c>
      <c r="E1205" s="26" t="s">
        <v>506</v>
      </c>
      <c r="F1205" s="26" t="s">
        <v>116</v>
      </c>
      <c r="G1205" s="27">
        <f>G1206</f>
        <v>158920</v>
      </c>
      <c r="H1205" s="27">
        <f t="shared" ref="H1205:I1205" si="843">H1206</f>
        <v>158920</v>
      </c>
      <c r="I1205" s="27">
        <f t="shared" si="843"/>
        <v>158920</v>
      </c>
      <c r="J1205" s="16">
        <f>'БА в тыс. руб.'!G1205*1000</f>
        <v>158920</v>
      </c>
      <c r="K1205" s="169">
        <f t="shared" si="807"/>
        <v>0</v>
      </c>
      <c r="L1205" s="16">
        <f>'БА в тыс. руб.'!H1205*1000</f>
        <v>158920</v>
      </c>
      <c r="M1205" s="169">
        <f t="shared" si="808"/>
        <v>0</v>
      </c>
      <c r="N1205" s="16">
        <f>'БА в тыс. руб.'!I1205*1000</f>
        <v>158920</v>
      </c>
      <c r="O1205" s="169">
        <f t="shared" si="809"/>
        <v>0</v>
      </c>
      <c r="P1205" s="16"/>
      <c r="Q1205" s="16"/>
      <c r="R1205" s="16"/>
      <c r="S1205" s="16"/>
      <c r="T1205" s="16"/>
      <c r="U1205" s="16"/>
    </row>
    <row r="1206" spans="1:21" s="4" customFormat="1" ht="25.5">
      <c r="A1206" s="12" t="s">
        <v>973</v>
      </c>
      <c r="B1206" s="25" t="s">
        <v>12</v>
      </c>
      <c r="C1206" s="26" t="s">
        <v>65</v>
      </c>
      <c r="D1206" s="26" t="s">
        <v>37</v>
      </c>
      <c r="E1206" s="26" t="s">
        <v>506</v>
      </c>
      <c r="F1206" s="26" t="s">
        <v>1043</v>
      </c>
      <c r="G1206" s="27">
        <f t="shared" ref="G1206" si="844">J1206</f>
        <v>158920</v>
      </c>
      <c r="H1206" s="27">
        <f>L1206</f>
        <v>158920</v>
      </c>
      <c r="I1206" s="27">
        <f>N1206</f>
        <v>158920</v>
      </c>
      <c r="J1206" s="16">
        <f>'БА в тыс. руб.'!G1206*1000</f>
        <v>158920</v>
      </c>
      <c r="K1206" s="169">
        <f t="shared" si="807"/>
        <v>0</v>
      </c>
      <c r="L1206" s="16">
        <f>'БА в тыс. руб.'!H1206*1000</f>
        <v>158920</v>
      </c>
      <c r="M1206" s="169">
        <f t="shared" si="808"/>
        <v>0</v>
      </c>
      <c r="N1206" s="16">
        <f>'БА в тыс. руб.'!I1206*1000</f>
        <v>158920</v>
      </c>
      <c r="O1206" s="169">
        <f t="shared" si="809"/>
        <v>0</v>
      </c>
      <c r="P1206" s="16"/>
      <c r="Q1206" s="16"/>
      <c r="R1206" s="16"/>
      <c r="S1206" s="16"/>
      <c r="T1206" s="16"/>
      <c r="U1206" s="16"/>
    </row>
    <row r="1207" spans="1:21" s="3" customFormat="1" ht="51">
      <c r="A1207" s="34" t="s">
        <v>870</v>
      </c>
      <c r="B1207" s="25" t="str">
        <f t="shared" ref="B1207:D1209" si="845">B1196</f>
        <v>618</v>
      </c>
      <c r="C1207" s="26" t="str">
        <f t="shared" si="845"/>
        <v>01</v>
      </c>
      <c r="D1207" s="26" t="str">
        <f t="shared" si="845"/>
        <v>04</v>
      </c>
      <c r="E1207" s="26" t="s">
        <v>507</v>
      </c>
      <c r="F1207" s="26" t="s">
        <v>58</v>
      </c>
      <c r="G1207" s="27">
        <f>G1208</f>
        <v>51740</v>
      </c>
      <c r="H1207" s="27">
        <f>H1208</f>
        <v>51740</v>
      </c>
      <c r="I1207" s="27">
        <f>I1208</f>
        <v>51740</v>
      </c>
      <c r="J1207" s="16">
        <f>'БА в тыс. руб.'!G1207*1000</f>
        <v>51740</v>
      </c>
      <c r="K1207" s="169">
        <f t="shared" si="807"/>
        <v>0</v>
      </c>
      <c r="L1207" s="16">
        <f>'БА в тыс. руб.'!H1207*1000</f>
        <v>51740</v>
      </c>
      <c r="M1207" s="169">
        <f t="shared" si="808"/>
        <v>0</v>
      </c>
      <c r="N1207" s="16">
        <f>'БА в тыс. руб.'!I1207*1000</f>
        <v>51740</v>
      </c>
      <c r="O1207" s="169">
        <f t="shared" si="809"/>
        <v>0</v>
      </c>
      <c r="P1207" s="16"/>
      <c r="Q1207" s="16"/>
      <c r="R1207" s="16"/>
      <c r="S1207" s="16"/>
      <c r="T1207" s="16"/>
      <c r="U1207" s="16"/>
    </row>
    <row r="1208" spans="1:21" s="3" customFormat="1" ht="25.5">
      <c r="A1208" s="11" t="s">
        <v>108</v>
      </c>
      <c r="B1208" s="25" t="str">
        <f t="shared" si="845"/>
        <v>618</v>
      </c>
      <c r="C1208" s="26" t="str">
        <f t="shared" si="845"/>
        <v>01</v>
      </c>
      <c r="D1208" s="26" t="str">
        <f t="shared" si="845"/>
        <v>04</v>
      </c>
      <c r="E1208" s="26" t="s">
        <v>507</v>
      </c>
      <c r="F1208" s="26" t="s">
        <v>116</v>
      </c>
      <c r="G1208" s="27">
        <f>G1209</f>
        <v>51740</v>
      </c>
      <c r="H1208" s="27">
        <f t="shared" ref="H1208:I1208" si="846">H1209</f>
        <v>51740</v>
      </c>
      <c r="I1208" s="27">
        <f t="shared" si="846"/>
        <v>51740</v>
      </c>
      <c r="J1208" s="16">
        <f>'БА в тыс. руб.'!G1208*1000</f>
        <v>51740</v>
      </c>
      <c r="K1208" s="169">
        <f t="shared" si="807"/>
        <v>0</v>
      </c>
      <c r="L1208" s="16">
        <f>'БА в тыс. руб.'!H1208*1000</f>
        <v>51740</v>
      </c>
      <c r="M1208" s="169">
        <f t="shared" si="808"/>
        <v>0</v>
      </c>
      <c r="N1208" s="16">
        <f>'БА в тыс. руб.'!I1208*1000</f>
        <v>51740</v>
      </c>
      <c r="O1208" s="169">
        <f t="shared" si="809"/>
        <v>0</v>
      </c>
      <c r="P1208" s="16"/>
      <c r="Q1208" s="16"/>
      <c r="R1208" s="16"/>
      <c r="S1208" s="16"/>
      <c r="T1208" s="16"/>
      <c r="U1208" s="16"/>
    </row>
    <row r="1209" spans="1:21" s="4" customFormat="1" ht="25.5">
      <c r="A1209" s="12" t="s">
        <v>973</v>
      </c>
      <c r="B1209" s="25" t="str">
        <f t="shared" si="845"/>
        <v>618</v>
      </c>
      <c r="C1209" s="26" t="str">
        <f t="shared" si="845"/>
        <v>01</v>
      </c>
      <c r="D1209" s="26" t="str">
        <f t="shared" si="845"/>
        <v>04</v>
      </c>
      <c r="E1209" s="26" t="s">
        <v>507</v>
      </c>
      <c r="F1209" s="26" t="s">
        <v>1043</v>
      </c>
      <c r="G1209" s="27">
        <f t="shared" ref="G1209" si="847">J1209</f>
        <v>51740</v>
      </c>
      <c r="H1209" s="27">
        <f>L1209</f>
        <v>51740</v>
      </c>
      <c r="I1209" s="27">
        <f>N1209</f>
        <v>51740</v>
      </c>
      <c r="J1209" s="16">
        <f>'БА в тыс. руб.'!G1209*1000</f>
        <v>51740</v>
      </c>
      <c r="K1209" s="169">
        <f t="shared" si="807"/>
        <v>0</v>
      </c>
      <c r="L1209" s="16">
        <f>'БА в тыс. руб.'!H1209*1000</f>
        <v>51740</v>
      </c>
      <c r="M1209" s="169">
        <f t="shared" si="808"/>
        <v>0</v>
      </c>
      <c r="N1209" s="16">
        <f>'БА в тыс. руб.'!I1209*1000</f>
        <v>51740</v>
      </c>
      <c r="O1209" s="169">
        <f t="shared" si="809"/>
        <v>0</v>
      </c>
      <c r="P1209" s="16"/>
      <c r="Q1209" s="16"/>
      <c r="R1209" s="16"/>
      <c r="S1209" s="16"/>
      <c r="T1209" s="16"/>
      <c r="U1209" s="16"/>
    </row>
    <row r="1210" spans="1:21" s="3" customFormat="1">
      <c r="A1210" s="21" t="s">
        <v>38</v>
      </c>
      <c r="B1210" s="22" t="s">
        <v>12</v>
      </c>
      <c r="C1210" s="23" t="s">
        <v>65</v>
      </c>
      <c r="D1210" s="23" t="s">
        <v>84</v>
      </c>
      <c r="E1210" s="23" t="s">
        <v>196</v>
      </c>
      <c r="F1210" s="23" t="s">
        <v>58</v>
      </c>
      <c r="G1210" s="24">
        <f>G1211</f>
        <v>354300</v>
      </c>
      <c r="H1210" s="24">
        <f t="shared" ref="H1210:I1210" si="848">H1211</f>
        <v>357850</v>
      </c>
      <c r="I1210" s="24">
        <f t="shared" si="848"/>
        <v>357850</v>
      </c>
      <c r="J1210" s="16">
        <f>'БА в тыс. руб.'!G1210*1000</f>
        <v>354300</v>
      </c>
      <c r="K1210" s="169">
        <f t="shared" si="807"/>
        <v>0</v>
      </c>
      <c r="L1210" s="16">
        <f>'БА в тыс. руб.'!H1210*1000</f>
        <v>357850</v>
      </c>
      <c r="M1210" s="169">
        <f t="shared" si="808"/>
        <v>0</v>
      </c>
      <c r="N1210" s="16">
        <f>'БА в тыс. руб.'!I1210*1000</f>
        <v>357850</v>
      </c>
      <c r="O1210" s="169">
        <f t="shared" si="809"/>
        <v>0</v>
      </c>
      <c r="P1210" s="16"/>
      <c r="Q1210" s="16"/>
      <c r="R1210" s="16"/>
      <c r="S1210" s="16"/>
      <c r="T1210" s="16"/>
      <c r="U1210" s="16"/>
    </row>
    <row r="1211" spans="1:21" s="3" customFormat="1" ht="38.25">
      <c r="A1211" s="13" t="s">
        <v>745</v>
      </c>
      <c r="B1211" s="25" t="s">
        <v>12</v>
      </c>
      <c r="C1211" s="26" t="s">
        <v>65</v>
      </c>
      <c r="D1211" s="26" t="s">
        <v>84</v>
      </c>
      <c r="E1211" s="26" t="s">
        <v>280</v>
      </c>
      <c r="F1211" s="26" t="s">
        <v>58</v>
      </c>
      <c r="G1211" s="27">
        <f t="shared" ref="G1211:I1215" si="849">G1212</f>
        <v>354300</v>
      </c>
      <c r="H1211" s="27">
        <f t="shared" si="849"/>
        <v>357850</v>
      </c>
      <c r="I1211" s="27">
        <f t="shared" si="849"/>
        <v>357850</v>
      </c>
      <c r="J1211" s="16">
        <f>'БА в тыс. руб.'!G1211*1000</f>
        <v>354300</v>
      </c>
      <c r="K1211" s="169">
        <f t="shared" si="807"/>
        <v>0</v>
      </c>
      <c r="L1211" s="16">
        <f>'БА в тыс. руб.'!H1211*1000</f>
        <v>357850</v>
      </c>
      <c r="M1211" s="169">
        <f t="shared" si="808"/>
        <v>0</v>
      </c>
      <c r="N1211" s="16">
        <f>'БА в тыс. руб.'!I1211*1000</f>
        <v>357850</v>
      </c>
      <c r="O1211" s="169">
        <f t="shared" si="809"/>
        <v>0</v>
      </c>
      <c r="P1211" s="16"/>
      <c r="Q1211" s="16"/>
      <c r="R1211" s="16"/>
      <c r="S1211" s="16"/>
      <c r="T1211" s="16"/>
      <c r="U1211" s="16"/>
    </row>
    <row r="1212" spans="1:21" s="3" customFormat="1" ht="51">
      <c r="A1212" s="13" t="s">
        <v>746</v>
      </c>
      <c r="B1212" s="25" t="s">
        <v>12</v>
      </c>
      <c r="C1212" s="26" t="s">
        <v>65</v>
      </c>
      <c r="D1212" s="26" t="s">
        <v>84</v>
      </c>
      <c r="E1212" s="26" t="s">
        <v>281</v>
      </c>
      <c r="F1212" s="26" t="s">
        <v>58</v>
      </c>
      <c r="G1212" s="27">
        <f t="shared" si="849"/>
        <v>354300</v>
      </c>
      <c r="H1212" s="27">
        <f t="shared" si="849"/>
        <v>357850</v>
      </c>
      <c r="I1212" s="27">
        <f t="shared" si="849"/>
        <v>357850</v>
      </c>
      <c r="J1212" s="16">
        <f>'БА в тыс. руб.'!G1212*1000</f>
        <v>354300</v>
      </c>
      <c r="K1212" s="169">
        <f t="shared" si="807"/>
        <v>0</v>
      </c>
      <c r="L1212" s="16">
        <f>'БА в тыс. руб.'!H1212*1000</f>
        <v>357850</v>
      </c>
      <c r="M1212" s="169">
        <f t="shared" si="808"/>
        <v>0</v>
      </c>
      <c r="N1212" s="16">
        <f>'БА в тыс. руб.'!I1212*1000</f>
        <v>357850</v>
      </c>
      <c r="O1212" s="169">
        <f t="shared" si="809"/>
        <v>0</v>
      </c>
      <c r="P1212" s="16"/>
      <c r="Q1212" s="16"/>
      <c r="R1212" s="16"/>
      <c r="S1212" s="16"/>
      <c r="T1212" s="16"/>
      <c r="U1212" s="16"/>
    </row>
    <row r="1213" spans="1:21" s="3" customFormat="1" ht="38.25">
      <c r="A1213" s="140" t="s">
        <v>282</v>
      </c>
      <c r="B1213" s="141" t="s">
        <v>12</v>
      </c>
      <c r="C1213" s="26" t="s">
        <v>65</v>
      </c>
      <c r="D1213" s="26" t="s">
        <v>84</v>
      </c>
      <c r="E1213" s="26" t="s">
        <v>283</v>
      </c>
      <c r="F1213" s="26" t="s">
        <v>58</v>
      </c>
      <c r="G1213" s="27">
        <f t="shared" si="849"/>
        <v>354300</v>
      </c>
      <c r="H1213" s="27">
        <f t="shared" si="849"/>
        <v>357850</v>
      </c>
      <c r="I1213" s="27">
        <f t="shared" si="849"/>
        <v>357850</v>
      </c>
      <c r="J1213" s="16">
        <f>'БА в тыс. руб.'!G1213*1000</f>
        <v>354300</v>
      </c>
      <c r="K1213" s="169">
        <f t="shared" si="807"/>
        <v>0</v>
      </c>
      <c r="L1213" s="16">
        <f>'БА в тыс. руб.'!H1213*1000</f>
        <v>357850</v>
      </c>
      <c r="M1213" s="169">
        <f t="shared" si="808"/>
        <v>0</v>
      </c>
      <c r="N1213" s="16">
        <f>'БА в тыс. руб.'!I1213*1000</f>
        <v>357850</v>
      </c>
      <c r="O1213" s="169">
        <f t="shared" si="809"/>
        <v>0</v>
      </c>
      <c r="P1213" s="16"/>
      <c r="Q1213" s="16"/>
      <c r="R1213" s="16"/>
      <c r="S1213" s="16"/>
      <c r="T1213" s="16"/>
      <c r="U1213" s="16"/>
    </row>
    <row r="1214" spans="1:21" s="3" customFormat="1" ht="25.5">
      <c r="A1214" s="11" t="s">
        <v>167</v>
      </c>
      <c r="B1214" s="25" t="s">
        <v>12</v>
      </c>
      <c r="C1214" s="26" t="s">
        <v>65</v>
      </c>
      <c r="D1214" s="26" t="s">
        <v>84</v>
      </c>
      <c r="E1214" s="26" t="s">
        <v>491</v>
      </c>
      <c r="F1214" s="26" t="s">
        <v>58</v>
      </c>
      <c r="G1214" s="27">
        <f t="shared" si="849"/>
        <v>354300</v>
      </c>
      <c r="H1214" s="27">
        <f t="shared" si="849"/>
        <v>357850</v>
      </c>
      <c r="I1214" s="27">
        <f t="shared" si="849"/>
        <v>357850</v>
      </c>
      <c r="J1214" s="16">
        <f>'БА в тыс. руб.'!G1214*1000</f>
        <v>354300</v>
      </c>
      <c r="K1214" s="169">
        <f t="shared" si="807"/>
        <v>0</v>
      </c>
      <c r="L1214" s="16">
        <f>'БА в тыс. руб.'!H1214*1000</f>
        <v>357850</v>
      </c>
      <c r="M1214" s="169">
        <f t="shared" si="808"/>
        <v>0</v>
      </c>
      <c r="N1214" s="16">
        <f>'БА в тыс. руб.'!I1214*1000</f>
        <v>357850</v>
      </c>
      <c r="O1214" s="169">
        <f t="shared" si="809"/>
        <v>0</v>
      </c>
      <c r="P1214" s="16"/>
      <c r="Q1214" s="16"/>
      <c r="R1214" s="16"/>
      <c r="S1214" s="16"/>
      <c r="T1214" s="16"/>
      <c r="U1214" s="16"/>
    </row>
    <row r="1215" spans="1:21" s="3" customFormat="1" ht="25.5">
      <c r="A1215" s="11" t="s">
        <v>108</v>
      </c>
      <c r="B1215" s="25" t="s">
        <v>12</v>
      </c>
      <c r="C1215" s="26" t="s">
        <v>65</v>
      </c>
      <c r="D1215" s="26" t="s">
        <v>84</v>
      </c>
      <c r="E1215" s="26" t="s">
        <v>491</v>
      </c>
      <c r="F1215" s="26" t="s">
        <v>116</v>
      </c>
      <c r="G1215" s="27">
        <f>G1216</f>
        <v>354300</v>
      </c>
      <c r="H1215" s="27">
        <f t="shared" si="849"/>
        <v>357850</v>
      </c>
      <c r="I1215" s="27">
        <f t="shared" si="849"/>
        <v>357850</v>
      </c>
      <c r="J1215" s="16">
        <f>'БА в тыс. руб.'!G1215*1000</f>
        <v>354300</v>
      </c>
      <c r="K1215" s="169">
        <f t="shared" si="807"/>
        <v>0</v>
      </c>
      <c r="L1215" s="16">
        <f>'БА в тыс. руб.'!H1215*1000</f>
        <v>357850</v>
      </c>
      <c r="M1215" s="169">
        <f t="shared" si="808"/>
        <v>0</v>
      </c>
      <c r="N1215" s="16">
        <f>'БА в тыс. руб.'!I1215*1000</f>
        <v>357850</v>
      </c>
      <c r="O1215" s="169">
        <f t="shared" si="809"/>
        <v>0</v>
      </c>
      <c r="P1215" s="16"/>
      <c r="Q1215" s="16"/>
      <c r="R1215" s="16"/>
      <c r="S1215" s="16"/>
      <c r="T1215" s="16"/>
      <c r="U1215" s="16"/>
    </row>
    <row r="1216" spans="1:21" s="4" customFormat="1" ht="25.5">
      <c r="A1216" s="12" t="s">
        <v>973</v>
      </c>
      <c r="B1216" s="25" t="s">
        <v>12</v>
      </c>
      <c r="C1216" s="26" t="s">
        <v>65</v>
      </c>
      <c r="D1216" s="26" t="s">
        <v>84</v>
      </c>
      <c r="E1216" s="26" t="s">
        <v>491</v>
      </c>
      <c r="F1216" s="26" t="s">
        <v>1043</v>
      </c>
      <c r="G1216" s="27">
        <f t="shared" ref="G1216" si="850">J1216</f>
        <v>354300</v>
      </c>
      <c r="H1216" s="27">
        <f>L1216</f>
        <v>357850</v>
      </c>
      <c r="I1216" s="27">
        <f>N1216</f>
        <v>357850</v>
      </c>
      <c r="J1216" s="16">
        <f>'БА в тыс. руб.'!G1216*1000</f>
        <v>354300</v>
      </c>
      <c r="K1216" s="169">
        <f t="shared" si="807"/>
        <v>0</v>
      </c>
      <c r="L1216" s="16">
        <f>'БА в тыс. руб.'!H1216*1000</f>
        <v>357850</v>
      </c>
      <c r="M1216" s="169">
        <f t="shared" si="808"/>
        <v>0</v>
      </c>
      <c r="N1216" s="16">
        <f>'БА в тыс. руб.'!I1216*1000</f>
        <v>357850</v>
      </c>
      <c r="O1216" s="169">
        <f t="shared" si="809"/>
        <v>0</v>
      </c>
      <c r="P1216" s="16"/>
      <c r="Q1216" s="16"/>
      <c r="R1216" s="16"/>
      <c r="S1216" s="16"/>
      <c r="T1216" s="16"/>
      <c r="U1216" s="16"/>
    </row>
    <row r="1217" spans="1:21" s="3" customFormat="1">
      <c r="A1217" s="17" t="s">
        <v>35</v>
      </c>
      <c r="B1217" s="18" t="s">
        <v>12</v>
      </c>
      <c r="C1217" s="19" t="s">
        <v>37</v>
      </c>
      <c r="D1217" s="19" t="s">
        <v>51</v>
      </c>
      <c r="E1217" s="19" t="s">
        <v>196</v>
      </c>
      <c r="F1217" s="19" t="s">
        <v>58</v>
      </c>
      <c r="G1217" s="20">
        <f t="shared" ref="G1217:I1220" si="851">G1218</f>
        <v>55609450</v>
      </c>
      <c r="H1217" s="20">
        <f t="shared" si="851"/>
        <v>49975940</v>
      </c>
      <c r="I1217" s="20">
        <f t="shared" si="851"/>
        <v>49975940</v>
      </c>
      <c r="J1217" s="16">
        <f>'БА в тыс. руб.'!G1217*1000</f>
        <v>55609450</v>
      </c>
      <c r="K1217" s="169">
        <f t="shared" si="807"/>
        <v>0</v>
      </c>
      <c r="L1217" s="16">
        <f>'БА в тыс. руб.'!H1217*1000</f>
        <v>49975940</v>
      </c>
      <c r="M1217" s="169">
        <f t="shared" si="808"/>
        <v>0</v>
      </c>
      <c r="N1217" s="16">
        <f>'БА в тыс. руб.'!I1217*1000</f>
        <v>49975940</v>
      </c>
      <c r="O1217" s="169">
        <f t="shared" si="809"/>
        <v>0</v>
      </c>
      <c r="P1217" s="16"/>
      <c r="Q1217" s="16"/>
      <c r="R1217" s="16"/>
      <c r="S1217" s="16"/>
      <c r="T1217" s="16"/>
      <c r="U1217" s="16"/>
    </row>
    <row r="1218" spans="1:21" s="3" customFormat="1">
      <c r="A1218" s="21" t="s">
        <v>88</v>
      </c>
      <c r="B1218" s="22" t="s">
        <v>12</v>
      </c>
      <c r="C1218" s="23" t="s">
        <v>37</v>
      </c>
      <c r="D1218" s="23" t="s">
        <v>25</v>
      </c>
      <c r="E1218" s="23" t="s">
        <v>196</v>
      </c>
      <c r="F1218" s="23" t="s">
        <v>58</v>
      </c>
      <c r="G1218" s="24">
        <f t="shared" si="851"/>
        <v>55609450</v>
      </c>
      <c r="H1218" s="24">
        <f t="shared" si="851"/>
        <v>49975940</v>
      </c>
      <c r="I1218" s="24">
        <f t="shared" si="851"/>
        <v>49975940</v>
      </c>
      <c r="J1218" s="16">
        <f>'БА в тыс. руб.'!G1218*1000</f>
        <v>55609450</v>
      </c>
      <c r="K1218" s="169">
        <f t="shared" si="807"/>
        <v>0</v>
      </c>
      <c r="L1218" s="16">
        <f>'БА в тыс. руб.'!H1218*1000</f>
        <v>49975940</v>
      </c>
      <c r="M1218" s="169">
        <f t="shared" si="808"/>
        <v>0</v>
      </c>
      <c r="N1218" s="16">
        <f>'БА в тыс. руб.'!I1218*1000</f>
        <v>49975940</v>
      </c>
      <c r="O1218" s="169">
        <f t="shared" si="809"/>
        <v>0</v>
      </c>
      <c r="P1218" s="16"/>
      <c r="Q1218" s="16"/>
      <c r="R1218" s="16"/>
      <c r="S1218" s="16"/>
      <c r="T1218" s="16"/>
      <c r="U1218" s="16"/>
    </row>
    <row r="1219" spans="1:21" s="3" customFormat="1" ht="38.25">
      <c r="A1219" s="12" t="s">
        <v>722</v>
      </c>
      <c r="B1219" s="25" t="s">
        <v>12</v>
      </c>
      <c r="C1219" s="26" t="s">
        <v>37</v>
      </c>
      <c r="D1219" s="26" t="s">
        <v>25</v>
      </c>
      <c r="E1219" s="26" t="s">
        <v>300</v>
      </c>
      <c r="F1219" s="26" t="s">
        <v>58</v>
      </c>
      <c r="G1219" s="27">
        <f t="shared" si="851"/>
        <v>55609450</v>
      </c>
      <c r="H1219" s="27">
        <f t="shared" si="851"/>
        <v>49975940</v>
      </c>
      <c r="I1219" s="27">
        <f t="shared" si="851"/>
        <v>49975940</v>
      </c>
      <c r="J1219" s="16">
        <f>'БА в тыс. руб.'!G1219*1000</f>
        <v>55609450</v>
      </c>
      <c r="K1219" s="169">
        <f t="shared" si="807"/>
        <v>0</v>
      </c>
      <c r="L1219" s="16">
        <f>'БА в тыс. руб.'!H1219*1000</f>
        <v>49975940</v>
      </c>
      <c r="M1219" s="169">
        <f t="shared" si="808"/>
        <v>0</v>
      </c>
      <c r="N1219" s="16">
        <f>'БА в тыс. руб.'!I1219*1000</f>
        <v>49975940</v>
      </c>
      <c r="O1219" s="169">
        <f t="shared" si="809"/>
        <v>0</v>
      </c>
      <c r="P1219" s="16"/>
      <c r="Q1219" s="16"/>
      <c r="R1219" s="16"/>
      <c r="S1219" s="16"/>
      <c r="T1219" s="16"/>
      <c r="U1219" s="16"/>
    </row>
    <row r="1220" spans="1:21" s="3" customFormat="1" ht="38.25">
      <c r="A1220" s="40" t="s">
        <v>729</v>
      </c>
      <c r="B1220" s="142" t="s">
        <v>12</v>
      </c>
      <c r="C1220" s="26" t="s">
        <v>37</v>
      </c>
      <c r="D1220" s="26" t="s">
        <v>25</v>
      </c>
      <c r="E1220" s="26" t="s">
        <v>301</v>
      </c>
      <c r="F1220" s="26" t="s">
        <v>58</v>
      </c>
      <c r="G1220" s="27">
        <f t="shared" si="851"/>
        <v>55609450</v>
      </c>
      <c r="H1220" s="27">
        <f t="shared" si="851"/>
        <v>49975940</v>
      </c>
      <c r="I1220" s="27">
        <f t="shared" si="851"/>
        <v>49975940</v>
      </c>
      <c r="J1220" s="16">
        <f>'БА в тыс. руб.'!G1220*1000</f>
        <v>55609450</v>
      </c>
      <c r="K1220" s="169">
        <f t="shared" si="807"/>
        <v>0</v>
      </c>
      <c r="L1220" s="16">
        <f>'БА в тыс. руб.'!H1220*1000</f>
        <v>49975940</v>
      </c>
      <c r="M1220" s="169">
        <f t="shared" si="808"/>
        <v>0</v>
      </c>
      <c r="N1220" s="16">
        <f>'БА в тыс. руб.'!I1220*1000</f>
        <v>49975940</v>
      </c>
      <c r="O1220" s="169">
        <f t="shared" si="809"/>
        <v>0</v>
      </c>
      <c r="P1220" s="16"/>
      <c r="Q1220" s="16"/>
      <c r="R1220" s="16"/>
      <c r="S1220" s="16"/>
      <c r="T1220" s="16"/>
      <c r="U1220" s="16"/>
    </row>
    <row r="1221" spans="1:21" s="3" customFormat="1" ht="38.25">
      <c r="A1221" s="40" t="s">
        <v>644</v>
      </c>
      <c r="B1221" s="25" t="s">
        <v>12</v>
      </c>
      <c r="C1221" s="26" t="s">
        <v>37</v>
      </c>
      <c r="D1221" s="26" t="s">
        <v>25</v>
      </c>
      <c r="E1221" s="26" t="s">
        <v>302</v>
      </c>
      <c r="F1221" s="26" t="s">
        <v>58</v>
      </c>
      <c r="G1221" s="27">
        <f>G1228+G1222+G1225</f>
        <v>55609450</v>
      </c>
      <c r="H1221" s="27">
        <f>H1228+H1222+H1225</f>
        <v>49975940</v>
      </c>
      <c r="I1221" s="27">
        <f>I1228+I1222+I1225</f>
        <v>49975940</v>
      </c>
      <c r="J1221" s="16">
        <f>'БА в тыс. руб.'!G1221*1000</f>
        <v>55609450</v>
      </c>
      <c r="K1221" s="169">
        <f t="shared" si="807"/>
        <v>0</v>
      </c>
      <c r="L1221" s="16">
        <f>'БА в тыс. руб.'!H1221*1000</f>
        <v>49975940</v>
      </c>
      <c r="M1221" s="169">
        <f t="shared" si="808"/>
        <v>0</v>
      </c>
      <c r="N1221" s="16">
        <f>'БА в тыс. руб.'!I1221*1000</f>
        <v>49975940</v>
      </c>
      <c r="O1221" s="169">
        <f t="shared" si="809"/>
        <v>0</v>
      </c>
      <c r="P1221" s="16"/>
      <c r="Q1221" s="16"/>
      <c r="R1221" s="16"/>
      <c r="S1221" s="16"/>
      <c r="T1221" s="16"/>
      <c r="U1221" s="16"/>
    </row>
    <row r="1222" spans="1:21" s="3" customFormat="1" ht="25.5">
      <c r="A1222" s="12" t="s">
        <v>493</v>
      </c>
      <c r="B1222" s="25" t="s">
        <v>12</v>
      </c>
      <c r="C1222" s="26" t="s">
        <v>37</v>
      </c>
      <c r="D1222" s="26" t="s">
        <v>25</v>
      </c>
      <c r="E1222" s="26" t="s">
        <v>494</v>
      </c>
      <c r="F1222" s="26" t="s">
        <v>58</v>
      </c>
      <c r="G1222" s="27">
        <f>G1223</f>
        <v>11400000</v>
      </c>
      <c r="H1222" s="27">
        <f>H1223</f>
        <v>10087430</v>
      </c>
      <c r="I1222" s="27">
        <f>I1223</f>
        <v>10087430</v>
      </c>
      <c r="J1222" s="16">
        <f>'БА в тыс. руб.'!G1222*1000</f>
        <v>11400000</v>
      </c>
      <c r="K1222" s="169">
        <f t="shared" si="807"/>
        <v>0</v>
      </c>
      <c r="L1222" s="16">
        <f>'БА в тыс. руб.'!H1222*1000</f>
        <v>10087430</v>
      </c>
      <c r="M1222" s="169">
        <f t="shared" si="808"/>
        <v>0</v>
      </c>
      <c r="N1222" s="16">
        <f>'БА в тыс. руб.'!I1222*1000</f>
        <v>10087430</v>
      </c>
      <c r="O1222" s="169">
        <f t="shared" si="809"/>
        <v>0</v>
      </c>
      <c r="P1222" s="16"/>
      <c r="Q1222" s="16"/>
      <c r="R1222" s="16"/>
      <c r="S1222" s="16"/>
      <c r="T1222" s="16"/>
      <c r="U1222" s="16"/>
    </row>
    <row r="1223" spans="1:21" s="3" customFormat="1" ht="25.5">
      <c r="A1223" s="11" t="s">
        <v>108</v>
      </c>
      <c r="B1223" s="25" t="s">
        <v>12</v>
      </c>
      <c r="C1223" s="26" t="s">
        <v>37</v>
      </c>
      <c r="D1223" s="26" t="s">
        <v>25</v>
      </c>
      <c r="E1223" s="26" t="s">
        <v>494</v>
      </c>
      <c r="F1223" s="26" t="s">
        <v>116</v>
      </c>
      <c r="G1223" s="27">
        <f>G1224</f>
        <v>11400000</v>
      </c>
      <c r="H1223" s="27">
        <f t="shared" ref="H1223:I1223" si="852">H1224</f>
        <v>10087430</v>
      </c>
      <c r="I1223" s="27">
        <f t="shared" si="852"/>
        <v>10087430</v>
      </c>
      <c r="J1223" s="16">
        <f>'БА в тыс. руб.'!G1223*1000</f>
        <v>11400000</v>
      </c>
      <c r="K1223" s="169">
        <f t="shared" si="807"/>
        <v>0</v>
      </c>
      <c r="L1223" s="16">
        <f>'БА в тыс. руб.'!H1223*1000</f>
        <v>10087430</v>
      </c>
      <c r="M1223" s="169">
        <f t="shared" si="808"/>
        <v>0</v>
      </c>
      <c r="N1223" s="16">
        <f>'БА в тыс. руб.'!I1223*1000</f>
        <v>10087430</v>
      </c>
      <c r="O1223" s="169">
        <f t="shared" si="809"/>
        <v>0</v>
      </c>
      <c r="P1223" s="16"/>
      <c r="Q1223" s="16"/>
      <c r="R1223" s="16"/>
      <c r="S1223" s="16"/>
      <c r="T1223" s="16"/>
      <c r="U1223" s="16"/>
    </row>
    <row r="1224" spans="1:21" s="4" customFormat="1" ht="25.5">
      <c r="A1224" s="12" t="s">
        <v>973</v>
      </c>
      <c r="B1224" s="25" t="s">
        <v>12</v>
      </c>
      <c r="C1224" s="26" t="s">
        <v>37</v>
      </c>
      <c r="D1224" s="26" t="s">
        <v>25</v>
      </c>
      <c r="E1224" s="26" t="s">
        <v>494</v>
      </c>
      <c r="F1224" s="26" t="s">
        <v>1043</v>
      </c>
      <c r="G1224" s="27">
        <f t="shared" ref="G1224" si="853">J1224</f>
        <v>11400000</v>
      </c>
      <c r="H1224" s="27">
        <f>L1224</f>
        <v>10087430</v>
      </c>
      <c r="I1224" s="27">
        <f>N1224</f>
        <v>10087430</v>
      </c>
      <c r="J1224" s="16">
        <f>'БА в тыс. руб.'!G1224*1000</f>
        <v>11400000</v>
      </c>
      <c r="K1224" s="169">
        <f t="shared" si="807"/>
        <v>0</v>
      </c>
      <c r="L1224" s="16">
        <f>'БА в тыс. руб.'!H1224*1000</f>
        <v>10087430</v>
      </c>
      <c r="M1224" s="169">
        <f t="shared" si="808"/>
        <v>0</v>
      </c>
      <c r="N1224" s="16">
        <f>'БА в тыс. руб.'!I1224*1000</f>
        <v>10087430</v>
      </c>
      <c r="O1224" s="169">
        <f t="shared" si="809"/>
        <v>0</v>
      </c>
      <c r="P1224" s="16"/>
      <c r="Q1224" s="16"/>
      <c r="R1224" s="16"/>
      <c r="S1224" s="16"/>
      <c r="T1224" s="16"/>
      <c r="U1224" s="16"/>
    </row>
    <row r="1225" spans="1:21" s="3" customFormat="1" ht="63.75">
      <c r="A1225" s="11" t="s">
        <v>889</v>
      </c>
      <c r="B1225" s="25" t="s">
        <v>12</v>
      </c>
      <c r="C1225" s="26" t="s">
        <v>37</v>
      </c>
      <c r="D1225" s="26" t="s">
        <v>25</v>
      </c>
      <c r="E1225" s="26" t="s">
        <v>834</v>
      </c>
      <c r="F1225" s="26" t="s">
        <v>58</v>
      </c>
      <c r="G1225" s="27">
        <f>G1226</f>
        <v>11412000</v>
      </c>
      <c r="H1225" s="27">
        <f t="shared" ref="H1225:I1226" si="854">H1226</f>
        <v>0</v>
      </c>
      <c r="I1225" s="27">
        <f t="shared" si="854"/>
        <v>0</v>
      </c>
      <c r="J1225" s="16">
        <f>'БА в тыс. руб.'!G1225*1000</f>
        <v>11412000</v>
      </c>
      <c r="K1225" s="169">
        <f t="shared" ref="K1225:K1289" si="855">J1225-G1225</f>
        <v>0</v>
      </c>
      <c r="L1225" s="16">
        <f>'БА в тыс. руб.'!H1225*1000</f>
        <v>0</v>
      </c>
      <c r="M1225" s="169">
        <f t="shared" ref="M1225:M1289" si="856">L1225-H1225</f>
        <v>0</v>
      </c>
      <c r="N1225" s="16">
        <f>'БА в тыс. руб.'!I1225*1000</f>
        <v>0</v>
      </c>
      <c r="O1225" s="169">
        <f t="shared" ref="O1225:O1289" si="857">N1225-I1225</f>
        <v>0</v>
      </c>
      <c r="P1225" s="16"/>
      <c r="Q1225" s="16"/>
      <c r="R1225" s="16"/>
      <c r="S1225" s="16"/>
      <c r="T1225" s="16"/>
      <c r="U1225" s="16"/>
    </row>
    <row r="1226" spans="1:21" s="3" customFormat="1" ht="25.5">
      <c r="A1226" s="11" t="s">
        <v>108</v>
      </c>
      <c r="B1226" s="25" t="s">
        <v>12</v>
      </c>
      <c r="C1226" s="26" t="s">
        <v>37</v>
      </c>
      <c r="D1226" s="26" t="s">
        <v>25</v>
      </c>
      <c r="E1226" s="26" t="s">
        <v>834</v>
      </c>
      <c r="F1226" s="26" t="s">
        <v>116</v>
      </c>
      <c r="G1226" s="27">
        <f>G1227</f>
        <v>11412000</v>
      </c>
      <c r="H1226" s="27">
        <f t="shared" si="854"/>
        <v>0</v>
      </c>
      <c r="I1226" s="27">
        <f t="shared" si="854"/>
        <v>0</v>
      </c>
      <c r="J1226" s="16">
        <f>'БА в тыс. руб.'!G1226*1000</f>
        <v>11412000</v>
      </c>
      <c r="K1226" s="169">
        <f t="shared" si="855"/>
        <v>0</v>
      </c>
      <c r="L1226" s="16">
        <f>'БА в тыс. руб.'!H1226*1000</f>
        <v>0</v>
      </c>
      <c r="M1226" s="169">
        <f t="shared" si="856"/>
        <v>0</v>
      </c>
      <c r="N1226" s="16">
        <f>'БА в тыс. руб.'!I1226*1000</f>
        <v>0</v>
      </c>
      <c r="O1226" s="169">
        <f t="shared" si="857"/>
        <v>0</v>
      </c>
      <c r="P1226" s="16"/>
      <c r="Q1226" s="16"/>
      <c r="R1226" s="16"/>
      <c r="S1226" s="16"/>
      <c r="T1226" s="16"/>
      <c r="U1226" s="16"/>
    </row>
    <row r="1227" spans="1:21" s="4" customFormat="1" ht="25.5">
      <c r="A1227" s="12" t="s">
        <v>973</v>
      </c>
      <c r="B1227" s="25" t="s">
        <v>12</v>
      </c>
      <c r="C1227" s="26" t="s">
        <v>37</v>
      </c>
      <c r="D1227" s="26" t="s">
        <v>25</v>
      </c>
      <c r="E1227" s="26" t="s">
        <v>834</v>
      </c>
      <c r="F1227" s="26" t="s">
        <v>1043</v>
      </c>
      <c r="G1227" s="27">
        <f t="shared" ref="G1227" si="858">J1227</f>
        <v>11412000</v>
      </c>
      <c r="H1227" s="27">
        <f>L1227</f>
        <v>0</v>
      </c>
      <c r="I1227" s="27">
        <f>N1227</f>
        <v>0</v>
      </c>
      <c r="J1227" s="16">
        <f>'БА в тыс. руб.'!G1227*1000</f>
        <v>11412000</v>
      </c>
      <c r="K1227" s="169">
        <f t="shared" si="855"/>
        <v>0</v>
      </c>
      <c r="L1227" s="16">
        <f>'БА в тыс. руб.'!H1227*1000</f>
        <v>0</v>
      </c>
      <c r="M1227" s="169">
        <f t="shared" si="856"/>
        <v>0</v>
      </c>
      <c r="N1227" s="16">
        <f>'БА в тыс. руб.'!I1227*1000</f>
        <v>0</v>
      </c>
      <c r="O1227" s="169">
        <f t="shared" si="857"/>
        <v>0</v>
      </c>
      <c r="P1227" s="16"/>
      <c r="Q1227" s="16"/>
      <c r="R1227" s="16"/>
      <c r="S1227" s="16"/>
      <c r="T1227" s="16"/>
      <c r="U1227" s="16"/>
    </row>
    <row r="1228" spans="1:21" s="3" customFormat="1" ht="25.5">
      <c r="A1228" s="11" t="s">
        <v>902</v>
      </c>
      <c r="B1228" s="25" t="s">
        <v>12</v>
      </c>
      <c r="C1228" s="26" t="s">
        <v>37</v>
      </c>
      <c r="D1228" s="26" t="s">
        <v>25</v>
      </c>
      <c r="E1228" s="26" t="s">
        <v>909</v>
      </c>
      <c r="F1228" s="26" t="s">
        <v>58</v>
      </c>
      <c r="G1228" s="27">
        <f>G1229</f>
        <v>32797449.999999996</v>
      </c>
      <c r="H1228" s="27">
        <f>H1229</f>
        <v>39888510</v>
      </c>
      <c r="I1228" s="27">
        <f>I1229</f>
        <v>39888510</v>
      </c>
      <c r="J1228" s="16">
        <f>'БА в тыс. руб.'!G1228*1000</f>
        <v>32797449.999999996</v>
      </c>
      <c r="K1228" s="169">
        <f t="shared" si="855"/>
        <v>0</v>
      </c>
      <c r="L1228" s="16">
        <f>'БА в тыс. руб.'!H1228*1000</f>
        <v>39888510</v>
      </c>
      <c r="M1228" s="169">
        <f t="shared" si="856"/>
        <v>0</v>
      </c>
      <c r="N1228" s="16">
        <f>'БА в тыс. руб.'!I1228*1000</f>
        <v>39888510</v>
      </c>
      <c r="O1228" s="169">
        <f t="shared" si="857"/>
        <v>0</v>
      </c>
      <c r="P1228" s="16"/>
      <c r="Q1228" s="16"/>
      <c r="R1228" s="16"/>
      <c r="S1228" s="16"/>
      <c r="T1228" s="16"/>
      <c r="U1228" s="16"/>
    </row>
    <row r="1229" spans="1:21" s="3" customFormat="1" ht="25.5">
      <c r="A1229" s="11" t="s">
        <v>108</v>
      </c>
      <c r="B1229" s="25" t="s">
        <v>12</v>
      </c>
      <c r="C1229" s="26" t="s">
        <v>37</v>
      </c>
      <c r="D1229" s="26" t="s">
        <v>25</v>
      </c>
      <c r="E1229" s="26" t="s">
        <v>909</v>
      </c>
      <c r="F1229" s="26" t="s">
        <v>116</v>
      </c>
      <c r="G1229" s="27">
        <f>G1230</f>
        <v>32797449.999999996</v>
      </c>
      <c r="H1229" s="27">
        <f t="shared" ref="H1229:I1229" si="859">H1230</f>
        <v>39888510</v>
      </c>
      <c r="I1229" s="27">
        <f t="shared" si="859"/>
        <v>39888510</v>
      </c>
      <c r="J1229" s="16">
        <f>'БА в тыс. руб.'!G1229*1000</f>
        <v>32797449.999999996</v>
      </c>
      <c r="K1229" s="169">
        <f t="shared" si="855"/>
        <v>0</v>
      </c>
      <c r="L1229" s="16">
        <f>'БА в тыс. руб.'!H1229*1000</f>
        <v>39888510</v>
      </c>
      <c r="M1229" s="169">
        <f t="shared" si="856"/>
        <v>0</v>
      </c>
      <c r="N1229" s="16">
        <f>'БА в тыс. руб.'!I1229*1000</f>
        <v>39888510</v>
      </c>
      <c r="O1229" s="169">
        <f t="shared" si="857"/>
        <v>0</v>
      </c>
      <c r="P1229" s="16"/>
      <c r="Q1229" s="16"/>
      <c r="R1229" s="16"/>
      <c r="S1229" s="16"/>
      <c r="T1229" s="16"/>
      <c r="U1229" s="16"/>
    </row>
    <row r="1230" spans="1:21" s="4" customFormat="1" ht="25.5">
      <c r="A1230" s="12" t="s">
        <v>973</v>
      </c>
      <c r="B1230" s="25" t="s">
        <v>12</v>
      </c>
      <c r="C1230" s="26" t="s">
        <v>37</v>
      </c>
      <c r="D1230" s="26" t="s">
        <v>25</v>
      </c>
      <c r="E1230" s="26" t="s">
        <v>909</v>
      </c>
      <c r="F1230" s="26" t="s">
        <v>1043</v>
      </c>
      <c r="G1230" s="27">
        <f t="shared" ref="G1230" si="860">J1230</f>
        <v>32797449.999999996</v>
      </c>
      <c r="H1230" s="27">
        <f>L1230</f>
        <v>39888510</v>
      </c>
      <c r="I1230" s="27">
        <f>N1230</f>
        <v>39888510</v>
      </c>
      <c r="J1230" s="16">
        <f>'БА в тыс. руб.'!G1230*1000</f>
        <v>32797449.999999996</v>
      </c>
      <c r="K1230" s="169">
        <f t="shared" si="855"/>
        <v>0</v>
      </c>
      <c r="L1230" s="16">
        <f>'БА в тыс. руб.'!H1230*1000</f>
        <v>39888510</v>
      </c>
      <c r="M1230" s="169">
        <f t="shared" si="856"/>
        <v>0</v>
      </c>
      <c r="N1230" s="16">
        <f>'БА в тыс. руб.'!I1230*1000</f>
        <v>39888510</v>
      </c>
      <c r="O1230" s="169">
        <f t="shared" si="857"/>
        <v>0</v>
      </c>
      <c r="P1230" s="16"/>
      <c r="Q1230" s="16"/>
      <c r="R1230" s="16"/>
      <c r="S1230" s="16"/>
      <c r="T1230" s="16"/>
      <c r="U1230" s="16"/>
    </row>
    <row r="1231" spans="1:21" s="3" customFormat="1">
      <c r="A1231" s="17" t="s">
        <v>7</v>
      </c>
      <c r="B1231" s="18" t="s">
        <v>12</v>
      </c>
      <c r="C1231" s="19" t="s">
        <v>8</v>
      </c>
      <c r="D1231" s="19" t="s">
        <v>51</v>
      </c>
      <c r="E1231" s="19" t="s">
        <v>196</v>
      </c>
      <c r="F1231" s="19" t="s">
        <v>58</v>
      </c>
      <c r="G1231" s="20">
        <f>G1232+G1240</f>
        <v>20378620</v>
      </c>
      <c r="H1231" s="20">
        <f>H1232+H1240</f>
        <v>19757870</v>
      </c>
      <c r="I1231" s="20">
        <f>I1232+I1240</f>
        <v>19757870</v>
      </c>
      <c r="J1231" s="16">
        <f>'БА в тыс. руб.'!G1231*1000</f>
        <v>20378620</v>
      </c>
      <c r="K1231" s="169">
        <f t="shared" si="855"/>
        <v>0</v>
      </c>
      <c r="L1231" s="16">
        <f>'БА в тыс. руб.'!H1231*1000</f>
        <v>19757870</v>
      </c>
      <c r="M1231" s="169">
        <f t="shared" si="856"/>
        <v>0</v>
      </c>
      <c r="N1231" s="16">
        <f>'БА в тыс. руб.'!I1231*1000</f>
        <v>19757870</v>
      </c>
      <c r="O1231" s="169">
        <f t="shared" si="857"/>
        <v>0</v>
      </c>
      <c r="P1231" s="16"/>
      <c r="Q1231" s="16"/>
      <c r="R1231" s="16"/>
      <c r="S1231" s="16"/>
      <c r="T1231" s="16"/>
      <c r="U1231" s="16"/>
    </row>
    <row r="1232" spans="1:21" s="3" customFormat="1">
      <c r="A1232" s="21" t="s">
        <v>9</v>
      </c>
      <c r="B1232" s="22" t="s">
        <v>12</v>
      </c>
      <c r="C1232" s="23" t="s">
        <v>8</v>
      </c>
      <c r="D1232" s="23" t="s">
        <v>65</v>
      </c>
      <c r="E1232" s="23" t="s">
        <v>196</v>
      </c>
      <c r="F1232" s="23" t="s">
        <v>58</v>
      </c>
      <c r="G1232" s="24">
        <f t="shared" ref="G1232:I1233" si="861">G1233</f>
        <v>1256660</v>
      </c>
      <c r="H1232" s="24">
        <f t="shared" si="861"/>
        <v>1220060</v>
      </c>
      <c r="I1232" s="24">
        <f t="shared" si="861"/>
        <v>1220060</v>
      </c>
      <c r="J1232" s="16">
        <f>'БА в тыс. руб.'!G1232*1000</f>
        <v>1256659.9999999998</v>
      </c>
      <c r="K1232" s="169">
        <f t="shared" si="855"/>
        <v>0</v>
      </c>
      <c r="L1232" s="16">
        <f>'БА в тыс. руб.'!H1232*1000</f>
        <v>1220060</v>
      </c>
      <c r="M1232" s="169">
        <f t="shared" si="856"/>
        <v>0</v>
      </c>
      <c r="N1232" s="16">
        <f>'БА в тыс. руб.'!I1232*1000</f>
        <v>1220060</v>
      </c>
      <c r="O1232" s="169">
        <f t="shared" si="857"/>
        <v>0</v>
      </c>
      <c r="P1232" s="16"/>
      <c r="Q1232" s="16"/>
      <c r="R1232" s="16"/>
      <c r="S1232" s="16"/>
      <c r="T1232" s="16"/>
      <c r="U1232" s="16"/>
    </row>
    <row r="1233" spans="1:21" s="3" customFormat="1" ht="38.25">
      <c r="A1233" s="12" t="s">
        <v>722</v>
      </c>
      <c r="B1233" s="25" t="s">
        <v>12</v>
      </c>
      <c r="C1233" s="26" t="s">
        <v>8</v>
      </c>
      <c r="D1233" s="26" t="s">
        <v>65</v>
      </c>
      <c r="E1233" s="26" t="s">
        <v>300</v>
      </c>
      <c r="F1233" s="26" t="s">
        <v>58</v>
      </c>
      <c r="G1233" s="27">
        <f t="shared" si="861"/>
        <v>1256660</v>
      </c>
      <c r="H1233" s="27">
        <f t="shared" si="861"/>
        <v>1220060</v>
      </c>
      <c r="I1233" s="27">
        <f t="shared" si="861"/>
        <v>1220060</v>
      </c>
      <c r="J1233" s="16">
        <f>'БА в тыс. руб.'!G1233*1000</f>
        <v>1256659.9999999998</v>
      </c>
      <c r="K1233" s="169">
        <f t="shared" si="855"/>
        <v>0</v>
      </c>
      <c r="L1233" s="16">
        <f>'БА в тыс. руб.'!H1233*1000</f>
        <v>1220060</v>
      </c>
      <c r="M1233" s="169">
        <f t="shared" si="856"/>
        <v>0</v>
      </c>
      <c r="N1233" s="16">
        <f>'БА в тыс. руб.'!I1233*1000</f>
        <v>1220060</v>
      </c>
      <c r="O1233" s="169">
        <f t="shared" si="857"/>
        <v>0</v>
      </c>
      <c r="P1233" s="16"/>
      <c r="Q1233" s="16"/>
      <c r="R1233" s="16"/>
      <c r="S1233" s="16"/>
      <c r="T1233" s="16"/>
      <c r="U1233" s="16"/>
    </row>
    <row r="1234" spans="1:21" s="3" customFormat="1" ht="25.5">
      <c r="A1234" s="11" t="s">
        <v>155</v>
      </c>
      <c r="B1234" s="25" t="s">
        <v>12</v>
      </c>
      <c r="C1234" s="26" t="s">
        <v>8</v>
      </c>
      <c r="D1234" s="26" t="s">
        <v>65</v>
      </c>
      <c r="E1234" s="26" t="s">
        <v>495</v>
      </c>
      <c r="F1234" s="26" t="s">
        <v>58</v>
      </c>
      <c r="G1234" s="27">
        <f>G1237</f>
        <v>1256660</v>
      </c>
      <c r="H1234" s="27">
        <f>H1237</f>
        <v>1220060</v>
      </c>
      <c r="I1234" s="27">
        <f>I1237</f>
        <v>1220060</v>
      </c>
      <c r="J1234" s="16">
        <f>'БА в тыс. руб.'!G1234*1000</f>
        <v>1256659.9999999998</v>
      </c>
      <c r="K1234" s="169">
        <f t="shared" si="855"/>
        <v>0</v>
      </c>
      <c r="L1234" s="16">
        <f>'БА в тыс. руб.'!H1234*1000</f>
        <v>1220060</v>
      </c>
      <c r="M1234" s="169">
        <f t="shared" si="856"/>
        <v>0</v>
      </c>
      <c r="N1234" s="16">
        <f>'БА в тыс. руб.'!I1234*1000</f>
        <v>1220060</v>
      </c>
      <c r="O1234" s="169">
        <f t="shared" si="857"/>
        <v>0</v>
      </c>
      <c r="P1234" s="16"/>
      <c r="Q1234" s="16"/>
      <c r="R1234" s="16"/>
      <c r="S1234" s="16"/>
      <c r="T1234" s="16"/>
      <c r="U1234" s="16"/>
    </row>
    <row r="1235" spans="1:21" s="3" customFormat="1" ht="38.25">
      <c r="A1235" s="40" t="s">
        <v>522</v>
      </c>
      <c r="B1235" s="35" t="s">
        <v>12</v>
      </c>
      <c r="C1235" s="36" t="s">
        <v>8</v>
      </c>
      <c r="D1235" s="36" t="s">
        <v>65</v>
      </c>
      <c r="E1235" s="36" t="s">
        <v>497</v>
      </c>
      <c r="F1235" s="36" t="s">
        <v>58</v>
      </c>
      <c r="G1235" s="37">
        <f t="shared" ref="G1235:I1236" si="862">G1236</f>
        <v>1256660</v>
      </c>
      <c r="H1235" s="37">
        <f t="shared" si="862"/>
        <v>1220060</v>
      </c>
      <c r="I1235" s="37">
        <f t="shared" si="862"/>
        <v>1220060</v>
      </c>
      <c r="J1235" s="16">
        <f>'БА в тыс. руб.'!G1235*1000</f>
        <v>1256659.9999999998</v>
      </c>
      <c r="K1235" s="169">
        <f t="shared" si="855"/>
        <v>0</v>
      </c>
      <c r="L1235" s="16">
        <f>'БА в тыс. руб.'!H1235*1000</f>
        <v>1220060</v>
      </c>
      <c r="M1235" s="169">
        <f t="shared" si="856"/>
        <v>0</v>
      </c>
      <c r="N1235" s="16">
        <f>'БА в тыс. руб.'!I1235*1000</f>
        <v>1220060</v>
      </c>
      <c r="O1235" s="169">
        <f t="shared" si="857"/>
        <v>0</v>
      </c>
      <c r="P1235" s="16"/>
      <c r="Q1235" s="16"/>
      <c r="R1235" s="16"/>
      <c r="S1235" s="16"/>
      <c r="T1235" s="16"/>
      <c r="U1235" s="16"/>
    </row>
    <row r="1236" spans="1:21" s="3" customFormat="1" ht="25.5">
      <c r="A1236" s="12" t="s">
        <v>148</v>
      </c>
      <c r="B1236" s="25" t="s">
        <v>12</v>
      </c>
      <c r="C1236" s="26" t="s">
        <v>8</v>
      </c>
      <c r="D1236" s="26" t="s">
        <v>65</v>
      </c>
      <c r="E1236" s="26" t="s">
        <v>498</v>
      </c>
      <c r="F1236" s="26" t="s">
        <v>58</v>
      </c>
      <c r="G1236" s="27">
        <f t="shared" si="862"/>
        <v>1256660</v>
      </c>
      <c r="H1236" s="27">
        <f t="shared" si="862"/>
        <v>1220060</v>
      </c>
      <c r="I1236" s="27">
        <f t="shared" si="862"/>
        <v>1220060</v>
      </c>
      <c r="J1236" s="16">
        <f>'БА в тыс. руб.'!G1236*1000</f>
        <v>1256659.9999999998</v>
      </c>
      <c r="K1236" s="169">
        <f t="shared" si="855"/>
        <v>0</v>
      </c>
      <c r="L1236" s="16">
        <f>'БА в тыс. руб.'!H1236*1000</f>
        <v>1220060</v>
      </c>
      <c r="M1236" s="169">
        <f t="shared" si="856"/>
        <v>0</v>
      </c>
      <c r="N1236" s="16">
        <f>'БА в тыс. руб.'!I1236*1000</f>
        <v>1220060</v>
      </c>
      <c r="O1236" s="169">
        <f t="shared" si="857"/>
        <v>0</v>
      </c>
      <c r="P1236" s="16"/>
      <c r="Q1236" s="16"/>
      <c r="R1236" s="16"/>
      <c r="S1236" s="16"/>
      <c r="T1236" s="16"/>
      <c r="U1236" s="16"/>
    </row>
    <row r="1237" spans="1:21" s="3" customFormat="1" ht="25.5">
      <c r="A1237" s="11" t="s">
        <v>108</v>
      </c>
      <c r="B1237" s="25" t="s">
        <v>12</v>
      </c>
      <c r="C1237" s="26" t="s">
        <v>8</v>
      </c>
      <c r="D1237" s="26" t="s">
        <v>65</v>
      </c>
      <c r="E1237" s="26" t="s">
        <v>498</v>
      </c>
      <c r="F1237" s="26" t="s">
        <v>116</v>
      </c>
      <c r="G1237" s="27">
        <f>SUM(G1238:G1239)</f>
        <v>1256660</v>
      </c>
      <c r="H1237" s="27">
        <f t="shared" ref="H1237:I1237" si="863">SUM(H1238:H1239)</f>
        <v>1220060</v>
      </c>
      <c r="I1237" s="27">
        <f t="shared" si="863"/>
        <v>1220060</v>
      </c>
      <c r="J1237" s="16">
        <f>'БА в тыс. руб.'!G1237*1000</f>
        <v>1256659.9999999998</v>
      </c>
      <c r="K1237" s="169">
        <f t="shared" si="855"/>
        <v>0</v>
      </c>
      <c r="L1237" s="16">
        <f>'БА в тыс. руб.'!H1237*1000</f>
        <v>1220060</v>
      </c>
      <c r="M1237" s="169">
        <f t="shared" si="856"/>
        <v>0</v>
      </c>
      <c r="N1237" s="16">
        <f>'БА в тыс. руб.'!I1237*1000</f>
        <v>1220060</v>
      </c>
      <c r="O1237" s="169">
        <f t="shared" si="857"/>
        <v>0</v>
      </c>
      <c r="P1237" s="16"/>
      <c r="Q1237" s="16"/>
      <c r="R1237" s="16"/>
      <c r="S1237" s="16"/>
      <c r="T1237" s="16"/>
      <c r="U1237" s="16"/>
    </row>
    <row r="1238" spans="1:21" s="3" customFormat="1">
      <c r="A1238" s="11"/>
      <c r="B1238" s="25" t="s">
        <v>12</v>
      </c>
      <c r="C1238" s="26" t="s">
        <v>8</v>
      </c>
      <c r="D1238" s="26" t="s">
        <v>65</v>
      </c>
      <c r="E1238" s="26" t="s">
        <v>498</v>
      </c>
      <c r="F1238" s="26" t="s">
        <v>1070</v>
      </c>
      <c r="G1238" s="27">
        <f t="shared" ref="G1238:G1239" si="864">J1238</f>
        <v>259120</v>
      </c>
      <c r="H1238" s="27">
        <f t="shared" ref="H1238:H1239" si="865">L1238</f>
        <v>222520</v>
      </c>
      <c r="I1238" s="27">
        <f t="shared" ref="I1238:I1239" si="866">N1238</f>
        <v>222520</v>
      </c>
      <c r="J1238" s="16">
        <f>'БА в тыс. руб.'!G1238*1000</f>
        <v>259120</v>
      </c>
      <c r="K1238" s="169"/>
      <c r="L1238" s="16">
        <f>'БА в тыс. руб.'!H1238*1000</f>
        <v>222520</v>
      </c>
      <c r="M1238" s="169"/>
      <c r="N1238" s="16">
        <f>'БА в тыс. руб.'!I1238*1000</f>
        <v>222520</v>
      </c>
      <c r="O1238" s="169"/>
      <c r="P1238" s="16"/>
      <c r="Q1238" s="16"/>
      <c r="R1238" s="16"/>
      <c r="S1238" s="16"/>
      <c r="T1238" s="16"/>
      <c r="U1238" s="16"/>
    </row>
    <row r="1239" spans="1:21" s="3" customFormat="1" ht="25.5">
      <c r="A1239" s="12" t="s">
        <v>973</v>
      </c>
      <c r="B1239" s="25" t="s">
        <v>12</v>
      </c>
      <c r="C1239" s="26" t="s">
        <v>8</v>
      </c>
      <c r="D1239" s="26" t="s">
        <v>65</v>
      </c>
      <c r="E1239" s="26" t="s">
        <v>498</v>
      </c>
      <c r="F1239" s="26" t="s">
        <v>1043</v>
      </c>
      <c r="G1239" s="27">
        <f t="shared" si="864"/>
        <v>997540</v>
      </c>
      <c r="H1239" s="27">
        <f t="shared" si="865"/>
        <v>997540</v>
      </c>
      <c r="I1239" s="27">
        <f t="shared" si="866"/>
        <v>997540</v>
      </c>
      <c r="J1239" s="16">
        <f>'БА в тыс. руб.'!G1239*1000</f>
        <v>997540</v>
      </c>
      <c r="K1239" s="169">
        <f t="shared" si="855"/>
        <v>0</v>
      </c>
      <c r="L1239" s="16">
        <f>'БА в тыс. руб.'!H1239*1000</f>
        <v>997540</v>
      </c>
      <c r="M1239" s="169">
        <f t="shared" si="856"/>
        <v>0</v>
      </c>
      <c r="N1239" s="16">
        <f>'БА в тыс. руб.'!I1239*1000</f>
        <v>997540</v>
      </c>
      <c r="O1239" s="169">
        <f t="shared" si="857"/>
        <v>0</v>
      </c>
      <c r="P1239" s="16"/>
      <c r="Q1239" s="16"/>
      <c r="R1239" s="16"/>
      <c r="S1239" s="16"/>
      <c r="T1239" s="16"/>
      <c r="U1239" s="16"/>
    </row>
    <row r="1240" spans="1:21" s="3" customFormat="1">
      <c r="A1240" s="21" t="s">
        <v>1</v>
      </c>
      <c r="B1240" s="22" t="s">
        <v>12</v>
      </c>
      <c r="C1240" s="23" t="s">
        <v>8</v>
      </c>
      <c r="D1240" s="23" t="s">
        <v>53</v>
      </c>
      <c r="E1240" s="23" t="s">
        <v>196</v>
      </c>
      <c r="F1240" s="23" t="s">
        <v>58</v>
      </c>
      <c r="G1240" s="24">
        <f t="shared" ref="G1240:I1242" si="867">G1241</f>
        <v>19121960</v>
      </c>
      <c r="H1240" s="24">
        <f t="shared" si="867"/>
        <v>18537810</v>
      </c>
      <c r="I1240" s="24">
        <f t="shared" si="867"/>
        <v>18537810</v>
      </c>
      <c r="J1240" s="16">
        <f>'БА в тыс. руб.'!G1240*1000</f>
        <v>19121960</v>
      </c>
      <c r="K1240" s="169">
        <f t="shared" si="855"/>
        <v>0</v>
      </c>
      <c r="L1240" s="16">
        <f>'БА в тыс. руб.'!H1240*1000</f>
        <v>18537809.999999996</v>
      </c>
      <c r="M1240" s="169">
        <f t="shared" si="856"/>
        <v>0</v>
      </c>
      <c r="N1240" s="16">
        <f>'БА в тыс. руб.'!I1240*1000</f>
        <v>18537809.999999996</v>
      </c>
      <c r="O1240" s="169">
        <f t="shared" si="857"/>
        <v>0</v>
      </c>
      <c r="P1240" s="16"/>
      <c r="Q1240" s="16"/>
      <c r="R1240" s="16"/>
      <c r="S1240" s="16"/>
      <c r="T1240" s="16"/>
      <c r="U1240" s="16"/>
    </row>
    <row r="1241" spans="1:21" s="3" customFormat="1" ht="38.25">
      <c r="A1241" s="12" t="s">
        <v>722</v>
      </c>
      <c r="B1241" s="25" t="s">
        <v>12</v>
      </c>
      <c r="C1241" s="26" t="s">
        <v>8</v>
      </c>
      <c r="D1241" s="26" t="s">
        <v>53</v>
      </c>
      <c r="E1241" s="26" t="s">
        <v>300</v>
      </c>
      <c r="F1241" s="26" t="s">
        <v>58</v>
      </c>
      <c r="G1241" s="27">
        <f t="shared" si="867"/>
        <v>19121960</v>
      </c>
      <c r="H1241" s="27">
        <f t="shared" si="867"/>
        <v>18537810</v>
      </c>
      <c r="I1241" s="27">
        <f t="shared" si="867"/>
        <v>18537810</v>
      </c>
      <c r="J1241" s="16">
        <f>'БА в тыс. руб.'!G1241*1000</f>
        <v>19121960</v>
      </c>
      <c r="K1241" s="169">
        <f t="shared" si="855"/>
        <v>0</v>
      </c>
      <c r="L1241" s="16">
        <f>'БА в тыс. руб.'!H1241*1000</f>
        <v>18537809.999999996</v>
      </c>
      <c r="M1241" s="169">
        <f t="shared" si="856"/>
        <v>0</v>
      </c>
      <c r="N1241" s="16">
        <f>'БА в тыс. руб.'!I1241*1000</f>
        <v>18537809.999999996</v>
      </c>
      <c r="O1241" s="169">
        <f t="shared" si="857"/>
        <v>0</v>
      </c>
      <c r="P1241" s="16"/>
      <c r="Q1241" s="16"/>
      <c r="R1241" s="16"/>
      <c r="S1241" s="16"/>
      <c r="T1241" s="16"/>
      <c r="U1241" s="16"/>
    </row>
    <row r="1242" spans="1:21" s="3" customFormat="1">
      <c r="A1242" s="11" t="s">
        <v>142</v>
      </c>
      <c r="B1242" s="25" t="s">
        <v>12</v>
      </c>
      <c r="C1242" s="26" t="s">
        <v>8</v>
      </c>
      <c r="D1242" s="26" t="s">
        <v>53</v>
      </c>
      <c r="E1242" s="26" t="s">
        <v>453</v>
      </c>
      <c r="F1242" s="26" t="s">
        <v>58</v>
      </c>
      <c r="G1242" s="27">
        <f t="shared" si="867"/>
        <v>19121960</v>
      </c>
      <c r="H1242" s="27">
        <f t="shared" si="867"/>
        <v>18537810</v>
      </c>
      <c r="I1242" s="27">
        <f t="shared" si="867"/>
        <v>18537810</v>
      </c>
      <c r="J1242" s="16">
        <f>'БА в тыс. руб.'!G1242*1000</f>
        <v>19121960</v>
      </c>
      <c r="K1242" s="169">
        <f t="shared" si="855"/>
        <v>0</v>
      </c>
      <c r="L1242" s="16">
        <f>'БА в тыс. руб.'!H1242*1000</f>
        <v>18537809.999999996</v>
      </c>
      <c r="M1242" s="169">
        <f t="shared" si="856"/>
        <v>0</v>
      </c>
      <c r="N1242" s="16">
        <f>'БА в тыс. руб.'!I1242*1000</f>
        <v>18537809.999999996</v>
      </c>
      <c r="O1242" s="169">
        <f t="shared" si="857"/>
        <v>0</v>
      </c>
      <c r="P1242" s="16"/>
      <c r="Q1242" s="16"/>
      <c r="R1242" s="16"/>
      <c r="S1242" s="16"/>
      <c r="T1242" s="16"/>
      <c r="U1242" s="16"/>
    </row>
    <row r="1243" spans="1:21" s="3" customFormat="1" ht="25.5">
      <c r="A1243" s="40" t="s">
        <v>454</v>
      </c>
      <c r="B1243" s="35" t="s">
        <v>12</v>
      </c>
      <c r="C1243" s="36" t="s">
        <v>8</v>
      </c>
      <c r="D1243" s="36" t="s">
        <v>53</v>
      </c>
      <c r="E1243" s="26" t="s">
        <v>645</v>
      </c>
      <c r="F1243" s="36" t="s">
        <v>58</v>
      </c>
      <c r="G1243" s="37">
        <f>G1244+G1247+G1250</f>
        <v>19121960</v>
      </c>
      <c r="H1243" s="37">
        <f>H1244+H1247+H1250</f>
        <v>18537810</v>
      </c>
      <c r="I1243" s="37">
        <f>I1244+I1247+I1250</f>
        <v>18537810</v>
      </c>
      <c r="J1243" s="16">
        <f>'БА в тыс. руб.'!G1243*1000</f>
        <v>19121960</v>
      </c>
      <c r="K1243" s="169">
        <f t="shared" si="855"/>
        <v>0</v>
      </c>
      <c r="L1243" s="16">
        <f>'БА в тыс. руб.'!H1243*1000</f>
        <v>18537809.999999996</v>
      </c>
      <c r="M1243" s="169">
        <f t="shared" si="856"/>
        <v>0</v>
      </c>
      <c r="N1243" s="16">
        <f>'БА в тыс. руб.'!I1243*1000</f>
        <v>18537809.999999996</v>
      </c>
      <c r="O1243" s="169">
        <f t="shared" si="857"/>
        <v>0</v>
      </c>
      <c r="P1243" s="16"/>
      <c r="Q1243" s="16"/>
      <c r="R1243" s="16"/>
      <c r="S1243" s="16"/>
      <c r="T1243" s="16"/>
      <c r="U1243" s="16"/>
    </row>
    <row r="1244" spans="1:21" s="3" customFormat="1" ht="25.5">
      <c r="A1244" s="11" t="s">
        <v>158</v>
      </c>
      <c r="B1244" s="25" t="s">
        <v>12</v>
      </c>
      <c r="C1244" s="26" t="s">
        <v>8</v>
      </c>
      <c r="D1244" s="26" t="s">
        <v>53</v>
      </c>
      <c r="E1244" s="26" t="s">
        <v>646</v>
      </c>
      <c r="F1244" s="26" t="s">
        <v>58</v>
      </c>
      <c r="G1244" s="27">
        <f>G1245</f>
        <v>11078740</v>
      </c>
      <c r="H1244" s="27">
        <f>H1245</f>
        <v>10599220</v>
      </c>
      <c r="I1244" s="27">
        <f>I1245</f>
        <v>10599220</v>
      </c>
      <c r="J1244" s="16">
        <f>'БА в тыс. руб.'!G1244*1000</f>
        <v>11078740</v>
      </c>
      <c r="K1244" s="169">
        <f t="shared" si="855"/>
        <v>0</v>
      </c>
      <c r="L1244" s="16">
        <f>'БА в тыс. руб.'!H1244*1000</f>
        <v>10599220</v>
      </c>
      <c r="M1244" s="169">
        <f t="shared" si="856"/>
        <v>0</v>
      </c>
      <c r="N1244" s="16">
        <f>'БА в тыс. руб.'!I1244*1000</f>
        <v>10599220</v>
      </c>
      <c r="O1244" s="169">
        <f t="shared" si="857"/>
        <v>0</v>
      </c>
      <c r="P1244" s="16"/>
      <c r="Q1244" s="16"/>
      <c r="R1244" s="16"/>
      <c r="S1244" s="16"/>
      <c r="T1244" s="16"/>
      <c r="U1244" s="16"/>
    </row>
    <row r="1245" spans="1:21" s="3" customFormat="1" ht="25.5">
      <c r="A1245" s="11" t="s">
        <v>108</v>
      </c>
      <c r="B1245" s="25" t="s">
        <v>12</v>
      </c>
      <c r="C1245" s="26" t="s">
        <v>8</v>
      </c>
      <c r="D1245" s="26" t="s">
        <v>53</v>
      </c>
      <c r="E1245" s="26" t="s">
        <v>646</v>
      </c>
      <c r="F1245" s="26" t="s">
        <v>116</v>
      </c>
      <c r="G1245" s="27">
        <f>G1246</f>
        <v>11078740</v>
      </c>
      <c r="H1245" s="27">
        <f t="shared" ref="H1245:I1245" si="868">H1246</f>
        <v>10599220</v>
      </c>
      <c r="I1245" s="27">
        <f t="shared" si="868"/>
        <v>10599220</v>
      </c>
      <c r="J1245" s="16">
        <f>'БА в тыс. руб.'!G1245*1000</f>
        <v>11078740</v>
      </c>
      <c r="K1245" s="169">
        <f t="shared" si="855"/>
        <v>0</v>
      </c>
      <c r="L1245" s="16">
        <f>'БА в тыс. руб.'!H1245*1000</f>
        <v>10599220</v>
      </c>
      <c r="M1245" s="169">
        <f t="shared" si="856"/>
        <v>0</v>
      </c>
      <c r="N1245" s="16">
        <f>'БА в тыс. руб.'!I1245*1000</f>
        <v>10599220</v>
      </c>
      <c r="O1245" s="169">
        <f t="shared" si="857"/>
        <v>0</v>
      </c>
      <c r="P1245" s="16"/>
      <c r="Q1245" s="16"/>
      <c r="R1245" s="16"/>
      <c r="S1245" s="16"/>
      <c r="T1245" s="16"/>
      <c r="U1245" s="16"/>
    </row>
    <row r="1246" spans="1:21" s="4" customFormat="1" ht="25.5">
      <c r="A1246" s="12" t="s">
        <v>973</v>
      </c>
      <c r="B1246" s="25" t="s">
        <v>12</v>
      </c>
      <c r="C1246" s="26" t="s">
        <v>8</v>
      </c>
      <c r="D1246" s="26" t="s">
        <v>53</v>
      </c>
      <c r="E1246" s="26" t="s">
        <v>646</v>
      </c>
      <c r="F1246" s="26" t="s">
        <v>1043</v>
      </c>
      <c r="G1246" s="27">
        <f t="shared" ref="G1246" si="869">J1246</f>
        <v>11078740</v>
      </c>
      <c r="H1246" s="27">
        <f>L1246</f>
        <v>10599220</v>
      </c>
      <c r="I1246" s="27">
        <f>N1246</f>
        <v>10599220</v>
      </c>
      <c r="J1246" s="16">
        <f>'БА в тыс. руб.'!G1246*1000</f>
        <v>11078740</v>
      </c>
      <c r="K1246" s="169">
        <f t="shared" si="855"/>
        <v>0</v>
      </c>
      <c r="L1246" s="16">
        <f>'БА в тыс. руб.'!H1246*1000</f>
        <v>10599220</v>
      </c>
      <c r="M1246" s="169">
        <f t="shared" si="856"/>
        <v>0</v>
      </c>
      <c r="N1246" s="16">
        <f>'БА в тыс. руб.'!I1246*1000</f>
        <v>10599220</v>
      </c>
      <c r="O1246" s="169">
        <f t="shared" si="857"/>
        <v>0</v>
      </c>
      <c r="P1246" s="16"/>
      <c r="Q1246" s="16"/>
      <c r="R1246" s="16"/>
      <c r="S1246" s="16"/>
      <c r="T1246" s="16"/>
      <c r="U1246" s="16"/>
    </row>
    <row r="1247" spans="1:21" s="3" customFormat="1">
      <c r="A1247" s="12" t="s">
        <v>890</v>
      </c>
      <c r="B1247" s="25" t="s">
        <v>12</v>
      </c>
      <c r="C1247" s="36" t="s">
        <v>8</v>
      </c>
      <c r="D1247" s="36" t="s">
        <v>53</v>
      </c>
      <c r="E1247" s="36" t="s">
        <v>910</v>
      </c>
      <c r="F1247" s="36" t="s">
        <v>58</v>
      </c>
      <c r="G1247" s="27">
        <f>G1248</f>
        <v>1046349.9999999999</v>
      </c>
      <c r="H1247" s="27">
        <f>H1248</f>
        <v>941720</v>
      </c>
      <c r="I1247" s="27">
        <f>I1248</f>
        <v>941720</v>
      </c>
      <c r="J1247" s="16">
        <f>'БА в тыс. руб.'!G1247*1000</f>
        <v>1046349.9999999999</v>
      </c>
      <c r="K1247" s="169">
        <f t="shared" si="855"/>
        <v>0</v>
      </c>
      <c r="L1247" s="16">
        <f>'БА в тыс. руб.'!H1247*1000</f>
        <v>941720</v>
      </c>
      <c r="M1247" s="169">
        <f t="shared" si="856"/>
        <v>0</v>
      </c>
      <c r="N1247" s="16">
        <f>'БА в тыс. руб.'!I1247*1000</f>
        <v>941720</v>
      </c>
      <c r="O1247" s="169">
        <f t="shared" si="857"/>
        <v>0</v>
      </c>
      <c r="P1247" s="16"/>
      <c r="Q1247" s="16"/>
      <c r="R1247" s="16"/>
      <c r="S1247" s="16"/>
      <c r="T1247" s="16"/>
      <c r="U1247" s="16"/>
    </row>
    <row r="1248" spans="1:21" s="3" customFormat="1" ht="25.5">
      <c r="A1248" s="11" t="s">
        <v>108</v>
      </c>
      <c r="B1248" s="25" t="s">
        <v>12</v>
      </c>
      <c r="C1248" s="36" t="s">
        <v>8</v>
      </c>
      <c r="D1248" s="36" t="s">
        <v>53</v>
      </c>
      <c r="E1248" s="36" t="s">
        <v>910</v>
      </c>
      <c r="F1248" s="36" t="s">
        <v>116</v>
      </c>
      <c r="G1248" s="27">
        <f>G1249</f>
        <v>1046349.9999999999</v>
      </c>
      <c r="H1248" s="27">
        <f t="shared" ref="H1248:I1248" si="870">H1249</f>
        <v>941720</v>
      </c>
      <c r="I1248" s="27">
        <f t="shared" si="870"/>
        <v>941720</v>
      </c>
      <c r="J1248" s="16">
        <f>'БА в тыс. руб.'!G1248*1000</f>
        <v>1046349.9999999999</v>
      </c>
      <c r="K1248" s="169">
        <f t="shared" si="855"/>
        <v>0</v>
      </c>
      <c r="L1248" s="16">
        <f>'БА в тыс. руб.'!H1248*1000</f>
        <v>941720</v>
      </c>
      <c r="M1248" s="169">
        <f t="shared" si="856"/>
        <v>0</v>
      </c>
      <c r="N1248" s="16">
        <f>'БА в тыс. руб.'!I1248*1000</f>
        <v>941720</v>
      </c>
      <c r="O1248" s="169">
        <f t="shared" si="857"/>
        <v>0</v>
      </c>
      <c r="P1248" s="16"/>
      <c r="Q1248" s="16"/>
      <c r="R1248" s="16"/>
      <c r="S1248" s="16"/>
      <c r="T1248" s="16"/>
      <c r="U1248" s="16"/>
    </row>
    <row r="1249" spans="1:21" s="4" customFormat="1" ht="25.5">
      <c r="A1249" s="12" t="s">
        <v>973</v>
      </c>
      <c r="B1249" s="25" t="s">
        <v>12</v>
      </c>
      <c r="C1249" s="36" t="s">
        <v>8</v>
      </c>
      <c r="D1249" s="36" t="s">
        <v>53</v>
      </c>
      <c r="E1249" s="36" t="s">
        <v>910</v>
      </c>
      <c r="F1249" s="36" t="s">
        <v>1043</v>
      </c>
      <c r="G1249" s="27">
        <f t="shared" ref="G1249" si="871">J1249</f>
        <v>1046349.9999999999</v>
      </c>
      <c r="H1249" s="27">
        <f>L1249</f>
        <v>941720</v>
      </c>
      <c r="I1249" s="27">
        <f>N1249</f>
        <v>941720</v>
      </c>
      <c r="J1249" s="16">
        <f>'БА в тыс. руб.'!G1249*1000</f>
        <v>1046349.9999999999</v>
      </c>
      <c r="K1249" s="169">
        <f t="shared" si="855"/>
        <v>0</v>
      </c>
      <c r="L1249" s="16">
        <f>'БА в тыс. руб.'!H1249*1000</f>
        <v>941720</v>
      </c>
      <c r="M1249" s="169">
        <f t="shared" si="856"/>
        <v>0</v>
      </c>
      <c r="N1249" s="16">
        <f>'БА в тыс. руб.'!I1249*1000</f>
        <v>941720</v>
      </c>
      <c r="O1249" s="169">
        <f t="shared" si="857"/>
        <v>0</v>
      </c>
      <c r="P1249" s="16"/>
      <c r="Q1249" s="16"/>
      <c r="R1249" s="16"/>
      <c r="S1249" s="16"/>
      <c r="T1249" s="16"/>
      <c r="U1249" s="16"/>
    </row>
    <row r="1250" spans="1:21" s="3" customFormat="1" ht="51">
      <c r="A1250" s="12" t="s">
        <v>891</v>
      </c>
      <c r="B1250" s="35" t="s">
        <v>12</v>
      </c>
      <c r="C1250" s="36" t="s">
        <v>8</v>
      </c>
      <c r="D1250" s="36" t="s">
        <v>53</v>
      </c>
      <c r="E1250" s="26" t="s">
        <v>911</v>
      </c>
      <c r="F1250" s="36" t="s">
        <v>58</v>
      </c>
      <c r="G1250" s="37">
        <f>G1251</f>
        <v>6996870</v>
      </c>
      <c r="H1250" s="37">
        <f>H1251</f>
        <v>6996870</v>
      </c>
      <c r="I1250" s="37">
        <f>I1251</f>
        <v>6996870</v>
      </c>
      <c r="J1250" s="16">
        <f>'БА в тыс. руб.'!G1250*1000</f>
        <v>6996870</v>
      </c>
      <c r="K1250" s="169">
        <f t="shared" si="855"/>
        <v>0</v>
      </c>
      <c r="L1250" s="16">
        <f>'БА в тыс. руб.'!H1250*1000</f>
        <v>6996870</v>
      </c>
      <c r="M1250" s="169">
        <f t="shared" si="856"/>
        <v>0</v>
      </c>
      <c r="N1250" s="16">
        <f>'БА в тыс. руб.'!I1250*1000</f>
        <v>6996870</v>
      </c>
      <c r="O1250" s="169">
        <f t="shared" si="857"/>
        <v>0</v>
      </c>
      <c r="P1250" s="16"/>
      <c r="Q1250" s="16"/>
      <c r="R1250" s="16"/>
      <c r="S1250" s="16"/>
      <c r="T1250" s="16"/>
      <c r="U1250" s="16"/>
    </row>
    <row r="1251" spans="1:21" s="3" customFormat="1" ht="25.5">
      <c r="A1251" s="11" t="s">
        <v>108</v>
      </c>
      <c r="B1251" s="25" t="s">
        <v>12</v>
      </c>
      <c r="C1251" s="26" t="s">
        <v>8</v>
      </c>
      <c r="D1251" s="26" t="s">
        <v>53</v>
      </c>
      <c r="E1251" s="26" t="s">
        <v>911</v>
      </c>
      <c r="F1251" s="26" t="s">
        <v>116</v>
      </c>
      <c r="G1251" s="27">
        <f>G1252</f>
        <v>6996870</v>
      </c>
      <c r="H1251" s="27">
        <f t="shared" ref="H1251:I1251" si="872">H1252</f>
        <v>6996870</v>
      </c>
      <c r="I1251" s="27">
        <f t="shared" si="872"/>
        <v>6996870</v>
      </c>
      <c r="J1251" s="16">
        <f>'БА в тыс. руб.'!G1251*1000</f>
        <v>6996870</v>
      </c>
      <c r="K1251" s="169">
        <f t="shared" si="855"/>
        <v>0</v>
      </c>
      <c r="L1251" s="16">
        <f>'БА в тыс. руб.'!H1251*1000</f>
        <v>6996870</v>
      </c>
      <c r="M1251" s="169">
        <f t="shared" si="856"/>
        <v>0</v>
      </c>
      <c r="N1251" s="16">
        <f>'БА в тыс. руб.'!I1251*1000</f>
        <v>6996870</v>
      </c>
      <c r="O1251" s="169">
        <f t="shared" si="857"/>
        <v>0</v>
      </c>
      <c r="P1251" s="16"/>
      <c r="Q1251" s="16"/>
      <c r="R1251" s="16"/>
      <c r="S1251" s="16"/>
      <c r="T1251" s="16"/>
      <c r="U1251" s="16"/>
    </row>
    <row r="1252" spans="1:21" s="94" customFormat="1" ht="25.5">
      <c r="A1252" s="12" t="s">
        <v>973</v>
      </c>
      <c r="B1252" s="25" t="s">
        <v>12</v>
      </c>
      <c r="C1252" s="26" t="s">
        <v>8</v>
      </c>
      <c r="D1252" s="26" t="s">
        <v>53</v>
      </c>
      <c r="E1252" s="26" t="s">
        <v>911</v>
      </c>
      <c r="F1252" s="26" t="s">
        <v>1043</v>
      </c>
      <c r="G1252" s="27">
        <f t="shared" ref="G1252" si="873">J1252</f>
        <v>6996870</v>
      </c>
      <c r="H1252" s="27">
        <f>L1252</f>
        <v>6996870</v>
      </c>
      <c r="I1252" s="27">
        <f>N1252</f>
        <v>6996870</v>
      </c>
      <c r="J1252" s="16">
        <f>'БА в тыс. руб.'!G1252*1000</f>
        <v>6996870</v>
      </c>
      <c r="K1252" s="169">
        <f t="shared" si="855"/>
        <v>0</v>
      </c>
      <c r="L1252" s="16">
        <f>'БА в тыс. руб.'!H1252*1000</f>
        <v>6996870</v>
      </c>
      <c r="M1252" s="169">
        <f t="shared" si="856"/>
        <v>0</v>
      </c>
      <c r="N1252" s="16">
        <f>'БА в тыс. руб.'!I1252*1000</f>
        <v>6996870</v>
      </c>
      <c r="O1252" s="169">
        <f t="shared" si="857"/>
        <v>0</v>
      </c>
      <c r="P1252" s="16"/>
      <c r="Q1252" s="16"/>
      <c r="R1252" s="16"/>
      <c r="S1252" s="16"/>
      <c r="T1252" s="16"/>
      <c r="U1252" s="16"/>
    </row>
    <row r="1253" spans="1:21" s="3" customFormat="1">
      <c r="A1253" s="17" t="s">
        <v>499</v>
      </c>
      <c r="B1253" s="18" t="s">
        <v>12</v>
      </c>
      <c r="C1253" s="19" t="s">
        <v>50</v>
      </c>
      <c r="D1253" s="19" t="s">
        <v>51</v>
      </c>
      <c r="E1253" s="19" t="s">
        <v>196</v>
      </c>
      <c r="F1253" s="19" t="s">
        <v>58</v>
      </c>
      <c r="G1253" s="20">
        <f t="shared" ref="G1253:I1256" si="874">G1254</f>
        <v>1536000</v>
      </c>
      <c r="H1253" s="20">
        <f t="shared" si="874"/>
        <v>1480000</v>
      </c>
      <c r="I1253" s="20">
        <f t="shared" si="874"/>
        <v>1480000</v>
      </c>
      <c r="J1253" s="16">
        <f>'БА в тыс. руб.'!G1253*1000</f>
        <v>1536000</v>
      </c>
      <c r="K1253" s="169">
        <f t="shared" si="855"/>
        <v>0</v>
      </c>
      <c r="L1253" s="16">
        <f>'БА в тыс. руб.'!H1253*1000</f>
        <v>1480000</v>
      </c>
      <c r="M1253" s="169">
        <f t="shared" si="856"/>
        <v>0</v>
      </c>
      <c r="N1253" s="16">
        <f>'БА в тыс. руб.'!I1253*1000</f>
        <v>1480000</v>
      </c>
      <c r="O1253" s="169">
        <f t="shared" si="857"/>
        <v>0</v>
      </c>
      <c r="P1253" s="16"/>
      <c r="Q1253" s="16"/>
      <c r="R1253" s="16"/>
      <c r="S1253" s="16"/>
      <c r="T1253" s="16"/>
      <c r="U1253" s="16"/>
    </row>
    <row r="1254" spans="1:21" s="3" customFormat="1">
      <c r="A1254" s="21" t="s">
        <v>27</v>
      </c>
      <c r="B1254" s="22" t="s">
        <v>12</v>
      </c>
      <c r="C1254" s="23" t="s">
        <v>50</v>
      </c>
      <c r="D1254" s="23" t="s">
        <v>65</v>
      </c>
      <c r="E1254" s="23" t="s">
        <v>196</v>
      </c>
      <c r="F1254" s="23" t="s">
        <v>58</v>
      </c>
      <c r="G1254" s="24">
        <f t="shared" si="874"/>
        <v>1536000</v>
      </c>
      <c r="H1254" s="24">
        <f t="shared" si="874"/>
        <v>1480000</v>
      </c>
      <c r="I1254" s="24">
        <f t="shared" si="874"/>
        <v>1480000</v>
      </c>
      <c r="J1254" s="16">
        <f>'БА в тыс. руб.'!G1254*1000</f>
        <v>1536000</v>
      </c>
      <c r="K1254" s="169">
        <f t="shared" si="855"/>
        <v>0</v>
      </c>
      <c r="L1254" s="16">
        <f>'БА в тыс. руб.'!H1254*1000</f>
        <v>1480000</v>
      </c>
      <c r="M1254" s="169">
        <f t="shared" si="856"/>
        <v>0</v>
      </c>
      <c r="N1254" s="16">
        <f>'БА в тыс. руб.'!I1254*1000</f>
        <v>1480000</v>
      </c>
      <c r="O1254" s="169">
        <f t="shared" si="857"/>
        <v>0</v>
      </c>
      <c r="P1254" s="16"/>
      <c r="Q1254" s="16"/>
      <c r="R1254" s="16"/>
      <c r="S1254" s="16"/>
      <c r="T1254" s="16"/>
      <c r="U1254" s="16"/>
    </row>
    <row r="1255" spans="1:21" s="3" customFormat="1">
      <c r="A1255" s="11" t="s">
        <v>739</v>
      </c>
      <c r="B1255" s="25" t="s">
        <v>12</v>
      </c>
      <c r="C1255" s="26" t="s">
        <v>50</v>
      </c>
      <c r="D1255" s="26" t="s">
        <v>65</v>
      </c>
      <c r="E1255" s="26" t="s">
        <v>277</v>
      </c>
      <c r="F1255" s="26" t="s">
        <v>58</v>
      </c>
      <c r="G1255" s="27">
        <f t="shared" si="874"/>
        <v>1536000</v>
      </c>
      <c r="H1255" s="27">
        <f t="shared" si="874"/>
        <v>1480000</v>
      </c>
      <c r="I1255" s="27">
        <f t="shared" si="874"/>
        <v>1480000</v>
      </c>
      <c r="J1255" s="16">
        <f>'БА в тыс. руб.'!G1255*1000</f>
        <v>1536000</v>
      </c>
      <c r="K1255" s="169">
        <f t="shared" si="855"/>
        <v>0</v>
      </c>
      <c r="L1255" s="16">
        <f>'БА в тыс. руб.'!H1255*1000</f>
        <v>1480000</v>
      </c>
      <c r="M1255" s="169">
        <f t="shared" si="856"/>
        <v>0</v>
      </c>
      <c r="N1255" s="16">
        <f>'БА в тыс. руб.'!I1255*1000</f>
        <v>1480000</v>
      </c>
      <c r="O1255" s="169">
        <f t="shared" si="857"/>
        <v>0</v>
      </c>
      <c r="P1255" s="16"/>
      <c r="Q1255" s="16"/>
      <c r="R1255" s="16"/>
      <c r="S1255" s="16"/>
      <c r="T1255" s="16"/>
      <c r="U1255" s="16"/>
    </row>
    <row r="1256" spans="1:21" s="3" customFormat="1" ht="51">
      <c r="A1256" s="12" t="s">
        <v>194</v>
      </c>
      <c r="B1256" s="25" t="s">
        <v>12</v>
      </c>
      <c r="C1256" s="26" t="s">
        <v>50</v>
      </c>
      <c r="D1256" s="26" t="s">
        <v>65</v>
      </c>
      <c r="E1256" s="26" t="s">
        <v>278</v>
      </c>
      <c r="F1256" s="26" t="s">
        <v>58</v>
      </c>
      <c r="G1256" s="27">
        <f t="shared" si="874"/>
        <v>1536000</v>
      </c>
      <c r="H1256" s="27">
        <f t="shared" si="874"/>
        <v>1480000</v>
      </c>
      <c r="I1256" s="27">
        <f t="shared" si="874"/>
        <v>1480000</v>
      </c>
      <c r="J1256" s="16">
        <f>'БА в тыс. руб.'!G1256*1000</f>
        <v>1536000</v>
      </c>
      <c r="K1256" s="169">
        <f t="shared" si="855"/>
        <v>0</v>
      </c>
      <c r="L1256" s="16">
        <f>'БА в тыс. руб.'!H1256*1000</f>
        <v>1480000</v>
      </c>
      <c r="M1256" s="169">
        <f t="shared" si="856"/>
        <v>0</v>
      </c>
      <c r="N1256" s="16">
        <f>'БА в тыс. руб.'!I1256*1000</f>
        <v>1480000</v>
      </c>
      <c r="O1256" s="169">
        <f t="shared" si="857"/>
        <v>0</v>
      </c>
      <c r="P1256" s="16"/>
      <c r="Q1256" s="16"/>
      <c r="R1256" s="16"/>
      <c r="S1256" s="16"/>
      <c r="T1256" s="16"/>
      <c r="U1256" s="16"/>
    </row>
    <row r="1257" spans="1:21" s="3" customFormat="1" ht="63.75">
      <c r="A1257" s="40" t="s">
        <v>605</v>
      </c>
      <c r="B1257" s="35" t="s">
        <v>12</v>
      </c>
      <c r="C1257" s="36" t="s">
        <v>50</v>
      </c>
      <c r="D1257" s="36" t="s">
        <v>65</v>
      </c>
      <c r="E1257" s="36" t="s">
        <v>279</v>
      </c>
      <c r="F1257" s="36" t="s">
        <v>58</v>
      </c>
      <c r="G1257" s="37">
        <f>G1258+G1261</f>
        <v>1536000</v>
      </c>
      <c r="H1257" s="37">
        <f>H1258+H1261</f>
        <v>1480000</v>
      </c>
      <c r="I1257" s="37">
        <f>I1258+I1261</f>
        <v>1480000</v>
      </c>
      <c r="J1257" s="16">
        <f>'БА в тыс. руб.'!G1257*1000</f>
        <v>1536000</v>
      </c>
      <c r="K1257" s="169">
        <f t="shared" si="855"/>
        <v>0</v>
      </c>
      <c r="L1257" s="16">
        <f>'БА в тыс. руб.'!H1257*1000</f>
        <v>1480000</v>
      </c>
      <c r="M1257" s="169">
        <f t="shared" si="856"/>
        <v>0</v>
      </c>
      <c r="N1257" s="16">
        <f>'БА в тыс. руб.'!I1257*1000</f>
        <v>1480000</v>
      </c>
      <c r="O1257" s="169">
        <f t="shared" si="857"/>
        <v>0</v>
      </c>
      <c r="P1257" s="16"/>
      <c r="Q1257" s="16"/>
      <c r="R1257" s="16"/>
      <c r="S1257" s="16"/>
      <c r="T1257" s="16"/>
      <c r="U1257" s="16"/>
    </row>
    <row r="1258" spans="1:21" s="3" customFormat="1" ht="25.5">
      <c r="A1258" s="11" t="s">
        <v>161</v>
      </c>
      <c r="B1258" s="25" t="s">
        <v>12</v>
      </c>
      <c r="C1258" s="26" t="s">
        <v>50</v>
      </c>
      <c r="D1258" s="26" t="s">
        <v>65</v>
      </c>
      <c r="E1258" s="26" t="s">
        <v>320</v>
      </c>
      <c r="F1258" s="26" t="s">
        <v>58</v>
      </c>
      <c r="G1258" s="27">
        <f>G1259</f>
        <v>975000</v>
      </c>
      <c r="H1258" s="27">
        <f>H1259</f>
        <v>919000</v>
      </c>
      <c r="I1258" s="27">
        <f>I1259</f>
        <v>919000</v>
      </c>
      <c r="J1258" s="16">
        <f>'БА в тыс. руб.'!G1258*1000</f>
        <v>975000</v>
      </c>
      <c r="K1258" s="169">
        <f t="shared" si="855"/>
        <v>0</v>
      </c>
      <c r="L1258" s="16">
        <f>'БА в тыс. руб.'!H1258*1000</f>
        <v>919000</v>
      </c>
      <c r="M1258" s="169">
        <f t="shared" si="856"/>
        <v>0</v>
      </c>
      <c r="N1258" s="16">
        <f>'БА в тыс. руб.'!I1258*1000</f>
        <v>919000</v>
      </c>
      <c r="O1258" s="169">
        <f t="shared" si="857"/>
        <v>0</v>
      </c>
      <c r="P1258" s="16"/>
      <c r="Q1258" s="16"/>
      <c r="R1258" s="16"/>
      <c r="S1258" s="16"/>
      <c r="T1258" s="16"/>
      <c r="U1258" s="16"/>
    </row>
    <row r="1259" spans="1:21" s="3" customFormat="1" ht="25.5">
      <c r="A1259" s="11" t="s">
        <v>108</v>
      </c>
      <c r="B1259" s="25" t="s">
        <v>12</v>
      </c>
      <c r="C1259" s="26" t="s">
        <v>50</v>
      </c>
      <c r="D1259" s="26" t="s">
        <v>65</v>
      </c>
      <c r="E1259" s="26" t="s">
        <v>320</v>
      </c>
      <c r="F1259" s="26" t="s">
        <v>116</v>
      </c>
      <c r="G1259" s="27">
        <f>G1260</f>
        <v>975000</v>
      </c>
      <c r="H1259" s="27">
        <f t="shared" ref="H1259:I1259" si="875">H1260</f>
        <v>919000</v>
      </c>
      <c r="I1259" s="27">
        <f t="shared" si="875"/>
        <v>919000</v>
      </c>
      <c r="J1259" s="16">
        <f>'БА в тыс. руб.'!G1259*1000</f>
        <v>975000</v>
      </c>
      <c r="K1259" s="169">
        <f t="shared" si="855"/>
        <v>0</v>
      </c>
      <c r="L1259" s="16">
        <f>'БА в тыс. руб.'!H1259*1000</f>
        <v>919000</v>
      </c>
      <c r="M1259" s="169">
        <f t="shared" si="856"/>
        <v>0</v>
      </c>
      <c r="N1259" s="16">
        <f>'БА в тыс. руб.'!I1259*1000</f>
        <v>919000</v>
      </c>
      <c r="O1259" s="169">
        <f t="shared" si="857"/>
        <v>0</v>
      </c>
      <c r="P1259" s="16"/>
      <c r="Q1259" s="16"/>
      <c r="R1259" s="16"/>
      <c r="S1259" s="16"/>
      <c r="T1259" s="16"/>
      <c r="U1259" s="16"/>
    </row>
    <row r="1260" spans="1:21" s="4" customFormat="1" ht="25.5">
      <c r="A1260" s="12" t="s">
        <v>973</v>
      </c>
      <c r="B1260" s="25" t="s">
        <v>12</v>
      </c>
      <c r="C1260" s="26" t="s">
        <v>50</v>
      </c>
      <c r="D1260" s="26" t="s">
        <v>65</v>
      </c>
      <c r="E1260" s="26" t="s">
        <v>320</v>
      </c>
      <c r="F1260" s="26" t="s">
        <v>1043</v>
      </c>
      <c r="G1260" s="27">
        <f t="shared" ref="G1260" si="876">J1260</f>
        <v>975000</v>
      </c>
      <c r="H1260" s="27">
        <f>L1260</f>
        <v>919000</v>
      </c>
      <c r="I1260" s="27">
        <f>N1260</f>
        <v>919000</v>
      </c>
      <c r="J1260" s="16">
        <f>'БА в тыс. руб.'!G1260*1000</f>
        <v>975000</v>
      </c>
      <c r="K1260" s="169">
        <f t="shared" si="855"/>
        <v>0</v>
      </c>
      <c r="L1260" s="16">
        <f>'БА в тыс. руб.'!H1260*1000</f>
        <v>919000</v>
      </c>
      <c r="M1260" s="169">
        <f t="shared" si="856"/>
        <v>0</v>
      </c>
      <c r="N1260" s="16">
        <f>'БА в тыс. руб.'!I1260*1000</f>
        <v>919000</v>
      </c>
      <c r="O1260" s="169">
        <f t="shared" si="857"/>
        <v>0</v>
      </c>
      <c r="P1260" s="16"/>
      <c r="Q1260" s="16"/>
      <c r="R1260" s="16"/>
      <c r="S1260" s="16"/>
      <c r="T1260" s="16"/>
      <c r="U1260" s="16"/>
    </row>
    <row r="1261" spans="1:21" s="3" customFormat="1" ht="25.5">
      <c r="A1261" s="12" t="s">
        <v>892</v>
      </c>
      <c r="B1261" s="25" t="s">
        <v>12</v>
      </c>
      <c r="C1261" s="26" t="s">
        <v>50</v>
      </c>
      <c r="D1261" s="26" t="s">
        <v>65</v>
      </c>
      <c r="E1261" s="26" t="s">
        <v>500</v>
      </c>
      <c r="F1261" s="26" t="s">
        <v>58</v>
      </c>
      <c r="G1261" s="27">
        <f>G1262</f>
        <v>561000</v>
      </c>
      <c r="H1261" s="27">
        <f>H1262</f>
        <v>561000</v>
      </c>
      <c r="I1261" s="27">
        <f>I1262</f>
        <v>561000</v>
      </c>
      <c r="J1261" s="16">
        <f>'БА в тыс. руб.'!G1261*1000</f>
        <v>561000</v>
      </c>
      <c r="K1261" s="169">
        <f t="shared" si="855"/>
        <v>0</v>
      </c>
      <c r="L1261" s="16">
        <f>'БА в тыс. руб.'!H1261*1000</f>
        <v>561000</v>
      </c>
      <c r="M1261" s="169">
        <f t="shared" si="856"/>
        <v>0</v>
      </c>
      <c r="N1261" s="16">
        <f>'БА в тыс. руб.'!I1261*1000</f>
        <v>561000</v>
      </c>
      <c r="O1261" s="169">
        <f t="shared" si="857"/>
        <v>0</v>
      </c>
      <c r="P1261" s="16"/>
      <c r="Q1261" s="16"/>
      <c r="R1261" s="16"/>
      <c r="S1261" s="16"/>
      <c r="T1261" s="16"/>
      <c r="U1261" s="16"/>
    </row>
    <row r="1262" spans="1:21" s="3" customFormat="1" ht="25.5">
      <c r="A1262" s="11" t="s">
        <v>108</v>
      </c>
      <c r="B1262" s="25" t="s">
        <v>12</v>
      </c>
      <c r="C1262" s="26" t="s">
        <v>50</v>
      </c>
      <c r="D1262" s="26" t="s">
        <v>65</v>
      </c>
      <c r="E1262" s="26" t="s">
        <v>500</v>
      </c>
      <c r="F1262" s="26" t="s">
        <v>116</v>
      </c>
      <c r="G1262" s="27">
        <f>G1263</f>
        <v>561000</v>
      </c>
      <c r="H1262" s="27">
        <f t="shared" ref="H1262:I1262" si="877">H1263</f>
        <v>561000</v>
      </c>
      <c r="I1262" s="27">
        <f t="shared" si="877"/>
        <v>561000</v>
      </c>
      <c r="J1262" s="16">
        <f>'БА в тыс. руб.'!G1262*1000</f>
        <v>561000</v>
      </c>
      <c r="K1262" s="169">
        <f t="shared" si="855"/>
        <v>0</v>
      </c>
      <c r="L1262" s="16">
        <f>'БА в тыс. руб.'!H1262*1000</f>
        <v>561000</v>
      </c>
      <c r="M1262" s="169">
        <f t="shared" si="856"/>
        <v>0</v>
      </c>
      <c r="N1262" s="16">
        <f>'БА в тыс. руб.'!I1262*1000</f>
        <v>561000</v>
      </c>
      <c r="O1262" s="169">
        <f t="shared" si="857"/>
        <v>0</v>
      </c>
      <c r="P1262" s="16"/>
      <c r="Q1262" s="16"/>
      <c r="R1262" s="16"/>
      <c r="S1262" s="16"/>
      <c r="T1262" s="16"/>
      <c r="U1262" s="16"/>
    </row>
    <row r="1263" spans="1:21" s="4" customFormat="1" ht="25.5">
      <c r="A1263" s="12" t="s">
        <v>973</v>
      </c>
      <c r="B1263" s="25" t="s">
        <v>12</v>
      </c>
      <c r="C1263" s="26" t="s">
        <v>50</v>
      </c>
      <c r="D1263" s="26" t="s">
        <v>65</v>
      </c>
      <c r="E1263" s="26" t="s">
        <v>500</v>
      </c>
      <c r="F1263" s="26" t="s">
        <v>1043</v>
      </c>
      <c r="G1263" s="27">
        <f t="shared" ref="G1263" si="878">J1263</f>
        <v>561000</v>
      </c>
      <c r="H1263" s="27">
        <f t="shared" ref="H1263" si="879">L1263</f>
        <v>561000</v>
      </c>
      <c r="I1263" s="27">
        <f t="shared" ref="I1263" si="880">N1263</f>
        <v>561000</v>
      </c>
      <c r="J1263" s="16">
        <f>'БА в тыс. руб.'!G1263*1000</f>
        <v>561000</v>
      </c>
      <c r="K1263" s="169">
        <f t="shared" si="855"/>
        <v>0</v>
      </c>
      <c r="L1263" s="16">
        <f>'БА в тыс. руб.'!H1263*1000</f>
        <v>561000</v>
      </c>
      <c r="M1263" s="169">
        <f t="shared" si="856"/>
        <v>0</v>
      </c>
      <c r="N1263" s="16">
        <f>'БА в тыс. руб.'!I1263*1000</f>
        <v>561000</v>
      </c>
      <c r="O1263" s="169">
        <f t="shared" si="857"/>
        <v>0</v>
      </c>
      <c r="P1263" s="16"/>
      <c r="Q1263" s="16"/>
      <c r="R1263" s="16"/>
      <c r="S1263" s="16"/>
      <c r="T1263" s="16"/>
      <c r="U1263" s="16"/>
    </row>
    <row r="1264" spans="1:21" s="3" customFormat="1">
      <c r="A1264" s="11"/>
      <c r="B1264" s="25"/>
      <c r="C1264" s="26"/>
      <c r="D1264" s="26"/>
      <c r="E1264" s="26"/>
      <c r="F1264" s="26"/>
      <c r="G1264" s="27"/>
      <c r="H1264" s="27"/>
      <c r="I1264" s="27"/>
      <c r="J1264" s="16">
        <f>'БА в тыс. руб.'!G1264*1000</f>
        <v>0</v>
      </c>
      <c r="K1264" s="169">
        <f t="shared" si="855"/>
        <v>0</v>
      </c>
      <c r="L1264" s="16">
        <f>'БА в тыс. руб.'!H1264*1000</f>
        <v>0</v>
      </c>
      <c r="M1264" s="169">
        <f t="shared" si="856"/>
        <v>0</v>
      </c>
      <c r="N1264" s="16">
        <f>'БА в тыс. руб.'!I1264*1000</f>
        <v>0</v>
      </c>
      <c r="O1264" s="169">
        <f t="shared" si="857"/>
        <v>0</v>
      </c>
      <c r="P1264" s="16"/>
      <c r="Q1264" s="16"/>
      <c r="R1264" s="16"/>
      <c r="S1264" s="16"/>
      <c r="T1264" s="16"/>
      <c r="U1264" s="16"/>
    </row>
    <row r="1265" spans="1:21" s="3" customFormat="1">
      <c r="A1265" s="9" t="s">
        <v>17</v>
      </c>
      <c r="B1265" s="14" t="s">
        <v>18</v>
      </c>
      <c r="C1265" s="15" t="s">
        <v>51</v>
      </c>
      <c r="D1265" s="15" t="s">
        <v>51</v>
      </c>
      <c r="E1265" s="143" t="s">
        <v>196</v>
      </c>
      <c r="F1265" s="15" t="s">
        <v>58</v>
      </c>
      <c r="G1265" s="29">
        <f>G1266+G1303+G1317+G1336</f>
        <v>167614750</v>
      </c>
      <c r="H1265" s="29">
        <f>H1266+H1303+H1317+H1336</f>
        <v>156136920</v>
      </c>
      <c r="I1265" s="29">
        <f>I1266+I1303+I1317+I1336</f>
        <v>156136920</v>
      </c>
      <c r="J1265" s="16">
        <f>'БА в тыс. руб.'!G1265*1000</f>
        <v>167614750.00000003</v>
      </c>
      <c r="K1265" s="169">
        <f t="shared" si="855"/>
        <v>0</v>
      </c>
      <c r="L1265" s="16">
        <f>'БА в тыс. руб.'!H1265*1000</f>
        <v>156136919.99999997</v>
      </c>
      <c r="M1265" s="169">
        <f t="shared" si="856"/>
        <v>0</v>
      </c>
      <c r="N1265" s="16">
        <f>'БА в тыс. руб.'!I1265*1000</f>
        <v>156136919.99999997</v>
      </c>
      <c r="O1265" s="169">
        <f t="shared" si="857"/>
        <v>0</v>
      </c>
      <c r="P1265" s="16"/>
      <c r="Q1265" s="16"/>
      <c r="R1265" s="16"/>
      <c r="S1265" s="16"/>
      <c r="T1265" s="16"/>
      <c r="U1265" s="16"/>
    </row>
    <row r="1266" spans="1:21" s="3" customFormat="1">
      <c r="A1266" s="139" t="s">
        <v>64</v>
      </c>
      <c r="B1266" s="18" t="s">
        <v>18</v>
      </c>
      <c r="C1266" s="19" t="s">
        <v>65</v>
      </c>
      <c r="D1266" s="19" t="s">
        <v>51</v>
      </c>
      <c r="E1266" s="19" t="s">
        <v>196</v>
      </c>
      <c r="F1266" s="19" t="s">
        <v>58</v>
      </c>
      <c r="G1266" s="20">
        <f>G1267+G1293</f>
        <v>41675890</v>
      </c>
      <c r="H1266" s="20">
        <f>H1267+H1293</f>
        <v>41705760</v>
      </c>
      <c r="I1266" s="20">
        <f>I1267+I1293</f>
        <v>41705760</v>
      </c>
      <c r="J1266" s="16">
        <f>'БА в тыс. руб.'!G1266*1000</f>
        <v>41675890</v>
      </c>
      <c r="K1266" s="169">
        <f t="shared" si="855"/>
        <v>0</v>
      </c>
      <c r="L1266" s="16">
        <f>'БА в тыс. руб.'!H1266*1000</f>
        <v>41705760</v>
      </c>
      <c r="M1266" s="169">
        <f t="shared" si="856"/>
        <v>0</v>
      </c>
      <c r="N1266" s="16">
        <f>'БА в тыс. руб.'!I1266*1000</f>
        <v>41705760</v>
      </c>
      <c r="O1266" s="169">
        <f t="shared" si="857"/>
        <v>0</v>
      </c>
      <c r="P1266" s="16"/>
      <c r="Q1266" s="16"/>
      <c r="R1266" s="16"/>
      <c r="S1266" s="16"/>
      <c r="T1266" s="16"/>
      <c r="U1266" s="16"/>
    </row>
    <row r="1267" spans="1:21" s="3" customFormat="1" ht="39">
      <c r="A1267" s="144" t="s">
        <v>31</v>
      </c>
      <c r="B1267" s="22" t="s">
        <v>18</v>
      </c>
      <c r="C1267" s="23" t="s">
        <v>65</v>
      </c>
      <c r="D1267" s="23" t="s">
        <v>37</v>
      </c>
      <c r="E1267" s="23" t="s">
        <v>196</v>
      </c>
      <c r="F1267" s="23" t="s">
        <v>58</v>
      </c>
      <c r="G1267" s="24">
        <f t="shared" ref="G1267:I1268" si="881">G1268</f>
        <v>41120820</v>
      </c>
      <c r="H1267" s="24">
        <f t="shared" si="881"/>
        <v>41146860</v>
      </c>
      <c r="I1267" s="24">
        <f t="shared" si="881"/>
        <v>41146860</v>
      </c>
      <c r="J1267" s="16">
        <f>'БА в тыс. руб.'!G1267*1000</f>
        <v>41120820</v>
      </c>
      <c r="K1267" s="169">
        <f t="shared" si="855"/>
        <v>0</v>
      </c>
      <c r="L1267" s="16">
        <f>'БА в тыс. руб.'!H1267*1000</f>
        <v>41146860</v>
      </c>
      <c r="M1267" s="169">
        <f t="shared" si="856"/>
        <v>0</v>
      </c>
      <c r="N1267" s="16">
        <f>'БА в тыс. руб.'!I1267*1000</f>
        <v>41146860</v>
      </c>
      <c r="O1267" s="169">
        <f t="shared" si="857"/>
        <v>0</v>
      </c>
      <c r="P1267" s="16"/>
      <c r="Q1267" s="16"/>
      <c r="R1267" s="16"/>
      <c r="S1267" s="16"/>
      <c r="T1267" s="16"/>
      <c r="U1267" s="16"/>
    </row>
    <row r="1268" spans="1:21" s="3" customFormat="1" ht="25.5">
      <c r="A1268" s="11" t="s">
        <v>151</v>
      </c>
      <c r="B1268" s="26" t="s">
        <v>18</v>
      </c>
      <c r="C1268" s="26" t="s">
        <v>65</v>
      </c>
      <c r="D1268" s="26" t="s">
        <v>37</v>
      </c>
      <c r="E1268" s="26" t="s">
        <v>553</v>
      </c>
      <c r="F1268" s="26" t="s">
        <v>58</v>
      </c>
      <c r="G1268" s="27">
        <f t="shared" si="881"/>
        <v>41120820</v>
      </c>
      <c r="H1268" s="27">
        <f t="shared" si="881"/>
        <v>41146860</v>
      </c>
      <c r="I1268" s="27">
        <f t="shared" si="881"/>
        <v>41146860</v>
      </c>
      <c r="J1268" s="16">
        <f>'БА в тыс. руб.'!G1268*1000</f>
        <v>41120820</v>
      </c>
      <c r="K1268" s="169">
        <f t="shared" si="855"/>
        <v>0</v>
      </c>
      <c r="L1268" s="16">
        <f>'БА в тыс. руб.'!H1268*1000</f>
        <v>41146860</v>
      </c>
      <c r="M1268" s="169">
        <f t="shared" si="856"/>
        <v>0</v>
      </c>
      <c r="N1268" s="16">
        <f>'БА в тыс. руб.'!I1268*1000</f>
        <v>41146860</v>
      </c>
      <c r="O1268" s="169">
        <f t="shared" si="857"/>
        <v>0</v>
      </c>
      <c r="P1268" s="16"/>
      <c r="Q1268" s="16"/>
      <c r="R1268" s="16"/>
      <c r="S1268" s="16"/>
      <c r="T1268" s="16"/>
      <c r="U1268" s="16"/>
    </row>
    <row r="1269" spans="1:21" s="3" customFormat="1" ht="25.5">
      <c r="A1269" s="11" t="s">
        <v>152</v>
      </c>
      <c r="B1269" s="26" t="s">
        <v>18</v>
      </c>
      <c r="C1269" s="26" t="s">
        <v>65</v>
      </c>
      <c r="D1269" s="26" t="s">
        <v>37</v>
      </c>
      <c r="E1269" s="26" t="s">
        <v>554</v>
      </c>
      <c r="F1269" s="26" t="s">
        <v>58</v>
      </c>
      <c r="G1269" s="37">
        <f>G1290+G1283+G1279+G1270</f>
        <v>41120820</v>
      </c>
      <c r="H1269" s="37">
        <f>H1290+H1283+H1279+H1270</f>
        <v>41146860</v>
      </c>
      <c r="I1269" s="37">
        <f>I1290+I1283+I1279+I1270</f>
        <v>41146860</v>
      </c>
      <c r="J1269" s="16">
        <f>'БА в тыс. руб.'!G1269*1000</f>
        <v>41120820</v>
      </c>
      <c r="K1269" s="169">
        <f t="shared" si="855"/>
        <v>0</v>
      </c>
      <c r="L1269" s="16">
        <f>'БА в тыс. руб.'!H1269*1000</f>
        <v>41146860</v>
      </c>
      <c r="M1269" s="169">
        <f t="shared" si="856"/>
        <v>0</v>
      </c>
      <c r="N1269" s="16">
        <f>'БА в тыс. руб.'!I1269*1000</f>
        <v>41146860</v>
      </c>
      <c r="O1269" s="169">
        <f t="shared" si="857"/>
        <v>0</v>
      </c>
      <c r="P1269" s="16"/>
      <c r="Q1269" s="16"/>
      <c r="R1269" s="16"/>
      <c r="S1269" s="16"/>
      <c r="T1269" s="16"/>
      <c r="U1269" s="16"/>
    </row>
    <row r="1270" spans="1:21" s="3" customFormat="1" ht="25.5">
      <c r="A1270" s="11" t="s">
        <v>114</v>
      </c>
      <c r="B1270" s="26" t="s">
        <v>18</v>
      </c>
      <c r="C1270" s="26" t="s">
        <v>65</v>
      </c>
      <c r="D1270" s="26" t="s">
        <v>37</v>
      </c>
      <c r="E1270" s="26" t="s">
        <v>555</v>
      </c>
      <c r="F1270" s="26" t="s">
        <v>58</v>
      </c>
      <c r="G1270" s="37">
        <f>G1271+G1274+G1276</f>
        <v>4553030</v>
      </c>
      <c r="H1270" s="37">
        <f t="shared" ref="H1270:I1270" si="882">H1271+H1274+H1276</f>
        <v>4579070</v>
      </c>
      <c r="I1270" s="37">
        <f t="shared" si="882"/>
        <v>4579070</v>
      </c>
      <c r="J1270" s="16">
        <f>'БА в тыс. руб.'!G1270*1000</f>
        <v>4553030</v>
      </c>
      <c r="K1270" s="169">
        <f t="shared" si="855"/>
        <v>0</v>
      </c>
      <c r="L1270" s="16">
        <f>'БА в тыс. руб.'!H1270*1000</f>
        <v>4579070.0000000009</v>
      </c>
      <c r="M1270" s="169">
        <f t="shared" si="856"/>
        <v>0</v>
      </c>
      <c r="N1270" s="16">
        <f>'БА в тыс. руб.'!I1270*1000</f>
        <v>4579070.0000000009</v>
      </c>
      <c r="O1270" s="169">
        <f t="shared" si="857"/>
        <v>0</v>
      </c>
      <c r="P1270" s="16"/>
      <c r="Q1270" s="16"/>
      <c r="R1270" s="16"/>
      <c r="S1270" s="16"/>
      <c r="T1270" s="16"/>
      <c r="U1270" s="16"/>
    </row>
    <row r="1271" spans="1:21" s="145" customFormat="1" ht="25.5">
      <c r="A1271" s="34" t="s">
        <v>107</v>
      </c>
      <c r="B1271" s="36" t="s">
        <v>18</v>
      </c>
      <c r="C1271" s="36" t="s">
        <v>65</v>
      </c>
      <c r="D1271" s="36" t="s">
        <v>37</v>
      </c>
      <c r="E1271" s="26" t="s">
        <v>555</v>
      </c>
      <c r="F1271" s="36" t="s">
        <v>115</v>
      </c>
      <c r="G1271" s="37">
        <f>SUM(G1272:G1273)</f>
        <v>803310</v>
      </c>
      <c r="H1271" s="37">
        <f t="shared" ref="H1271:I1271" si="883">SUM(H1272:H1273)</f>
        <v>803310</v>
      </c>
      <c r="I1271" s="37">
        <f t="shared" si="883"/>
        <v>803310</v>
      </c>
      <c r="J1271" s="16">
        <f>'БА в тыс. руб.'!G1271*1000</f>
        <v>803310.00000000012</v>
      </c>
      <c r="K1271" s="169">
        <f t="shared" si="855"/>
        <v>0</v>
      </c>
      <c r="L1271" s="16">
        <f>'БА в тыс. руб.'!H1271*1000</f>
        <v>803310.00000000012</v>
      </c>
      <c r="M1271" s="169">
        <f t="shared" si="856"/>
        <v>0</v>
      </c>
      <c r="N1271" s="16">
        <f>'БА в тыс. руб.'!I1271*1000</f>
        <v>803310.00000000012</v>
      </c>
      <c r="O1271" s="169">
        <f t="shared" si="857"/>
        <v>0</v>
      </c>
      <c r="P1271" s="16"/>
      <c r="Q1271" s="16"/>
      <c r="R1271" s="16"/>
      <c r="S1271" s="16"/>
      <c r="T1271" s="16"/>
      <c r="U1271" s="16"/>
    </row>
    <row r="1272" spans="1:21" s="4" customFormat="1" ht="25.5">
      <c r="A1272" s="12" t="s">
        <v>937</v>
      </c>
      <c r="B1272" s="36" t="s">
        <v>18</v>
      </c>
      <c r="C1272" s="36" t="s">
        <v>65</v>
      </c>
      <c r="D1272" s="36" t="s">
        <v>37</v>
      </c>
      <c r="E1272" s="26" t="s">
        <v>555</v>
      </c>
      <c r="F1272" s="26" t="s">
        <v>1059</v>
      </c>
      <c r="G1272" s="27">
        <f t="shared" ref="G1272:G1273" si="884">J1272</f>
        <v>616980</v>
      </c>
      <c r="H1272" s="27">
        <f t="shared" ref="H1272:H1273" si="885">L1272</f>
        <v>616980</v>
      </c>
      <c r="I1272" s="27">
        <f t="shared" ref="I1272:I1273" si="886">N1272</f>
        <v>616980</v>
      </c>
      <c r="J1272" s="16">
        <f>'БА в тыс. руб.'!G1272*1000</f>
        <v>616980</v>
      </c>
      <c r="K1272" s="169">
        <f t="shared" si="855"/>
        <v>0</v>
      </c>
      <c r="L1272" s="16">
        <f>'БА в тыс. руб.'!H1272*1000</f>
        <v>616980</v>
      </c>
      <c r="M1272" s="169">
        <f t="shared" si="856"/>
        <v>0</v>
      </c>
      <c r="N1272" s="16">
        <f>'БА в тыс. руб.'!I1272*1000</f>
        <v>616980</v>
      </c>
      <c r="O1272" s="169">
        <f t="shared" si="857"/>
        <v>0</v>
      </c>
      <c r="P1272" s="16"/>
      <c r="Q1272" s="16"/>
      <c r="R1272" s="16"/>
      <c r="S1272" s="16"/>
      <c r="T1272" s="16"/>
      <c r="U1272" s="16"/>
    </row>
    <row r="1273" spans="1:21" s="4" customFormat="1" ht="38.25">
      <c r="A1273" s="12" t="s">
        <v>939</v>
      </c>
      <c r="B1273" s="36" t="s">
        <v>18</v>
      </c>
      <c r="C1273" s="36" t="s">
        <v>65</v>
      </c>
      <c r="D1273" s="36" t="s">
        <v>37</v>
      </c>
      <c r="E1273" s="26" t="s">
        <v>555</v>
      </c>
      <c r="F1273" s="26" t="s">
        <v>1060</v>
      </c>
      <c r="G1273" s="27">
        <f t="shared" si="884"/>
        <v>186330</v>
      </c>
      <c r="H1273" s="27">
        <f t="shared" si="885"/>
        <v>186330</v>
      </c>
      <c r="I1273" s="27">
        <f t="shared" si="886"/>
        <v>186330</v>
      </c>
      <c r="J1273" s="16">
        <f>'БА в тыс. руб.'!G1273*1000</f>
        <v>186330</v>
      </c>
      <c r="K1273" s="169">
        <f t="shared" si="855"/>
        <v>0</v>
      </c>
      <c r="L1273" s="16">
        <f>'БА в тыс. руб.'!H1273*1000</f>
        <v>186330</v>
      </c>
      <c r="M1273" s="169">
        <f t="shared" si="856"/>
        <v>0</v>
      </c>
      <c r="N1273" s="16">
        <f>'БА в тыс. руб.'!I1273*1000</f>
        <v>186330</v>
      </c>
      <c r="O1273" s="169">
        <f t="shared" si="857"/>
        <v>0</v>
      </c>
      <c r="P1273" s="16"/>
      <c r="Q1273" s="16"/>
      <c r="R1273" s="16"/>
      <c r="S1273" s="16"/>
      <c r="T1273" s="16"/>
      <c r="U1273" s="16"/>
    </row>
    <row r="1274" spans="1:21" s="3" customFormat="1" ht="25.5">
      <c r="A1274" s="11" t="s">
        <v>108</v>
      </c>
      <c r="B1274" s="26" t="s">
        <v>18</v>
      </c>
      <c r="C1274" s="26" t="s">
        <v>65</v>
      </c>
      <c r="D1274" s="26" t="s">
        <v>37</v>
      </c>
      <c r="E1274" s="26" t="s">
        <v>555</v>
      </c>
      <c r="F1274" s="26" t="s">
        <v>116</v>
      </c>
      <c r="G1274" s="37">
        <f>G1275</f>
        <v>3469720</v>
      </c>
      <c r="H1274" s="37">
        <f t="shared" ref="H1274:I1274" si="887">H1275</f>
        <v>3495760</v>
      </c>
      <c r="I1274" s="37">
        <f t="shared" si="887"/>
        <v>3495760</v>
      </c>
      <c r="J1274" s="16">
        <f>'БА в тыс. руб.'!G1274*1000</f>
        <v>3469720</v>
      </c>
      <c r="K1274" s="169">
        <f t="shared" si="855"/>
        <v>0</v>
      </c>
      <c r="L1274" s="16">
        <f>'БА в тыс. руб.'!H1274*1000</f>
        <v>3495760</v>
      </c>
      <c r="M1274" s="169">
        <f t="shared" si="856"/>
        <v>0</v>
      </c>
      <c r="N1274" s="16">
        <f>'БА в тыс. руб.'!I1274*1000</f>
        <v>3495760</v>
      </c>
      <c r="O1274" s="169">
        <f t="shared" si="857"/>
        <v>0</v>
      </c>
      <c r="P1274" s="16"/>
      <c r="Q1274" s="16"/>
      <c r="R1274" s="16"/>
      <c r="S1274" s="16"/>
      <c r="T1274" s="16"/>
      <c r="U1274" s="16"/>
    </row>
    <row r="1275" spans="1:21" s="4" customFormat="1" ht="25.5">
      <c r="A1275" s="12" t="s">
        <v>973</v>
      </c>
      <c r="B1275" s="26" t="s">
        <v>18</v>
      </c>
      <c r="C1275" s="26" t="s">
        <v>65</v>
      </c>
      <c r="D1275" s="26" t="s">
        <v>37</v>
      </c>
      <c r="E1275" s="26" t="s">
        <v>555</v>
      </c>
      <c r="F1275" s="26" t="s">
        <v>1043</v>
      </c>
      <c r="G1275" s="27">
        <f t="shared" ref="G1275" si="888">J1275</f>
        <v>3469720</v>
      </c>
      <c r="H1275" s="27">
        <f>L1275</f>
        <v>3495760</v>
      </c>
      <c r="I1275" s="27">
        <f>N1275</f>
        <v>3495760</v>
      </c>
      <c r="J1275" s="16">
        <f>'БА в тыс. руб.'!G1275*1000</f>
        <v>3469720</v>
      </c>
      <c r="K1275" s="169">
        <f t="shared" si="855"/>
        <v>0</v>
      </c>
      <c r="L1275" s="16">
        <f>'БА в тыс. руб.'!H1275*1000</f>
        <v>3495760</v>
      </c>
      <c r="M1275" s="169">
        <f t="shared" si="856"/>
        <v>0</v>
      </c>
      <c r="N1275" s="16">
        <f>'БА в тыс. руб.'!I1275*1000</f>
        <v>3495760</v>
      </c>
      <c r="O1275" s="169">
        <f t="shared" si="857"/>
        <v>0</v>
      </c>
      <c r="P1275" s="16"/>
      <c r="Q1275" s="16"/>
      <c r="R1275" s="16"/>
      <c r="S1275" s="16"/>
      <c r="T1275" s="16"/>
      <c r="U1275" s="16"/>
    </row>
    <row r="1276" spans="1:21" s="3" customFormat="1">
      <c r="A1276" s="11" t="s">
        <v>97</v>
      </c>
      <c r="B1276" s="36" t="s">
        <v>18</v>
      </c>
      <c r="C1276" s="36" t="s">
        <v>65</v>
      </c>
      <c r="D1276" s="36" t="s">
        <v>37</v>
      </c>
      <c r="E1276" s="26" t="s">
        <v>555</v>
      </c>
      <c r="F1276" s="36" t="s">
        <v>118</v>
      </c>
      <c r="G1276" s="37">
        <f>SUM(G1277:G1278)</f>
        <v>280000</v>
      </c>
      <c r="H1276" s="37">
        <f t="shared" ref="H1276:I1276" si="889">SUM(H1277:H1278)</f>
        <v>280000</v>
      </c>
      <c r="I1276" s="37">
        <f t="shared" si="889"/>
        <v>280000</v>
      </c>
      <c r="J1276" s="16">
        <f>'БА в тыс. руб.'!G1276*1000</f>
        <v>280000</v>
      </c>
      <c r="K1276" s="169">
        <f t="shared" si="855"/>
        <v>0</v>
      </c>
      <c r="L1276" s="16">
        <f>'БА в тыс. руб.'!H1276*1000</f>
        <v>280000</v>
      </c>
      <c r="M1276" s="169">
        <f t="shared" si="856"/>
        <v>0</v>
      </c>
      <c r="N1276" s="16">
        <f>'БА в тыс. руб.'!I1276*1000</f>
        <v>280000</v>
      </c>
      <c r="O1276" s="169">
        <f t="shared" si="857"/>
        <v>0</v>
      </c>
      <c r="P1276" s="16"/>
      <c r="Q1276" s="16"/>
      <c r="R1276" s="16"/>
      <c r="S1276" s="16"/>
      <c r="T1276" s="16"/>
      <c r="U1276" s="16"/>
    </row>
    <row r="1277" spans="1:21" s="4" customFormat="1">
      <c r="A1277" s="12" t="s">
        <v>1036</v>
      </c>
      <c r="B1277" s="36" t="s">
        <v>18</v>
      </c>
      <c r="C1277" s="36" t="s">
        <v>65</v>
      </c>
      <c r="D1277" s="36" t="s">
        <v>37</v>
      </c>
      <c r="E1277" s="26" t="s">
        <v>555</v>
      </c>
      <c r="F1277" s="26" t="s">
        <v>1061</v>
      </c>
      <c r="G1277" s="27">
        <f t="shared" ref="G1277:G1278" si="890">J1277</f>
        <v>260000</v>
      </c>
      <c r="H1277" s="27">
        <f t="shared" ref="H1277:H1278" si="891">L1277</f>
        <v>260000</v>
      </c>
      <c r="I1277" s="27">
        <f t="shared" ref="I1277:I1278" si="892">N1277</f>
        <v>260000</v>
      </c>
      <c r="J1277" s="16">
        <f>'БА в тыс. руб.'!G1277*1000</f>
        <v>260000</v>
      </c>
      <c r="K1277" s="169">
        <f t="shared" si="855"/>
        <v>0</v>
      </c>
      <c r="L1277" s="16">
        <f>'БА в тыс. руб.'!H1277*1000</f>
        <v>260000</v>
      </c>
      <c r="M1277" s="169">
        <f t="shared" si="856"/>
        <v>0</v>
      </c>
      <c r="N1277" s="16">
        <f>'БА в тыс. руб.'!I1277*1000</f>
        <v>260000</v>
      </c>
      <c r="O1277" s="169">
        <f t="shared" si="857"/>
        <v>0</v>
      </c>
      <c r="P1277" s="16"/>
      <c r="Q1277" s="16"/>
      <c r="R1277" s="16"/>
      <c r="S1277" s="16"/>
      <c r="T1277" s="16"/>
      <c r="U1277" s="16"/>
    </row>
    <row r="1278" spans="1:21" s="4" customFormat="1">
      <c r="A1278" s="12" t="s">
        <v>1037</v>
      </c>
      <c r="B1278" s="36" t="s">
        <v>18</v>
      </c>
      <c r="C1278" s="36" t="s">
        <v>65</v>
      </c>
      <c r="D1278" s="36" t="s">
        <v>37</v>
      </c>
      <c r="E1278" s="26" t="s">
        <v>555</v>
      </c>
      <c r="F1278" s="26" t="s">
        <v>1062</v>
      </c>
      <c r="G1278" s="27">
        <f t="shared" si="890"/>
        <v>20000</v>
      </c>
      <c r="H1278" s="27">
        <f t="shared" si="891"/>
        <v>20000</v>
      </c>
      <c r="I1278" s="27">
        <f t="shared" si="892"/>
        <v>20000</v>
      </c>
      <c r="J1278" s="16">
        <f>'БА в тыс. руб.'!G1278*1000</f>
        <v>20000</v>
      </c>
      <c r="K1278" s="169">
        <f t="shared" si="855"/>
        <v>0</v>
      </c>
      <c r="L1278" s="16">
        <f>'БА в тыс. руб.'!H1278*1000</f>
        <v>20000</v>
      </c>
      <c r="M1278" s="169">
        <f t="shared" si="856"/>
        <v>0</v>
      </c>
      <c r="N1278" s="16">
        <f>'БА в тыс. руб.'!I1278*1000</f>
        <v>20000</v>
      </c>
      <c r="O1278" s="169">
        <f t="shared" si="857"/>
        <v>0</v>
      </c>
      <c r="P1278" s="16"/>
      <c r="Q1278" s="16"/>
      <c r="R1278" s="16"/>
      <c r="S1278" s="16"/>
      <c r="T1278" s="16"/>
      <c r="U1278" s="16"/>
    </row>
    <row r="1279" spans="1:21" s="127" customFormat="1" ht="25.5">
      <c r="A1279" s="34" t="s">
        <v>504</v>
      </c>
      <c r="B1279" s="36" t="s">
        <v>18</v>
      </c>
      <c r="C1279" s="36" t="s">
        <v>65</v>
      </c>
      <c r="D1279" s="36" t="s">
        <v>37</v>
      </c>
      <c r="E1279" s="36" t="s">
        <v>556</v>
      </c>
      <c r="F1279" s="36" t="s">
        <v>58</v>
      </c>
      <c r="G1279" s="37">
        <f>G1280</f>
        <v>34981070</v>
      </c>
      <c r="H1279" s="37">
        <f>H1280</f>
        <v>34981070</v>
      </c>
      <c r="I1279" s="37">
        <f>I1280</f>
        <v>34981070</v>
      </c>
      <c r="J1279" s="16">
        <f>'БА в тыс. руб.'!G1279*1000</f>
        <v>34981070</v>
      </c>
      <c r="K1279" s="169">
        <f t="shared" si="855"/>
        <v>0</v>
      </c>
      <c r="L1279" s="16">
        <f>'БА в тыс. руб.'!H1279*1000</f>
        <v>34981070</v>
      </c>
      <c r="M1279" s="169">
        <f t="shared" si="856"/>
        <v>0</v>
      </c>
      <c r="N1279" s="16">
        <f>'БА в тыс. руб.'!I1279*1000</f>
        <v>34981070</v>
      </c>
      <c r="O1279" s="169">
        <f t="shared" si="857"/>
        <v>0</v>
      </c>
      <c r="P1279" s="16"/>
      <c r="Q1279" s="16"/>
      <c r="R1279" s="16"/>
      <c r="S1279" s="16"/>
      <c r="T1279" s="16"/>
      <c r="U1279" s="16"/>
    </row>
    <row r="1280" spans="1:21" s="145" customFormat="1" ht="25.5">
      <c r="A1280" s="34" t="s">
        <v>107</v>
      </c>
      <c r="B1280" s="36" t="s">
        <v>18</v>
      </c>
      <c r="C1280" s="36" t="s">
        <v>65</v>
      </c>
      <c r="D1280" s="36" t="s">
        <v>37</v>
      </c>
      <c r="E1280" s="36" t="s">
        <v>556</v>
      </c>
      <c r="F1280" s="36" t="s">
        <v>115</v>
      </c>
      <c r="G1280" s="37">
        <f>SUM(G1281:G1282)</f>
        <v>34981070</v>
      </c>
      <c r="H1280" s="37">
        <f t="shared" ref="H1280:I1280" si="893">SUM(H1281:H1282)</f>
        <v>34981070</v>
      </c>
      <c r="I1280" s="37">
        <f t="shared" si="893"/>
        <v>34981070</v>
      </c>
      <c r="J1280" s="16">
        <f>'БА в тыс. руб.'!G1280*1000</f>
        <v>34981070</v>
      </c>
      <c r="K1280" s="169">
        <f t="shared" si="855"/>
        <v>0</v>
      </c>
      <c r="L1280" s="16">
        <f>'БА в тыс. руб.'!H1280*1000</f>
        <v>34981070</v>
      </c>
      <c r="M1280" s="169">
        <f t="shared" si="856"/>
        <v>0</v>
      </c>
      <c r="N1280" s="16">
        <f>'БА в тыс. руб.'!I1280*1000</f>
        <v>34981070</v>
      </c>
      <c r="O1280" s="169">
        <f t="shared" si="857"/>
        <v>0</v>
      </c>
      <c r="P1280" s="16"/>
      <c r="Q1280" s="16"/>
      <c r="R1280" s="16"/>
      <c r="S1280" s="16"/>
      <c r="T1280" s="16"/>
      <c r="U1280" s="16"/>
    </row>
    <row r="1281" spans="1:21" s="4" customFormat="1">
      <c r="A1281" s="12" t="s">
        <v>936</v>
      </c>
      <c r="B1281" s="36" t="s">
        <v>18</v>
      </c>
      <c r="C1281" s="36" t="s">
        <v>65</v>
      </c>
      <c r="D1281" s="36" t="s">
        <v>37</v>
      </c>
      <c r="E1281" s="36" t="s">
        <v>556</v>
      </c>
      <c r="F1281" s="26" t="s">
        <v>1063</v>
      </c>
      <c r="G1281" s="27">
        <f t="shared" ref="G1281:G1282" si="894">J1281</f>
        <v>26867180</v>
      </c>
      <c r="H1281" s="27">
        <f t="shared" ref="H1281:H1282" si="895">L1281</f>
        <v>26867180</v>
      </c>
      <c r="I1281" s="27">
        <f t="shared" ref="I1281:I1282" si="896">N1281</f>
        <v>26867180</v>
      </c>
      <c r="J1281" s="16">
        <f>'БА в тыс. руб.'!G1281*1000</f>
        <v>26867180</v>
      </c>
      <c r="K1281" s="169">
        <f t="shared" si="855"/>
        <v>0</v>
      </c>
      <c r="L1281" s="16">
        <f>'БА в тыс. руб.'!H1281*1000</f>
        <v>26867180</v>
      </c>
      <c r="M1281" s="169">
        <f t="shared" si="856"/>
        <v>0</v>
      </c>
      <c r="N1281" s="16">
        <f>'БА в тыс. руб.'!I1281*1000</f>
        <v>26867180</v>
      </c>
      <c r="O1281" s="169">
        <f t="shared" si="857"/>
        <v>0</v>
      </c>
      <c r="P1281" s="16"/>
      <c r="Q1281" s="16"/>
      <c r="R1281" s="16"/>
      <c r="S1281" s="16"/>
      <c r="T1281" s="16"/>
      <c r="U1281" s="16"/>
    </row>
    <row r="1282" spans="1:21" s="4" customFormat="1" ht="38.25">
      <c r="A1282" s="12" t="s">
        <v>939</v>
      </c>
      <c r="B1282" s="36" t="s">
        <v>18</v>
      </c>
      <c r="C1282" s="36" t="s">
        <v>65</v>
      </c>
      <c r="D1282" s="36" t="s">
        <v>37</v>
      </c>
      <c r="E1282" s="36" t="s">
        <v>556</v>
      </c>
      <c r="F1282" s="26" t="s">
        <v>1060</v>
      </c>
      <c r="G1282" s="27">
        <f t="shared" si="894"/>
        <v>8113890</v>
      </c>
      <c r="H1282" s="27">
        <f t="shared" si="895"/>
        <v>8113890</v>
      </c>
      <c r="I1282" s="27">
        <f t="shared" si="896"/>
        <v>8113890</v>
      </c>
      <c r="J1282" s="16">
        <f>'БА в тыс. руб.'!G1282*1000</f>
        <v>8113890</v>
      </c>
      <c r="K1282" s="169">
        <f t="shared" si="855"/>
        <v>0</v>
      </c>
      <c r="L1282" s="16">
        <f>'БА в тыс. руб.'!H1282*1000</f>
        <v>8113890</v>
      </c>
      <c r="M1282" s="169">
        <f t="shared" si="856"/>
        <v>0</v>
      </c>
      <c r="N1282" s="16">
        <f>'БА в тыс. руб.'!I1282*1000</f>
        <v>8113890</v>
      </c>
      <c r="O1282" s="169">
        <f t="shared" si="857"/>
        <v>0</v>
      </c>
      <c r="P1282" s="16"/>
      <c r="Q1282" s="16"/>
      <c r="R1282" s="16"/>
      <c r="S1282" s="16"/>
      <c r="T1282" s="16"/>
      <c r="U1282" s="16"/>
    </row>
    <row r="1283" spans="1:21" s="127" customFormat="1" ht="51">
      <c r="A1283" s="126" t="s">
        <v>598</v>
      </c>
      <c r="B1283" s="36" t="s">
        <v>18</v>
      </c>
      <c r="C1283" s="36" t="s">
        <v>65</v>
      </c>
      <c r="D1283" s="36" t="s">
        <v>37</v>
      </c>
      <c r="E1283" s="36" t="s">
        <v>557</v>
      </c>
      <c r="F1283" s="36" t="s">
        <v>58</v>
      </c>
      <c r="G1283" s="37">
        <f>G1284+G1288</f>
        <v>1534980</v>
      </c>
      <c r="H1283" s="37">
        <f>H1284+H1288</f>
        <v>1534980</v>
      </c>
      <c r="I1283" s="37">
        <f>I1284+I1288</f>
        <v>1534980</v>
      </c>
      <c r="J1283" s="16">
        <f>'БА в тыс. руб.'!G1283*1000</f>
        <v>1534980</v>
      </c>
      <c r="K1283" s="169">
        <f t="shared" si="855"/>
        <v>0</v>
      </c>
      <c r="L1283" s="16">
        <f>'БА в тыс. руб.'!H1283*1000</f>
        <v>1534980</v>
      </c>
      <c r="M1283" s="169">
        <f t="shared" si="856"/>
        <v>0</v>
      </c>
      <c r="N1283" s="16">
        <f>'БА в тыс. руб.'!I1283*1000</f>
        <v>1534980</v>
      </c>
      <c r="O1283" s="169">
        <f t="shared" si="857"/>
        <v>0</v>
      </c>
      <c r="P1283" s="16"/>
      <c r="Q1283" s="16"/>
      <c r="R1283" s="16"/>
      <c r="S1283" s="16"/>
      <c r="T1283" s="16"/>
      <c r="U1283" s="16"/>
    </row>
    <row r="1284" spans="1:21" s="145" customFormat="1" ht="25.5">
      <c r="A1284" s="34" t="s">
        <v>107</v>
      </c>
      <c r="B1284" s="36" t="s">
        <v>18</v>
      </c>
      <c r="C1284" s="36" t="s">
        <v>65</v>
      </c>
      <c r="D1284" s="36" t="s">
        <v>37</v>
      </c>
      <c r="E1284" s="36" t="s">
        <v>557</v>
      </c>
      <c r="F1284" s="36" t="s">
        <v>115</v>
      </c>
      <c r="G1284" s="37">
        <f>SUM(G1285:G1287)</f>
        <v>1338680</v>
      </c>
      <c r="H1284" s="37">
        <f t="shared" ref="H1284:I1284" si="897">SUM(H1285:H1287)</f>
        <v>1338680</v>
      </c>
      <c r="I1284" s="37">
        <f t="shared" si="897"/>
        <v>1338680</v>
      </c>
      <c r="J1284" s="16">
        <f>'БА в тыс. руб.'!G1284*1000</f>
        <v>1338680</v>
      </c>
      <c r="K1284" s="169">
        <f t="shared" si="855"/>
        <v>0</v>
      </c>
      <c r="L1284" s="16">
        <f>'БА в тыс. руб.'!H1284*1000</f>
        <v>1338680</v>
      </c>
      <c r="M1284" s="169">
        <f t="shared" si="856"/>
        <v>0</v>
      </c>
      <c r="N1284" s="16">
        <f>'БА в тыс. руб.'!I1284*1000</f>
        <v>1338680</v>
      </c>
      <c r="O1284" s="169">
        <f t="shared" si="857"/>
        <v>0</v>
      </c>
      <c r="P1284" s="16"/>
      <c r="Q1284" s="16"/>
      <c r="R1284" s="16"/>
      <c r="S1284" s="16"/>
      <c r="T1284" s="16"/>
      <c r="U1284" s="16"/>
    </row>
    <row r="1285" spans="1:21" s="145" customFormat="1">
      <c r="A1285" s="11" t="s">
        <v>936</v>
      </c>
      <c r="B1285" s="36" t="s">
        <v>18</v>
      </c>
      <c r="C1285" s="36" t="s">
        <v>65</v>
      </c>
      <c r="D1285" s="36" t="s">
        <v>37</v>
      </c>
      <c r="E1285" s="36" t="s">
        <v>557</v>
      </c>
      <c r="F1285" s="26" t="s">
        <v>1063</v>
      </c>
      <c r="G1285" s="27">
        <f t="shared" ref="G1285:G1287" si="898">J1285</f>
        <v>977110</v>
      </c>
      <c r="H1285" s="27">
        <f t="shared" ref="H1285:H1287" si="899">L1285</f>
        <v>977110</v>
      </c>
      <c r="I1285" s="27">
        <f t="shared" ref="I1285:I1287" si="900">N1285</f>
        <v>977110</v>
      </c>
      <c r="J1285" s="16">
        <f>'БА в тыс. руб.'!G1285*1000</f>
        <v>977110</v>
      </c>
      <c r="K1285" s="169"/>
      <c r="L1285" s="16">
        <f>'БА в тыс. руб.'!H1285*1000</f>
        <v>977110</v>
      </c>
      <c r="M1285" s="169"/>
      <c r="N1285" s="16">
        <f>'БА в тыс. руб.'!I1285*1000</f>
        <v>977110</v>
      </c>
      <c r="O1285" s="169"/>
      <c r="P1285" s="16"/>
      <c r="Q1285" s="16"/>
      <c r="R1285" s="16"/>
      <c r="S1285" s="16"/>
      <c r="T1285" s="16"/>
      <c r="U1285" s="16"/>
    </row>
    <row r="1286" spans="1:21" s="4" customFormat="1" ht="15" customHeight="1">
      <c r="A1286" s="12" t="s">
        <v>937</v>
      </c>
      <c r="B1286" s="36" t="s">
        <v>18</v>
      </c>
      <c r="C1286" s="36" t="s">
        <v>65</v>
      </c>
      <c r="D1286" s="36" t="s">
        <v>37</v>
      </c>
      <c r="E1286" s="36" t="s">
        <v>557</v>
      </c>
      <c r="F1286" s="26" t="s">
        <v>1059</v>
      </c>
      <c r="G1286" s="27">
        <f t="shared" si="898"/>
        <v>51060</v>
      </c>
      <c r="H1286" s="27">
        <f t="shared" si="899"/>
        <v>51060</v>
      </c>
      <c r="I1286" s="27">
        <f t="shared" si="900"/>
        <v>51060</v>
      </c>
      <c r="J1286" s="16">
        <f>'БА в тыс. руб.'!G1286*1000</f>
        <v>51060</v>
      </c>
      <c r="K1286" s="169">
        <f t="shared" si="855"/>
        <v>0</v>
      </c>
      <c r="L1286" s="16">
        <f>'БА в тыс. руб.'!H1286*1000</f>
        <v>51060</v>
      </c>
      <c r="M1286" s="169">
        <f t="shared" si="856"/>
        <v>0</v>
      </c>
      <c r="N1286" s="16">
        <f>'БА в тыс. руб.'!I1286*1000</f>
        <v>51060</v>
      </c>
      <c r="O1286" s="169">
        <f t="shared" si="857"/>
        <v>0</v>
      </c>
      <c r="P1286" s="16"/>
      <c r="Q1286" s="16"/>
      <c r="R1286" s="16"/>
      <c r="S1286" s="16"/>
      <c r="T1286" s="16"/>
      <c r="U1286" s="16"/>
    </row>
    <row r="1287" spans="1:21" s="4" customFormat="1" ht="38.25">
      <c r="A1287" s="11" t="s">
        <v>939</v>
      </c>
      <c r="B1287" s="36" t="s">
        <v>18</v>
      </c>
      <c r="C1287" s="36" t="s">
        <v>65</v>
      </c>
      <c r="D1287" s="36" t="s">
        <v>37</v>
      </c>
      <c r="E1287" s="36" t="s">
        <v>557</v>
      </c>
      <c r="F1287" s="26" t="s">
        <v>1060</v>
      </c>
      <c r="G1287" s="27">
        <f t="shared" si="898"/>
        <v>310510</v>
      </c>
      <c r="H1287" s="27">
        <f t="shared" si="899"/>
        <v>310510</v>
      </c>
      <c r="I1287" s="27">
        <f t="shared" si="900"/>
        <v>310510</v>
      </c>
      <c r="J1287" s="16">
        <f>'БА в тыс. руб.'!G1287*1000</f>
        <v>310510</v>
      </c>
      <c r="K1287" s="169">
        <f t="shared" si="855"/>
        <v>0</v>
      </c>
      <c r="L1287" s="16">
        <f>'БА в тыс. руб.'!H1287*1000</f>
        <v>310510</v>
      </c>
      <c r="M1287" s="169">
        <f t="shared" si="856"/>
        <v>0</v>
      </c>
      <c r="N1287" s="16">
        <f>'БА в тыс. руб.'!I1287*1000</f>
        <v>310510</v>
      </c>
      <c r="O1287" s="169">
        <f t="shared" si="857"/>
        <v>0</v>
      </c>
      <c r="P1287" s="16"/>
      <c r="Q1287" s="16"/>
      <c r="R1287" s="16"/>
      <c r="S1287" s="16"/>
      <c r="T1287" s="16"/>
      <c r="U1287" s="16"/>
    </row>
    <row r="1288" spans="1:21" s="145" customFormat="1" ht="25.5">
      <c r="A1288" s="11" t="s">
        <v>108</v>
      </c>
      <c r="B1288" s="36" t="s">
        <v>18</v>
      </c>
      <c r="C1288" s="36" t="s">
        <v>65</v>
      </c>
      <c r="D1288" s="36" t="s">
        <v>37</v>
      </c>
      <c r="E1288" s="36" t="s">
        <v>557</v>
      </c>
      <c r="F1288" s="36" t="s">
        <v>116</v>
      </c>
      <c r="G1288" s="37">
        <f>G1289</f>
        <v>196300</v>
      </c>
      <c r="H1288" s="37">
        <f t="shared" ref="H1288:I1288" si="901">H1289</f>
        <v>196300</v>
      </c>
      <c r="I1288" s="37">
        <f t="shared" si="901"/>
        <v>196300</v>
      </c>
      <c r="J1288" s="16">
        <f>'БА в тыс. руб.'!G1288*1000</f>
        <v>196300</v>
      </c>
      <c r="K1288" s="169">
        <f t="shared" si="855"/>
        <v>0</v>
      </c>
      <c r="L1288" s="16">
        <f>'БА в тыс. руб.'!H1288*1000</f>
        <v>196300</v>
      </c>
      <c r="M1288" s="169">
        <f t="shared" si="856"/>
        <v>0</v>
      </c>
      <c r="N1288" s="16">
        <f>'БА в тыс. руб.'!I1288*1000</f>
        <v>196300</v>
      </c>
      <c r="O1288" s="169">
        <f t="shared" si="857"/>
        <v>0</v>
      </c>
      <c r="P1288" s="16"/>
      <c r="Q1288" s="16"/>
      <c r="R1288" s="16"/>
      <c r="S1288" s="16"/>
      <c r="T1288" s="16"/>
      <c r="U1288" s="16"/>
    </row>
    <row r="1289" spans="1:21" s="4" customFormat="1" ht="25.5">
      <c r="A1289" s="12" t="s">
        <v>973</v>
      </c>
      <c r="B1289" s="36" t="s">
        <v>18</v>
      </c>
      <c r="C1289" s="36" t="s">
        <v>65</v>
      </c>
      <c r="D1289" s="36" t="s">
        <v>37</v>
      </c>
      <c r="E1289" s="36" t="s">
        <v>557</v>
      </c>
      <c r="F1289" s="36" t="s">
        <v>1043</v>
      </c>
      <c r="G1289" s="27">
        <f t="shared" ref="G1289" si="902">J1289</f>
        <v>196300</v>
      </c>
      <c r="H1289" s="27">
        <f>L1289</f>
        <v>196300</v>
      </c>
      <c r="I1289" s="27">
        <f>N1289</f>
        <v>196300</v>
      </c>
      <c r="J1289" s="16">
        <f>'БА в тыс. руб.'!G1289*1000</f>
        <v>196300</v>
      </c>
      <c r="K1289" s="169">
        <f t="shared" si="855"/>
        <v>0</v>
      </c>
      <c r="L1289" s="16">
        <f>'БА в тыс. руб.'!H1289*1000</f>
        <v>196300</v>
      </c>
      <c r="M1289" s="169">
        <f t="shared" si="856"/>
        <v>0</v>
      </c>
      <c r="N1289" s="16">
        <f>'БА в тыс. руб.'!I1289*1000</f>
        <v>196300</v>
      </c>
      <c r="O1289" s="169">
        <f t="shared" si="857"/>
        <v>0</v>
      </c>
      <c r="P1289" s="16"/>
      <c r="Q1289" s="16"/>
      <c r="R1289" s="16"/>
      <c r="S1289" s="16"/>
      <c r="T1289" s="16"/>
      <c r="U1289" s="16"/>
    </row>
    <row r="1290" spans="1:21" s="127" customFormat="1" ht="51">
      <c r="A1290" s="34" t="s">
        <v>870</v>
      </c>
      <c r="B1290" s="36" t="s">
        <v>18</v>
      </c>
      <c r="C1290" s="36" t="s">
        <v>65</v>
      </c>
      <c r="D1290" s="36" t="s">
        <v>37</v>
      </c>
      <c r="E1290" s="36" t="s">
        <v>558</v>
      </c>
      <c r="F1290" s="36" t="s">
        <v>58</v>
      </c>
      <c r="G1290" s="37">
        <f>G1291</f>
        <v>51740</v>
      </c>
      <c r="H1290" s="37">
        <f>H1291</f>
        <v>51740</v>
      </c>
      <c r="I1290" s="37">
        <f>I1291</f>
        <v>51740</v>
      </c>
      <c r="J1290" s="16">
        <f>'БА в тыс. руб.'!G1290*1000</f>
        <v>51740</v>
      </c>
      <c r="K1290" s="169">
        <f t="shared" ref="K1290:K1354" si="903">J1290-G1290</f>
        <v>0</v>
      </c>
      <c r="L1290" s="16">
        <f>'БА в тыс. руб.'!H1290*1000</f>
        <v>51740</v>
      </c>
      <c r="M1290" s="169">
        <f t="shared" ref="M1290:M1354" si="904">L1290-H1290</f>
        <v>0</v>
      </c>
      <c r="N1290" s="16">
        <f>'БА в тыс. руб.'!I1290*1000</f>
        <v>51740</v>
      </c>
      <c r="O1290" s="169">
        <f t="shared" ref="O1290:O1354" si="905">N1290-I1290</f>
        <v>0</v>
      </c>
      <c r="P1290" s="16"/>
      <c r="Q1290" s="16"/>
      <c r="R1290" s="16"/>
      <c r="S1290" s="16"/>
      <c r="T1290" s="16"/>
      <c r="U1290" s="16"/>
    </row>
    <row r="1291" spans="1:21" s="145" customFormat="1" ht="25.5">
      <c r="A1291" s="11" t="s">
        <v>108</v>
      </c>
      <c r="B1291" s="36" t="s">
        <v>18</v>
      </c>
      <c r="C1291" s="36" t="s">
        <v>65</v>
      </c>
      <c r="D1291" s="36" t="s">
        <v>37</v>
      </c>
      <c r="E1291" s="36" t="s">
        <v>558</v>
      </c>
      <c r="F1291" s="36" t="s">
        <v>116</v>
      </c>
      <c r="G1291" s="37">
        <f>G1292</f>
        <v>51740</v>
      </c>
      <c r="H1291" s="37">
        <f t="shared" ref="H1291:I1291" si="906">H1292</f>
        <v>51740</v>
      </c>
      <c r="I1291" s="37">
        <f t="shared" si="906"/>
        <v>51740</v>
      </c>
      <c r="J1291" s="16">
        <f>'БА в тыс. руб.'!G1291*1000</f>
        <v>51740</v>
      </c>
      <c r="K1291" s="169">
        <f t="shared" si="903"/>
        <v>0</v>
      </c>
      <c r="L1291" s="16">
        <f>'БА в тыс. руб.'!H1291*1000</f>
        <v>51740</v>
      </c>
      <c r="M1291" s="169">
        <f t="shared" si="904"/>
        <v>0</v>
      </c>
      <c r="N1291" s="16">
        <f>'БА в тыс. руб.'!I1291*1000</f>
        <v>51740</v>
      </c>
      <c r="O1291" s="169">
        <f t="shared" si="905"/>
        <v>0</v>
      </c>
      <c r="P1291" s="16"/>
      <c r="Q1291" s="16"/>
      <c r="R1291" s="16"/>
      <c r="S1291" s="16"/>
      <c r="T1291" s="16"/>
      <c r="U1291" s="16"/>
    </row>
    <row r="1292" spans="1:21" s="4" customFormat="1" ht="25.5">
      <c r="A1292" s="12" t="s">
        <v>973</v>
      </c>
      <c r="B1292" s="36" t="s">
        <v>18</v>
      </c>
      <c r="C1292" s="36" t="s">
        <v>65</v>
      </c>
      <c r="D1292" s="36" t="s">
        <v>37</v>
      </c>
      <c r="E1292" s="36" t="s">
        <v>558</v>
      </c>
      <c r="F1292" s="36" t="s">
        <v>1043</v>
      </c>
      <c r="G1292" s="27">
        <f t="shared" ref="G1292" si="907">J1292</f>
        <v>51740</v>
      </c>
      <c r="H1292" s="27">
        <f>L1292</f>
        <v>51740</v>
      </c>
      <c r="I1292" s="27">
        <f>N1292</f>
        <v>51740</v>
      </c>
      <c r="J1292" s="16">
        <f>'БА в тыс. руб.'!G1292*1000</f>
        <v>51740</v>
      </c>
      <c r="K1292" s="169">
        <f t="shared" si="903"/>
        <v>0</v>
      </c>
      <c r="L1292" s="16">
        <f>'БА в тыс. руб.'!H1292*1000</f>
        <v>51740</v>
      </c>
      <c r="M1292" s="169">
        <f t="shared" si="904"/>
        <v>0</v>
      </c>
      <c r="N1292" s="16">
        <f>'БА в тыс. руб.'!I1292*1000</f>
        <v>51740</v>
      </c>
      <c r="O1292" s="169">
        <f t="shared" si="905"/>
        <v>0</v>
      </c>
      <c r="P1292" s="16"/>
      <c r="Q1292" s="16"/>
      <c r="R1292" s="16"/>
      <c r="S1292" s="16"/>
      <c r="T1292" s="16"/>
      <c r="U1292" s="16"/>
    </row>
    <row r="1293" spans="1:21" s="3" customFormat="1">
      <c r="A1293" s="128" t="s">
        <v>38</v>
      </c>
      <c r="B1293" s="22" t="s">
        <v>18</v>
      </c>
      <c r="C1293" s="23" t="s">
        <v>65</v>
      </c>
      <c r="D1293" s="23" t="s">
        <v>84</v>
      </c>
      <c r="E1293" s="23" t="s">
        <v>196</v>
      </c>
      <c r="F1293" s="23" t="s">
        <v>58</v>
      </c>
      <c r="G1293" s="24">
        <f>G1294</f>
        <v>555070</v>
      </c>
      <c r="H1293" s="24">
        <f t="shared" ref="H1293:I1298" si="908">H1294</f>
        <v>558900</v>
      </c>
      <c r="I1293" s="24">
        <f t="shared" si="908"/>
        <v>558900</v>
      </c>
      <c r="J1293" s="16">
        <f>'БА в тыс. руб.'!G1293*1000</f>
        <v>555070</v>
      </c>
      <c r="K1293" s="169">
        <f t="shared" si="903"/>
        <v>0</v>
      </c>
      <c r="L1293" s="16">
        <f>'БА в тыс. руб.'!H1293*1000</f>
        <v>558900</v>
      </c>
      <c r="M1293" s="169">
        <f t="shared" si="904"/>
        <v>0</v>
      </c>
      <c r="N1293" s="16">
        <f>'БА в тыс. руб.'!I1293*1000</f>
        <v>558900</v>
      </c>
      <c r="O1293" s="169">
        <f t="shared" si="905"/>
        <v>0</v>
      </c>
      <c r="P1293" s="16"/>
      <c r="Q1293" s="16"/>
      <c r="R1293" s="16"/>
      <c r="S1293" s="16"/>
      <c r="T1293" s="16"/>
      <c r="U1293" s="16"/>
    </row>
    <row r="1294" spans="1:21" s="3" customFormat="1" ht="38.25">
      <c r="A1294" s="13" t="s">
        <v>745</v>
      </c>
      <c r="B1294" s="26" t="s">
        <v>18</v>
      </c>
      <c r="C1294" s="26" t="s">
        <v>65</v>
      </c>
      <c r="D1294" s="26" t="s">
        <v>84</v>
      </c>
      <c r="E1294" s="26" t="s">
        <v>280</v>
      </c>
      <c r="F1294" s="26" t="s">
        <v>58</v>
      </c>
      <c r="G1294" s="27">
        <f>G1295</f>
        <v>555070</v>
      </c>
      <c r="H1294" s="27">
        <f t="shared" si="908"/>
        <v>558900</v>
      </c>
      <c r="I1294" s="27">
        <f t="shared" si="908"/>
        <v>558900</v>
      </c>
      <c r="J1294" s="16">
        <f>'БА в тыс. руб.'!G1294*1000</f>
        <v>555070</v>
      </c>
      <c r="K1294" s="169">
        <f t="shared" si="903"/>
        <v>0</v>
      </c>
      <c r="L1294" s="16">
        <f>'БА в тыс. руб.'!H1294*1000</f>
        <v>558900</v>
      </c>
      <c r="M1294" s="169">
        <f t="shared" si="904"/>
        <v>0</v>
      </c>
      <c r="N1294" s="16">
        <f>'БА в тыс. руб.'!I1294*1000</f>
        <v>558900</v>
      </c>
      <c r="O1294" s="169">
        <f t="shared" si="905"/>
        <v>0</v>
      </c>
      <c r="P1294" s="16"/>
      <c r="Q1294" s="16"/>
      <c r="R1294" s="16"/>
      <c r="S1294" s="16"/>
      <c r="T1294" s="16"/>
      <c r="U1294" s="16"/>
    </row>
    <row r="1295" spans="1:21" s="3" customFormat="1" ht="51">
      <c r="A1295" s="13" t="s">
        <v>746</v>
      </c>
      <c r="B1295" s="141" t="s">
        <v>18</v>
      </c>
      <c r="C1295" s="26" t="s">
        <v>65</v>
      </c>
      <c r="D1295" s="26" t="s">
        <v>84</v>
      </c>
      <c r="E1295" s="26" t="s">
        <v>281</v>
      </c>
      <c r="F1295" s="26" t="s">
        <v>58</v>
      </c>
      <c r="G1295" s="27">
        <f>G1296</f>
        <v>555070</v>
      </c>
      <c r="H1295" s="27">
        <f t="shared" si="908"/>
        <v>558900</v>
      </c>
      <c r="I1295" s="27">
        <f t="shared" si="908"/>
        <v>558900</v>
      </c>
      <c r="J1295" s="16">
        <f>'БА в тыс. руб.'!G1295*1000</f>
        <v>555070</v>
      </c>
      <c r="K1295" s="169">
        <f t="shared" si="903"/>
        <v>0</v>
      </c>
      <c r="L1295" s="16">
        <f>'БА в тыс. руб.'!H1295*1000</f>
        <v>558900</v>
      </c>
      <c r="M1295" s="169">
        <f t="shared" si="904"/>
        <v>0</v>
      </c>
      <c r="N1295" s="16">
        <f>'БА в тыс. руб.'!I1295*1000</f>
        <v>558900</v>
      </c>
      <c r="O1295" s="169">
        <f t="shared" si="905"/>
        <v>0</v>
      </c>
      <c r="P1295" s="16"/>
      <c r="Q1295" s="16"/>
      <c r="R1295" s="16"/>
      <c r="S1295" s="16"/>
      <c r="T1295" s="16"/>
      <c r="U1295" s="16"/>
    </row>
    <row r="1296" spans="1:21" s="3" customFormat="1" ht="38.25">
      <c r="A1296" s="140" t="s">
        <v>282</v>
      </c>
      <c r="B1296" s="141" t="s">
        <v>18</v>
      </c>
      <c r="C1296" s="26" t="s">
        <v>65</v>
      </c>
      <c r="D1296" s="26" t="s">
        <v>84</v>
      </c>
      <c r="E1296" s="26" t="s">
        <v>283</v>
      </c>
      <c r="F1296" s="26" t="s">
        <v>58</v>
      </c>
      <c r="G1296" s="27">
        <f>G1297+G1300</f>
        <v>555070</v>
      </c>
      <c r="H1296" s="27">
        <f>H1297+H1300</f>
        <v>558900</v>
      </c>
      <c r="I1296" s="27">
        <f>I1297+I1300</f>
        <v>558900</v>
      </c>
      <c r="J1296" s="16">
        <f>'БА в тыс. руб.'!G1296*1000</f>
        <v>555070</v>
      </c>
      <c r="K1296" s="169">
        <f t="shared" si="903"/>
        <v>0</v>
      </c>
      <c r="L1296" s="16">
        <f>'БА в тыс. руб.'!H1296*1000</f>
        <v>558900</v>
      </c>
      <c r="M1296" s="169">
        <f t="shared" si="904"/>
        <v>0</v>
      </c>
      <c r="N1296" s="16">
        <f>'БА в тыс. руб.'!I1296*1000</f>
        <v>558900</v>
      </c>
      <c r="O1296" s="169">
        <f t="shared" si="905"/>
        <v>0</v>
      </c>
      <c r="P1296" s="16"/>
      <c r="Q1296" s="16"/>
      <c r="R1296" s="16"/>
      <c r="S1296" s="16"/>
      <c r="T1296" s="16"/>
      <c r="U1296" s="16"/>
    </row>
    <row r="1297" spans="1:21" s="3" customFormat="1" ht="25.5">
      <c r="A1297" s="120" t="s">
        <v>167</v>
      </c>
      <c r="B1297" s="141" t="s">
        <v>18</v>
      </c>
      <c r="C1297" s="26" t="s">
        <v>65</v>
      </c>
      <c r="D1297" s="26" t="s">
        <v>84</v>
      </c>
      <c r="E1297" s="26" t="s">
        <v>491</v>
      </c>
      <c r="F1297" s="26" t="s">
        <v>58</v>
      </c>
      <c r="G1297" s="27">
        <f>G1298</f>
        <v>472810.00000000006</v>
      </c>
      <c r="H1297" s="27">
        <f t="shared" si="908"/>
        <v>476640</v>
      </c>
      <c r="I1297" s="27">
        <f t="shared" si="908"/>
        <v>476640</v>
      </c>
      <c r="J1297" s="16">
        <f>'БА в тыс. руб.'!G1297*1000</f>
        <v>472810.00000000006</v>
      </c>
      <c r="K1297" s="169">
        <f t="shared" si="903"/>
        <v>0</v>
      </c>
      <c r="L1297" s="16">
        <f>'БА в тыс. руб.'!H1297*1000</f>
        <v>476640</v>
      </c>
      <c r="M1297" s="169">
        <f t="shared" si="904"/>
        <v>0</v>
      </c>
      <c r="N1297" s="16">
        <f>'БА в тыс. руб.'!I1297*1000</f>
        <v>476640</v>
      </c>
      <c r="O1297" s="169">
        <f t="shared" si="905"/>
        <v>0</v>
      </c>
      <c r="P1297" s="16"/>
      <c r="Q1297" s="16"/>
      <c r="R1297" s="16"/>
      <c r="S1297" s="16"/>
      <c r="T1297" s="16"/>
      <c r="U1297" s="16"/>
    </row>
    <row r="1298" spans="1:21" s="3" customFormat="1" ht="25.5">
      <c r="A1298" s="11" t="s">
        <v>108</v>
      </c>
      <c r="B1298" s="141" t="s">
        <v>18</v>
      </c>
      <c r="C1298" s="26" t="s">
        <v>65</v>
      </c>
      <c r="D1298" s="26" t="s">
        <v>84</v>
      </c>
      <c r="E1298" s="26" t="s">
        <v>491</v>
      </c>
      <c r="F1298" s="26" t="s">
        <v>116</v>
      </c>
      <c r="G1298" s="37">
        <f>G1299</f>
        <v>472810.00000000006</v>
      </c>
      <c r="H1298" s="37">
        <f t="shared" si="908"/>
        <v>476640</v>
      </c>
      <c r="I1298" s="37">
        <f t="shared" si="908"/>
        <v>476640</v>
      </c>
      <c r="J1298" s="16">
        <f>'БА в тыс. руб.'!G1298*1000</f>
        <v>472810.00000000006</v>
      </c>
      <c r="K1298" s="169">
        <f t="shared" si="903"/>
        <v>0</v>
      </c>
      <c r="L1298" s="16">
        <f>'БА в тыс. руб.'!H1298*1000</f>
        <v>476640</v>
      </c>
      <c r="M1298" s="169">
        <f t="shared" si="904"/>
        <v>0</v>
      </c>
      <c r="N1298" s="16">
        <f>'БА в тыс. руб.'!I1298*1000</f>
        <v>476640</v>
      </c>
      <c r="O1298" s="169">
        <f t="shared" si="905"/>
        <v>0</v>
      </c>
      <c r="P1298" s="16"/>
      <c r="Q1298" s="16"/>
      <c r="R1298" s="16"/>
      <c r="S1298" s="16"/>
      <c r="T1298" s="16"/>
      <c r="U1298" s="16"/>
    </row>
    <row r="1299" spans="1:21" s="4" customFormat="1" ht="25.5">
      <c r="A1299" s="12" t="s">
        <v>973</v>
      </c>
      <c r="B1299" s="141" t="s">
        <v>18</v>
      </c>
      <c r="C1299" s="26" t="s">
        <v>65</v>
      </c>
      <c r="D1299" s="26" t="s">
        <v>84</v>
      </c>
      <c r="E1299" s="26" t="s">
        <v>491</v>
      </c>
      <c r="F1299" s="26" t="s">
        <v>1043</v>
      </c>
      <c r="G1299" s="27">
        <f t="shared" ref="G1299" si="909">J1299</f>
        <v>472810.00000000006</v>
      </c>
      <c r="H1299" s="27">
        <f>L1299</f>
        <v>476640</v>
      </c>
      <c r="I1299" s="27">
        <f>N1299</f>
        <v>476640</v>
      </c>
      <c r="J1299" s="16">
        <f>'БА в тыс. руб.'!G1299*1000</f>
        <v>472810.00000000006</v>
      </c>
      <c r="K1299" s="169">
        <f t="shared" si="903"/>
        <v>0</v>
      </c>
      <c r="L1299" s="16">
        <f>'БА в тыс. руб.'!H1299*1000</f>
        <v>476640</v>
      </c>
      <c r="M1299" s="169">
        <f t="shared" si="904"/>
        <v>0</v>
      </c>
      <c r="N1299" s="16">
        <f>'БА в тыс. руб.'!I1299*1000</f>
        <v>476640</v>
      </c>
      <c r="O1299" s="169">
        <f t="shared" si="905"/>
        <v>0</v>
      </c>
      <c r="P1299" s="16"/>
      <c r="Q1299" s="16"/>
      <c r="R1299" s="16"/>
      <c r="S1299" s="16"/>
      <c r="T1299" s="16"/>
      <c r="U1299" s="16"/>
    </row>
    <row r="1300" spans="1:21" s="3" customFormat="1" ht="25.5">
      <c r="A1300" s="11" t="s">
        <v>859</v>
      </c>
      <c r="B1300" s="141" t="s">
        <v>18</v>
      </c>
      <c r="C1300" s="36" t="s">
        <v>65</v>
      </c>
      <c r="D1300" s="36" t="s">
        <v>84</v>
      </c>
      <c r="E1300" s="43" t="s">
        <v>858</v>
      </c>
      <c r="F1300" s="26" t="s">
        <v>58</v>
      </c>
      <c r="G1300" s="27">
        <f>G1301</f>
        <v>82260</v>
      </c>
      <c r="H1300" s="27">
        <f t="shared" ref="H1300:I1301" si="910">H1301</f>
        <v>82260</v>
      </c>
      <c r="I1300" s="27">
        <f t="shared" si="910"/>
        <v>82260</v>
      </c>
      <c r="J1300" s="16">
        <f>'БА в тыс. руб.'!G1300*1000</f>
        <v>82260</v>
      </c>
      <c r="K1300" s="169">
        <f t="shared" si="903"/>
        <v>0</v>
      </c>
      <c r="L1300" s="16">
        <f>'БА в тыс. руб.'!H1300*1000</f>
        <v>82260</v>
      </c>
      <c r="M1300" s="169">
        <f t="shared" si="904"/>
        <v>0</v>
      </c>
      <c r="N1300" s="16">
        <f>'БА в тыс. руб.'!I1300*1000</f>
        <v>82260</v>
      </c>
      <c r="O1300" s="169">
        <f t="shared" si="905"/>
        <v>0</v>
      </c>
      <c r="P1300" s="16"/>
      <c r="Q1300" s="16"/>
      <c r="R1300" s="16"/>
      <c r="S1300" s="16"/>
      <c r="T1300" s="16"/>
      <c r="U1300" s="16"/>
    </row>
    <row r="1301" spans="1:21" s="3" customFormat="1" ht="25.5">
      <c r="A1301" s="11" t="s">
        <v>108</v>
      </c>
      <c r="B1301" s="141" t="s">
        <v>18</v>
      </c>
      <c r="C1301" s="36" t="s">
        <v>65</v>
      </c>
      <c r="D1301" s="36" t="s">
        <v>84</v>
      </c>
      <c r="E1301" s="43" t="s">
        <v>858</v>
      </c>
      <c r="F1301" s="26" t="s">
        <v>116</v>
      </c>
      <c r="G1301" s="27">
        <f>G1302</f>
        <v>82260</v>
      </c>
      <c r="H1301" s="27">
        <f t="shared" si="910"/>
        <v>82260</v>
      </c>
      <c r="I1301" s="27">
        <f t="shared" si="910"/>
        <v>82260</v>
      </c>
      <c r="J1301" s="16">
        <f>'БА в тыс. руб.'!G1301*1000</f>
        <v>82260</v>
      </c>
      <c r="K1301" s="169">
        <f t="shared" si="903"/>
        <v>0</v>
      </c>
      <c r="L1301" s="16">
        <f>'БА в тыс. руб.'!H1301*1000</f>
        <v>82260</v>
      </c>
      <c r="M1301" s="169">
        <f t="shared" si="904"/>
        <v>0</v>
      </c>
      <c r="N1301" s="16">
        <f>'БА в тыс. руб.'!I1301*1000</f>
        <v>82260</v>
      </c>
      <c r="O1301" s="169">
        <f t="shared" si="905"/>
        <v>0</v>
      </c>
      <c r="P1301" s="16"/>
      <c r="Q1301" s="16"/>
      <c r="R1301" s="16"/>
      <c r="S1301" s="16"/>
      <c r="T1301" s="16"/>
      <c r="U1301" s="16"/>
    </row>
    <row r="1302" spans="1:21" s="4" customFormat="1" ht="25.5">
      <c r="A1302" s="12" t="s">
        <v>973</v>
      </c>
      <c r="B1302" s="141" t="s">
        <v>18</v>
      </c>
      <c r="C1302" s="36" t="s">
        <v>65</v>
      </c>
      <c r="D1302" s="36" t="s">
        <v>84</v>
      </c>
      <c r="E1302" s="43" t="s">
        <v>858</v>
      </c>
      <c r="F1302" s="26" t="s">
        <v>1043</v>
      </c>
      <c r="G1302" s="27">
        <f t="shared" ref="G1302" si="911">J1302</f>
        <v>82260</v>
      </c>
      <c r="H1302" s="27">
        <f>L1302</f>
        <v>82260</v>
      </c>
      <c r="I1302" s="27">
        <f>N1302</f>
        <v>82260</v>
      </c>
      <c r="J1302" s="16">
        <f>'БА в тыс. руб.'!G1302*1000</f>
        <v>82260</v>
      </c>
      <c r="K1302" s="169">
        <f t="shared" si="903"/>
        <v>0</v>
      </c>
      <c r="L1302" s="16">
        <f>'БА в тыс. руб.'!H1302*1000</f>
        <v>82260</v>
      </c>
      <c r="M1302" s="169">
        <f t="shared" si="904"/>
        <v>0</v>
      </c>
      <c r="N1302" s="16">
        <f>'БА в тыс. руб.'!I1302*1000</f>
        <v>82260</v>
      </c>
      <c r="O1302" s="169">
        <f t="shared" si="905"/>
        <v>0</v>
      </c>
      <c r="P1302" s="16"/>
      <c r="Q1302" s="16"/>
      <c r="R1302" s="16"/>
      <c r="S1302" s="16"/>
      <c r="T1302" s="16"/>
      <c r="U1302" s="16"/>
    </row>
    <row r="1303" spans="1:21" s="3" customFormat="1">
      <c r="A1303" s="139" t="s">
        <v>35</v>
      </c>
      <c r="B1303" s="18" t="s">
        <v>18</v>
      </c>
      <c r="C1303" s="19" t="s">
        <v>37</v>
      </c>
      <c r="D1303" s="19" t="s">
        <v>51</v>
      </c>
      <c r="E1303" s="19" t="s">
        <v>196</v>
      </c>
      <c r="F1303" s="19" t="s">
        <v>58</v>
      </c>
      <c r="G1303" s="20">
        <f t="shared" ref="G1303:I1305" si="912">G1304</f>
        <v>104824570</v>
      </c>
      <c r="H1303" s="20">
        <f t="shared" si="912"/>
        <v>94442440</v>
      </c>
      <c r="I1303" s="20">
        <f t="shared" si="912"/>
        <v>94442440</v>
      </c>
      <c r="J1303" s="16">
        <f>'БА в тыс. руб.'!G1303*1000</f>
        <v>104824570</v>
      </c>
      <c r="K1303" s="169">
        <f t="shared" si="903"/>
        <v>0</v>
      </c>
      <c r="L1303" s="16">
        <f>'БА в тыс. руб.'!H1303*1000</f>
        <v>94442439.999999985</v>
      </c>
      <c r="M1303" s="169">
        <f t="shared" si="904"/>
        <v>0</v>
      </c>
      <c r="N1303" s="16">
        <f>'БА в тыс. руб.'!I1303*1000</f>
        <v>94442439.999999985</v>
      </c>
      <c r="O1303" s="169">
        <f t="shared" si="905"/>
        <v>0</v>
      </c>
      <c r="P1303" s="16"/>
      <c r="Q1303" s="16"/>
      <c r="R1303" s="16"/>
      <c r="S1303" s="16"/>
      <c r="T1303" s="16"/>
      <c r="U1303" s="16"/>
    </row>
    <row r="1304" spans="1:21" s="3" customFormat="1">
      <c r="A1304" s="144" t="s">
        <v>88</v>
      </c>
      <c r="B1304" s="22" t="s">
        <v>18</v>
      </c>
      <c r="C1304" s="23" t="s">
        <v>37</v>
      </c>
      <c r="D1304" s="23" t="s">
        <v>25</v>
      </c>
      <c r="E1304" s="23" t="s">
        <v>196</v>
      </c>
      <c r="F1304" s="23" t="s">
        <v>58</v>
      </c>
      <c r="G1304" s="24">
        <f>G1305</f>
        <v>104824570</v>
      </c>
      <c r="H1304" s="24">
        <f t="shared" si="912"/>
        <v>94442440</v>
      </c>
      <c r="I1304" s="24">
        <f t="shared" si="912"/>
        <v>94442440</v>
      </c>
      <c r="J1304" s="16">
        <f>'БА в тыс. руб.'!G1304*1000</f>
        <v>104824570</v>
      </c>
      <c r="K1304" s="169">
        <f t="shared" si="903"/>
        <v>0</v>
      </c>
      <c r="L1304" s="16">
        <f>'БА в тыс. руб.'!H1304*1000</f>
        <v>94442439.999999985</v>
      </c>
      <c r="M1304" s="169">
        <f t="shared" si="904"/>
        <v>0</v>
      </c>
      <c r="N1304" s="16">
        <f>'БА в тыс. руб.'!I1304*1000</f>
        <v>94442439.999999985</v>
      </c>
      <c r="O1304" s="169">
        <f t="shared" si="905"/>
        <v>0</v>
      </c>
      <c r="P1304" s="16"/>
      <c r="Q1304" s="16"/>
      <c r="R1304" s="16"/>
      <c r="S1304" s="16"/>
      <c r="T1304" s="16"/>
      <c r="U1304" s="16"/>
    </row>
    <row r="1305" spans="1:21" s="3" customFormat="1" ht="38.25">
      <c r="A1305" s="12" t="s">
        <v>722</v>
      </c>
      <c r="B1305" s="36" t="s">
        <v>18</v>
      </c>
      <c r="C1305" s="35" t="s">
        <v>37</v>
      </c>
      <c r="D1305" s="35" t="s">
        <v>25</v>
      </c>
      <c r="E1305" s="35" t="s">
        <v>300</v>
      </c>
      <c r="F1305" s="36" t="s">
        <v>58</v>
      </c>
      <c r="G1305" s="146">
        <f t="shared" si="912"/>
        <v>104824570</v>
      </c>
      <c r="H1305" s="146">
        <f t="shared" si="912"/>
        <v>94442440</v>
      </c>
      <c r="I1305" s="146">
        <f t="shared" si="912"/>
        <v>94442440</v>
      </c>
      <c r="J1305" s="16">
        <f>'БА в тыс. руб.'!G1305*1000</f>
        <v>104824570</v>
      </c>
      <c r="K1305" s="169">
        <f t="shared" si="903"/>
        <v>0</v>
      </c>
      <c r="L1305" s="16">
        <f>'БА в тыс. руб.'!H1305*1000</f>
        <v>94442439.999999985</v>
      </c>
      <c r="M1305" s="169">
        <f t="shared" si="904"/>
        <v>0</v>
      </c>
      <c r="N1305" s="16">
        <f>'БА в тыс. руб.'!I1305*1000</f>
        <v>94442439.999999985</v>
      </c>
      <c r="O1305" s="169">
        <f t="shared" si="905"/>
        <v>0</v>
      </c>
      <c r="P1305" s="16"/>
      <c r="Q1305" s="16"/>
      <c r="R1305" s="16"/>
      <c r="S1305" s="16"/>
      <c r="T1305" s="16"/>
      <c r="U1305" s="16"/>
    </row>
    <row r="1306" spans="1:21" s="3" customFormat="1" ht="38.25">
      <c r="A1306" s="40" t="s">
        <v>729</v>
      </c>
      <c r="B1306" s="36" t="s">
        <v>18</v>
      </c>
      <c r="C1306" s="35" t="s">
        <v>37</v>
      </c>
      <c r="D1306" s="35" t="s">
        <v>25</v>
      </c>
      <c r="E1306" s="147" t="s">
        <v>301</v>
      </c>
      <c r="F1306" s="147" t="s">
        <v>58</v>
      </c>
      <c r="G1306" s="37">
        <f>G1307</f>
        <v>104824570</v>
      </c>
      <c r="H1306" s="37">
        <f>H1307</f>
        <v>94442440</v>
      </c>
      <c r="I1306" s="37">
        <f>I1307</f>
        <v>94442440</v>
      </c>
      <c r="J1306" s="16">
        <f>'БА в тыс. руб.'!G1306*1000</f>
        <v>104824570</v>
      </c>
      <c r="K1306" s="169">
        <f t="shared" si="903"/>
        <v>0</v>
      </c>
      <c r="L1306" s="16">
        <f>'БА в тыс. руб.'!H1306*1000</f>
        <v>94442439.999999985</v>
      </c>
      <c r="M1306" s="169">
        <f t="shared" si="904"/>
        <v>0</v>
      </c>
      <c r="N1306" s="16">
        <f>'БА в тыс. руб.'!I1306*1000</f>
        <v>94442439.999999985</v>
      </c>
      <c r="O1306" s="169">
        <f t="shared" si="905"/>
        <v>0</v>
      </c>
      <c r="P1306" s="16"/>
      <c r="Q1306" s="16"/>
      <c r="R1306" s="16"/>
      <c r="S1306" s="16"/>
      <c r="T1306" s="16"/>
      <c r="U1306" s="16"/>
    </row>
    <row r="1307" spans="1:21" s="3" customFormat="1" ht="38.25">
      <c r="A1307" s="34" t="s">
        <v>644</v>
      </c>
      <c r="B1307" s="36" t="s">
        <v>18</v>
      </c>
      <c r="C1307" s="36" t="s">
        <v>37</v>
      </c>
      <c r="D1307" s="36" t="s">
        <v>25</v>
      </c>
      <c r="E1307" s="36" t="s">
        <v>302</v>
      </c>
      <c r="F1307" s="36" t="s">
        <v>58</v>
      </c>
      <c r="G1307" s="37">
        <f>G1314+G1308+G1311</f>
        <v>104824570</v>
      </c>
      <c r="H1307" s="37">
        <f>H1314+H1308+H1311</f>
        <v>94442440</v>
      </c>
      <c r="I1307" s="37">
        <f>I1314+I1308+I1311</f>
        <v>94442440</v>
      </c>
      <c r="J1307" s="16">
        <f>'БА в тыс. руб.'!G1307*1000</f>
        <v>104824570</v>
      </c>
      <c r="K1307" s="169">
        <f t="shared" si="903"/>
        <v>0</v>
      </c>
      <c r="L1307" s="16">
        <f>'БА в тыс. руб.'!H1307*1000</f>
        <v>94442439.999999985</v>
      </c>
      <c r="M1307" s="169">
        <f t="shared" si="904"/>
        <v>0</v>
      </c>
      <c r="N1307" s="16">
        <f>'БА в тыс. руб.'!I1307*1000</f>
        <v>94442439.999999985</v>
      </c>
      <c r="O1307" s="169">
        <f t="shared" si="905"/>
        <v>0</v>
      </c>
      <c r="P1307" s="16"/>
      <c r="Q1307" s="16"/>
      <c r="R1307" s="16"/>
      <c r="S1307" s="16"/>
      <c r="T1307" s="16"/>
      <c r="U1307" s="16"/>
    </row>
    <row r="1308" spans="1:21" s="3" customFormat="1" ht="25.5">
      <c r="A1308" s="112" t="s">
        <v>493</v>
      </c>
      <c r="B1308" s="36" t="s">
        <v>18</v>
      </c>
      <c r="C1308" s="36" t="s">
        <v>37</v>
      </c>
      <c r="D1308" s="36" t="s">
        <v>25</v>
      </c>
      <c r="E1308" s="36" t="s">
        <v>494</v>
      </c>
      <c r="F1308" s="36" t="s">
        <v>58</v>
      </c>
      <c r="G1308" s="37">
        <f>G1309</f>
        <v>10900210</v>
      </c>
      <c r="H1308" s="37">
        <f>H1309</f>
        <v>9495510</v>
      </c>
      <c r="I1308" s="37">
        <f>I1309</f>
        <v>9495510</v>
      </c>
      <c r="J1308" s="16">
        <f>'БА в тыс. руб.'!G1308*1000</f>
        <v>10900210</v>
      </c>
      <c r="K1308" s="169">
        <f t="shared" si="903"/>
        <v>0</v>
      </c>
      <c r="L1308" s="16">
        <f>'БА в тыс. руб.'!H1308*1000</f>
        <v>9495510</v>
      </c>
      <c r="M1308" s="169">
        <f t="shared" si="904"/>
        <v>0</v>
      </c>
      <c r="N1308" s="16">
        <f>'БА в тыс. руб.'!I1308*1000</f>
        <v>9495510</v>
      </c>
      <c r="O1308" s="169">
        <f t="shared" si="905"/>
        <v>0</v>
      </c>
      <c r="P1308" s="16"/>
      <c r="Q1308" s="16"/>
      <c r="R1308" s="16"/>
      <c r="S1308" s="16"/>
      <c r="T1308" s="16"/>
      <c r="U1308" s="16"/>
    </row>
    <row r="1309" spans="1:21" s="127" customFormat="1" ht="25.5">
      <c r="A1309" s="11" t="s">
        <v>108</v>
      </c>
      <c r="B1309" s="36" t="s">
        <v>18</v>
      </c>
      <c r="C1309" s="36" t="s">
        <v>37</v>
      </c>
      <c r="D1309" s="36" t="s">
        <v>25</v>
      </c>
      <c r="E1309" s="36" t="s">
        <v>494</v>
      </c>
      <c r="F1309" s="36" t="s">
        <v>116</v>
      </c>
      <c r="G1309" s="37">
        <f>G1310</f>
        <v>10900210</v>
      </c>
      <c r="H1309" s="37">
        <f t="shared" ref="H1309:I1309" si="913">H1310</f>
        <v>9495510</v>
      </c>
      <c r="I1309" s="37">
        <f t="shared" si="913"/>
        <v>9495510</v>
      </c>
      <c r="J1309" s="16">
        <f>'БА в тыс. руб.'!G1309*1000</f>
        <v>10900210</v>
      </c>
      <c r="K1309" s="169">
        <f t="shared" si="903"/>
        <v>0</v>
      </c>
      <c r="L1309" s="16">
        <f>'БА в тыс. руб.'!H1309*1000</f>
        <v>9495510</v>
      </c>
      <c r="M1309" s="169">
        <f t="shared" si="904"/>
        <v>0</v>
      </c>
      <c r="N1309" s="16">
        <f>'БА в тыс. руб.'!I1309*1000</f>
        <v>9495510</v>
      </c>
      <c r="O1309" s="169">
        <f t="shared" si="905"/>
        <v>0</v>
      </c>
      <c r="P1309" s="16"/>
      <c r="Q1309" s="16"/>
      <c r="R1309" s="16"/>
      <c r="S1309" s="16"/>
      <c r="T1309" s="16"/>
      <c r="U1309" s="16"/>
    </row>
    <row r="1310" spans="1:21" s="4" customFormat="1" ht="25.5">
      <c r="A1310" s="12" t="s">
        <v>973</v>
      </c>
      <c r="B1310" s="36" t="s">
        <v>18</v>
      </c>
      <c r="C1310" s="36" t="s">
        <v>37</v>
      </c>
      <c r="D1310" s="36" t="s">
        <v>25</v>
      </c>
      <c r="E1310" s="36" t="s">
        <v>494</v>
      </c>
      <c r="F1310" s="36" t="s">
        <v>1043</v>
      </c>
      <c r="G1310" s="27">
        <f t="shared" ref="G1310" si="914">J1310</f>
        <v>10900210</v>
      </c>
      <c r="H1310" s="27">
        <f>L1310</f>
        <v>9495510</v>
      </c>
      <c r="I1310" s="27">
        <f>N1310</f>
        <v>9495510</v>
      </c>
      <c r="J1310" s="16">
        <f>'БА в тыс. руб.'!G1310*1000</f>
        <v>10900210</v>
      </c>
      <c r="K1310" s="169">
        <f t="shared" si="903"/>
        <v>0</v>
      </c>
      <c r="L1310" s="16">
        <f>'БА в тыс. руб.'!H1310*1000</f>
        <v>9495510</v>
      </c>
      <c r="M1310" s="169">
        <f t="shared" si="904"/>
        <v>0</v>
      </c>
      <c r="N1310" s="16">
        <f>'БА в тыс. руб.'!I1310*1000</f>
        <v>9495510</v>
      </c>
      <c r="O1310" s="169">
        <f t="shared" si="905"/>
        <v>0</v>
      </c>
      <c r="P1310" s="16"/>
      <c r="Q1310" s="16"/>
      <c r="R1310" s="16"/>
      <c r="S1310" s="16"/>
      <c r="T1310" s="16"/>
      <c r="U1310" s="16"/>
    </row>
    <row r="1311" spans="1:21" s="127" customFormat="1" ht="63.75">
      <c r="A1311" s="11" t="s">
        <v>889</v>
      </c>
      <c r="B1311" s="36" t="s">
        <v>18</v>
      </c>
      <c r="C1311" s="26" t="s">
        <v>37</v>
      </c>
      <c r="D1311" s="26" t="s">
        <v>25</v>
      </c>
      <c r="E1311" s="26" t="s">
        <v>834</v>
      </c>
      <c r="F1311" s="26" t="s">
        <v>58</v>
      </c>
      <c r="G1311" s="27">
        <f>G1312</f>
        <v>23816000</v>
      </c>
      <c r="H1311" s="27">
        <f t="shared" ref="H1311:I1312" si="915">H1312</f>
        <v>0</v>
      </c>
      <c r="I1311" s="27">
        <f t="shared" si="915"/>
        <v>0</v>
      </c>
      <c r="J1311" s="16">
        <f>'БА в тыс. руб.'!G1311*1000</f>
        <v>23816000</v>
      </c>
      <c r="K1311" s="169">
        <f t="shared" si="903"/>
        <v>0</v>
      </c>
      <c r="L1311" s="16">
        <f>'БА в тыс. руб.'!H1311*1000</f>
        <v>0</v>
      </c>
      <c r="M1311" s="169">
        <f t="shared" si="904"/>
        <v>0</v>
      </c>
      <c r="N1311" s="16">
        <f>'БА в тыс. руб.'!I1311*1000</f>
        <v>0</v>
      </c>
      <c r="O1311" s="169">
        <f t="shared" si="905"/>
        <v>0</v>
      </c>
      <c r="P1311" s="16"/>
      <c r="Q1311" s="16"/>
      <c r="R1311" s="16"/>
      <c r="S1311" s="16"/>
      <c r="T1311" s="16"/>
      <c r="U1311" s="16"/>
    </row>
    <row r="1312" spans="1:21" s="127" customFormat="1" ht="25.5">
      <c r="A1312" s="11" t="s">
        <v>108</v>
      </c>
      <c r="B1312" s="36" t="s">
        <v>18</v>
      </c>
      <c r="C1312" s="26" t="s">
        <v>37</v>
      </c>
      <c r="D1312" s="26" t="s">
        <v>25</v>
      </c>
      <c r="E1312" s="26" t="s">
        <v>834</v>
      </c>
      <c r="F1312" s="26" t="s">
        <v>116</v>
      </c>
      <c r="G1312" s="27">
        <f>G1313</f>
        <v>23816000</v>
      </c>
      <c r="H1312" s="27">
        <f t="shared" si="915"/>
        <v>0</v>
      </c>
      <c r="I1312" s="27">
        <f t="shared" si="915"/>
        <v>0</v>
      </c>
      <c r="J1312" s="16">
        <f>'БА в тыс. руб.'!G1312*1000</f>
        <v>23816000</v>
      </c>
      <c r="K1312" s="169">
        <f t="shared" si="903"/>
        <v>0</v>
      </c>
      <c r="L1312" s="16">
        <f>'БА в тыс. руб.'!H1312*1000</f>
        <v>0</v>
      </c>
      <c r="M1312" s="169">
        <f t="shared" si="904"/>
        <v>0</v>
      </c>
      <c r="N1312" s="16">
        <f>'БА в тыс. руб.'!I1312*1000</f>
        <v>0</v>
      </c>
      <c r="O1312" s="169">
        <f t="shared" si="905"/>
        <v>0</v>
      </c>
      <c r="P1312" s="16"/>
      <c r="Q1312" s="16"/>
      <c r="R1312" s="16"/>
      <c r="S1312" s="16"/>
      <c r="T1312" s="16"/>
      <c r="U1312" s="16"/>
    </row>
    <row r="1313" spans="1:21" s="4" customFormat="1" ht="25.5">
      <c r="A1313" s="12" t="s">
        <v>973</v>
      </c>
      <c r="B1313" s="36" t="s">
        <v>18</v>
      </c>
      <c r="C1313" s="26" t="s">
        <v>37</v>
      </c>
      <c r="D1313" s="26" t="s">
        <v>25</v>
      </c>
      <c r="E1313" s="26" t="s">
        <v>834</v>
      </c>
      <c r="F1313" s="26" t="s">
        <v>1043</v>
      </c>
      <c r="G1313" s="27">
        <f t="shared" ref="G1313" si="916">J1313</f>
        <v>23816000</v>
      </c>
      <c r="H1313" s="27">
        <f>L1313</f>
        <v>0</v>
      </c>
      <c r="I1313" s="27">
        <f>N1313</f>
        <v>0</v>
      </c>
      <c r="J1313" s="16">
        <f>'БА в тыс. руб.'!G1313*1000</f>
        <v>23816000</v>
      </c>
      <c r="K1313" s="169">
        <f t="shared" si="903"/>
        <v>0</v>
      </c>
      <c r="L1313" s="16">
        <f>'БА в тыс. руб.'!H1313*1000</f>
        <v>0</v>
      </c>
      <c r="M1313" s="169">
        <f t="shared" si="904"/>
        <v>0</v>
      </c>
      <c r="N1313" s="16">
        <f>'БА в тыс. руб.'!I1313*1000</f>
        <v>0</v>
      </c>
      <c r="O1313" s="169">
        <f t="shared" si="905"/>
        <v>0</v>
      </c>
      <c r="P1313" s="16"/>
      <c r="Q1313" s="16"/>
      <c r="R1313" s="16"/>
      <c r="S1313" s="16"/>
      <c r="T1313" s="16"/>
      <c r="U1313" s="16"/>
    </row>
    <row r="1314" spans="1:21" s="3" customFormat="1" ht="25.5">
      <c r="A1314" s="11" t="s">
        <v>902</v>
      </c>
      <c r="B1314" s="36" t="s">
        <v>18</v>
      </c>
      <c r="C1314" s="36" t="s">
        <v>37</v>
      </c>
      <c r="D1314" s="36" t="s">
        <v>25</v>
      </c>
      <c r="E1314" s="26" t="s">
        <v>909</v>
      </c>
      <c r="F1314" s="36" t="s">
        <v>58</v>
      </c>
      <c r="G1314" s="37">
        <f>G1315</f>
        <v>70108360</v>
      </c>
      <c r="H1314" s="37">
        <f>H1315</f>
        <v>84946930</v>
      </c>
      <c r="I1314" s="37">
        <f>I1315</f>
        <v>84946930</v>
      </c>
      <c r="J1314" s="16">
        <f>'БА в тыс. руб.'!G1314*1000</f>
        <v>70108360</v>
      </c>
      <c r="K1314" s="169">
        <f t="shared" si="903"/>
        <v>0</v>
      </c>
      <c r="L1314" s="16">
        <f>'БА в тыс. руб.'!H1314*1000</f>
        <v>84946930</v>
      </c>
      <c r="M1314" s="169">
        <f t="shared" si="904"/>
        <v>0</v>
      </c>
      <c r="N1314" s="16">
        <f>'БА в тыс. руб.'!I1314*1000</f>
        <v>84946930</v>
      </c>
      <c r="O1314" s="169">
        <f t="shared" si="905"/>
        <v>0</v>
      </c>
      <c r="P1314" s="16"/>
      <c r="Q1314" s="16"/>
      <c r="R1314" s="16"/>
      <c r="S1314" s="16"/>
      <c r="T1314" s="16"/>
      <c r="U1314" s="16"/>
    </row>
    <row r="1315" spans="1:21" s="3" customFormat="1" ht="25.5">
      <c r="A1315" s="11" t="s">
        <v>108</v>
      </c>
      <c r="B1315" s="36" t="s">
        <v>18</v>
      </c>
      <c r="C1315" s="36" t="s">
        <v>37</v>
      </c>
      <c r="D1315" s="36" t="s">
        <v>25</v>
      </c>
      <c r="E1315" s="26" t="s">
        <v>909</v>
      </c>
      <c r="F1315" s="36" t="s">
        <v>116</v>
      </c>
      <c r="G1315" s="37">
        <f>G1316</f>
        <v>70108360</v>
      </c>
      <c r="H1315" s="37">
        <f t="shared" ref="H1315:I1315" si="917">H1316</f>
        <v>84946930</v>
      </c>
      <c r="I1315" s="37">
        <f t="shared" si="917"/>
        <v>84946930</v>
      </c>
      <c r="J1315" s="16">
        <f>'БА в тыс. руб.'!G1315*1000</f>
        <v>70108360</v>
      </c>
      <c r="K1315" s="169">
        <f t="shared" si="903"/>
        <v>0</v>
      </c>
      <c r="L1315" s="16">
        <f>'БА в тыс. руб.'!H1315*1000</f>
        <v>84946930</v>
      </c>
      <c r="M1315" s="169">
        <f t="shared" si="904"/>
        <v>0</v>
      </c>
      <c r="N1315" s="16">
        <f>'БА в тыс. руб.'!I1315*1000</f>
        <v>84946930</v>
      </c>
      <c r="O1315" s="169">
        <f t="shared" si="905"/>
        <v>0</v>
      </c>
      <c r="P1315" s="16"/>
      <c r="Q1315" s="16"/>
      <c r="R1315" s="16"/>
      <c r="S1315" s="16"/>
      <c r="T1315" s="16"/>
      <c r="U1315" s="16"/>
    </row>
    <row r="1316" spans="1:21" s="4" customFormat="1" ht="25.5">
      <c r="A1316" s="12" t="s">
        <v>973</v>
      </c>
      <c r="B1316" s="36" t="s">
        <v>18</v>
      </c>
      <c r="C1316" s="36" t="s">
        <v>37</v>
      </c>
      <c r="D1316" s="36" t="s">
        <v>25</v>
      </c>
      <c r="E1316" s="26" t="s">
        <v>909</v>
      </c>
      <c r="F1316" s="36" t="s">
        <v>1043</v>
      </c>
      <c r="G1316" s="27">
        <f t="shared" ref="G1316" si="918">J1316</f>
        <v>70108360</v>
      </c>
      <c r="H1316" s="27">
        <f>L1316</f>
        <v>84946930</v>
      </c>
      <c r="I1316" s="27">
        <f>N1316</f>
        <v>84946930</v>
      </c>
      <c r="J1316" s="16">
        <f>'БА в тыс. руб.'!G1316*1000</f>
        <v>70108360</v>
      </c>
      <c r="K1316" s="169">
        <f t="shared" si="903"/>
        <v>0</v>
      </c>
      <c r="L1316" s="16">
        <f>'БА в тыс. руб.'!H1316*1000</f>
        <v>84946930</v>
      </c>
      <c r="M1316" s="169">
        <f t="shared" si="904"/>
        <v>0</v>
      </c>
      <c r="N1316" s="16">
        <f>'БА в тыс. руб.'!I1316*1000</f>
        <v>84946930</v>
      </c>
      <c r="O1316" s="169">
        <f t="shared" si="905"/>
        <v>0</v>
      </c>
      <c r="P1316" s="16"/>
      <c r="Q1316" s="16"/>
      <c r="R1316" s="16"/>
      <c r="S1316" s="16"/>
      <c r="T1316" s="16"/>
      <c r="U1316" s="16"/>
    </row>
    <row r="1317" spans="1:21" s="127" customFormat="1">
      <c r="A1317" s="139" t="s">
        <v>7</v>
      </c>
      <c r="B1317" s="18" t="s">
        <v>18</v>
      </c>
      <c r="C1317" s="19" t="s">
        <v>8</v>
      </c>
      <c r="D1317" s="19" t="s">
        <v>51</v>
      </c>
      <c r="E1317" s="19" t="s">
        <v>196</v>
      </c>
      <c r="F1317" s="19" t="s">
        <v>58</v>
      </c>
      <c r="G1317" s="20">
        <f>G1318+G1326</f>
        <v>19501790</v>
      </c>
      <c r="H1317" s="20">
        <f>H1318+H1326</f>
        <v>18439720</v>
      </c>
      <c r="I1317" s="20">
        <f>I1318+I1326</f>
        <v>18439720</v>
      </c>
      <c r="J1317" s="16">
        <f>'БА в тыс. руб.'!G1317*1000</f>
        <v>19501790</v>
      </c>
      <c r="K1317" s="169">
        <f t="shared" si="903"/>
        <v>0</v>
      </c>
      <c r="L1317" s="16">
        <f>'БА в тыс. руб.'!H1317*1000</f>
        <v>18439719.999999996</v>
      </c>
      <c r="M1317" s="169">
        <f t="shared" si="904"/>
        <v>0</v>
      </c>
      <c r="N1317" s="16">
        <f>'БА в тыс. руб.'!I1317*1000</f>
        <v>18439719.999999996</v>
      </c>
      <c r="O1317" s="169">
        <f t="shared" si="905"/>
        <v>0</v>
      </c>
      <c r="P1317" s="16"/>
      <c r="Q1317" s="16"/>
      <c r="R1317" s="16"/>
      <c r="S1317" s="16"/>
      <c r="T1317" s="16"/>
      <c r="U1317" s="16"/>
    </row>
    <row r="1318" spans="1:21" s="3" customFormat="1">
      <c r="A1318" s="131" t="s">
        <v>9</v>
      </c>
      <c r="B1318" s="132" t="s">
        <v>18</v>
      </c>
      <c r="C1318" s="133" t="s">
        <v>8</v>
      </c>
      <c r="D1318" s="133" t="s">
        <v>65</v>
      </c>
      <c r="E1318" s="133" t="s">
        <v>196</v>
      </c>
      <c r="F1318" s="133" t="s">
        <v>58</v>
      </c>
      <c r="G1318" s="134">
        <f>G1319</f>
        <v>3447930</v>
      </c>
      <c r="H1318" s="134">
        <f t="shared" ref="H1318:I1318" si="919">H1319</f>
        <v>3222930</v>
      </c>
      <c r="I1318" s="134">
        <f t="shared" si="919"/>
        <v>3222930</v>
      </c>
      <c r="J1318" s="16">
        <f>'БА в тыс. руб.'!G1318*1000</f>
        <v>3447930</v>
      </c>
      <c r="K1318" s="169">
        <f t="shared" si="903"/>
        <v>0</v>
      </c>
      <c r="L1318" s="16">
        <f>'БА в тыс. руб.'!H1318*1000</f>
        <v>3222930</v>
      </c>
      <c r="M1318" s="169">
        <f t="shared" si="904"/>
        <v>0</v>
      </c>
      <c r="N1318" s="16">
        <f>'БА в тыс. руб.'!I1318*1000</f>
        <v>3222930</v>
      </c>
      <c r="O1318" s="169">
        <f t="shared" si="905"/>
        <v>0</v>
      </c>
      <c r="P1318" s="16"/>
      <c r="Q1318" s="16"/>
      <c r="R1318" s="16"/>
      <c r="S1318" s="16"/>
      <c r="T1318" s="16"/>
      <c r="U1318" s="16"/>
    </row>
    <row r="1319" spans="1:21" s="3" customFormat="1" ht="38.25">
      <c r="A1319" s="12" t="s">
        <v>722</v>
      </c>
      <c r="B1319" s="36" t="s">
        <v>18</v>
      </c>
      <c r="C1319" s="36" t="s">
        <v>8</v>
      </c>
      <c r="D1319" s="36" t="s">
        <v>65</v>
      </c>
      <c r="E1319" s="36" t="s">
        <v>300</v>
      </c>
      <c r="F1319" s="36" t="s">
        <v>58</v>
      </c>
      <c r="G1319" s="44">
        <f>G1320</f>
        <v>3447930</v>
      </c>
      <c r="H1319" s="44">
        <f>H1320</f>
        <v>3222930</v>
      </c>
      <c r="I1319" s="44">
        <f>I1320</f>
        <v>3222930</v>
      </c>
      <c r="J1319" s="16">
        <f>'БА в тыс. руб.'!G1319*1000</f>
        <v>3447930</v>
      </c>
      <c r="K1319" s="169">
        <f t="shared" si="903"/>
        <v>0</v>
      </c>
      <c r="L1319" s="16">
        <f>'БА в тыс. руб.'!H1319*1000</f>
        <v>3222930</v>
      </c>
      <c r="M1319" s="169">
        <f t="shared" si="904"/>
        <v>0</v>
      </c>
      <c r="N1319" s="16">
        <f>'БА в тыс. руб.'!I1319*1000</f>
        <v>3222930</v>
      </c>
      <c r="O1319" s="169">
        <f t="shared" si="905"/>
        <v>0</v>
      </c>
      <c r="P1319" s="16"/>
      <c r="Q1319" s="16"/>
      <c r="R1319" s="16"/>
      <c r="S1319" s="16"/>
      <c r="T1319" s="16"/>
      <c r="U1319" s="16"/>
    </row>
    <row r="1320" spans="1:21" s="127" customFormat="1" ht="25.5">
      <c r="A1320" s="135" t="s">
        <v>155</v>
      </c>
      <c r="B1320" s="136" t="s">
        <v>18</v>
      </c>
      <c r="C1320" s="136" t="s">
        <v>8</v>
      </c>
      <c r="D1320" s="136" t="s">
        <v>65</v>
      </c>
      <c r="E1320" s="136" t="s">
        <v>495</v>
      </c>
      <c r="F1320" s="136" t="s">
        <v>58</v>
      </c>
      <c r="G1320" s="137">
        <f>G1321</f>
        <v>3447930</v>
      </c>
      <c r="H1320" s="137">
        <f>H1321</f>
        <v>3222930</v>
      </c>
      <c r="I1320" s="137">
        <f>I1321</f>
        <v>3222930</v>
      </c>
      <c r="J1320" s="16">
        <f>'БА в тыс. руб.'!G1320*1000</f>
        <v>3447930</v>
      </c>
      <c r="K1320" s="169">
        <f t="shared" si="903"/>
        <v>0</v>
      </c>
      <c r="L1320" s="16">
        <f>'БА в тыс. руб.'!H1320*1000</f>
        <v>3222930</v>
      </c>
      <c r="M1320" s="169">
        <f t="shared" si="904"/>
        <v>0</v>
      </c>
      <c r="N1320" s="16">
        <f>'БА в тыс. руб.'!I1320*1000</f>
        <v>3222930</v>
      </c>
      <c r="O1320" s="169">
        <f t="shared" si="905"/>
        <v>0</v>
      </c>
      <c r="P1320" s="16"/>
      <c r="Q1320" s="16"/>
      <c r="R1320" s="16"/>
      <c r="S1320" s="16"/>
      <c r="T1320" s="16"/>
      <c r="U1320" s="16"/>
    </row>
    <row r="1321" spans="1:21" s="3" customFormat="1" ht="38.25">
      <c r="A1321" s="34" t="s">
        <v>522</v>
      </c>
      <c r="B1321" s="36" t="s">
        <v>18</v>
      </c>
      <c r="C1321" s="36" t="s">
        <v>8</v>
      </c>
      <c r="D1321" s="36" t="s">
        <v>65</v>
      </c>
      <c r="E1321" s="36" t="s">
        <v>497</v>
      </c>
      <c r="F1321" s="36" t="s">
        <v>58</v>
      </c>
      <c r="G1321" s="37">
        <f>G1322</f>
        <v>3447930</v>
      </c>
      <c r="H1321" s="37">
        <f t="shared" ref="H1321:I1321" si="920">H1322</f>
        <v>3222930</v>
      </c>
      <c r="I1321" s="37">
        <f t="shared" si="920"/>
        <v>3222930</v>
      </c>
      <c r="J1321" s="16">
        <f>'БА в тыс. руб.'!G1321*1000</f>
        <v>3447930</v>
      </c>
      <c r="K1321" s="169">
        <f t="shared" si="903"/>
        <v>0</v>
      </c>
      <c r="L1321" s="16">
        <f>'БА в тыс. руб.'!H1321*1000</f>
        <v>3222930</v>
      </c>
      <c r="M1321" s="169">
        <f t="shared" si="904"/>
        <v>0</v>
      </c>
      <c r="N1321" s="16">
        <f>'БА в тыс. руб.'!I1321*1000</f>
        <v>3222930</v>
      </c>
      <c r="O1321" s="169">
        <f t="shared" si="905"/>
        <v>0</v>
      </c>
      <c r="P1321" s="16"/>
      <c r="Q1321" s="16"/>
      <c r="R1321" s="16"/>
      <c r="S1321" s="16"/>
      <c r="T1321" s="16"/>
      <c r="U1321" s="16"/>
    </row>
    <row r="1322" spans="1:21" s="3" customFormat="1" ht="25.5">
      <c r="A1322" s="138" t="s">
        <v>148</v>
      </c>
      <c r="B1322" s="36" t="s">
        <v>18</v>
      </c>
      <c r="C1322" s="36" t="s">
        <v>8</v>
      </c>
      <c r="D1322" s="36" t="s">
        <v>65</v>
      </c>
      <c r="E1322" s="36" t="s">
        <v>498</v>
      </c>
      <c r="F1322" s="36" t="s">
        <v>58</v>
      </c>
      <c r="G1322" s="37">
        <f>G1323</f>
        <v>3447930</v>
      </c>
      <c r="H1322" s="37">
        <f>H1323</f>
        <v>3222930</v>
      </c>
      <c r="I1322" s="37">
        <f>I1323</f>
        <v>3222930</v>
      </c>
      <c r="J1322" s="16">
        <f>'БА в тыс. руб.'!G1322*1000</f>
        <v>3447930</v>
      </c>
      <c r="K1322" s="169">
        <f t="shared" si="903"/>
        <v>0</v>
      </c>
      <c r="L1322" s="16">
        <f>'БА в тыс. руб.'!H1322*1000</f>
        <v>3222930</v>
      </c>
      <c r="M1322" s="169">
        <f t="shared" si="904"/>
        <v>0</v>
      </c>
      <c r="N1322" s="16">
        <f>'БА в тыс. руб.'!I1322*1000</f>
        <v>3222930</v>
      </c>
      <c r="O1322" s="169">
        <f t="shared" si="905"/>
        <v>0</v>
      </c>
      <c r="P1322" s="16"/>
      <c r="Q1322" s="16"/>
      <c r="R1322" s="16"/>
      <c r="S1322" s="16"/>
      <c r="T1322" s="16"/>
      <c r="U1322" s="16"/>
    </row>
    <row r="1323" spans="1:21" s="3" customFormat="1" ht="25.5">
      <c r="A1323" s="11" t="s">
        <v>108</v>
      </c>
      <c r="B1323" s="36" t="s">
        <v>18</v>
      </c>
      <c r="C1323" s="36" t="s">
        <v>8</v>
      </c>
      <c r="D1323" s="36" t="s">
        <v>65</v>
      </c>
      <c r="E1323" s="36" t="s">
        <v>498</v>
      </c>
      <c r="F1323" s="36" t="s">
        <v>116</v>
      </c>
      <c r="G1323" s="37">
        <f>SUM(G1324:G1325)</f>
        <v>3447930</v>
      </c>
      <c r="H1323" s="37">
        <f t="shared" ref="H1323:I1323" si="921">SUM(H1324:H1325)</f>
        <v>3222930</v>
      </c>
      <c r="I1323" s="37">
        <f t="shared" si="921"/>
        <v>3222930</v>
      </c>
      <c r="J1323" s="16">
        <f>'БА в тыс. руб.'!G1323*1000</f>
        <v>3447930</v>
      </c>
      <c r="K1323" s="169">
        <f t="shared" si="903"/>
        <v>0</v>
      </c>
      <c r="L1323" s="16">
        <f>'БА в тыс. руб.'!H1323*1000</f>
        <v>3222930</v>
      </c>
      <c r="M1323" s="169">
        <f t="shared" si="904"/>
        <v>0</v>
      </c>
      <c r="N1323" s="16">
        <f>'БА в тыс. руб.'!I1323*1000</f>
        <v>3222930</v>
      </c>
      <c r="O1323" s="169">
        <f t="shared" si="905"/>
        <v>0</v>
      </c>
      <c r="P1323" s="16"/>
      <c r="Q1323" s="16"/>
      <c r="R1323" s="16"/>
      <c r="S1323" s="16"/>
      <c r="T1323" s="16"/>
      <c r="U1323" s="16"/>
    </row>
    <row r="1324" spans="1:21" s="3" customFormat="1">
      <c r="A1324" s="11"/>
      <c r="B1324" s="36" t="s">
        <v>18</v>
      </c>
      <c r="C1324" s="36" t="s">
        <v>8</v>
      </c>
      <c r="D1324" s="36" t="s">
        <v>65</v>
      </c>
      <c r="E1324" s="36" t="s">
        <v>498</v>
      </c>
      <c r="F1324" s="26" t="s">
        <v>1070</v>
      </c>
      <c r="G1324" s="27">
        <f t="shared" ref="G1324:G1325" si="922">J1324</f>
        <v>870000</v>
      </c>
      <c r="H1324" s="27">
        <f t="shared" ref="H1324:H1325" si="923">L1324</f>
        <v>730000</v>
      </c>
      <c r="I1324" s="27">
        <f t="shared" ref="I1324:I1325" si="924">N1324</f>
        <v>730000</v>
      </c>
      <c r="J1324" s="16">
        <f>'БА в тыс. руб.'!G1324*1000</f>
        <v>870000</v>
      </c>
      <c r="K1324" s="169"/>
      <c r="L1324" s="16">
        <f>'БА в тыс. руб.'!H1324*1000</f>
        <v>730000</v>
      </c>
      <c r="M1324" s="169"/>
      <c r="N1324" s="16">
        <f>'БА в тыс. руб.'!I1324*1000</f>
        <v>730000</v>
      </c>
      <c r="O1324" s="169"/>
      <c r="P1324" s="16"/>
      <c r="Q1324" s="16"/>
      <c r="R1324" s="16"/>
      <c r="S1324" s="16"/>
      <c r="T1324" s="16"/>
      <c r="U1324" s="16"/>
    </row>
    <row r="1325" spans="1:21" s="4" customFormat="1" ht="15" customHeight="1">
      <c r="A1325" s="12" t="s">
        <v>973</v>
      </c>
      <c r="B1325" s="36" t="s">
        <v>18</v>
      </c>
      <c r="C1325" s="36" t="s">
        <v>8</v>
      </c>
      <c r="D1325" s="36" t="s">
        <v>65</v>
      </c>
      <c r="E1325" s="36" t="s">
        <v>498</v>
      </c>
      <c r="F1325" s="26" t="s">
        <v>1043</v>
      </c>
      <c r="G1325" s="27">
        <f t="shared" si="922"/>
        <v>2577930</v>
      </c>
      <c r="H1325" s="27">
        <f t="shared" si="923"/>
        <v>2492930</v>
      </c>
      <c r="I1325" s="27">
        <f t="shared" si="924"/>
        <v>2492930</v>
      </c>
      <c r="J1325" s="16">
        <f>'БА в тыс. руб.'!G1325*1000</f>
        <v>2577930</v>
      </c>
      <c r="K1325" s="169">
        <f t="shared" si="903"/>
        <v>0</v>
      </c>
      <c r="L1325" s="16">
        <f>'БА в тыс. руб.'!H1325*1000</f>
        <v>2492930</v>
      </c>
      <c r="M1325" s="169">
        <f t="shared" si="904"/>
        <v>0</v>
      </c>
      <c r="N1325" s="16">
        <f>'БА в тыс. руб.'!I1325*1000</f>
        <v>2492930</v>
      </c>
      <c r="O1325" s="169">
        <f t="shared" si="905"/>
        <v>0</v>
      </c>
      <c r="P1325" s="16"/>
      <c r="Q1325" s="16"/>
      <c r="R1325" s="16"/>
      <c r="S1325" s="16"/>
      <c r="T1325" s="16"/>
      <c r="U1325" s="16"/>
    </row>
    <row r="1326" spans="1:21" s="3" customFormat="1">
      <c r="A1326" s="128" t="s">
        <v>1</v>
      </c>
      <c r="B1326" s="22" t="s">
        <v>18</v>
      </c>
      <c r="C1326" s="23" t="s">
        <v>8</v>
      </c>
      <c r="D1326" s="23" t="s">
        <v>53</v>
      </c>
      <c r="E1326" s="23" t="s">
        <v>196</v>
      </c>
      <c r="F1326" s="23" t="s">
        <v>58</v>
      </c>
      <c r="G1326" s="24">
        <f t="shared" ref="G1326:I1328" si="925">G1327</f>
        <v>16053860</v>
      </c>
      <c r="H1326" s="24">
        <f t="shared" si="925"/>
        <v>15216790</v>
      </c>
      <c r="I1326" s="24">
        <f t="shared" si="925"/>
        <v>15216790</v>
      </c>
      <c r="J1326" s="16">
        <f>'БА в тыс. руб.'!G1326*1000</f>
        <v>16053860</v>
      </c>
      <c r="K1326" s="169">
        <f t="shared" si="903"/>
        <v>0</v>
      </c>
      <c r="L1326" s="16">
        <f>'БА в тыс. руб.'!H1326*1000</f>
        <v>15216789.999999998</v>
      </c>
      <c r="M1326" s="169">
        <f t="shared" si="904"/>
        <v>0</v>
      </c>
      <c r="N1326" s="16">
        <f>'БА в тыс. руб.'!I1326*1000</f>
        <v>15216789.999999998</v>
      </c>
      <c r="O1326" s="169">
        <f t="shared" si="905"/>
        <v>0</v>
      </c>
      <c r="P1326" s="16"/>
      <c r="Q1326" s="16"/>
      <c r="R1326" s="16"/>
      <c r="S1326" s="16"/>
      <c r="T1326" s="16"/>
      <c r="U1326" s="16"/>
    </row>
    <row r="1327" spans="1:21" s="3" customFormat="1" ht="38.25">
      <c r="A1327" s="12" t="s">
        <v>722</v>
      </c>
      <c r="B1327" s="36" t="s">
        <v>18</v>
      </c>
      <c r="C1327" s="36" t="s">
        <v>8</v>
      </c>
      <c r="D1327" s="36" t="s">
        <v>53</v>
      </c>
      <c r="E1327" s="36" t="s">
        <v>300</v>
      </c>
      <c r="F1327" s="36" t="s">
        <v>58</v>
      </c>
      <c r="G1327" s="37">
        <f t="shared" si="925"/>
        <v>16053860</v>
      </c>
      <c r="H1327" s="37">
        <f t="shared" si="925"/>
        <v>15216790</v>
      </c>
      <c r="I1327" s="37">
        <f t="shared" si="925"/>
        <v>15216790</v>
      </c>
      <c r="J1327" s="16">
        <f>'БА в тыс. руб.'!G1327*1000</f>
        <v>16053860</v>
      </c>
      <c r="K1327" s="169">
        <f t="shared" si="903"/>
        <v>0</v>
      </c>
      <c r="L1327" s="16">
        <f>'БА в тыс. руб.'!H1327*1000</f>
        <v>15216789.999999998</v>
      </c>
      <c r="M1327" s="169">
        <f t="shared" si="904"/>
        <v>0</v>
      </c>
      <c r="N1327" s="16">
        <f>'БА в тыс. руб.'!I1327*1000</f>
        <v>15216789.999999998</v>
      </c>
      <c r="O1327" s="169">
        <f t="shared" si="905"/>
        <v>0</v>
      </c>
      <c r="P1327" s="16"/>
      <c r="Q1327" s="16"/>
      <c r="R1327" s="16"/>
      <c r="S1327" s="16"/>
      <c r="T1327" s="16"/>
      <c r="U1327" s="16"/>
    </row>
    <row r="1328" spans="1:21" s="3" customFormat="1">
      <c r="A1328" s="148" t="s">
        <v>142</v>
      </c>
      <c r="B1328" s="36" t="s">
        <v>18</v>
      </c>
      <c r="C1328" s="36" t="s">
        <v>8</v>
      </c>
      <c r="D1328" s="36" t="s">
        <v>53</v>
      </c>
      <c r="E1328" s="36" t="s">
        <v>453</v>
      </c>
      <c r="F1328" s="36" t="s">
        <v>58</v>
      </c>
      <c r="G1328" s="37">
        <f t="shared" si="925"/>
        <v>16053860</v>
      </c>
      <c r="H1328" s="37">
        <f t="shared" si="925"/>
        <v>15216790</v>
      </c>
      <c r="I1328" s="37">
        <f t="shared" si="925"/>
        <v>15216790</v>
      </c>
      <c r="J1328" s="16">
        <f>'БА в тыс. руб.'!G1328*1000</f>
        <v>16053860</v>
      </c>
      <c r="K1328" s="169">
        <f t="shared" si="903"/>
        <v>0</v>
      </c>
      <c r="L1328" s="16">
        <f>'БА в тыс. руб.'!H1328*1000</f>
        <v>15216789.999999998</v>
      </c>
      <c r="M1328" s="169">
        <f t="shared" si="904"/>
        <v>0</v>
      </c>
      <c r="N1328" s="16">
        <f>'БА в тыс. руб.'!I1328*1000</f>
        <v>15216789.999999998</v>
      </c>
      <c r="O1328" s="169">
        <f t="shared" si="905"/>
        <v>0</v>
      </c>
      <c r="P1328" s="16"/>
      <c r="Q1328" s="16"/>
      <c r="R1328" s="16"/>
      <c r="S1328" s="16"/>
      <c r="T1328" s="16"/>
      <c r="U1328" s="16"/>
    </row>
    <row r="1329" spans="1:21" s="3" customFormat="1" ht="25.5">
      <c r="A1329" s="148" t="s">
        <v>454</v>
      </c>
      <c r="B1329" s="36" t="s">
        <v>18</v>
      </c>
      <c r="C1329" s="36" t="s">
        <v>8</v>
      </c>
      <c r="D1329" s="36" t="s">
        <v>53</v>
      </c>
      <c r="E1329" s="26" t="s">
        <v>645</v>
      </c>
      <c r="F1329" s="36" t="s">
        <v>58</v>
      </c>
      <c r="G1329" s="37">
        <f>G1331+G1334</f>
        <v>16053860</v>
      </c>
      <c r="H1329" s="37">
        <f>H1331+H1334</f>
        <v>15216790</v>
      </c>
      <c r="I1329" s="37">
        <f>I1331+I1334</f>
        <v>15216790</v>
      </c>
      <c r="J1329" s="16">
        <f>'БА в тыс. руб.'!G1329*1000</f>
        <v>16053860</v>
      </c>
      <c r="K1329" s="169">
        <f t="shared" si="903"/>
        <v>0</v>
      </c>
      <c r="L1329" s="16">
        <f>'БА в тыс. руб.'!H1329*1000</f>
        <v>15216789.999999998</v>
      </c>
      <c r="M1329" s="169">
        <f t="shared" si="904"/>
        <v>0</v>
      </c>
      <c r="N1329" s="16">
        <f>'БА в тыс. руб.'!I1329*1000</f>
        <v>15216789.999999998</v>
      </c>
      <c r="O1329" s="169">
        <f t="shared" si="905"/>
        <v>0</v>
      </c>
      <c r="P1329" s="16"/>
      <c r="Q1329" s="16"/>
      <c r="R1329" s="16"/>
      <c r="S1329" s="16"/>
      <c r="T1329" s="16"/>
      <c r="U1329" s="16"/>
    </row>
    <row r="1330" spans="1:21" s="3" customFormat="1" ht="25.5">
      <c r="A1330" s="148" t="s">
        <v>158</v>
      </c>
      <c r="B1330" s="36" t="s">
        <v>18</v>
      </c>
      <c r="C1330" s="36" t="s">
        <v>8</v>
      </c>
      <c r="D1330" s="36" t="s">
        <v>53</v>
      </c>
      <c r="E1330" s="26" t="s">
        <v>646</v>
      </c>
      <c r="F1330" s="36" t="s">
        <v>58</v>
      </c>
      <c r="G1330" s="37">
        <f>G1331</f>
        <v>15007510</v>
      </c>
      <c r="H1330" s="37">
        <f>H1331</f>
        <v>14275070</v>
      </c>
      <c r="I1330" s="37">
        <f>I1331</f>
        <v>14275070</v>
      </c>
      <c r="J1330" s="16">
        <f>'БА в тыс. руб.'!G1330*1000</f>
        <v>15007510</v>
      </c>
      <c r="K1330" s="169">
        <f t="shared" si="903"/>
        <v>0</v>
      </c>
      <c r="L1330" s="16">
        <f>'БА в тыс. руб.'!H1330*1000</f>
        <v>14275070</v>
      </c>
      <c r="M1330" s="169">
        <f t="shared" si="904"/>
        <v>0</v>
      </c>
      <c r="N1330" s="16">
        <f>'БА в тыс. руб.'!I1330*1000</f>
        <v>14275070</v>
      </c>
      <c r="O1330" s="169">
        <f t="shared" si="905"/>
        <v>0</v>
      </c>
      <c r="P1330" s="16"/>
      <c r="Q1330" s="16"/>
      <c r="R1330" s="16"/>
      <c r="S1330" s="16"/>
      <c r="T1330" s="16"/>
      <c r="U1330" s="16"/>
    </row>
    <row r="1331" spans="1:21" s="3" customFormat="1" ht="25.5">
      <c r="A1331" s="11" t="s">
        <v>108</v>
      </c>
      <c r="B1331" s="36" t="s">
        <v>18</v>
      </c>
      <c r="C1331" s="36" t="s">
        <v>8</v>
      </c>
      <c r="D1331" s="36" t="s">
        <v>53</v>
      </c>
      <c r="E1331" s="26" t="s">
        <v>646</v>
      </c>
      <c r="F1331" s="36" t="s">
        <v>116</v>
      </c>
      <c r="G1331" s="27">
        <f>G1332</f>
        <v>15007510</v>
      </c>
      <c r="H1331" s="27">
        <f t="shared" ref="H1331:I1331" si="926">H1332</f>
        <v>14275070</v>
      </c>
      <c r="I1331" s="27">
        <f t="shared" si="926"/>
        <v>14275070</v>
      </c>
      <c r="J1331" s="16">
        <f>'БА в тыс. руб.'!G1331*1000</f>
        <v>15007510</v>
      </c>
      <c r="K1331" s="169">
        <f t="shared" si="903"/>
        <v>0</v>
      </c>
      <c r="L1331" s="16">
        <f>'БА в тыс. руб.'!H1331*1000</f>
        <v>14275070</v>
      </c>
      <c r="M1331" s="169">
        <f t="shared" si="904"/>
        <v>0</v>
      </c>
      <c r="N1331" s="16">
        <f>'БА в тыс. руб.'!I1331*1000</f>
        <v>14275070</v>
      </c>
      <c r="O1331" s="169">
        <f t="shared" si="905"/>
        <v>0</v>
      </c>
      <c r="P1331" s="16"/>
      <c r="Q1331" s="16"/>
      <c r="R1331" s="16"/>
      <c r="S1331" s="16"/>
      <c r="T1331" s="16"/>
      <c r="U1331" s="16"/>
    </row>
    <row r="1332" spans="1:21" s="4" customFormat="1" ht="25.5">
      <c r="A1332" s="12" t="s">
        <v>973</v>
      </c>
      <c r="B1332" s="36" t="s">
        <v>18</v>
      </c>
      <c r="C1332" s="36" t="s">
        <v>8</v>
      </c>
      <c r="D1332" s="36" t="s">
        <v>53</v>
      </c>
      <c r="E1332" s="26" t="s">
        <v>646</v>
      </c>
      <c r="F1332" s="36" t="s">
        <v>1043</v>
      </c>
      <c r="G1332" s="27">
        <f t="shared" ref="G1332" si="927">J1332</f>
        <v>15007510</v>
      </c>
      <c r="H1332" s="27">
        <f>L1332</f>
        <v>14275070</v>
      </c>
      <c r="I1332" s="27">
        <f>N1332</f>
        <v>14275070</v>
      </c>
      <c r="J1332" s="16">
        <f>'БА в тыс. руб.'!G1332*1000</f>
        <v>15007510</v>
      </c>
      <c r="K1332" s="169">
        <f t="shared" si="903"/>
        <v>0</v>
      </c>
      <c r="L1332" s="16">
        <f>'БА в тыс. руб.'!H1332*1000</f>
        <v>14275070</v>
      </c>
      <c r="M1332" s="169">
        <f t="shared" si="904"/>
        <v>0</v>
      </c>
      <c r="N1332" s="16">
        <f>'БА в тыс. руб.'!I1332*1000</f>
        <v>14275070</v>
      </c>
      <c r="O1332" s="169">
        <f t="shared" si="905"/>
        <v>0</v>
      </c>
      <c r="P1332" s="16"/>
      <c r="Q1332" s="16"/>
      <c r="R1332" s="16"/>
      <c r="S1332" s="16"/>
      <c r="T1332" s="16"/>
      <c r="U1332" s="16"/>
    </row>
    <row r="1333" spans="1:21" s="3" customFormat="1">
      <c r="A1333" s="12" t="s">
        <v>890</v>
      </c>
      <c r="B1333" s="36" t="s">
        <v>18</v>
      </c>
      <c r="C1333" s="36" t="s">
        <v>8</v>
      </c>
      <c r="D1333" s="36" t="s">
        <v>53</v>
      </c>
      <c r="E1333" s="36" t="s">
        <v>910</v>
      </c>
      <c r="F1333" s="36" t="s">
        <v>58</v>
      </c>
      <c r="G1333" s="37">
        <f>G1334</f>
        <v>1046349.9999999999</v>
      </c>
      <c r="H1333" s="37">
        <f>H1334</f>
        <v>941720</v>
      </c>
      <c r="I1333" s="37">
        <f>I1334</f>
        <v>941720</v>
      </c>
      <c r="J1333" s="16">
        <f>'БА в тыс. руб.'!G1333*1000</f>
        <v>1046349.9999999999</v>
      </c>
      <c r="K1333" s="169">
        <f t="shared" si="903"/>
        <v>0</v>
      </c>
      <c r="L1333" s="16">
        <f>'БА в тыс. руб.'!H1333*1000</f>
        <v>941720</v>
      </c>
      <c r="M1333" s="169">
        <f t="shared" si="904"/>
        <v>0</v>
      </c>
      <c r="N1333" s="16">
        <f>'БА в тыс. руб.'!I1333*1000</f>
        <v>941720</v>
      </c>
      <c r="O1333" s="169">
        <f t="shared" si="905"/>
        <v>0</v>
      </c>
      <c r="P1333" s="16"/>
      <c r="Q1333" s="16"/>
      <c r="R1333" s="16"/>
      <c r="S1333" s="16"/>
      <c r="T1333" s="16"/>
      <c r="U1333" s="16"/>
    </row>
    <row r="1334" spans="1:21" s="3" customFormat="1" ht="25.5">
      <c r="A1334" s="11" t="s">
        <v>108</v>
      </c>
      <c r="B1334" s="36" t="s">
        <v>18</v>
      </c>
      <c r="C1334" s="36" t="s">
        <v>8</v>
      </c>
      <c r="D1334" s="36" t="s">
        <v>53</v>
      </c>
      <c r="E1334" s="36" t="s">
        <v>910</v>
      </c>
      <c r="F1334" s="36" t="s">
        <v>116</v>
      </c>
      <c r="G1334" s="27">
        <f>G1335</f>
        <v>1046349.9999999999</v>
      </c>
      <c r="H1334" s="27">
        <f t="shared" ref="H1334:I1334" si="928">H1335</f>
        <v>941720</v>
      </c>
      <c r="I1334" s="27">
        <f t="shared" si="928"/>
        <v>941720</v>
      </c>
      <c r="J1334" s="16">
        <f>'БА в тыс. руб.'!G1334*1000</f>
        <v>1046349.9999999999</v>
      </c>
      <c r="K1334" s="169">
        <f t="shared" si="903"/>
        <v>0</v>
      </c>
      <c r="L1334" s="16">
        <f>'БА в тыс. руб.'!H1334*1000</f>
        <v>941720</v>
      </c>
      <c r="M1334" s="169">
        <f t="shared" si="904"/>
        <v>0</v>
      </c>
      <c r="N1334" s="16">
        <f>'БА в тыс. руб.'!I1334*1000</f>
        <v>941720</v>
      </c>
      <c r="O1334" s="169">
        <f t="shared" si="905"/>
        <v>0</v>
      </c>
      <c r="P1334" s="16"/>
      <c r="Q1334" s="16"/>
      <c r="R1334" s="16"/>
      <c r="S1334" s="16"/>
      <c r="T1334" s="16"/>
      <c r="U1334" s="16"/>
    </row>
    <row r="1335" spans="1:21" s="4" customFormat="1" ht="25.5">
      <c r="A1335" s="12" t="s">
        <v>973</v>
      </c>
      <c r="B1335" s="36" t="s">
        <v>18</v>
      </c>
      <c r="C1335" s="36" t="s">
        <v>8</v>
      </c>
      <c r="D1335" s="36" t="s">
        <v>53</v>
      </c>
      <c r="E1335" s="36" t="s">
        <v>910</v>
      </c>
      <c r="F1335" s="36" t="s">
        <v>1043</v>
      </c>
      <c r="G1335" s="27">
        <f t="shared" ref="G1335" si="929">J1335</f>
        <v>1046349.9999999999</v>
      </c>
      <c r="H1335" s="27">
        <f>L1335</f>
        <v>941720</v>
      </c>
      <c r="I1335" s="27">
        <f>N1335</f>
        <v>941720</v>
      </c>
      <c r="J1335" s="16">
        <f>'БА в тыс. руб.'!G1335*1000</f>
        <v>1046349.9999999999</v>
      </c>
      <c r="K1335" s="169">
        <f t="shared" si="903"/>
        <v>0</v>
      </c>
      <c r="L1335" s="16">
        <f>'БА в тыс. руб.'!H1335*1000</f>
        <v>941720</v>
      </c>
      <c r="M1335" s="169">
        <f t="shared" si="904"/>
        <v>0</v>
      </c>
      <c r="N1335" s="16">
        <f>'БА в тыс. руб.'!I1335*1000</f>
        <v>941720</v>
      </c>
      <c r="O1335" s="169">
        <f t="shared" si="905"/>
        <v>0</v>
      </c>
      <c r="P1335" s="16"/>
      <c r="Q1335" s="16"/>
      <c r="R1335" s="16"/>
      <c r="S1335" s="16"/>
      <c r="T1335" s="16"/>
      <c r="U1335" s="16"/>
    </row>
    <row r="1336" spans="1:21" s="3" customFormat="1">
      <c r="A1336" s="17" t="s">
        <v>83</v>
      </c>
      <c r="B1336" s="18" t="s">
        <v>18</v>
      </c>
      <c r="C1336" s="19" t="s">
        <v>50</v>
      </c>
      <c r="D1336" s="19" t="s">
        <v>51</v>
      </c>
      <c r="E1336" s="19" t="s">
        <v>196</v>
      </c>
      <c r="F1336" s="19" t="s">
        <v>58</v>
      </c>
      <c r="G1336" s="20">
        <f t="shared" ref="G1336:I1339" si="930">G1337</f>
        <v>1612500</v>
      </c>
      <c r="H1336" s="20">
        <f t="shared" si="930"/>
        <v>1549000</v>
      </c>
      <c r="I1336" s="20">
        <f t="shared" si="930"/>
        <v>1549000</v>
      </c>
      <c r="J1336" s="16">
        <f>'БА в тыс. руб.'!G1336*1000</f>
        <v>1612500</v>
      </c>
      <c r="K1336" s="169">
        <f t="shared" si="903"/>
        <v>0</v>
      </c>
      <c r="L1336" s="16">
        <f>'БА в тыс. руб.'!H1336*1000</f>
        <v>1549000</v>
      </c>
      <c r="M1336" s="169">
        <f t="shared" si="904"/>
        <v>0</v>
      </c>
      <c r="N1336" s="16">
        <f>'БА в тыс. руб.'!I1336*1000</f>
        <v>1549000</v>
      </c>
      <c r="O1336" s="169">
        <f t="shared" si="905"/>
        <v>0</v>
      </c>
      <c r="P1336" s="16"/>
      <c r="Q1336" s="16"/>
      <c r="R1336" s="16"/>
      <c r="S1336" s="16"/>
      <c r="T1336" s="16"/>
      <c r="U1336" s="16"/>
    </row>
    <row r="1337" spans="1:21" s="3" customFormat="1">
      <c r="A1337" s="128" t="s">
        <v>27</v>
      </c>
      <c r="B1337" s="22" t="s">
        <v>18</v>
      </c>
      <c r="C1337" s="23" t="s">
        <v>50</v>
      </c>
      <c r="D1337" s="23" t="s">
        <v>65</v>
      </c>
      <c r="E1337" s="23" t="s">
        <v>196</v>
      </c>
      <c r="F1337" s="23" t="s">
        <v>58</v>
      </c>
      <c r="G1337" s="24">
        <f t="shared" si="930"/>
        <v>1612500</v>
      </c>
      <c r="H1337" s="24">
        <f t="shared" si="930"/>
        <v>1549000</v>
      </c>
      <c r="I1337" s="24">
        <f t="shared" si="930"/>
        <v>1549000</v>
      </c>
      <c r="J1337" s="16">
        <f>'БА в тыс. руб.'!G1337*1000</f>
        <v>1612500</v>
      </c>
      <c r="K1337" s="169">
        <f t="shared" si="903"/>
        <v>0</v>
      </c>
      <c r="L1337" s="16">
        <f>'БА в тыс. руб.'!H1337*1000</f>
        <v>1549000</v>
      </c>
      <c r="M1337" s="169">
        <f t="shared" si="904"/>
        <v>0</v>
      </c>
      <c r="N1337" s="16">
        <f>'БА в тыс. руб.'!I1337*1000</f>
        <v>1549000</v>
      </c>
      <c r="O1337" s="169">
        <f t="shared" si="905"/>
        <v>0</v>
      </c>
      <c r="P1337" s="16"/>
      <c r="Q1337" s="16"/>
      <c r="R1337" s="16"/>
      <c r="S1337" s="16"/>
      <c r="T1337" s="16"/>
      <c r="U1337" s="16"/>
    </row>
    <row r="1338" spans="1:21" s="3" customFormat="1">
      <c r="A1338" s="11" t="s">
        <v>739</v>
      </c>
      <c r="B1338" s="26" t="s">
        <v>18</v>
      </c>
      <c r="C1338" s="26" t="s">
        <v>50</v>
      </c>
      <c r="D1338" s="26" t="s">
        <v>65</v>
      </c>
      <c r="E1338" s="26" t="s">
        <v>277</v>
      </c>
      <c r="F1338" s="26" t="s">
        <v>58</v>
      </c>
      <c r="G1338" s="27">
        <f t="shared" si="930"/>
        <v>1612500</v>
      </c>
      <c r="H1338" s="27">
        <f t="shared" si="930"/>
        <v>1549000</v>
      </c>
      <c r="I1338" s="27">
        <f t="shared" si="930"/>
        <v>1549000</v>
      </c>
      <c r="J1338" s="16">
        <f>'БА в тыс. руб.'!G1338*1000</f>
        <v>1612500</v>
      </c>
      <c r="K1338" s="169">
        <f t="shared" si="903"/>
        <v>0</v>
      </c>
      <c r="L1338" s="16">
        <f>'БА в тыс. руб.'!H1338*1000</f>
        <v>1549000</v>
      </c>
      <c r="M1338" s="169">
        <f t="shared" si="904"/>
        <v>0</v>
      </c>
      <c r="N1338" s="16">
        <f>'БА в тыс. руб.'!I1338*1000</f>
        <v>1549000</v>
      </c>
      <c r="O1338" s="169">
        <f t="shared" si="905"/>
        <v>0</v>
      </c>
      <c r="P1338" s="16"/>
      <c r="Q1338" s="16"/>
      <c r="R1338" s="16"/>
      <c r="S1338" s="16"/>
      <c r="T1338" s="16"/>
      <c r="U1338" s="16"/>
    </row>
    <row r="1339" spans="1:21" s="3" customFormat="1" ht="51">
      <c r="A1339" s="34" t="s">
        <v>559</v>
      </c>
      <c r="B1339" s="36" t="s">
        <v>18</v>
      </c>
      <c r="C1339" s="36" t="s">
        <v>50</v>
      </c>
      <c r="D1339" s="36" t="s">
        <v>65</v>
      </c>
      <c r="E1339" s="36" t="s">
        <v>278</v>
      </c>
      <c r="F1339" s="36" t="s">
        <v>58</v>
      </c>
      <c r="G1339" s="37">
        <f t="shared" si="930"/>
        <v>1612500</v>
      </c>
      <c r="H1339" s="37">
        <f t="shared" si="930"/>
        <v>1549000</v>
      </c>
      <c r="I1339" s="37">
        <f t="shared" si="930"/>
        <v>1549000</v>
      </c>
      <c r="J1339" s="16">
        <f>'БА в тыс. руб.'!G1339*1000</f>
        <v>1612500</v>
      </c>
      <c r="K1339" s="169">
        <f t="shared" si="903"/>
        <v>0</v>
      </c>
      <c r="L1339" s="16">
        <f>'БА в тыс. руб.'!H1339*1000</f>
        <v>1549000</v>
      </c>
      <c r="M1339" s="169">
        <f t="shared" si="904"/>
        <v>0</v>
      </c>
      <c r="N1339" s="16">
        <f>'БА в тыс. руб.'!I1339*1000</f>
        <v>1549000</v>
      </c>
      <c r="O1339" s="169">
        <f t="shared" si="905"/>
        <v>0</v>
      </c>
      <c r="P1339" s="16"/>
      <c r="Q1339" s="16"/>
      <c r="R1339" s="16"/>
      <c r="S1339" s="16"/>
      <c r="T1339" s="16"/>
      <c r="U1339" s="16"/>
    </row>
    <row r="1340" spans="1:21" s="3" customFormat="1" ht="63.75">
      <c r="A1340" s="135" t="s">
        <v>605</v>
      </c>
      <c r="B1340" s="36" t="s">
        <v>18</v>
      </c>
      <c r="C1340" s="36" t="s">
        <v>50</v>
      </c>
      <c r="D1340" s="36" t="s">
        <v>65</v>
      </c>
      <c r="E1340" s="36" t="s">
        <v>279</v>
      </c>
      <c r="F1340" s="36" t="s">
        <v>58</v>
      </c>
      <c r="G1340" s="37">
        <f>G1341+G1344</f>
        <v>1612500</v>
      </c>
      <c r="H1340" s="37">
        <f>H1341+H1344</f>
        <v>1549000</v>
      </c>
      <c r="I1340" s="37">
        <f>I1341+I1344</f>
        <v>1549000</v>
      </c>
      <c r="J1340" s="16">
        <f>'БА в тыс. руб.'!G1340*1000</f>
        <v>1612500</v>
      </c>
      <c r="K1340" s="169">
        <f t="shared" si="903"/>
        <v>0</v>
      </c>
      <c r="L1340" s="16">
        <f>'БА в тыс. руб.'!H1340*1000</f>
        <v>1549000</v>
      </c>
      <c r="M1340" s="169">
        <f t="shared" si="904"/>
        <v>0</v>
      </c>
      <c r="N1340" s="16">
        <f>'БА в тыс. руб.'!I1340*1000</f>
        <v>1549000</v>
      </c>
      <c r="O1340" s="169">
        <f t="shared" si="905"/>
        <v>0</v>
      </c>
      <c r="P1340" s="16"/>
      <c r="Q1340" s="16"/>
      <c r="R1340" s="16"/>
      <c r="S1340" s="16"/>
      <c r="T1340" s="16"/>
      <c r="U1340" s="16"/>
    </row>
    <row r="1341" spans="1:21" s="3" customFormat="1" ht="25.5">
      <c r="A1341" s="34" t="s">
        <v>161</v>
      </c>
      <c r="B1341" s="36" t="s">
        <v>18</v>
      </c>
      <c r="C1341" s="36" t="s">
        <v>50</v>
      </c>
      <c r="D1341" s="36" t="s">
        <v>65</v>
      </c>
      <c r="E1341" s="36" t="s">
        <v>320</v>
      </c>
      <c r="F1341" s="36" t="s">
        <v>58</v>
      </c>
      <c r="G1341" s="37">
        <f>G1342</f>
        <v>975000</v>
      </c>
      <c r="H1341" s="37">
        <f>H1342</f>
        <v>911500</v>
      </c>
      <c r="I1341" s="37">
        <f>I1342</f>
        <v>911500</v>
      </c>
      <c r="J1341" s="16">
        <f>'БА в тыс. руб.'!G1341*1000</f>
        <v>975000</v>
      </c>
      <c r="K1341" s="169">
        <f t="shared" si="903"/>
        <v>0</v>
      </c>
      <c r="L1341" s="16">
        <f>'БА в тыс. руб.'!H1341*1000</f>
        <v>911500</v>
      </c>
      <c r="M1341" s="169">
        <f t="shared" si="904"/>
        <v>0</v>
      </c>
      <c r="N1341" s="16">
        <f>'БА в тыс. руб.'!I1341*1000</f>
        <v>911500</v>
      </c>
      <c r="O1341" s="169">
        <f t="shared" si="905"/>
        <v>0</v>
      </c>
      <c r="P1341" s="16"/>
      <c r="Q1341" s="16"/>
      <c r="R1341" s="16"/>
      <c r="S1341" s="16"/>
      <c r="T1341" s="16"/>
      <c r="U1341" s="16"/>
    </row>
    <row r="1342" spans="1:21" s="3" customFormat="1" ht="25.5">
      <c r="A1342" s="11" t="s">
        <v>108</v>
      </c>
      <c r="B1342" s="36" t="s">
        <v>18</v>
      </c>
      <c r="C1342" s="36" t="s">
        <v>50</v>
      </c>
      <c r="D1342" s="36" t="s">
        <v>65</v>
      </c>
      <c r="E1342" s="36" t="s">
        <v>320</v>
      </c>
      <c r="F1342" s="36" t="s">
        <v>116</v>
      </c>
      <c r="G1342" s="27">
        <f>G1343</f>
        <v>975000</v>
      </c>
      <c r="H1342" s="27">
        <f t="shared" ref="H1342:I1342" si="931">H1343</f>
        <v>911500</v>
      </c>
      <c r="I1342" s="27">
        <f t="shared" si="931"/>
        <v>911500</v>
      </c>
      <c r="J1342" s="16">
        <f>'БА в тыс. руб.'!G1342*1000</f>
        <v>975000</v>
      </c>
      <c r="K1342" s="169">
        <f t="shared" si="903"/>
        <v>0</v>
      </c>
      <c r="L1342" s="16">
        <f>'БА в тыс. руб.'!H1342*1000</f>
        <v>911500</v>
      </c>
      <c r="M1342" s="169">
        <f t="shared" si="904"/>
        <v>0</v>
      </c>
      <c r="N1342" s="16">
        <f>'БА в тыс. руб.'!I1342*1000</f>
        <v>911500</v>
      </c>
      <c r="O1342" s="169">
        <f t="shared" si="905"/>
        <v>0</v>
      </c>
      <c r="P1342" s="16"/>
      <c r="Q1342" s="16"/>
      <c r="R1342" s="16"/>
      <c r="S1342" s="16"/>
      <c r="T1342" s="16"/>
      <c r="U1342" s="16"/>
    </row>
    <row r="1343" spans="1:21" s="4" customFormat="1" ht="25.5">
      <c r="A1343" s="12" t="s">
        <v>973</v>
      </c>
      <c r="B1343" s="36" t="s">
        <v>18</v>
      </c>
      <c r="C1343" s="36" t="s">
        <v>50</v>
      </c>
      <c r="D1343" s="36" t="s">
        <v>65</v>
      </c>
      <c r="E1343" s="36" t="s">
        <v>320</v>
      </c>
      <c r="F1343" s="36" t="s">
        <v>1043</v>
      </c>
      <c r="G1343" s="27">
        <f t="shared" ref="G1343" si="932">J1343</f>
        <v>975000</v>
      </c>
      <c r="H1343" s="27">
        <f>L1343</f>
        <v>911500</v>
      </c>
      <c r="I1343" s="27">
        <f>N1343</f>
        <v>911500</v>
      </c>
      <c r="J1343" s="16">
        <f>'БА в тыс. руб.'!G1343*1000</f>
        <v>975000</v>
      </c>
      <c r="K1343" s="169">
        <f t="shared" si="903"/>
        <v>0</v>
      </c>
      <c r="L1343" s="16">
        <f>'БА в тыс. руб.'!H1343*1000</f>
        <v>911500</v>
      </c>
      <c r="M1343" s="169">
        <f t="shared" si="904"/>
        <v>0</v>
      </c>
      <c r="N1343" s="16">
        <f>'БА в тыс. руб.'!I1343*1000</f>
        <v>911500</v>
      </c>
      <c r="O1343" s="169">
        <f t="shared" si="905"/>
        <v>0</v>
      </c>
      <c r="P1343" s="16"/>
      <c r="Q1343" s="16"/>
      <c r="R1343" s="16"/>
      <c r="S1343" s="16"/>
      <c r="T1343" s="16"/>
      <c r="U1343" s="16"/>
    </row>
    <row r="1344" spans="1:21" s="3" customFormat="1" ht="25.5">
      <c r="A1344" s="12" t="s">
        <v>892</v>
      </c>
      <c r="B1344" s="36" t="s">
        <v>18</v>
      </c>
      <c r="C1344" s="36" t="s">
        <v>50</v>
      </c>
      <c r="D1344" s="36" t="s">
        <v>65</v>
      </c>
      <c r="E1344" s="36" t="s">
        <v>500</v>
      </c>
      <c r="F1344" s="36" t="s">
        <v>58</v>
      </c>
      <c r="G1344" s="149">
        <f>G1345</f>
        <v>637500</v>
      </c>
      <c r="H1344" s="149">
        <f>H1345</f>
        <v>637500</v>
      </c>
      <c r="I1344" s="149">
        <f>I1345</f>
        <v>637500</v>
      </c>
      <c r="J1344" s="16">
        <f>'БА в тыс. руб.'!G1344*1000</f>
        <v>637500</v>
      </c>
      <c r="K1344" s="169">
        <f t="shared" si="903"/>
        <v>0</v>
      </c>
      <c r="L1344" s="16">
        <f>'БА в тыс. руб.'!H1344*1000</f>
        <v>637500</v>
      </c>
      <c r="M1344" s="169">
        <f t="shared" si="904"/>
        <v>0</v>
      </c>
      <c r="N1344" s="16">
        <f>'БА в тыс. руб.'!I1344*1000</f>
        <v>637500</v>
      </c>
      <c r="O1344" s="169">
        <f t="shared" si="905"/>
        <v>0</v>
      </c>
      <c r="P1344" s="16"/>
      <c r="Q1344" s="16"/>
      <c r="R1344" s="16"/>
      <c r="S1344" s="16"/>
      <c r="T1344" s="16"/>
      <c r="U1344" s="16"/>
    </row>
    <row r="1345" spans="1:21" s="3" customFormat="1" ht="25.5">
      <c r="A1345" s="11" t="s">
        <v>108</v>
      </c>
      <c r="B1345" s="36" t="s">
        <v>18</v>
      </c>
      <c r="C1345" s="36" t="s">
        <v>50</v>
      </c>
      <c r="D1345" s="36" t="s">
        <v>65</v>
      </c>
      <c r="E1345" s="36" t="s">
        <v>500</v>
      </c>
      <c r="F1345" s="36" t="s">
        <v>116</v>
      </c>
      <c r="G1345" s="27">
        <f>G1346</f>
        <v>637500</v>
      </c>
      <c r="H1345" s="27">
        <f t="shared" ref="H1345:I1345" si="933">H1346</f>
        <v>637500</v>
      </c>
      <c r="I1345" s="27">
        <f t="shared" si="933"/>
        <v>637500</v>
      </c>
      <c r="J1345" s="16">
        <f>'БА в тыс. руб.'!G1345*1000</f>
        <v>637500</v>
      </c>
      <c r="K1345" s="169">
        <f t="shared" si="903"/>
        <v>0</v>
      </c>
      <c r="L1345" s="16">
        <f>'БА в тыс. руб.'!H1345*1000</f>
        <v>637500</v>
      </c>
      <c r="M1345" s="169">
        <f t="shared" si="904"/>
        <v>0</v>
      </c>
      <c r="N1345" s="16">
        <f>'БА в тыс. руб.'!I1345*1000</f>
        <v>637500</v>
      </c>
      <c r="O1345" s="169">
        <f t="shared" si="905"/>
        <v>0</v>
      </c>
      <c r="P1345" s="16"/>
      <c r="Q1345" s="16"/>
      <c r="R1345" s="16"/>
      <c r="S1345" s="16"/>
      <c r="T1345" s="16"/>
      <c r="U1345" s="16"/>
    </row>
    <row r="1346" spans="1:21" s="4" customFormat="1" ht="25.5">
      <c r="A1346" s="12" t="s">
        <v>973</v>
      </c>
      <c r="B1346" s="36" t="s">
        <v>18</v>
      </c>
      <c r="C1346" s="36" t="s">
        <v>50</v>
      </c>
      <c r="D1346" s="36" t="s">
        <v>65</v>
      </c>
      <c r="E1346" s="36" t="s">
        <v>500</v>
      </c>
      <c r="F1346" s="36" t="s">
        <v>1043</v>
      </c>
      <c r="G1346" s="27">
        <f t="shared" ref="G1346" si="934">J1346</f>
        <v>637500</v>
      </c>
      <c r="H1346" s="27">
        <f t="shared" ref="H1346" si="935">L1346</f>
        <v>637500</v>
      </c>
      <c r="I1346" s="27">
        <f t="shared" ref="I1346" si="936">N1346</f>
        <v>637500</v>
      </c>
      <c r="J1346" s="16">
        <f>'БА в тыс. руб.'!G1346*1000</f>
        <v>637500</v>
      </c>
      <c r="K1346" s="169">
        <f t="shared" si="903"/>
        <v>0</v>
      </c>
      <c r="L1346" s="16">
        <f>'БА в тыс. руб.'!H1346*1000</f>
        <v>637500</v>
      </c>
      <c r="M1346" s="169">
        <f t="shared" si="904"/>
        <v>0</v>
      </c>
      <c r="N1346" s="16">
        <f>'БА в тыс. руб.'!I1346*1000</f>
        <v>637500</v>
      </c>
      <c r="O1346" s="169">
        <f t="shared" si="905"/>
        <v>0</v>
      </c>
      <c r="P1346" s="16"/>
      <c r="Q1346" s="16"/>
      <c r="R1346" s="16"/>
      <c r="S1346" s="16"/>
      <c r="T1346" s="16"/>
      <c r="U1346" s="16"/>
    </row>
    <row r="1347" spans="1:21" s="3" customFormat="1">
      <c r="A1347" s="11"/>
      <c r="B1347" s="36"/>
      <c r="C1347" s="36"/>
      <c r="D1347" s="36"/>
      <c r="E1347" s="36"/>
      <c r="F1347" s="36"/>
      <c r="G1347" s="27"/>
      <c r="H1347" s="27"/>
      <c r="I1347" s="27"/>
      <c r="J1347" s="16">
        <f>'БА в тыс. руб.'!G1347*1000</f>
        <v>0</v>
      </c>
      <c r="K1347" s="169">
        <f t="shared" si="903"/>
        <v>0</v>
      </c>
      <c r="L1347" s="16">
        <f>'БА в тыс. руб.'!H1347*1000</f>
        <v>0</v>
      </c>
      <c r="M1347" s="169">
        <f t="shared" si="904"/>
        <v>0</v>
      </c>
      <c r="N1347" s="16">
        <f>'БА в тыс. руб.'!I1347*1000</f>
        <v>0</v>
      </c>
      <c r="O1347" s="169">
        <f t="shared" si="905"/>
        <v>0</v>
      </c>
      <c r="P1347" s="16"/>
      <c r="Q1347" s="16"/>
      <c r="R1347" s="16"/>
      <c r="S1347" s="16"/>
      <c r="T1347" s="16"/>
      <c r="U1347" s="16"/>
    </row>
    <row r="1348" spans="1:21" s="3" customFormat="1">
      <c r="A1348" s="28" t="s">
        <v>19</v>
      </c>
      <c r="B1348" s="14" t="s">
        <v>20</v>
      </c>
      <c r="C1348" s="15" t="s">
        <v>51</v>
      </c>
      <c r="D1348" s="15" t="s">
        <v>51</v>
      </c>
      <c r="E1348" s="15" t="s">
        <v>196</v>
      </c>
      <c r="F1348" s="15" t="s">
        <v>58</v>
      </c>
      <c r="G1348" s="50">
        <f>G1349+G1365+G1428+G1503</f>
        <v>533176720</v>
      </c>
      <c r="H1348" s="50">
        <f>H1349+H1365+H1428+H1503</f>
        <v>505260590</v>
      </c>
      <c r="I1348" s="50">
        <f>I1349+I1365+I1428+I1503</f>
        <v>505260590</v>
      </c>
      <c r="J1348" s="16">
        <f>'БА в тыс. руб.'!G1348*1000</f>
        <v>533176720</v>
      </c>
      <c r="K1348" s="169">
        <f t="shared" si="903"/>
        <v>0</v>
      </c>
      <c r="L1348" s="16">
        <f>'БА в тыс. руб.'!H1348*1000</f>
        <v>505260589.99999994</v>
      </c>
      <c r="M1348" s="169">
        <f t="shared" si="904"/>
        <v>0</v>
      </c>
      <c r="N1348" s="16">
        <f>'БА в тыс. руб.'!I1348*1000</f>
        <v>505260589.99999994</v>
      </c>
      <c r="O1348" s="169">
        <f t="shared" si="905"/>
        <v>0</v>
      </c>
      <c r="P1348" s="16"/>
      <c r="Q1348" s="16"/>
      <c r="R1348" s="16"/>
      <c r="S1348" s="16"/>
      <c r="T1348" s="16"/>
      <c r="U1348" s="16"/>
    </row>
    <row r="1349" spans="1:21" s="3" customFormat="1">
      <c r="A1349" s="17" t="s">
        <v>64</v>
      </c>
      <c r="B1349" s="18" t="s">
        <v>20</v>
      </c>
      <c r="C1349" s="19" t="s">
        <v>65</v>
      </c>
      <c r="D1349" s="19" t="s">
        <v>51</v>
      </c>
      <c r="E1349" s="19" t="s">
        <v>196</v>
      </c>
      <c r="F1349" s="19" t="s">
        <v>58</v>
      </c>
      <c r="G1349" s="20">
        <f t="shared" ref="G1349:I1357" si="937">G1350</f>
        <v>1874730</v>
      </c>
      <c r="H1349" s="20">
        <f t="shared" si="937"/>
        <v>1719730</v>
      </c>
      <c r="I1349" s="20">
        <f t="shared" si="937"/>
        <v>1719730</v>
      </c>
      <c r="J1349" s="16">
        <f>'БА в тыс. руб.'!G1349*1000</f>
        <v>1874730</v>
      </c>
      <c r="K1349" s="169">
        <f t="shared" si="903"/>
        <v>0</v>
      </c>
      <c r="L1349" s="16">
        <f>'БА в тыс. руб.'!H1349*1000</f>
        <v>1719730</v>
      </c>
      <c r="M1349" s="169">
        <f t="shared" si="904"/>
        <v>0</v>
      </c>
      <c r="N1349" s="16">
        <f>'БА в тыс. руб.'!I1349*1000</f>
        <v>1719730</v>
      </c>
      <c r="O1349" s="169">
        <f t="shared" si="905"/>
        <v>0</v>
      </c>
      <c r="P1349" s="16"/>
      <c r="Q1349" s="16"/>
      <c r="R1349" s="16"/>
      <c r="S1349" s="16"/>
      <c r="T1349" s="16"/>
      <c r="U1349" s="16"/>
    </row>
    <row r="1350" spans="1:21" s="3" customFormat="1">
      <c r="A1350" s="21" t="s">
        <v>38</v>
      </c>
      <c r="B1350" s="22" t="s">
        <v>20</v>
      </c>
      <c r="C1350" s="23" t="s">
        <v>65</v>
      </c>
      <c r="D1350" s="23" t="s">
        <v>84</v>
      </c>
      <c r="E1350" s="23" t="s">
        <v>196</v>
      </c>
      <c r="F1350" s="23" t="s">
        <v>58</v>
      </c>
      <c r="G1350" s="24">
        <f>G1357+G1351</f>
        <v>1874730</v>
      </c>
      <c r="H1350" s="24">
        <f t="shared" ref="H1350:I1350" si="938">H1357+H1351</f>
        <v>1719730</v>
      </c>
      <c r="I1350" s="24">
        <f t="shared" si="938"/>
        <v>1719730</v>
      </c>
      <c r="J1350" s="16">
        <f>'БА в тыс. руб.'!G1350*1000</f>
        <v>1874730</v>
      </c>
      <c r="K1350" s="169">
        <f t="shared" si="903"/>
        <v>0</v>
      </c>
      <c r="L1350" s="16">
        <f>'БА в тыс. руб.'!H1350*1000</f>
        <v>1719730</v>
      </c>
      <c r="M1350" s="169">
        <f t="shared" si="904"/>
        <v>0</v>
      </c>
      <c r="N1350" s="16">
        <f>'БА в тыс. руб.'!I1350*1000</f>
        <v>1719730</v>
      </c>
      <c r="O1350" s="169">
        <f t="shared" si="905"/>
        <v>0</v>
      </c>
      <c r="P1350" s="16"/>
      <c r="Q1350" s="16"/>
      <c r="R1350" s="16"/>
      <c r="S1350" s="16"/>
      <c r="T1350" s="16"/>
      <c r="U1350" s="16"/>
    </row>
    <row r="1351" spans="1:21" s="3" customFormat="1" ht="38.25">
      <c r="A1351" s="11" t="s">
        <v>745</v>
      </c>
      <c r="B1351" s="25" t="s">
        <v>20</v>
      </c>
      <c r="C1351" s="26" t="s">
        <v>65</v>
      </c>
      <c r="D1351" s="26" t="s">
        <v>84</v>
      </c>
      <c r="E1351" s="43" t="s">
        <v>280</v>
      </c>
      <c r="F1351" s="26" t="s">
        <v>58</v>
      </c>
      <c r="G1351" s="27">
        <f>G1352</f>
        <v>57230</v>
      </c>
      <c r="H1351" s="27">
        <f t="shared" ref="H1351:I1355" si="939">H1352</f>
        <v>57230</v>
      </c>
      <c r="I1351" s="27">
        <f t="shared" si="939"/>
        <v>57230</v>
      </c>
      <c r="J1351" s="16">
        <f>'БА в тыс. руб.'!G1351*1000</f>
        <v>57230</v>
      </c>
      <c r="K1351" s="169">
        <f t="shared" si="903"/>
        <v>0</v>
      </c>
      <c r="L1351" s="16">
        <f>'БА в тыс. руб.'!H1351*1000</f>
        <v>57230</v>
      </c>
      <c r="M1351" s="169">
        <f t="shared" si="904"/>
        <v>0</v>
      </c>
      <c r="N1351" s="16">
        <f>'БА в тыс. руб.'!I1351*1000</f>
        <v>57230</v>
      </c>
      <c r="O1351" s="169">
        <f t="shared" si="905"/>
        <v>0</v>
      </c>
      <c r="P1351" s="16"/>
      <c r="Q1351" s="16"/>
      <c r="R1351" s="16"/>
      <c r="S1351" s="16"/>
      <c r="T1351" s="16"/>
      <c r="U1351" s="16"/>
    </row>
    <row r="1352" spans="1:21" s="3" customFormat="1" ht="51">
      <c r="A1352" s="11" t="s">
        <v>746</v>
      </c>
      <c r="B1352" s="25" t="s">
        <v>20</v>
      </c>
      <c r="C1352" s="26" t="s">
        <v>65</v>
      </c>
      <c r="D1352" s="26" t="s">
        <v>84</v>
      </c>
      <c r="E1352" s="43" t="s">
        <v>281</v>
      </c>
      <c r="F1352" s="26" t="s">
        <v>58</v>
      </c>
      <c r="G1352" s="27">
        <f>G1353</f>
        <v>57230</v>
      </c>
      <c r="H1352" s="27">
        <f t="shared" si="939"/>
        <v>57230</v>
      </c>
      <c r="I1352" s="27">
        <f t="shared" si="939"/>
        <v>57230</v>
      </c>
      <c r="J1352" s="16">
        <f>'БА в тыс. руб.'!G1352*1000</f>
        <v>57230</v>
      </c>
      <c r="K1352" s="169">
        <f t="shared" si="903"/>
        <v>0</v>
      </c>
      <c r="L1352" s="16">
        <f>'БА в тыс. руб.'!H1352*1000</f>
        <v>57230</v>
      </c>
      <c r="M1352" s="169">
        <f t="shared" si="904"/>
        <v>0</v>
      </c>
      <c r="N1352" s="16">
        <f>'БА в тыс. руб.'!I1352*1000</f>
        <v>57230</v>
      </c>
      <c r="O1352" s="169">
        <f t="shared" si="905"/>
        <v>0</v>
      </c>
      <c r="P1352" s="16"/>
      <c r="Q1352" s="16"/>
      <c r="R1352" s="16"/>
      <c r="S1352" s="16"/>
      <c r="T1352" s="16"/>
      <c r="U1352" s="16"/>
    </row>
    <row r="1353" spans="1:21" s="3" customFormat="1" ht="38.25">
      <c r="A1353" s="11" t="s">
        <v>282</v>
      </c>
      <c r="B1353" s="25" t="s">
        <v>20</v>
      </c>
      <c r="C1353" s="26" t="s">
        <v>65</v>
      </c>
      <c r="D1353" s="26" t="s">
        <v>84</v>
      </c>
      <c r="E1353" s="43" t="s">
        <v>283</v>
      </c>
      <c r="F1353" s="26" t="s">
        <v>58</v>
      </c>
      <c r="G1353" s="27">
        <f>G1354</f>
        <v>57230</v>
      </c>
      <c r="H1353" s="27">
        <f t="shared" si="939"/>
        <v>57230</v>
      </c>
      <c r="I1353" s="27">
        <f t="shared" si="939"/>
        <v>57230</v>
      </c>
      <c r="J1353" s="16">
        <f>'БА в тыс. руб.'!G1353*1000</f>
        <v>57230</v>
      </c>
      <c r="K1353" s="169">
        <f t="shared" si="903"/>
        <v>0</v>
      </c>
      <c r="L1353" s="16">
        <f>'БА в тыс. руб.'!H1353*1000</f>
        <v>57230</v>
      </c>
      <c r="M1353" s="169">
        <f t="shared" si="904"/>
        <v>0</v>
      </c>
      <c r="N1353" s="16">
        <f>'БА в тыс. руб.'!I1353*1000</f>
        <v>57230</v>
      </c>
      <c r="O1353" s="169">
        <f t="shared" si="905"/>
        <v>0</v>
      </c>
      <c r="P1353" s="16"/>
      <c r="Q1353" s="16"/>
      <c r="R1353" s="16"/>
      <c r="S1353" s="16"/>
      <c r="T1353" s="16"/>
      <c r="U1353" s="16"/>
    </row>
    <row r="1354" spans="1:21" s="3" customFormat="1" ht="25.5">
      <c r="A1354" s="11" t="s">
        <v>859</v>
      </c>
      <c r="B1354" s="25" t="s">
        <v>20</v>
      </c>
      <c r="C1354" s="26" t="s">
        <v>65</v>
      </c>
      <c r="D1354" s="26" t="s">
        <v>84</v>
      </c>
      <c r="E1354" s="43" t="s">
        <v>858</v>
      </c>
      <c r="F1354" s="26" t="s">
        <v>58</v>
      </c>
      <c r="G1354" s="27">
        <f>G1355</f>
        <v>57230</v>
      </c>
      <c r="H1354" s="27">
        <f t="shared" si="939"/>
        <v>57230</v>
      </c>
      <c r="I1354" s="27">
        <f t="shared" si="939"/>
        <v>57230</v>
      </c>
      <c r="J1354" s="16">
        <f>'БА в тыс. руб.'!G1354*1000</f>
        <v>57230</v>
      </c>
      <c r="K1354" s="169">
        <f t="shared" si="903"/>
        <v>0</v>
      </c>
      <c r="L1354" s="16">
        <f>'БА в тыс. руб.'!H1354*1000</f>
        <v>57230</v>
      </c>
      <c r="M1354" s="169">
        <f t="shared" si="904"/>
        <v>0</v>
      </c>
      <c r="N1354" s="16">
        <f>'БА в тыс. руб.'!I1354*1000</f>
        <v>57230</v>
      </c>
      <c r="O1354" s="169">
        <f t="shared" si="905"/>
        <v>0</v>
      </c>
      <c r="P1354" s="16"/>
      <c r="Q1354" s="16"/>
      <c r="R1354" s="16"/>
      <c r="S1354" s="16"/>
      <c r="T1354" s="16"/>
      <c r="U1354" s="16"/>
    </row>
    <row r="1355" spans="1:21" s="3" customFormat="1" ht="25.5">
      <c r="A1355" s="11" t="s">
        <v>108</v>
      </c>
      <c r="B1355" s="25" t="s">
        <v>20</v>
      </c>
      <c r="C1355" s="26" t="s">
        <v>65</v>
      </c>
      <c r="D1355" s="26" t="s">
        <v>84</v>
      </c>
      <c r="E1355" s="43" t="s">
        <v>858</v>
      </c>
      <c r="F1355" s="26" t="s">
        <v>116</v>
      </c>
      <c r="G1355" s="27">
        <f>G1356</f>
        <v>57230</v>
      </c>
      <c r="H1355" s="27">
        <f t="shared" si="939"/>
        <v>57230</v>
      </c>
      <c r="I1355" s="27">
        <f t="shared" si="939"/>
        <v>57230</v>
      </c>
      <c r="J1355" s="16">
        <f>'БА в тыс. руб.'!G1355*1000</f>
        <v>57230</v>
      </c>
      <c r="K1355" s="169">
        <f t="shared" ref="K1355:K1418" si="940">J1355-G1355</f>
        <v>0</v>
      </c>
      <c r="L1355" s="16">
        <f>'БА в тыс. руб.'!H1355*1000</f>
        <v>57230</v>
      </c>
      <c r="M1355" s="169">
        <f t="shared" ref="M1355:M1418" si="941">L1355-H1355</f>
        <v>0</v>
      </c>
      <c r="N1355" s="16">
        <f>'БА в тыс. руб.'!I1355*1000</f>
        <v>57230</v>
      </c>
      <c r="O1355" s="169">
        <f t="shared" ref="O1355:O1418" si="942">N1355-I1355</f>
        <v>0</v>
      </c>
      <c r="P1355" s="16"/>
      <c r="Q1355" s="16"/>
      <c r="R1355" s="16"/>
      <c r="S1355" s="16"/>
      <c r="T1355" s="16"/>
      <c r="U1355" s="16"/>
    </row>
    <row r="1356" spans="1:21" s="3" customFormat="1" ht="25.5">
      <c r="A1356" s="11" t="s">
        <v>973</v>
      </c>
      <c r="B1356" s="25" t="s">
        <v>20</v>
      </c>
      <c r="C1356" s="26" t="s">
        <v>65</v>
      </c>
      <c r="D1356" s="26" t="s">
        <v>84</v>
      </c>
      <c r="E1356" s="43" t="s">
        <v>858</v>
      </c>
      <c r="F1356" s="26" t="s">
        <v>1043</v>
      </c>
      <c r="G1356" s="27">
        <f t="shared" ref="G1356" si="943">J1356</f>
        <v>57230</v>
      </c>
      <c r="H1356" s="27">
        <f>L1356</f>
        <v>57230</v>
      </c>
      <c r="I1356" s="27">
        <f>N1356</f>
        <v>57230</v>
      </c>
      <c r="J1356" s="16">
        <f>'БА в тыс. руб.'!G1356*1000</f>
        <v>57230</v>
      </c>
      <c r="K1356" s="169">
        <f t="shared" si="940"/>
        <v>0</v>
      </c>
      <c r="L1356" s="16">
        <f>'БА в тыс. руб.'!H1356*1000</f>
        <v>57230</v>
      </c>
      <c r="M1356" s="169">
        <f t="shared" si="941"/>
        <v>0</v>
      </c>
      <c r="N1356" s="16">
        <f>'БА в тыс. руб.'!I1356*1000</f>
        <v>57230</v>
      </c>
      <c r="O1356" s="169">
        <f t="shared" si="942"/>
        <v>0</v>
      </c>
      <c r="P1356" s="16"/>
      <c r="Q1356" s="16"/>
      <c r="R1356" s="16"/>
      <c r="S1356" s="16"/>
      <c r="T1356" s="16"/>
      <c r="U1356" s="16"/>
    </row>
    <row r="1357" spans="1:21" s="3" customFormat="1" ht="25.5">
      <c r="A1357" s="11" t="s">
        <v>143</v>
      </c>
      <c r="B1357" s="26" t="s">
        <v>20</v>
      </c>
      <c r="C1357" s="26" t="s">
        <v>65</v>
      </c>
      <c r="D1357" s="26" t="s">
        <v>84</v>
      </c>
      <c r="E1357" s="26" t="s">
        <v>508</v>
      </c>
      <c r="F1357" s="26" t="s">
        <v>58</v>
      </c>
      <c r="G1357" s="27">
        <f t="shared" si="937"/>
        <v>1817500</v>
      </c>
      <c r="H1357" s="27">
        <f t="shared" si="937"/>
        <v>1662500</v>
      </c>
      <c r="I1357" s="27">
        <f t="shared" si="937"/>
        <v>1662500</v>
      </c>
      <c r="J1357" s="16">
        <f>'БА в тыс. руб.'!G1357*1000</f>
        <v>1817500</v>
      </c>
      <c r="K1357" s="169">
        <f t="shared" si="940"/>
        <v>0</v>
      </c>
      <c r="L1357" s="16">
        <f>'БА в тыс. руб.'!H1357*1000</f>
        <v>1662500</v>
      </c>
      <c r="M1357" s="169">
        <f t="shared" si="941"/>
        <v>0</v>
      </c>
      <c r="N1357" s="16">
        <f>'БА в тыс. руб.'!I1357*1000</f>
        <v>1662500</v>
      </c>
      <c r="O1357" s="169">
        <f t="shared" si="942"/>
        <v>0</v>
      </c>
      <c r="P1357" s="16"/>
      <c r="Q1357" s="16"/>
      <c r="R1357" s="16"/>
      <c r="S1357" s="16"/>
      <c r="T1357" s="16"/>
      <c r="U1357" s="16"/>
    </row>
    <row r="1358" spans="1:21" s="3" customFormat="1" ht="25.5">
      <c r="A1358" s="11" t="s">
        <v>144</v>
      </c>
      <c r="B1358" s="26" t="s">
        <v>20</v>
      </c>
      <c r="C1358" s="26" t="s">
        <v>65</v>
      </c>
      <c r="D1358" s="26" t="s">
        <v>84</v>
      </c>
      <c r="E1358" s="26" t="s">
        <v>509</v>
      </c>
      <c r="F1358" s="26" t="s">
        <v>58</v>
      </c>
      <c r="G1358" s="27">
        <f>G1362+G1359</f>
        <v>1817500</v>
      </c>
      <c r="H1358" s="27">
        <f t="shared" ref="H1358:I1358" si="944">H1362+H1359</f>
        <v>1662500</v>
      </c>
      <c r="I1358" s="27">
        <f t="shared" si="944"/>
        <v>1662500</v>
      </c>
      <c r="J1358" s="16">
        <f>'БА в тыс. руб.'!G1358*1000</f>
        <v>1817500</v>
      </c>
      <c r="K1358" s="169">
        <f t="shared" si="940"/>
        <v>0</v>
      </c>
      <c r="L1358" s="16">
        <f>'БА в тыс. руб.'!H1358*1000</f>
        <v>1662500</v>
      </c>
      <c r="M1358" s="169">
        <f t="shared" si="941"/>
        <v>0</v>
      </c>
      <c r="N1358" s="16">
        <f>'БА в тыс. руб.'!I1358*1000</f>
        <v>1662500</v>
      </c>
      <c r="O1358" s="169">
        <f t="shared" si="942"/>
        <v>0</v>
      </c>
      <c r="P1358" s="16"/>
      <c r="Q1358" s="16"/>
      <c r="R1358" s="16"/>
      <c r="S1358" s="16"/>
      <c r="T1358" s="16"/>
      <c r="U1358" s="16"/>
    </row>
    <row r="1359" spans="1:21" s="3" customFormat="1" ht="25.5">
      <c r="A1359" s="11" t="s">
        <v>114</v>
      </c>
      <c r="B1359" s="26" t="s">
        <v>20</v>
      </c>
      <c r="C1359" s="26" t="s">
        <v>65</v>
      </c>
      <c r="D1359" s="26" t="s">
        <v>84</v>
      </c>
      <c r="E1359" s="26" t="s">
        <v>531</v>
      </c>
      <c r="F1359" s="26" t="s">
        <v>58</v>
      </c>
      <c r="G1359" s="27">
        <f>G1360</f>
        <v>1317500</v>
      </c>
      <c r="H1359" s="27">
        <f t="shared" ref="H1359:I1360" si="945">H1360</f>
        <v>1162500</v>
      </c>
      <c r="I1359" s="27">
        <f t="shared" si="945"/>
        <v>1162500</v>
      </c>
      <c r="J1359" s="16">
        <f>'БА в тыс. руб.'!G1359*1000</f>
        <v>1317500</v>
      </c>
      <c r="K1359" s="169">
        <f t="shared" si="940"/>
        <v>0</v>
      </c>
      <c r="L1359" s="16">
        <f>'БА в тыс. руб.'!H1359*1000</f>
        <v>1162500</v>
      </c>
      <c r="M1359" s="169">
        <f t="shared" si="941"/>
        <v>0</v>
      </c>
      <c r="N1359" s="16">
        <f>'БА в тыс. руб.'!I1359*1000</f>
        <v>1162500</v>
      </c>
      <c r="O1359" s="169">
        <f t="shared" si="942"/>
        <v>0</v>
      </c>
      <c r="P1359" s="16"/>
      <c r="Q1359" s="16"/>
      <c r="R1359" s="16"/>
      <c r="S1359" s="16"/>
      <c r="T1359" s="16"/>
      <c r="U1359" s="16"/>
    </row>
    <row r="1360" spans="1:21" s="3" customFormat="1" ht="25.5">
      <c r="A1360" s="11" t="s">
        <v>108</v>
      </c>
      <c r="B1360" s="26" t="s">
        <v>20</v>
      </c>
      <c r="C1360" s="26" t="s">
        <v>65</v>
      </c>
      <c r="D1360" s="26" t="s">
        <v>84</v>
      </c>
      <c r="E1360" s="26" t="s">
        <v>531</v>
      </c>
      <c r="F1360" s="26" t="s">
        <v>116</v>
      </c>
      <c r="G1360" s="27">
        <f>G1361</f>
        <v>1317500</v>
      </c>
      <c r="H1360" s="27">
        <f t="shared" si="945"/>
        <v>1162500</v>
      </c>
      <c r="I1360" s="27">
        <f t="shared" si="945"/>
        <v>1162500</v>
      </c>
      <c r="J1360" s="16">
        <f>'БА в тыс. руб.'!G1360*1000</f>
        <v>1317500</v>
      </c>
      <c r="K1360" s="169">
        <f t="shared" si="940"/>
        <v>0</v>
      </c>
      <c r="L1360" s="16">
        <f>'БА в тыс. руб.'!H1360*1000</f>
        <v>1162500</v>
      </c>
      <c r="M1360" s="169">
        <f t="shared" si="941"/>
        <v>0</v>
      </c>
      <c r="N1360" s="16">
        <f>'БА в тыс. руб.'!I1360*1000</f>
        <v>1162500</v>
      </c>
      <c r="O1360" s="169">
        <f t="shared" si="942"/>
        <v>0</v>
      </c>
      <c r="P1360" s="16"/>
      <c r="Q1360" s="16"/>
      <c r="R1360" s="16"/>
      <c r="S1360" s="16"/>
      <c r="T1360" s="16"/>
      <c r="U1360" s="16"/>
    </row>
    <row r="1361" spans="1:21" s="4" customFormat="1" ht="25.5">
      <c r="A1361" s="11" t="s">
        <v>973</v>
      </c>
      <c r="B1361" s="26" t="s">
        <v>20</v>
      </c>
      <c r="C1361" s="26" t="s">
        <v>65</v>
      </c>
      <c r="D1361" s="26" t="s">
        <v>84</v>
      </c>
      <c r="E1361" s="26" t="s">
        <v>531</v>
      </c>
      <c r="F1361" s="26" t="s">
        <v>1043</v>
      </c>
      <c r="G1361" s="27">
        <f t="shared" ref="G1361" si="946">J1361</f>
        <v>1317500</v>
      </c>
      <c r="H1361" s="27">
        <f>L1361</f>
        <v>1162500</v>
      </c>
      <c r="I1361" s="27">
        <f>N1361</f>
        <v>1162500</v>
      </c>
      <c r="J1361" s="16">
        <f>'БА в тыс. руб.'!G1361*1000</f>
        <v>1317500</v>
      </c>
      <c r="K1361" s="169">
        <f t="shared" si="940"/>
        <v>0</v>
      </c>
      <c r="L1361" s="16">
        <f>'БА в тыс. руб.'!H1361*1000</f>
        <v>1162500</v>
      </c>
      <c r="M1361" s="169">
        <f t="shared" si="941"/>
        <v>0</v>
      </c>
      <c r="N1361" s="16">
        <f>'БА в тыс. руб.'!I1361*1000</f>
        <v>1162500</v>
      </c>
      <c r="O1361" s="169">
        <f t="shared" si="942"/>
        <v>0</v>
      </c>
      <c r="P1361" s="16"/>
      <c r="Q1361" s="16"/>
      <c r="R1361" s="16"/>
      <c r="S1361" s="16"/>
      <c r="T1361" s="16"/>
      <c r="U1361" s="16"/>
    </row>
    <row r="1362" spans="1:21" s="3" customFormat="1" ht="25.5">
      <c r="A1362" s="11" t="s">
        <v>130</v>
      </c>
      <c r="B1362" s="26" t="s">
        <v>20</v>
      </c>
      <c r="C1362" s="26" t="s">
        <v>65</v>
      </c>
      <c r="D1362" s="26" t="s">
        <v>84</v>
      </c>
      <c r="E1362" s="26" t="s">
        <v>510</v>
      </c>
      <c r="F1362" s="26" t="s">
        <v>58</v>
      </c>
      <c r="G1362" s="27">
        <f>G1363</f>
        <v>500000</v>
      </c>
      <c r="H1362" s="27">
        <f>H1363</f>
        <v>500000</v>
      </c>
      <c r="I1362" s="27">
        <f>I1363</f>
        <v>500000</v>
      </c>
      <c r="J1362" s="16">
        <f>'БА в тыс. руб.'!G1362*1000</f>
        <v>500000</v>
      </c>
      <c r="K1362" s="169">
        <f t="shared" si="940"/>
        <v>0</v>
      </c>
      <c r="L1362" s="16">
        <f>'БА в тыс. руб.'!H1362*1000</f>
        <v>500000</v>
      </c>
      <c r="M1362" s="169">
        <f t="shared" si="941"/>
        <v>0</v>
      </c>
      <c r="N1362" s="16">
        <f>'БА в тыс. руб.'!I1362*1000</f>
        <v>500000</v>
      </c>
      <c r="O1362" s="169">
        <f t="shared" si="942"/>
        <v>0</v>
      </c>
      <c r="P1362" s="16"/>
      <c r="Q1362" s="16"/>
      <c r="R1362" s="16"/>
      <c r="S1362" s="16"/>
      <c r="T1362" s="16"/>
      <c r="U1362" s="16"/>
    </row>
    <row r="1363" spans="1:21" s="3" customFormat="1">
      <c r="A1363" s="11" t="s">
        <v>96</v>
      </c>
      <c r="B1363" s="26" t="s">
        <v>20</v>
      </c>
      <c r="C1363" s="26" t="s">
        <v>65</v>
      </c>
      <c r="D1363" s="26" t="s">
        <v>84</v>
      </c>
      <c r="E1363" s="26" t="s">
        <v>510</v>
      </c>
      <c r="F1363" s="26" t="s">
        <v>131</v>
      </c>
      <c r="G1363" s="27">
        <f>G1364</f>
        <v>500000</v>
      </c>
      <c r="H1363" s="27">
        <f t="shared" ref="H1363:I1363" si="947">H1364</f>
        <v>500000</v>
      </c>
      <c r="I1363" s="27">
        <f t="shared" si="947"/>
        <v>500000</v>
      </c>
      <c r="J1363" s="16">
        <f>'БА в тыс. руб.'!G1363*1000</f>
        <v>500000</v>
      </c>
      <c r="K1363" s="169">
        <f t="shared" si="940"/>
        <v>0</v>
      </c>
      <c r="L1363" s="16">
        <f>'БА в тыс. руб.'!H1363*1000</f>
        <v>500000</v>
      </c>
      <c r="M1363" s="169">
        <f t="shared" si="941"/>
        <v>0</v>
      </c>
      <c r="N1363" s="16">
        <f>'БА в тыс. руб.'!I1363*1000</f>
        <v>500000</v>
      </c>
      <c r="O1363" s="169">
        <f t="shared" si="942"/>
        <v>0</v>
      </c>
      <c r="P1363" s="16"/>
      <c r="Q1363" s="16"/>
      <c r="R1363" s="16"/>
      <c r="S1363" s="16"/>
      <c r="T1363" s="16"/>
      <c r="U1363" s="16"/>
    </row>
    <row r="1364" spans="1:21" s="4" customFormat="1" ht="25.5">
      <c r="A1364" s="11" t="s">
        <v>1044</v>
      </c>
      <c r="B1364" s="26" t="s">
        <v>20</v>
      </c>
      <c r="C1364" s="26" t="s">
        <v>65</v>
      </c>
      <c r="D1364" s="26" t="s">
        <v>84</v>
      </c>
      <c r="E1364" s="26" t="s">
        <v>510</v>
      </c>
      <c r="F1364" s="26" t="s">
        <v>1045</v>
      </c>
      <c r="G1364" s="27">
        <f t="shared" ref="G1364" si="948">J1364</f>
        <v>500000</v>
      </c>
      <c r="H1364" s="27">
        <f>L1364</f>
        <v>500000</v>
      </c>
      <c r="I1364" s="27">
        <f>N1364</f>
        <v>500000</v>
      </c>
      <c r="J1364" s="16">
        <f>'БА в тыс. руб.'!G1364*1000</f>
        <v>500000</v>
      </c>
      <c r="K1364" s="169">
        <f t="shared" si="940"/>
        <v>0</v>
      </c>
      <c r="L1364" s="16">
        <f>'БА в тыс. руб.'!H1364*1000</f>
        <v>500000</v>
      </c>
      <c r="M1364" s="169">
        <f t="shared" si="941"/>
        <v>0</v>
      </c>
      <c r="N1364" s="16">
        <f>'БА в тыс. руб.'!I1364*1000</f>
        <v>500000</v>
      </c>
      <c r="O1364" s="169">
        <f t="shared" si="942"/>
        <v>0</v>
      </c>
      <c r="P1364" s="16"/>
      <c r="Q1364" s="16"/>
      <c r="R1364" s="16"/>
      <c r="S1364" s="16"/>
      <c r="T1364" s="16"/>
      <c r="U1364" s="16"/>
    </row>
    <row r="1365" spans="1:21" s="3" customFormat="1">
      <c r="A1365" s="17" t="s">
        <v>35</v>
      </c>
      <c r="B1365" s="18" t="s">
        <v>20</v>
      </c>
      <c r="C1365" s="19" t="s">
        <v>37</v>
      </c>
      <c r="D1365" s="19" t="s">
        <v>51</v>
      </c>
      <c r="E1365" s="19" t="s">
        <v>196</v>
      </c>
      <c r="F1365" s="19" t="s">
        <v>58</v>
      </c>
      <c r="G1365" s="20">
        <f>G1366+G1374+G1390</f>
        <v>201142250</v>
      </c>
      <c r="H1365" s="20">
        <f>H1366+H1374+H1390</f>
        <v>201140140</v>
      </c>
      <c r="I1365" s="20">
        <f>I1366+I1374+I1390</f>
        <v>201140140</v>
      </c>
      <c r="J1365" s="16">
        <f>'БА в тыс. руб.'!G1365*1000</f>
        <v>201142250</v>
      </c>
      <c r="K1365" s="169">
        <f t="shared" si="940"/>
        <v>0</v>
      </c>
      <c r="L1365" s="16">
        <f>'БА в тыс. руб.'!H1365*1000</f>
        <v>201140139.99999997</v>
      </c>
      <c r="M1365" s="169">
        <f t="shared" si="941"/>
        <v>0</v>
      </c>
      <c r="N1365" s="16">
        <f>'БА в тыс. руб.'!I1365*1000</f>
        <v>201140139.99999997</v>
      </c>
      <c r="O1365" s="169">
        <f t="shared" si="942"/>
        <v>0</v>
      </c>
      <c r="P1365" s="16"/>
      <c r="Q1365" s="16"/>
      <c r="R1365" s="16"/>
      <c r="S1365" s="16"/>
      <c r="T1365" s="16"/>
      <c r="U1365" s="16"/>
    </row>
    <row r="1366" spans="1:21" s="3" customFormat="1">
      <c r="A1366" s="21" t="s">
        <v>76</v>
      </c>
      <c r="B1366" s="22" t="s">
        <v>20</v>
      </c>
      <c r="C1366" s="23" t="s">
        <v>37</v>
      </c>
      <c r="D1366" s="23" t="s">
        <v>71</v>
      </c>
      <c r="E1366" s="23" t="s">
        <v>196</v>
      </c>
      <c r="F1366" s="23" t="s">
        <v>58</v>
      </c>
      <c r="G1366" s="24">
        <f t="shared" ref="G1366:I1370" si="949">G1367</f>
        <v>12526360</v>
      </c>
      <c r="H1366" s="24">
        <f t="shared" si="949"/>
        <v>12528970</v>
      </c>
      <c r="I1366" s="24">
        <f t="shared" si="949"/>
        <v>12528970</v>
      </c>
      <c r="J1366" s="16">
        <f>'БА в тыс. руб.'!G1366*1000</f>
        <v>12526360</v>
      </c>
      <c r="K1366" s="169">
        <f t="shared" si="940"/>
        <v>0</v>
      </c>
      <c r="L1366" s="16">
        <f>'БА в тыс. руб.'!H1366*1000</f>
        <v>12528970</v>
      </c>
      <c r="M1366" s="169">
        <f t="shared" si="941"/>
        <v>0</v>
      </c>
      <c r="N1366" s="16">
        <f>'БА в тыс. руб.'!I1366*1000</f>
        <v>12528970</v>
      </c>
      <c r="O1366" s="169">
        <f t="shared" si="942"/>
        <v>0</v>
      </c>
      <c r="P1366" s="16"/>
      <c r="Q1366" s="16"/>
      <c r="R1366" s="16"/>
      <c r="S1366" s="16"/>
      <c r="T1366" s="16"/>
      <c r="U1366" s="16"/>
    </row>
    <row r="1367" spans="1:21" s="3" customFormat="1" ht="38.25">
      <c r="A1367" s="12" t="s">
        <v>722</v>
      </c>
      <c r="B1367" s="26" t="s">
        <v>20</v>
      </c>
      <c r="C1367" s="26" t="s">
        <v>37</v>
      </c>
      <c r="D1367" s="26" t="s">
        <v>71</v>
      </c>
      <c r="E1367" s="26" t="s">
        <v>300</v>
      </c>
      <c r="F1367" s="26" t="s">
        <v>58</v>
      </c>
      <c r="G1367" s="27">
        <f t="shared" si="949"/>
        <v>12526360</v>
      </c>
      <c r="H1367" s="27">
        <f t="shared" si="949"/>
        <v>12528970</v>
      </c>
      <c r="I1367" s="27">
        <f t="shared" si="949"/>
        <v>12528970</v>
      </c>
      <c r="J1367" s="16">
        <f>'БА в тыс. руб.'!G1367*1000</f>
        <v>12526360</v>
      </c>
      <c r="K1367" s="169">
        <f t="shared" si="940"/>
        <v>0</v>
      </c>
      <c r="L1367" s="16">
        <f>'БА в тыс. руб.'!H1367*1000</f>
        <v>12528970</v>
      </c>
      <c r="M1367" s="169">
        <f t="shared" si="941"/>
        <v>0</v>
      </c>
      <c r="N1367" s="16">
        <f>'БА в тыс. руб.'!I1367*1000</f>
        <v>12528970</v>
      </c>
      <c r="O1367" s="169">
        <f t="shared" si="942"/>
        <v>0</v>
      </c>
      <c r="P1367" s="16"/>
      <c r="Q1367" s="16"/>
      <c r="R1367" s="16"/>
      <c r="S1367" s="16"/>
      <c r="T1367" s="16"/>
      <c r="U1367" s="16"/>
    </row>
    <row r="1368" spans="1:21" s="3" customFormat="1">
      <c r="A1368" s="11" t="s">
        <v>142</v>
      </c>
      <c r="B1368" s="26" t="s">
        <v>20</v>
      </c>
      <c r="C1368" s="26" t="s">
        <v>37</v>
      </c>
      <c r="D1368" s="26" t="s">
        <v>71</v>
      </c>
      <c r="E1368" s="26" t="s">
        <v>453</v>
      </c>
      <c r="F1368" s="26" t="s">
        <v>58</v>
      </c>
      <c r="G1368" s="27">
        <f t="shared" si="949"/>
        <v>12526360</v>
      </c>
      <c r="H1368" s="27">
        <f t="shared" si="949"/>
        <v>12528970</v>
      </c>
      <c r="I1368" s="27">
        <f t="shared" si="949"/>
        <v>12528970</v>
      </c>
      <c r="J1368" s="16">
        <f>'БА в тыс. руб.'!G1368*1000</f>
        <v>12526360</v>
      </c>
      <c r="K1368" s="169">
        <f t="shared" si="940"/>
        <v>0</v>
      </c>
      <c r="L1368" s="16">
        <f>'БА в тыс. руб.'!H1368*1000</f>
        <v>12528970</v>
      </c>
      <c r="M1368" s="169">
        <f t="shared" si="941"/>
        <v>0</v>
      </c>
      <c r="N1368" s="16">
        <f>'БА в тыс. руб.'!I1368*1000</f>
        <v>12528970</v>
      </c>
      <c r="O1368" s="169">
        <f t="shared" si="942"/>
        <v>0</v>
      </c>
      <c r="P1368" s="16"/>
      <c r="Q1368" s="16"/>
      <c r="R1368" s="16"/>
      <c r="S1368" s="16"/>
      <c r="T1368" s="16"/>
      <c r="U1368" s="16"/>
    </row>
    <row r="1369" spans="1:21" s="3" customFormat="1" ht="38.25">
      <c r="A1369" s="11" t="s">
        <v>649</v>
      </c>
      <c r="B1369" s="26" t="s">
        <v>20</v>
      </c>
      <c r="C1369" s="26" t="s">
        <v>37</v>
      </c>
      <c r="D1369" s="26" t="s">
        <v>71</v>
      </c>
      <c r="E1369" s="26" t="s">
        <v>455</v>
      </c>
      <c r="F1369" s="26" t="s">
        <v>58</v>
      </c>
      <c r="G1369" s="27">
        <f>G1370</f>
        <v>12526360</v>
      </c>
      <c r="H1369" s="27">
        <f>H1370</f>
        <v>12528970</v>
      </c>
      <c r="I1369" s="27">
        <f>I1370</f>
        <v>12528970</v>
      </c>
      <c r="J1369" s="16">
        <f>'БА в тыс. руб.'!G1369*1000</f>
        <v>12526360</v>
      </c>
      <c r="K1369" s="169">
        <f t="shared" si="940"/>
        <v>0</v>
      </c>
      <c r="L1369" s="16">
        <f>'БА в тыс. руб.'!H1369*1000</f>
        <v>12528970</v>
      </c>
      <c r="M1369" s="169">
        <f t="shared" si="941"/>
        <v>0</v>
      </c>
      <c r="N1369" s="16">
        <f>'БА в тыс. руб.'!I1369*1000</f>
        <v>12528970</v>
      </c>
      <c r="O1369" s="169">
        <f t="shared" si="942"/>
        <v>0</v>
      </c>
      <c r="P1369" s="16"/>
      <c r="Q1369" s="16"/>
      <c r="R1369" s="16"/>
      <c r="S1369" s="16"/>
      <c r="T1369" s="16"/>
      <c r="U1369" s="16"/>
    </row>
    <row r="1370" spans="1:21" s="3" customFormat="1" ht="25.5">
      <c r="A1370" s="11" t="s">
        <v>247</v>
      </c>
      <c r="B1370" s="26" t="s">
        <v>20</v>
      </c>
      <c r="C1370" s="26" t="s">
        <v>37</v>
      </c>
      <c r="D1370" s="26" t="s">
        <v>71</v>
      </c>
      <c r="E1370" s="26" t="s">
        <v>511</v>
      </c>
      <c r="F1370" s="26" t="s">
        <v>58</v>
      </c>
      <c r="G1370" s="27">
        <f t="shared" si="949"/>
        <v>12526360</v>
      </c>
      <c r="H1370" s="27">
        <f t="shared" si="949"/>
        <v>12528970</v>
      </c>
      <c r="I1370" s="27">
        <f t="shared" si="949"/>
        <v>12528970</v>
      </c>
      <c r="J1370" s="16">
        <f>'БА в тыс. руб.'!G1370*1000</f>
        <v>12526360</v>
      </c>
      <c r="K1370" s="169">
        <f t="shared" si="940"/>
        <v>0</v>
      </c>
      <c r="L1370" s="16">
        <f>'БА в тыс. руб.'!H1370*1000</f>
        <v>12528970</v>
      </c>
      <c r="M1370" s="169">
        <f t="shared" si="941"/>
        <v>0</v>
      </c>
      <c r="N1370" s="16">
        <f>'БА в тыс. руб.'!I1370*1000</f>
        <v>12528970</v>
      </c>
      <c r="O1370" s="169">
        <f t="shared" si="942"/>
        <v>0</v>
      </c>
      <c r="P1370" s="16"/>
      <c r="Q1370" s="16"/>
      <c r="R1370" s="16"/>
      <c r="S1370" s="16"/>
      <c r="T1370" s="16"/>
      <c r="U1370" s="16"/>
    </row>
    <row r="1371" spans="1:21" s="3" customFormat="1">
      <c r="A1371" s="13" t="s">
        <v>92</v>
      </c>
      <c r="B1371" s="26" t="s">
        <v>20</v>
      </c>
      <c r="C1371" s="26" t="s">
        <v>37</v>
      </c>
      <c r="D1371" s="26" t="s">
        <v>71</v>
      </c>
      <c r="E1371" s="26" t="s">
        <v>511</v>
      </c>
      <c r="F1371" s="26" t="s">
        <v>138</v>
      </c>
      <c r="G1371" s="27">
        <f>SUM(G1372:G1373)</f>
        <v>12526360</v>
      </c>
      <c r="H1371" s="27">
        <f>SUM(H1372:H1373)</f>
        <v>12528970</v>
      </c>
      <c r="I1371" s="27">
        <f>N1371</f>
        <v>12528970</v>
      </c>
      <c r="J1371" s="16">
        <f>'БА в тыс. руб.'!G1371*1000</f>
        <v>12526360</v>
      </c>
      <c r="K1371" s="169">
        <f t="shared" si="940"/>
        <v>0</v>
      </c>
      <c r="L1371" s="16">
        <f>'БА в тыс. руб.'!H1371*1000</f>
        <v>12528970</v>
      </c>
      <c r="M1371" s="169">
        <f t="shared" si="941"/>
        <v>0</v>
      </c>
      <c r="N1371" s="16">
        <f>'БА в тыс. руб.'!I1371*1000</f>
        <v>12528970</v>
      </c>
      <c r="O1371" s="169">
        <f t="shared" si="942"/>
        <v>0</v>
      </c>
      <c r="P1371" s="16"/>
      <c r="Q1371" s="16"/>
      <c r="R1371" s="16"/>
      <c r="S1371" s="16"/>
      <c r="T1371" s="16"/>
      <c r="U1371" s="16"/>
    </row>
    <row r="1372" spans="1:21" s="4" customFormat="1" ht="38.25">
      <c r="A1372" s="13" t="s">
        <v>1015</v>
      </c>
      <c r="B1372" s="26" t="s">
        <v>20</v>
      </c>
      <c r="C1372" s="26" t="s">
        <v>37</v>
      </c>
      <c r="D1372" s="26" t="s">
        <v>71</v>
      </c>
      <c r="E1372" s="26" t="s">
        <v>511</v>
      </c>
      <c r="F1372" s="26" t="s">
        <v>67</v>
      </c>
      <c r="G1372" s="27">
        <f t="shared" ref="G1372:G1373" si="950">J1372</f>
        <v>11976360</v>
      </c>
      <c r="H1372" s="27">
        <f t="shared" ref="H1372:H1373" si="951">L1372</f>
        <v>11978970</v>
      </c>
      <c r="I1372" s="27">
        <f t="shared" ref="I1372:I1373" si="952">N1372</f>
        <v>11978970</v>
      </c>
      <c r="J1372" s="16">
        <f>'БА в тыс. руб.'!G1372*1000</f>
        <v>11976360</v>
      </c>
      <c r="K1372" s="169">
        <f t="shared" si="940"/>
        <v>0</v>
      </c>
      <c r="L1372" s="16">
        <f>'БА в тыс. руб.'!H1372*1000</f>
        <v>11978970</v>
      </c>
      <c r="M1372" s="169">
        <f t="shared" si="941"/>
        <v>0</v>
      </c>
      <c r="N1372" s="16">
        <f>'БА в тыс. руб.'!I1372*1000</f>
        <v>11978970</v>
      </c>
      <c r="O1372" s="169">
        <f t="shared" si="942"/>
        <v>0</v>
      </c>
      <c r="P1372" s="16"/>
      <c r="Q1372" s="16"/>
      <c r="R1372" s="16"/>
      <c r="S1372" s="16"/>
      <c r="T1372" s="16"/>
      <c r="U1372" s="16"/>
    </row>
    <row r="1373" spans="1:21" s="4" customFormat="1">
      <c r="A1373" s="13" t="s">
        <v>1016</v>
      </c>
      <c r="B1373" s="26" t="s">
        <v>20</v>
      </c>
      <c r="C1373" s="26" t="s">
        <v>37</v>
      </c>
      <c r="D1373" s="26" t="s">
        <v>71</v>
      </c>
      <c r="E1373" s="26" t="s">
        <v>511</v>
      </c>
      <c r="F1373" s="26" t="s">
        <v>1046</v>
      </c>
      <c r="G1373" s="27">
        <f t="shared" si="950"/>
        <v>550000</v>
      </c>
      <c r="H1373" s="27">
        <f t="shared" si="951"/>
        <v>550000</v>
      </c>
      <c r="I1373" s="27">
        <f t="shared" si="952"/>
        <v>550000</v>
      </c>
      <c r="J1373" s="16">
        <f>'БА в тыс. руб.'!G1373*1000</f>
        <v>550000</v>
      </c>
      <c r="K1373" s="169">
        <f t="shared" si="940"/>
        <v>0</v>
      </c>
      <c r="L1373" s="16">
        <f>'БА в тыс. руб.'!H1373*1000</f>
        <v>550000</v>
      </c>
      <c r="M1373" s="169">
        <f t="shared" si="941"/>
        <v>0</v>
      </c>
      <c r="N1373" s="16">
        <f>'БА в тыс. руб.'!I1373*1000</f>
        <v>550000</v>
      </c>
      <c r="O1373" s="169">
        <f t="shared" si="942"/>
        <v>0</v>
      </c>
      <c r="P1373" s="16"/>
      <c r="Q1373" s="16"/>
      <c r="R1373" s="16"/>
      <c r="S1373" s="16"/>
      <c r="T1373" s="16"/>
      <c r="U1373" s="16"/>
    </row>
    <row r="1374" spans="1:21" s="3" customFormat="1">
      <c r="A1374" s="21" t="s">
        <v>6</v>
      </c>
      <c r="B1374" s="22" t="s">
        <v>20</v>
      </c>
      <c r="C1374" s="23" t="s">
        <v>37</v>
      </c>
      <c r="D1374" s="23" t="s">
        <v>50</v>
      </c>
      <c r="E1374" s="23" t="s">
        <v>196</v>
      </c>
      <c r="F1374" s="23" t="s">
        <v>58</v>
      </c>
      <c r="G1374" s="24">
        <f>G1375+G1381</f>
        <v>29431250</v>
      </c>
      <c r="H1374" s="24">
        <f>H1375+H1381</f>
        <v>26463870</v>
      </c>
      <c r="I1374" s="24">
        <f>I1375+I1381</f>
        <v>26463870</v>
      </c>
      <c r="J1374" s="16">
        <f>'БА в тыс. руб.'!G1374*1000</f>
        <v>29431250</v>
      </c>
      <c r="K1374" s="169">
        <f t="shared" si="940"/>
        <v>0</v>
      </c>
      <c r="L1374" s="16">
        <f>'БА в тыс. руб.'!H1374*1000</f>
        <v>26463870</v>
      </c>
      <c r="M1374" s="169">
        <f t="shared" si="941"/>
        <v>0</v>
      </c>
      <c r="N1374" s="16">
        <f>'БА в тыс. руб.'!I1374*1000</f>
        <v>26463870</v>
      </c>
      <c r="O1374" s="169">
        <f t="shared" si="942"/>
        <v>0</v>
      </c>
      <c r="P1374" s="16"/>
      <c r="Q1374" s="16"/>
      <c r="R1374" s="16"/>
      <c r="S1374" s="16"/>
      <c r="T1374" s="16"/>
      <c r="U1374" s="16"/>
    </row>
    <row r="1375" spans="1:21" s="3" customFormat="1" ht="25.5">
      <c r="A1375" s="31" t="s">
        <v>727</v>
      </c>
      <c r="B1375" s="26" t="s">
        <v>20</v>
      </c>
      <c r="C1375" s="26" t="s">
        <v>37</v>
      </c>
      <c r="D1375" s="26" t="s">
        <v>50</v>
      </c>
      <c r="E1375" s="26" t="s">
        <v>327</v>
      </c>
      <c r="F1375" s="26" t="s">
        <v>58</v>
      </c>
      <c r="G1375" s="27">
        <f>G1376</f>
        <v>973250</v>
      </c>
      <c r="H1375" s="27">
        <f>H1376</f>
        <v>875930</v>
      </c>
      <c r="I1375" s="27">
        <f>I1376</f>
        <v>875930</v>
      </c>
      <c r="J1375" s="16">
        <f>'БА в тыс. руб.'!G1375*1000</f>
        <v>973250</v>
      </c>
      <c r="K1375" s="169">
        <f t="shared" si="940"/>
        <v>0</v>
      </c>
      <c r="L1375" s="16">
        <f>'БА в тыс. руб.'!H1375*1000</f>
        <v>875930</v>
      </c>
      <c r="M1375" s="169">
        <f t="shared" si="941"/>
        <v>0</v>
      </c>
      <c r="N1375" s="16">
        <f>'БА в тыс. руб.'!I1375*1000</f>
        <v>875930</v>
      </c>
      <c r="O1375" s="169">
        <f t="shared" si="942"/>
        <v>0</v>
      </c>
      <c r="P1375" s="16"/>
      <c r="Q1375" s="16"/>
      <c r="R1375" s="16"/>
      <c r="S1375" s="16"/>
      <c r="T1375" s="16"/>
      <c r="U1375" s="16"/>
    </row>
    <row r="1376" spans="1:21" s="3" customFormat="1">
      <c r="A1376" s="31" t="s">
        <v>145</v>
      </c>
      <c r="B1376" s="26" t="s">
        <v>20</v>
      </c>
      <c r="C1376" s="26" t="s">
        <v>37</v>
      </c>
      <c r="D1376" s="26" t="s">
        <v>50</v>
      </c>
      <c r="E1376" s="26" t="s">
        <v>437</v>
      </c>
      <c r="F1376" s="26" t="s">
        <v>58</v>
      </c>
      <c r="G1376" s="27">
        <f>G1377</f>
        <v>973250</v>
      </c>
      <c r="H1376" s="27">
        <f t="shared" ref="H1376:I1377" si="953">H1377</f>
        <v>875930</v>
      </c>
      <c r="I1376" s="27">
        <f t="shared" si="953"/>
        <v>875930</v>
      </c>
      <c r="J1376" s="16">
        <f>'БА в тыс. руб.'!G1376*1000</f>
        <v>973250</v>
      </c>
      <c r="K1376" s="169">
        <f t="shared" si="940"/>
        <v>0</v>
      </c>
      <c r="L1376" s="16">
        <f>'БА в тыс. руб.'!H1376*1000</f>
        <v>875930</v>
      </c>
      <c r="M1376" s="169">
        <f t="shared" si="941"/>
        <v>0</v>
      </c>
      <c r="N1376" s="16">
        <f>'БА в тыс. руб.'!I1376*1000</f>
        <v>875930</v>
      </c>
      <c r="O1376" s="169">
        <f t="shared" si="942"/>
        <v>0</v>
      </c>
      <c r="P1376" s="16"/>
      <c r="Q1376" s="16"/>
      <c r="R1376" s="16"/>
      <c r="S1376" s="16"/>
      <c r="T1376" s="16"/>
      <c r="U1376" s="16"/>
    </row>
    <row r="1377" spans="1:21" s="3" customFormat="1" ht="38.25">
      <c r="A1377" s="31" t="s">
        <v>513</v>
      </c>
      <c r="B1377" s="26" t="s">
        <v>20</v>
      </c>
      <c r="C1377" s="26" t="s">
        <v>37</v>
      </c>
      <c r="D1377" s="26" t="s">
        <v>50</v>
      </c>
      <c r="E1377" s="26" t="s">
        <v>438</v>
      </c>
      <c r="F1377" s="26" t="s">
        <v>58</v>
      </c>
      <c r="G1377" s="27">
        <f>G1378</f>
        <v>973250</v>
      </c>
      <c r="H1377" s="27">
        <f t="shared" si="953"/>
        <v>875930</v>
      </c>
      <c r="I1377" s="27">
        <f t="shared" si="953"/>
        <v>875930</v>
      </c>
      <c r="J1377" s="16">
        <f>'БА в тыс. руб.'!G1377*1000</f>
        <v>973250</v>
      </c>
      <c r="K1377" s="169">
        <f t="shared" si="940"/>
        <v>0</v>
      </c>
      <c r="L1377" s="16">
        <f>'БА в тыс. руб.'!H1377*1000</f>
        <v>875930</v>
      </c>
      <c r="M1377" s="169">
        <f t="shared" si="941"/>
        <v>0</v>
      </c>
      <c r="N1377" s="16">
        <f>'БА в тыс. руб.'!I1377*1000</f>
        <v>875930</v>
      </c>
      <c r="O1377" s="169">
        <f t="shared" si="942"/>
        <v>0</v>
      </c>
      <c r="P1377" s="16"/>
      <c r="Q1377" s="16"/>
      <c r="R1377" s="16"/>
      <c r="S1377" s="16"/>
      <c r="T1377" s="16"/>
      <c r="U1377" s="16"/>
    </row>
    <row r="1378" spans="1:21" s="3" customFormat="1" ht="38.25">
      <c r="A1378" s="31" t="s">
        <v>706</v>
      </c>
      <c r="B1378" s="26" t="s">
        <v>20</v>
      </c>
      <c r="C1378" s="26" t="s">
        <v>37</v>
      </c>
      <c r="D1378" s="26" t="s">
        <v>50</v>
      </c>
      <c r="E1378" s="26" t="s">
        <v>766</v>
      </c>
      <c r="F1378" s="26" t="s">
        <v>58</v>
      </c>
      <c r="G1378" s="27">
        <f>G1379</f>
        <v>973250</v>
      </c>
      <c r="H1378" s="27">
        <f>H1379</f>
        <v>875930</v>
      </c>
      <c r="I1378" s="27">
        <f>I1379</f>
        <v>875930</v>
      </c>
      <c r="J1378" s="16">
        <f>'БА в тыс. руб.'!G1378*1000</f>
        <v>973250</v>
      </c>
      <c r="K1378" s="169">
        <f t="shared" si="940"/>
        <v>0</v>
      </c>
      <c r="L1378" s="16">
        <f>'БА в тыс. руб.'!H1378*1000</f>
        <v>875930</v>
      </c>
      <c r="M1378" s="169">
        <f t="shared" si="941"/>
        <v>0</v>
      </c>
      <c r="N1378" s="16">
        <f>'БА в тыс. руб.'!I1378*1000</f>
        <v>875930</v>
      </c>
      <c r="O1378" s="169">
        <f t="shared" si="942"/>
        <v>0</v>
      </c>
      <c r="P1378" s="16"/>
      <c r="Q1378" s="16"/>
      <c r="R1378" s="16"/>
      <c r="S1378" s="16"/>
      <c r="T1378" s="16"/>
      <c r="U1378" s="16"/>
    </row>
    <row r="1379" spans="1:21" s="3" customFormat="1" ht="25.5">
      <c r="A1379" s="11" t="s">
        <v>108</v>
      </c>
      <c r="B1379" s="26" t="s">
        <v>20</v>
      </c>
      <c r="C1379" s="26" t="s">
        <v>37</v>
      </c>
      <c r="D1379" s="26" t="s">
        <v>50</v>
      </c>
      <c r="E1379" s="26" t="s">
        <v>766</v>
      </c>
      <c r="F1379" s="26" t="s">
        <v>116</v>
      </c>
      <c r="G1379" s="27">
        <f>G1380</f>
        <v>973250</v>
      </c>
      <c r="H1379" s="27">
        <f t="shared" ref="H1379:I1379" si="954">H1380</f>
        <v>875930</v>
      </c>
      <c r="I1379" s="27">
        <f t="shared" si="954"/>
        <v>875930</v>
      </c>
      <c r="J1379" s="16">
        <f>'БА в тыс. руб.'!G1379*1000</f>
        <v>973250</v>
      </c>
      <c r="K1379" s="169">
        <f t="shared" si="940"/>
        <v>0</v>
      </c>
      <c r="L1379" s="16">
        <f>'БА в тыс. руб.'!H1379*1000</f>
        <v>875930</v>
      </c>
      <c r="M1379" s="169">
        <f t="shared" si="941"/>
        <v>0</v>
      </c>
      <c r="N1379" s="16">
        <f>'БА в тыс. руб.'!I1379*1000</f>
        <v>875930</v>
      </c>
      <c r="O1379" s="169">
        <f t="shared" si="942"/>
        <v>0</v>
      </c>
      <c r="P1379" s="16"/>
      <c r="Q1379" s="16"/>
      <c r="R1379" s="16"/>
      <c r="S1379" s="16"/>
      <c r="T1379" s="16"/>
      <c r="U1379" s="16"/>
    </row>
    <row r="1380" spans="1:21" s="4" customFormat="1" ht="25.5">
      <c r="A1380" s="11" t="s">
        <v>973</v>
      </c>
      <c r="B1380" s="26" t="s">
        <v>20</v>
      </c>
      <c r="C1380" s="26" t="s">
        <v>37</v>
      </c>
      <c r="D1380" s="26" t="s">
        <v>50</v>
      </c>
      <c r="E1380" s="26" t="s">
        <v>766</v>
      </c>
      <c r="F1380" s="26" t="s">
        <v>1043</v>
      </c>
      <c r="G1380" s="27">
        <f t="shared" ref="G1380" si="955">J1380</f>
        <v>973250</v>
      </c>
      <c r="H1380" s="27">
        <f>L1380</f>
        <v>875930</v>
      </c>
      <c r="I1380" s="27">
        <f>N1380</f>
        <v>875930</v>
      </c>
      <c r="J1380" s="16">
        <f>'БА в тыс. руб.'!G1380*1000</f>
        <v>973250</v>
      </c>
      <c r="K1380" s="169">
        <f t="shared" si="940"/>
        <v>0</v>
      </c>
      <c r="L1380" s="16">
        <f>'БА в тыс. руб.'!H1380*1000</f>
        <v>875930</v>
      </c>
      <c r="M1380" s="169">
        <f t="shared" si="941"/>
        <v>0</v>
      </c>
      <c r="N1380" s="16">
        <f>'БА в тыс. руб.'!I1380*1000</f>
        <v>875930</v>
      </c>
      <c r="O1380" s="169">
        <f t="shared" si="942"/>
        <v>0</v>
      </c>
      <c r="P1380" s="16"/>
      <c r="Q1380" s="16"/>
      <c r="R1380" s="16"/>
      <c r="S1380" s="16"/>
      <c r="T1380" s="16"/>
      <c r="U1380" s="16"/>
    </row>
    <row r="1381" spans="1:21" s="3" customFormat="1" ht="38.25">
      <c r="A1381" s="12" t="s">
        <v>722</v>
      </c>
      <c r="B1381" s="26" t="s">
        <v>20</v>
      </c>
      <c r="C1381" s="26" t="s">
        <v>37</v>
      </c>
      <c r="D1381" s="26" t="s">
        <v>50</v>
      </c>
      <c r="E1381" s="26" t="s">
        <v>300</v>
      </c>
      <c r="F1381" s="26" t="s">
        <v>58</v>
      </c>
      <c r="G1381" s="27">
        <f t="shared" ref="G1381:I1382" si="956">G1382</f>
        <v>28458000</v>
      </c>
      <c r="H1381" s="27">
        <f t="shared" si="956"/>
        <v>25587940</v>
      </c>
      <c r="I1381" s="27">
        <f t="shared" si="956"/>
        <v>25587940</v>
      </c>
      <c r="J1381" s="16">
        <f>'БА в тыс. руб.'!G1381*1000</f>
        <v>28458000</v>
      </c>
      <c r="K1381" s="169">
        <f t="shared" si="940"/>
        <v>0</v>
      </c>
      <c r="L1381" s="16">
        <f>'БА в тыс. руб.'!H1381*1000</f>
        <v>25587940</v>
      </c>
      <c r="M1381" s="169">
        <f t="shared" si="941"/>
        <v>0</v>
      </c>
      <c r="N1381" s="16">
        <f>'БА в тыс. руб.'!I1381*1000</f>
        <v>25587940</v>
      </c>
      <c r="O1381" s="169">
        <f t="shared" si="942"/>
        <v>0</v>
      </c>
      <c r="P1381" s="16"/>
      <c r="Q1381" s="16"/>
      <c r="R1381" s="16"/>
      <c r="S1381" s="16"/>
      <c r="T1381" s="16"/>
      <c r="U1381" s="16"/>
    </row>
    <row r="1382" spans="1:21" s="3" customFormat="1" ht="38.25">
      <c r="A1382" s="40" t="s">
        <v>729</v>
      </c>
      <c r="B1382" s="26" t="s">
        <v>20</v>
      </c>
      <c r="C1382" s="26" t="s">
        <v>37</v>
      </c>
      <c r="D1382" s="26" t="s">
        <v>50</v>
      </c>
      <c r="E1382" s="26" t="s">
        <v>301</v>
      </c>
      <c r="F1382" s="26" t="s">
        <v>58</v>
      </c>
      <c r="G1382" s="27">
        <f t="shared" si="956"/>
        <v>28458000</v>
      </c>
      <c r="H1382" s="27">
        <f t="shared" si="956"/>
        <v>25587940</v>
      </c>
      <c r="I1382" s="27">
        <f t="shared" si="956"/>
        <v>25587940</v>
      </c>
      <c r="J1382" s="16">
        <f>'БА в тыс. руб.'!G1382*1000</f>
        <v>28458000</v>
      </c>
      <c r="K1382" s="169">
        <f t="shared" si="940"/>
        <v>0</v>
      </c>
      <c r="L1382" s="16">
        <f>'БА в тыс. руб.'!H1382*1000</f>
        <v>25587940</v>
      </c>
      <c r="M1382" s="169">
        <f t="shared" si="941"/>
        <v>0</v>
      </c>
      <c r="N1382" s="16">
        <f>'БА в тыс. руб.'!I1382*1000</f>
        <v>25587940</v>
      </c>
      <c r="O1382" s="169">
        <f t="shared" si="942"/>
        <v>0</v>
      </c>
      <c r="P1382" s="16"/>
      <c r="Q1382" s="16"/>
      <c r="R1382" s="16"/>
      <c r="S1382" s="16"/>
      <c r="T1382" s="16"/>
      <c r="U1382" s="16"/>
    </row>
    <row r="1383" spans="1:21" s="3" customFormat="1" ht="38.25">
      <c r="A1383" s="31" t="s">
        <v>654</v>
      </c>
      <c r="B1383" s="26" t="s">
        <v>20</v>
      </c>
      <c r="C1383" s="26" t="s">
        <v>37</v>
      </c>
      <c r="D1383" s="26" t="s">
        <v>50</v>
      </c>
      <c r="E1383" s="26" t="s">
        <v>514</v>
      </c>
      <c r="F1383" s="26" t="s">
        <v>58</v>
      </c>
      <c r="G1383" s="27">
        <f>G1384+G1387</f>
        <v>28458000</v>
      </c>
      <c r="H1383" s="27">
        <f>H1384+H1387</f>
        <v>25587940</v>
      </c>
      <c r="I1383" s="27">
        <f>I1384+I1387</f>
        <v>25587940</v>
      </c>
      <c r="J1383" s="16">
        <f>'БА в тыс. руб.'!G1383*1000</f>
        <v>28458000</v>
      </c>
      <c r="K1383" s="169">
        <f t="shared" si="940"/>
        <v>0</v>
      </c>
      <c r="L1383" s="16">
        <f>'БА в тыс. руб.'!H1383*1000</f>
        <v>25587940</v>
      </c>
      <c r="M1383" s="169">
        <f t="shared" si="941"/>
        <v>0</v>
      </c>
      <c r="N1383" s="16">
        <f>'БА в тыс. руб.'!I1383*1000</f>
        <v>25587940</v>
      </c>
      <c r="O1383" s="169">
        <f t="shared" si="942"/>
        <v>0</v>
      </c>
      <c r="P1383" s="16"/>
      <c r="Q1383" s="16"/>
      <c r="R1383" s="16"/>
      <c r="S1383" s="16"/>
      <c r="T1383" s="16"/>
      <c r="U1383" s="16"/>
    </row>
    <row r="1384" spans="1:21" s="3" customFormat="1" ht="25.5">
      <c r="A1384" s="31" t="s">
        <v>247</v>
      </c>
      <c r="B1384" s="26" t="s">
        <v>20</v>
      </c>
      <c r="C1384" s="26" t="s">
        <v>37</v>
      </c>
      <c r="D1384" s="26" t="s">
        <v>50</v>
      </c>
      <c r="E1384" s="26" t="s">
        <v>515</v>
      </c>
      <c r="F1384" s="26" t="s">
        <v>58</v>
      </c>
      <c r="G1384" s="27">
        <f>G1385</f>
        <v>4018800</v>
      </c>
      <c r="H1384" s="27">
        <f>H1385</f>
        <v>4023940</v>
      </c>
      <c r="I1384" s="27">
        <f>I1385</f>
        <v>4023940</v>
      </c>
      <c r="J1384" s="16">
        <f>'БА в тыс. руб.'!G1384*1000</f>
        <v>4018800</v>
      </c>
      <c r="K1384" s="169">
        <f t="shared" si="940"/>
        <v>0</v>
      </c>
      <c r="L1384" s="16">
        <f>'БА в тыс. руб.'!H1384*1000</f>
        <v>4023940</v>
      </c>
      <c r="M1384" s="169">
        <f t="shared" si="941"/>
        <v>0</v>
      </c>
      <c r="N1384" s="16">
        <f>'БА в тыс. руб.'!I1384*1000</f>
        <v>4023940</v>
      </c>
      <c r="O1384" s="169">
        <f t="shared" si="942"/>
        <v>0</v>
      </c>
      <c r="P1384" s="16"/>
      <c r="Q1384" s="16"/>
      <c r="R1384" s="16"/>
      <c r="S1384" s="16"/>
      <c r="T1384" s="16"/>
      <c r="U1384" s="16"/>
    </row>
    <row r="1385" spans="1:21" s="3" customFormat="1">
      <c r="A1385" s="13" t="s">
        <v>92</v>
      </c>
      <c r="B1385" s="26" t="s">
        <v>20</v>
      </c>
      <c r="C1385" s="26" t="s">
        <v>37</v>
      </c>
      <c r="D1385" s="26" t="s">
        <v>50</v>
      </c>
      <c r="E1385" s="26" t="s">
        <v>515</v>
      </c>
      <c r="F1385" s="26" t="s">
        <v>138</v>
      </c>
      <c r="G1385" s="27">
        <f>G1386</f>
        <v>4018800</v>
      </c>
      <c r="H1385" s="27">
        <f t="shared" ref="H1385:I1385" si="957">H1386</f>
        <v>4023940</v>
      </c>
      <c r="I1385" s="27">
        <f t="shared" si="957"/>
        <v>4023940</v>
      </c>
      <c r="J1385" s="16">
        <f>'БА в тыс. руб.'!G1385*1000</f>
        <v>4018800</v>
      </c>
      <c r="K1385" s="169">
        <f t="shared" si="940"/>
        <v>0</v>
      </c>
      <c r="L1385" s="16">
        <f>'БА в тыс. руб.'!H1385*1000</f>
        <v>4023940</v>
      </c>
      <c r="M1385" s="169">
        <f t="shared" si="941"/>
        <v>0</v>
      </c>
      <c r="N1385" s="16">
        <f>'БА в тыс. руб.'!I1385*1000</f>
        <v>4023940</v>
      </c>
      <c r="O1385" s="169">
        <f t="shared" si="942"/>
        <v>0</v>
      </c>
      <c r="P1385" s="16"/>
      <c r="Q1385" s="16"/>
      <c r="R1385" s="16"/>
      <c r="S1385" s="16"/>
      <c r="T1385" s="16"/>
      <c r="U1385" s="16"/>
    </row>
    <row r="1386" spans="1:21" s="4" customFormat="1" ht="38.25">
      <c r="A1386" s="13" t="s">
        <v>1015</v>
      </c>
      <c r="B1386" s="26" t="s">
        <v>20</v>
      </c>
      <c r="C1386" s="26" t="s">
        <v>37</v>
      </c>
      <c r="D1386" s="26" t="s">
        <v>50</v>
      </c>
      <c r="E1386" s="26" t="s">
        <v>515</v>
      </c>
      <c r="F1386" s="26" t="s">
        <v>67</v>
      </c>
      <c r="G1386" s="27">
        <f t="shared" ref="G1386" si="958">J1386</f>
        <v>4018800</v>
      </c>
      <c r="H1386" s="27">
        <f>L1386</f>
        <v>4023940</v>
      </c>
      <c r="I1386" s="27">
        <f>N1386</f>
        <v>4023940</v>
      </c>
      <c r="J1386" s="16">
        <f>'БА в тыс. руб.'!G1386*1000</f>
        <v>4018800</v>
      </c>
      <c r="K1386" s="169">
        <f t="shared" si="940"/>
        <v>0</v>
      </c>
      <c r="L1386" s="16">
        <f>'БА в тыс. руб.'!H1386*1000</f>
        <v>4023940</v>
      </c>
      <c r="M1386" s="169">
        <f t="shared" si="941"/>
        <v>0</v>
      </c>
      <c r="N1386" s="16">
        <f>'БА в тыс. руб.'!I1386*1000</f>
        <v>4023940</v>
      </c>
      <c r="O1386" s="169">
        <f t="shared" si="942"/>
        <v>0</v>
      </c>
      <c r="P1386" s="16"/>
      <c r="Q1386" s="16"/>
      <c r="R1386" s="16"/>
      <c r="S1386" s="16"/>
      <c r="T1386" s="16"/>
      <c r="U1386" s="16"/>
    </row>
    <row r="1387" spans="1:21" s="3" customFormat="1" ht="25.5">
      <c r="A1387" s="31" t="s">
        <v>768</v>
      </c>
      <c r="B1387" s="26" t="s">
        <v>20</v>
      </c>
      <c r="C1387" s="26" t="s">
        <v>37</v>
      </c>
      <c r="D1387" s="26" t="s">
        <v>50</v>
      </c>
      <c r="E1387" s="26" t="s">
        <v>516</v>
      </c>
      <c r="F1387" s="26" t="s">
        <v>58</v>
      </c>
      <c r="G1387" s="27">
        <f>G1388</f>
        <v>24439200</v>
      </c>
      <c r="H1387" s="27">
        <f>H1388</f>
        <v>21564000</v>
      </c>
      <c r="I1387" s="27">
        <f>I1388</f>
        <v>21564000</v>
      </c>
      <c r="J1387" s="16">
        <f>'БА в тыс. руб.'!G1387*1000</f>
        <v>24439200</v>
      </c>
      <c r="K1387" s="169">
        <f t="shared" si="940"/>
        <v>0</v>
      </c>
      <c r="L1387" s="16">
        <f>'БА в тыс. руб.'!H1387*1000</f>
        <v>21564000</v>
      </c>
      <c r="M1387" s="169">
        <f t="shared" si="941"/>
        <v>0</v>
      </c>
      <c r="N1387" s="16">
        <f>'БА в тыс. руб.'!I1387*1000</f>
        <v>21564000</v>
      </c>
      <c r="O1387" s="169">
        <f t="shared" si="942"/>
        <v>0</v>
      </c>
      <c r="P1387" s="16"/>
      <c r="Q1387" s="16"/>
      <c r="R1387" s="16"/>
      <c r="S1387" s="16"/>
      <c r="T1387" s="16"/>
      <c r="U1387" s="16"/>
    </row>
    <row r="1388" spans="1:21" s="3" customFormat="1" ht="38.25">
      <c r="A1388" s="46" t="s">
        <v>561</v>
      </c>
      <c r="B1388" s="26" t="s">
        <v>20</v>
      </c>
      <c r="C1388" s="26" t="s">
        <v>37</v>
      </c>
      <c r="D1388" s="26" t="s">
        <v>50</v>
      </c>
      <c r="E1388" s="26" t="s">
        <v>516</v>
      </c>
      <c r="F1388" s="26" t="s">
        <v>101</v>
      </c>
      <c r="G1388" s="27">
        <f>G1389</f>
        <v>24439200</v>
      </c>
      <c r="H1388" s="27">
        <f t="shared" ref="H1388:I1388" si="959">H1389</f>
        <v>21564000</v>
      </c>
      <c r="I1388" s="27">
        <f t="shared" si="959"/>
        <v>21564000</v>
      </c>
      <c r="J1388" s="16">
        <f>'БА в тыс. руб.'!G1388*1000</f>
        <v>24439200</v>
      </c>
      <c r="K1388" s="169">
        <f t="shared" si="940"/>
        <v>0</v>
      </c>
      <c r="L1388" s="16">
        <f>'БА в тыс. руб.'!H1388*1000</f>
        <v>21564000</v>
      </c>
      <c r="M1388" s="169">
        <f t="shared" si="941"/>
        <v>0</v>
      </c>
      <c r="N1388" s="16">
        <f>'БА в тыс. руб.'!I1388*1000</f>
        <v>21564000</v>
      </c>
      <c r="O1388" s="169">
        <f t="shared" si="942"/>
        <v>0</v>
      </c>
      <c r="P1388" s="16"/>
      <c r="Q1388" s="16"/>
      <c r="R1388" s="16"/>
      <c r="S1388" s="16"/>
      <c r="T1388" s="16"/>
      <c r="U1388" s="16"/>
    </row>
    <row r="1389" spans="1:21" s="4" customFormat="1" ht="76.5">
      <c r="A1389" s="46" t="s">
        <v>1048</v>
      </c>
      <c r="B1389" s="26" t="s">
        <v>20</v>
      </c>
      <c r="C1389" s="26" t="s">
        <v>37</v>
      </c>
      <c r="D1389" s="26" t="s">
        <v>50</v>
      </c>
      <c r="E1389" s="26" t="s">
        <v>516</v>
      </c>
      <c r="F1389" s="26" t="s">
        <v>1051</v>
      </c>
      <c r="G1389" s="27">
        <f t="shared" ref="G1389" si="960">J1389</f>
        <v>24439200</v>
      </c>
      <c r="H1389" s="27">
        <f>L1389</f>
        <v>21564000</v>
      </c>
      <c r="I1389" s="27">
        <f>N1389</f>
        <v>21564000</v>
      </c>
      <c r="J1389" s="16">
        <f>'БА в тыс. руб.'!G1389*1000</f>
        <v>24439200</v>
      </c>
      <c r="K1389" s="169">
        <f t="shared" si="940"/>
        <v>0</v>
      </c>
      <c r="L1389" s="16">
        <f>'БА в тыс. руб.'!H1389*1000</f>
        <v>21564000</v>
      </c>
      <c r="M1389" s="169">
        <f t="shared" si="941"/>
        <v>0</v>
      </c>
      <c r="N1389" s="16">
        <f>'БА в тыс. руб.'!I1389*1000</f>
        <v>21564000</v>
      </c>
      <c r="O1389" s="169">
        <f t="shared" si="942"/>
        <v>0</v>
      </c>
      <c r="P1389" s="16"/>
      <c r="Q1389" s="16"/>
      <c r="R1389" s="16"/>
      <c r="S1389" s="16"/>
      <c r="T1389" s="16"/>
      <c r="U1389" s="16"/>
    </row>
    <row r="1390" spans="1:21" s="3" customFormat="1">
      <c r="A1390" s="21" t="s">
        <v>88</v>
      </c>
      <c r="B1390" s="22" t="s">
        <v>20</v>
      </c>
      <c r="C1390" s="23" t="s">
        <v>37</v>
      </c>
      <c r="D1390" s="23" t="s">
        <v>25</v>
      </c>
      <c r="E1390" s="23" t="s">
        <v>196</v>
      </c>
      <c r="F1390" s="23" t="s">
        <v>58</v>
      </c>
      <c r="G1390" s="24">
        <f>G1391+G1397</f>
        <v>159184640</v>
      </c>
      <c r="H1390" s="24">
        <f>H1391+H1397</f>
        <v>162147300</v>
      </c>
      <c r="I1390" s="24">
        <f>I1391+I1397</f>
        <v>162147300</v>
      </c>
      <c r="J1390" s="16">
        <f>'БА в тыс. руб.'!G1390*1000</f>
        <v>159184639.99999997</v>
      </c>
      <c r="K1390" s="169">
        <f t="shared" si="940"/>
        <v>0</v>
      </c>
      <c r="L1390" s="16">
        <f>'БА в тыс. руб.'!H1390*1000</f>
        <v>162147300</v>
      </c>
      <c r="M1390" s="169">
        <f t="shared" si="941"/>
        <v>0</v>
      </c>
      <c r="N1390" s="16">
        <f>'БА в тыс. руб.'!I1390*1000</f>
        <v>162147300</v>
      </c>
      <c r="O1390" s="169">
        <f t="shared" si="942"/>
        <v>0</v>
      </c>
      <c r="P1390" s="16"/>
      <c r="Q1390" s="16"/>
      <c r="R1390" s="16"/>
      <c r="S1390" s="16"/>
      <c r="T1390" s="16"/>
      <c r="U1390" s="16"/>
    </row>
    <row r="1391" spans="1:21" s="3" customFormat="1" ht="38.25">
      <c r="A1391" s="31" t="s">
        <v>725</v>
      </c>
      <c r="B1391" s="25" t="s">
        <v>20</v>
      </c>
      <c r="C1391" s="25" t="s">
        <v>37</v>
      </c>
      <c r="D1391" s="25" t="s">
        <v>25</v>
      </c>
      <c r="E1391" s="25" t="s">
        <v>296</v>
      </c>
      <c r="F1391" s="25" t="s">
        <v>58</v>
      </c>
      <c r="G1391" s="42">
        <f t="shared" ref="G1391:I1395" si="961">G1392</f>
        <v>5251460</v>
      </c>
      <c r="H1391" s="42">
        <f t="shared" si="961"/>
        <v>5251460</v>
      </c>
      <c r="I1391" s="42">
        <f t="shared" si="961"/>
        <v>5251460</v>
      </c>
      <c r="J1391" s="16">
        <f>'БА в тыс. руб.'!G1391*1000</f>
        <v>5251460</v>
      </c>
      <c r="K1391" s="169">
        <f t="shared" si="940"/>
        <v>0</v>
      </c>
      <c r="L1391" s="16">
        <f>'БА в тыс. руб.'!H1391*1000</f>
        <v>5251460</v>
      </c>
      <c r="M1391" s="169">
        <f t="shared" si="941"/>
        <v>0</v>
      </c>
      <c r="N1391" s="16">
        <f>'БА в тыс. руб.'!I1391*1000</f>
        <v>5251460</v>
      </c>
      <c r="O1391" s="169">
        <f t="shared" si="942"/>
        <v>0</v>
      </c>
      <c r="P1391" s="16"/>
      <c r="Q1391" s="16"/>
      <c r="R1391" s="16"/>
      <c r="S1391" s="16"/>
      <c r="T1391" s="16"/>
      <c r="U1391" s="16"/>
    </row>
    <row r="1392" spans="1:21" s="3" customFormat="1" ht="51">
      <c r="A1392" s="11" t="s">
        <v>726</v>
      </c>
      <c r="B1392" s="25" t="s">
        <v>20</v>
      </c>
      <c r="C1392" s="25" t="s">
        <v>37</v>
      </c>
      <c r="D1392" s="25" t="s">
        <v>25</v>
      </c>
      <c r="E1392" s="25" t="s">
        <v>297</v>
      </c>
      <c r="F1392" s="25" t="s">
        <v>58</v>
      </c>
      <c r="G1392" s="42">
        <f t="shared" si="961"/>
        <v>5251460</v>
      </c>
      <c r="H1392" s="42">
        <f t="shared" si="961"/>
        <v>5251460</v>
      </c>
      <c r="I1392" s="42">
        <f t="shared" si="961"/>
        <v>5251460</v>
      </c>
      <c r="J1392" s="16">
        <f>'БА в тыс. руб.'!G1392*1000</f>
        <v>5251460</v>
      </c>
      <c r="K1392" s="169">
        <f t="shared" si="940"/>
        <v>0</v>
      </c>
      <c r="L1392" s="16">
        <f>'БА в тыс. руб.'!H1392*1000</f>
        <v>5251460</v>
      </c>
      <c r="M1392" s="169">
        <f t="shared" si="941"/>
        <v>0</v>
      </c>
      <c r="N1392" s="16">
        <f>'БА в тыс. руб.'!I1392*1000</f>
        <v>5251460</v>
      </c>
      <c r="O1392" s="169">
        <f t="shared" si="942"/>
        <v>0</v>
      </c>
      <c r="P1392" s="16"/>
      <c r="Q1392" s="16"/>
      <c r="R1392" s="16"/>
      <c r="S1392" s="16"/>
      <c r="T1392" s="16"/>
      <c r="U1392" s="16"/>
    </row>
    <row r="1393" spans="1:21" s="3" customFormat="1" ht="51">
      <c r="A1393" s="12" t="s">
        <v>620</v>
      </c>
      <c r="B1393" s="25" t="s">
        <v>20</v>
      </c>
      <c r="C1393" s="25" t="s">
        <v>37</v>
      </c>
      <c r="D1393" s="25" t="s">
        <v>25</v>
      </c>
      <c r="E1393" s="25" t="s">
        <v>512</v>
      </c>
      <c r="F1393" s="25" t="s">
        <v>58</v>
      </c>
      <c r="G1393" s="42">
        <f t="shared" si="961"/>
        <v>5251460</v>
      </c>
      <c r="H1393" s="42">
        <f t="shared" si="961"/>
        <v>5251460</v>
      </c>
      <c r="I1393" s="42">
        <f t="shared" si="961"/>
        <v>5251460</v>
      </c>
      <c r="J1393" s="16">
        <f>'БА в тыс. руб.'!G1393*1000</f>
        <v>5251460</v>
      </c>
      <c r="K1393" s="169">
        <f t="shared" si="940"/>
        <v>0</v>
      </c>
      <c r="L1393" s="16">
        <f>'БА в тыс. руб.'!H1393*1000</f>
        <v>5251460</v>
      </c>
      <c r="M1393" s="169">
        <f t="shared" si="941"/>
        <v>0</v>
      </c>
      <c r="N1393" s="16">
        <f>'БА в тыс. руб.'!I1393*1000</f>
        <v>5251460</v>
      </c>
      <c r="O1393" s="169">
        <f t="shared" si="942"/>
        <v>0</v>
      </c>
      <c r="P1393" s="16"/>
      <c r="Q1393" s="16"/>
      <c r="R1393" s="16"/>
      <c r="S1393" s="16"/>
      <c r="T1393" s="16"/>
      <c r="U1393" s="16"/>
    </row>
    <row r="1394" spans="1:21" s="3" customFormat="1" ht="51">
      <c r="A1394" s="12" t="s">
        <v>893</v>
      </c>
      <c r="B1394" s="25" t="s">
        <v>20</v>
      </c>
      <c r="C1394" s="25" t="s">
        <v>37</v>
      </c>
      <c r="D1394" s="25" t="s">
        <v>25</v>
      </c>
      <c r="E1394" s="25" t="s">
        <v>517</v>
      </c>
      <c r="F1394" s="25" t="s">
        <v>58</v>
      </c>
      <c r="G1394" s="42">
        <f t="shared" si="961"/>
        <v>5251460</v>
      </c>
      <c r="H1394" s="42">
        <f t="shared" si="961"/>
        <v>5251460</v>
      </c>
      <c r="I1394" s="42">
        <f t="shared" si="961"/>
        <v>5251460</v>
      </c>
      <c r="J1394" s="16">
        <f>'БА в тыс. руб.'!G1394*1000</f>
        <v>5251460</v>
      </c>
      <c r="K1394" s="169">
        <f t="shared" si="940"/>
        <v>0</v>
      </c>
      <c r="L1394" s="16">
        <f>'БА в тыс. руб.'!H1394*1000</f>
        <v>5251460</v>
      </c>
      <c r="M1394" s="169">
        <f t="shared" si="941"/>
        <v>0</v>
      </c>
      <c r="N1394" s="16">
        <f>'БА в тыс. руб.'!I1394*1000</f>
        <v>5251460</v>
      </c>
      <c r="O1394" s="169">
        <f t="shared" si="942"/>
        <v>0</v>
      </c>
      <c r="P1394" s="16"/>
      <c r="Q1394" s="16"/>
      <c r="R1394" s="16"/>
      <c r="S1394" s="16"/>
      <c r="T1394" s="16"/>
      <c r="U1394" s="16"/>
    </row>
    <row r="1395" spans="1:21" s="3" customFormat="1" ht="25.5">
      <c r="A1395" s="11" t="s">
        <v>108</v>
      </c>
      <c r="B1395" s="25" t="s">
        <v>20</v>
      </c>
      <c r="C1395" s="25" t="s">
        <v>37</v>
      </c>
      <c r="D1395" s="25" t="s">
        <v>25</v>
      </c>
      <c r="E1395" s="25" t="s">
        <v>517</v>
      </c>
      <c r="F1395" s="25" t="s">
        <v>116</v>
      </c>
      <c r="G1395" s="42">
        <f>G1396</f>
        <v>5251460</v>
      </c>
      <c r="H1395" s="42">
        <f t="shared" si="961"/>
        <v>5251460</v>
      </c>
      <c r="I1395" s="42">
        <f t="shared" si="961"/>
        <v>5251460</v>
      </c>
      <c r="J1395" s="16">
        <f>'БА в тыс. руб.'!G1395*1000</f>
        <v>5251460</v>
      </c>
      <c r="K1395" s="169">
        <f t="shared" si="940"/>
        <v>0</v>
      </c>
      <c r="L1395" s="16">
        <f>'БА в тыс. руб.'!H1395*1000</f>
        <v>5251460</v>
      </c>
      <c r="M1395" s="169">
        <f t="shared" si="941"/>
        <v>0</v>
      </c>
      <c r="N1395" s="16">
        <f>'БА в тыс. руб.'!I1395*1000</f>
        <v>5251460</v>
      </c>
      <c r="O1395" s="169">
        <f t="shared" si="942"/>
        <v>0</v>
      </c>
      <c r="P1395" s="16"/>
      <c r="Q1395" s="16"/>
      <c r="R1395" s="16"/>
      <c r="S1395" s="16"/>
      <c r="T1395" s="16"/>
      <c r="U1395" s="16"/>
    </row>
    <row r="1396" spans="1:21" s="4" customFormat="1" ht="25.5">
      <c r="A1396" s="12" t="s">
        <v>973</v>
      </c>
      <c r="B1396" s="25" t="s">
        <v>20</v>
      </c>
      <c r="C1396" s="25" t="s">
        <v>37</v>
      </c>
      <c r="D1396" s="25" t="s">
        <v>25</v>
      </c>
      <c r="E1396" s="25" t="s">
        <v>517</v>
      </c>
      <c r="F1396" s="25" t="s">
        <v>1043</v>
      </c>
      <c r="G1396" s="27">
        <f t="shared" ref="G1396" si="962">J1396</f>
        <v>5251460</v>
      </c>
      <c r="H1396" s="27">
        <f>L1396</f>
        <v>5251460</v>
      </c>
      <c r="I1396" s="27">
        <f>N1396</f>
        <v>5251460</v>
      </c>
      <c r="J1396" s="16">
        <f>'БА в тыс. руб.'!G1396*1000</f>
        <v>5251460</v>
      </c>
      <c r="K1396" s="169">
        <f t="shared" si="940"/>
        <v>0</v>
      </c>
      <c r="L1396" s="16">
        <f>'БА в тыс. руб.'!H1396*1000</f>
        <v>5251460</v>
      </c>
      <c r="M1396" s="169">
        <f t="shared" si="941"/>
        <v>0</v>
      </c>
      <c r="N1396" s="16">
        <f>'БА в тыс. руб.'!I1396*1000</f>
        <v>5251460</v>
      </c>
      <c r="O1396" s="169">
        <f t="shared" si="942"/>
        <v>0</v>
      </c>
      <c r="P1396" s="16"/>
      <c r="Q1396" s="16"/>
      <c r="R1396" s="16"/>
      <c r="S1396" s="16"/>
      <c r="T1396" s="16"/>
      <c r="U1396" s="16"/>
    </row>
    <row r="1397" spans="1:21" s="3" customFormat="1" ht="38.25">
      <c r="A1397" s="12" t="s">
        <v>722</v>
      </c>
      <c r="B1397" s="26" t="s">
        <v>20</v>
      </c>
      <c r="C1397" s="26" t="s">
        <v>37</v>
      </c>
      <c r="D1397" s="26" t="s">
        <v>25</v>
      </c>
      <c r="E1397" s="26" t="s">
        <v>300</v>
      </c>
      <c r="F1397" s="25" t="s">
        <v>58</v>
      </c>
      <c r="G1397" s="42">
        <f>G1398</f>
        <v>153933180</v>
      </c>
      <c r="H1397" s="42">
        <f>H1398</f>
        <v>156895840</v>
      </c>
      <c r="I1397" s="42">
        <f>I1398</f>
        <v>156895840</v>
      </c>
      <c r="J1397" s="16">
        <f>'БА в тыс. руб.'!G1397*1000</f>
        <v>153933180</v>
      </c>
      <c r="K1397" s="169">
        <f t="shared" si="940"/>
        <v>0</v>
      </c>
      <c r="L1397" s="16">
        <f>'БА в тыс. руб.'!H1397*1000</f>
        <v>156895840</v>
      </c>
      <c r="M1397" s="169">
        <f t="shared" si="941"/>
        <v>0</v>
      </c>
      <c r="N1397" s="16">
        <f>'БА в тыс. руб.'!I1397*1000</f>
        <v>156895840</v>
      </c>
      <c r="O1397" s="169">
        <f t="shared" si="942"/>
        <v>0</v>
      </c>
      <c r="P1397" s="16"/>
      <c r="Q1397" s="16"/>
      <c r="R1397" s="16"/>
      <c r="S1397" s="16"/>
      <c r="T1397" s="16"/>
      <c r="U1397" s="16"/>
    </row>
    <row r="1398" spans="1:21" s="3" customFormat="1" ht="38.25">
      <c r="A1398" s="40" t="s">
        <v>729</v>
      </c>
      <c r="B1398" s="26" t="s">
        <v>20</v>
      </c>
      <c r="C1398" s="26" t="s">
        <v>37</v>
      </c>
      <c r="D1398" s="26" t="s">
        <v>25</v>
      </c>
      <c r="E1398" s="26" t="s">
        <v>301</v>
      </c>
      <c r="F1398" s="25" t="s">
        <v>58</v>
      </c>
      <c r="G1398" s="42">
        <f>G1399+G1421</f>
        <v>153933180</v>
      </c>
      <c r="H1398" s="42">
        <f>H1399+H1421</f>
        <v>156895840</v>
      </c>
      <c r="I1398" s="42">
        <f>I1399+I1421</f>
        <v>156895840</v>
      </c>
      <c r="J1398" s="16">
        <f>'БА в тыс. руб.'!G1398*1000</f>
        <v>153933180</v>
      </c>
      <c r="K1398" s="169">
        <f t="shared" si="940"/>
        <v>0</v>
      </c>
      <c r="L1398" s="16">
        <f>'БА в тыс. руб.'!H1398*1000</f>
        <v>156895840</v>
      </c>
      <c r="M1398" s="169">
        <f t="shared" si="941"/>
        <v>0</v>
      </c>
      <c r="N1398" s="16">
        <f>'БА в тыс. руб.'!I1398*1000</f>
        <v>156895840</v>
      </c>
      <c r="O1398" s="169">
        <f t="shared" si="942"/>
        <v>0</v>
      </c>
      <c r="P1398" s="16"/>
      <c r="Q1398" s="16"/>
      <c r="R1398" s="16"/>
      <c r="S1398" s="16"/>
      <c r="T1398" s="16"/>
      <c r="U1398" s="16"/>
    </row>
    <row r="1399" spans="1:21" s="3" customFormat="1" ht="38.25">
      <c r="A1399" s="11" t="s">
        <v>644</v>
      </c>
      <c r="B1399" s="26" t="s">
        <v>20</v>
      </c>
      <c r="C1399" s="26" t="s">
        <v>37</v>
      </c>
      <c r="D1399" s="26" t="s">
        <v>25</v>
      </c>
      <c r="E1399" s="26" t="s">
        <v>302</v>
      </c>
      <c r="F1399" s="25" t="s">
        <v>58</v>
      </c>
      <c r="G1399" s="42">
        <f>G1400+G1403+G1406+G1412+G1415+G1418+G1409</f>
        <v>109687520</v>
      </c>
      <c r="H1399" s="42">
        <f>H1400+H1403+H1406+H1412+H1415+H1418+H1409</f>
        <v>117871230</v>
      </c>
      <c r="I1399" s="42">
        <f>I1400+I1403+I1406+I1412+I1415+I1418+I1409</f>
        <v>117871230</v>
      </c>
      <c r="J1399" s="16">
        <f>'БА в тыс. руб.'!G1399*1000</f>
        <v>109687519.99999999</v>
      </c>
      <c r="K1399" s="169">
        <f t="shared" si="940"/>
        <v>0</v>
      </c>
      <c r="L1399" s="16">
        <f>'БА в тыс. руб.'!H1399*1000</f>
        <v>117871230</v>
      </c>
      <c r="M1399" s="169">
        <f t="shared" si="941"/>
        <v>0</v>
      </c>
      <c r="N1399" s="16">
        <f>'БА в тыс. руб.'!I1399*1000</f>
        <v>117871230</v>
      </c>
      <c r="O1399" s="169">
        <f t="shared" si="942"/>
        <v>0</v>
      </c>
      <c r="P1399" s="16"/>
      <c r="Q1399" s="16"/>
      <c r="R1399" s="16"/>
      <c r="S1399" s="16"/>
      <c r="T1399" s="16"/>
      <c r="U1399" s="16"/>
    </row>
    <row r="1400" spans="1:21" s="3" customFormat="1" ht="25.5">
      <c r="A1400" s="11" t="s">
        <v>896</v>
      </c>
      <c r="B1400" s="26" t="s">
        <v>20</v>
      </c>
      <c r="C1400" s="26" t="s">
        <v>37</v>
      </c>
      <c r="D1400" s="26" t="s">
        <v>25</v>
      </c>
      <c r="E1400" s="26" t="s">
        <v>492</v>
      </c>
      <c r="F1400" s="25" t="s">
        <v>58</v>
      </c>
      <c r="G1400" s="42">
        <f>G1401</f>
        <v>36181840</v>
      </c>
      <c r="H1400" s="42">
        <f t="shared" ref="H1400:I1401" si="963">H1401</f>
        <v>62280580</v>
      </c>
      <c r="I1400" s="42">
        <f t="shared" si="963"/>
        <v>62280580</v>
      </c>
      <c r="J1400" s="16">
        <f>'БА в тыс. руб.'!G1400*1000</f>
        <v>36181840</v>
      </c>
      <c r="K1400" s="169">
        <f t="shared" si="940"/>
        <v>0</v>
      </c>
      <c r="L1400" s="16">
        <f>'БА в тыс. руб.'!H1400*1000</f>
        <v>62280580</v>
      </c>
      <c r="M1400" s="169">
        <f t="shared" si="941"/>
        <v>0</v>
      </c>
      <c r="N1400" s="16">
        <f>'БА в тыс. руб.'!I1400*1000</f>
        <v>62280580</v>
      </c>
      <c r="O1400" s="169">
        <f t="shared" si="942"/>
        <v>0</v>
      </c>
      <c r="P1400" s="16"/>
      <c r="Q1400" s="16"/>
      <c r="R1400" s="16"/>
      <c r="S1400" s="16"/>
      <c r="T1400" s="16"/>
      <c r="U1400" s="16"/>
    </row>
    <row r="1401" spans="1:21" s="3" customFormat="1" ht="25.5">
      <c r="A1401" s="11" t="s">
        <v>108</v>
      </c>
      <c r="B1401" s="26" t="s">
        <v>20</v>
      </c>
      <c r="C1401" s="26" t="s">
        <v>37</v>
      </c>
      <c r="D1401" s="26" t="s">
        <v>25</v>
      </c>
      <c r="E1401" s="26" t="s">
        <v>492</v>
      </c>
      <c r="F1401" s="25" t="s">
        <v>116</v>
      </c>
      <c r="G1401" s="42">
        <f>G1402</f>
        <v>36181840</v>
      </c>
      <c r="H1401" s="42">
        <f t="shared" si="963"/>
        <v>62280580</v>
      </c>
      <c r="I1401" s="42">
        <f t="shared" si="963"/>
        <v>62280580</v>
      </c>
      <c r="J1401" s="16">
        <f>'БА в тыс. руб.'!G1401*1000</f>
        <v>36181840</v>
      </c>
      <c r="K1401" s="169">
        <f t="shared" si="940"/>
        <v>0</v>
      </c>
      <c r="L1401" s="16">
        <f>'БА в тыс. руб.'!H1401*1000</f>
        <v>62280580</v>
      </c>
      <c r="M1401" s="169">
        <f t="shared" si="941"/>
        <v>0</v>
      </c>
      <c r="N1401" s="16">
        <f>'БА в тыс. руб.'!I1401*1000</f>
        <v>62280580</v>
      </c>
      <c r="O1401" s="169">
        <f t="shared" si="942"/>
        <v>0</v>
      </c>
      <c r="P1401" s="16"/>
      <c r="Q1401" s="16"/>
      <c r="R1401" s="16"/>
      <c r="S1401" s="16"/>
      <c r="T1401" s="16"/>
      <c r="U1401" s="16"/>
    </row>
    <row r="1402" spans="1:21" s="4" customFormat="1" ht="25.5">
      <c r="A1402" s="12" t="s">
        <v>973</v>
      </c>
      <c r="B1402" s="26" t="s">
        <v>20</v>
      </c>
      <c r="C1402" s="26" t="s">
        <v>37</v>
      </c>
      <c r="D1402" s="26" t="s">
        <v>25</v>
      </c>
      <c r="E1402" s="26" t="s">
        <v>492</v>
      </c>
      <c r="F1402" s="25" t="s">
        <v>1043</v>
      </c>
      <c r="G1402" s="27">
        <f t="shared" ref="G1402" si="964">J1402</f>
        <v>36181840</v>
      </c>
      <c r="H1402" s="27">
        <f>L1402</f>
        <v>62280580</v>
      </c>
      <c r="I1402" s="27">
        <f>N1402</f>
        <v>62280580</v>
      </c>
      <c r="J1402" s="16">
        <f>'БА в тыс. руб.'!G1402*1000</f>
        <v>36181840</v>
      </c>
      <c r="K1402" s="169">
        <f t="shared" si="940"/>
        <v>0</v>
      </c>
      <c r="L1402" s="16">
        <f>'БА в тыс. руб.'!H1402*1000</f>
        <v>62280580</v>
      </c>
      <c r="M1402" s="169">
        <f t="shared" si="941"/>
        <v>0</v>
      </c>
      <c r="N1402" s="16">
        <f>'БА в тыс. руб.'!I1402*1000</f>
        <v>62280580</v>
      </c>
      <c r="O1402" s="169">
        <f t="shared" si="942"/>
        <v>0</v>
      </c>
      <c r="P1402" s="16"/>
      <c r="Q1402" s="16"/>
      <c r="R1402" s="16"/>
      <c r="S1402" s="16"/>
      <c r="T1402" s="16"/>
      <c r="U1402" s="16"/>
    </row>
    <row r="1403" spans="1:21" s="3" customFormat="1" ht="63.75">
      <c r="A1403" s="11" t="s">
        <v>589</v>
      </c>
      <c r="B1403" s="26" t="s">
        <v>20</v>
      </c>
      <c r="C1403" s="26" t="s">
        <v>37</v>
      </c>
      <c r="D1403" s="26" t="s">
        <v>25</v>
      </c>
      <c r="E1403" s="26" t="s">
        <v>518</v>
      </c>
      <c r="F1403" s="25" t="s">
        <v>58</v>
      </c>
      <c r="G1403" s="42">
        <f>G1404</f>
        <v>40000000</v>
      </c>
      <c r="H1403" s="42">
        <f>H1404</f>
        <v>17586290</v>
      </c>
      <c r="I1403" s="42">
        <f>I1404</f>
        <v>17586290</v>
      </c>
      <c r="J1403" s="16">
        <f>'БА в тыс. руб.'!G1403*1000</f>
        <v>40000000</v>
      </c>
      <c r="K1403" s="169">
        <f t="shared" si="940"/>
        <v>0</v>
      </c>
      <c r="L1403" s="16">
        <f>'БА в тыс. руб.'!H1403*1000</f>
        <v>17586290</v>
      </c>
      <c r="M1403" s="169">
        <f t="shared" si="941"/>
        <v>0</v>
      </c>
      <c r="N1403" s="16">
        <f>'БА в тыс. руб.'!I1403*1000</f>
        <v>17586290</v>
      </c>
      <c r="O1403" s="169">
        <f t="shared" si="942"/>
        <v>0</v>
      </c>
      <c r="P1403" s="16"/>
      <c r="Q1403" s="16"/>
      <c r="R1403" s="16"/>
      <c r="S1403" s="16"/>
      <c r="T1403" s="16"/>
      <c r="U1403" s="16"/>
    </row>
    <row r="1404" spans="1:21" s="3" customFormat="1" ht="25.5">
      <c r="A1404" s="11" t="s">
        <v>108</v>
      </c>
      <c r="B1404" s="26" t="s">
        <v>20</v>
      </c>
      <c r="C1404" s="26" t="s">
        <v>37</v>
      </c>
      <c r="D1404" s="26" t="s">
        <v>25</v>
      </c>
      <c r="E1404" s="26" t="s">
        <v>518</v>
      </c>
      <c r="F1404" s="25" t="s">
        <v>116</v>
      </c>
      <c r="G1404" s="42">
        <f>G1405</f>
        <v>40000000</v>
      </c>
      <c r="H1404" s="42">
        <f t="shared" ref="H1404:I1404" si="965">H1405</f>
        <v>17586290</v>
      </c>
      <c r="I1404" s="42">
        <f t="shared" si="965"/>
        <v>17586290</v>
      </c>
      <c r="J1404" s="16">
        <f>'БА в тыс. руб.'!G1404*1000</f>
        <v>40000000</v>
      </c>
      <c r="K1404" s="169">
        <f t="shared" si="940"/>
        <v>0</v>
      </c>
      <c r="L1404" s="16">
        <f>'БА в тыс. руб.'!H1404*1000</f>
        <v>17586290</v>
      </c>
      <c r="M1404" s="169">
        <f t="shared" si="941"/>
        <v>0</v>
      </c>
      <c r="N1404" s="16">
        <f>'БА в тыс. руб.'!I1404*1000</f>
        <v>17586290</v>
      </c>
      <c r="O1404" s="169">
        <f t="shared" si="942"/>
        <v>0</v>
      </c>
      <c r="P1404" s="16"/>
      <c r="Q1404" s="16"/>
      <c r="R1404" s="16"/>
      <c r="S1404" s="16"/>
      <c r="T1404" s="16"/>
      <c r="U1404" s="16"/>
    </row>
    <row r="1405" spans="1:21" s="4" customFormat="1" ht="25.5">
      <c r="A1405" s="12" t="s">
        <v>973</v>
      </c>
      <c r="B1405" s="26" t="s">
        <v>20</v>
      </c>
      <c r="C1405" s="26" t="s">
        <v>37</v>
      </c>
      <c r="D1405" s="26" t="s">
        <v>25</v>
      </c>
      <c r="E1405" s="26" t="s">
        <v>518</v>
      </c>
      <c r="F1405" s="25" t="s">
        <v>1043</v>
      </c>
      <c r="G1405" s="27">
        <f t="shared" ref="G1405" si="966">J1405</f>
        <v>40000000</v>
      </c>
      <c r="H1405" s="27">
        <f>L1405</f>
        <v>17586290</v>
      </c>
      <c r="I1405" s="27">
        <f>N1405</f>
        <v>17586290</v>
      </c>
      <c r="J1405" s="16">
        <f>'БА в тыс. руб.'!G1405*1000</f>
        <v>40000000</v>
      </c>
      <c r="K1405" s="169">
        <f t="shared" si="940"/>
        <v>0</v>
      </c>
      <c r="L1405" s="16">
        <f>'БА в тыс. руб.'!H1405*1000</f>
        <v>17586290</v>
      </c>
      <c r="M1405" s="169">
        <f t="shared" si="941"/>
        <v>0</v>
      </c>
      <c r="N1405" s="16">
        <f>'БА в тыс. руб.'!I1405*1000</f>
        <v>17586290</v>
      </c>
      <c r="O1405" s="169">
        <f t="shared" si="942"/>
        <v>0</v>
      </c>
      <c r="P1405" s="16"/>
      <c r="Q1405" s="16"/>
      <c r="R1405" s="16"/>
      <c r="S1405" s="16"/>
      <c r="T1405" s="16"/>
      <c r="U1405" s="16"/>
    </row>
    <row r="1406" spans="1:21" s="3" customFormat="1">
      <c r="A1406" s="11" t="s">
        <v>519</v>
      </c>
      <c r="B1406" s="26" t="s">
        <v>20</v>
      </c>
      <c r="C1406" s="26" t="s">
        <v>37</v>
      </c>
      <c r="D1406" s="26" t="s">
        <v>25</v>
      </c>
      <c r="E1406" s="26" t="s">
        <v>520</v>
      </c>
      <c r="F1406" s="25" t="s">
        <v>58</v>
      </c>
      <c r="G1406" s="42">
        <f>G1407</f>
        <v>0</v>
      </c>
      <c r="H1406" s="42">
        <f>H1407</f>
        <v>1350000</v>
      </c>
      <c r="I1406" s="42">
        <f>I1407</f>
        <v>1350000</v>
      </c>
      <c r="J1406" s="16">
        <f>'БА в тыс. руб.'!G1406*1000</f>
        <v>0</v>
      </c>
      <c r="K1406" s="169">
        <f t="shared" si="940"/>
        <v>0</v>
      </c>
      <c r="L1406" s="16">
        <f>'БА в тыс. руб.'!H1406*1000</f>
        <v>1350000</v>
      </c>
      <c r="M1406" s="169">
        <f t="shared" si="941"/>
        <v>0</v>
      </c>
      <c r="N1406" s="16">
        <f>'БА в тыс. руб.'!I1406*1000</f>
        <v>1350000</v>
      </c>
      <c r="O1406" s="169">
        <f t="shared" si="942"/>
        <v>0</v>
      </c>
      <c r="P1406" s="16"/>
      <c r="Q1406" s="16"/>
      <c r="R1406" s="16"/>
      <c r="S1406" s="16"/>
      <c r="T1406" s="16"/>
      <c r="U1406" s="16"/>
    </row>
    <row r="1407" spans="1:21" s="3" customFormat="1" ht="25.5">
      <c r="A1407" s="11" t="s">
        <v>108</v>
      </c>
      <c r="B1407" s="26" t="s">
        <v>20</v>
      </c>
      <c r="C1407" s="26" t="s">
        <v>37</v>
      </c>
      <c r="D1407" s="26" t="s">
        <v>25</v>
      </c>
      <c r="E1407" s="26" t="s">
        <v>520</v>
      </c>
      <c r="F1407" s="25" t="s">
        <v>116</v>
      </c>
      <c r="G1407" s="42">
        <f>G1408</f>
        <v>0</v>
      </c>
      <c r="H1407" s="42">
        <f t="shared" ref="H1407:I1407" si="967">H1408</f>
        <v>1350000</v>
      </c>
      <c r="I1407" s="42">
        <f t="shared" si="967"/>
        <v>1350000</v>
      </c>
      <c r="J1407" s="16">
        <f>'БА в тыс. руб.'!G1407*1000</f>
        <v>0</v>
      </c>
      <c r="K1407" s="169">
        <f t="shared" si="940"/>
        <v>0</v>
      </c>
      <c r="L1407" s="16">
        <f>'БА в тыс. руб.'!H1407*1000</f>
        <v>1350000</v>
      </c>
      <c r="M1407" s="169">
        <f t="shared" si="941"/>
        <v>0</v>
      </c>
      <c r="N1407" s="16">
        <f>'БА в тыс. руб.'!I1407*1000</f>
        <v>1350000</v>
      </c>
      <c r="O1407" s="169">
        <f t="shared" si="942"/>
        <v>0</v>
      </c>
      <c r="P1407" s="16"/>
      <c r="Q1407" s="16"/>
      <c r="R1407" s="16"/>
      <c r="S1407" s="16"/>
      <c r="T1407" s="16"/>
      <c r="U1407" s="16"/>
    </row>
    <row r="1408" spans="1:21" s="4" customFormat="1" ht="25.5">
      <c r="A1408" s="12" t="s">
        <v>973</v>
      </c>
      <c r="B1408" s="26" t="s">
        <v>20</v>
      </c>
      <c r="C1408" s="26" t="s">
        <v>37</v>
      </c>
      <c r="D1408" s="26" t="s">
        <v>25</v>
      </c>
      <c r="E1408" s="26" t="s">
        <v>520</v>
      </c>
      <c r="F1408" s="25" t="s">
        <v>1043</v>
      </c>
      <c r="G1408" s="27">
        <f t="shared" ref="G1408" si="968">J1408</f>
        <v>0</v>
      </c>
      <c r="H1408" s="27">
        <f>L1408</f>
        <v>1350000</v>
      </c>
      <c r="I1408" s="27">
        <f>N1408</f>
        <v>1350000</v>
      </c>
      <c r="J1408" s="16">
        <f>'БА в тыс. руб.'!G1408*1000</f>
        <v>0</v>
      </c>
      <c r="K1408" s="169">
        <f t="shared" si="940"/>
        <v>0</v>
      </c>
      <c r="L1408" s="16">
        <f>'БА в тыс. руб.'!H1408*1000</f>
        <v>1350000</v>
      </c>
      <c r="M1408" s="169">
        <f t="shared" si="941"/>
        <v>0</v>
      </c>
      <c r="N1408" s="16">
        <f>'БА в тыс. руб.'!I1408*1000</f>
        <v>1350000</v>
      </c>
      <c r="O1408" s="169">
        <f t="shared" si="942"/>
        <v>0</v>
      </c>
      <c r="P1408" s="16"/>
      <c r="Q1408" s="16"/>
      <c r="R1408" s="16"/>
      <c r="S1408" s="16"/>
      <c r="T1408" s="16"/>
      <c r="U1408" s="16"/>
    </row>
    <row r="1409" spans="1:21" s="3" customFormat="1" ht="25.5">
      <c r="A1409" s="11" t="s">
        <v>894</v>
      </c>
      <c r="B1409" s="26" t="s">
        <v>20</v>
      </c>
      <c r="C1409" s="26" t="s">
        <v>37</v>
      </c>
      <c r="D1409" s="26" t="s">
        <v>25</v>
      </c>
      <c r="E1409" s="26" t="s">
        <v>895</v>
      </c>
      <c r="F1409" s="25" t="s">
        <v>58</v>
      </c>
      <c r="G1409" s="42">
        <v>0</v>
      </c>
      <c r="H1409" s="42">
        <f t="shared" ref="H1409:I1410" si="969">H1410</f>
        <v>13566600</v>
      </c>
      <c r="I1409" s="42">
        <f t="shared" si="969"/>
        <v>13566600</v>
      </c>
      <c r="J1409" s="16">
        <f>'БА в тыс. руб.'!G1409*1000</f>
        <v>0</v>
      </c>
      <c r="K1409" s="169">
        <f t="shared" si="940"/>
        <v>0</v>
      </c>
      <c r="L1409" s="16">
        <f>'БА в тыс. руб.'!H1409*1000</f>
        <v>13566600</v>
      </c>
      <c r="M1409" s="169">
        <f t="shared" si="941"/>
        <v>0</v>
      </c>
      <c r="N1409" s="16">
        <f>'БА в тыс. руб.'!I1409*1000</f>
        <v>13566600</v>
      </c>
      <c r="O1409" s="169">
        <f t="shared" si="942"/>
        <v>0</v>
      </c>
      <c r="P1409" s="16"/>
      <c r="Q1409" s="16"/>
      <c r="R1409" s="16"/>
      <c r="S1409" s="16"/>
      <c r="T1409" s="16"/>
      <c r="U1409" s="16"/>
    </row>
    <row r="1410" spans="1:21" s="3" customFormat="1">
      <c r="A1410" s="11" t="s">
        <v>190</v>
      </c>
      <c r="B1410" s="26" t="s">
        <v>20</v>
      </c>
      <c r="C1410" s="26" t="s">
        <v>37</v>
      </c>
      <c r="D1410" s="26" t="s">
        <v>25</v>
      </c>
      <c r="E1410" s="26" t="s">
        <v>895</v>
      </c>
      <c r="F1410" s="25" t="s">
        <v>103</v>
      </c>
      <c r="G1410" s="42">
        <f>G1411</f>
        <v>0</v>
      </c>
      <c r="H1410" s="42">
        <f t="shared" si="969"/>
        <v>13566600</v>
      </c>
      <c r="I1410" s="42">
        <f t="shared" si="969"/>
        <v>13566600</v>
      </c>
      <c r="J1410" s="16">
        <f>'БА в тыс. руб.'!G1410*1000</f>
        <v>0</v>
      </c>
      <c r="K1410" s="169">
        <f t="shared" si="940"/>
        <v>0</v>
      </c>
      <c r="L1410" s="16">
        <f>'БА в тыс. руб.'!H1410*1000</f>
        <v>13566600</v>
      </c>
      <c r="M1410" s="169">
        <f t="shared" si="941"/>
        <v>0</v>
      </c>
      <c r="N1410" s="16">
        <f>'БА в тыс. руб.'!I1410*1000</f>
        <v>13566600</v>
      </c>
      <c r="O1410" s="169">
        <f t="shared" si="942"/>
        <v>0</v>
      </c>
      <c r="P1410" s="16"/>
      <c r="Q1410" s="16"/>
      <c r="R1410" s="16"/>
      <c r="S1410" s="16"/>
      <c r="T1410" s="16"/>
      <c r="U1410" s="16"/>
    </row>
    <row r="1411" spans="1:21" s="4" customFormat="1" ht="25.5">
      <c r="A1411" s="12" t="s">
        <v>987</v>
      </c>
      <c r="B1411" s="26" t="s">
        <v>20</v>
      </c>
      <c r="C1411" s="26" t="s">
        <v>37</v>
      </c>
      <c r="D1411" s="26" t="s">
        <v>25</v>
      </c>
      <c r="E1411" s="26" t="s">
        <v>895</v>
      </c>
      <c r="F1411" s="25" t="s">
        <v>1052</v>
      </c>
      <c r="G1411" s="27">
        <f t="shared" ref="G1411" si="970">J1411</f>
        <v>0</v>
      </c>
      <c r="H1411" s="27">
        <f>L1411</f>
        <v>13566600</v>
      </c>
      <c r="I1411" s="27">
        <f>N1411</f>
        <v>13566600</v>
      </c>
      <c r="J1411" s="16">
        <f>'БА в тыс. руб.'!G1411*1000</f>
        <v>0</v>
      </c>
      <c r="K1411" s="169">
        <f t="shared" si="940"/>
        <v>0</v>
      </c>
      <c r="L1411" s="16">
        <f>'БА в тыс. руб.'!H1411*1000</f>
        <v>13566600</v>
      </c>
      <c r="M1411" s="169">
        <f t="shared" si="941"/>
        <v>0</v>
      </c>
      <c r="N1411" s="16">
        <f>'БА в тыс. руб.'!I1411*1000</f>
        <v>13566600</v>
      </c>
      <c r="O1411" s="169">
        <f t="shared" si="942"/>
        <v>0</v>
      </c>
      <c r="P1411" s="16"/>
      <c r="Q1411" s="16"/>
      <c r="R1411" s="16"/>
      <c r="S1411" s="16"/>
      <c r="T1411" s="16"/>
      <c r="U1411" s="16"/>
    </row>
    <row r="1412" spans="1:21" s="3" customFormat="1" ht="63.75">
      <c r="A1412" s="11" t="s">
        <v>912</v>
      </c>
      <c r="B1412" s="25" t="s">
        <v>20</v>
      </c>
      <c r="C1412" s="26" t="s">
        <v>37</v>
      </c>
      <c r="D1412" s="26" t="s">
        <v>25</v>
      </c>
      <c r="E1412" s="43" t="s">
        <v>521</v>
      </c>
      <c r="F1412" s="25" t="s">
        <v>58</v>
      </c>
      <c r="G1412" s="42">
        <f>G1413</f>
        <v>20119440</v>
      </c>
      <c r="H1412" s="42">
        <f>H1413</f>
        <v>23087760</v>
      </c>
      <c r="I1412" s="42">
        <f>I1413</f>
        <v>23087760</v>
      </c>
      <c r="J1412" s="16">
        <f>'БА в тыс. руб.'!G1412*1000</f>
        <v>20119440</v>
      </c>
      <c r="K1412" s="169">
        <f t="shared" si="940"/>
        <v>0</v>
      </c>
      <c r="L1412" s="16">
        <f>'БА в тыс. руб.'!H1412*1000</f>
        <v>23087760</v>
      </c>
      <c r="M1412" s="169">
        <f t="shared" si="941"/>
        <v>0</v>
      </c>
      <c r="N1412" s="16">
        <f>'БА в тыс. руб.'!I1412*1000</f>
        <v>23087760</v>
      </c>
      <c r="O1412" s="169">
        <f t="shared" si="942"/>
        <v>0</v>
      </c>
      <c r="P1412" s="16"/>
      <c r="Q1412" s="16"/>
      <c r="R1412" s="16"/>
      <c r="S1412" s="16"/>
      <c r="T1412" s="16"/>
      <c r="U1412" s="16"/>
    </row>
    <row r="1413" spans="1:21" s="3" customFormat="1" ht="38.25">
      <c r="A1413" s="46" t="s">
        <v>561</v>
      </c>
      <c r="B1413" s="25" t="s">
        <v>20</v>
      </c>
      <c r="C1413" s="26" t="s">
        <v>37</v>
      </c>
      <c r="D1413" s="26" t="s">
        <v>25</v>
      </c>
      <c r="E1413" s="43" t="s">
        <v>521</v>
      </c>
      <c r="F1413" s="25" t="s">
        <v>101</v>
      </c>
      <c r="G1413" s="42">
        <f>G1414</f>
        <v>20119440</v>
      </c>
      <c r="H1413" s="42">
        <f t="shared" ref="H1413:I1413" si="971">H1414</f>
        <v>23087760</v>
      </c>
      <c r="I1413" s="42">
        <f t="shared" si="971"/>
        <v>23087760</v>
      </c>
      <c r="J1413" s="16">
        <f>'БА в тыс. руб.'!G1413*1000</f>
        <v>20119440</v>
      </c>
      <c r="K1413" s="169">
        <f t="shared" si="940"/>
        <v>0</v>
      </c>
      <c r="L1413" s="16">
        <f>'БА в тыс. руб.'!H1413*1000</f>
        <v>23087760</v>
      </c>
      <c r="M1413" s="169">
        <f t="shared" si="941"/>
        <v>0</v>
      </c>
      <c r="N1413" s="16">
        <f>'БА в тыс. руб.'!I1413*1000</f>
        <v>23087760</v>
      </c>
      <c r="O1413" s="169">
        <f t="shared" si="942"/>
        <v>0</v>
      </c>
      <c r="P1413" s="16"/>
      <c r="Q1413" s="16"/>
      <c r="R1413" s="16"/>
      <c r="S1413" s="16"/>
      <c r="T1413" s="16"/>
      <c r="U1413" s="16"/>
    </row>
    <row r="1414" spans="1:21" s="4" customFormat="1" ht="51">
      <c r="A1414" s="12" t="s">
        <v>1047</v>
      </c>
      <c r="B1414" s="25" t="s">
        <v>20</v>
      </c>
      <c r="C1414" s="26" t="s">
        <v>37</v>
      </c>
      <c r="D1414" s="26" t="s">
        <v>25</v>
      </c>
      <c r="E1414" s="43" t="s">
        <v>521</v>
      </c>
      <c r="F1414" s="25" t="s">
        <v>1050</v>
      </c>
      <c r="G1414" s="27">
        <f t="shared" ref="G1414" si="972">J1414</f>
        <v>20119440</v>
      </c>
      <c r="H1414" s="27">
        <f>L1414</f>
        <v>23087760</v>
      </c>
      <c r="I1414" s="27">
        <f>N1414</f>
        <v>23087760</v>
      </c>
      <c r="J1414" s="16">
        <f>'БА в тыс. руб.'!G1414*1000</f>
        <v>20119440</v>
      </c>
      <c r="K1414" s="169">
        <f t="shared" si="940"/>
        <v>0</v>
      </c>
      <c r="L1414" s="16">
        <f>'БА в тыс. руб.'!H1414*1000</f>
        <v>23087760</v>
      </c>
      <c r="M1414" s="169">
        <f t="shared" si="941"/>
        <v>0</v>
      </c>
      <c r="N1414" s="16">
        <f>'БА в тыс. руб.'!I1414*1000</f>
        <v>23087760</v>
      </c>
      <c r="O1414" s="169">
        <f t="shared" si="942"/>
        <v>0</v>
      </c>
      <c r="P1414" s="16"/>
      <c r="Q1414" s="16"/>
      <c r="R1414" s="16"/>
      <c r="S1414" s="16"/>
      <c r="T1414" s="16"/>
      <c r="U1414" s="16"/>
    </row>
    <row r="1415" spans="1:21" s="3" customFormat="1" ht="38.25">
      <c r="A1415" s="11" t="s">
        <v>913</v>
      </c>
      <c r="B1415" s="25" t="s">
        <v>20</v>
      </c>
      <c r="C1415" s="26" t="s">
        <v>37</v>
      </c>
      <c r="D1415" s="26" t="s">
        <v>25</v>
      </c>
      <c r="E1415" s="43" t="s">
        <v>691</v>
      </c>
      <c r="F1415" s="25" t="s">
        <v>58</v>
      </c>
      <c r="G1415" s="42">
        <f>G1416</f>
        <v>11640210</v>
      </c>
      <c r="H1415" s="42">
        <f>H1416</f>
        <v>0</v>
      </c>
      <c r="I1415" s="42">
        <f>I1416</f>
        <v>0</v>
      </c>
      <c r="J1415" s="16">
        <f>'БА в тыс. руб.'!G1415*1000</f>
        <v>11640210</v>
      </c>
      <c r="K1415" s="169">
        <f t="shared" si="940"/>
        <v>0</v>
      </c>
      <c r="L1415" s="16">
        <f>'БА в тыс. руб.'!H1415*1000</f>
        <v>0</v>
      </c>
      <c r="M1415" s="169">
        <f t="shared" si="941"/>
        <v>0</v>
      </c>
      <c r="N1415" s="16">
        <f>'БА в тыс. руб.'!I1415*1000</f>
        <v>0</v>
      </c>
      <c r="O1415" s="169">
        <f t="shared" si="942"/>
        <v>0</v>
      </c>
      <c r="P1415" s="16"/>
      <c r="Q1415" s="16"/>
      <c r="R1415" s="16"/>
      <c r="S1415" s="16"/>
      <c r="T1415" s="16"/>
      <c r="U1415" s="16"/>
    </row>
    <row r="1416" spans="1:21" s="3" customFormat="1" ht="25.5">
      <c r="A1416" s="11" t="s">
        <v>108</v>
      </c>
      <c r="B1416" s="25" t="s">
        <v>20</v>
      </c>
      <c r="C1416" s="26" t="s">
        <v>37</v>
      </c>
      <c r="D1416" s="26" t="s">
        <v>25</v>
      </c>
      <c r="E1416" s="43" t="s">
        <v>691</v>
      </c>
      <c r="F1416" s="25" t="s">
        <v>116</v>
      </c>
      <c r="G1416" s="42">
        <f>G1417</f>
        <v>11640210</v>
      </c>
      <c r="H1416" s="42">
        <f t="shared" ref="H1416:I1416" si="973">H1417</f>
        <v>0</v>
      </c>
      <c r="I1416" s="42">
        <f t="shared" si="973"/>
        <v>0</v>
      </c>
      <c r="J1416" s="16">
        <f>'БА в тыс. руб.'!G1416*1000</f>
        <v>11640210</v>
      </c>
      <c r="K1416" s="169">
        <f t="shared" si="940"/>
        <v>0</v>
      </c>
      <c r="L1416" s="16">
        <f>'БА в тыс. руб.'!H1416*1000</f>
        <v>0</v>
      </c>
      <c r="M1416" s="169">
        <f t="shared" si="941"/>
        <v>0</v>
      </c>
      <c r="N1416" s="16">
        <f>'БА в тыс. руб.'!I1416*1000</f>
        <v>0</v>
      </c>
      <c r="O1416" s="169">
        <f t="shared" si="942"/>
        <v>0</v>
      </c>
      <c r="P1416" s="16"/>
      <c r="Q1416" s="16"/>
      <c r="R1416" s="16"/>
      <c r="S1416" s="16"/>
      <c r="T1416" s="16"/>
      <c r="U1416" s="16"/>
    </row>
    <row r="1417" spans="1:21" s="4" customFormat="1" ht="25.5">
      <c r="A1417" s="12" t="s">
        <v>973</v>
      </c>
      <c r="B1417" s="25" t="s">
        <v>20</v>
      </c>
      <c r="C1417" s="26" t="s">
        <v>37</v>
      </c>
      <c r="D1417" s="26" t="s">
        <v>25</v>
      </c>
      <c r="E1417" s="43" t="s">
        <v>691</v>
      </c>
      <c r="F1417" s="25" t="s">
        <v>1043</v>
      </c>
      <c r="G1417" s="27">
        <f t="shared" ref="G1417" si="974">J1417</f>
        <v>11640210</v>
      </c>
      <c r="H1417" s="27">
        <f>L1417</f>
        <v>0</v>
      </c>
      <c r="I1417" s="27">
        <f>N1417</f>
        <v>0</v>
      </c>
      <c r="J1417" s="16">
        <f>'БА в тыс. руб.'!G1417*1000</f>
        <v>11640210</v>
      </c>
      <c r="K1417" s="169">
        <f t="shared" si="940"/>
        <v>0</v>
      </c>
      <c r="L1417" s="16">
        <f>'БА в тыс. руб.'!H1417*1000</f>
        <v>0</v>
      </c>
      <c r="M1417" s="169">
        <f t="shared" si="941"/>
        <v>0</v>
      </c>
      <c r="N1417" s="16">
        <f>'БА в тыс. руб.'!I1417*1000</f>
        <v>0</v>
      </c>
      <c r="O1417" s="169">
        <f t="shared" si="942"/>
        <v>0</v>
      </c>
      <c r="P1417" s="16"/>
      <c r="Q1417" s="16"/>
      <c r="R1417" s="16"/>
      <c r="S1417" s="16"/>
      <c r="T1417" s="16"/>
      <c r="U1417" s="16"/>
    </row>
    <row r="1418" spans="1:21" s="3" customFormat="1" ht="51">
      <c r="A1418" s="11" t="s">
        <v>914</v>
      </c>
      <c r="B1418" s="25" t="s">
        <v>20</v>
      </c>
      <c r="C1418" s="26" t="s">
        <v>37</v>
      </c>
      <c r="D1418" s="26" t="s">
        <v>25</v>
      </c>
      <c r="E1418" s="43" t="s">
        <v>692</v>
      </c>
      <c r="F1418" s="25" t="s">
        <v>58</v>
      </c>
      <c r="G1418" s="42">
        <f>G1419</f>
        <v>1746030</v>
      </c>
      <c r="H1418" s="42">
        <f>H1419</f>
        <v>0</v>
      </c>
      <c r="I1418" s="42">
        <f>I1419</f>
        <v>0</v>
      </c>
      <c r="J1418" s="16">
        <f>'БА в тыс. руб.'!G1418*1000</f>
        <v>1746030</v>
      </c>
      <c r="K1418" s="169">
        <f t="shared" si="940"/>
        <v>0</v>
      </c>
      <c r="L1418" s="16">
        <f>'БА в тыс. руб.'!H1418*1000</f>
        <v>0</v>
      </c>
      <c r="M1418" s="169">
        <f t="shared" si="941"/>
        <v>0</v>
      </c>
      <c r="N1418" s="16">
        <f>'БА в тыс. руб.'!I1418*1000</f>
        <v>0</v>
      </c>
      <c r="O1418" s="169">
        <f t="shared" si="942"/>
        <v>0</v>
      </c>
      <c r="P1418" s="16"/>
      <c r="Q1418" s="16"/>
      <c r="R1418" s="16"/>
      <c r="S1418" s="16"/>
      <c r="T1418" s="16"/>
      <c r="U1418" s="16"/>
    </row>
    <row r="1419" spans="1:21" s="3" customFormat="1" ht="25.5">
      <c r="A1419" s="11" t="s">
        <v>108</v>
      </c>
      <c r="B1419" s="25" t="s">
        <v>20</v>
      </c>
      <c r="C1419" s="26" t="s">
        <v>37</v>
      </c>
      <c r="D1419" s="26" t="s">
        <v>25</v>
      </c>
      <c r="E1419" s="43" t="s">
        <v>692</v>
      </c>
      <c r="F1419" s="25" t="s">
        <v>116</v>
      </c>
      <c r="G1419" s="42">
        <f>G1420</f>
        <v>1746030</v>
      </c>
      <c r="H1419" s="42">
        <f t="shared" ref="H1419:I1419" si="975">H1420</f>
        <v>0</v>
      </c>
      <c r="I1419" s="42">
        <f t="shared" si="975"/>
        <v>0</v>
      </c>
      <c r="J1419" s="16">
        <f>'БА в тыс. руб.'!G1419*1000</f>
        <v>1746030</v>
      </c>
      <c r="K1419" s="169">
        <f t="shared" ref="K1419:K1482" si="976">J1419-G1419</f>
        <v>0</v>
      </c>
      <c r="L1419" s="16">
        <f>'БА в тыс. руб.'!H1419*1000</f>
        <v>0</v>
      </c>
      <c r="M1419" s="169">
        <f t="shared" ref="M1419:M1482" si="977">L1419-H1419</f>
        <v>0</v>
      </c>
      <c r="N1419" s="16">
        <f>'БА в тыс. руб.'!I1419*1000</f>
        <v>0</v>
      </c>
      <c r="O1419" s="169">
        <f t="shared" ref="O1419:O1482" si="978">N1419-I1419</f>
        <v>0</v>
      </c>
      <c r="P1419" s="16"/>
      <c r="Q1419" s="16"/>
      <c r="R1419" s="16"/>
      <c r="S1419" s="16"/>
      <c r="T1419" s="16"/>
      <c r="U1419" s="16"/>
    </row>
    <row r="1420" spans="1:21" s="4" customFormat="1" ht="25.5">
      <c r="A1420" s="12" t="s">
        <v>973</v>
      </c>
      <c r="B1420" s="25" t="s">
        <v>20</v>
      </c>
      <c r="C1420" s="26" t="s">
        <v>37</v>
      </c>
      <c r="D1420" s="26" t="s">
        <v>25</v>
      </c>
      <c r="E1420" s="43" t="s">
        <v>692</v>
      </c>
      <c r="F1420" s="25" t="s">
        <v>1043</v>
      </c>
      <c r="G1420" s="27">
        <f t="shared" ref="G1420" si="979">J1420</f>
        <v>1746030</v>
      </c>
      <c r="H1420" s="27">
        <f>L1420</f>
        <v>0</v>
      </c>
      <c r="I1420" s="27">
        <f>N1420</f>
        <v>0</v>
      </c>
      <c r="J1420" s="16">
        <f>'БА в тыс. руб.'!G1420*1000</f>
        <v>1746030</v>
      </c>
      <c r="K1420" s="169">
        <f t="shared" si="976"/>
        <v>0</v>
      </c>
      <c r="L1420" s="16">
        <f>'БА в тыс. руб.'!H1420*1000</f>
        <v>0</v>
      </c>
      <c r="M1420" s="169">
        <f t="shared" si="977"/>
        <v>0</v>
      </c>
      <c r="N1420" s="16">
        <f>'БА в тыс. руб.'!I1420*1000</f>
        <v>0</v>
      </c>
      <c r="O1420" s="169">
        <f t="shared" si="978"/>
        <v>0</v>
      </c>
      <c r="P1420" s="16"/>
      <c r="Q1420" s="16"/>
      <c r="R1420" s="16"/>
      <c r="S1420" s="16"/>
      <c r="T1420" s="16"/>
      <c r="U1420" s="16"/>
    </row>
    <row r="1421" spans="1:21" s="3" customFormat="1" ht="25.5">
      <c r="A1421" s="11" t="s">
        <v>653</v>
      </c>
      <c r="B1421" s="26" t="s">
        <v>20</v>
      </c>
      <c r="C1421" s="26" t="s">
        <v>37</v>
      </c>
      <c r="D1421" s="26" t="s">
        <v>25</v>
      </c>
      <c r="E1421" s="26" t="s">
        <v>650</v>
      </c>
      <c r="F1421" s="25" t="s">
        <v>58</v>
      </c>
      <c r="G1421" s="42">
        <f>G1422+G1425</f>
        <v>44245659.999999993</v>
      </c>
      <c r="H1421" s="42">
        <f>H1422+H1425</f>
        <v>39024610</v>
      </c>
      <c r="I1421" s="42">
        <f>I1422+I1425</f>
        <v>39024610</v>
      </c>
      <c r="J1421" s="16">
        <f>'БА в тыс. руб.'!G1421*1000</f>
        <v>44245659.999999993</v>
      </c>
      <c r="K1421" s="169">
        <f t="shared" si="976"/>
        <v>0</v>
      </c>
      <c r="L1421" s="16">
        <f>'БА в тыс. руб.'!H1421*1000</f>
        <v>39024610</v>
      </c>
      <c r="M1421" s="169">
        <f t="shared" si="977"/>
        <v>0</v>
      </c>
      <c r="N1421" s="16">
        <f>'БА в тыс. руб.'!I1421*1000</f>
        <v>39024610</v>
      </c>
      <c r="O1421" s="169">
        <f t="shared" si="978"/>
        <v>0</v>
      </c>
      <c r="P1421" s="16"/>
      <c r="Q1421" s="16"/>
      <c r="R1421" s="16"/>
      <c r="S1421" s="16"/>
      <c r="T1421" s="16"/>
      <c r="U1421" s="16"/>
    </row>
    <row r="1422" spans="1:21" s="3" customFormat="1" ht="38.25">
      <c r="A1422" s="11" t="s">
        <v>187</v>
      </c>
      <c r="B1422" s="26" t="s">
        <v>20</v>
      </c>
      <c r="C1422" s="26" t="s">
        <v>37</v>
      </c>
      <c r="D1422" s="26" t="s">
        <v>25</v>
      </c>
      <c r="E1422" s="26" t="s">
        <v>651</v>
      </c>
      <c r="F1422" s="25" t="s">
        <v>58</v>
      </c>
      <c r="G1422" s="42">
        <f>G1423</f>
        <v>44245659.999999993</v>
      </c>
      <c r="H1422" s="42">
        <f>H1423</f>
        <v>37921910</v>
      </c>
      <c r="I1422" s="42">
        <f>I1423</f>
        <v>37921910</v>
      </c>
      <c r="J1422" s="16">
        <f>'БА в тыс. руб.'!G1422*1000</f>
        <v>44245659.999999993</v>
      </c>
      <c r="K1422" s="169">
        <f t="shared" si="976"/>
        <v>0</v>
      </c>
      <c r="L1422" s="16">
        <f>'БА в тыс. руб.'!H1422*1000</f>
        <v>37921910</v>
      </c>
      <c r="M1422" s="169">
        <f t="shared" si="977"/>
        <v>0</v>
      </c>
      <c r="N1422" s="16">
        <f>'БА в тыс. руб.'!I1422*1000</f>
        <v>37921910</v>
      </c>
      <c r="O1422" s="169">
        <f t="shared" si="978"/>
        <v>0</v>
      </c>
      <c r="P1422" s="16"/>
      <c r="Q1422" s="16"/>
      <c r="R1422" s="16"/>
      <c r="S1422" s="16"/>
      <c r="T1422" s="16"/>
      <c r="U1422" s="16"/>
    </row>
    <row r="1423" spans="1:21" s="3" customFormat="1" ht="25.5">
      <c r="A1423" s="11" t="s">
        <v>108</v>
      </c>
      <c r="B1423" s="26" t="s">
        <v>20</v>
      </c>
      <c r="C1423" s="26" t="s">
        <v>37</v>
      </c>
      <c r="D1423" s="26" t="s">
        <v>25</v>
      </c>
      <c r="E1423" s="26" t="s">
        <v>651</v>
      </c>
      <c r="F1423" s="25" t="s">
        <v>116</v>
      </c>
      <c r="G1423" s="42">
        <f>G1424</f>
        <v>44245659.999999993</v>
      </c>
      <c r="H1423" s="42">
        <f t="shared" ref="H1423:I1423" si="980">H1424</f>
        <v>37921910</v>
      </c>
      <c r="I1423" s="42">
        <f t="shared" si="980"/>
        <v>37921910</v>
      </c>
      <c r="J1423" s="16">
        <f>'БА в тыс. руб.'!G1423*1000</f>
        <v>44245659.999999993</v>
      </c>
      <c r="K1423" s="169">
        <f t="shared" si="976"/>
        <v>0</v>
      </c>
      <c r="L1423" s="16">
        <f>'БА в тыс. руб.'!H1423*1000</f>
        <v>37921910</v>
      </c>
      <c r="M1423" s="169">
        <f t="shared" si="977"/>
        <v>0</v>
      </c>
      <c r="N1423" s="16">
        <f>'БА в тыс. руб.'!I1423*1000</f>
        <v>37921910</v>
      </c>
      <c r="O1423" s="169">
        <f t="shared" si="978"/>
        <v>0</v>
      </c>
      <c r="P1423" s="16"/>
      <c r="Q1423" s="16"/>
      <c r="R1423" s="16"/>
      <c r="S1423" s="16"/>
      <c r="T1423" s="16"/>
      <c r="U1423" s="16"/>
    </row>
    <row r="1424" spans="1:21" s="4" customFormat="1" ht="25.5">
      <c r="A1424" s="12" t="s">
        <v>973</v>
      </c>
      <c r="B1424" s="26" t="s">
        <v>20</v>
      </c>
      <c r="C1424" s="26" t="s">
        <v>37</v>
      </c>
      <c r="D1424" s="26" t="s">
        <v>25</v>
      </c>
      <c r="E1424" s="26" t="s">
        <v>651</v>
      </c>
      <c r="F1424" s="25" t="s">
        <v>1043</v>
      </c>
      <c r="G1424" s="27">
        <f t="shared" ref="G1424" si="981">J1424</f>
        <v>44245659.999999993</v>
      </c>
      <c r="H1424" s="27">
        <f>L1424</f>
        <v>37921910</v>
      </c>
      <c r="I1424" s="27">
        <f>N1424</f>
        <v>37921910</v>
      </c>
      <c r="J1424" s="16">
        <f>'БА в тыс. руб.'!G1424*1000</f>
        <v>44245659.999999993</v>
      </c>
      <c r="K1424" s="169">
        <f t="shared" si="976"/>
        <v>0</v>
      </c>
      <c r="L1424" s="16">
        <f>'БА в тыс. руб.'!H1424*1000</f>
        <v>37921910</v>
      </c>
      <c r="M1424" s="169">
        <f t="shared" si="977"/>
        <v>0</v>
      </c>
      <c r="N1424" s="16">
        <f>'БА в тыс. руб.'!I1424*1000</f>
        <v>37921910</v>
      </c>
      <c r="O1424" s="169">
        <f t="shared" si="978"/>
        <v>0</v>
      </c>
      <c r="P1424" s="16"/>
      <c r="Q1424" s="16"/>
      <c r="R1424" s="16"/>
      <c r="S1424" s="16"/>
      <c r="T1424" s="16"/>
      <c r="U1424" s="16"/>
    </row>
    <row r="1425" spans="1:21" s="3" customFormat="1" ht="76.5">
      <c r="A1425" s="32" t="s">
        <v>590</v>
      </c>
      <c r="B1425" s="26" t="s">
        <v>20</v>
      </c>
      <c r="C1425" s="26" t="s">
        <v>37</v>
      </c>
      <c r="D1425" s="26" t="s">
        <v>25</v>
      </c>
      <c r="E1425" s="26" t="s">
        <v>652</v>
      </c>
      <c r="F1425" s="25" t="s">
        <v>58</v>
      </c>
      <c r="G1425" s="42">
        <f>G1426</f>
        <v>0</v>
      </c>
      <c r="H1425" s="42">
        <f>H1426</f>
        <v>1102700</v>
      </c>
      <c r="I1425" s="42">
        <f>I1426</f>
        <v>1102700</v>
      </c>
      <c r="J1425" s="16">
        <f>'БА в тыс. руб.'!G1425*1000</f>
        <v>0</v>
      </c>
      <c r="K1425" s="169">
        <f t="shared" si="976"/>
        <v>0</v>
      </c>
      <c r="L1425" s="16">
        <f>'БА в тыс. руб.'!H1425*1000</f>
        <v>1102700</v>
      </c>
      <c r="M1425" s="169">
        <f t="shared" si="977"/>
        <v>0</v>
      </c>
      <c r="N1425" s="16">
        <f>'БА в тыс. руб.'!I1425*1000</f>
        <v>1102700</v>
      </c>
      <c r="O1425" s="169">
        <f t="shared" si="978"/>
        <v>0</v>
      </c>
      <c r="P1425" s="16"/>
      <c r="Q1425" s="16"/>
      <c r="R1425" s="16"/>
      <c r="S1425" s="16"/>
      <c r="T1425" s="16"/>
      <c r="U1425" s="16"/>
    </row>
    <row r="1426" spans="1:21" s="3" customFormat="1" ht="25.5">
      <c r="A1426" s="11" t="s">
        <v>108</v>
      </c>
      <c r="B1426" s="26" t="s">
        <v>20</v>
      </c>
      <c r="C1426" s="26" t="s">
        <v>37</v>
      </c>
      <c r="D1426" s="26" t="s">
        <v>25</v>
      </c>
      <c r="E1426" s="26" t="s">
        <v>652</v>
      </c>
      <c r="F1426" s="25" t="s">
        <v>116</v>
      </c>
      <c r="G1426" s="42">
        <f>G1427</f>
        <v>0</v>
      </c>
      <c r="H1426" s="42">
        <f t="shared" ref="H1426:I1426" si="982">H1427</f>
        <v>1102700</v>
      </c>
      <c r="I1426" s="42">
        <f t="shared" si="982"/>
        <v>1102700</v>
      </c>
      <c r="J1426" s="16">
        <f>'БА в тыс. руб.'!G1426*1000</f>
        <v>0</v>
      </c>
      <c r="K1426" s="169">
        <f t="shared" si="976"/>
        <v>0</v>
      </c>
      <c r="L1426" s="16">
        <f>'БА в тыс. руб.'!H1426*1000</f>
        <v>1102700</v>
      </c>
      <c r="M1426" s="169">
        <f t="shared" si="977"/>
        <v>0</v>
      </c>
      <c r="N1426" s="16">
        <f>'БА в тыс. руб.'!I1426*1000</f>
        <v>1102700</v>
      </c>
      <c r="O1426" s="169">
        <f t="shared" si="978"/>
        <v>0</v>
      </c>
      <c r="P1426" s="16"/>
      <c r="Q1426" s="16"/>
      <c r="R1426" s="16"/>
      <c r="S1426" s="16"/>
      <c r="T1426" s="16"/>
      <c r="U1426" s="16"/>
    </row>
    <row r="1427" spans="1:21" s="4" customFormat="1" ht="25.5">
      <c r="A1427" s="12" t="s">
        <v>973</v>
      </c>
      <c r="B1427" s="26" t="s">
        <v>20</v>
      </c>
      <c r="C1427" s="26" t="s">
        <v>37</v>
      </c>
      <c r="D1427" s="26" t="s">
        <v>25</v>
      </c>
      <c r="E1427" s="26" t="s">
        <v>652</v>
      </c>
      <c r="F1427" s="25" t="s">
        <v>1043</v>
      </c>
      <c r="G1427" s="27">
        <f t="shared" ref="G1427" si="983">J1427</f>
        <v>0</v>
      </c>
      <c r="H1427" s="27">
        <f>L1427</f>
        <v>1102700</v>
      </c>
      <c r="I1427" s="27">
        <f>N1427</f>
        <v>1102700</v>
      </c>
      <c r="J1427" s="16">
        <f>'БА в тыс. руб.'!G1427*1000</f>
        <v>0</v>
      </c>
      <c r="K1427" s="169">
        <f t="shared" si="976"/>
        <v>0</v>
      </c>
      <c r="L1427" s="16">
        <f>'БА в тыс. руб.'!H1427*1000</f>
        <v>1102700</v>
      </c>
      <c r="M1427" s="169">
        <f t="shared" si="977"/>
        <v>0</v>
      </c>
      <c r="N1427" s="16">
        <f>'БА в тыс. руб.'!I1427*1000</f>
        <v>1102700</v>
      </c>
      <c r="O1427" s="169">
        <f t="shared" si="978"/>
        <v>0</v>
      </c>
      <c r="P1427" s="16"/>
      <c r="Q1427" s="16"/>
      <c r="R1427" s="16"/>
      <c r="S1427" s="16"/>
      <c r="T1427" s="16"/>
      <c r="U1427" s="16"/>
    </row>
    <row r="1428" spans="1:21" s="3" customFormat="1">
      <c r="A1428" s="17" t="s">
        <v>7</v>
      </c>
      <c r="B1428" s="18" t="s">
        <v>20</v>
      </c>
      <c r="C1428" s="19" t="s">
        <v>8</v>
      </c>
      <c r="D1428" s="19" t="s">
        <v>51</v>
      </c>
      <c r="E1428" s="19" t="s">
        <v>196</v>
      </c>
      <c r="F1428" s="19" t="s">
        <v>58</v>
      </c>
      <c r="G1428" s="20">
        <f>G1429+G1436+G1443+G1481</f>
        <v>292259120</v>
      </c>
      <c r="H1428" s="20">
        <f>H1429+H1436+H1443+H1481</f>
        <v>268902200</v>
      </c>
      <c r="I1428" s="20">
        <f>I1429+I1436+I1443+I1481</f>
        <v>268902200</v>
      </c>
      <c r="J1428" s="16">
        <f>'БА в тыс. руб.'!G1428*1000</f>
        <v>292259120</v>
      </c>
      <c r="K1428" s="169">
        <f t="shared" si="976"/>
        <v>0</v>
      </c>
      <c r="L1428" s="16">
        <f>'БА в тыс. руб.'!H1428*1000</f>
        <v>268902199.99999994</v>
      </c>
      <c r="M1428" s="169">
        <f t="shared" si="977"/>
        <v>0</v>
      </c>
      <c r="N1428" s="16">
        <f>'БА в тыс. руб.'!I1428*1000</f>
        <v>268902199.99999994</v>
      </c>
      <c r="O1428" s="169">
        <f t="shared" si="978"/>
        <v>0</v>
      </c>
      <c r="P1428" s="16"/>
      <c r="Q1428" s="16"/>
      <c r="R1428" s="16"/>
      <c r="S1428" s="16"/>
      <c r="T1428" s="16"/>
      <c r="U1428" s="16"/>
    </row>
    <row r="1429" spans="1:21" s="3" customFormat="1">
      <c r="A1429" s="21" t="s">
        <v>9</v>
      </c>
      <c r="B1429" s="22" t="s">
        <v>20</v>
      </c>
      <c r="C1429" s="23" t="s">
        <v>8</v>
      </c>
      <c r="D1429" s="23" t="s">
        <v>65</v>
      </c>
      <c r="E1429" s="23" t="s">
        <v>196</v>
      </c>
      <c r="F1429" s="23" t="s">
        <v>58</v>
      </c>
      <c r="G1429" s="24">
        <f t="shared" ref="G1429:I1434" si="984">G1430</f>
        <v>90000</v>
      </c>
      <c r="H1429" s="24">
        <f t="shared" si="984"/>
        <v>90000</v>
      </c>
      <c r="I1429" s="24">
        <f t="shared" si="984"/>
        <v>90000</v>
      </c>
      <c r="J1429" s="16">
        <f>'БА в тыс. руб.'!G1429*1000</f>
        <v>90000</v>
      </c>
      <c r="K1429" s="169">
        <f t="shared" si="976"/>
        <v>0</v>
      </c>
      <c r="L1429" s="16">
        <f>'БА в тыс. руб.'!H1429*1000</f>
        <v>90000</v>
      </c>
      <c r="M1429" s="169">
        <f t="shared" si="977"/>
        <v>0</v>
      </c>
      <c r="N1429" s="16">
        <f>'БА в тыс. руб.'!I1429*1000</f>
        <v>90000</v>
      </c>
      <c r="O1429" s="169">
        <f t="shared" si="978"/>
        <v>0</v>
      </c>
      <c r="P1429" s="16"/>
      <c r="Q1429" s="16"/>
      <c r="R1429" s="16"/>
      <c r="S1429" s="16"/>
      <c r="T1429" s="16"/>
      <c r="U1429" s="16"/>
    </row>
    <row r="1430" spans="1:21" s="3" customFormat="1" ht="38.25">
      <c r="A1430" s="12" t="s">
        <v>722</v>
      </c>
      <c r="B1430" s="25" t="s">
        <v>20</v>
      </c>
      <c r="C1430" s="26" t="s">
        <v>8</v>
      </c>
      <c r="D1430" s="26" t="s">
        <v>65</v>
      </c>
      <c r="E1430" s="43" t="s">
        <v>300</v>
      </c>
      <c r="F1430" s="26" t="s">
        <v>58</v>
      </c>
      <c r="G1430" s="42">
        <f t="shared" si="984"/>
        <v>90000</v>
      </c>
      <c r="H1430" s="42">
        <f>H1431</f>
        <v>90000</v>
      </c>
      <c r="I1430" s="42">
        <f>I1431</f>
        <v>90000</v>
      </c>
      <c r="J1430" s="16">
        <f>'БА в тыс. руб.'!G1430*1000</f>
        <v>90000</v>
      </c>
      <c r="K1430" s="169">
        <f t="shared" si="976"/>
        <v>0</v>
      </c>
      <c r="L1430" s="16">
        <f>'БА в тыс. руб.'!H1430*1000</f>
        <v>90000</v>
      </c>
      <c r="M1430" s="169">
        <f t="shared" si="977"/>
        <v>0</v>
      </c>
      <c r="N1430" s="16">
        <f>'БА в тыс. руб.'!I1430*1000</f>
        <v>90000</v>
      </c>
      <c r="O1430" s="169">
        <f t="shared" si="978"/>
        <v>0</v>
      </c>
      <c r="P1430" s="16"/>
      <c r="Q1430" s="16"/>
      <c r="R1430" s="16"/>
      <c r="S1430" s="16"/>
      <c r="T1430" s="16"/>
      <c r="U1430" s="16"/>
    </row>
    <row r="1431" spans="1:21" s="3" customFormat="1" ht="25.5">
      <c r="A1431" s="11" t="s">
        <v>155</v>
      </c>
      <c r="B1431" s="25" t="s">
        <v>20</v>
      </c>
      <c r="C1431" s="26" t="s">
        <v>8</v>
      </c>
      <c r="D1431" s="26" t="s">
        <v>65</v>
      </c>
      <c r="E1431" s="43" t="s">
        <v>495</v>
      </c>
      <c r="F1431" s="26" t="s">
        <v>58</v>
      </c>
      <c r="G1431" s="42">
        <f t="shared" si="984"/>
        <v>90000</v>
      </c>
      <c r="H1431" s="42">
        <f>H1432</f>
        <v>90000</v>
      </c>
      <c r="I1431" s="42">
        <f>I1432</f>
        <v>90000</v>
      </c>
      <c r="J1431" s="16">
        <f>'БА в тыс. руб.'!G1431*1000</f>
        <v>90000</v>
      </c>
      <c r="K1431" s="169">
        <f t="shared" si="976"/>
        <v>0</v>
      </c>
      <c r="L1431" s="16">
        <f>'БА в тыс. руб.'!H1431*1000</f>
        <v>90000</v>
      </c>
      <c r="M1431" s="169">
        <f t="shared" si="977"/>
        <v>0</v>
      </c>
      <c r="N1431" s="16">
        <f>'БА в тыс. руб.'!I1431*1000</f>
        <v>90000</v>
      </c>
      <c r="O1431" s="169">
        <f t="shared" si="978"/>
        <v>0</v>
      </c>
      <c r="P1431" s="16"/>
      <c r="Q1431" s="16"/>
      <c r="R1431" s="16"/>
      <c r="S1431" s="16"/>
      <c r="T1431" s="16"/>
      <c r="U1431" s="16"/>
    </row>
    <row r="1432" spans="1:21" s="3" customFormat="1" ht="38.25">
      <c r="A1432" s="11" t="s">
        <v>522</v>
      </c>
      <c r="B1432" s="25" t="s">
        <v>20</v>
      </c>
      <c r="C1432" s="26" t="s">
        <v>8</v>
      </c>
      <c r="D1432" s="26" t="s">
        <v>65</v>
      </c>
      <c r="E1432" s="43" t="s">
        <v>497</v>
      </c>
      <c r="F1432" s="26" t="s">
        <v>58</v>
      </c>
      <c r="G1432" s="42">
        <f t="shared" si="984"/>
        <v>90000</v>
      </c>
      <c r="H1432" s="42">
        <f t="shared" si="984"/>
        <v>90000</v>
      </c>
      <c r="I1432" s="42">
        <f t="shared" si="984"/>
        <v>90000</v>
      </c>
      <c r="J1432" s="16">
        <f>'БА в тыс. руб.'!G1432*1000</f>
        <v>90000</v>
      </c>
      <c r="K1432" s="169">
        <f t="shared" si="976"/>
        <v>0</v>
      </c>
      <c r="L1432" s="16">
        <f>'БА в тыс. руб.'!H1432*1000</f>
        <v>90000</v>
      </c>
      <c r="M1432" s="169">
        <f t="shared" si="977"/>
        <v>0</v>
      </c>
      <c r="N1432" s="16">
        <f>'БА в тыс. руб.'!I1432*1000</f>
        <v>90000</v>
      </c>
      <c r="O1432" s="169">
        <f t="shared" si="978"/>
        <v>0</v>
      </c>
      <c r="P1432" s="16"/>
      <c r="Q1432" s="16"/>
      <c r="R1432" s="16"/>
      <c r="S1432" s="16"/>
      <c r="T1432" s="16"/>
      <c r="U1432" s="16"/>
    </row>
    <row r="1433" spans="1:21" s="3" customFormat="1">
      <c r="A1433" s="11" t="s">
        <v>188</v>
      </c>
      <c r="B1433" s="25" t="s">
        <v>20</v>
      </c>
      <c r="C1433" s="26" t="s">
        <v>8</v>
      </c>
      <c r="D1433" s="26" t="s">
        <v>65</v>
      </c>
      <c r="E1433" s="43" t="s">
        <v>523</v>
      </c>
      <c r="F1433" s="26" t="s">
        <v>58</v>
      </c>
      <c r="G1433" s="42">
        <f t="shared" si="984"/>
        <v>90000</v>
      </c>
      <c r="H1433" s="42">
        <f t="shared" si="984"/>
        <v>90000</v>
      </c>
      <c r="I1433" s="42">
        <f t="shared" si="984"/>
        <v>90000</v>
      </c>
      <c r="J1433" s="16">
        <f>'БА в тыс. руб.'!G1433*1000</f>
        <v>90000</v>
      </c>
      <c r="K1433" s="169">
        <f t="shared" si="976"/>
        <v>0</v>
      </c>
      <c r="L1433" s="16">
        <f>'БА в тыс. руб.'!H1433*1000</f>
        <v>90000</v>
      </c>
      <c r="M1433" s="169">
        <f t="shared" si="977"/>
        <v>0</v>
      </c>
      <c r="N1433" s="16">
        <f>'БА в тыс. руб.'!I1433*1000</f>
        <v>90000</v>
      </c>
      <c r="O1433" s="169">
        <f t="shared" si="978"/>
        <v>0</v>
      </c>
      <c r="P1433" s="16"/>
      <c r="Q1433" s="16"/>
      <c r="R1433" s="16"/>
      <c r="S1433" s="16"/>
      <c r="T1433" s="16"/>
      <c r="U1433" s="16"/>
    </row>
    <row r="1434" spans="1:21" s="3" customFormat="1" ht="25.5">
      <c r="A1434" s="11" t="s">
        <v>108</v>
      </c>
      <c r="B1434" s="26" t="s">
        <v>20</v>
      </c>
      <c r="C1434" s="26" t="s">
        <v>8</v>
      </c>
      <c r="D1434" s="26" t="s">
        <v>65</v>
      </c>
      <c r="E1434" s="43" t="s">
        <v>523</v>
      </c>
      <c r="F1434" s="26" t="s">
        <v>116</v>
      </c>
      <c r="G1434" s="42">
        <f t="shared" si="984"/>
        <v>90000</v>
      </c>
      <c r="H1434" s="42">
        <f t="shared" si="984"/>
        <v>90000</v>
      </c>
      <c r="I1434" s="42">
        <f t="shared" si="984"/>
        <v>90000</v>
      </c>
      <c r="J1434" s="16">
        <f>'БА в тыс. руб.'!G1434*1000</f>
        <v>90000</v>
      </c>
      <c r="K1434" s="169">
        <f t="shared" si="976"/>
        <v>0</v>
      </c>
      <c r="L1434" s="16">
        <f>'БА в тыс. руб.'!H1434*1000</f>
        <v>90000</v>
      </c>
      <c r="M1434" s="169">
        <f t="shared" si="977"/>
        <v>0</v>
      </c>
      <c r="N1434" s="16">
        <f>'БА в тыс. руб.'!I1434*1000</f>
        <v>90000</v>
      </c>
      <c r="O1434" s="169">
        <f t="shared" si="978"/>
        <v>0</v>
      </c>
      <c r="P1434" s="16"/>
      <c r="Q1434" s="16"/>
      <c r="R1434" s="16"/>
      <c r="S1434" s="16"/>
      <c r="T1434" s="16"/>
      <c r="U1434" s="16"/>
    </row>
    <row r="1435" spans="1:21" s="4" customFormat="1" ht="25.5">
      <c r="A1435" s="12" t="s">
        <v>973</v>
      </c>
      <c r="B1435" s="26" t="s">
        <v>20</v>
      </c>
      <c r="C1435" s="26" t="s">
        <v>8</v>
      </c>
      <c r="D1435" s="26" t="s">
        <v>65</v>
      </c>
      <c r="E1435" s="43" t="s">
        <v>523</v>
      </c>
      <c r="F1435" s="26" t="s">
        <v>1043</v>
      </c>
      <c r="G1435" s="27">
        <f t="shared" ref="G1435" si="985">J1435</f>
        <v>90000</v>
      </c>
      <c r="H1435" s="27">
        <f>L1435</f>
        <v>90000</v>
      </c>
      <c r="I1435" s="27">
        <f>N1435</f>
        <v>90000</v>
      </c>
      <c r="J1435" s="16">
        <f>'БА в тыс. руб.'!G1435*1000</f>
        <v>90000</v>
      </c>
      <c r="K1435" s="169">
        <f t="shared" si="976"/>
        <v>0</v>
      </c>
      <c r="L1435" s="16">
        <f>'БА в тыс. руб.'!H1435*1000</f>
        <v>90000</v>
      </c>
      <c r="M1435" s="169">
        <f t="shared" si="977"/>
        <v>0</v>
      </c>
      <c r="N1435" s="16">
        <f>'БА в тыс. руб.'!I1435*1000</f>
        <v>90000</v>
      </c>
      <c r="O1435" s="169">
        <f t="shared" si="978"/>
        <v>0</v>
      </c>
      <c r="P1435" s="16"/>
      <c r="Q1435" s="16"/>
      <c r="R1435" s="16"/>
      <c r="S1435" s="16"/>
      <c r="T1435" s="16"/>
      <c r="U1435" s="16"/>
    </row>
    <row r="1436" spans="1:21" s="3" customFormat="1">
      <c r="A1436" s="21" t="s">
        <v>10</v>
      </c>
      <c r="B1436" s="22">
        <v>620</v>
      </c>
      <c r="C1436" s="23" t="s">
        <v>8</v>
      </c>
      <c r="D1436" s="23" t="s">
        <v>66</v>
      </c>
      <c r="E1436" s="23" t="s">
        <v>196</v>
      </c>
      <c r="F1436" s="23" t="s">
        <v>58</v>
      </c>
      <c r="G1436" s="24">
        <f t="shared" ref="G1436:I1441" si="986">G1437</f>
        <v>20000</v>
      </c>
      <c r="H1436" s="24">
        <f t="shared" si="986"/>
        <v>20000</v>
      </c>
      <c r="I1436" s="24">
        <f t="shared" si="986"/>
        <v>20000</v>
      </c>
      <c r="J1436" s="16">
        <f>'БА в тыс. руб.'!G1436*1000</f>
        <v>20000</v>
      </c>
      <c r="K1436" s="169">
        <f t="shared" si="976"/>
        <v>0</v>
      </c>
      <c r="L1436" s="16">
        <f>'БА в тыс. руб.'!H1436*1000</f>
        <v>20000</v>
      </c>
      <c r="M1436" s="169">
        <f t="shared" si="977"/>
        <v>0</v>
      </c>
      <c r="N1436" s="16">
        <f>'БА в тыс. руб.'!I1436*1000</f>
        <v>20000</v>
      </c>
      <c r="O1436" s="169">
        <f t="shared" si="978"/>
        <v>0</v>
      </c>
      <c r="P1436" s="16"/>
      <c r="Q1436" s="16"/>
      <c r="R1436" s="16"/>
      <c r="S1436" s="16"/>
      <c r="T1436" s="16"/>
      <c r="U1436" s="16"/>
    </row>
    <row r="1437" spans="1:21" s="3" customFormat="1" ht="38.25">
      <c r="A1437" s="12" t="s">
        <v>722</v>
      </c>
      <c r="B1437" s="47">
        <v>620</v>
      </c>
      <c r="C1437" s="26" t="s">
        <v>8</v>
      </c>
      <c r="D1437" s="26" t="s">
        <v>66</v>
      </c>
      <c r="E1437" s="43" t="s">
        <v>300</v>
      </c>
      <c r="F1437" s="26" t="s">
        <v>58</v>
      </c>
      <c r="G1437" s="42">
        <f t="shared" si="986"/>
        <v>20000</v>
      </c>
      <c r="H1437" s="42">
        <f t="shared" si="986"/>
        <v>20000</v>
      </c>
      <c r="I1437" s="42">
        <f t="shared" si="986"/>
        <v>20000</v>
      </c>
      <c r="J1437" s="16">
        <f>'БА в тыс. руб.'!G1437*1000</f>
        <v>20000</v>
      </c>
      <c r="K1437" s="169">
        <f t="shared" si="976"/>
        <v>0</v>
      </c>
      <c r="L1437" s="16">
        <f>'БА в тыс. руб.'!H1437*1000</f>
        <v>20000</v>
      </c>
      <c r="M1437" s="169">
        <f t="shared" si="977"/>
        <v>0</v>
      </c>
      <c r="N1437" s="16">
        <f>'БА в тыс. руб.'!I1437*1000</f>
        <v>20000</v>
      </c>
      <c r="O1437" s="169">
        <f t="shared" si="978"/>
        <v>0</v>
      </c>
      <c r="P1437" s="16"/>
      <c r="Q1437" s="16"/>
      <c r="R1437" s="16"/>
      <c r="S1437" s="16"/>
      <c r="T1437" s="16"/>
      <c r="U1437" s="16"/>
    </row>
    <row r="1438" spans="1:21" s="3" customFormat="1" ht="25.5">
      <c r="A1438" s="11" t="s">
        <v>155</v>
      </c>
      <c r="B1438" s="47">
        <v>620</v>
      </c>
      <c r="C1438" s="26" t="s">
        <v>8</v>
      </c>
      <c r="D1438" s="26" t="s">
        <v>66</v>
      </c>
      <c r="E1438" s="43" t="s">
        <v>495</v>
      </c>
      <c r="F1438" s="26" t="s">
        <v>58</v>
      </c>
      <c r="G1438" s="42">
        <f t="shared" si="986"/>
        <v>20000</v>
      </c>
      <c r="H1438" s="42">
        <f t="shared" si="986"/>
        <v>20000</v>
      </c>
      <c r="I1438" s="42">
        <f t="shared" si="986"/>
        <v>20000</v>
      </c>
      <c r="J1438" s="16">
        <f>'БА в тыс. руб.'!G1438*1000</f>
        <v>20000</v>
      </c>
      <c r="K1438" s="169">
        <f t="shared" si="976"/>
        <v>0</v>
      </c>
      <c r="L1438" s="16">
        <f>'БА в тыс. руб.'!H1438*1000</f>
        <v>20000</v>
      </c>
      <c r="M1438" s="169">
        <f t="shared" si="977"/>
        <v>0</v>
      </c>
      <c r="N1438" s="16">
        <f>'БА в тыс. руб.'!I1438*1000</f>
        <v>20000</v>
      </c>
      <c r="O1438" s="169">
        <f t="shared" si="978"/>
        <v>0</v>
      </c>
      <c r="P1438" s="16"/>
      <c r="Q1438" s="16"/>
      <c r="R1438" s="16"/>
      <c r="S1438" s="16"/>
      <c r="T1438" s="16"/>
      <c r="U1438" s="16"/>
    </row>
    <row r="1439" spans="1:21" s="3" customFormat="1" ht="38.25">
      <c r="A1439" s="11" t="s">
        <v>669</v>
      </c>
      <c r="B1439" s="47">
        <v>620</v>
      </c>
      <c r="C1439" s="26" t="s">
        <v>8</v>
      </c>
      <c r="D1439" s="26" t="s">
        <v>66</v>
      </c>
      <c r="E1439" s="43" t="s">
        <v>525</v>
      </c>
      <c r="F1439" s="26" t="s">
        <v>58</v>
      </c>
      <c r="G1439" s="42">
        <f t="shared" si="986"/>
        <v>20000</v>
      </c>
      <c r="H1439" s="42">
        <f t="shared" si="986"/>
        <v>20000</v>
      </c>
      <c r="I1439" s="42">
        <f t="shared" si="986"/>
        <v>20000</v>
      </c>
      <c r="J1439" s="16">
        <f>'БА в тыс. руб.'!G1439*1000</f>
        <v>20000</v>
      </c>
      <c r="K1439" s="169">
        <f t="shared" si="976"/>
        <v>0</v>
      </c>
      <c r="L1439" s="16">
        <f>'БА в тыс. руб.'!H1439*1000</f>
        <v>20000</v>
      </c>
      <c r="M1439" s="169">
        <f t="shared" si="977"/>
        <v>0</v>
      </c>
      <c r="N1439" s="16">
        <f>'БА в тыс. руб.'!I1439*1000</f>
        <v>20000</v>
      </c>
      <c r="O1439" s="169">
        <f t="shared" si="978"/>
        <v>0</v>
      </c>
      <c r="P1439" s="16"/>
      <c r="Q1439" s="16"/>
      <c r="R1439" s="16"/>
      <c r="S1439" s="16"/>
      <c r="T1439" s="16"/>
      <c r="U1439" s="16"/>
    </row>
    <row r="1440" spans="1:21" s="3" customFormat="1">
      <c r="A1440" s="11" t="s">
        <v>671</v>
      </c>
      <c r="B1440" s="47">
        <v>620</v>
      </c>
      <c r="C1440" s="26" t="s">
        <v>8</v>
      </c>
      <c r="D1440" s="26" t="s">
        <v>66</v>
      </c>
      <c r="E1440" s="43" t="s">
        <v>526</v>
      </c>
      <c r="F1440" s="26" t="s">
        <v>58</v>
      </c>
      <c r="G1440" s="42">
        <f>G1441</f>
        <v>20000</v>
      </c>
      <c r="H1440" s="42">
        <f t="shared" si="986"/>
        <v>20000</v>
      </c>
      <c r="I1440" s="42">
        <f t="shared" si="986"/>
        <v>20000</v>
      </c>
      <c r="J1440" s="16">
        <f>'БА в тыс. руб.'!G1440*1000</f>
        <v>20000</v>
      </c>
      <c r="K1440" s="169">
        <f t="shared" si="976"/>
        <v>0</v>
      </c>
      <c r="L1440" s="16">
        <f>'БА в тыс. руб.'!H1440*1000</f>
        <v>20000</v>
      </c>
      <c r="M1440" s="169">
        <f t="shared" si="977"/>
        <v>0</v>
      </c>
      <c r="N1440" s="16">
        <f>'БА в тыс. руб.'!I1440*1000</f>
        <v>20000</v>
      </c>
      <c r="O1440" s="169">
        <f t="shared" si="978"/>
        <v>0</v>
      </c>
      <c r="P1440" s="16"/>
      <c r="Q1440" s="16"/>
      <c r="R1440" s="16"/>
      <c r="S1440" s="16"/>
      <c r="T1440" s="16"/>
      <c r="U1440" s="16"/>
    </row>
    <row r="1441" spans="1:21" s="3" customFormat="1" ht="25.5">
      <c r="A1441" s="11" t="s">
        <v>108</v>
      </c>
      <c r="B1441" s="26" t="s">
        <v>20</v>
      </c>
      <c r="C1441" s="26" t="s">
        <v>8</v>
      </c>
      <c r="D1441" s="26" t="s">
        <v>66</v>
      </c>
      <c r="E1441" s="43" t="s">
        <v>526</v>
      </c>
      <c r="F1441" s="26" t="s">
        <v>116</v>
      </c>
      <c r="G1441" s="42">
        <f>G1442</f>
        <v>20000</v>
      </c>
      <c r="H1441" s="42">
        <f t="shared" si="986"/>
        <v>20000</v>
      </c>
      <c r="I1441" s="42">
        <f t="shared" si="986"/>
        <v>20000</v>
      </c>
      <c r="J1441" s="16">
        <f>'БА в тыс. руб.'!G1441*1000</f>
        <v>20000</v>
      </c>
      <c r="K1441" s="169">
        <f t="shared" si="976"/>
        <v>0</v>
      </c>
      <c r="L1441" s="16">
        <f>'БА в тыс. руб.'!H1441*1000</f>
        <v>20000</v>
      </c>
      <c r="M1441" s="169">
        <f t="shared" si="977"/>
        <v>0</v>
      </c>
      <c r="N1441" s="16">
        <f>'БА в тыс. руб.'!I1441*1000</f>
        <v>20000</v>
      </c>
      <c r="O1441" s="169">
        <f t="shared" si="978"/>
        <v>0</v>
      </c>
      <c r="P1441" s="16"/>
      <c r="Q1441" s="16"/>
      <c r="R1441" s="16"/>
      <c r="S1441" s="16"/>
      <c r="T1441" s="16"/>
      <c r="U1441" s="16"/>
    </row>
    <row r="1442" spans="1:21" s="4" customFormat="1" ht="25.5">
      <c r="A1442" s="12" t="s">
        <v>973</v>
      </c>
      <c r="B1442" s="26" t="s">
        <v>20</v>
      </c>
      <c r="C1442" s="26" t="s">
        <v>8</v>
      </c>
      <c r="D1442" s="26" t="s">
        <v>66</v>
      </c>
      <c r="E1442" s="43" t="s">
        <v>526</v>
      </c>
      <c r="F1442" s="26" t="s">
        <v>1043</v>
      </c>
      <c r="G1442" s="27">
        <f t="shared" ref="G1442" si="987">J1442</f>
        <v>20000</v>
      </c>
      <c r="H1442" s="27">
        <f>L1442</f>
        <v>20000</v>
      </c>
      <c r="I1442" s="27">
        <f>N1442</f>
        <v>20000</v>
      </c>
      <c r="J1442" s="16">
        <f>'БА в тыс. руб.'!G1442*1000</f>
        <v>20000</v>
      </c>
      <c r="K1442" s="169">
        <f t="shared" si="976"/>
        <v>0</v>
      </c>
      <c r="L1442" s="16">
        <f>'БА в тыс. руб.'!H1442*1000</f>
        <v>20000</v>
      </c>
      <c r="M1442" s="169">
        <f t="shared" si="977"/>
        <v>0</v>
      </c>
      <c r="N1442" s="16">
        <f>'БА в тыс. руб.'!I1442*1000</f>
        <v>20000</v>
      </c>
      <c r="O1442" s="169">
        <f t="shared" si="978"/>
        <v>0</v>
      </c>
      <c r="P1442" s="16"/>
      <c r="Q1442" s="16"/>
      <c r="R1442" s="16"/>
      <c r="S1442" s="16"/>
      <c r="T1442" s="16"/>
      <c r="U1442" s="16"/>
    </row>
    <row r="1443" spans="1:21" s="3" customFormat="1">
      <c r="A1443" s="21" t="s">
        <v>1</v>
      </c>
      <c r="B1443" s="22" t="s">
        <v>20</v>
      </c>
      <c r="C1443" s="23" t="s">
        <v>8</v>
      </c>
      <c r="D1443" s="23" t="s">
        <v>53</v>
      </c>
      <c r="E1443" s="23" t="s">
        <v>196</v>
      </c>
      <c r="F1443" s="23" t="s">
        <v>58</v>
      </c>
      <c r="G1443" s="24">
        <f>G1444+G1475</f>
        <v>234942320</v>
      </c>
      <c r="H1443" s="24">
        <f>H1444+H1475</f>
        <v>212657170</v>
      </c>
      <c r="I1443" s="24">
        <f>I1444+I1475</f>
        <v>212657170</v>
      </c>
      <c r="J1443" s="16">
        <f>'БА в тыс. руб.'!G1443*1000</f>
        <v>234942320</v>
      </c>
      <c r="K1443" s="169">
        <f t="shared" si="976"/>
        <v>0</v>
      </c>
      <c r="L1443" s="16">
        <f>'БА в тыс. руб.'!H1443*1000</f>
        <v>212657169.99999997</v>
      </c>
      <c r="M1443" s="169">
        <f t="shared" si="977"/>
        <v>0</v>
      </c>
      <c r="N1443" s="16">
        <f>'БА в тыс. руб.'!I1443*1000</f>
        <v>212657169.99999997</v>
      </c>
      <c r="O1443" s="169">
        <f t="shared" si="978"/>
        <v>0</v>
      </c>
      <c r="P1443" s="16"/>
      <c r="Q1443" s="16"/>
      <c r="R1443" s="16"/>
      <c r="S1443" s="16"/>
      <c r="T1443" s="16"/>
      <c r="U1443" s="16"/>
    </row>
    <row r="1444" spans="1:21" s="3" customFormat="1" ht="38.25">
      <c r="A1444" s="12" t="s">
        <v>722</v>
      </c>
      <c r="B1444" s="26" t="s">
        <v>20</v>
      </c>
      <c r="C1444" s="26" t="s">
        <v>8</v>
      </c>
      <c r="D1444" s="26" t="s">
        <v>53</v>
      </c>
      <c r="E1444" s="26" t="s">
        <v>300</v>
      </c>
      <c r="F1444" s="26" t="s">
        <v>58</v>
      </c>
      <c r="G1444" s="42">
        <f>G1445</f>
        <v>231180640</v>
      </c>
      <c r="H1444" s="42">
        <f>H1445</f>
        <v>209271650</v>
      </c>
      <c r="I1444" s="42">
        <f>I1445</f>
        <v>209271650</v>
      </c>
      <c r="J1444" s="16">
        <f>'БА в тыс. руб.'!G1444*1000</f>
        <v>231180640</v>
      </c>
      <c r="K1444" s="169">
        <f t="shared" si="976"/>
        <v>0</v>
      </c>
      <c r="L1444" s="16">
        <f>'БА в тыс. руб.'!H1444*1000</f>
        <v>209271650</v>
      </c>
      <c r="M1444" s="169">
        <f t="shared" si="977"/>
        <v>0</v>
      </c>
      <c r="N1444" s="16">
        <f>'БА в тыс. руб.'!I1444*1000</f>
        <v>209271650</v>
      </c>
      <c r="O1444" s="169">
        <f t="shared" si="978"/>
        <v>0</v>
      </c>
      <c r="P1444" s="16"/>
      <c r="Q1444" s="16"/>
      <c r="R1444" s="16"/>
      <c r="S1444" s="16"/>
      <c r="T1444" s="16"/>
      <c r="U1444" s="16"/>
    </row>
    <row r="1445" spans="1:21" s="3" customFormat="1">
      <c r="A1445" s="11" t="s">
        <v>142</v>
      </c>
      <c r="B1445" s="26" t="s">
        <v>20</v>
      </c>
      <c r="C1445" s="26" t="s">
        <v>8</v>
      </c>
      <c r="D1445" s="26" t="s">
        <v>53</v>
      </c>
      <c r="E1445" s="26" t="s">
        <v>453</v>
      </c>
      <c r="F1445" s="26" t="s">
        <v>58</v>
      </c>
      <c r="G1445" s="42">
        <f>G1446+G1452+G1456</f>
        <v>231180640</v>
      </c>
      <c r="H1445" s="42">
        <f>H1446+H1452+H1456</f>
        <v>209271650</v>
      </c>
      <c r="I1445" s="42">
        <f>I1446+I1452+I1456</f>
        <v>209271650</v>
      </c>
      <c r="J1445" s="16">
        <f>'БА в тыс. руб.'!G1445*1000</f>
        <v>231180640</v>
      </c>
      <c r="K1445" s="169">
        <f t="shared" si="976"/>
        <v>0</v>
      </c>
      <c r="L1445" s="16">
        <f>'БА в тыс. руб.'!H1445*1000</f>
        <v>209271650</v>
      </c>
      <c r="M1445" s="169">
        <f t="shared" si="977"/>
        <v>0</v>
      </c>
      <c r="N1445" s="16">
        <f>'БА в тыс. руб.'!I1445*1000</f>
        <v>209271650</v>
      </c>
      <c r="O1445" s="169">
        <f t="shared" si="978"/>
        <v>0</v>
      </c>
      <c r="P1445" s="16"/>
      <c r="Q1445" s="16"/>
      <c r="R1445" s="16"/>
      <c r="S1445" s="16"/>
      <c r="T1445" s="16"/>
      <c r="U1445" s="16"/>
    </row>
    <row r="1446" spans="1:21" s="3" customFormat="1" ht="25.5">
      <c r="A1446" s="11" t="s">
        <v>718</v>
      </c>
      <c r="B1446" s="26" t="s">
        <v>20</v>
      </c>
      <c r="C1446" s="26" t="s">
        <v>8</v>
      </c>
      <c r="D1446" s="26" t="s">
        <v>53</v>
      </c>
      <c r="E1446" s="26" t="s">
        <v>655</v>
      </c>
      <c r="F1446" s="26" t="s">
        <v>58</v>
      </c>
      <c r="G1446" s="42">
        <f>G1447</f>
        <v>24087120</v>
      </c>
      <c r="H1446" s="42">
        <f>H1447</f>
        <v>14107150</v>
      </c>
      <c r="I1446" s="42">
        <f>I1447</f>
        <v>14107150</v>
      </c>
      <c r="J1446" s="16">
        <f>'БА в тыс. руб.'!G1446*1000</f>
        <v>24087120.000000004</v>
      </c>
      <c r="K1446" s="169">
        <f t="shared" si="976"/>
        <v>0</v>
      </c>
      <c r="L1446" s="16">
        <f>'БА в тыс. руб.'!H1446*1000</f>
        <v>14107150</v>
      </c>
      <c r="M1446" s="169">
        <f t="shared" si="977"/>
        <v>0</v>
      </c>
      <c r="N1446" s="16">
        <f>'БА в тыс. руб.'!I1446*1000</f>
        <v>14107150</v>
      </c>
      <c r="O1446" s="169">
        <f t="shared" si="978"/>
        <v>0</v>
      </c>
      <c r="P1446" s="16"/>
      <c r="Q1446" s="16"/>
      <c r="R1446" s="16"/>
      <c r="S1446" s="16"/>
      <c r="T1446" s="16"/>
      <c r="U1446" s="16"/>
    </row>
    <row r="1447" spans="1:21" s="3" customFormat="1" ht="38.25">
      <c r="A1447" s="11" t="s">
        <v>905</v>
      </c>
      <c r="B1447" s="26" t="s">
        <v>20</v>
      </c>
      <c r="C1447" s="26" t="s">
        <v>8</v>
      </c>
      <c r="D1447" s="26" t="s">
        <v>53</v>
      </c>
      <c r="E1447" s="26" t="s">
        <v>656</v>
      </c>
      <c r="F1447" s="26" t="s">
        <v>58</v>
      </c>
      <c r="G1447" s="42">
        <f>G1448+G1450</f>
        <v>24087120</v>
      </c>
      <c r="H1447" s="42">
        <f>H1448+H1450</f>
        <v>14107150</v>
      </c>
      <c r="I1447" s="42">
        <f>I1448+I1450</f>
        <v>14107150</v>
      </c>
      <c r="J1447" s="16">
        <f>'БА в тыс. руб.'!G1447*1000</f>
        <v>24087120.000000004</v>
      </c>
      <c r="K1447" s="169">
        <f t="shared" si="976"/>
        <v>0</v>
      </c>
      <c r="L1447" s="16">
        <f>'БА в тыс. руб.'!H1447*1000</f>
        <v>14107150</v>
      </c>
      <c r="M1447" s="169">
        <f t="shared" si="977"/>
        <v>0</v>
      </c>
      <c r="N1447" s="16">
        <f>'БА в тыс. руб.'!I1447*1000</f>
        <v>14107150</v>
      </c>
      <c r="O1447" s="169">
        <f t="shared" si="978"/>
        <v>0</v>
      </c>
      <c r="P1447" s="16"/>
      <c r="Q1447" s="16"/>
      <c r="R1447" s="16"/>
      <c r="S1447" s="16"/>
      <c r="T1447" s="16"/>
      <c r="U1447" s="16"/>
    </row>
    <row r="1448" spans="1:21" s="3" customFormat="1" ht="25.5">
      <c r="A1448" s="11" t="s">
        <v>108</v>
      </c>
      <c r="B1448" s="26" t="s">
        <v>20</v>
      </c>
      <c r="C1448" s="26" t="s">
        <v>8</v>
      </c>
      <c r="D1448" s="26" t="s">
        <v>53</v>
      </c>
      <c r="E1448" s="26" t="s">
        <v>656</v>
      </c>
      <c r="F1448" s="26" t="s">
        <v>116</v>
      </c>
      <c r="G1448" s="42">
        <f>G1449</f>
        <v>14087120</v>
      </c>
      <c r="H1448" s="42">
        <f t="shared" ref="H1448:I1448" si="988">H1449</f>
        <v>14107150</v>
      </c>
      <c r="I1448" s="42">
        <f t="shared" si="988"/>
        <v>14107150</v>
      </c>
      <c r="J1448" s="16">
        <f>'БА в тыс. руб.'!G1448*1000</f>
        <v>14087120</v>
      </c>
      <c r="K1448" s="169">
        <f t="shared" si="976"/>
        <v>0</v>
      </c>
      <c r="L1448" s="16">
        <f>'БА в тыс. руб.'!H1448*1000</f>
        <v>14107150</v>
      </c>
      <c r="M1448" s="169">
        <f t="shared" si="977"/>
        <v>0</v>
      </c>
      <c r="N1448" s="16">
        <f>'БА в тыс. руб.'!I1448*1000</f>
        <v>14107150</v>
      </c>
      <c r="O1448" s="169">
        <f t="shared" si="978"/>
        <v>0</v>
      </c>
      <c r="P1448" s="16"/>
      <c r="Q1448" s="16"/>
      <c r="R1448" s="16"/>
      <c r="S1448" s="16"/>
      <c r="T1448" s="16"/>
      <c r="U1448" s="16"/>
    </row>
    <row r="1449" spans="1:21" s="4" customFormat="1" ht="25.5">
      <c r="A1449" s="12" t="s">
        <v>973</v>
      </c>
      <c r="B1449" s="26" t="s">
        <v>20</v>
      </c>
      <c r="C1449" s="26" t="s">
        <v>8</v>
      </c>
      <c r="D1449" s="26" t="s">
        <v>53</v>
      </c>
      <c r="E1449" s="26" t="s">
        <v>656</v>
      </c>
      <c r="F1449" s="26" t="s">
        <v>1043</v>
      </c>
      <c r="G1449" s="27">
        <f t="shared" ref="G1449" si="989">J1449</f>
        <v>14087120</v>
      </c>
      <c r="H1449" s="27">
        <f>L1449</f>
        <v>14107150</v>
      </c>
      <c r="I1449" s="27">
        <f>N1449</f>
        <v>14107150</v>
      </c>
      <c r="J1449" s="16">
        <f>'БА в тыс. руб.'!G1449*1000</f>
        <v>14087120</v>
      </c>
      <c r="K1449" s="169">
        <f t="shared" si="976"/>
        <v>0</v>
      </c>
      <c r="L1449" s="16">
        <f>'БА в тыс. руб.'!H1449*1000</f>
        <v>14107150</v>
      </c>
      <c r="M1449" s="169">
        <f t="shared" si="977"/>
        <v>0</v>
      </c>
      <c r="N1449" s="16">
        <f>'БА в тыс. руб.'!I1449*1000</f>
        <v>14107150</v>
      </c>
      <c r="O1449" s="169">
        <f t="shared" si="978"/>
        <v>0</v>
      </c>
      <c r="P1449" s="16"/>
      <c r="Q1449" s="16"/>
      <c r="R1449" s="16"/>
      <c r="S1449" s="16"/>
      <c r="T1449" s="16"/>
      <c r="U1449" s="16"/>
    </row>
    <row r="1450" spans="1:21" s="3" customFormat="1">
      <c r="A1450" s="11" t="s">
        <v>190</v>
      </c>
      <c r="B1450" s="26" t="s">
        <v>20</v>
      </c>
      <c r="C1450" s="26" t="s">
        <v>8</v>
      </c>
      <c r="D1450" s="26" t="s">
        <v>53</v>
      </c>
      <c r="E1450" s="26" t="s">
        <v>656</v>
      </c>
      <c r="F1450" s="26" t="s">
        <v>103</v>
      </c>
      <c r="G1450" s="42">
        <f>G1451</f>
        <v>10000000</v>
      </c>
      <c r="H1450" s="42">
        <f t="shared" ref="H1450:I1450" si="990">H1451</f>
        <v>0</v>
      </c>
      <c r="I1450" s="42">
        <f t="shared" si="990"/>
        <v>0</v>
      </c>
      <c r="J1450" s="16">
        <f>'БА в тыс. руб.'!G1450*1000</f>
        <v>10000000</v>
      </c>
      <c r="K1450" s="169">
        <f t="shared" si="976"/>
        <v>0</v>
      </c>
      <c r="L1450" s="16">
        <f>'БА в тыс. руб.'!H1450*1000</f>
        <v>0</v>
      </c>
      <c r="M1450" s="169">
        <f t="shared" si="977"/>
        <v>0</v>
      </c>
      <c r="N1450" s="16">
        <f>'БА в тыс. руб.'!I1450*1000</f>
        <v>0</v>
      </c>
      <c r="O1450" s="169">
        <f t="shared" si="978"/>
        <v>0</v>
      </c>
      <c r="P1450" s="16"/>
      <c r="Q1450" s="16"/>
      <c r="R1450" s="16"/>
      <c r="S1450" s="16"/>
      <c r="T1450" s="16"/>
      <c r="U1450" s="16"/>
    </row>
    <row r="1451" spans="1:21" s="4" customFormat="1" ht="25.5">
      <c r="A1451" s="12" t="s">
        <v>987</v>
      </c>
      <c r="B1451" s="26" t="s">
        <v>20</v>
      </c>
      <c r="C1451" s="26" t="s">
        <v>8</v>
      </c>
      <c r="D1451" s="26" t="s">
        <v>53</v>
      </c>
      <c r="E1451" s="26" t="s">
        <v>656</v>
      </c>
      <c r="F1451" s="26" t="s">
        <v>1052</v>
      </c>
      <c r="G1451" s="27">
        <f t="shared" ref="G1451" si="991">J1451</f>
        <v>10000000</v>
      </c>
      <c r="H1451" s="27">
        <f>L1451</f>
        <v>0</v>
      </c>
      <c r="I1451" s="27">
        <f>N1451</f>
        <v>0</v>
      </c>
      <c r="J1451" s="16">
        <f>'БА в тыс. руб.'!G1451*1000</f>
        <v>10000000</v>
      </c>
      <c r="K1451" s="169">
        <f t="shared" si="976"/>
        <v>0</v>
      </c>
      <c r="L1451" s="16">
        <f>'БА в тыс. руб.'!H1451*1000</f>
        <v>0</v>
      </c>
      <c r="M1451" s="169">
        <f t="shared" si="977"/>
        <v>0</v>
      </c>
      <c r="N1451" s="16">
        <f>'БА в тыс. руб.'!I1451*1000</f>
        <v>0</v>
      </c>
      <c r="O1451" s="169">
        <f t="shared" si="978"/>
        <v>0</v>
      </c>
      <c r="P1451" s="16"/>
      <c r="Q1451" s="16"/>
      <c r="R1451" s="16"/>
      <c r="S1451" s="16"/>
      <c r="T1451" s="16"/>
      <c r="U1451" s="16"/>
    </row>
    <row r="1452" spans="1:21" s="3" customFormat="1" ht="38.25">
      <c r="A1452" s="11" t="s">
        <v>657</v>
      </c>
      <c r="B1452" s="26" t="s">
        <v>20</v>
      </c>
      <c r="C1452" s="26" t="s">
        <v>8</v>
      </c>
      <c r="D1452" s="26" t="s">
        <v>53</v>
      </c>
      <c r="E1452" s="26" t="s">
        <v>658</v>
      </c>
      <c r="F1452" s="26" t="s">
        <v>58</v>
      </c>
      <c r="G1452" s="42">
        <f t="shared" ref="G1452:I1454" si="992">G1453</f>
        <v>2284560</v>
      </c>
      <c r="H1452" s="42">
        <f t="shared" si="992"/>
        <v>2284560</v>
      </c>
      <c r="I1452" s="42">
        <f t="shared" si="992"/>
        <v>2284560</v>
      </c>
      <c r="J1452" s="16">
        <f>'БА в тыс. руб.'!G1452*1000</f>
        <v>2284560</v>
      </c>
      <c r="K1452" s="169">
        <f t="shared" si="976"/>
        <v>0</v>
      </c>
      <c r="L1452" s="16">
        <f>'БА в тыс. руб.'!H1452*1000</f>
        <v>2284560</v>
      </c>
      <c r="M1452" s="169">
        <f t="shared" si="977"/>
        <v>0</v>
      </c>
      <c r="N1452" s="16">
        <f>'БА в тыс. руб.'!I1452*1000</f>
        <v>2284560</v>
      </c>
      <c r="O1452" s="169">
        <f t="shared" si="978"/>
        <v>0</v>
      </c>
      <c r="P1452" s="16"/>
      <c r="Q1452" s="16"/>
      <c r="R1452" s="16"/>
      <c r="S1452" s="16"/>
      <c r="T1452" s="16"/>
      <c r="U1452" s="16"/>
    </row>
    <row r="1453" spans="1:21" s="3" customFormat="1" ht="25.5">
      <c r="A1453" s="11" t="s">
        <v>592</v>
      </c>
      <c r="B1453" s="26" t="s">
        <v>20</v>
      </c>
      <c r="C1453" s="26" t="s">
        <v>8</v>
      </c>
      <c r="D1453" s="26" t="s">
        <v>53</v>
      </c>
      <c r="E1453" s="26" t="s">
        <v>659</v>
      </c>
      <c r="F1453" s="26" t="s">
        <v>58</v>
      </c>
      <c r="G1453" s="42">
        <f t="shared" si="992"/>
        <v>2284560</v>
      </c>
      <c r="H1453" s="42">
        <f t="shared" si="992"/>
        <v>2284560</v>
      </c>
      <c r="I1453" s="42">
        <f t="shared" si="992"/>
        <v>2284560</v>
      </c>
      <c r="J1453" s="16">
        <f>'БА в тыс. руб.'!G1453*1000</f>
        <v>2284560</v>
      </c>
      <c r="K1453" s="169">
        <f t="shared" si="976"/>
        <v>0</v>
      </c>
      <c r="L1453" s="16">
        <f>'БА в тыс. руб.'!H1453*1000</f>
        <v>2284560</v>
      </c>
      <c r="M1453" s="169">
        <f t="shared" si="977"/>
        <v>0</v>
      </c>
      <c r="N1453" s="16">
        <f>'БА в тыс. руб.'!I1453*1000</f>
        <v>2284560</v>
      </c>
      <c r="O1453" s="169">
        <f t="shared" si="978"/>
        <v>0</v>
      </c>
      <c r="P1453" s="16"/>
      <c r="Q1453" s="16"/>
      <c r="R1453" s="16"/>
      <c r="S1453" s="16"/>
      <c r="T1453" s="16"/>
      <c r="U1453" s="16"/>
    </row>
    <row r="1454" spans="1:21" s="3" customFormat="1" ht="25.5">
      <c r="A1454" s="11" t="s">
        <v>108</v>
      </c>
      <c r="B1454" s="26" t="s">
        <v>20</v>
      </c>
      <c r="C1454" s="26" t="s">
        <v>8</v>
      </c>
      <c r="D1454" s="26" t="s">
        <v>53</v>
      </c>
      <c r="E1454" s="26" t="s">
        <v>659</v>
      </c>
      <c r="F1454" s="26" t="s">
        <v>116</v>
      </c>
      <c r="G1454" s="42">
        <f>G1455</f>
        <v>2284560</v>
      </c>
      <c r="H1454" s="42">
        <f t="shared" si="992"/>
        <v>2284560</v>
      </c>
      <c r="I1454" s="42">
        <f t="shared" si="992"/>
        <v>2284560</v>
      </c>
      <c r="J1454" s="16">
        <f>'БА в тыс. руб.'!G1454*1000</f>
        <v>2284560</v>
      </c>
      <c r="K1454" s="169">
        <f t="shared" si="976"/>
        <v>0</v>
      </c>
      <c r="L1454" s="16">
        <f>'БА в тыс. руб.'!H1454*1000</f>
        <v>2284560</v>
      </c>
      <c r="M1454" s="169">
        <f t="shared" si="977"/>
        <v>0</v>
      </c>
      <c r="N1454" s="16">
        <f>'БА в тыс. руб.'!I1454*1000</f>
        <v>2284560</v>
      </c>
      <c r="O1454" s="169">
        <f t="shared" si="978"/>
        <v>0</v>
      </c>
      <c r="P1454" s="16"/>
      <c r="Q1454" s="16"/>
      <c r="R1454" s="16"/>
      <c r="S1454" s="16"/>
      <c r="T1454" s="16"/>
      <c r="U1454" s="16"/>
    </row>
    <row r="1455" spans="1:21" s="4" customFormat="1" ht="25.5">
      <c r="A1455" s="12" t="s">
        <v>973</v>
      </c>
      <c r="B1455" s="26" t="s">
        <v>20</v>
      </c>
      <c r="C1455" s="26" t="s">
        <v>8</v>
      </c>
      <c r="D1455" s="26" t="s">
        <v>53</v>
      </c>
      <c r="E1455" s="26" t="s">
        <v>659</v>
      </c>
      <c r="F1455" s="26" t="s">
        <v>1043</v>
      </c>
      <c r="G1455" s="27">
        <f t="shared" ref="G1455" si="993">J1455</f>
        <v>2284560</v>
      </c>
      <c r="H1455" s="27">
        <f>L1455</f>
        <v>2284560</v>
      </c>
      <c r="I1455" s="27">
        <f>N1455</f>
        <v>2284560</v>
      </c>
      <c r="J1455" s="16">
        <f>'БА в тыс. руб.'!G1455*1000</f>
        <v>2284560</v>
      </c>
      <c r="K1455" s="169">
        <f t="shared" si="976"/>
        <v>0</v>
      </c>
      <c r="L1455" s="16">
        <f>'БА в тыс. руб.'!H1455*1000</f>
        <v>2284560</v>
      </c>
      <c r="M1455" s="169">
        <f t="shared" si="977"/>
        <v>0</v>
      </c>
      <c r="N1455" s="16">
        <f>'БА в тыс. руб.'!I1455*1000</f>
        <v>2284560</v>
      </c>
      <c r="O1455" s="169">
        <f t="shared" si="978"/>
        <v>0</v>
      </c>
      <c r="P1455" s="16"/>
      <c r="Q1455" s="16"/>
      <c r="R1455" s="16"/>
      <c r="S1455" s="16"/>
      <c r="T1455" s="16"/>
      <c r="U1455" s="16"/>
    </row>
    <row r="1456" spans="1:21" s="3" customFormat="1" ht="25.5">
      <c r="A1456" s="11" t="s">
        <v>527</v>
      </c>
      <c r="B1456" s="26" t="s">
        <v>20</v>
      </c>
      <c r="C1456" s="26" t="s">
        <v>8</v>
      </c>
      <c r="D1456" s="26" t="s">
        <v>53</v>
      </c>
      <c r="E1456" s="26" t="s">
        <v>645</v>
      </c>
      <c r="F1456" s="26" t="s">
        <v>58</v>
      </c>
      <c r="G1456" s="42">
        <f>G1457+G1460+G1463+G1469+G1472</f>
        <v>204808960</v>
      </c>
      <c r="H1456" s="42">
        <f>H1457+H1460+H1463+H1469+H1472</f>
        <v>192879940</v>
      </c>
      <c r="I1456" s="42">
        <f>I1457+I1460+I1463+I1469+I1472</f>
        <v>192879940</v>
      </c>
      <c r="J1456" s="16">
        <f>'БА в тыс. руб.'!G1456*1000</f>
        <v>204808960.00000003</v>
      </c>
      <c r="K1456" s="169">
        <f t="shared" si="976"/>
        <v>0</v>
      </c>
      <c r="L1456" s="16">
        <f>'БА в тыс. руб.'!H1456*1000</f>
        <v>192879940</v>
      </c>
      <c r="M1456" s="169">
        <f t="shared" si="977"/>
        <v>0</v>
      </c>
      <c r="N1456" s="16">
        <f>'БА в тыс. руб.'!I1456*1000</f>
        <v>192879940</v>
      </c>
      <c r="O1456" s="169">
        <f t="shared" si="978"/>
        <v>0</v>
      </c>
      <c r="P1456" s="16"/>
      <c r="Q1456" s="16"/>
      <c r="R1456" s="16"/>
      <c r="S1456" s="16"/>
      <c r="T1456" s="16"/>
      <c r="U1456" s="16"/>
    </row>
    <row r="1457" spans="1:21" s="3" customFormat="1" ht="25.5">
      <c r="A1457" s="11" t="s">
        <v>247</v>
      </c>
      <c r="B1457" s="26" t="s">
        <v>20</v>
      </c>
      <c r="C1457" s="26" t="s">
        <v>8</v>
      </c>
      <c r="D1457" s="26" t="s">
        <v>53</v>
      </c>
      <c r="E1457" s="26" t="s">
        <v>660</v>
      </c>
      <c r="F1457" s="26" t="s">
        <v>58</v>
      </c>
      <c r="G1457" s="42">
        <f>G1458</f>
        <v>10982050</v>
      </c>
      <c r="H1457" s="42">
        <f>H1458</f>
        <v>10984230</v>
      </c>
      <c r="I1457" s="42">
        <f>I1458</f>
        <v>10984230</v>
      </c>
      <c r="J1457" s="16">
        <f>'БА в тыс. руб.'!G1457*1000</f>
        <v>10982050</v>
      </c>
      <c r="K1457" s="169">
        <f t="shared" si="976"/>
        <v>0</v>
      </c>
      <c r="L1457" s="16">
        <f>'БА в тыс. руб.'!H1457*1000</f>
        <v>10984230</v>
      </c>
      <c r="M1457" s="169">
        <f t="shared" si="977"/>
        <v>0</v>
      </c>
      <c r="N1457" s="16">
        <f>'БА в тыс. руб.'!I1457*1000</f>
        <v>10984230</v>
      </c>
      <c r="O1457" s="169">
        <f t="shared" si="978"/>
        <v>0</v>
      </c>
      <c r="P1457" s="16"/>
      <c r="Q1457" s="16"/>
      <c r="R1457" s="16"/>
      <c r="S1457" s="16"/>
      <c r="T1457" s="16"/>
      <c r="U1457" s="16"/>
    </row>
    <row r="1458" spans="1:21" s="3" customFormat="1">
      <c r="A1458" s="13" t="s">
        <v>92</v>
      </c>
      <c r="B1458" s="26" t="s">
        <v>20</v>
      </c>
      <c r="C1458" s="26" t="s">
        <v>8</v>
      </c>
      <c r="D1458" s="26" t="s">
        <v>53</v>
      </c>
      <c r="E1458" s="26" t="s">
        <v>660</v>
      </c>
      <c r="F1458" s="26" t="s">
        <v>138</v>
      </c>
      <c r="G1458" s="42">
        <f>G1459</f>
        <v>10982050</v>
      </c>
      <c r="H1458" s="42">
        <f t="shared" ref="H1458:I1458" si="994">H1459</f>
        <v>10984230</v>
      </c>
      <c r="I1458" s="42">
        <f t="shared" si="994"/>
        <v>10984230</v>
      </c>
      <c r="J1458" s="16">
        <f>'БА в тыс. руб.'!G1458*1000</f>
        <v>10982050</v>
      </c>
      <c r="K1458" s="169">
        <f t="shared" si="976"/>
        <v>0</v>
      </c>
      <c r="L1458" s="16">
        <f>'БА в тыс. руб.'!H1458*1000</f>
        <v>10984230</v>
      </c>
      <c r="M1458" s="169">
        <f t="shared" si="977"/>
        <v>0</v>
      </c>
      <c r="N1458" s="16">
        <f>'БА в тыс. руб.'!I1458*1000</f>
        <v>10984230</v>
      </c>
      <c r="O1458" s="169">
        <f t="shared" si="978"/>
        <v>0</v>
      </c>
      <c r="P1458" s="16"/>
      <c r="Q1458" s="16"/>
      <c r="R1458" s="16"/>
      <c r="S1458" s="16"/>
      <c r="T1458" s="16"/>
      <c r="U1458" s="16"/>
    </row>
    <row r="1459" spans="1:21" s="4" customFormat="1" ht="38.25">
      <c r="A1459" s="12" t="s">
        <v>1015</v>
      </c>
      <c r="B1459" s="26" t="s">
        <v>20</v>
      </c>
      <c r="C1459" s="26" t="s">
        <v>8</v>
      </c>
      <c r="D1459" s="26" t="s">
        <v>53</v>
      </c>
      <c r="E1459" s="26" t="s">
        <v>660</v>
      </c>
      <c r="F1459" s="26" t="s">
        <v>67</v>
      </c>
      <c r="G1459" s="27">
        <f t="shared" ref="G1459" si="995">J1459</f>
        <v>10982050</v>
      </c>
      <c r="H1459" s="27">
        <f>L1459</f>
        <v>10984230</v>
      </c>
      <c r="I1459" s="27">
        <f>N1459</f>
        <v>10984230</v>
      </c>
      <c r="J1459" s="16">
        <f>'БА в тыс. руб.'!G1459*1000</f>
        <v>10982050</v>
      </c>
      <c r="K1459" s="169">
        <f t="shared" si="976"/>
        <v>0</v>
      </c>
      <c r="L1459" s="16">
        <f>'БА в тыс. руб.'!H1459*1000</f>
        <v>10984230</v>
      </c>
      <c r="M1459" s="169">
        <f t="shared" si="977"/>
        <v>0</v>
      </c>
      <c r="N1459" s="16">
        <f>'БА в тыс. руб.'!I1459*1000</f>
        <v>10984230</v>
      </c>
      <c r="O1459" s="169">
        <f t="shared" si="978"/>
        <v>0</v>
      </c>
      <c r="P1459" s="16"/>
      <c r="Q1459" s="16"/>
      <c r="R1459" s="16"/>
      <c r="S1459" s="16"/>
      <c r="T1459" s="16"/>
      <c r="U1459" s="16"/>
    </row>
    <row r="1460" spans="1:21" s="3" customFormat="1" ht="25.5">
      <c r="A1460" s="11" t="s">
        <v>897</v>
      </c>
      <c r="B1460" s="26" t="s">
        <v>20</v>
      </c>
      <c r="C1460" s="26" t="s">
        <v>8</v>
      </c>
      <c r="D1460" s="26" t="s">
        <v>53</v>
      </c>
      <c r="E1460" s="26" t="s">
        <v>661</v>
      </c>
      <c r="F1460" s="26" t="s">
        <v>58</v>
      </c>
      <c r="G1460" s="42">
        <f>G1461</f>
        <v>109804480</v>
      </c>
      <c r="H1460" s="42">
        <f t="shared" ref="H1460:I1461" si="996">H1461</f>
        <v>105492620</v>
      </c>
      <c r="I1460" s="42">
        <f t="shared" si="996"/>
        <v>105492620</v>
      </c>
      <c r="J1460" s="16">
        <f>'БА в тыс. руб.'!G1460*1000</f>
        <v>109804480</v>
      </c>
      <c r="K1460" s="169">
        <f t="shared" si="976"/>
        <v>0</v>
      </c>
      <c r="L1460" s="16">
        <f>'БА в тыс. руб.'!H1460*1000</f>
        <v>105492620</v>
      </c>
      <c r="M1460" s="169">
        <f t="shared" si="977"/>
        <v>0</v>
      </c>
      <c r="N1460" s="16">
        <f>'БА в тыс. руб.'!I1460*1000</f>
        <v>105492620</v>
      </c>
      <c r="O1460" s="169">
        <f t="shared" si="978"/>
        <v>0</v>
      </c>
      <c r="P1460" s="16"/>
      <c r="Q1460" s="16"/>
      <c r="R1460" s="16"/>
      <c r="S1460" s="16"/>
      <c r="T1460" s="16"/>
      <c r="U1460" s="16"/>
    </row>
    <row r="1461" spans="1:21" s="3" customFormat="1" ht="25.5">
      <c r="A1461" s="11" t="s">
        <v>108</v>
      </c>
      <c r="B1461" s="26" t="s">
        <v>20</v>
      </c>
      <c r="C1461" s="26" t="s">
        <v>8</v>
      </c>
      <c r="D1461" s="26" t="s">
        <v>53</v>
      </c>
      <c r="E1461" s="26" t="s">
        <v>661</v>
      </c>
      <c r="F1461" s="26" t="s">
        <v>116</v>
      </c>
      <c r="G1461" s="42">
        <f>G1462</f>
        <v>109804480</v>
      </c>
      <c r="H1461" s="42">
        <f t="shared" si="996"/>
        <v>105492620</v>
      </c>
      <c r="I1461" s="42">
        <f t="shared" si="996"/>
        <v>105492620</v>
      </c>
      <c r="J1461" s="16">
        <f>'БА в тыс. руб.'!G1461*1000</f>
        <v>109804480</v>
      </c>
      <c r="K1461" s="169">
        <f t="shared" si="976"/>
        <v>0</v>
      </c>
      <c r="L1461" s="16">
        <f>'БА в тыс. руб.'!H1461*1000</f>
        <v>105492620</v>
      </c>
      <c r="M1461" s="169">
        <f t="shared" si="977"/>
        <v>0</v>
      </c>
      <c r="N1461" s="16">
        <f>'БА в тыс. руб.'!I1461*1000</f>
        <v>105492620</v>
      </c>
      <c r="O1461" s="169">
        <f t="shared" si="978"/>
        <v>0</v>
      </c>
      <c r="P1461" s="16"/>
      <c r="Q1461" s="16"/>
      <c r="R1461" s="16"/>
      <c r="S1461" s="16"/>
      <c r="T1461" s="16"/>
      <c r="U1461" s="16"/>
    </row>
    <row r="1462" spans="1:21" s="3" customFormat="1" ht="25.5">
      <c r="A1462" s="12" t="s">
        <v>973</v>
      </c>
      <c r="B1462" s="26" t="s">
        <v>20</v>
      </c>
      <c r="C1462" s="26" t="s">
        <v>8</v>
      </c>
      <c r="D1462" s="26" t="s">
        <v>53</v>
      </c>
      <c r="E1462" s="26" t="s">
        <v>661</v>
      </c>
      <c r="F1462" s="26" t="s">
        <v>1043</v>
      </c>
      <c r="G1462" s="27">
        <f t="shared" ref="G1462" si="997">J1462</f>
        <v>109804480</v>
      </c>
      <c r="H1462" s="27">
        <f>L1462</f>
        <v>105492620</v>
      </c>
      <c r="I1462" s="27">
        <f>N1462</f>
        <v>105492620</v>
      </c>
      <c r="J1462" s="16">
        <f>'БА в тыс. руб.'!G1462*1000</f>
        <v>109804480</v>
      </c>
      <c r="K1462" s="169"/>
      <c r="L1462" s="16">
        <f>'БА в тыс. руб.'!H1462*1000</f>
        <v>105492620</v>
      </c>
      <c r="M1462" s="169"/>
      <c r="N1462" s="16">
        <f>'БА в тыс. руб.'!I1462*1000</f>
        <v>105492620</v>
      </c>
      <c r="O1462" s="169"/>
      <c r="P1462" s="16"/>
      <c r="Q1462" s="16"/>
      <c r="R1462" s="16"/>
      <c r="S1462" s="16"/>
      <c r="T1462" s="16"/>
      <c r="U1462" s="16"/>
    </row>
    <row r="1463" spans="1:21" s="3" customFormat="1" ht="25.5">
      <c r="A1463" s="11" t="s">
        <v>158</v>
      </c>
      <c r="B1463" s="26" t="s">
        <v>20</v>
      </c>
      <c r="C1463" s="26" t="s">
        <v>8</v>
      </c>
      <c r="D1463" s="26" t="s">
        <v>53</v>
      </c>
      <c r="E1463" s="26" t="s">
        <v>646</v>
      </c>
      <c r="F1463" s="26" t="s">
        <v>58</v>
      </c>
      <c r="G1463" s="42">
        <f>G1464+G1468+G1466</f>
        <v>21562670</v>
      </c>
      <c r="H1463" s="42">
        <f>H1464+H1468</f>
        <v>19405340</v>
      </c>
      <c r="I1463" s="42">
        <f>I1464+I1468</f>
        <v>19405340</v>
      </c>
      <c r="J1463" s="16">
        <f>'БА в тыс. руб.'!G1463*1000</f>
        <v>21562670</v>
      </c>
      <c r="K1463" s="169">
        <f t="shared" si="976"/>
        <v>0</v>
      </c>
      <c r="L1463" s="16">
        <f>'БА в тыс. руб.'!H1463*1000</f>
        <v>19405340</v>
      </c>
      <c r="M1463" s="169">
        <f t="shared" si="977"/>
        <v>0</v>
      </c>
      <c r="N1463" s="16">
        <f>'БА в тыс. руб.'!I1463*1000</f>
        <v>19405340</v>
      </c>
      <c r="O1463" s="169">
        <f t="shared" si="978"/>
        <v>0</v>
      </c>
      <c r="P1463" s="16"/>
      <c r="Q1463" s="16"/>
      <c r="R1463" s="16"/>
      <c r="S1463" s="16"/>
      <c r="T1463" s="16"/>
      <c r="U1463" s="16"/>
    </row>
    <row r="1464" spans="1:21" s="3" customFormat="1" ht="25.5">
      <c r="A1464" s="11" t="s">
        <v>108</v>
      </c>
      <c r="B1464" s="26" t="s">
        <v>20</v>
      </c>
      <c r="C1464" s="26" t="s">
        <v>8</v>
      </c>
      <c r="D1464" s="26" t="s">
        <v>53</v>
      </c>
      <c r="E1464" s="26" t="s">
        <v>646</v>
      </c>
      <c r="F1464" s="26" t="s">
        <v>116</v>
      </c>
      <c r="G1464" s="42">
        <f>G1465</f>
        <v>19955030</v>
      </c>
      <c r="H1464" s="42">
        <f t="shared" ref="H1464:I1464" si="998">H1465</f>
        <v>19255340</v>
      </c>
      <c r="I1464" s="42">
        <f t="shared" si="998"/>
        <v>19255340</v>
      </c>
      <c r="J1464" s="16">
        <f>'БА в тыс. руб.'!G1464*1000</f>
        <v>19955030</v>
      </c>
      <c r="K1464" s="169">
        <f t="shared" si="976"/>
        <v>0</v>
      </c>
      <c r="L1464" s="16">
        <f>'БА в тыс. руб.'!H1464*1000</f>
        <v>19255340</v>
      </c>
      <c r="M1464" s="169">
        <f t="shared" si="977"/>
        <v>0</v>
      </c>
      <c r="N1464" s="16">
        <f>'БА в тыс. руб.'!I1464*1000</f>
        <v>19255340</v>
      </c>
      <c r="O1464" s="169">
        <f t="shared" si="978"/>
        <v>0</v>
      </c>
      <c r="P1464" s="16"/>
      <c r="Q1464" s="16"/>
      <c r="R1464" s="16"/>
      <c r="S1464" s="16"/>
      <c r="T1464" s="16"/>
      <c r="U1464" s="16"/>
    </row>
    <row r="1465" spans="1:21" s="4" customFormat="1" ht="25.5">
      <c r="A1465" s="12" t="s">
        <v>973</v>
      </c>
      <c r="B1465" s="26" t="s">
        <v>20</v>
      </c>
      <c r="C1465" s="26" t="s">
        <v>8</v>
      </c>
      <c r="D1465" s="26" t="s">
        <v>53</v>
      </c>
      <c r="E1465" s="26" t="s">
        <v>646</v>
      </c>
      <c r="F1465" s="26" t="s">
        <v>1043</v>
      </c>
      <c r="G1465" s="27">
        <f t="shared" ref="G1465" si="999">J1465</f>
        <v>19955030</v>
      </c>
      <c r="H1465" s="27">
        <f>L1465</f>
        <v>19255340</v>
      </c>
      <c r="I1465" s="27">
        <f>N1465</f>
        <v>19255340</v>
      </c>
      <c r="J1465" s="16">
        <f>'БА в тыс. руб.'!G1465*1000</f>
        <v>19955030</v>
      </c>
      <c r="K1465" s="169">
        <f t="shared" si="976"/>
        <v>0</v>
      </c>
      <c r="L1465" s="16">
        <f>'БА в тыс. руб.'!H1465*1000</f>
        <v>19255340</v>
      </c>
      <c r="M1465" s="169">
        <f t="shared" si="977"/>
        <v>0</v>
      </c>
      <c r="N1465" s="16">
        <f>'БА в тыс. руб.'!I1465*1000</f>
        <v>19255340</v>
      </c>
      <c r="O1465" s="169">
        <f t="shared" si="978"/>
        <v>0</v>
      </c>
      <c r="P1465" s="16"/>
      <c r="Q1465" s="16"/>
      <c r="R1465" s="16"/>
      <c r="S1465" s="16"/>
      <c r="T1465" s="16"/>
      <c r="U1465" s="16"/>
    </row>
    <row r="1466" spans="1:21" s="3" customFormat="1">
      <c r="A1466" s="76" t="s">
        <v>21</v>
      </c>
      <c r="B1466" s="26" t="s">
        <v>20</v>
      </c>
      <c r="C1466" s="26" t="s">
        <v>8</v>
      </c>
      <c r="D1466" s="26" t="s">
        <v>53</v>
      </c>
      <c r="E1466" s="26" t="s">
        <v>646</v>
      </c>
      <c r="F1466" s="26" t="s">
        <v>103</v>
      </c>
      <c r="G1466" s="42">
        <f>G1467</f>
        <v>1607640</v>
      </c>
      <c r="H1466" s="42">
        <f t="shared" ref="H1466:I1466" si="1000">H1467</f>
        <v>0</v>
      </c>
      <c r="I1466" s="42">
        <f t="shared" si="1000"/>
        <v>0</v>
      </c>
      <c r="J1466" s="16">
        <f>'БА в тыс. руб.'!G1466*1000</f>
        <v>1607640</v>
      </c>
      <c r="K1466" s="169">
        <f t="shared" si="976"/>
        <v>0</v>
      </c>
      <c r="L1466" s="16">
        <f>'БА в тыс. руб.'!H1466*1000</f>
        <v>0</v>
      </c>
      <c r="M1466" s="169">
        <f t="shared" si="977"/>
        <v>0</v>
      </c>
      <c r="N1466" s="16">
        <f>'БА в тыс. руб.'!I1466*1000</f>
        <v>0</v>
      </c>
      <c r="O1466" s="169">
        <f t="shared" si="978"/>
        <v>0</v>
      </c>
      <c r="P1466" s="16"/>
      <c r="Q1466" s="16"/>
      <c r="R1466" s="16"/>
      <c r="S1466" s="16"/>
      <c r="T1466" s="16"/>
      <c r="U1466" s="16"/>
    </row>
    <row r="1467" spans="1:21" s="4" customFormat="1" ht="25.5">
      <c r="A1467" s="12" t="s">
        <v>987</v>
      </c>
      <c r="B1467" s="26" t="s">
        <v>20</v>
      </c>
      <c r="C1467" s="26" t="s">
        <v>8</v>
      </c>
      <c r="D1467" s="26" t="s">
        <v>53</v>
      </c>
      <c r="E1467" s="26" t="s">
        <v>646</v>
      </c>
      <c r="F1467" s="26" t="s">
        <v>1052</v>
      </c>
      <c r="G1467" s="27">
        <f t="shared" ref="G1467:G1468" si="1001">J1467</f>
        <v>1607640</v>
      </c>
      <c r="H1467" s="27">
        <f t="shared" ref="H1467:H1468" si="1002">L1467</f>
        <v>0</v>
      </c>
      <c r="I1467" s="27">
        <f t="shared" ref="I1467:I1468" si="1003">N1467</f>
        <v>0</v>
      </c>
      <c r="J1467" s="16">
        <f>'БА в тыс. руб.'!G1467*1000</f>
        <v>1607640</v>
      </c>
      <c r="K1467" s="169">
        <f t="shared" si="976"/>
        <v>0</v>
      </c>
      <c r="L1467" s="16">
        <f>'БА в тыс. руб.'!H1467*1000</f>
        <v>0</v>
      </c>
      <c r="M1467" s="169">
        <f t="shared" si="977"/>
        <v>0</v>
      </c>
      <c r="N1467" s="16">
        <f>'БА в тыс. руб.'!I1467*1000</f>
        <v>0</v>
      </c>
      <c r="O1467" s="169">
        <f t="shared" si="978"/>
        <v>0</v>
      </c>
      <c r="P1467" s="16"/>
      <c r="Q1467" s="16"/>
      <c r="R1467" s="16"/>
      <c r="S1467" s="16"/>
      <c r="T1467" s="16"/>
      <c r="U1467" s="16"/>
    </row>
    <row r="1468" spans="1:21" s="3" customFormat="1">
      <c r="A1468" s="11" t="s">
        <v>99</v>
      </c>
      <c r="B1468" s="26" t="s">
        <v>20</v>
      </c>
      <c r="C1468" s="26" t="s">
        <v>8</v>
      </c>
      <c r="D1468" s="26" t="s">
        <v>53</v>
      </c>
      <c r="E1468" s="26" t="s">
        <v>646</v>
      </c>
      <c r="F1468" s="26" t="s">
        <v>105</v>
      </c>
      <c r="G1468" s="27">
        <f t="shared" si="1001"/>
        <v>0</v>
      </c>
      <c r="H1468" s="27">
        <f t="shared" si="1002"/>
        <v>150000</v>
      </c>
      <c r="I1468" s="27">
        <f t="shared" si="1003"/>
        <v>150000</v>
      </c>
      <c r="J1468" s="16">
        <f>'БА в тыс. руб.'!G1468*1000</f>
        <v>0</v>
      </c>
      <c r="K1468" s="169">
        <f t="shared" si="976"/>
        <v>0</v>
      </c>
      <c r="L1468" s="16">
        <f>'БА в тыс. руб.'!H1468*1000</f>
        <v>150000</v>
      </c>
      <c r="M1468" s="169">
        <f t="shared" si="977"/>
        <v>0</v>
      </c>
      <c r="N1468" s="16">
        <f>'БА в тыс. руб.'!I1468*1000</f>
        <v>150000</v>
      </c>
      <c r="O1468" s="169">
        <f t="shared" si="978"/>
        <v>0</v>
      </c>
      <c r="P1468" s="16"/>
      <c r="Q1468" s="16"/>
      <c r="R1468" s="16"/>
      <c r="S1468" s="16"/>
      <c r="T1468" s="16"/>
      <c r="U1468" s="16"/>
    </row>
    <row r="1469" spans="1:21" s="3" customFormat="1" ht="25.5">
      <c r="A1469" s="31" t="s">
        <v>159</v>
      </c>
      <c r="B1469" s="26" t="s">
        <v>20</v>
      </c>
      <c r="C1469" s="26" t="s">
        <v>8</v>
      </c>
      <c r="D1469" s="26" t="s">
        <v>53</v>
      </c>
      <c r="E1469" s="26" t="s">
        <v>647</v>
      </c>
      <c r="F1469" s="26" t="s">
        <v>58</v>
      </c>
      <c r="G1469" s="42">
        <f>G1470</f>
        <v>25550000</v>
      </c>
      <c r="H1469" s="42">
        <f t="shared" ref="H1469:I1470" si="1004">H1470</f>
        <v>42159690</v>
      </c>
      <c r="I1469" s="42">
        <f t="shared" si="1004"/>
        <v>42159690</v>
      </c>
      <c r="J1469" s="16">
        <f>'БА в тыс. руб.'!G1469*1000</f>
        <v>25550000</v>
      </c>
      <c r="K1469" s="169">
        <f t="shared" si="976"/>
        <v>0</v>
      </c>
      <c r="L1469" s="16">
        <f>'БА в тыс. руб.'!H1469*1000</f>
        <v>42159690</v>
      </c>
      <c r="M1469" s="169">
        <f t="shared" si="977"/>
        <v>0</v>
      </c>
      <c r="N1469" s="16">
        <f>'БА в тыс. руб.'!I1469*1000</f>
        <v>42159690</v>
      </c>
      <c r="O1469" s="169">
        <f t="shared" si="978"/>
        <v>0</v>
      </c>
      <c r="P1469" s="16"/>
      <c r="Q1469" s="16"/>
      <c r="R1469" s="16"/>
      <c r="S1469" s="16"/>
      <c r="T1469" s="16"/>
      <c r="U1469" s="16"/>
    </row>
    <row r="1470" spans="1:21" s="3" customFormat="1" ht="25.5">
      <c r="A1470" s="11" t="s">
        <v>108</v>
      </c>
      <c r="B1470" s="26" t="s">
        <v>20</v>
      </c>
      <c r="C1470" s="26" t="s">
        <v>8</v>
      </c>
      <c r="D1470" s="26" t="s">
        <v>53</v>
      </c>
      <c r="E1470" s="26" t="s">
        <v>647</v>
      </c>
      <c r="F1470" s="26" t="s">
        <v>116</v>
      </c>
      <c r="G1470" s="42">
        <f>G1471</f>
        <v>25550000</v>
      </c>
      <c r="H1470" s="42">
        <f t="shared" si="1004"/>
        <v>42159690</v>
      </c>
      <c r="I1470" s="42">
        <f t="shared" si="1004"/>
        <v>42159690</v>
      </c>
      <c r="J1470" s="16">
        <f>'БА в тыс. руб.'!G1470*1000</f>
        <v>25550000</v>
      </c>
      <c r="K1470" s="169">
        <f t="shared" si="976"/>
        <v>0</v>
      </c>
      <c r="L1470" s="16">
        <f>'БА в тыс. руб.'!H1470*1000</f>
        <v>42159690</v>
      </c>
      <c r="M1470" s="169">
        <f t="shared" si="977"/>
        <v>0</v>
      </c>
      <c r="N1470" s="16">
        <f>'БА в тыс. руб.'!I1470*1000</f>
        <v>42159690</v>
      </c>
      <c r="O1470" s="169">
        <f t="shared" si="978"/>
        <v>0</v>
      </c>
      <c r="P1470" s="16"/>
      <c r="Q1470" s="16"/>
      <c r="R1470" s="16"/>
      <c r="S1470" s="16"/>
      <c r="T1470" s="16"/>
      <c r="U1470" s="16"/>
    </row>
    <row r="1471" spans="1:21" s="4" customFormat="1" ht="25.5">
      <c r="A1471" s="12" t="s">
        <v>973</v>
      </c>
      <c r="B1471" s="26" t="s">
        <v>20</v>
      </c>
      <c r="C1471" s="26" t="s">
        <v>8</v>
      </c>
      <c r="D1471" s="26" t="s">
        <v>53</v>
      </c>
      <c r="E1471" s="26" t="s">
        <v>647</v>
      </c>
      <c r="F1471" s="26" t="s">
        <v>1043</v>
      </c>
      <c r="G1471" s="27">
        <f t="shared" ref="G1471" si="1005">J1471</f>
        <v>25550000</v>
      </c>
      <c r="H1471" s="27">
        <f>L1471</f>
        <v>42159690</v>
      </c>
      <c r="I1471" s="27">
        <f>N1471</f>
        <v>42159690</v>
      </c>
      <c r="J1471" s="16">
        <f>'БА в тыс. руб.'!G1471*1000</f>
        <v>25550000</v>
      </c>
      <c r="K1471" s="169">
        <f t="shared" si="976"/>
        <v>0</v>
      </c>
      <c r="L1471" s="16">
        <f>'БА в тыс. руб.'!H1471*1000</f>
        <v>42159690</v>
      </c>
      <c r="M1471" s="169">
        <f t="shared" si="977"/>
        <v>0</v>
      </c>
      <c r="N1471" s="16">
        <f>'БА в тыс. руб.'!I1471*1000</f>
        <v>42159690</v>
      </c>
      <c r="O1471" s="169">
        <f t="shared" si="978"/>
        <v>0</v>
      </c>
      <c r="P1471" s="16"/>
      <c r="Q1471" s="16"/>
      <c r="R1471" s="16"/>
      <c r="S1471" s="16"/>
      <c r="T1471" s="16"/>
      <c r="U1471" s="16"/>
    </row>
    <row r="1472" spans="1:21" s="3" customFormat="1" ht="63.75">
      <c r="A1472" s="11" t="s">
        <v>591</v>
      </c>
      <c r="B1472" s="26" t="s">
        <v>20</v>
      </c>
      <c r="C1472" s="26" t="s">
        <v>8</v>
      </c>
      <c r="D1472" s="26" t="s">
        <v>53</v>
      </c>
      <c r="E1472" s="26" t="s">
        <v>662</v>
      </c>
      <c r="F1472" s="26" t="s">
        <v>58</v>
      </c>
      <c r="G1472" s="42">
        <f>G1473</f>
        <v>36909760</v>
      </c>
      <c r="H1472" s="42">
        <f>H1473</f>
        <v>14838060</v>
      </c>
      <c r="I1472" s="42">
        <f>I1473</f>
        <v>14838060</v>
      </c>
      <c r="J1472" s="16">
        <f>'БА в тыс. руб.'!G1472*1000</f>
        <v>36909760</v>
      </c>
      <c r="K1472" s="169">
        <f t="shared" si="976"/>
        <v>0</v>
      </c>
      <c r="L1472" s="16">
        <f>'БА в тыс. руб.'!H1472*1000</f>
        <v>14838060</v>
      </c>
      <c r="M1472" s="169">
        <f t="shared" si="977"/>
        <v>0</v>
      </c>
      <c r="N1472" s="16">
        <f>'БА в тыс. руб.'!I1472*1000</f>
        <v>14838060</v>
      </c>
      <c r="O1472" s="169">
        <f t="shared" si="978"/>
        <v>0</v>
      </c>
      <c r="P1472" s="16"/>
      <c r="Q1472" s="16"/>
      <c r="R1472" s="16"/>
      <c r="S1472" s="16"/>
      <c r="T1472" s="16"/>
      <c r="U1472" s="16"/>
    </row>
    <row r="1473" spans="1:21" s="3" customFormat="1" ht="25.5">
      <c r="A1473" s="11" t="s">
        <v>108</v>
      </c>
      <c r="B1473" s="26" t="s">
        <v>20</v>
      </c>
      <c r="C1473" s="26" t="s">
        <v>8</v>
      </c>
      <c r="D1473" s="26" t="s">
        <v>53</v>
      </c>
      <c r="E1473" s="26" t="s">
        <v>662</v>
      </c>
      <c r="F1473" s="26" t="s">
        <v>116</v>
      </c>
      <c r="G1473" s="42">
        <f>G1474</f>
        <v>36909760</v>
      </c>
      <c r="H1473" s="42">
        <f t="shared" ref="H1473:I1473" si="1006">H1474</f>
        <v>14838060</v>
      </c>
      <c r="I1473" s="42">
        <f t="shared" si="1006"/>
        <v>14838060</v>
      </c>
      <c r="J1473" s="16">
        <f>'БА в тыс. руб.'!G1473*1000</f>
        <v>36909760</v>
      </c>
      <c r="K1473" s="169">
        <f t="shared" si="976"/>
        <v>0</v>
      </c>
      <c r="L1473" s="16">
        <f>'БА в тыс. руб.'!H1473*1000</f>
        <v>14838060</v>
      </c>
      <c r="M1473" s="169">
        <f t="shared" si="977"/>
        <v>0</v>
      </c>
      <c r="N1473" s="16">
        <f>'БА в тыс. руб.'!I1473*1000</f>
        <v>14838060</v>
      </c>
      <c r="O1473" s="169">
        <f t="shared" si="978"/>
        <v>0</v>
      </c>
      <c r="P1473" s="16"/>
      <c r="Q1473" s="16"/>
      <c r="R1473" s="16"/>
      <c r="S1473" s="16"/>
      <c r="T1473" s="16"/>
      <c r="U1473" s="16"/>
    </row>
    <row r="1474" spans="1:21" s="4" customFormat="1" ht="25.5">
      <c r="A1474" s="12" t="s">
        <v>973</v>
      </c>
      <c r="B1474" s="26" t="s">
        <v>20</v>
      </c>
      <c r="C1474" s="26" t="s">
        <v>8</v>
      </c>
      <c r="D1474" s="26" t="s">
        <v>53</v>
      </c>
      <c r="E1474" s="26" t="s">
        <v>662</v>
      </c>
      <c r="F1474" s="26" t="s">
        <v>1043</v>
      </c>
      <c r="G1474" s="27">
        <f t="shared" ref="G1474" si="1007">J1474</f>
        <v>36909760</v>
      </c>
      <c r="H1474" s="27">
        <f>L1474</f>
        <v>14838060</v>
      </c>
      <c r="I1474" s="27">
        <f>N1474</f>
        <v>14838060</v>
      </c>
      <c r="J1474" s="16">
        <f>'БА в тыс. руб.'!G1474*1000</f>
        <v>36909760</v>
      </c>
      <c r="K1474" s="169">
        <f t="shared" si="976"/>
        <v>0</v>
      </c>
      <c r="L1474" s="16">
        <f>'БА в тыс. руб.'!H1474*1000</f>
        <v>14838060</v>
      </c>
      <c r="M1474" s="169">
        <f t="shared" si="977"/>
        <v>0</v>
      </c>
      <c r="N1474" s="16">
        <f>'БА в тыс. руб.'!I1474*1000</f>
        <v>14838060</v>
      </c>
      <c r="O1474" s="169">
        <f t="shared" si="978"/>
        <v>0</v>
      </c>
      <c r="P1474" s="16"/>
      <c r="Q1474" s="16"/>
      <c r="R1474" s="16"/>
      <c r="S1474" s="16"/>
      <c r="T1474" s="16"/>
      <c r="U1474" s="16"/>
    </row>
    <row r="1475" spans="1:21" s="3" customFormat="1" ht="25.5">
      <c r="A1475" s="11" t="s">
        <v>757</v>
      </c>
      <c r="B1475" s="36" t="s">
        <v>20</v>
      </c>
      <c r="C1475" s="36" t="s">
        <v>8</v>
      </c>
      <c r="D1475" s="36" t="s">
        <v>53</v>
      </c>
      <c r="E1475" s="36" t="s">
        <v>342</v>
      </c>
      <c r="F1475" s="36" t="s">
        <v>58</v>
      </c>
      <c r="G1475" s="44">
        <f t="shared" ref="G1475:I1479" si="1008">G1476</f>
        <v>3761680</v>
      </c>
      <c r="H1475" s="44">
        <f t="shared" si="1008"/>
        <v>3385520</v>
      </c>
      <c r="I1475" s="44">
        <f t="shared" si="1008"/>
        <v>3385520</v>
      </c>
      <c r="J1475" s="16">
        <f>'БА в тыс. руб.'!G1475*1000</f>
        <v>3761680</v>
      </c>
      <c r="K1475" s="169">
        <f t="shared" si="976"/>
        <v>0</v>
      </c>
      <c r="L1475" s="16">
        <f>'БА в тыс. руб.'!H1475*1000</f>
        <v>3385520</v>
      </c>
      <c r="M1475" s="169">
        <f t="shared" si="977"/>
        <v>0</v>
      </c>
      <c r="N1475" s="16">
        <f>'БА в тыс. руб.'!I1475*1000</f>
        <v>3385520</v>
      </c>
      <c r="O1475" s="169">
        <f t="shared" si="978"/>
        <v>0</v>
      </c>
      <c r="P1475" s="16"/>
      <c r="Q1475" s="16"/>
      <c r="R1475" s="16"/>
      <c r="S1475" s="16"/>
      <c r="T1475" s="16"/>
      <c r="U1475" s="16"/>
    </row>
    <row r="1476" spans="1:21" s="3" customFormat="1" ht="38.25">
      <c r="A1476" s="34" t="s">
        <v>758</v>
      </c>
      <c r="B1476" s="36" t="s">
        <v>20</v>
      </c>
      <c r="C1476" s="36" t="s">
        <v>8</v>
      </c>
      <c r="D1476" s="36" t="s">
        <v>53</v>
      </c>
      <c r="E1476" s="36" t="s">
        <v>343</v>
      </c>
      <c r="F1476" s="36" t="s">
        <v>58</v>
      </c>
      <c r="G1476" s="44">
        <f t="shared" si="1008"/>
        <v>3761680</v>
      </c>
      <c r="H1476" s="44">
        <f t="shared" si="1008"/>
        <v>3385520</v>
      </c>
      <c r="I1476" s="44">
        <f t="shared" si="1008"/>
        <v>3385520</v>
      </c>
      <c r="J1476" s="16">
        <f>'БА в тыс. руб.'!G1476*1000</f>
        <v>3761680</v>
      </c>
      <c r="K1476" s="169">
        <f t="shared" si="976"/>
        <v>0</v>
      </c>
      <c r="L1476" s="16">
        <f>'БА в тыс. руб.'!H1476*1000</f>
        <v>3385520</v>
      </c>
      <c r="M1476" s="169">
        <f t="shared" si="977"/>
        <v>0</v>
      </c>
      <c r="N1476" s="16">
        <f>'БА в тыс. руб.'!I1476*1000</f>
        <v>3385520</v>
      </c>
      <c r="O1476" s="169">
        <f t="shared" si="978"/>
        <v>0</v>
      </c>
      <c r="P1476" s="16"/>
      <c r="Q1476" s="16"/>
      <c r="R1476" s="16"/>
      <c r="S1476" s="16"/>
      <c r="T1476" s="16"/>
      <c r="U1476" s="16"/>
    </row>
    <row r="1477" spans="1:21" s="3" customFormat="1" ht="25.5">
      <c r="A1477" s="34" t="s">
        <v>528</v>
      </c>
      <c r="B1477" s="36" t="s">
        <v>20</v>
      </c>
      <c r="C1477" s="36" t="s">
        <v>8</v>
      </c>
      <c r="D1477" s="36" t="s">
        <v>53</v>
      </c>
      <c r="E1477" s="36" t="s">
        <v>529</v>
      </c>
      <c r="F1477" s="36" t="s">
        <v>58</v>
      </c>
      <c r="G1477" s="44">
        <f t="shared" si="1008"/>
        <v>3761680</v>
      </c>
      <c r="H1477" s="44">
        <f t="shared" si="1008"/>
        <v>3385520</v>
      </c>
      <c r="I1477" s="44">
        <f t="shared" si="1008"/>
        <v>3385520</v>
      </c>
      <c r="J1477" s="16">
        <f>'БА в тыс. руб.'!G1477*1000</f>
        <v>3761680</v>
      </c>
      <c r="K1477" s="169">
        <f t="shared" si="976"/>
        <v>0</v>
      </c>
      <c r="L1477" s="16">
        <f>'БА в тыс. руб.'!H1477*1000</f>
        <v>3385520</v>
      </c>
      <c r="M1477" s="169">
        <f t="shared" si="977"/>
        <v>0</v>
      </c>
      <c r="N1477" s="16">
        <f>'БА в тыс. руб.'!I1477*1000</f>
        <v>3385520</v>
      </c>
      <c r="O1477" s="169">
        <f t="shared" si="978"/>
        <v>0</v>
      </c>
      <c r="P1477" s="16"/>
      <c r="Q1477" s="16"/>
      <c r="R1477" s="16"/>
      <c r="S1477" s="16"/>
      <c r="T1477" s="16"/>
      <c r="U1477" s="16"/>
    </row>
    <row r="1478" spans="1:21" s="3" customFormat="1" ht="25.5">
      <c r="A1478" s="12" t="s">
        <v>174</v>
      </c>
      <c r="B1478" s="26" t="s">
        <v>20</v>
      </c>
      <c r="C1478" s="26" t="s">
        <v>8</v>
      </c>
      <c r="D1478" s="26" t="s">
        <v>53</v>
      </c>
      <c r="E1478" s="26" t="s">
        <v>530</v>
      </c>
      <c r="F1478" s="26" t="s">
        <v>58</v>
      </c>
      <c r="G1478" s="45">
        <f t="shared" si="1008"/>
        <v>3761680</v>
      </c>
      <c r="H1478" s="45">
        <f t="shared" si="1008"/>
        <v>3385520</v>
      </c>
      <c r="I1478" s="45">
        <f t="shared" si="1008"/>
        <v>3385520</v>
      </c>
      <c r="J1478" s="16">
        <f>'БА в тыс. руб.'!G1478*1000</f>
        <v>3761680</v>
      </c>
      <c r="K1478" s="169">
        <f t="shared" si="976"/>
        <v>0</v>
      </c>
      <c r="L1478" s="16">
        <f>'БА в тыс. руб.'!H1478*1000</f>
        <v>3385520</v>
      </c>
      <c r="M1478" s="169">
        <f t="shared" si="977"/>
        <v>0</v>
      </c>
      <c r="N1478" s="16">
        <f>'БА в тыс. руб.'!I1478*1000</f>
        <v>3385520</v>
      </c>
      <c r="O1478" s="169">
        <f t="shared" si="978"/>
        <v>0</v>
      </c>
      <c r="P1478" s="16"/>
      <c r="Q1478" s="16"/>
      <c r="R1478" s="16"/>
      <c r="S1478" s="16"/>
      <c r="T1478" s="16"/>
      <c r="U1478" s="16"/>
    </row>
    <row r="1479" spans="1:21" s="3" customFormat="1" ht="25.5">
      <c r="A1479" s="11" t="s">
        <v>108</v>
      </c>
      <c r="B1479" s="26" t="s">
        <v>20</v>
      </c>
      <c r="C1479" s="26" t="s">
        <v>8</v>
      </c>
      <c r="D1479" s="26" t="s">
        <v>53</v>
      </c>
      <c r="E1479" s="26" t="s">
        <v>530</v>
      </c>
      <c r="F1479" s="26" t="s">
        <v>116</v>
      </c>
      <c r="G1479" s="45">
        <f>G1480</f>
        <v>3761680</v>
      </c>
      <c r="H1479" s="45">
        <f t="shared" si="1008"/>
        <v>3385520</v>
      </c>
      <c r="I1479" s="45">
        <f t="shared" si="1008"/>
        <v>3385520</v>
      </c>
      <c r="J1479" s="16">
        <f>'БА в тыс. руб.'!G1479*1000</f>
        <v>3761680</v>
      </c>
      <c r="K1479" s="169">
        <f t="shared" si="976"/>
        <v>0</v>
      </c>
      <c r="L1479" s="16">
        <f>'БА в тыс. руб.'!H1479*1000</f>
        <v>3385520</v>
      </c>
      <c r="M1479" s="169">
        <f t="shared" si="977"/>
        <v>0</v>
      </c>
      <c r="N1479" s="16">
        <f>'БА в тыс. руб.'!I1479*1000</f>
        <v>3385520</v>
      </c>
      <c r="O1479" s="169">
        <f t="shared" si="978"/>
        <v>0</v>
      </c>
      <c r="P1479" s="16"/>
      <c r="Q1479" s="16"/>
      <c r="R1479" s="16"/>
      <c r="S1479" s="16"/>
      <c r="T1479" s="16"/>
      <c r="U1479" s="16"/>
    </row>
    <row r="1480" spans="1:21" s="4" customFormat="1" ht="25.5">
      <c r="A1480" s="12" t="s">
        <v>973</v>
      </c>
      <c r="B1480" s="26" t="s">
        <v>20</v>
      </c>
      <c r="C1480" s="26" t="s">
        <v>8</v>
      </c>
      <c r="D1480" s="26" t="s">
        <v>53</v>
      </c>
      <c r="E1480" s="26" t="s">
        <v>530</v>
      </c>
      <c r="F1480" s="26" t="s">
        <v>1043</v>
      </c>
      <c r="G1480" s="27">
        <f t="shared" ref="G1480" si="1009">J1480</f>
        <v>3761680</v>
      </c>
      <c r="H1480" s="27">
        <f>L1480</f>
        <v>3385520</v>
      </c>
      <c r="I1480" s="27">
        <f>N1480</f>
        <v>3385520</v>
      </c>
      <c r="J1480" s="16">
        <f>'БА в тыс. руб.'!G1480*1000</f>
        <v>3761680</v>
      </c>
      <c r="K1480" s="169">
        <f t="shared" si="976"/>
        <v>0</v>
      </c>
      <c r="L1480" s="16">
        <f>'БА в тыс. руб.'!H1480*1000</f>
        <v>3385520</v>
      </c>
      <c r="M1480" s="169">
        <f t="shared" si="977"/>
        <v>0</v>
      </c>
      <c r="N1480" s="16">
        <f>'БА в тыс. руб.'!I1480*1000</f>
        <v>3385520</v>
      </c>
      <c r="O1480" s="169">
        <f t="shared" si="978"/>
        <v>0</v>
      </c>
      <c r="P1480" s="16"/>
      <c r="Q1480" s="16"/>
      <c r="R1480" s="16"/>
      <c r="S1480" s="16"/>
      <c r="T1480" s="16"/>
      <c r="U1480" s="16"/>
    </row>
    <row r="1481" spans="1:21" s="3" customFormat="1" ht="16.899999999999999" customHeight="1">
      <c r="A1481" s="21" t="s">
        <v>3</v>
      </c>
      <c r="B1481" s="22" t="s">
        <v>20</v>
      </c>
      <c r="C1481" s="23" t="s">
        <v>8</v>
      </c>
      <c r="D1481" s="23" t="s">
        <v>8</v>
      </c>
      <c r="E1481" s="23" t="s">
        <v>196</v>
      </c>
      <c r="F1481" s="23" t="s">
        <v>58</v>
      </c>
      <c r="G1481" s="24">
        <f>G1482+G1488</f>
        <v>57206800</v>
      </c>
      <c r="H1481" s="24">
        <f>H1482+H1488</f>
        <v>56135030</v>
      </c>
      <c r="I1481" s="24">
        <f>I1482+I1488</f>
        <v>56135030</v>
      </c>
      <c r="J1481" s="16">
        <f>'БА в тыс. руб.'!G1481*1000</f>
        <v>57206799.999999993</v>
      </c>
      <c r="K1481" s="169">
        <f t="shared" si="976"/>
        <v>0</v>
      </c>
      <c r="L1481" s="16">
        <f>'БА в тыс. руб.'!H1481*1000</f>
        <v>56135030</v>
      </c>
      <c r="M1481" s="169">
        <f t="shared" si="977"/>
        <v>0</v>
      </c>
      <c r="N1481" s="16">
        <f>'БА в тыс. руб.'!I1481*1000</f>
        <v>56135030</v>
      </c>
      <c r="O1481" s="169">
        <f t="shared" si="978"/>
        <v>0</v>
      </c>
      <c r="P1481" s="16"/>
      <c r="Q1481" s="16"/>
      <c r="R1481" s="16"/>
      <c r="S1481" s="16"/>
      <c r="T1481" s="16"/>
      <c r="U1481" s="16"/>
    </row>
    <row r="1482" spans="1:21" s="3" customFormat="1" ht="25.5">
      <c r="A1482" s="11" t="s">
        <v>736</v>
      </c>
      <c r="B1482" s="25" t="s">
        <v>20</v>
      </c>
      <c r="C1482" s="26" t="s">
        <v>8</v>
      </c>
      <c r="D1482" s="26" t="s">
        <v>8</v>
      </c>
      <c r="E1482" s="43" t="s">
        <v>737</v>
      </c>
      <c r="F1482" s="26" t="s">
        <v>58</v>
      </c>
      <c r="G1482" s="27">
        <f>G1483</f>
        <v>1100000</v>
      </c>
      <c r="H1482" s="27">
        <f>H1484</f>
        <v>0</v>
      </c>
      <c r="I1482" s="27">
        <f>I1484</f>
        <v>0</v>
      </c>
      <c r="J1482" s="16">
        <f>'БА в тыс. руб.'!G1482*1000</f>
        <v>1100000</v>
      </c>
      <c r="K1482" s="169">
        <f t="shared" si="976"/>
        <v>0</v>
      </c>
      <c r="L1482" s="16">
        <f>'БА в тыс. руб.'!H1482*1000</f>
        <v>0</v>
      </c>
      <c r="M1482" s="169">
        <f t="shared" si="977"/>
        <v>0</v>
      </c>
      <c r="N1482" s="16">
        <f>'БА в тыс. руб.'!I1482*1000</f>
        <v>0</v>
      </c>
      <c r="O1482" s="169">
        <f t="shared" si="978"/>
        <v>0</v>
      </c>
      <c r="P1482" s="16"/>
      <c r="Q1482" s="16"/>
      <c r="R1482" s="16"/>
      <c r="S1482" s="16"/>
      <c r="T1482" s="16"/>
      <c r="U1482" s="16"/>
    </row>
    <row r="1483" spans="1:21" s="3" customFormat="1" ht="38.25">
      <c r="A1483" s="11" t="s">
        <v>764</v>
      </c>
      <c r="B1483" s="25" t="s">
        <v>20</v>
      </c>
      <c r="C1483" s="26" t="s">
        <v>8</v>
      </c>
      <c r="D1483" s="26" t="s">
        <v>8</v>
      </c>
      <c r="E1483" s="43" t="s">
        <v>762</v>
      </c>
      <c r="F1483" s="26" t="s">
        <v>58</v>
      </c>
      <c r="G1483" s="27">
        <f>G1484</f>
        <v>1100000</v>
      </c>
      <c r="H1483" s="27">
        <f t="shared" ref="H1483:I1483" si="1010">H1484</f>
        <v>0</v>
      </c>
      <c r="I1483" s="27">
        <f t="shared" si="1010"/>
        <v>0</v>
      </c>
      <c r="J1483" s="16">
        <f>'БА в тыс. руб.'!G1483*1000</f>
        <v>1100000</v>
      </c>
      <c r="K1483" s="169">
        <f t="shared" ref="K1483:K1546" si="1011">J1483-G1483</f>
        <v>0</v>
      </c>
      <c r="L1483" s="16">
        <f>'БА в тыс. руб.'!H1483*1000</f>
        <v>0</v>
      </c>
      <c r="M1483" s="169">
        <f t="shared" ref="M1483:M1546" si="1012">L1483-H1483</f>
        <v>0</v>
      </c>
      <c r="N1483" s="16">
        <f>'БА в тыс. руб.'!I1483*1000</f>
        <v>0</v>
      </c>
      <c r="O1483" s="169">
        <f t="shared" ref="O1483:O1546" si="1013">N1483-I1483</f>
        <v>0</v>
      </c>
      <c r="P1483" s="16"/>
      <c r="Q1483" s="16"/>
      <c r="R1483" s="16"/>
      <c r="S1483" s="16"/>
      <c r="T1483" s="16"/>
      <c r="U1483" s="16"/>
    </row>
    <row r="1484" spans="1:21" s="3" customFormat="1" ht="51">
      <c r="A1484" s="11" t="s">
        <v>861</v>
      </c>
      <c r="B1484" s="25" t="s">
        <v>20</v>
      </c>
      <c r="C1484" s="26" t="s">
        <v>8</v>
      </c>
      <c r="D1484" s="26" t="s">
        <v>8</v>
      </c>
      <c r="E1484" s="43" t="s">
        <v>738</v>
      </c>
      <c r="F1484" s="26" t="s">
        <v>58</v>
      </c>
      <c r="G1484" s="27">
        <f t="shared" ref="G1484:I1484" si="1014">G1485</f>
        <v>1100000</v>
      </c>
      <c r="H1484" s="27">
        <f t="shared" si="1014"/>
        <v>0</v>
      </c>
      <c r="I1484" s="27">
        <f t="shared" si="1014"/>
        <v>0</v>
      </c>
      <c r="J1484" s="16">
        <f>'БА в тыс. руб.'!G1484*1000</f>
        <v>1100000</v>
      </c>
      <c r="K1484" s="169">
        <f t="shared" si="1011"/>
        <v>0</v>
      </c>
      <c r="L1484" s="16">
        <f>'БА в тыс. руб.'!H1484*1000</f>
        <v>0</v>
      </c>
      <c r="M1484" s="169">
        <f t="shared" si="1012"/>
        <v>0</v>
      </c>
      <c r="N1484" s="16">
        <f>'БА в тыс. руб.'!I1484*1000</f>
        <v>0</v>
      </c>
      <c r="O1484" s="169">
        <f t="shared" si="1013"/>
        <v>0</v>
      </c>
      <c r="P1484" s="16"/>
      <c r="Q1484" s="16"/>
      <c r="R1484" s="16"/>
      <c r="S1484" s="16"/>
      <c r="T1484" s="16"/>
      <c r="U1484" s="16"/>
    </row>
    <row r="1485" spans="1:21" s="3" customFormat="1" ht="25.5">
      <c r="A1485" s="11" t="s">
        <v>160</v>
      </c>
      <c r="B1485" s="25" t="s">
        <v>20</v>
      </c>
      <c r="C1485" s="26" t="s">
        <v>8</v>
      </c>
      <c r="D1485" s="26" t="s">
        <v>8</v>
      </c>
      <c r="E1485" s="43" t="s">
        <v>763</v>
      </c>
      <c r="F1485" s="26" t="s">
        <v>58</v>
      </c>
      <c r="G1485" s="27">
        <f>G1486</f>
        <v>1100000</v>
      </c>
      <c r="H1485" s="27">
        <f>H1486</f>
        <v>0</v>
      </c>
      <c r="I1485" s="27">
        <f>I1486</f>
        <v>0</v>
      </c>
      <c r="J1485" s="16">
        <f>'БА в тыс. руб.'!G1485*1000</f>
        <v>1100000</v>
      </c>
      <c r="K1485" s="169">
        <f t="shared" si="1011"/>
        <v>0</v>
      </c>
      <c r="L1485" s="16">
        <f>'БА в тыс. руб.'!H1485*1000</f>
        <v>0</v>
      </c>
      <c r="M1485" s="169">
        <f t="shared" si="1012"/>
        <v>0</v>
      </c>
      <c r="N1485" s="16">
        <f>'БА в тыс. руб.'!I1485*1000</f>
        <v>0</v>
      </c>
      <c r="O1485" s="169">
        <f t="shared" si="1013"/>
        <v>0</v>
      </c>
      <c r="P1485" s="16"/>
      <c r="Q1485" s="16"/>
      <c r="R1485" s="16"/>
      <c r="S1485" s="16"/>
      <c r="T1485" s="16"/>
      <c r="U1485" s="16"/>
    </row>
    <row r="1486" spans="1:21" s="3" customFormat="1" ht="25.5">
      <c r="A1486" s="11" t="s">
        <v>108</v>
      </c>
      <c r="B1486" s="25" t="s">
        <v>20</v>
      </c>
      <c r="C1486" s="26" t="s">
        <v>8</v>
      </c>
      <c r="D1486" s="26" t="s">
        <v>8</v>
      </c>
      <c r="E1486" s="43" t="s">
        <v>763</v>
      </c>
      <c r="F1486" s="26" t="s">
        <v>116</v>
      </c>
      <c r="G1486" s="42">
        <f>G1487</f>
        <v>1100000</v>
      </c>
      <c r="H1486" s="42">
        <f t="shared" ref="H1486:I1486" si="1015">H1487</f>
        <v>0</v>
      </c>
      <c r="I1486" s="42">
        <f t="shared" si="1015"/>
        <v>0</v>
      </c>
      <c r="J1486" s="16">
        <f>'БА в тыс. руб.'!G1486*1000</f>
        <v>1100000</v>
      </c>
      <c r="K1486" s="169">
        <f t="shared" si="1011"/>
        <v>0</v>
      </c>
      <c r="L1486" s="16">
        <f>'БА в тыс. руб.'!H1486*1000</f>
        <v>0</v>
      </c>
      <c r="M1486" s="169">
        <f t="shared" si="1012"/>
        <v>0</v>
      </c>
      <c r="N1486" s="16">
        <f>'БА в тыс. руб.'!I1486*1000</f>
        <v>0</v>
      </c>
      <c r="O1486" s="169">
        <f t="shared" si="1013"/>
        <v>0</v>
      </c>
      <c r="P1486" s="16"/>
      <c r="Q1486" s="16"/>
      <c r="R1486" s="16"/>
      <c r="S1486" s="16"/>
      <c r="T1486" s="16"/>
      <c r="U1486" s="16"/>
    </row>
    <row r="1487" spans="1:21" s="4" customFormat="1" ht="25.5">
      <c r="A1487" s="12" t="s">
        <v>973</v>
      </c>
      <c r="B1487" s="25" t="s">
        <v>20</v>
      </c>
      <c r="C1487" s="26" t="s">
        <v>8</v>
      </c>
      <c r="D1487" s="26" t="s">
        <v>8</v>
      </c>
      <c r="E1487" s="43" t="s">
        <v>763</v>
      </c>
      <c r="F1487" s="26" t="s">
        <v>1043</v>
      </c>
      <c r="G1487" s="27">
        <f t="shared" ref="G1487" si="1016">J1487</f>
        <v>1100000</v>
      </c>
      <c r="H1487" s="27">
        <f>L1487</f>
        <v>0</v>
      </c>
      <c r="I1487" s="27">
        <f>N1487</f>
        <v>0</v>
      </c>
      <c r="J1487" s="16">
        <f>'БА в тыс. руб.'!G1487*1000</f>
        <v>1100000</v>
      </c>
      <c r="K1487" s="169">
        <f t="shared" si="1011"/>
        <v>0</v>
      </c>
      <c r="L1487" s="16">
        <f>'БА в тыс. руб.'!H1487*1000</f>
        <v>0</v>
      </c>
      <c r="M1487" s="169">
        <f t="shared" si="1012"/>
        <v>0</v>
      </c>
      <c r="N1487" s="16">
        <f>'БА в тыс. руб.'!I1487*1000</f>
        <v>0</v>
      </c>
      <c r="O1487" s="169">
        <f t="shared" si="1013"/>
        <v>0</v>
      </c>
      <c r="P1487" s="16"/>
      <c r="Q1487" s="16"/>
      <c r="R1487" s="16"/>
      <c r="S1487" s="16"/>
      <c r="T1487" s="16"/>
      <c r="U1487" s="16"/>
    </row>
    <row r="1488" spans="1:21" s="3" customFormat="1" ht="25.5">
      <c r="A1488" s="11" t="s">
        <v>143</v>
      </c>
      <c r="B1488" s="26" t="s">
        <v>20</v>
      </c>
      <c r="C1488" s="26" t="s">
        <v>8</v>
      </c>
      <c r="D1488" s="26" t="s">
        <v>8</v>
      </c>
      <c r="E1488" s="26" t="s">
        <v>508</v>
      </c>
      <c r="F1488" s="26" t="s">
        <v>58</v>
      </c>
      <c r="G1488" s="45">
        <f>G1489</f>
        <v>56106800</v>
      </c>
      <c r="H1488" s="45">
        <f t="shared" ref="H1488:I1488" si="1017">H1489</f>
        <v>56135030</v>
      </c>
      <c r="I1488" s="45">
        <f t="shared" si="1017"/>
        <v>56135030</v>
      </c>
      <c r="J1488" s="16">
        <f>'БА в тыс. руб.'!G1488*1000</f>
        <v>56106799.999999993</v>
      </c>
      <c r="K1488" s="169">
        <f t="shared" si="1011"/>
        <v>0</v>
      </c>
      <c r="L1488" s="16">
        <f>'БА в тыс. руб.'!H1488*1000</f>
        <v>56135030</v>
      </c>
      <c r="M1488" s="169">
        <f t="shared" si="1012"/>
        <v>0</v>
      </c>
      <c r="N1488" s="16">
        <f>'БА в тыс. руб.'!I1488*1000</f>
        <v>56135030</v>
      </c>
      <c r="O1488" s="169">
        <f t="shared" si="1013"/>
        <v>0</v>
      </c>
      <c r="P1488" s="16"/>
      <c r="Q1488" s="16"/>
      <c r="R1488" s="16"/>
      <c r="S1488" s="16"/>
      <c r="T1488" s="16"/>
      <c r="U1488" s="16"/>
    </row>
    <row r="1489" spans="1:21" s="3" customFormat="1" ht="25.5">
      <c r="A1489" s="11" t="s">
        <v>144</v>
      </c>
      <c r="B1489" s="26" t="s">
        <v>20</v>
      </c>
      <c r="C1489" s="26" t="s">
        <v>8</v>
      </c>
      <c r="D1489" s="26" t="s">
        <v>8</v>
      </c>
      <c r="E1489" s="26" t="s">
        <v>509</v>
      </c>
      <c r="F1489" s="26" t="s">
        <v>58</v>
      </c>
      <c r="G1489" s="45">
        <f>G1490+G1499</f>
        <v>56106800</v>
      </c>
      <c r="H1489" s="45">
        <f>H1490+H1499</f>
        <v>56135030</v>
      </c>
      <c r="I1489" s="45">
        <f>I1490+I1499</f>
        <v>56135030</v>
      </c>
      <c r="J1489" s="16">
        <f>'БА в тыс. руб.'!G1489*1000</f>
        <v>56106799.999999993</v>
      </c>
      <c r="K1489" s="169">
        <f t="shared" si="1011"/>
        <v>0</v>
      </c>
      <c r="L1489" s="16">
        <f>'БА в тыс. руб.'!H1489*1000</f>
        <v>56135030</v>
      </c>
      <c r="M1489" s="169">
        <f t="shared" si="1012"/>
        <v>0</v>
      </c>
      <c r="N1489" s="16">
        <f>'БА в тыс. руб.'!I1489*1000</f>
        <v>56135030</v>
      </c>
      <c r="O1489" s="169">
        <f t="shared" si="1013"/>
        <v>0</v>
      </c>
      <c r="P1489" s="16"/>
      <c r="Q1489" s="16"/>
      <c r="R1489" s="16"/>
      <c r="S1489" s="16"/>
      <c r="T1489" s="16"/>
      <c r="U1489" s="16"/>
    </row>
    <row r="1490" spans="1:21" s="3" customFormat="1" ht="25.5">
      <c r="A1490" s="11" t="s">
        <v>114</v>
      </c>
      <c r="B1490" s="26" t="s">
        <v>20</v>
      </c>
      <c r="C1490" s="26" t="s">
        <v>8</v>
      </c>
      <c r="D1490" s="26" t="s">
        <v>8</v>
      </c>
      <c r="E1490" s="26" t="s">
        <v>531</v>
      </c>
      <c r="F1490" s="26" t="s">
        <v>58</v>
      </c>
      <c r="G1490" s="45">
        <f>G1491+G1494+G1496</f>
        <v>7110040</v>
      </c>
      <c r="H1490" s="45">
        <f t="shared" ref="H1490:I1490" si="1018">H1491+H1494+H1496</f>
        <v>7138270</v>
      </c>
      <c r="I1490" s="45">
        <f t="shared" si="1018"/>
        <v>7138270</v>
      </c>
      <c r="J1490" s="16">
        <f>'БА в тыс. руб.'!G1490*1000</f>
        <v>7110040.0000000009</v>
      </c>
      <c r="K1490" s="169">
        <f t="shared" si="1011"/>
        <v>0</v>
      </c>
      <c r="L1490" s="16">
        <f>'БА в тыс. руб.'!H1490*1000</f>
        <v>7138270</v>
      </c>
      <c r="M1490" s="169">
        <f t="shared" si="1012"/>
        <v>0</v>
      </c>
      <c r="N1490" s="16">
        <f>'БА в тыс. руб.'!I1490*1000</f>
        <v>7138270</v>
      </c>
      <c r="O1490" s="169">
        <f t="shared" si="1013"/>
        <v>0</v>
      </c>
      <c r="P1490" s="16"/>
      <c r="Q1490" s="16"/>
      <c r="R1490" s="16"/>
      <c r="S1490" s="16"/>
      <c r="T1490" s="16"/>
      <c r="U1490" s="16"/>
    </row>
    <row r="1491" spans="1:21" s="3" customFormat="1" ht="25.5">
      <c r="A1491" s="12" t="s">
        <v>107</v>
      </c>
      <c r="B1491" s="26" t="s">
        <v>20</v>
      </c>
      <c r="C1491" s="26" t="s">
        <v>8</v>
      </c>
      <c r="D1491" s="26" t="s">
        <v>8</v>
      </c>
      <c r="E1491" s="26" t="s">
        <v>531</v>
      </c>
      <c r="F1491" s="26" t="s">
        <v>115</v>
      </c>
      <c r="G1491" s="27">
        <f>SUM(G1492:G1493)</f>
        <v>1409900</v>
      </c>
      <c r="H1491" s="27">
        <f t="shared" ref="H1491:I1491" si="1019">SUM(H1492:H1493)</f>
        <v>1409900</v>
      </c>
      <c r="I1491" s="27">
        <f t="shared" si="1019"/>
        <v>1409900</v>
      </c>
      <c r="J1491" s="16">
        <f>'БА в тыс. руб.'!G1491*1000</f>
        <v>1409900</v>
      </c>
      <c r="K1491" s="169">
        <f t="shared" si="1011"/>
        <v>0</v>
      </c>
      <c r="L1491" s="16">
        <f>'БА в тыс. руб.'!H1491*1000</f>
        <v>1409900</v>
      </c>
      <c r="M1491" s="169">
        <f t="shared" si="1012"/>
        <v>0</v>
      </c>
      <c r="N1491" s="16">
        <f>'БА в тыс. руб.'!I1491*1000</f>
        <v>1409900</v>
      </c>
      <c r="O1491" s="169">
        <f t="shared" si="1013"/>
        <v>0</v>
      </c>
      <c r="P1491" s="16"/>
      <c r="Q1491" s="16"/>
      <c r="R1491" s="16"/>
      <c r="S1491" s="16"/>
      <c r="T1491" s="16"/>
      <c r="U1491" s="16"/>
    </row>
    <row r="1492" spans="1:21" s="4" customFormat="1" ht="25.5">
      <c r="A1492" s="12" t="s">
        <v>937</v>
      </c>
      <c r="B1492" s="26" t="s">
        <v>20</v>
      </c>
      <c r="C1492" s="26" t="s">
        <v>8</v>
      </c>
      <c r="D1492" s="26" t="s">
        <v>8</v>
      </c>
      <c r="E1492" s="26" t="s">
        <v>531</v>
      </c>
      <c r="F1492" s="26" t="s">
        <v>1059</v>
      </c>
      <c r="G1492" s="27">
        <f t="shared" ref="G1492:G1493" si="1020">J1492</f>
        <v>1082900</v>
      </c>
      <c r="H1492" s="27">
        <f t="shared" ref="H1492:H1493" si="1021">L1492</f>
        <v>1082900</v>
      </c>
      <c r="I1492" s="27">
        <f t="shared" ref="I1492:I1493" si="1022">N1492</f>
        <v>1082900</v>
      </c>
      <c r="J1492" s="16">
        <f>'БА в тыс. руб.'!G1492*1000</f>
        <v>1082900</v>
      </c>
      <c r="K1492" s="169">
        <f t="shared" si="1011"/>
        <v>0</v>
      </c>
      <c r="L1492" s="16">
        <f>'БА в тыс. руб.'!H1492*1000</f>
        <v>1082900</v>
      </c>
      <c r="M1492" s="169">
        <f t="shared" si="1012"/>
        <v>0</v>
      </c>
      <c r="N1492" s="16">
        <f>'БА в тыс. руб.'!I1492*1000</f>
        <v>1082900</v>
      </c>
      <c r="O1492" s="169">
        <f t="shared" si="1013"/>
        <v>0</v>
      </c>
      <c r="P1492" s="16"/>
      <c r="Q1492" s="16"/>
      <c r="R1492" s="16"/>
      <c r="S1492" s="16"/>
      <c r="T1492" s="16"/>
      <c r="U1492" s="16"/>
    </row>
    <row r="1493" spans="1:21" s="4" customFormat="1" ht="38.25">
      <c r="A1493" s="12" t="s">
        <v>939</v>
      </c>
      <c r="B1493" s="26" t="s">
        <v>20</v>
      </c>
      <c r="C1493" s="26" t="s">
        <v>8</v>
      </c>
      <c r="D1493" s="26" t="s">
        <v>8</v>
      </c>
      <c r="E1493" s="26" t="s">
        <v>531</v>
      </c>
      <c r="F1493" s="26" t="s">
        <v>1060</v>
      </c>
      <c r="G1493" s="27">
        <f t="shared" si="1020"/>
        <v>327000</v>
      </c>
      <c r="H1493" s="27">
        <f t="shared" si="1021"/>
        <v>327000</v>
      </c>
      <c r="I1493" s="27">
        <f t="shared" si="1022"/>
        <v>327000</v>
      </c>
      <c r="J1493" s="16">
        <f>'БА в тыс. руб.'!G1493*1000</f>
        <v>327000</v>
      </c>
      <c r="K1493" s="169">
        <f t="shared" si="1011"/>
        <v>0</v>
      </c>
      <c r="L1493" s="16">
        <f>'БА в тыс. руб.'!H1493*1000</f>
        <v>327000</v>
      </c>
      <c r="M1493" s="169">
        <f t="shared" si="1012"/>
        <v>0</v>
      </c>
      <c r="N1493" s="16">
        <f>'БА в тыс. руб.'!I1493*1000</f>
        <v>327000</v>
      </c>
      <c r="O1493" s="169">
        <f t="shared" si="1013"/>
        <v>0</v>
      </c>
      <c r="P1493" s="16"/>
      <c r="Q1493" s="16"/>
      <c r="R1493" s="16"/>
      <c r="S1493" s="16"/>
      <c r="T1493" s="16"/>
      <c r="U1493" s="16"/>
    </row>
    <row r="1494" spans="1:21" s="3" customFormat="1" ht="25.5">
      <c r="A1494" s="11" t="s">
        <v>108</v>
      </c>
      <c r="B1494" s="26" t="s">
        <v>20</v>
      </c>
      <c r="C1494" s="26" t="s">
        <v>8</v>
      </c>
      <c r="D1494" s="26" t="s">
        <v>8</v>
      </c>
      <c r="E1494" s="26" t="s">
        <v>531</v>
      </c>
      <c r="F1494" s="26" t="s">
        <v>116</v>
      </c>
      <c r="G1494" s="27">
        <f>G1495</f>
        <v>5591140</v>
      </c>
      <c r="H1494" s="27">
        <f t="shared" ref="H1494:I1494" si="1023">H1495</f>
        <v>5619370</v>
      </c>
      <c r="I1494" s="27">
        <f t="shared" si="1023"/>
        <v>5619370</v>
      </c>
      <c r="J1494" s="16">
        <f>'БА в тыс. руб.'!G1494*1000</f>
        <v>5591140</v>
      </c>
      <c r="K1494" s="169">
        <f t="shared" si="1011"/>
        <v>0</v>
      </c>
      <c r="L1494" s="16">
        <f>'БА в тыс. руб.'!H1494*1000</f>
        <v>5619370</v>
      </c>
      <c r="M1494" s="169">
        <f t="shared" si="1012"/>
        <v>0</v>
      </c>
      <c r="N1494" s="16">
        <f>'БА в тыс. руб.'!I1494*1000</f>
        <v>5619370</v>
      </c>
      <c r="O1494" s="169">
        <f t="shared" si="1013"/>
        <v>0</v>
      </c>
      <c r="P1494" s="16"/>
      <c r="Q1494" s="16"/>
      <c r="R1494" s="16"/>
      <c r="S1494" s="16"/>
      <c r="T1494" s="16"/>
      <c r="U1494" s="16"/>
    </row>
    <row r="1495" spans="1:21" s="4" customFormat="1" ht="25.5">
      <c r="A1495" s="12" t="s">
        <v>973</v>
      </c>
      <c r="B1495" s="26" t="s">
        <v>20</v>
      </c>
      <c r="C1495" s="26" t="s">
        <v>8</v>
      </c>
      <c r="D1495" s="26" t="s">
        <v>8</v>
      </c>
      <c r="E1495" s="26" t="s">
        <v>531</v>
      </c>
      <c r="F1495" s="26" t="s">
        <v>1043</v>
      </c>
      <c r="G1495" s="27">
        <f t="shared" ref="G1495" si="1024">J1495</f>
        <v>5591140</v>
      </c>
      <c r="H1495" s="27">
        <f>L1495</f>
        <v>5619370</v>
      </c>
      <c r="I1495" s="27">
        <f>N1495</f>
        <v>5619370</v>
      </c>
      <c r="J1495" s="16">
        <f>'БА в тыс. руб.'!G1495*1000</f>
        <v>5591140</v>
      </c>
      <c r="K1495" s="169">
        <f t="shared" si="1011"/>
        <v>0</v>
      </c>
      <c r="L1495" s="16">
        <f>'БА в тыс. руб.'!H1495*1000</f>
        <v>5619370</v>
      </c>
      <c r="M1495" s="169">
        <f t="shared" si="1012"/>
        <v>0</v>
      </c>
      <c r="N1495" s="16">
        <f>'БА в тыс. руб.'!I1495*1000</f>
        <v>5619370</v>
      </c>
      <c r="O1495" s="169">
        <f t="shared" si="1013"/>
        <v>0</v>
      </c>
      <c r="P1495" s="16"/>
      <c r="Q1495" s="16"/>
      <c r="R1495" s="16"/>
      <c r="S1495" s="16"/>
      <c r="T1495" s="16"/>
      <c r="U1495" s="16"/>
    </row>
    <row r="1496" spans="1:21" s="3" customFormat="1">
      <c r="A1496" s="11" t="s">
        <v>97</v>
      </c>
      <c r="B1496" s="26" t="s">
        <v>20</v>
      </c>
      <c r="C1496" s="26" t="s">
        <v>8</v>
      </c>
      <c r="D1496" s="26" t="s">
        <v>8</v>
      </c>
      <c r="E1496" s="26" t="s">
        <v>531</v>
      </c>
      <c r="F1496" s="26" t="s">
        <v>118</v>
      </c>
      <c r="G1496" s="27">
        <f>SUM(G1497:G1498)</f>
        <v>109000</v>
      </c>
      <c r="H1496" s="27">
        <f t="shared" ref="H1496:I1496" si="1025">SUM(H1497:H1498)</f>
        <v>109000</v>
      </c>
      <c r="I1496" s="27">
        <f t="shared" si="1025"/>
        <v>109000</v>
      </c>
      <c r="J1496" s="16">
        <f>'БА в тыс. руб.'!G1496*1000</f>
        <v>109000</v>
      </c>
      <c r="K1496" s="169">
        <f t="shared" si="1011"/>
        <v>0</v>
      </c>
      <c r="L1496" s="16">
        <f>'БА в тыс. руб.'!H1496*1000</f>
        <v>109000</v>
      </c>
      <c r="M1496" s="169">
        <f t="shared" si="1012"/>
        <v>0</v>
      </c>
      <c r="N1496" s="16">
        <f>'БА в тыс. руб.'!I1496*1000</f>
        <v>109000</v>
      </c>
      <c r="O1496" s="169">
        <f t="shared" si="1013"/>
        <v>0</v>
      </c>
      <c r="P1496" s="16"/>
      <c r="Q1496" s="16"/>
      <c r="R1496" s="16"/>
      <c r="S1496" s="16"/>
      <c r="T1496" s="16"/>
      <c r="U1496" s="16"/>
    </row>
    <row r="1497" spans="1:21" s="4" customFormat="1">
      <c r="A1497" s="12" t="s">
        <v>1036</v>
      </c>
      <c r="B1497" s="26" t="s">
        <v>20</v>
      </c>
      <c r="C1497" s="26" t="s">
        <v>8</v>
      </c>
      <c r="D1497" s="26" t="s">
        <v>8</v>
      </c>
      <c r="E1497" s="26" t="s">
        <v>531</v>
      </c>
      <c r="F1497" s="26" t="s">
        <v>1061</v>
      </c>
      <c r="G1497" s="27">
        <f t="shared" ref="G1497:G1498" si="1026">J1497</f>
        <v>69000</v>
      </c>
      <c r="H1497" s="27">
        <f t="shared" ref="H1497:H1498" si="1027">L1497</f>
        <v>69000</v>
      </c>
      <c r="I1497" s="27">
        <f t="shared" ref="I1497:I1498" si="1028">N1497</f>
        <v>69000</v>
      </c>
      <c r="J1497" s="16">
        <f>'БА в тыс. руб.'!G1497*1000</f>
        <v>69000</v>
      </c>
      <c r="K1497" s="169">
        <f t="shared" si="1011"/>
        <v>0</v>
      </c>
      <c r="L1497" s="16">
        <f>'БА в тыс. руб.'!H1497*1000</f>
        <v>69000</v>
      </c>
      <c r="M1497" s="169">
        <f t="shared" si="1012"/>
        <v>0</v>
      </c>
      <c r="N1497" s="16">
        <f>'БА в тыс. руб.'!I1497*1000</f>
        <v>69000</v>
      </c>
      <c r="O1497" s="169">
        <f t="shared" si="1013"/>
        <v>0</v>
      </c>
      <c r="P1497" s="16"/>
      <c r="Q1497" s="16"/>
      <c r="R1497" s="16"/>
      <c r="S1497" s="16"/>
      <c r="T1497" s="16"/>
      <c r="U1497" s="16"/>
    </row>
    <row r="1498" spans="1:21" s="4" customFormat="1">
      <c r="A1498" s="12" t="s">
        <v>1037</v>
      </c>
      <c r="B1498" s="26" t="s">
        <v>20</v>
      </c>
      <c r="C1498" s="26" t="s">
        <v>8</v>
      </c>
      <c r="D1498" s="26" t="s">
        <v>8</v>
      </c>
      <c r="E1498" s="26" t="s">
        <v>531</v>
      </c>
      <c r="F1498" s="26" t="s">
        <v>1062</v>
      </c>
      <c r="G1498" s="27">
        <f t="shared" si="1026"/>
        <v>40000</v>
      </c>
      <c r="H1498" s="27">
        <f t="shared" si="1027"/>
        <v>40000</v>
      </c>
      <c r="I1498" s="27">
        <f t="shared" si="1028"/>
        <v>40000</v>
      </c>
      <c r="J1498" s="16">
        <f>'БА в тыс. руб.'!G1498*1000</f>
        <v>40000</v>
      </c>
      <c r="K1498" s="169">
        <f t="shared" si="1011"/>
        <v>0</v>
      </c>
      <c r="L1498" s="16">
        <f>'БА в тыс. руб.'!H1498*1000</f>
        <v>40000</v>
      </c>
      <c r="M1498" s="169">
        <f t="shared" si="1012"/>
        <v>0</v>
      </c>
      <c r="N1498" s="16">
        <f>'БА в тыс. руб.'!I1498*1000</f>
        <v>40000</v>
      </c>
      <c r="O1498" s="169">
        <f t="shared" si="1013"/>
        <v>0</v>
      </c>
      <c r="P1498" s="16"/>
      <c r="Q1498" s="16"/>
      <c r="R1498" s="16"/>
      <c r="S1498" s="16"/>
      <c r="T1498" s="16"/>
      <c r="U1498" s="16"/>
    </row>
    <row r="1499" spans="1:21" s="3" customFormat="1" ht="25.5">
      <c r="A1499" s="11" t="s">
        <v>126</v>
      </c>
      <c r="B1499" s="26" t="s">
        <v>20</v>
      </c>
      <c r="C1499" s="26" t="s">
        <v>8</v>
      </c>
      <c r="D1499" s="26" t="s">
        <v>8</v>
      </c>
      <c r="E1499" s="26" t="s">
        <v>532</v>
      </c>
      <c r="F1499" s="26" t="s">
        <v>58</v>
      </c>
      <c r="G1499" s="27">
        <f>G1500</f>
        <v>48996760</v>
      </c>
      <c r="H1499" s="27">
        <f>H1500</f>
        <v>48996760</v>
      </c>
      <c r="I1499" s="27">
        <f>I1500</f>
        <v>48996760</v>
      </c>
      <c r="J1499" s="16">
        <f>'БА в тыс. руб.'!G1499*1000</f>
        <v>48996759.999999993</v>
      </c>
      <c r="K1499" s="169">
        <f t="shared" si="1011"/>
        <v>0</v>
      </c>
      <c r="L1499" s="16">
        <f>'БА в тыс. руб.'!H1499*1000</f>
        <v>48996759.999999993</v>
      </c>
      <c r="M1499" s="169">
        <f t="shared" si="1012"/>
        <v>0</v>
      </c>
      <c r="N1499" s="16">
        <f>'БА в тыс. руб.'!I1499*1000</f>
        <v>48996759.999999993</v>
      </c>
      <c r="O1499" s="169">
        <f t="shared" si="1013"/>
        <v>0</v>
      </c>
      <c r="P1499" s="16"/>
      <c r="Q1499" s="16"/>
      <c r="R1499" s="16"/>
      <c r="S1499" s="16"/>
      <c r="T1499" s="16"/>
      <c r="U1499" s="16"/>
    </row>
    <row r="1500" spans="1:21" s="3" customFormat="1" ht="25.5">
      <c r="A1500" s="12" t="s">
        <v>107</v>
      </c>
      <c r="B1500" s="26" t="s">
        <v>20</v>
      </c>
      <c r="C1500" s="26" t="s">
        <v>8</v>
      </c>
      <c r="D1500" s="26" t="s">
        <v>8</v>
      </c>
      <c r="E1500" s="26" t="s">
        <v>532</v>
      </c>
      <c r="F1500" s="26" t="s">
        <v>115</v>
      </c>
      <c r="G1500" s="27">
        <f>SUM(G1501:G1502)</f>
        <v>48996760</v>
      </c>
      <c r="H1500" s="27">
        <f t="shared" ref="H1500:I1500" si="1029">SUM(H1501:H1502)</f>
        <v>48996760</v>
      </c>
      <c r="I1500" s="27">
        <f t="shared" si="1029"/>
        <v>48996760</v>
      </c>
      <c r="J1500" s="16">
        <f>'БА в тыс. руб.'!G1500*1000</f>
        <v>48996759.999999993</v>
      </c>
      <c r="K1500" s="169">
        <f t="shared" si="1011"/>
        <v>0</v>
      </c>
      <c r="L1500" s="16">
        <f>'БА в тыс. руб.'!H1500*1000</f>
        <v>48996759.999999993</v>
      </c>
      <c r="M1500" s="169">
        <f t="shared" si="1012"/>
        <v>0</v>
      </c>
      <c r="N1500" s="16">
        <f>'БА в тыс. руб.'!I1500*1000</f>
        <v>48996759.999999993</v>
      </c>
      <c r="O1500" s="169">
        <f t="shared" si="1013"/>
        <v>0</v>
      </c>
      <c r="P1500" s="16"/>
      <c r="Q1500" s="16"/>
      <c r="R1500" s="16"/>
      <c r="S1500" s="16"/>
      <c r="T1500" s="16"/>
      <c r="U1500" s="16"/>
    </row>
    <row r="1501" spans="1:21" s="4" customFormat="1">
      <c r="A1501" s="12" t="s">
        <v>936</v>
      </c>
      <c r="B1501" s="26" t="s">
        <v>20</v>
      </c>
      <c r="C1501" s="26" t="s">
        <v>8</v>
      </c>
      <c r="D1501" s="26" t="s">
        <v>8</v>
      </c>
      <c r="E1501" s="26" t="s">
        <v>532</v>
      </c>
      <c r="F1501" s="26" t="s">
        <v>1063</v>
      </c>
      <c r="G1501" s="27">
        <f t="shared" ref="G1501:G1502" si="1030">J1501</f>
        <v>37631920</v>
      </c>
      <c r="H1501" s="27">
        <f t="shared" ref="H1501:H1502" si="1031">L1501</f>
        <v>37631920</v>
      </c>
      <c r="I1501" s="27">
        <f t="shared" ref="I1501:I1502" si="1032">N1501</f>
        <v>37631920</v>
      </c>
      <c r="J1501" s="16">
        <f>'БА в тыс. руб.'!G1501*1000</f>
        <v>37631920</v>
      </c>
      <c r="K1501" s="169">
        <f t="shared" si="1011"/>
        <v>0</v>
      </c>
      <c r="L1501" s="16">
        <f>'БА в тыс. руб.'!H1501*1000</f>
        <v>37631920</v>
      </c>
      <c r="M1501" s="169">
        <f t="shared" si="1012"/>
        <v>0</v>
      </c>
      <c r="N1501" s="16">
        <f>'БА в тыс. руб.'!I1501*1000</f>
        <v>37631920</v>
      </c>
      <c r="O1501" s="169">
        <f t="shared" si="1013"/>
        <v>0</v>
      </c>
      <c r="P1501" s="16"/>
      <c r="Q1501" s="16"/>
      <c r="R1501" s="16"/>
      <c r="S1501" s="16"/>
      <c r="T1501" s="16"/>
      <c r="U1501" s="16"/>
    </row>
    <row r="1502" spans="1:21" s="4" customFormat="1" ht="38.25">
      <c r="A1502" s="12" t="s">
        <v>939</v>
      </c>
      <c r="B1502" s="26" t="s">
        <v>20</v>
      </c>
      <c r="C1502" s="26" t="s">
        <v>8</v>
      </c>
      <c r="D1502" s="26" t="s">
        <v>8</v>
      </c>
      <c r="E1502" s="26" t="s">
        <v>532</v>
      </c>
      <c r="F1502" s="26" t="s">
        <v>1060</v>
      </c>
      <c r="G1502" s="27">
        <f t="shared" si="1030"/>
        <v>11364840</v>
      </c>
      <c r="H1502" s="27">
        <f t="shared" si="1031"/>
        <v>11364840</v>
      </c>
      <c r="I1502" s="27">
        <f t="shared" si="1032"/>
        <v>11364840</v>
      </c>
      <c r="J1502" s="16">
        <f>'БА в тыс. руб.'!G1502*1000</f>
        <v>11364840</v>
      </c>
      <c r="K1502" s="169">
        <f t="shared" si="1011"/>
        <v>0</v>
      </c>
      <c r="L1502" s="16">
        <f>'БА в тыс. руб.'!H1502*1000</f>
        <v>11364840</v>
      </c>
      <c r="M1502" s="169">
        <f t="shared" si="1012"/>
        <v>0</v>
      </c>
      <c r="N1502" s="16">
        <f>'БА в тыс. руб.'!I1502*1000</f>
        <v>11364840</v>
      </c>
      <c r="O1502" s="169">
        <f t="shared" si="1013"/>
        <v>0</v>
      </c>
      <c r="P1502" s="16"/>
      <c r="Q1502" s="16"/>
      <c r="R1502" s="16"/>
      <c r="S1502" s="16"/>
      <c r="T1502" s="16"/>
      <c r="U1502" s="16"/>
    </row>
    <row r="1503" spans="1:21" s="3" customFormat="1">
      <c r="A1503" s="17" t="s">
        <v>49</v>
      </c>
      <c r="B1503" s="18" t="s">
        <v>20</v>
      </c>
      <c r="C1503" s="19" t="s">
        <v>14</v>
      </c>
      <c r="D1503" s="19" t="s">
        <v>51</v>
      </c>
      <c r="E1503" s="19" t="s">
        <v>196</v>
      </c>
      <c r="F1503" s="19" t="s">
        <v>58</v>
      </c>
      <c r="G1503" s="20">
        <f>G1504</f>
        <v>37900620</v>
      </c>
      <c r="H1503" s="20">
        <f>H1504</f>
        <v>33498520</v>
      </c>
      <c r="I1503" s="20">
        <f>I1504</f>
        <v>33498520</v>
      </c>
      <c r="J1503" s="16">
        <f>'БА в тыс. руб.'!G1503*1000</f>
        <v>37900619.999999993</v>
      </c>
      <c r="K1503" s="169">
        <f t="shared" si="1011"/>
        <v>0</v>
      </c>
      <c r="L1503" s="16">
        <f>'БА в тыс. руб.'!H1503*1000</f>
        <v>33498519.999999996</v>
      </c>
      <c r="M1503" s="169">
        <f t="shared" si="1012"/>
        <v>0</v>
      </c>
      <c r="N1503" s="16">
        <f>'БА в тыс. руб.'!I1503*1000</f>
        <v>33498519.999999996</v>
      </c>
      <c r="O1503" s="169">
        <f t="shared" si="1013"/>
        <v>0</v>
      </c>
      <c r="P1503" s="16"/>
      <c r="Q1503" s="16"/>
      <c r="R1503" s="16"/>
      <c r="S1503" s="16"/>
      <c r="T1503" s="16"/>
      <c r="U1503" s="16"/>
    </row>
    <row r="1504" spans="1:21" s="3" customFormat="1">
      <c r="A1504" s="21" t="s">
        <v>63</v>
      </c>
      <c r="B1504" s="22" t="s">
        <v>20</v>
      </c>
      <c r="C1504" s="23">
        <v>10</v>
      </c>
      <c r="D1504" s="23" t="s">
        <v>53</v>
      </c>
      <c r="E1504" s="23" t="s">
        <v>196</v>
      </c>
      <c r="F1504" s="23" t="s">
        <v>58</v>
      </c>
      <c r="G1504" s="24">
        <f>G1505+G1515</f>
        <v>37900620</v>
      </c>
      <c r="H1504" s="24">
        <f>H1505+H1515</f>
        <v>33498520</v>
      </c>
      <c r="I1504" s="24">
        <f>I1505+I1515</f>
        <v>33498520</v>
      </c>
      <c r="J1504" s="16">
        <f>'БА в тыс. руб.'!G1504*1000</f>
        <v>37900619.999999993</v>
      </c>
      <c r="K1504" s="169">
        <f t="shared" si="1011"/>
        <v>0</v>
      </c>
      <c r="L1504" s="16">
        <f>'БА в тыс. руб.'!H1504*1000</f>
        <v>33498519.999999996</v>
      </c>
      <c r="M1504" s="169">
        <f t="shared" si="1012"/>
        <v>0</v>
      </c>
      <c r="N1504" s="16">
        <f>'БА в тыс. руб.'!I1504*1000</f>
        <v>33498519.999999996</v>
      </c>
      <c r="O1504" s="169">
        <f t="shared" si="1013"/>
        <v>0</v>
      </c>
      <c r="P1504" s="16"/>
      <c r="Q1504" s="16"/>
      <c r="R1504" s="16"/>
      <c r="S1504" s="16"/>
      <c r="T1504" s="16"/>
      <c r="U1504" s="16"/>
    </row>
    <row r="1505" spans="1:21" s="3" customFormat="1" ht="25.5">
      <c r="A1505" s="31" t="s">
        <v>727</v>
      </c>
      <c r="B1505" s="36" t="s">
        <v>20</v>
      </c>
      <c r="C1505" s="36">
        <v>10</v>
      </c>
      <c r="D1505" s="36" t="s">
        <v>53</v>
      </c>
      <c r="E1505" s="36" t="s">
        <v>327</v>
      </c>
      <c r="F1505" s="36" t="s">
        <v>58</v>
      </c>
      <c r="G1505" s="37">
        <f>G1506</f>
        <v>34739920</v>
      </c>
      <c r="H1505" s="37">
        <f>H1506</f>
        <v>30893890</v>
      </c>
      <c r="I1505" s="37">
        <f>I1506</f>
        <v>30893890</v>
      </c>
      <c r="J1505" s="16">
        <f>'БА в тыс. руб.'!G1505*1000</f>
        <v>34739920</v>
      </c>
      <c r="K1505" s="169">
        <f t="shared" si="1011"/>
        <v>0</v>
      </c>
      <c r="L1505" s="16">
        <f>'БА в тыс. руб.'!H1505*1000</f>
        <v>30893890</v>
      </c>
      <c r="M1505" s="169">
        <f t="shared" si="1012"/>
        <v>0</v>
      </c>
      <c r="N1505" s="16">
        <f>'БА в тыс. руб.'!I1505*1000</f>
        <v>30893890</v>
      </c>
      <c r="O1505" s="169">
        <f t="shared" si="1013"/>
        <v>0</v>
      </c>
      <c r="P1505" s="16"/>
      <c r="Q1505" s="16"/>
      <c r="R1505" s="16"/>
      <c r="S1505" s="16"/>
      <c r="T1505" s="16"/>
      <c r="U1505" s="16"/>
    </row>
    <row r="1506" spans="1:21" s="3" customFormat="1" ht="38.25">
      <c r="A1506" s="31" t="s">
        <v>842</v>
      </c>
      <c r="B1506" s="36" t="s">
        <v>20</v>
      </c>
      <c r="C1506" s="36">
        <v>10</v>
      </c>
      <c r="D1506" s="36" t="s">
        <v>53</v>
      </c>
      <c r="E1506" s="36" t="s">
        <v>328</v>
      </c>
      <c r="F1506" s="36" t="s">
        <v>58</v>
      </c>
      <c r="G1506" s="37">
        <f>G1507+G1511</f>
        <v>34739920</v>
      </c>
      <c r="H1506" s="37">
        <f>H1507+H1511</f>
        <v>30893890</v>
      </c>
      <c r="I1506" s="37">
        <f>I1507+I1511</f>
        <v>30893890</v>
      </c>
      <c r="J1506" s="16">
        <f>'БА в тыс. руб.'!G1506*1000</f>
        <v>34739920</v>
      </c>
      <c r="K1506" s="169">
        <f t="shared" si="1011"/>
        <v>0</v>
      </c>
      <c r="L1506" s="16">
        <f>'БА в тыс. руб.'!H1506*1000</f>
        <v>30893890</v>
      </c>
      <c r="M1506" s="169">
        <f t="shared" si="1012"/>
        <v>0</v>
      </c>
      <c r="N1506" s="16">
        <f>'БА в тыс. руб.'!I1506*1000</f>
        <v>30893890</v>
      </c>
      <c r="O1506" s="169">
        <f t="shared" si="1013"/>
        <v>0</v>
      </c>
      <c r="P1506" s="16"/>
      <c r="Q1506" s="16"/>
      <c r="R1506" s="16"/>
      <c r="S1506" s="16"/>
      <c r="T1506" s="16"/>
      <c r="U1506" s="16"/>
    </row>
    <row r="1507" spans="1:21" s="3" customFormat="1" ht="38.25">
      <c r="A1507" s="34" t="s">
        <v>638</v>
      </c>
      <c r="B1507" s="36" t="s">
        <v>20</v>
      </c>
      <c r="C1507" s="36">
        <v>10</v>
      </c>
      <c r="D1507" s="36" t="s">
        <v>53</v>
      </c>
      <c r="E1507" s="36" t="s">
        <v>634</v>
      </c>
      <c r="F1507" s="36" t="s">
        <v>58</v>
      </c>
      <c r="G1507" s="37">
        <f t="shared" ref="G1507:I1509" si="1033">G1508</f>
        <v>2757000</v>
      </c>
      <c r="H1507" s="37">
        <f t="shared" si="1033"/>
        <v>2109260</v>
      </c>
      <c r="I1507" s="37">
        <f t="shared" si="1033"/>
        <v>2109260</v>
      </c>
      <c r="J1507" s="16">
        <f>'БА в тыс. руб.'!G1507*1000</f>
        <v>2757000</v>
      </c>
      <c r="K1507" s="169">
        <f t="shared" si="1011"/>
        <v>0</v>
      </c>
      <c r="L1507" s="16">
        <f>'БА в тыс. руб.'!H1507*1000</f>
        <v>2109260</v>
      </c>
      <c r="M1507" s="169">
        <f t="shared" si="1012"/>
        <v>0</v>
      </c>
      <c r="N1507" s="16">
        <f>'БА в тыс. руб.'!I1507*1000</f>
        <v>2109260</v>
      </c>
      <c r="O1507" s="169">
        <f t="shared" si="1013"/>
        <v>0</v>
      </c>
      <c r="P1507" s="16"/>
      <c r="Q1507" s="16"/>
      <c r="R1507" s="16"/>
      <c r="S1507" s="16"/>
      <c r="T1507" s="16"/>
      <c r="U1507" s="16"/>
    </row>
    <row r="1508" spans="1:21" s="3" customFormat="1" ht="38.25">
      <c r="A1508" s="11" t="s">
        <v>533</v>
      </c>
      <c r="B1508" s="26" t="s">
        <v>20</v>
      </c>
      <c r="C1508" s="26">
        <v>10</v>
      </c>
      <c r="D1508" s="26" t="s">
        <v>53</v>
      </c>
      <c r="E1508" s="26" t="s">
        <v>639</v>
      </c>
      <c r="F1508" s="26" t="s">
        <v>58</v>
      </c>
      <c r="G1508" s="27">
        <f t="shared" si="1033"/>
        <v>2757000</v>
      </c>
      <c r="H1508" s="27">
        <f t="shared" si="1033"/>
        <v>2109260</v>
      </c>
      <c r="I1508" s="27">
        <f t="shared" si="1033"/>
        <v>2109260</v>
      </c>
      <c r="J1508" s="16">
        <f>'БА в тыс. руб.'!G1508*1000</f>
        <v>2757000</v>
      </c>
      <c r="K1508" s="169">
        <f t="shared" si="1011"/>
        <v>0</v>
      </c>
      <c r="L1508" s="16">
        <f>'БА в тыс. руб.'!H1508*1000</f>
        <v>2109260</v>
      </c>
      <c r="M1508" s="169">
        <f t="shared" si="1012"/>
        <v>0</v>
      </c>
      <c r="N1508" s="16">
        <f>'БА в тыс. руб.'!I1508*1000</f>
        <v>2109260</v>
      </c>
      <c r="O1508" s="169">
        <f t="shared" si="1013"/>
        <v>0</v>
      </c>
      <c r="P1508" s="16"/>
      <c r="Q1508" s="16"/>
      <c r="R1508" s="16"/>
      <c r="S1508" s="16"/>
      <c r="T1508" s="16"/>
      <c r="U1508" s="16"/>
    </row>
    <row r="1509" spans="1:21" s="3" customFormat="1" ht="38.25">
      <c r="A1509" s="41" t="s">
        <v>561</v>
      </c>
      <c r="B1509" s="26" t="s">
        <v>20</v>
      </c>
      <c r="C1509" s="26">
        <v>10</v>
      </c>
      <c r="D1509" s="26" t="s">
        <v>53</v>
      </c>
      <c r="E1509" s="26" t="s">
        <v>639</v>
      </c>
      <c r="F1509" s="26" t="s">
        <v>101</v>
      </c>
      <c r="G1509" s="27">
        <f>G1510</f>
        <v>2757000</v>
      </c>
      <c r="H1509" s="27">
        <f t="shared" si="1033"/>
        <v>2109260</v>
      </c>
      <c r="I1509" s="27">
        <f t="shared" si="1033"/>
        <v>2109260</v>
      </c>
      <c r="J1509" s="16">
        <f>'БА в тыс. руб.'!G1509*1000</f>
        <v>2757000</v>
      </c>
      <c r="K1509" s="169">
        <f t="shared" si="1011"/>
        <v>0</v>
      </c>
      <c r="L1509" s="16">
        <f>'БА в тыс. руб.'!H1509*1000</f>
        <v>2109260</v>
      </c>
      <c r="M1509" s="169">
        <f t="shared" si="1012"/>
        <v>0</v>
      </c>
      <c r="N1509" s="16">
        <f>'БА в тыс. руб.'!I1509*1000</f>
        <v>2109260</v>
      </c>
      <c r="O1509" s="169">
        <f t="shared" si="1013"/>
        <v>0</v>
      </c>
      <c r="P1509" s="16"/>
      <c r="Q1509" s="16"/>
      <c r="R1509" s="16"/>
      <c r="S1509" s="16"/>
      <c r="T1509" s="16"/>
      <c r="U1509" s="16"/>
    </row>
    <row r="1510" spans="1:21" s="4" customFormat="1" ht="51">
      <c r="A1510" s="12" t="s">
        <v>1047</v>
      </c>
      <c r="B1510" s="26" t="s">
        <v>20</v>
      </c>
      <c r="C1510" s="26">
        <v>10</v>
      </c>
      <c r="D1510" s="26" t="s">
        <v>53</v>
      </c>
      <c r="E1510" s="26" t="s">
        <v>639</v>
      </c>
      <c r="F1510" s="26" t="s">
        <v>1050</v>
      </c>
      <c r="G1510" s="27">
        <f t="shared" ref="G1510" si="1034">J1510</f>
        <v>2757000</v>
      </c>
      <c r="H1510" s="27">
        <f>L1510</f>
        <v>2109260</v>
      </c>
      <c r="I1510" s="27">
        <f>N1510</f>
        <v>2109260</v>
      </c>
      <c r="J1510" s="16">
        <f>'БА в тыс. руб.'!G1510*1000</f>
        <v>2757000</v>
      </c>
      <c r="K1510" s="169">
        <f t="shared" si="1011"/>
        <v>0</v>
      </c>
      <c r="L1510" s="16">
        <f>'БА в тыс. руб.'!H1510*1000</f>
        <v>2109260</v>
      </c>
      <c r="M1510" s="169">
        <f t="shared" si="1012"/>
        <v>0</v>
      </c>
      <c r="N1510" s="16">
        <f>'БА в тыс. руб.'!I1510*1000</f>
        <v>2109260</v>
      </c>
      <c r="O1510" s="169">
        <f t="shared" si="1013"/>
        <v>0</v>
      </c>
      <c r="P1510" s="16"/>
      <c r="Q1510" s="16"/>
      <c r="R1510" s="16"/>
      <c r="S1510" s="16"/>
      <c r="T1510" s="16"/>
      <c r="U1510" s="16"/>
    </row>
    <row r="1511" spans="1:21" s="3" customFormat="1" ht="51">
      <c r="A1511" s="34" t="s">
        <v>641</v>
      </c>
      <c r="B1511" s="36" t="s">
        <v>20</v>
      </c>
      <c r="C1511" s="36">
        <v>10</v>
      </c>
      <c r="D1511" s="36" t="s">
        <v>53</v>
      </c>
      <c r="E1511" s="36" t="s">
        <v>637</v>
      </c>
      <c r="F1511" s="36" t="s">
        <v>58</v>
      </c>
      <c r="G1511" s="37">
        <f t="shared" ref="G1511:I1513" si="1035">G1512</f>
        <v>31982920</v>
      </c>
      <c r="H1511" s="37">
        <f t="shared" si="1035"/>
        <v>28784630</v>
      </c>
      <c r="I1511" s="37">
        <f t="shared" si="1035"/>
        <v>28784630</v>
      </c>
      <c r="J1511" s="16">
        <f>'БА в тыс. руб.'!G1511*1000</f>
        <v>31982920</v>
      </c>
      <c r="K1511" s="169">
        <f t="shared" si="1011"/>
        <v>0</v>
      </c>
      <c r="L1511" s="16">
        <f>'БА в тыс. руб.'!H1511*1000</f>
        <v>28784630</v>
      </c>
      <c r="M1511" s="169">
        <f t="shared" si="1012"/>
        <v>0</v>
      </c>
      <c r="N1511" s="16">
        <f>'БА в тыс. руб.'!I1511*1000</f>
        <v>28784630</v>
      </c>
      <c r="O1511" s="169">
        <f t="shared" si="1013"/>
        <v>0</v>
      </c>
      <c r="P1511" s="16"/>
      <c r="Q1511" s="16"/>
      <c r="R1511" s="16"/>
      <c r="S1511" s="16"/>
      <c r="T1511" s="16"/>
      <c r="U1511" s="16"/>
    </row>
    <row r="1512" spans="1:21" s="3" customFormat="1" ht="38.25">
      <c r="A1512" s="11" t="s">
        <v>534</v>
      </c>
      <c r="B1512" s="26" t="s">
        <v>20</v>
      </c>
      <c r="C1512" s="26">
        <v>10</v>
      </c>
      <c r="D1512" s="26" t="s">
        <v>53</v>
      </c>
      <c r="E1512" s="26" t="s">
        <v>640</v>
      </c>
      <c r="F1512" s="26" t="s">
        <v>58</v>
      </c>
      <c r="G1512" s="27">
        <f t="shared" si="1035"/>
        <v>31982920</v>
      </c>
      <c r="H1512" s="27">
        <f t="shared" si="1035"/>
        <v>28784630</v>
      </c>
      <c r="I1512" s="27">
        <f t="shared" si="1035"/>
        <v>28784630</v>
      </c>
      <c r="J1512" s="16">
        <f>'БА в тыс. руб.'!G1512*1000</f>
        <v>31982920</v>
      </c>
      <c r="K1512" s="169">
        <f t="shared" si="1011"/>
        <v>0</v>
      </c>
      <c r="L1512" s="16">
        <f>'БА в тыс. руб.'!H1512*1000</f>
        <v>28784630</v>
      </c>
      <c r="M1512" s="169">
        <f t="shared" si="1012"/>
        <v>0</v>
      </c>
      <c r="N1512" s="16">
        <f>'БА в тыс. руб.'!I1512*1000</f>
        <v>28784630</v>
      </c>
      <c r="O1512" s="169">
        <f t="shared" si="1013"/>
        <v>0</v>
      </c>
      <c r="P1512" s="16"/>
      <c r="Q1512" s="16"/>
      <c r="R1512" s="16"/>
      <c r="S1512" s="16"/>
      <c r="T1512" s="16"/>
      <c r="U1512" s="16"/>
    </row>
    <row r="1513" spans="1:21" s="3" customFormat="1" ht="38.25">
      <c r="A1513" s="41" t="s">
        <v>561</v>
      </c>
      <c r="B1513" s="26" t="s">
        <v>20</v>
      </c>
      <c r="C1513" s="26">
        <v>10</v>
      </c>
      <c r="D1513" s="26" t="s">
        <v>53</v>
      </c>
      <c r="E1513" s="26" t="s">
        <v>640</v>
      </c>
      <c r="F1513" s="26" t="s">
        <v>101</v>
      </c>
      <c r="G1513" s="27">
        <f>G1514</f>
        <v>31982920</v>
      </c>
      <c r="H1513" s="27">
        <f t="shared" si="1035"/>
        <v>28784630</v>
      </c>
      <c r="I1513" s="27">
        <f t="shared" si="1035"/>
        <v>28784630</v>
      </c>
      <c r="J1513" s="16">
        <f>'БА в тыс. руб.'!G1513*1000</f>
        <v>31982920</v>
      </c>
      <c r="K1513" s="169">
        <f t="shared" si="1011"/>
        <v>0</v>
      </c>
      <c r="L1513" s="16">
        <f>'БА в тыс. руб.'!H1513*1000</f>
        <v>28784630</v>
      </c>
      <c r="M1513" s="169">
        <f t="shared" si="1012"/>
        <v>0</v>
      </c>
      <c r="N1513" s="16">
        <f>'БА в тыс. руб.'!I1513*1000</f>
        <v>28784630</v>
      </c>
      <c r="O1513" s="169">
        <f t="shared" si="1013"/>
        <v>0</v>
      </c>
      <c r="P1513" s="16"/>
      <c r="Q1513" s="16"/>
      <c r="R1513" s="16"/>
      <c r="S1513" s="16"/>
      <c r="T1513" s="16"/>
      <c r="U1513" s="16"/>
    </row>
    <row r="1514" spans="1:21" s="4" customFormat="1" ht="76.5">
      <c r="A1514" s="12" t="s">
        <v>1048</v>
      </c>
      <c r="B1514" s="26" t="s">
        <v>20</v>
      </c>
      <c r="C1514" s="26">
        <v>10</v>
      </c>
      <c r="D1514" s="26" t="s">
        <v>53</v>
      </c>
      <c r="E1514" s="26" t="s">
        <v>640</v>
      </c>
      <c r="F1514" s="26" t="s">
        <v>1051</v>
      </c>
      <c r="G1514" s="27">
        <f t="shared" ref="G1514" si="1036">J1514</f>
        <v>31982920</v>
      </c>
      <c r="H1514" s="27">
        <f>L1514</f>
        <v>28784630</v>
      </c>
      <c r="I1514" s="27">
        <f>N1514</f>
        <v>28784630</v>
      </c>
      <c r="J1514" s="16">
        <f>'БА в тыс. руб.'!G1514*1000</f>
        <v>31982920</v>
      </c>
      <c r="K1514" s="169">
        <f t="shared" si="1011"/>
        <v>0</v>
      </c>
      <c r="L1514" s="16">
        <f>'БА в тыс. руб.'!H1514*1000</f>
        <v>28784630</v>
      </c>
      <c r="M1514" s="169">
        <f t="shared" si="1012"/>
        <v>0</v>
      </c>
      <c r="N1514" s="16">
        <f>'БА в тыс. руб.'!I1514*1000</f>
        <v>28784630</v>
      </c>
      <c r="O1514" s="169">
        <f t="shared" si="1013"/>
        <v>0</v>
      </c>
      <c r="P1514" s="16"/>
      <c r="Q1514" s="16"/>
      <c r="R1514" s="16"/>
      <c r="S1514" s="16"/>
      <c r="T1514" s="16"/>
      <c r="U1514" s="16"/>
    </row>
    <row r="1515" spans="1:21" s="3" customFormat="1" ht="25.5">
      <c r="A1515" s="11" t="s">
        <v>733</v>
      </c>
      <c r="B1515" s="36" t="s">
        <v>20</v>
      </c>
      <c r="C1515" s="36" t="s">
        <v>14</v>
      </c>
      <c r="D1515" s="36" t="s">
        <v>53</v>
      </c>
      <c r="E1515" s="36" t="s">
        <v>524</v>
      </c>
      <c r="F1515" s="36" t="s">
        <v>58</v>
      </c>
      <c r="G1515" s="37">
        <f t="shared" ref="G1515:I1515" si="1037">G1516</f>
        <v>3160700</v>
      </c>
      <c r="H1515" s="37">
        <f t="shared" si="1037"/>
        <v>2604630</v>
      </c>
      <c r="I1515" s="37">
        <f t="shared" si="1037"/>
        <v>2604630</v>
      </c>
      <c r="J1515" s="16">
        <f>'БА в тыс. руб.'!G1515*1000</f>
        <v>3160700</v>
      </c>
      <c r="K1515" s="169">
        <f t="shared" si="1011"/>
        <v>0</v>
      </c>
      <c r="L1515" s="16">
        <f>'БА в тыс. руб.'!H1515*1000</f>
        <v>2604630</v>
      </c>
      <c r="M1515" s="169">
        <f t="shared" si="1012"/>
        <v>0</v>
      </c>
      <c r="N1515" s="16">
        <f>'БА в тыс. руб.'!I1515*1000</f>
        <v>2604630</v>
      </c>
      <c r="O1515" s="169">
        <f t="shared" si="1013"/>
        <v>0</v>
      </c>
      <c r="P1515" s="16"/>
      <c r="Q1515" s="16"/>
      <c r="R1515" s="16"/>
      <c r="S1515" s="16"/>
      <c r="T1515" s="16"/>
      <c r="U1515" s="16"/>
    </row>
    <row r="1516" spans="1:21" s="3" customFormat="1" ht="25.5">
      <c r="A1516" s="34" t="s">
        <v>735</v>
      </c>
      <c r="B1516" s="36" t="s">
        <v>20</v>
      </c>
      <c r="C1516" s="36" t="s">
        <v>14</v>
      </c>
      <c r="D1516" s="36" t="s">
        <v>53</v>
      </c>
      <c r="E1516" s="36" t="s">
        <v>734</v>
      </c>
      <c r="F1516" s="36" t="s">
        <v>58</v>
      </c>
      <c r="G1516" s="37">
        <f>G1517</f>
        <v>3160700</v>
      </c>
      <c r="H1516" s="37">
        <f>H1517</f>
        <v>2604630</v>
      </c>
      <c r="I1516" s="37">
        <f>I1517</f>
        <v>2604630</v>
      </c>
      <c r="J1516" s="16">
        <f>'БА в тыс. руб.'!G1516*1000</f>
        <v>3160700</v>
      </c>
      <c r="K1516" s="169">
        <f t="shared" si="1011"/>
        <v>0</v>
      </c>
      <c r="L1516" s="16">
        <f>'БА в тыс. руб.'!H1516*1000</f>
        <v>2604630</v>
      </c>
      <c r="M1516" s="169">
        <f t="shared" si="1012"/>
        <v>0</v>
      </c>
      <c r="N1516" s="16">
        <f>'БА в тыс. руб.'!I1516*1000</f>
        <v>2604630</v>
      </c>
      <c r="O1516" s="169">
        <f t="shared" si="1013"/>
        <v>0</v>
      </c>
      <c r="P1516" s="16"/>
      <c r="Q1516" s="16"/>
      <c r="R1516" s="16"/>
      <c r="S1516" s="16"/>
      <c r="T1516" s="16"/>
      <c r="U1516" s="16"/>
    </row>
    <row r="1517" spans="1:21" s="3" customFormat="1" ht="25.5">
      <c r="A1517" s="34" t="s">
        <v>535</v>
      </c>
      <c r="B1517" s="36" t="s">
        <v>20</v>
      </c>
      <c r="C1517" s="36" t="s">
        <v>14</v>
      </c>
      <c r="D1517" s="36" t="s">
        <v>53</v>
      </c>
      <c r="E1517" s="36" t="s">
        <v>761</v>
      </c>
      <c r="F1517" s="36" t="s">
        <v>58</v>
      </c>
      <c r="G1517" s="37">
        <f>G1518</f>
        <v>3160700</v>
      </c>
      <c r="H1517" s="37">
        <f t="shared" ref="H1517:I1517" si="1038">H1518</f>
        <v>2604630</v>
      </c>
      <c r="I1517" s="37">
        <f t="shared" si="1038"/>
        <v>2604630</v>
      </c>
      <c r="J1517" s="16">
        <f>'БА в тыс. руб.'!G1517*1000</f>
        <v>3160700</v>
      </c>
      <c r="K1517" s="169">
        <f t="shared" si="1011"/>
        <v>0</v>
      </c>
      <c r="L1517" s="16">
        <f>'БА в тыс. руб.'!H1517*1000</f>
        <v>2604630</v>
      </c>
      <c r="M1517" s="169">
        <f t="shared" si="1012"/>
        <v>0</v>
      </c>
      <c r="N1517" s="16">
        <f>'БА в тыс. руб.'!I1517*1000</f>
        <v>2604630</v>
      </c>
      <c r="O1517" s="169">
        <f t="shared" si="1013"/>
        <v>0</v>
      </c>
      <c r="P1517" s="16"/>
      <c r="Q1517" s="16"/>
      <c r="R1517" s="16"/>
      <c r="S1517" s="16"/>
      <c r="T1517" s="16"/>
      <c r="U1517" s="16"/>
    </row>
    <row r="1518" spans="1:21" s="3" customFormat="1" ht="38.25">
      <c r="A1518" s="11" t="s">
        <v>898</v>
      </c>
      <c r="B1518" s="36" t="s">
        <v>20</v>
      </c>
      <c r="C1518" s="36" t="s">
        <v>14</v>
      </c>
      <c r="D1518" s="36" t="s">
        <v>53</v>
      </c>
      <c r="E1518" s="36" t="s">
        <v>769</v>
      </c>
      <c r="F1518" s="36" t="s">
        <v>58</v>
      </c>
      <c r="G1518" s="37">
        <f>G1519</f>
        <v>3160700</v>
      </c>
      <c r="H1518" s="37">
        <f>H1519</f>
        <v>2604630</v>
      </c>
      <c r="I1518" s="37">
        <f>I1519</f>
        <v>2604630</v>
      </c>
      <c r="J1518" s="16">
        <f>'БА в тыс. руб.'!G1518*1000</f>
        <v>3160700</v>
      </c>
      <c r="K1518" s="169">
        <f t="shared" si="1011"/>
        <v>0</v>
      </c>
      <c r="L1518" s="16">
        <f>'БА в тыс. руб.'!H1518*1000</f>
        <v>2604630</v>
      </c>
      <c r="M1518" s="169">
        <f t="shared" si="1012"/>
        <v>0</v>
      </c>
      <c r="N1518" s="16">
        <f>'БА в тыс. руб.'!I1518*1000</f>
        <v>2604630</v>
      </c>
      <c r="O1518" s="169">
        <f t="shared" si="1013"/>
        <v>0</v>
      </c>
      <c r="P1518" s="16"/>
      <c r="Q1518" s="16"/>
      <c r="R1518" s="16"/>
      <c r="S1518" s="16"/>
      <c r="T1518" s="16"/>
      <c r="U1518" s="16"/>
    </row>
    <row r="1519" spans="1:21" s="3" customFormat="1" ht="25.5">
      <c r="A1519" s="13" t="s">
        <v>110</v>
      </c>
      <c r="B1519" s="36" t="s">
        <v>20</v>
      </c>
      <c r="C1519" s="36" t="s">
        <v>14</v>
      </c>
      <c r="D1519" s="36" t="s">
        <v>53</v>
      </c>
      <c r="E1519" s="36" t="s">
        <v>769</v>
      </c>
      <c r="F1519" s="36" t="s">
        <v>117</v>
      </c>
      <c r="G1519" s="37">
        <f>G1520</f>
        <v>3160700</v>
      </c>
      <c r="H1519" s="37">
        <f t="shared" ref="H1519:I1519" si="1039">H1520</f>
        <v>2604630</v>
      </c>
      <c r="I1519" s="37">
        <f t="shared" si="1039"/>
        <v>2604630</v>
      </c>
      <c r="J1519" s="16">
        <f>'БА в тыс. руб.'!G1519*1000</f>
        <v>3160700</v>
      </c>
      <c r="K1519" s="169">
        <f t="shared" si="1011"/>
        <v>0</v>
      </c>
      <c r="L1519" s="16">
        <f>'БА в тыс. руб.'!H1519*1000</f>
        <v>2604630</v>
      </c>
      <c r="M1519" s="169">
        <f t="shared" si="1012"/>
        <v>0</v>
      </c>
      <c r="N1519" s="16">
        <f>'БА в тыс. руб.'!I1519*1000</f>
        <v>2604630</v>
      </c>
      <c r="O1519" s="169">
        <f t="shared" si="1013"/>
        <v>0</v>
      </c>
      <c r="P1519" s="16"/>
      <c r="Q1519" s="16"/>
      <c r="R1519" s="16"/>
      <c r="S1519" s="16"/>
      <c r="T1519" s="16"/>
      <c r="U1519" s="16"/>
    </row>
    <row r="1520" spans="1:21" s="4" customFormat="1">
      <c r="A1520" s="12" t="s">
        <v>980</v>
      </c>
      <c r="B1520" s="36" t="s">
        <v>20</v>
      </c>
      <c r="C1520" s="36" t="s">
        <v>14</v>
      </c>
      <c r="D1520" s="36" t="s">
        <v>53</v>
      </c>
      <c r="E1520" s="36" t="s">
        <v>769</v>
      </c>
      <c r="F1520" s="36" t="s">
        <v>1053</v>
      </c>
      <c r="G1520" s="27">
        <f t="shared" ref="G1520" si="1040">J1520</f>
        <v>3160700</v>
      </c>
      <c r="H1520" s="27">
        <f t="shared" ref="H1520" si="1041">L1520</f>
        <v>2604630</v>
      </c>
      <c r="I1520" s="27">
        <f t="shared" ref="I1520" si="1042">N1520</f>
        <v>2604630</v>
      </c>
      <c r="J1520" s="16">
        <f>'БА в тыс. руб.'!G1520*1000</f>
        <v>3160700</v>
      </c>
      <c r="K1520" s="169">
        <f t="shared" si="1011"/>
        <v>0</v>
      </c>
      <c r="L1520" s="16">
        <f>'БА в тыс. руб.'!H1520*1000</f>
        <v>2604630</v>
      </c>
      <c r="M1520" s="169">
        <f t="shared" si="1012"/>
        <v>0</v>
      </c>
      <c r="N1520" s="16">
        <f>'БА в тыс. руб.'!I1520*1000</f>
        <v>2604630</v>
      </c>
      <c r="O1520" s="169">
        <f t="shared" si="1013"/>
        <v>0</v>
      </c>
      <c r="P1520" s="16"/>
      <c r="Q1520" s="16"/>
      <c r="R1520" s="16"/>
      <c r="S1520" s="16"/>
      <c r="T1520" s="16"/>
      <c r="U1520" s="16"/>
    </row>
    <row r="1521" spans="1:21" s="3" customFormat="1">
      <c r="A1521" s="13"/>
      <c r="B1521" s="36"/>
      <c r="C1521" s="36"/>
      <c r="D1521" s="36"/>
      <c r="E1521" s="36"/>
      <c r="F1521" s="36"/>
      <c r="G1521" s="27"/>
      <c r="H1521" s="27"/>
      <c r="I1521" s="27"/>
      <c r="J1521" s="16">
        <f>'БА в тыс. руб.'!G1521*1000</f>
        <v>0</v>
      </c>
      <c r="K1521" s="169">
        <f t="shared" si="1011"/>
        <v>0</v>
      </c>
      <c r="L1521" s="16">
        <f>'БА в тыс. руб.'!H1521*1000</f>
        <v>0</v>
      </c>
      <c r="M1521" s="169">
        <f t="shared" si="1012"/>
        <v>0</v>
      </c>
      <c r="N1521" s="16">
        <f>'БА в тыс. руб.'!I1521*1000</f>
        <v>0</v>
      </c>
      <c r="O1521" s="169">
        <f t="shared" si="1013"/>
        <v>0</v>
      </c>
      <c r="P1521" s="16"/>
      <c r="Q1521" s="16"/>
      <c r="R1521" s="16"/>
      <c r="S1521" s="16"/>
      <c r="T1521" s="16"/>
      <c r="U1521" s="16"/>
    </row>
    <row r="1522" spans="1:21" s="3" customFormat="1">
      <c r="A1522" s="28" t="s">
        <v>15</v>
      </c>
      <c r="B1522" s="14" t="s">
        <v>16</v>
      </c>
      <c r="C1522" s="15" t="s">
        <v>51</v>
      </c>
      <c r="D1522" s="15" t="s">
        <v>51</v>
      </c>
      <c r="E1522" s="15" t="s">
        <v>196</v>
      </c>
      <c r="F1522" s="15" t="s">
        <v>58</v>
      </c>
      <c r="G1522" s="29">
        <f>G1523+G1553+G1578+G1599+G1570</f>
        <v>1139651510</v>
      </c>
      <c r="H1522" s="29">
        <f>H1523+H1553+H1578+H1599+H1570</f>
        <v>71889250</v>
      </c>
      <c r="I1522" s="29">
        <f>I1523+I1553+I1578+I1599+I1570</f>
        <v>77315300</v>
      </c>
      <c r="J1522" s="16">
        <f>'БА в тыс. руб.'!G1522*1000</f>
        <v>1139651510</v>
      </c>
      <c r="K1522" s="169">
        <f t="shared" si="1011"/>
        <v>0</v>
      </c>
      <c r="L1522" s="16">
        <f>'БА в тыс. руб.'!H1522*1000</f>
        <v>71889250</v>
      </c>
      <c r="M1522" s="169">
        <f t="shared" si="1012"/>
        <v>0</v>
      </c>
      <c r="N1522" s="16">
        <f>'БА в тыс. руб.'!I1522*1000</f>
        <v>77315300</v>
      </c>
      <c r="O1522" s="169">
        <f t="shared" si="1013"/>
        <v>0</v>
      </c>
      <c r="P1522" s="16"/>
      <c r="Q1522" s="16"/>
      <c r="R1522" s="16"/>
      <c r="S1522" s="16"/>
      <c r="T1522" s="16"/>
      <c r="U1522" s="16"/>
    </row>
    <row r="1523" spans="1:21" s="3" customFormat="1">
      <c r="A1523" s="17" t="s">
        <v>64</v>
      </c>
      <c r="B1523" s="18" t="s">
        <v>16</v>
      </c>
      <c r="C1523" s="19" t="s">
        <v>65</v>
      </c>
      <c r="D1523" s="19" t="s">
        <v>51</v>
      </c>
      <c r="E1523" s="19" t="s">
        <v>196</v>
      </c>
      <c r="F1523" s="19" t="s">
        <v>58</v>
      </c>
      <c r="G1523" s="20">
        <f>G1524</f>
        <v>52002390</v>
      </c>
      <c r="H1523" s="20">
        <f>H1524</f>
        <v>51780950</v>
      </c>
      <c r="I1523" s="20">
        <f>I1524</f>
        <v>51780950</v>
      </c>
      <c r="J1523" s="16">
        <f>'БА в тыс. руб.'!G1523*1000</f>
        <v>52002389.999999993</v>
      </c>
      <c r="K1523" s="169">
        <f t="shared" si="1011"/>
        <v>0</v>
      </c>
      <c r="L1523" s="16">
        <f>'БА в тыс. руб.'!H1523*1000</f>
        <v>51780950</v>
      </c>
      <c r="M1523" s="169">
        <f t="shared" si="1012"/>
        <v>0</v>
      </c>
      <c r="N1523" s="16">
        <f>'БА в тыс. руб.'!I1523*1000</f>
        <v>51780950</v>
      </c>
      <c r="O1523" s="169">
        <f t="shared" si="1013"/>
        <v>0</v>
      </c>
      <c r="P1523" s="16"/>
      <c r="Q1523" s="16"/>
      <c r="R1523" s="16"/>
      <c r="S1523" s="16"/>
      <c r="T1523" s="16"/>
      <c r="U1523" s="16"/>
    </row>
    <row r="1524" spans="1:21" s="3" customFormat="1">
      <c r="A1524" s="21" t="s">
        <v>38</v>
      </c>
      <c r="B1524" s="22" t="s">
        <v>16</v>
      </c>
      <c r="C1524" s="23" t="s">
        <v>65</v>
      </c>
      <c r="D1524" s="23" t="s">
        <v>84</v>
      </c>
      <c r="E1524" s="23" t="s">
        <v>196</v>
      </c>
      <c r="F1524" s="23" t="s">
        <v>58</v>
      </c>
      <c r="G1524" s="24">
        <f>G1525+G1531</f>
        <v>52002390</v>
      </c>
      <c r="H1524" s="24">
        <f>H1525+H1531</f>
        <v>51780950</v>
      </c>
      <c r="I1524" s="24">
        <f>I1525+I1531</f>
        <v>51780950</v>
      </c>
      <c r="J1524" s="16">
        <f>'БА в тыс. руб.'!G1524*1000</f>
        <v>52002389.999999993</v>
      </c>
      <c r="K1524" s="169">
        <f t="shared" si="1011"/>
        <v>0</v>
      </c>
      <c r="L1524" s="16">
        <f>'БА в тыс. руб.'!H1524*1000</f>
        <v>51780950</v>
      </c>
      <c r="M1524" s="169">
        <f t="shared" si="1012"/>
        <v>0</v>
      </c>
      <c r="N1524" s="16">
        <f>'БА в тыс. руб.'!I1524*1000</f>
        <v>51780950</v>
      </c>
      <c r="O1524" s="169">
        <f t="shared" si="1013"/>
        <v>0</v>
      </c>
      <c r="P1524" s="16"/>
      <c r="Q1524" s="16"/>
      <c r="R1524" s="16"/>
      <c r="S1524" s="16"/>
      <c r="T1524" s="16"/>
      <c r="U1524" s="16"/>
    </row>
    <row r="1525" spans="1:21" s="3" customFormat="1" ht="38.25">
      <c r="A1525" s="34" t="s">
        <v>751</v>
      </c>
      <c r="B1525" s="25" t="s">
        <v>16</v>
      </c>
      <c r="C1525" s="26" t="s">
        <v>65</v>
      </c>
      <c r="D1525" s="26" t="s">
        <v>84</v>
      </c>
      <c r="E1525" s="26" t="s">
        <v>229</v>
      </c>
      <c r="F1525" s="26" t="s">
        <v>58</v>
      </c>
      <c r="G1525" s="27">
        <f t="shared" ref="G1525:I1529" si="1043">G1526</f>
        <v>1000000</v>
      </c>
      <c r="H1525" s="27">
        <f t="shared" si="1043"/>
        <v>765000</v>
      </c>
      <c r="I1525" s="27">
        <f t="shared" si="1043"/>
        <v>765000</v>
      </c>
      <c r="J1525" s="16">
        <f>'БА в тыс. руб.'!G1525*1000</f>
        <v>1000000</v>
      </c>
      <c r="K1525" s="169">
        <f t="shared" si="1011"/>
        <v>0</v>
      </c>
      <c r="L1525" s="16">
        <f>'БА в тыс. руб.'!H1525*1000</f>
        <v>765000</v>
      </c>
      <c r="M1525" s="169">
        <f t="shared" si="1012"/>
        <v>0</v>
      </c>
      <c r="N1525" s="16">
        <f>'БА в тыс. руб.'!I1525*1000</f>
        <v>765000</v>
      </c>
      <c r="O1525" s="169">
        <f t="shared" si="1013"/>
        <v>0</v>
      </c>
      <c r="P1525" s="16"/>
      <c r="Q1525" s="16"/>
      <c r="R1525" s="16"/>
      <c r="S1525" s="16"/>
      <c r="T1525" s="16"/>
      <c r="U1525" s="16"/>
    </row>
    <row r="1526" spans="1:21" s="3" customFormat="1" ht="25.5">
      <c r="A1526" s="11" t="s">
        <v>119</v>
      </c>
      <c r="B1526" s="25" t="s">
        <v>16</v>
      </c>
      <c r="C1526" s="26" t="s">
        <v>65</v>
      </c>
      <c r="D1526" s="26" t="s">
        <v>84</v>
      </c>
      <c r="E1526" s="26" t="s">
        <v>230</v>
      </c>
      <c r="F1526" s="26" t="s">
        <v>58</v>
      </c>
      <c r="G1526" s="27">
        <f t="shared" si="1043"/>
        <v>1000000</v>
      </c>
      <c r="H1526" s="27">
        <f t="shared" si="1043"/>
        <v>765000</v>
      </c>
      <c r="I1526" s="27">
        <f t="shared" si="1043"/>
        <v>765000</v>
      </c>
      <c r="J1526" s="16">
        <f>'БА в тыс. руб.'!G1526*1000</f>
        <v>1000000</v>
      </c>
      <c r="K1526" s="169">
        <f t="shared" si="1011"/>
        <v>0</v>
      </c>
      <c r="L1526" s="16">
        <f>'БА в тыс. руб.'!H1526*1000</f>
        <v>765000</v>
      </c>
      <c r="M1526" s="169">
        <f t="shared" si="1012"/>
        <v>0</v>
      </c>
      <c r="N1526" s="16">
        <f>'БА в тыс. руб.'!I1526*1000</f>
        <v>765000</v>
      </c>
      <c r="O1526" s="169">
        <f t="shared" si="1013"/>
        <v>0</v>
      </c>
      <c r="P1526" s="16"/>
      <c r="Q1526" s="16"/>
      <c r="R1526" s="16"/>
      <c r="S1526" s="16"/>
      <c r="T1526" s="16"/>
      <c r="U1526" s="16"/>
    </row>
    <row r="1527" spans="1:21" s="3" customFormat="1" ht="38.25">
      <c r="A1527" s="11" t="s">
        <v>579</v>
      </c>
      <c r="B1527" s="25" t="s">
        <v>16</v>
      </c>
      <c r="C1527" s="26" t="s">
        <v>65</v>
      </c>
      <c r="D1527" s="26" t="s">
        <v>84</v>
      </c>
      <c r="E1527" s="26" t="s">
        <v>235</v>
      </c>
      <c r="F1527" s="26" t="s">
        <v>58</v>
      </c>
      <c r="G1527" s="27">
        <f t="shared" si="1043"/>
        <v>1000000</v>
      </c>
      <c r="H1527" s="27">
        <f t="shared" si="1043"/>
        <v>765000</v>
      </c>
      <c r="I1527" s="27">
        <f t="shared" si="1043"/>
        <v>765000</v>
      </c>
      <c r="J1527" s="16">
        <f>'БА в тыс. руб.'!G1527*1000</f>
        <v>1000000</v>
      </c>
      <c r="K1527" s="169">
        <f t="shared" si="1011"/>
        <v>0</v>
      </c>
      <c r="L1527" s="16">
        <f>'БА в тыс. руб.'!H1527*1000</f>
        <v>765000</v>
      </c>
      <c r="M1527" s="169">
        <f t="shared" si="1012"/>
        <v>0</v>
      </c>
      <c r="N1527" s="16">
        <f>'БА в тыс. руб.'!I1527*1000</f>
        <v>765000</v>
      </c>
      <c r="O1527" s="169">
        <f t="shared" si="1013"/>
        <v>0</v>
      </c>
      <c r="P1527" s="16"/>
      <c r="Q1527" s="16"/>
      <c r="R1527" s="16"/>
      <c r="S1527" s="16"/>
      <c r="T1527" s="16"/>
      <c r="U1527" s="16"/>
    </row>
    <row r="1528" spans="1:21" s="3" customFormat="1" ht="25.5">
      <c r="A1528" s="11" t="s">
        <v>170</v>
      </c>
      <c r="B1528" s="25" t="s">
        <v>16</v>
      </c>
      <c r="C1528" s="26" t="s">
        <v>65</v>
      </c>
      <c r="D1528" s="26" t="s">
        <v>84</v>
      </c>
      <c r="E1528" s="26" t="s">
        <v>236</v>
      </c>
      <c r="F1528" s="26" t="s">
        <v>58</v>
      </c>
      <c r="G1528" s="27">
        <f t="shared" si="1043"/>
        <v>1000000</v>
      </c>
      <c r="H1528" s="27">
        <f t="shared" si="1043"/>
        <v>765000</v>
      </c>
      <c r="I1528" s="27">
        <f t="shared" si="1043"/>
        <v>765000</v>
      </c>
      <c r="J1528" s="16">
        <f>'БА в тыс. руб.'!G1528*1000</f>
        <v>1000000</v>
      </c>
      <c r="K1528" s="169">
        <f t="shared" si="1011"/>
        <v>0</v>
      </c>
      <c r="L1528" s="16">
        <f>'БА в тыс. руб.'!H1528*1000</f>
        <v>765000</v>
      </c>
      <c r="M1528" s="169">
        <f t="shared" si="1012"/>
        <v>0</v>
      </c>
      <c r="N1528" s="16">
        <f>'БА в тыс. руб.'!I1528*1000</f>
        <v>765000</v>
      </c>
      <c r="O1528" s="169">
        <f t="shared" si="1013"/>
        <v>0</v>
      </c>
      <c r="P1528" s="16"/>
      <c r="Q1528" s="16"/>
      <c r="R1528" s="16"/>
      <c r="S1528" s="16"/>
      <c r="T1528" s="16"/>
      <c r="U1528" s="16"/>
    </row>
    <row r="1529" spans="1:21" s="3" customFormat="1" ht="25.5">
      <c r="A1529" s="11" t="s">
        <v>108</v>
      </c>
      <c r="B1529" s="25" t="s">
        <v>16</v>
      </c>
      <c r="C1529" s="26" t="s">
        <v>65</v>
      </c>
      <c r="D1529" s="26" t="s">
        <v>84</v>
      </c>
      <c r="E1529" s="26" t="s">
        <v>236</v>
      </c>
      <c r="F1529" s="26" t="s">
        <v>116</v>
      </c>
      <c r="G1529" s="27">
        <f>G1530</f>
        <v>1000000</v>
      </c>
      <c r="H1529" s="27">
        <f t="shared" si="1043"/>
        <v>765000</v>
      </c>
      <c r="I1529" s="27">
        <f t="shared" si="1043"/>
        <v>765000</v>
      </c>
      <c r="J1529" s="16">
        <f>'БА в тыс. руб.'!G1529*1000</f>
        <v>1000000</v>
      </c>
      <c r="K1529" s="169">
        <f t="shared" si="1011"/>
        <v>0</v>
      </c>
      <c r="L1529" s="16">
        <f>'БА в тыс. руб.'!H1529*1000</f>
        <v>765000</v>
      </c>
      <c r="M1529" s="169">
        <f t="shared" si="1012"/>
        <v>0</v>
      </c>
      <c r="N1529" s="16">
        <f>'БА в тыс. руб.'!I1529*1000</f>
        <v>765000</v>
      </c>
      <c r="O1529" s="169">
        <f t="shared" si="1013"/>
        <v>0</v>
      </c>
      <c r="P1529" s="16"/>
      <c r="Q1529" s="16"/>
      <c r="R1529" s="16"/>
      <c r="S1529" s="16"/>
      <c r="T1529" s="16"/>
      <c r="U1529" s="16"/>
    </row>
    <row r="1530" spans="1:21" s="4" customFormat="1" ht="25.5">
      <c r="A1530" s="12" t="s">
        <v>973</v>
      </c>
      <c r="B1530" s="25" t="s">
        <v>16</v>
      </c>
      <c r="C1530" s="26" t="s">
        <v>65</v>
      </c>
      <c r="D1530" s="26" t="s">
        <v>84</v>
      </c>
      <c r="E1530" s="26" t="s">
        <v>236</v>
      </c>
      <c r="F1530" s="26" t="s">
        <v>1043</v>
      </c>
      <c r="G1530" s="27">
        <f t="shared" ref="G1530" si="1044">J1530</f>
        <v>1000000</v>
      </c>
      <c r="H1530" s="27">
        <f>L1530</f>
        <v>765000</v>
      </c>
      <c r="I1530" s="27">
        <f>N1530</f>
        <v>765000</v>
      </c>
      <c r="J1530" s="16">
        <f>'БА в тыс. руб.'!G1530*1000</f>
        <v>1000000</v>
      </c>
      <c r="K1530" s="169">
        <f t="shared" si="1011"/>
        <v>0</v>
      </c>
      <c r="L1530" s="16">
        <f>'БА в тыс. руб.'!H1530*1000</f>
        <v>765000</v>
      </c>
      <c r="M1530" s="169">
        <f t="shared" si="1012"/>
        <v>0</v>
      </c>
      <c r="N1530" s="16">
        <f>'БА в тыс. руб.'!I1530*1000</f>
        <v>765000</v>
      </c>
      <c r="O1530" s="169">
        <f t="shared" si="1013"/>
        <v>0</v>
      </c>
      <c r="P1530" s="16"/>
      <c r="Q1530" s="16"/>
      <c r="R1530" s="16"/>
      <c r="S1530" s="16"/>
      <c r="T1530" s="16"/>
      <c r="U1530" s="16"/>
    </row>
    <row r="1531" spans="1:21" s="3" customFormat="1" ht="25.5">
      <c r="A1531" s="150" t="s">
        <v>195</v>
      </c>
      <c r="B1531" s="25" t="s">
        <v>16</v>
      </c>
      <c r="C1531" s="26" t="s">
        <v>65</v>
      </c>
      <c r="D1531" s="26" t="s">
        <v>84</v>
      </c>
      <c r="E1531" s="26" t="s">
        <v>572</v>
      </c>
      <c r="F1531" s="26" t="s">
        <v>58</v>
      </c>
      <c r="G1531" s="27">
        <f>G1532+G1546</f>
        <v>51002390</v>
      </c>
      <c r="H1531" s="27">
        <f>H1532+H1546</f>
        <v>51015950</v>
      </c>
      <c r="I1531" s="27">
        <f>I1532+I1546</f>
        <v>51015950</v>
      </c>
      <c r="J1531" s="16">
        <f>'БА в тыс. руб.'!G1531*1000</f>
        <v>51002389.999999993</v>
      </c>
      <c r="K1531" s="169">
        <f t="shared" si="1011"/>
        <v>0</v>
      </c>
      <c r="L1531" s="16">
        <f>'БА в тыс. руб.'!H1531*1000</f>
        <v>51015950</v>
      </c>
      <c r="M1531" s="169">
        <f t="shared" si="1012"/>
        <v>0</v>
      </c>
      <c r="N1531" s="16">
        <f>'БА в тыс. руб.'!I1531*1000</f>
        <v>51015950</v>
      </c>
      <c r="O1531" s="169">
        <f t="shared" si="1013"/>
        <v>0</v>
      </c>
      <c r="P1531" s="16"/>
      <c r="Q1531" s="16"/>
      <c r="R1531" s="16"/>
      <c r="S1531" s="16"/>
      <c r="T1531" s="16"/>
      <c r="U1531" s="16"/>
    </row>
    <row r="1532" spans="1:21" s="3" customFormat="1" ht="25.5">
      <c r="A1532" s="151" t="s">
        <v>580</v>
      </c>
      <c r="B1532" s="25" t="s">
        <v>16</v>
      </c>
      <c r="C1532" s="26" t="s">
        <v>65</v>
      </c>
      <c r="D1532" s="26" t="s">
        <v>84</v>
      </c>
      <c r="E1532" s="26" t="s">
        <v>573</v>
      </c>
      <c r="F1532" s="26" t="s">
        <v>58</v>
      </c>
      <c r="G1532" s="27">
        <f>G1533+G1542</f>
        <v>46902390</v>
      </c>
      <c r="H1532" s="27">
        <f>H1533+H1542</f>
        <v>46915950</v>
      </c>
      <c r="I1532" s="27">
        <f>I1533+I1542</f>
        <v>46915950</v>
      </c>
      <c r="J1532" s="16">
        <f>'БА в тыс. руб.'!G1532*1000</f>
        <v>46902389.999999993</v>
      </c>
      <c r="K1532" s="169">
        <f t="shared" si="1011"/>
        <v>0</v>
      </c>
      <c r="L1532" s="16">
        <f>'БА в тыс. руб.'!H1532*1000</f>
        <v>46915950</v>
      </c>
      <c r="M1532" s="169">
        <f t="shared" si="1012"/>
        <v>0</v>
      </c>
      <c r="N1532" s="16">
        <f>'БА в тыс. руб.'!I1532*1000</f>
        <v>46915950</v>
      </c>
      <c r="O1532" s="169">
        <f t="shared" si="1013"/>
        <v>0</v>
      </c>
      <c r="P1532" s="16"/>
      <c r="Q1532" s="16"/>
      <c r="R1532" s="16"/>
      <c r="S1532" s="16"/>
      <c r="T1532" s="16"/>
      <c r="U1532" s="16"/>
    </row>
    <row r="1533" spans="1:21" s="3" customFormat="1" ht="25.5">
      <c r="A1533" s="150" t="s">
        <v>114</v>
      </c>
      <c r="B1533" s="25" t="s">
        <v>16</v>
      </c>
      <c r="C1533" s="26" t="s">
        <v>65</v>
      </c>
      <c r="D1533" s="26" t="s">
        <v>84</v>
      </c>
      <c r="E1533" s="26" t="s">
        <v>574</v>
      </c>
      <c r="F1533" s="26" t="s">
        <v>58</v>
      </c>
      <c r="G1533" s="27">
        <f>G1534+G1537+G1539</f>
        <v>4071019.9999999995</v>
      </c>
      <c r="H1533" s="27">
        <f t="shared" ref="H1533:I1533" si="1045">H1534+H1537+H1539</f>
        <v>4084580</v>
      </c>
      <c r="I1533" s="27">
        <f t="shared" si="1045"/>
        <v>4084580</v>
      </c>
      <c r="J1533" s="16">
        <f>'БА в тыс. руб.'!G1533*1000</f>
        <v>4071019.9999999995</v>
      </c>
      <c r="K1533" s="169">
        <f t="shared" si="1011"/>
        <v>0</v>
      </c>
      <c r="L1533" s="16">
        <f>'БА в тыс. руб.'!H1533*1000</f>
        <v>4084580</v>
      </c>
      <c r="M1533" s="169">
        <f t="shared" si="1012"/>
        <v>0</v>
      </c>
      <c r="N1533" s="16">
        <f>'БА в тыс. руб.'!I1533*1000</f>
        <v>4084580</v>
      </c>
      <c r="O1533" s="169">
        <f t="shared" si="1013"/>
        <v>0</v>
      </c>
      <c r="P1533" s="16"/>
      <c r="Q1533" s="16"/>
      <c r="R1533" s="16"/>
      <c r="S1533" s="16"/>
      <c r="T1533" s="16"/>
      <c r="U1533" s="16"/>
    </row>
    <row r="1534" spans="1:21" s="3" customFormat="1" ht="25.5">
      <c r="A1534" s="13" t="s">
        <v>107</v>
      </c>
      <c r="B1534" s="25" t="s">
        <v>16</v>
      </c>
      <c r="C1534" s="26" t="s">
        <v>65</v>
      </c>
      <c r="D1534" s="26" t="s">
        <v>84</v>
      </c>
      <c r="E1534" s="26" t="s">
        <v>574</v>
      </c>
      <c r="F1534" s="26" t="s">
        <v>115</v>
      </c>
      <c r="G1534" s="27">
        <f>SUM(G1535:G1536)</f>
        <v>994430</v>
      </c>
      <c r="H1534" s="27">
        <f t="shared" ref="H1534:I1534" si="1046">SUM(H1535:H1536)</f>
        <v>994430</v>
      </c>
      <c r="I1534" s="27">
        <f t="shared" si="1046"/>
        <v>994430</v>
      </c>
      <c r="J1534" s="16">
        <f>'БА в тыс. руб.'!G1534*1000</f>
        <v>994430</v>
      </c>
      <c r="K1534" s="169">
        <f t="shared" si="1011"/>
        <v>0</v>
      </c>
      <c r="L1534" s="16">
        <f>'БА в тыс. руб.'!H1534*1000</f>
        <v>994430</v>
      </c>
      <c r="M1534" s="169">
        <f t="shared" si="1012"/>
        <v>0</v>
      </c>
      <c r="N1534" s="16">
        <f>'БА в тыс. руб.'!I1534*1000</f>
        <v>994430</v>
      </c>
      <c r="O1534" s="169">
        <f t="shared" si="1013"/>
        <v>0</v>
      </c>
      <c r="P1534" s="16"/>
      <c r="Q1534" s="16"/>
      <c r="R1534" s="16"/>
      <c r="S1534" s="16"/>
      <c r="T1534" s="16"/>
      <c r="U1534" s="16"/>
    </row>
    <row r="1535" spans="1:21" s="3" customFormat="1" ht="25.5">
      <c r="A1535" s="11" t="s">
        <v>937</v>
      </c>
      <c r="B1535" s="25" t="s">
        <v>16</v>
      </c>
      <c r="C1535" s="26" t="s">
        <v>65</v>
      </c>
      <c r="D1535" s="26" t="s">
        <v>84</v>
      </c>
      <c r="E1535" s="26" t="s">
        <v>574</v>
      </c>
      <c r="F1535" s="26" t="s">
        <v>1059</v>
      </c>
      <c r="G1535" s="27">
        <f t="shared" ref="G1535:G1536" si="1047">J1535</f>
        <v>763770</v>
      </c>
      <c r="H1535" s="27">
        <f t="shared" ref="H1535:H1536" si="1048">L1535</f>
        <v>763770</v>
      </c>
      <c r="I1535" s="27">
        <f t="shared" ref="I1535:I1536" si="1049">N1535</f>
        <v>763770</v>
      </c>
      <c r="J1535" s="16">
        <f>'БА в тыс. руб.'!G1535*1000</f>
        <v>763770</v>
      </c>
      <c r="K1535" s="169">
        <f t="shared" si="1011"/>
        <v>0</v>
      </c>
      <c r="L1535" s="16">
        <f>'БА в тыс. руб.'!H1535*1000</f>
        <v>763770</v>
      </c>
      <c r="M1535" s="169">
        <f t="shared" si="1012"/>
        <v>0</v>
      </c>
      <c r="N1535" s="16">
        <f>'БА в тыс. руб.'!I1535*1000</f>
        <v>763770</v>
      </c>
      <c r="O1535" s="169">
        <f t="shared" si="1013"/>
        <v>0</v>
      </c>
      <c r="P1535" s="16"/>
      <c r="Q1535" s="16"/>
      <c r="R1535" s="16"/>
      <c r="S1535" s="16"/>
      <c r="T1535" s="16"/>
      <c r="U1535" s="16"/>
    </row>
    <row r="1536" spans="1:21" s="3" customFormat="1" ht="38.25">
      <c r="A1536" s="11" t="s">
        <v>939</v>
      </c>
      <c r="B1536" s="25" t="s">
        <v>16</v>
      </c>
      <c r="C1536" s="26" t="s">
        <v>65</v>
      </c>
      <c r="D1536" s="26" t="s">
        <v>84</v>
      </c>
      <c r="E1536" s="26" t="s">
        <v>574</v>
      </c>
      <c r="F1536" s="26" t="s">
        <v>1060</v>
      </c>
      <c r="G1536" s="27">
        <f t="shared" si="1047"/>
        <v>230660</v>
      </c>
      <c r="H1536" s="27">
        <f t="shared" si="1048"/>
        <v>230660</v>
      </c>
      <c r="I1536" s="27">
        <f t="shared" si="1049"/>
        <v>230660</v>
      </c>
      <c r="J1536" s="16">
        <f>'БА в тыс. руб.'!G1536*1000</f>
        <v>230660</v>
      </c>
      <c r="K1536" s="169">
        <f t="shared" si="1011"/>
        <v>0</v>
      </c>
      <c r="L1536" s="16">
        <f>'БА в тыс. руб.'!H1536*1000</f>
        <v>230660</v>
      </c>
      <c r="M1536" s="169">
        <f t="shared" si="1012"/>
        <v>0</v>
      </c>
      <c r="N1536" s="16">
        <f>'БА в тыс. руб.'!I1536*1000</f>
        <v>230660</v>
      </c>
      <c r="O1536" s="169">
        <f t="shared" si="1013"/>
        <v>0</v>
      </c>
      <c r="P1536" s="16"/>
      <c r="Q1536" s="16"/>
      <c r="R1536" s="16"/>
      <c r="S1536" s="16"/>
      <c r="T1536" s="16"/>
      <c r="U1536" s="16"/>
    </row>
    <row r="1537" spans="1:21" s="3" customFormat="1" ht="25.5">
      <c r="A1537" s="13" t="s">
        <v>108</v>
      </c>
      <c r="B1537" s="25" t="s">
        <v>16</v>
      </c>
      <c r="C1537" s="26" t="s">
        <v>65</v>
      </c>
      <c r="D1537" s="26" t="s">
        <v>84</v>
      </c>
      <c r="E1537" s="26" t="s">
        <v>574</v>
      </c>
      <c r="F1537" s="26" t="s">
        <v>116</v>
      </c>
      <c r="G1537" s="27">
        <f>G1538</f>
        <v>2829939.9999999995</v>
      </c>
      <c r="H1537" s="27">
        <f t="shared" ref="H1537:I1537" si="1050">H1538</f>
        <v>2843500</v>
      </c>
      <c r="I1537" s="27">
        <f t="shared" si="1050"/>
        <v>2843500</v>
      </c>
      <c r="J1537" s="16">
        <f>'БА в тыс. руб.'!G1537*1000</f>
        <v>2829939.9999999995</v>
      </c>
      <c r="K1537" s="169">
        <f t="shared" si="1011"/>
        <v>0</v>
      </c>
      <c r="L1537" s="16">
        <f>'БА в тыс. руб.'!H1537*1000</f>
        <v>2843500</v>
      </c>
      <c r="M1537" s="169">
        <f t="shared" si="1012"/>
        <v>0</v>
      </c>
      <c r="N1537" s="16">
        <f>'БА в тыс. руб.'!I1537*1000</f>
        <v>2843500</v>
      </c>
      <c r="O1537" s="169">
        <f t="shared" si="1013"/>
        <v>0</v>
      </c>
      <c r="P1537" s="16"/>
      <c r="Q1537" s="16"/>
      <c r="R1537" s="16"/>
      <c r="S1537" s="16"/>
      <c r="T1537" s="16"/>
      <c r="U1537" s="16"/>
    </row>
    <row r="1538" spans="1:21" s="94" customFormat="1" ht="25.5">
      <c r="A1538" s="12" t="s">
        <v>973</v>
      </c>
      <c r="B1538" s="25" t="s">
        <v>16</v>
      </c>
      <c r="C1538" s="26" t="s">
        <v>65</v>
      </c>
      <c r="D1538" s="26" t="s">
        <v>84</v>
      </c>
      <c r="E1538" s="26" t="s">
        <v>574</v>
      </c>
      <c r="F1538" s="26" t="s">
        <v>1043</v>
      </c>
      <c r="G1538" s="27">
        <f t="shared" ref="G1538" si="1051">J1538</f>
        <v>2829939.9999999995</v>
      </c>
      <c r="H1538" s="27">
        <f>L1538</f>
        <v>2843500</v>
      </c>
      <c r="I1538" s="27">
        <f>N1538</f>
        <v>2843500</v>
      </c>
      <c r="J1538" s="16">
        <f>'БА в тыс. руб.'!G1538*1000</f>
        <v>2829939.9999999995</v>
      </c>
      <c r="K1538" s="169">
        <f t="shared" si="1011"/>
        <v>0</v>
      </c>
      <c r="L1538" s="16">
        <f>'БА в тыс. руб.'!H1538*1000</f>
        <v>2843500</v>
      </c>
      <c r="M1538" s="169">
        <f t="shared" si="1012"/>
        <v>0</v>
      </c>
      <c r="N1538" s="16">
        <f>'БА в тыс. руб.'!I1538*1000</f>
        <v>2843500</v>
      </c>
      <c r="O1538" s="169">
        <f t="shared" si="1013"/>
        <v>0</v>
      </c>
      <c r="P1538" s="16"/>
      <c r="Q1538" s="16"/>
      <c r="R1538" s="16"/>
      <c r="S1538" s="16"/>
      <c r="T1538" s="16"/>
      <c r="U1538" s="16"/>
    </row>
    <row r="1539" spans="1:21" s="3" customFormat="1">
      <c r="A1539" s="13" t="s">
        <v>97</v>
      </c>
      <c r="B1539" s="25" t="s">
        <v>16</v>
      </c>
      <c r="C1539" s="26" t="s">
        <v>65</v>
      </c>
      <c r="D1539" s="26" t="s">
        <v>84</v>
      </c>
      <c r="E1539" s="26" t="s">
        <v>574</v>
      </c>
      <c r="F1539" s="26" t="s">
        <v>118</v>
      </c>
      <c r="G1539" s="27">
        <f>SUM(G1540:G1541)</f>
        <v>246650</v>
      </c>
      <c r="H1539" s="27">
        <f t="shared" ref="H1539:I1539" si="1052">SUM(H1540:H1541)</f>
        <v>246650</v>
      </c>
      <c r="I1539" s="27">
        <f t="shared" si="1052"/>
        <v>246650</v>
      </c>
      <c r="J1539" s="16">
        <f>'БА в тыс. руб.'!G1539*1000</f>
        <v>246650</v>
      </c>
      <c r="K1539" s="169">
        <f t="shared" si="1011"/>
        <v>0</v>
      </c>
      <c r="L1539" s="16">
        <f>'БА в тыс. руб.'!H1539*1000</f>
        <v>246650</v>
      </c>
      <c r="M1539" s="169">
        <f t="shared" si="1012"/>
        <v>0</v>
      </c>
      <c r="N1539" s="16">
        <f>'БА в тыс. руб.'!I1539*1000</f>
        <v>246650</v>
      </c>
      <c r="O1539" s="169">
        <f t="shared" si="1013"/>
        <v>0</v>
      </c>
      <c r="P1539" s="16"/>
      <c r="Q1539" s="16"/>
      <c r="R1539" s="16"/>
      <c r="S1539" s="16"/>
      <c r="T1539" s="16"/>
      <c r="U1539" s="16"/>
    </row>
    <row r="1540" spans="1:21" s="3" customFormat="1">
      <c r="A1540" s="11" t="s">
        <v>1036</v>
      </c>
      <c r="B1540" s="25" t="s">
        <v>16</v>
      </c>
      <c r="C1540" s="26" t="s">
        <v>65</v>
      </c>
      <c r="D1540" s="26" t="s">
        <v>84</v>
      </c>
      <c r="E1540" s="26" t="s">
        <v>574</v>
      </c>
      <c r="F1540" s="26" t="s">
        <v>1061</v>
      </c>
      <c r="G1540" s="27">
        <f t="shared" ref="G1540:G1541" si="1053">J1540</f>
        <v>226350</v>
      </c>
      <c r="H1540" s="27">
        <f t="shared" ref="H1540:H1541" si="1054">L1540</f>
        <v>226350</v>
      </c>
      <c r="I1540" s="27">
        <f t="shared" ref="I1540:I1541" si="1055">N1540</f>
        <v>226350</v>
      </c>
      <c r="J1540" s="16">
        <f>'БА в тыс. руб.'!G1540*1000</f>
        <v>226350</v>
      </c>
      <c r="K1540" s="169">
        <f t="shared" si="1011"/>
        <v>0</v>
      </c>
      <c r="L1540" s="16">
        <f>'БА в тыс. руб.'!H1540*1000</f>
        <v>226350</v>
      </c>
      <c r="M1540" s="169">
        <f t="shared" si="1012"/>
        <v>0</v>
      </c>
      <c r="N1540" s="16">
        <f>'БА в тыс. руб.'!I1540*1000</f>
        <v>226350</v>
      </c>
      <c r="O1540" s="169">
        <f t="shared" si="1013"/>
        <v>0</v>
      </c>
      <c r="P1540" s="16"/>
      <c r="Q1540" s="16"/>
      <c r="R1540" s="16"/>
      <c r="S1540" s="16"/>
      <c r="T1540" s="16"/>
      <c r="U1540" s="16"/>
    </row>
    <row r="1541" spans="1:21" s="3" customFormat="1">
      <c r="A1541" s="11" t="s">
        <v>1037</v>
      </c>
      <c r="B1541" s="25" t="s">
        <v>16</v>
      </c>
      <c r="C1541" s="26" t="s">
        <v>65</v>
      </c>
      <c r="D1541" s="26" t="s">
        <v>84</v>
      </c>
      <c r="E1541" s="26" t="s">
        <v>574</v>
      </c>
      <c r="F1541" s="26" t="s">
        <v>1062</v>
      </c>
      <c r="G1541" s="27">
        <f t="shared" si="1053"/>
        <v>20300</v>
      </c>
      <c r="H1541" s="27">
        <f t="shared" si="1054"/>
        <v>20300</v>
      </c>
      <c r="I1541" s="27">
        <f t="shared" si="1055"/>
        <v>20300</v>
      </c>
      <c r="J1541" s="16">
        <f>'БА в тыс. руб.'!G1541*1000</f>
        <v>20300</v>
      </c>
      <c r="K1541" s="169">
        <f t="shared" si="1011"/>
        <v>0</v>
      </c>
      <c r="L1541" s="16">
        <f>'БА в тыс. руб.'!H1541*1000</f>
        <v>20300</v>
      </c>
      <c r="M1541" s="169">
        <f t="shared" si="1012"/>
        <v>0</v>
      </c>
      <c r="N1541" s="16">
        <f>'БА в тыс. руб.'!I1541*1000</f>
        <v>20300</v>
      </c>
      <c r="O1541" s="169">
        <f t="shared" si="1013"/>
        <v>0</v>
      </c>
      <c r="P1541" s="16"/>
      <c r="Q1541" s="16"/>
      <c r="R1541" s="16"/>
      <c r="S1541" s="16"/>
      <c r="T1541" s="16"/>
      <c r="U1541" s="16"/>
    </row>
    <row r="1542" spans="1:21" s="3" customFormat="1" ht="25.5">
      <c r="A1542" s="13" t="s">
        <v>126</v>
      </c>
      <c r="B1542" s="25" t="s">
        <v>16</v>
      </c>
      <c r="C1542" s="26" t="s">
        <v>65</v>
      </c>
      <c r="D1542" s="26" t="s">
        <v>84</v>
      </c>
      <c r="E1542" s="26" t="s">
        <v>575</v>
      </c>
      <c r="F1542" s="26" t="s">
        <v>58</v>
      </c>
      <c r="G1542" s="27">
        <f>G1543</f>
        <v>42831370</v>
      </c>
      <c r="H1542" s="27">
        <f>H1543</f>
        <v>42831370</v>
      </c>
      <c r="I1542" s="27">
        <f>I1543</f>
        <v>42831370</v>
      </c>
      <c r="J1542" s="16">
        <f>'БА в тыс. руб.'!G1542*1000</f>
        <v>42831369.999999993</v>
      </c>
      <c r="K1542" s="169">
        <f t="shared" si="1011"/>
        <v>0</v>
      </c>
      <c r="L1542" s="16">
        <f>'БА в тыс. руб.'!H1542*1000</f>
        <v>42831369.999999993</v>
      </c>
      <c r="M1542" s="169">
        <f t="shared" si="1012"/>
        <v>0</v>
      </c>
      <c r="N1542" s="16">
        <f>'БА в тыс. руб.'!I1542*1000</f>
        <v>42831369.999999993</v>
      </c>
      <c r="O1542" s="169">
        <f t="shared" si="1013"/>
        <v>0</v>
      </c>
      <c r="P1542" s="16"/>
      <c r="Q1542" s="16"/>
      <c r="R1542" s="16"/>
      <c r="S1542" s="16"/>
      <c r="T1542" s="16"/>
      <c r="U1542" s="16"/>
    </row>
    <row r="1543" spans="1:21" s="3" customFormat="1" ht="25.5">
      <c r="A1543" s="13" t="s">
        <v>107</v>
      </c>
      <c r="B1543" s="25" t="s">
        <v>16</v>
      </c>
      <c r="C1543" s="26" t="s">
        <v>65</v>
      </c>
      <c r="D1543" s="26" t="s">
        <v>84</v>
      </c>
      <c r="E1543" s="26" t="s">
        <v>575</v>
      </c>
      <c r="F1543" s="26" t="s">
        <v>115</v>
      </c>
      <c r="G1543" s="27">
        <f>SUM(G1544:G1545)</f>
        <v>42831370</v>
      </c>
      <c r="H1543" s="27">
        <f t="shared" ref="H1543:I1543" si="1056">SUM(H1544:H1545)</f>
        <v>42831370</v>
      </c>
      <c r="I1543" s="27">
        <f t="shared" si="1056"/>
        <v>42831370</v>
      </c>
      <c r="J1543" s="16">
        <f>'БА в тыс. руб.'!G1543*1000</f>
        <v>42831369.999999993</v>
      </c>
      <c r="K1543" s="169">
        <f t="shared" si="1011"/>
        <v>0</v>
      </c>
      <c r="L1543" s="16">
        <f>'БА в тыс. руб.'!H1543*1000</f>
        <v>42831369.999999993</v>
      </c>
      <c r="M1543" s="169">
        <f t="shared" si="1012"/>
        <v>0</v>
      </c>
      <c r="N1543" s="16">
        <f>'БА в тыс. руб.'!I1543*1000</f>
        <v>42831369.999999993</v>
      </c>
      <c r="O1543" s="169">
        <f t="shared" si="1013"/>
        <v>0</v>
      </c>
      <c r="P1543" s="16"/>
      <c r="Q1543" s="16"/>
      <c r="R1543" s="16"/>
      <c r="S1543" s="16"/>
      <c r="T1543" s="16"/>
      <c r="U1543" s="16"/>
    </row>
    <row r="1544" spans="1:21" s="3" customFormat="1">
      <c r="A1544" s="11" t="s">
        <v>936</v>
      </c>
      <c r="B1544" s="25" t="s">
        <v>16</v>
      </c>
      <c r="C1544" s="26" t="s">
        <v>65</v>
      </c>
      <c r="D1544" s="26" t="s">
        <v>84</v>
      </c>
      <c r="E1544" s="26" t="s">
        <v>575</v>
      </c>
      <c r="F1544" s="26" t="s">
        <v>1063</v>
      </c>
      <c r="G1544" s="27">
        <f t="shared" ref="G1544:G1545" si="1057">J1544</f>
        <v>32896600</v>
      </c>
      <c r="H1544" s="27">
        <f t="shared" ref="H1544:H1545" si="1058">L1544</f>
        <v>32896600</v>
      </c>
      <c r="I1544" s="27">
        <f t="shared" ref="I1544:I1545" si="1059">N1544</f>
        <v>32896600</v>
      </c>
      <c r="J1544" s="16">
        <f>'БА в тыс. руб.'!G1544*1000</f>
        <v>32896600</v>
      </c>
      <c r="K1544" s="169">
        <f t="shared" si="1011"/>
        <v>0</v>
      </c>
      <c r="L1544" s="16">
        <f>'БА в тыс. руб.'!H1544*1000</f>
        <v>32896600</v>
      </c>
      <c r="M1544" s="169">
        <f t="shared" si="1012"/>
        <v>0</v>
      </c>
      <c r="N1544" s="16">
        <f>'БА в тыс. руб.'!I1544*1000</f>
        <v>32896600</v>
      </c>
      <c r="O1544" s="169">
        <f t="shared" si="1013"/>
        <v>0</v>
      </c>
      <c r="P1544" s="16"/>
      <c r="Q1544" s="16"/>
      <c r="R1544" s="16"/>
      <c r="S1544" s="16"/>
      <c r="T1544" s="16"/>
      <c r="U1544" s="16"/>
    </row>
    <row r="1545" spans="1:21" s="3" customFormat="1" ht="38.25">
      <c r="A1545" s="11" t="s">
        <v>939</v>
      </c>
      <c r="B1545" s="25" t="s">
        <v>16</v>
      </c>
      <c r="C1545" s="26" t="s">
        <v>65</v>
      </c>
      <c r="D1545" s="26" t="s">
        <v>84</v>
      </c>
      <c r="E1545" s="26" t="s">
        <v>575</v>
      </c>
      <c r="F1545" s="26" t="s">
        <v>1060</v>
      </c>
      <c r="G1545" s="27">
        <f t="shared" si="1057"/>
        <v>9934770</v>
      </c>
      <c r="H1545" s="27">
        <f t="shared" si="1058"/>
        <v>9934770</v>
      </c>
      <c r="I1545" s="27">
        <f t="shared" si="1059"/>
        <v>9934770</v>
      </c>
      <c r="J1545" s="16">
        <f>'БА в тыс. руб.'!G1545*1000</f>
        <v>9934770</v>
      </c>
      <c r="K1545" s="169">
        <f t="shared" si="1011"/>
        <v>0</v>
      </c>
      <c r="L1545" s="16">
        <f>'БА в тыс. руб.'!H1545*1000</f>
        <v>9934770</v>
      </c>
      <c r="M1545" s="169">
        <f t="shared" si="1012"/>
        <v>0</v>
      </c>
      <c r="N1545" s="16">
        <f>'БА в тыс. руб.'!I1545*1000</f>
        <v>9934770</v>
      </c>
      <c r="O1545" s="169">
        <f t="shared" si="1013"/>
        <v>0</v>
      </c>
      <c r="P1545" s="16"/>
      <c r="Q1545" s="16"/>
      <c r="R1545" s="16"/>
      <c r="S1545" s="16"/>
      <c r="T1545" s="16"/>
      <c r="U1545" s="16"/>
    </row>
    <row r="1546" spans="1:21" s="3" customFormat="1">
      <c r="A1546" s="151" t="s">
        <v>175</v>
      </c>
      <c r="B1546" s="25" t="s">
        <v>16</v>
      </c>
      <c r="C1546" s="26" t="s">
        <v>65</v>
      </c>
      <c r="D1546" s="26" t="s">
        <v>84</v>
      </c>
      <c r="E1546" s="26" t="s">
        <v>576</v>
      </c>
      <c r="F1546" s="26" t="s">
        <v>58</v>
      </c>
      <c r="G1546" s="27">
        <f>G1550+G1547</f>
        <v>4100000</v>
      </c>
      <c r="H1546" s="27">
        <f t="shared" ref="H1546:I1546" si="1060">H1550+H1547</f>
        <v>4100000</v>
      </c>
      <c r="I1546" s="27">
        <f t="shared" si="1060"/>
        <v>4100000</v>
      </c>
      <c r="J1546" s="16">
        <f>'БА в тыс. руб.'!G1546*1000</f>
        <v>4100000</v>
      </c>
      <c r="K1546" s="169">
        <f t="shared" si="1011"/>
        <v>0</v>
      </c>
      <c r="L1546" s="16">
        <f>'БА в тыс. руб.'!H1546*1000</f>
        <v>4100000</v>
      </c>
      <c r="M1546" s="169">
        <f t="shared" si="1012"/>
        <v>0</v>
      </c>
      <c r="N1546" s="16">
        <f>'БА в тыс. руб.'!I1546*1000</f>
        <v>4100000</v>
      </c>
      <c r="O1546" s="169">
        <f t="shared" si="1013"/>
        <v>0</v>
      </c>
      <c r="P1546" s="16"/>
      <c r="Q1546" s="16"/>
      <c r="R1546" s="16"/>
      <c r="S1546" s="16"/>
      <c r="T1546" s="16"/>
      <c r="U1546" s="16"/>
    </row>
    <row r="1547" spans="1:21" s="3" customFormat="1" ht="38.25">
      <c r="A1547" s="150" t="s">
        <v>176</v>
      </c>
      <c r="B1547" s="25" t="s">
        <v>16</v>
      </c>
      <c r="C1547" s="26" t="s">
        <v>65</v>
      </c>
      <c r="D1547" s="26" t="s">
        <v>84</v>
      </c>
      <c r="E1547" s="26" t="s">
        <v>835</v>
      </c>
      <c r="F1547" s="26" t="s">
        <v>58</v>
      </c>
      <c r="G1547" s="27">
        <f>G1548</f>
        <v>600000</v>
      </c>
      <c r="H1547" s="27">
        <f t="shared" ref="H1547:I1548" si="1061">H1548</f>
        <v>600000</v>
      </c>
      <c r="I1547" s="27">
        <f t="shared" si="1061"/>
        <v>600000</v>
      </c>
      <c r="J1547" s="16">
        <f>'БА в тыс. руб.'!G1547*1000</f>
        <v>600000</v>
      </c>
      <c r="K1547" s="169">
        <f t="shared" ref="K1547:K1610" si="1062">J1547-G1547</f>
        <v>0</v>
      </c>
      <c r="L1547" s="16">
        <f>'БА в тыс. руб.'!H1547*1000</f>
        <v>600000</v>
      </c>
      <c r="M1547" s="169">
        <f t="shared" ref="M1547:M1610" si="1063">L1547-H1547</f>
        <v>0</v>
      </c>
      <c r="N1547" s="16">
        <f>'БА в тыс. руб.'!I1547*1000</f>
        <v>600000</v>
      </c>
      <c r="O1547" s="169">
        <f t="shared" ref="O1547:O1610" si="1064">N1547-I1547</f>
        <v>0</v>
      </c>
      <c r="P1547" s="16"/>
      <c r="Q1547" s="16"/>
      <c r="R1547" s="16"/>
      <c r="S1547" s="16"/>
      <c r="T1547" s="16"/>
      <c r="U1547" s="16"/>
    </row>
    <row r="1548" spans="1:21" s="3" customFormat="1" ht="25.5">
      <c r="A1548" s="11" t="s">
        <v>108</v>
      </c>
      <c r="B1548" s="25" t="s">
        <v>16</v>
      </c>
      <c r="C1548" s="26" t="s">
        <v>65</v>
      </c>
      <c r="D1548" s="26" t="s">
        <v>84</v>
      </c>
      <c r="E1548" s="26" t="s">
        <v>835</v>
      </c>
      <c r="F1548" s="26" t="s">
        <v>116</v>
      </c>
      <c r="G1548" s="27">
        <f>G1549</f>
        <v>600000</v>
      </c>
      <c r="H1548" s="27">
        <f t="shared" si="1061"/>
        <v>600000</v>
      </c>
      <c r="I1548" s="27">
        <f t="shared" si="1061"/>
        <v>600000</v>
      </c>
      <c r="J1548" s="16">
        <f>'БА в тыс. руб.'!G1548*1000</f>
        <v>600000</v>
      </c>
      <c r="K1548" s="169">
        <f t="shared" si="1062"/>
        <v>0</v>
      </c>
      <c r="L1548" s="16">
        <f>'БА в тыс. руб.'!H1548*1000</f>
        <v>600000</v>
      </c>
      <c r="M1548" s="169">
        <f t="shared" si="1063"/>
        <v>0</v>
      </c>
      <c r="N1548" s="16">
        <f>'БА в тыс. руб.'!I1548*1000</f>
        <v>600000</v>
      </c>
      <c r="O1548" s="169">
        <f t="shared" si="1064"/>
        <v>0</v>
      </c>
      <c r="P1548" s="16"/>
      <c r="Q1548" s="16"/>
      <c r="R1548" s="16"/>
      <c r="S1548" s="16"/>
      <c r="T1548" s="16"/>
      <c r="U1548" s="16"/>
    </row>
    <row r="1549" spans="1:21" s="4" customFormat="1" ht="25.5">
      <c r="A1549" s="12" t="s">
        <v>973</v>
      </c>
      <c r="B1549" s="25" t="s">
        <v>16</v>
      </c>
      <c r="C1549" s="26" t="s">
        <v>65</v>
      </c>
      <c r="D1549" s="26" t="s">
        <v>84</v>
      </c>
      <c r="E1549" s="26" t="s">
        <v>835</v>
      </c>
      <c r="F1549" s="26" t="s">
        <v>1043</v>
      </c>
      <c r="G1549" s="27">
        <f t="shared" ref="G1549" si="1065">J1549</f>
        <v>600000</v>
      </c>
      <c r="H1549" s="27">
        <f>L1549</f>
        <v>600000</v>
      </c>
      <c r="I1549" s="27">
        <f>N1549</f>
        <v>600000</v>
      </c>
      <c r="J1549" s="16">
        <f>'БА в тыс. руб.'!G1549*1000</f>
        <v>600000</v>
      </c>
      <c r="K1549" s="169">
        <f t="shared" si="1062"/>
        <v>0</v>
      </c>
      <c r="L1549" s="16">
        <f>'БА в тыс. руб.'!H1549*1000</f>
        <v>600000</v>
      </c>
      <c r="M1549" s="169">
        <f t="shared" si="1063"/>
        <v>0</v>
      </c>
      <c r="N1549" s="16">
        <f>'БА в тыс. руб.'!I1549*1000</f>
        <v>600000</v>
      </c>
      <c r="O1549" s="169">
        <f t="shared" si="1064"/>
        <v>0</v>
      </c>
      <c r="P1549" s="16"/>
      <c r="Q1549" s="16"/>
      <c r="R1549" s="16"/>
      <c r="S1549" s="16"/>
      <c r="T1549" s="16"/>
      <c r="U1549" s="16"/>
    </row>
    <row r="1550" spans="1:21" s="3" customFormat="1" ht="25.5">
      <c r="A1550" s="13" t="s">
        <v>899</v>
      </c>
      <c r="B1550" s="25" t="s">
        <v>16</v>
      </c>
      <c r="C1550" s="26" t="s">
        <v>65</v>
      </c>
      <c r="D1550" s="26" t="s">
        <v>84</v>
      </c>
      <c r="E1550" s="26" t="s">
        <v>577</v>
      </c>
      <c r="F1550" s="26" t="s">
        <v>58</v>
      </c>
      <c r="G1550" s="27">
        <f t="shared" ref="G1550:I1551" si="1066">G1551</f>
        <v>3500000</v>
      </c>
      <c r="H1550" s="27">
        <f t="shared" si="1066"/>
        <v>3500000</v>
      </c>
      <c r="I1550" s="27">
        <f t="shared" si="1066"/>
        <v>3500000</v>
      </c>
      <c r="J1550" s="16">
        <f>'БА в тыс. руб.'!G1550*1000</f>
        <v>3500000</v>
      </c>
      <c r="K1550" s="169">
        <f t="shared" si="1062"/>
        <v>0</v>
      </c>
      <c r="L1550" s="16">
        <f>'БА в тыс. руб.'!H1550*1000</f>
        <v>3500000</v>
      </c>
      <c r="M1550" s="169">
        <f t="shared" si="1063"/>
        <v>0</v>
      </c>
      <c r="N1550" s="16">
        <f>'БА в тыс. руб.'!I1550*1000</f>
        <v>3500000</v>
      </c>
      <c r="O1550" s="169">
        <f t="shared" si="1064"/>
        <v>0</v>
      </c>
      <c r="P1550" s="16"/>
      <c r="Q1550" s="16"/>
      <c r="R1550" s="16"/>
      <c r="S1550" s="16"/>
      <c r="T1550" s="16"/>
      <c r="U1550" s="16"/>
    </row>
    <row r="1551" spans="1:21" s="3" customFormat="1" ht="25.5">
      <c r="A1551" s="11" t="s">
        <v>108</v>
      </c>
      <c r="B1551" s="25" t="s">
        <v>16</v>
      </c>
      <c r="C1551" s="26" t="s">
        <v>65</v>
      </c>
      <c r="D1551" s="26" t="s">
        <v>84</v>
      </c>
      <c r="E1551" s="26" t="s">
        <v>577</v>
      </c>
      <c r="F1551" s="26" t="s">
        <v>116</v>
      </c>
      <c r="G1551" s="27">
        <f>G1552</f>
        <v>3500000</v>
      </c>
      <c r="H1551" s="27">
        <f t="shared" si="1066"/>
        <v>3500000</v>
      </c>
      <c r="I1551" s="27">
        <f t="shared" si="1066"/>
        <v>3500000</v>
      </c>
      <c r="J1551" s="16">
        <f>'БА в тыс. руб.'!G1551*1000</f>
        <v>3500000</v>
      </c>
      <c r="K1551" s="169">
        <f t="shared" si="1062"/>
        <v>0</v>
      </c>
      <c r="L1551" s="16">
        <f>'БА в тыс. руб.'!H1551*1000</f>
        <v>3500000</v>
      </c>
      <c r="M1551" s="169">
        <f t="shared" si="1063"/>
        <v>0</v>
      </c>
      <c r="N1551" s="16">
        <f>'БА в тыс. руб.'!I1551*1000</f>
        <v>3500000</v>
      </c>
      <c r="O1551" s="169">
        <f t="shared" si="1064"/>
        <v>0</v>
      </c>
      <c r="P1551" s="16"/>
      <c r="Q1551" s="16"/>
      <c r="R1551" s="16"/>
      <c r="S1551" s="16"/>
      <c r="T1551" s="16"/>
      <c r="U1551" s="16"/>
    </row>
    <row r="1552" spans="1:21" s="4" customFormat="1" ht="25.5">
      <c r="A1552" s="12" t="s">
        <v>973</v>
      </c>
      <c r="B1552" s="25" t="s">
        <v>16</v>
      </c>
      <c r="C1552" s="26" t="s">
        <v>65</v>
      </c>
      <c r="D1552" s="26" t="s">
        <v>84</v>
      </c>
      <c r="E1552" s="26" t="s">
        <v>577</v>
      </c>
      <c r="F1552" s="26" t="s">
        <v>1043</v>
      </c>
      <c r="G1552" s="27">
        <f t="shared" ref="G1552" si="1067">J1552</f>
        <v>3500000</v>
      </c>
      <c r="H1552" s="27">
        <f>L1552</f>
        <v>3500000</v>
      </c>
      <c r="I1552" s="27">
        <f>N1552</f>
        <v>3500000</v>
      </c>
      <c r="J1552" s="16">
        <f>'БА в тыс. руб.'!G1552*1000</f>
        <v>3500000</v>
      </c>
      <c r="K1552" s="169">
        <f t="shared" si="1062"/>
        <v>0</v>
      </c>
      <c r="L1552" s="16">
        <f>'БА в тыс. руб.'!H1552*1000</f>
        <v>3500000</v>
      </c>
      <c r="M1552" s="169">
        <f t="shared" si="1063"/>
        <v>0</v>
      </c>
      <c r="N1552" s="16">
        <f>'БА в тыс. руб.'!I1552*1000</f>
        <v>3500000</v>
      </c>
      <c r="O1552" s="169">
        <f t="shared" si="1064"/>
        <v>0</v>
      </c>
      <c r="P1552" s="16"/>
      <c r="Q1552" s="16"/>
      <c r="R1552" s="16"/>
      <c r="S1552" s="16"/>
      <c r="T1552" s="16"/>
      <c r="U1552" s="16"/>
    </row>
    <row r="1553" spans="1:21" s="3" customFormat="1">
      <c r="A1553" s="17" t="s">
        <v>35</v>
      </c>
      <c r="B1553" s="18" t="s">
        <v>16</v>
      </c>
      <c r="C1553" s="19" t="s">
        <v>37</v>
      </c>
      <c r="D1553" s="19" t="s">
        <v>51</v>
      </c>
      <c r="E1553" s="19" t="s">
        <v>196</v>
      </c>
      <c r="F1553" s="19" t="s">
        <v>58</v>
      </c>
      <c r="G1553" s="20">
        <f>G1554</f>
        <v>6503000</v>
      </c>
      <c r="H1553" s="20">
        <f>H1554</f>
        <v>9588300</v>
      </c>
      <c r="I1553" s="20">
        <f>I1554</f>
        <v>9588300</v>
      </c>
      <c r="J1553" s="16">
        <f>'БА в тыс. руб.'!G1553*1000</f>
        <v>6503000</v>
      </c>
      <c r="K1553" s="169">
        <f t="shared" si="1062"/>
        <v>0</v>
      </c>
      <c r="L1553" s="16">
        <f>'БА в тыс. руб.'!H1553*1000</f>
        <v>9588300</v>
      </c>
      <c r="M1553" s="169">
        <f t="shared" si="1063"/>
        <v>0</v>
      </c>
      <c r="N1553" s="16">
        <f>'БА в тыс. руб.'!I1553*1000</f>
        <v>9588300</v>
      </c>
      <c r="O1553" s="169">
        <f t="shared" si="1064"/>
        <v>0</v>
      </c>
      <c r="P1553" s="16"/>
      <c r="Q1553" s="16"/>
      <c r="R1553" s="16"/>
      <c r="S1553" s="16"/>
      <c r="T1553" s="16"/>
      <c r="U1553" s="16"/>
    </row>
    <row r="1554" spans="1:21" s="3" customFormat="1">
      <c r="A1554" s="21" t="s">
        <v>73</v>
      </c>
      <c r="B1554" s="22" t="s">
        <v>16</v>
      </c>
      <c r="C1554" s="23" t="s">
        <v>37</v>
      </c>
      <c r="D1554" s="23" t="s">
        <v>40</v>
      </c>
      <c r="E1554" s="23" t="s">
        <v>196</v>
      </c>
      <c r="F1554" s="23" t="s">
        <v>58</v>
      </c>
      <c r="G1554" s="24">
        <f>G1555+G1565</f>
        <v>6503000</v>
      </c>
      <c r="H1554" s="24">
        <f>H1555+H1565</f>
        <v>9588300</v>
      </c>
      <c r="I1554" s="24">
        <f>I1555+I1565</f>
        <v>9588300</v>
      </c>
      <c r="J1554" s="16">
        <f>'БА в тыс. руб.'!G1554*1000</f>
        <v>6503000</v>
      </c>
      <c r="K1554" s="169">
        <f t="shared" si="1062"/>
        <v>0</v>
      </c>
      <c r="L1554" s="16">
        <f>'БА в тыс. руб.'!H1554*1000</f>
        <v>9588300</v>
      </c>
      <c r="M1554" s="169">
        <f t="shared" si="1063"/>
        <v>0</v>
      </c>
      <c r="N1554" s="16">
        <f>'БА в тыс. руб.'!I1554*1000</f>
        <v>9588300</v>
      </c>
      <c r="O1554" s="169">
        <f t="shared" si="1064"/>
        <v>0</v>
      </c>
      <c r="P1554" s="16"/>
      <c r="Q1554" s="16"/>
      <c r="R1554" s="16"/>
      <c r="S1554" s="16"/>
      <c r="T1554" s="16"/>
      <c r="U1554" s="16"/>
    </row>
    <row r="1555" spans="1:21" s="3" customFormat="1" ht="25.5">
      <c r="A1555" s="11" t="s">
        <v>730</v>
      </c>
      <c r="B1555" s="25" t="s">
        <v>16</v>
      </c>
      <c r="C1555" s="25" t="s">
        <v>37</v>
      </c>
      <c r="D1555" s="25" t="s">
        <v>40</v>
      </c>
      <c r="E1555" s="25" t="s">
        <v>565</v>
      </c>
      <c r="F1555" s="25" t="s">
        <v>58</v>
      </c>
      <c r="G1555" s="42">
        <f>G1556</f>
        <v>6403000</v>
      </c>
      <c r="H1555" s="42">
        <f>H1556</f>
        <v>9488300</v>
      </c>
      <c r="I1555" s="42">
        <f>I1556</f>
        <v>9488300</v>
      </c>
      <c r="J1555" s="16">
        <f>'БА в тыс. руб.'!G1555*1000</f>
        <v>6403000</v>
      </c>
      <c r="K1555" s="169">
        <f t="shared" si="1062"/>
        <v>0</v>
      </c>
      <c r="L1555" s="16">
        <f>'БА в тыс. руб.'!H1555*1000</f>
        <v>9488300</v>
      </c>
      <c r="M1555" s="169">
        <f t="shared" si="1063"/>
        <v>0</v>
      </c>
      <c r="N1555" s="16">
        <f>'БА в тыс. руб.'!I1555*1000</f>
        <v>9488300</v>
      </c>
      <c r="O1555" s="169">
        <f t="shared" si="1064"/>
        <v>0</v>
      </c>
      <c r="P1555" s="16"/>
      <c r="Q1555" s="16"/>
      <c r="R1555" s="16"/>
      <c r="S1555" s="16"/>
      <c r="T1555" s="16"/>
      <c r="U1555" s="16"/>
    </row>
    <row r="1556" spans="1:21" s="3" customFormat="1" ht="25.5">
      <c r="A1556" s="11" t="s">
        <v>732</v>
      </c>
      <c r="B1556" s="25" t="s">
        <v>16</v>
      </c>
      <c r="C1556" s="25" t="s">
        <v>37</v>
      </c>
      <c r="D1556" s="25" t="s">
        <v>40</v>
      </c>
      <c r="E1556" s="25" t="s">
        <v>731</v>
      </c>
      <c r="F1556" s="25" t="s">
        <v>58</v>
      </c>
      <c r="G1556" s="42">
        <f>G1557+G1561</f>
        <v>6403000</v>
      </c>
      <c r="H1556" s="42">
        <f>H1557+H1561</f>
        <v>9488300</v>
      </c>
      <c r="I1556" s="42">
        <f>I1557+I1561</f>
        <v>9488300</v>
      </c>
      <c r="J1556" s="16">
        <f>'БА в тыс. руб.'!G1556*1000</f>
        <v>6403000</v>
      </c>
      <c r="K1556" s="169">
        <f t="shared" si="1062"/>
        <v>0</v>
      </c>
      <c r="L1556" s="16">
        <f>'БА в тыс. руб.'!H1556*1000</f>
        <v>9488300</v>
      </c>
      <c r="M1556" s="169">
        <f t="shared" si="1063"/>
        <v>0</v>
      </c>
      <c r="N1556" s="16">
        <f>'БА в тыс. руб.'!I1556*1000</f>
        <v>9488300</v>
      </c>
      <c r="O1556" s="169">
        <f t="shared" si="1064"/>
        <v>0</v>
      </c>
      <c r="P1556" s="16"/>
      <c r="Q1556" s="16"/>
      <c r="R1556" s="16"/>
      <c r="S1556" s="16"/>
      <c r="T1556" s="16"/>
      <c r="U1556" s="16"/>
    </row>
    <row r="1557" spans="1:21" s="3" customFormat="1" ht="51">
      <c r="A1557" s="11" t="s">
        <v>566</v>
      </c>
      <c r="B1557" s="25" t="s">
        <v>16</v>
      </c>
      <c r="C1557" s="25" t="s">
        <v>37</v>
      </c>
      <c r="D1557" s="25" t="s">
        <v>40</v>
      </c>
      <c r="E1557" s="25" t="s">
        <v>836</v>
      </c>
      <c r="F1557" s="25" t="s">
        <v>58</v>
      </c>
      <c r="G1557" s="42">
        <f t="shared" ref="G1557:I1559" si="1068">G1558</f>
        <v>403000</v>
      </c>
      <c r="H1557" s="42">
        <f t="shared" si="1068"/>
        <v>403000</v>
      </c>
      <c r="I1557" s="42">
        <f t="shared" si="1068"/>
        <v>9488300</v>
      </c>
      <c r="J1557" s="16">
        <f>'БА в тыс. руб.'!G1557*1000</f>
        <v>403000</v>
      </c>
      <c r="K1557" s="169">
        <f t="shared" si="1062"/>
        <v>0</v>
      </c>
      <c r="L1557" s="16">
        <f>'БА в тыс. руб.'!H1557*1000</f>
        <v>403000</v>
      </c>
      <c r="M1557" s="169">
        <f t="shared" si="1063"/>
        <v>0</v>
      </c>
      <c r="N1557" s="16">
        <f>'БА в тыс. руб.'!I1557*1000</f>
        <v>9488300</v>
      </c>
      <c r="O1557" s="169">
        <f t="shared" si="1064"/>
        <v>0</v>
      </c>
      <c r="P1557" s="16"/>
      <c r="Q1557" s="16"/>
      <c r="R1557" s="16"/>
      <c r="S1557" s="16"/>
      <c r="T1557" s="16"/>
      <c r="U1557" s="16"/>
    </row>
    <row r="1558" spans="1:21" s="3" customFormat="1" ht="25.5">
      <c r="A1558" s="12" t="s">
        <v>915</v>
      </c>
      <c r="B1558" s="25" t="s">
        <v>16</v>
      </c>
      <c r="C1558" s="25" t="s">
        <v>37</v>
      </c>
      <c r="D1558" s="25" t="s">
        <v>40</v>
      </c>
      <c r="E1558" s="25" t="s">
        <v>837</v>
      </c>
      <c r="F1558" s="25" t="s">
        <v>58</v>
      </c>
      <c r="G1558" s="42">
        <f t="shared" si="1068"/>
        <v>403000</v>
      </c>
      <c r="H1558" s="42">
        <f t="shared" si="1068"/>
        <v>403000</v>
      </c>
      <c r="I1558" s="42">
        <f t="shared" si="1068"/>
        <v>9488300</v>
      </c>
      <c r="J1558" s="16">
        <f>'БА в тыс. руб.'!G1558*1000</f>
        <v>403000</v>
      </c>
      <c r="K1558" s="169">
        <f t="shared" si="1062"/>
        <v>0</v>
      </c>
      <c r="L1558" s="16">
        <f>'БА в тыс. руб.'!H1558*1000</f>
        <v>403000</v>
      </c>
      <c r="M1558" s="169">
        <f t="shared" si="1063"/>
        <v>0</v>
      </c>
      <c r="N1558" s="16">
        <f>'БА в тыс. руб.'!I1558*1000</f>
        <v>9488300</v>
      </c>
      <c r="O1558" s="169">
        <f t="shared" si="1064"/>
        <v>0</v>
      </c>
      <c r="P1558" s="16"/>
      <c r="Q1558" s="16"/>
      <c r="R1558" s="16"/>
      <c r="S1558" s="16"/>
      <c r="T1558" s="16"/>
      <c r="U1558" s="16"/>
    </row>
    <row r="1559" spans="1:21" s="3" customFormat="1" ht="25.5">
      <c r="A1559" s="11" t="s">
        <v>108</v>
      </c>
      <c r="B1559" s="25" t="s">
        <v>16</v>
      </c>
      <c r="C1559" s="25" t="s">
        <v>37</v>
      </c>
      <c r="D1559" s="25" t="s">
        <v>40</v>
      </c>
      <c r="E1559" s="25" t="s">
        <v>837</v>
      </c>
      <c r="F1559" s="25" t="s">
        <v>116</v>
      </c>
      <c r="G1559" s="42">
        <f>G1560</f>
        <v>403000</v>
      </c>
      <c r="H1559" s="42">
        <f t="shared" si="1068"/>
        <v>403000</v>
      </c>
      <c r="I1559" s="42">
        <f t="shared" si="1068"/>
        <v>9488300</v>
      </c>
      <c r="J1559" s="16">
        <f>'БА в тыс. руб.'!G1559*1000</f>
        <v>403000</v>
      </c>
      <c r="K1559" s="169">
        <f t="shared" si="1062"/>
        <v>0</v>
      </c>
      <c r="L1559" s="16">
        <f>'БА в тыс. руб.'!H1559*1000</f>
        <v>403000</v>
      </c>
      <c r="M1559" s="169">
        <f t="shared" si="1063"/>
        <v>0</v>
      </c>
      <c r="N1559" s="16">
        <f>'БА в тыс. руб.'!I1559*1000</f>
        <v>9488300</v>
      </c>
      <c r="O1559" s="169">
        <f t="shared" si="1064"/>
        <v>0</v>
      </c>
      <c r="P1559" s="16"/>
      <c r="Q1559" s="16"/>
      <c r="R1559" s="16"/>
      <c r="S1559" s="16"/>
      <c r="T1559" s="16"/>
      <c r="U1559" s="16"/>
    </row>
    <row r="1560" spans="1:21" s="4" customFormat="1" ht="25.5">
      <c r="A1560" s="12" t="s">
        <v>973</v>
      </c>
      <c r="B1560" s="25" t="s">
        <v>16</v>
      </c>
      <c r="C1560" s="25" t="s">
        <v>37</v>
      </c>
      <c r="D1560" s="25" t="s">
        <v>40</v>
      </c>
      <c r="E1560" s="25" t="s">
        <v>837</v>
      </c>
      <c r="F1560" s="25" t="s">
        <v>1043</v>
      </c>
      <c r="G1560" s="27">
        <f t="shared" ref="G1560" si="1069">J1560</f>
        <v>403000</v>
      </c>
      <c r="H1560" s="27">
        <f>L1560</f>
        <v>403000</v>
      </c>
      <c r="I1560" s="27">
        <f>N1560</f>
        <v>9488300</v>
      </c>
      <c r="J1560" s="16">
        <f>'БА в тыс. руб.'!G1560*1000</f>
        <v>403000</v>
      </c>
      <c r="K1560" s="169">
        <f t="shared" si="1062"/>
        <v>0</v>
      </c>
      <c r="L1560" s="16">
        <f>'БА в тыс. руб.'!H1560*1000</f>
        <v>403000</v>
      </c>
      <c r="M1560" s="169">
        <f t="shared" si="1063"/>
        <v>0</v>
      </c>
      <c r="N1560" s="16">
        <f>'БА в тыс. руб.'!I1560*1000</f>
        <v>9488300</v>
      </c>
      <c r="O1560" s="169">
        <f t="shared" si="1064"/>
        <v>0</v>
      </c>
      <c r="P1560" s="16"/>
      <c r="Q1560" s="16"/>
      <c r="R1560" s="16"/>
      <c r="S1560" s="16"/>
      <c r="T1560" s="16"/>
      <c r="U1560" s="16"/>
    </row>
    <row r="1561" spans="1:21" s="3" customFormat="1" ht="51">
      <c r="A1561" s="11" t="s">
        <v>867</v>
      </c>
      <c r="B1561" s="25" t="s">
        <v>16</v>
      </c>
      <c r="C1561" s="25" t="s">
        <v>37</v>
      </c>
      <c r="D1561" s="25" t="s">
        <v>40</v>
      </c>
      <c r="E1561" s="25" t="s">
        <v>838</v>
      </c>
      <c r="F1561" s="25" t="s">
        <v>58</v>
      </c>
      <c r="G1561" s="42">
        <f t="shared" ref="G1561:I1563" si="1070">G1562</f>
        <v>6000000</v>
      </c>
      <c r="H1561" s="42">
        <f t="shared" si="1070"/>
        <v>9085300</v>
      </c>
      <c r="I1561" s="42">
        <f t="shared" si="1070"/>
        <v>0</v>
      </c>
      <c r="J1561" s="16">
        <f>'БА в тыс. руб.'!G1561*1000</f>
        <v>6000000</v>
      </c>
      <c r="K1561" s="169">
        <f t="shared" si="1062"/>
        <v>0</v>
      </c>
      <c r="L1561" s="16">
        <f>'БА в тыс. руб.'!H1561*1000</f>
        <v>9085300</v>
      </c>
      <c r="M1561" s="169">
        <f t="shared" si="1063"/>
        <v>0</v>
      </c>
      <c r="N1561" s="16">
        <f>'БА в тыс. руб.'!I1561*1000</f>
        <v>0</v>
      </c>
      <c r="O1561" s="169">
        <f t="shared" si="1064"/>
        <v>0</v>
      </c>
      <c r="P1561" s="16"/>
      <c r="Q1561" s="16"/>
      <c r="R1561" s="16"/>
      <c r="S1561" s="16"/>
      <c r="T1561" s="16"/>
      <c r="U1561" s="16"/>
    </row>
    <row r="1562" spans="1:21" s="3" customFormat="1">
      <c r="A1562" s="11" t="s">
        <v>900</v>
      </c>
      <c r="B1562" s="25" t="s">
        <v>16</v>
      </c>
      <c r="C1562" s="25" t="s">
        <v>37</v>
      </c>
      <c r="D1562" s="25" t="s">
        <v>40</v>
      </c>
      <c r="E1562" s="25" t="s">
        <v>916</v>
      </c>
      <c r="F1562" s="25" t="s">
        <v>58</v>
      </c>
      <c r="G1562" s="42">
        <f t="shared" si="1070"/>
        <v>6000000</v>
      </c>
      <c r="H1562" s="42">
        <f t="shared" si="1070"/>
        <v>9085300</v>
      </c>
      <c r="I1562" s="42">
        <f t="shared" si="1070"/>
        <v>0</v>
      </c>
      <c r="J1562" s="16">
        <f>'БА в тыс. руб.'!G1562*1000</f>
        <v>6000000</v>
      </c>
      <c r="K1562" s="169">
        <f t="shared" si="1062"/>
        <v>0</v>
      </c>
      <c r="L1562" s="16">
        <f>'БА в тыс. руб.'!H1562*1000</f>
        <v>9085300</v>
      </c>
      <c r="M1562" s="169">
        <f t="shared" si="1063"/>
        <v>0</v>
      </c>
      <c r="N1562" s="16">
        <f>'БА в тыс. руб.'!I1562*1000</f>
        <v>0</v>
      </c>
      <c r="O1562" s="169">
        <f t="shared" si="1064"/>
        <v>0</v>
      </c>
      <c r="P1562" s="16"/>
      <c r="Q1562" s="16"/>
      <c r="R1562" s="16"/>
      <c r="S1562" s="16"/>
      <c r="T1562" s="16"/>
      <c r="U1562" s="16"/>
    </row>
    <row r="1563" spans="1:21" s="3" customFormat="1" ht="25.5">
      <c r="A1563" s="11" t="s">
        <v>108</v>
      </c>
      <c r="B1563" s="25" t="s">
        <v>16</v>
      </c>
      <c r="C1563" s="25" t="s">
        <v>37</v>
      </c>
      <c r="D1563" s="25" t="s">
        <v>40</v>
      </c>
      <c r="E1563" s="25" t="s">
        <v>916</v>
      </c>
      <c r="F1563" s="25" t="s">
        <v>116</v>
      </c>
      <c r="G1563" s="42">
        <f>G1564</f>
        <v>6000000</v>
      </c>
      <c r="H1563" s="42">
        <f t="shared" si="1070"/>
        <v>9085300</v>
      </c>
      <c r="I1563" s="42">
        <f t="shared" si="1070"/>
        <v>0</v>
      </c>
      <c r="J1563" s="16">
        <f>'БА в тыс. руб.'!G1563*1000</f>
        <v>6000000</v>
      </c>
      <c r="K1563" s="169">
        <f t="shared" si="1062"/>
        <v>0</v>
      </c>
      <c r="L1563" s="16">
        <f>'БА в тыс. руб.'!H1563*1000</f>
        <v>9085300</v>
      </c>
      <c r="M1563" s="169">
        <f t="shared" si="1063"/>
        <v>0</v>
      </c>
      <c r="N1563" s="16">
        <f>'БА в тыс. руб.'!I1563*1000</f>
        <v>0</v>
      </c>
      <c r="O1563" s="169">
        <f t="shared" si="1064"/>
        <v>0</v>
      </c>
      <c r="P1563" s="16"/>
      <c r="Q1563" s="16"/>
      <c r="R1563" s="16"/>
      <c r="S1563" s="16"/>
      <c r="T1563" s="16"/>
      <c r="U1563" s="16"/>
    </row>
    <row r="1564" spans="1:21" s="4" customFormat="1" ht="25.5">
      <c r="A1564" s="12" t="s">
        <v>973</v>
      </c>
      <c r="B1564" s="25" t="s">
        <v>16</v>
      </c>
      <c r="C1564" s="25" t="s">
        <v>37</v>
      </c>
      <c r="D1564" s="25" t="s">
        <v>40</v>
      </c>
      <c r="E1564" s="25" t="s">
        <v>916</v>
      </c>
      <c r="F1564" s="25" t="s">
        <v>1043</v>
      </c>
      <c r="G1564" s="27">
        <f t="shared" ref="G1564" si="1071">J1564</f>
        <v>6000000</v>
      </c>
      <c r="H1564" s="27">
        <f>L1564</f>
        <v>9085300</v>
      </c>
      <c r="I1564" s="27">
        <f>N1564</f>
        <v>0</v>
      </c>
      <c r="J1564" s="16">
        <f>'БА в тыс. руб.'!G1564*1000</f>
        <v>6000000</v>
      </c>
      <c r="K1564" s="169">
        <f t="shared" si="1062"/>
        <v>0</v>
      </c>
      <c r="L1564" s="16">
        <f>'БА в тыс. руб.'!H1564*1000</f>
        <v>9085300</v>
      </c>
      <c r="M1564" s="169">
        <f t="shared" si="1063"/>
        <v>0</v>
      </c>
      <c r="N1564" s="16">
        <f>'БА в тыс. руб.'!I1564*1000</f>
        <v>0</v>
      </c>
      <c r="O1564" s="169">
        <f t="shared" si="1064"/>
        <v>0</v>
      </c>
      <c r="P1564" s="16"/>
      <c r="Q1564" s="16"/>
      <c r="R1564" s="16"/>
      <c r="S1564" s="16"/>
      <c r="T1564" s="16"/>
      <c r="U1564" s="16"/>
    </row>
    <row r="1565" spans="1:21" s="3" customFormat="1" ht="25.5">
      <c r="A1565" s="150" t="s">
        <v>195</v>
      </c>
      <c r="B1565" s="25" t="s">
        <v>16</v>
      </c>
      <c r="C1565" s="25" t="s">
        <v>37</v>
      </c>
      <c r="D1565" s="25" t="s">
        <v>40</v>
      </c>
      <c r="E1565" s="26" t="s">
        <v>572</v>
      </c>
      <c r="F1565" s="26" t="s">
        <v>58</v>
      </c>
      <c r="G1565" s="27">
        <f t="shared" ref="G1565:I1568" si="1072">G1566</f>
        <v>100000</v>
      </c>
      <c r="H1565" s="27">
        <f t="shared" si="1072"/>
        <v>100000</v>
      </c>
      <c r="I1565" s="27">
        <f t="shared" si="1072"/>
        <v>100000</v>
      </c>
      <c r="J1565" s="16">
        <f>'БА в тыс. руб.'!G1565*1000</f>
        <v>100000</v>
      </c>
      <c r="K1565" s="169">
        <f t="shared" si="1062"/>
        <v>0</v>
      </c>
      <c r="L1565" s="16">
        <f>'БА в тыс. руб.'!H1565*1000</f>
        <v>100000</v>
      </c>
      <c r="M1565" s="169">
        <f t="shared" si="1063"/>
        <v>0</v>
      </c>
      <c r="N1565" s="16">
        <f>'БА в тыс. руб.'!I1565*1000</f>
        <v>100000</v>
      </c>
      <c r="O1565" s="169">
        <f t="shared" si="1064"/>
        <v>0</v>
      </c>
      <c r="P1565" s="16"/>
      <c r="Q1565" s="16"/>
      <c r="R1565" s="16"/>
      <c r="S1565" s="16"/>
      <c r="T1565" s="16"/>
      <c r="U1565" s="16"/>
    </row>
    <row r="1566" spans="1:21" s="3" customFormat="1">
      <c r="A1566" s="151" t="s">
        <v>175</v>
      </c>
      <c r="B1566" s="25" t="s">
        <v>16</v>
      </c>
      <c r="C1566" s="25" t="s">
        <v>37</v>
      </c>
      <c r="D1566" s="25" t="s">
        <v>40</v>
      </c>
      <c r="E1566" s="26" t="s">
        <v>576</v>
      </c>
      <c r="F1566" s="26" t="s">
        <v>58</v>
      </c>
      <c r="G1566" s="27">
        <f t="shared" si="1072"/>
        <v>100000</v>
      </c>
      <c r="H1566" s="27">
        <f t="shared" si="1072"/>
        <v>100000</v>
      </c>
      <c r="I1566" s="27">
        <f t="shared" si="1072"/>
        <v>100000</v>
      </c>
      <c r="J1566" s="16">
        <f>'БА в тыс. руб.'!G1566*1000</f>
        <v>100000</v>
      </c>
      <c r="K1566" s="169">
        <f t="shared" si="1062"/>
        <v>0</v>
      </c>
      <c r="L1566" s="16">
        <f>'БА в тыс. руб.'!H1566*1000</f>
        <v>100000</v>
      </c>
      <c r="M1566" s="169">
        <f t="shared" si="1063"/>
        <v>0</v>
      </c>
      <c r="N1566" s="16">
        <f>'БА в тыс. руб.'!I1566*1000</f>
        <v>100000</v>
      </c>
      <c r="O1566" s="169">
        <f t="shared" si="1064"/>
        <v>0</v>
      </c>
      <c r="P1566" s="16"/>
      <c r="Q1566" s="16"/>
      <c r="R1566" s="16"/>
      <c r="S1566" s="16"/>
      <c r="T1566" s="16"/>
      <c r="U1566" s="16"/>
    </row>
    <row r="1567" spans="1:21" s="3" customFormat="1" ht="25.5">
      <c r="A1567" s="150" t="s">
        <v>705</v>
      </c>
      <c r="B1567" s="25" t="s">
        <v>16</v>
      </c>
      <c r="C1567" s="25" t="s">
        <v>37</v>
      </c>
      <c r="D1567" s="25" t="s">
        <v>40</v>
      </c>
      <c r="E1567" s="26" t="s">
        <v>578</v>
      </c>
      <c r="F1567" s="26" t="s">
        <v>58</v>
      </c>
      <c r="G1567" s="27">
        <f t="shared" si="1072"/>
        <v>100000</v>
      </c>
      <c r="H1567" s="27">
        <f t="shared" si="1072"/>
        <v>100000</v>
      </c>
      <c r="I1567" s="27">
        <f t="shared" si="1072"/>
        <v>100000</v>
      </c>
      <c r="J1567" s="16">
        <f>'БА в тыс. руб.'!G1567*1000</f>
        <v>100000</v>
      </c>
      <c r="K1567" s="169">
        <f t="shared" si="1062"/>
        <v>0</v>
      </c>
      <c r="L1567" s="16">
        <f>'БА в тыс. руб.'!H1567*1000</f>
        <v>100000</v>
      </c>
      <c r="M1567" s="169">
        <f t="shared" si="1063"/>
        <v>0</v>
      </c>
      <c r="N1567" s="16">
        <f>'БА в тыс. руб.'!I1567*1000</f>
        <v>100000</v>
      </c>
      <c r="O1567" s="169">
        <f t="shared" si="1064"/>
        <v>0</v>
      </c>
      <c r="P1567" s="16"/>
      <c r="Q1567" s="16"/>
      <c r="R1567" s="16"/>
      <c r="S1567" s="16"/>
      <c r="T1567" s="16"/>
      <c r="U1567" s="16"/>
    </row>
    <row r="1568" spans="1:21" s="3" customFormat="1" ht="25.5">
      <c r="A1568" s="11" t="s">
        <v>108</v>
      </c>
      <c r="B1568" s="25" t="s">
        <v>16</v>
      </c>
      <c r="C1568" s="25" t="s">
        <v>37</v>
      </c>
      <c r="D1568" s="25" t="s">
        <v>40</v>
      </c>
      <c r="E1568" s="26" t="s">
        <v>578</v>
      </c>
      <c r="F1568" s="26" t="s">
        <v>116</v>
      </c>
      <c r="G1568" s="27">
        <f>G1569</f>
        <v>100000</v>
      </c>
      <c r="H1568" s="27">
        <f t="shared" si="1072"/>
        <v>100000</v>
      </c>
      <c r="I1568" s="27">
        <f t="shared" si="1072"/>
        <v>100000</v>
      </c>
      <c r="J1568" s="16">
        <f>'БА в тыс. руб.'!G1568*1000</f>
        <v>100000</v>
      </c>
      <c r="K1568" s="169">
        <f t="shared" si="1062"/>
        <v>0</v>
      </c>
      <c r="L1568" s="16">
        <f>'БА в тыс. руб.'!H1568*1000</f>
        <v>100000</v>
      </c>
      <c r="M1568" s="169">
        <f t="shared" si="1063"/>
        <v>0</v>
      </c>
      <c r="N1568" s="16">
        <f>'БА в тыс. руб.'!I1568*1000</f>
        <v>100000</v>
      </c>
      <c r="O1568" s="169">
        <f t="shared" si="1064"/>
        <v>0</v>
      </c>
      <c r="P1568" s="16"/>
      <c r="Q1568" s="16"/>
      <c r="R1568" s="16"/>
      <c r="S1568" s="16"/>
      <c r="T1568" s="16"/>
      <c r="U1568" s="16"/>
    </row>
    <row r="1569" spans="1:21" s="4" customFormat="1" ht="25.5">
      <c r="A1569" s="12" t="s">
        <v>973</v>
      </c>
      <c r="B1569" s="25" t="s">
        <v>16</v>
      </c>
      <c r="C1569" s="25" t="s">
        <v>37</v>
      </c>
      <c r="D1569" s="25" t="s">
        <v>40</v>
      </c>
      <c r="E1569" s="26" t="s">
        <v>578</v>
      </c>
      <c r="F1569" s="26" t="s">
        <v>1043</v>
      </c>
      <c r="G1569" s="27">
        <f t="shared" ref="G1569" si="1073">J1569</f>
        <v>100000</v>
      </c>
      <c r="H1569" s="27">
        <f>L1569</f>
        <v>100000</v>
      </c>
      <c r="I1569" s="27">
        <f>N1569</f>
        <v>100000</v>
      </c>
      <c r="J1569" s="16">
        <f>'БА в тыс. руб.'!G1569*1000</f>
        <v>100000</v>
      </c>
      <c r="K1569" s="169">
        <f t="shared" si="1062"/>
        <v>0</v>
      </c>
      <c r="L1569" s="16">
        <f>'БА в тыс. руб.'!H1569*1000</f>
        <v>100000</v>
      </c>
      <c r="M1569" s="169">
        <f t="shared" si="1063"/>
        <v>0</v>
      </c>
      <c r="N1569" s="16">
        <f>'БА в тыс. руб.'!I1569*1000</f>
        <v>100000</v>
      </c>
      <c r="O1569" s="169">
        <f t="shared" si="1064"/>
        <v>0</v>
      </c>
      <c r="P1569" s="16"/>
      <c r="Q1569" s="16"/>
      <c r="R1569" s="16"/>
      <c r="S1569" s="16"/>
      <c r="T1569" s="16"/>
      <c r="U1569" s="16"/>
    </row>
    <row r="1570" spans="1:21" s="3" customFormat="1">
      <c r="A1570" s="17" t="s">
        <v>7</v>
      </c>
      <c r="B1570" s="18" t="s">
        <v>16</v>
      </c>
      <c r="C1570" s="19" t="s">
        <v>8</v>
      </c>
      <c r="D1570" s="19" t="s">
        <v>51</v>
      </c>
      <c r="E1570" s="19" t="s">
        <v>196</v>
      </c>
      <c r="F1570" s="19" t="s">
        <v>58</v>
      </c>
      <c r="G1570" s="20">
        <f t="shared" ref="G1570:I1576" si="1074">G1571</f>
        <v>200000000</v>
      </c>
      <c r="H1570" s="20">
        <f t="shared" si="1074"/>
        <v>0</v>
      </c>
      <c r="I1570" s="20">
        <f t="shared" si="1074"/>
        <v>0</v>
      </c>
      <c r="J1570" s="16">
        <f>'БА в тыс. руб.'!G1570*1000</f>
        <v>200000000</v>
      </c>
      <c r="K1570" s="169">
        <f t="shared" si="1062"/>
        <v>0</v>
      </c>
      <c r="L1570" s="16">
        <f>'БА в тыс. руб.'!H1570*1000</f>
        <v>0</v>
      </c>
      <c r="M1570" s="169">
        <f t="shared" si="1063"/>
        <v>0</v>
      </c>
      <c r="N1570" s="16">
        <f>'БА в тыс. руб.'!I1570*1000</f>
        <v>0</v>
      </c>
      <c r="O1570" s="169">
        <f t="shared" si="1064"/>
        <v>0</v>
      </c>
      <c r="P1570" s="16"/>
      <c r="Q1570" s="16"/>
      <c r="R1570" s="16"/>
      <c r="S1570" s="16"/>
      <c r="T1570" s="16"/>
      <c r="U1570" s="16"/>
    </row>
    <row r="1571" spans="1:21" s="3" customFormat="1">
      <c r="A1571" s="21" t="s">
        <v>1</v>
      </c>
      <c r="B1571" s="22" t="s">
        <v>16</v>
      </c>
      <c r="C1571" s="23" t="s">
        <v>8</v>
      </c>
      <c r="D1571" s="23" t="s">
        <v>53</v>
      </c>
      <c r="E1571" s="23" t="s">
        <v>196</v>
      </c>
      <c r="F1571" s="23" t="s">
        <v>58</v>
      </c>
      <c r="G1571" s="24">
        <f t="shared" si="1074"/>
        <v>200000000</v>
      </c>
      <c r="H1571" s="24">
        <f t="shared" si="1074"/>
        <v>0</v>
      </c>
      <c r="I1571" s="24">
        <f t="shared" si="1074"/>
        <v>0</v>
      </c>
      <c r="J1571" s="16">
        <f>'БА в тыс. руб.'!G1571*1000</f>
        <v>200000000</v>
      </c>
      <c r="K1571" s="169">
        <f t="shared" si="1062"/>
        <v>0</v>
      </c>
      <c r="L1571" s="16">
        <f>'БА в тыс. руб.'!H1571*1000</f>
        <v>0</v>
      </c>
      <c r="M1571" s="169">
        <f t="shared" si="1063"/>
        <v>0</v>
      </c>
      <c r="N1571" s="16">
        <f>'БА в тыс. руб.'!I1571*1000</f>
        <v>0</v>
      </c>
      <c r="O1571" s="169">
        <f t="shared" si="1064"/>
        <v>0</v>
      </c>
      <c r="P1571" s="16"/>
      <c r="Q1571" s="16"/>
      <c r="R1571" s="16"/>
      <c r="S1571" s="16"/>
      <c r="T1571" s="16"/>
      <c r="U1571" s="16"/>
    </row>
    <row r="1572" spans="1:21" s="3" customFormat="1" ht="38.25">
      <c r="A1572" s="12" t="s">
        <v>722</v>
      </c>
      <c r="B1572" s="26" t="s">
        <v>16</v>
      </c>
      <c r="C1572" s="26" t="s">
        <v>8</v>
      </c>
      <c r="D1572" s="26" t="s">
        <v>53</v>
      </c>
      <c r="E1572" s="26" t="s">
        <v>300</v>
      </c>
      <c r="F1572" s="26" t="s">
        <v>58</v>
      </c>
      <c r="G1572" s="42">
        <f t="shared" si="1074"/>
        <v>200000000</v>
      </c>
      <c r="H1572" s="42">
        <f t="shared" si="1074"/>
        <v>0</v>
      </c>
      <c r="I1572" s="42">
        <f t="shared" si="1074"/>
        <v>0</v>
      </c>
      <c r="J1572" s="16">
        <f>'БА в тыс. руб.'!G1572*1000</f>
        <v>200000000</v>
      </c>
      <c r="K1572" s="169">
        <f t="shared" si="1062"/>
        <v>0</v>
      </c>
      <c r="L1572" s="16">
        <f>'БА в тыс. руб.'!H1572*1000</f>
        <v>0</v>
      </c>
      <c r="M1572" s="169">
        <f t="shared" si="1063"/>
        <v>0</v>
      </c>
      <c r="N1572" s="16">
        <f>'БА в тыс. руб.'!I1572*1000</f>
        <v>0</v>
      </c>
      <c r="O1572" s="169">
        <f t="shared" si="1064"/>
        <v>0</v>
      </c>
      <c r="P1572" s="16"/>
      <c r="Q1572" s="16"/>
      <c r="R1572" s="16"/>
      <c r="S1572" s="16"/>
      <c r="T1572" s="16"/>
      <c r="U1572" s="16"/>
    </row>
    <row r="1573" spans="1:21" s="3" customFormat="1">
      <c r="A1573" s="11" t="s">
        <v>142</v>
      </c>
      <c r="B1573" s="26" t="s">
        <v>16</v>
      </c>
      <c r="C1573" s="26" t="s">
        <v>8</v>
      </c>
      <c r="D1573" s="26" t="s">
        <v>53</v>
      </c>
      <c r="E1573" s="26" t="s">
        <v>453</v>
      </c>
      <c r="F1573" s="26" t="s">
        <v>58</v>
      </c>
      <c r="G1573" s="42">
        <f t="shared" si="1074"/>
        <v>200000000</v>
      </c>
      <c r="H1573" s="42">
        <f t="shared" si="1074"/>
        <v>0</v>
      </c>
      <c r="I1573" s="42">
        <f t="shared" si="1074"/>
        <v>0</v>
      </c>
      <c r="J1573" s="16">
        <f>'БА в тыс. руб.'!G1573*1000</f>
        <v>200000000</v>
      </c>
      <c r="K1573" s="169">
        <f t="shared" si="1062"/>
        <v>0</v>
      </c>
      <c r="L1573" s="16">
        <f>'БА в тыс. руб.'!H1573*1000</f>
        <v>0</v>
      </c>
      <c r="M1573" s="169">
        <f t="shared" si="1063"/>
        <v>0</v>
      </c>
      <c r="N1573" s="16">
        <f>'БА в тыс. руб.'!I1573*1000</f>
        <v>0</v>
      </c>
      <c r="O1573" s="169">
        <f t="shared" si="1064"/>
        <v>0</v>
      </c>
      <c r="P1573" s="16"/>
      <c r="Q1573" s="16"/>
      <c r="R1573" s="16"/>
      <c r="S1573" s="16"/>
      <c r="T1573" s="16"/>
      <c r="U1573" s="16"/>
    </row>
    <row r="1574" spans="1:21" s="3" customFormat="1" ht="25.5">
      <c r="A1574" s="40" t="s">
        <v>454</v>
      </c>
      <c r="B1574" s="35" t="s">
        <v>16</v>
      </c>
      <c r="C1574" s="36" t="s">
        <v>8</v>
      </c>
      <c r="D1574" s="36" t="s">
        <v>53</v>
      </c>
      <c r="E1574" s="26" t="s">
        <v>645</v>
      </c>
      <c r="F1574" s="36" t="s">
        <v>58</v>
      </c>
      <c r="G1574" s="37">
        <f t="shared" si="1074"/>
        <v>200000000</v>
      </c>
      <c r="H1574" s="37">
        <f t="shared" si="1074"/>
        <v>0</v>
      </c>
      <c r="I1574" s="37">
        <f t="shared" si="1074"/>
        <v>0</v>
      </c>
      <c r="J1574" s="16">
        <f>'БА в тыс. руб.'!G1574*1000</f>
        <v>200000000</v>
      </c>
      <c r="K1574" s="169">
        <f t="shared" si="1062"/>
        <v>0</v>
      </c>
      <c r="L1574" s="16">
        <f>'БА в тыс. руб.'!H1574*1000</f>
        <v>0</v>
      </c>
      <c r="M1574" s="169">
        <f t="shared" si="1063"/>
        <v>0</v>
      </c>
      <c r="N1574" s="16">
        <f>'БА в тыс. руб.'!I1574*1000</f>
        <v>0</v>
      </c>
      <c r="O1574" s="169">
        <f t="shared" si="1064"/>
        <v>0</v>
      </c>
      <c r="P1574" s="16"/>
      <c r="Q1574" s="16"/>
      <c r="R1574" s="16"/>
      <c r="S1574" s="16"/>
      <c r="T1574" s="16"/>
      <c r="U1574" s="16"/>
    </row>
    <row r="1575" spans="1:21" s="3" customFormat="1" ht="63.75">
      <c r="A1575" s="12" t="s">
        <v>588</v>
      </c>
      <c r="B1575" s="35" t="s">
        <v>16</v>
      </c>
      <c r="C1575" s="36" t="s">
        <v>8</v>
      </c>
      <c r="D1575" s="36" t="s">
        <v>53</v>
      </c>
      <c r="E1575" s="36" t="s">
        <v>648</v>
      </c>
      <c r="F1575" s="36" t="s">
        <v>58</v>
      </c>
      <c r="G1575" s="37">
        <f t="shared" si="1074"/>
        <v>200000000</v>
      </c>
      <c r="H1575" s="37">
        <f t="shared" si="1074"/>
        <v>0</v>
      </c>
      <c r="I1575" s="37">
        <f t="shared" si="1074"/>
        <v>0</v>
      </c>
      <c r="J1575" s="16">
        <f>'БА в тыс. руб.'!G1575*1000</f>
        <v>200000000</v>
      </c>
      <c r="K1575" s="169">
        <f t="shared" si="1062"/>
        <v>0</v>
      </c>
      <c r="L1575" s="16">
        <f>'БА в тыс. руб.'!H1575*1000</f>
        <v>0</v>
      </c>
      <c r="M1575" s="169">
        <f t="shared" si="1063"/>
        <v>0</v>
      </c>
      <c r="N1575" s="16">
        <f>'БА в тыс. руб.'!I1575*1000</f>
        <v>0</v>
      </c>
      <c r="O1575" s="169">
        <f t="shared" si="1064"/>
        <v>0</v>
      </c>
      <c r="P1575" s="16"/>
      <c r="Q1575" s="16"/>
      <c r="R1575" s="16"/>
      <c r="S1575" s="16"/>
      <c r="T1575" s="16"/>
      <c r="U1575" s="16"/>
    </row>
    <row r="1576" spans="1:21" s="3" customFormat="1" ht="25.5">
      <c r="A1576" s="11" t="s">
        <v>108</v>
      </c>
      <c r="B1576" s="35" t="s">
        <v>16</v>
      </c>
      <c r="C1576" s="36" t="s">
        <v>8</v>
      </c>
      <c r="D1576" s="36" t="s">
        <v>53</v>
      </c>
      <c r="E1576" s="36" t="s">
        <v>648</v>
      </c>
      <c r="F1576" s="36" t="s">
        <v>116</v>
      </c>
      <c r="G1576" s="37">
        <f>G1577</f>
        <v>200000000</v>
      </c>
      <c r="H1576" s="37">
        <f t="shared" si="1074"/>
        <v>0</v>
      </c>
      <c r="I1576" s="37">
        <f t="shared" si="1074"/>
        <v>0</v>
      </c>
      <c r="J1576" s="16">
        <f>'БА в тыс. руб.'!G1576*1000</f>
        <v>200000000</v>
      </c>
      <c r="K1576" s="169">
        <f t="shared" si="1062"/>
        <v>0</v>
      </c>
      <c r="L1576" s="16">
        <f>'БА в тыс. руб.'!H1576*1000</f>
        <v>0</v>
      </c>
      <c r="M1576" s="169">
        <f t="shared" si="1063"/>
        <v>0</v>
      </c>
      <c r="N1576" s="16">
        <f>'БА в тыс. руб.'!I1576*1000</f>
        <v>0</v>
      </c>
      <c r="O1576" s="169">
        <f t="shared" si="1064"/>
        <v>0</v>
      </c>
      <c r="P1576" s="16"/>
      <c r="Q1576" s="16"/>
      <c r="R1576" s="16"/>
      <c r="S1576" s="16"/>
      <c r="T1576" s="16"/>
      <c r="U1576" s="16"/>
    </row>
    <row r="1577" spans="1:21" s="4" customFormat="1" ht="25.5">
      <c r="A1577" s="12" t="s">
        <v>973</v>
      </c>
      <c r="B1577" s="35" t="s">
        <v>16</v>
      </c>
      <c r="C1577" s="36" t="s">
        <v>8</v>
      </c>
      <c r="D1577" s="36" t="s">
        <v>53</v>
      </c>
      <c r="E1577" s="36" t="s">
        <v>648</v>
      </c>
      <c r="F1577" s="36" t="s">
        <v>1043</v>
      </c>
      <c r="G1577" s="27">
        <f t="shared" ref="G1577" si="1075">J1577</f>
        <v>200000000</v>
      </c>
      <c r="H1577" s="27">
        <f>L1577</f>
        <v>0</v>
      </c>
      <c r="I1577" s="27">
        <f>N1577</f>
        <v>0</v>
      </c>
      <c r="J1577" s="16">
        <f>'БА в тыс. руб.'!G1577*1000</f>
        <v>200000000</v>
      </c>
      <c r="K1577" s="169">
        <f t="shared" si="1062"/>
        <v>0</v>
      </c>
      <c r="L1577" s="16">
        <f>'БА в тыс. руб.'!H1577*1000</f>
        <v>0</v>
      </c>
      <c r="M1577" s="169">
        <f t="shared" si="1063"/>
        <v>0</v>
      </c>
      <c r="N1577" s="16">
        <f>'БА в тыс. руб.'!I1577*1000</f>
        <v>0</v>
      </c>
      <c r="O1577" s="169">
        <f t="shared" si="1064"/>
        <v>0</v>
      </c>
      <c r="P1577" s="16"/>
      <c r="Q1577" s="16"/>
      <c r="R1577" s="16"/>
      <c r="S1577" s="16"/>
      <c r="T1577" s="16"/>
      <c r="U1577" s="16"/>
    </row>
    <row r="1578" spans="1:21" s="3" customFormat="1">
      <c r="A1578" s="17" t="s">
        <v>70</v>
      </c>
      <c r="B1578" s="18" t="s">
        <v>16</v>
      </c>
      <c r="C1578" s="19" t="s">
        <v>71</v>
      </c>
      <c r="D1578" s="19" t="s">
        <v>51</v>
      </c>
      <c r="E1578" s="19" t="s">
        <v>196</v>
      </c>
      <c r="F1578" s="19" t="s">
        <v>58</v>
      </c>
      <c r="G1578" s="20">
        <f>G1579+G1586</f>
        <v>830346120</v>
      </c>
      <c r="H1578" s="20">
        <f>H1579+H1586</f>
        <v>9800000</v>
      </c>
      <c r="I1578" s="20">
        <f>I1579+I1586</f>
        <v>15226050</v>
      </c>
      <c r="J1578" s="16">
        <f>'БА в тыс. руб.'!G1578*1000</f>
        <v>830346120</v>
      </c>
      <c r="K1578" s="169">
        <f t="shared" si="1062"/>
        <v>0</v>
      </c>
      <c r="L1578" s="16">
        <f>'БА в тыс. руб.'!H1578*1000</f>
        <v>9800000</v>
      </c>
      <c r="M1578" s="169">
        <f t="shared" si="1063"/>
        <v>0</v>
      </c>
      <c r="N1578" s="16">
        <f>'БА в тыс. руб.'!I1578*1000</f>
        <v>15226050</v>
      </c>
      <c r="O1578" s="169">
        <f t="shared" si="1064"/>
        <v>0</v>
      </c>
      <c r="P1578" s="16"/>
      <c r="Q1578" s="16"/>
      <c r="R1578" s="16"/>
      <c r="S1578" s="16"/>
      <c r="T1578" s="16"/>
      <c r="U1578" s="16"/>
    </row>
    <row r="1579" spans="1:21" s="3" customFormat="1">
      <c r="A1579" s="21" t="s">
        <v>72</v>
      </c>
      <c r="B1579" s="22" t="s">
        <v>16</v>
      </c>
      <c r="C1579" s="23" t="s">
        <v>71</v>
      </c>
      <c r="D1579" s="23" t="s">
        <v>65</v>
      </c>
      <c r="E1579" s="23" t="s">
        <v>196</v>
      </c>
      <c r="F1579" s="23" t="s">
        <v>58</v>
      </c>
      <c r="G1579" s="24">
        <f t="shared" ref="G1579:I1582" si="1076">G1580</f>
        <v>600000</v>
      </c>
      <c r="H1579" s="24">
        <f t="shared" si="1076"/>
        <v>9800000</v>
      </c>
      <c r="I1579" s="24">
        <f t="shared" si="1076"/>
        <v>7613030</v>
      </c>
      <c r="J1579" s="16">
        <f>'БА в тыс. руб.'!G1579*1000</f>
        <v>600000</v>
      </c>
      <c r="K1579" s="169">
        <f t="shared" si="1062"/>
        <v>0</v>
      </c>
      <c r="L1579" s="16">
        <f>'БА в тыс. руб.'!H1579*1000</f>
        <v>9800000</v>
      </c>
      <c r="M1579" s="169">
        <f t="shared" si="1063"/>
        <v>0</v>
      </c>
      <c r="N1579" s="16">
        <f>'БА в тыс. руб.'!I1579*1000</f>
        <v>7613030</v>
      </c>
      <c r="O1579" s="169">
        <f t="shared" si="1064"/>
        <v>0</v>
      </c>
      <c r="P1579" s="16"/>
      <c r="Q1579" s="16"/>
      <c r="R1579" s="16"/>
      <c r="S1579" s="16"/>
      <c r="T1579" s="16"/>
      <c r="U1579" s="16"/>
    </row>
    <row r="1580" spans="1:21" s="3" customFormat="1" ht="25.5">
      <c r="A1580" s="13" t="s">
        <v>723</v>
      </c>
      <c r="B1580" s="25" t="s">
        <v>16</v>
      </c>
      <c r="C1580" s="26" t="s">
        <v>71</v>
      </c>
      <c r="D1580" s="26" t="s">
        <v>65</v>
      </c>
      <c r="E1580" s="26" t="s">
        <v>331</v>
      </c>
      <c r="F1580" s="26" t="s">
        <v>58</v>
      </c>
      <c r="G1580" s="27">
        <f t="shared" si="1076"/>
        <v>600000</v>
      </c>
      <c r="H1580" s="27">
        <f t="shared" si="1076"/>
        <v>9800000</v>
      </c>
      <c r="I1580" s="27">
        <f t="shared" si="1076"/>
        <v>7613030</v>
      </c>
      <c r="J1580" s="16">
        <f>'БА в тыс. руб.'!G1580*1000</f>
        <v>600000</v>
      </c>
      <c r="K1580" s="169">
        <f t="shared" si="1062"/>
        <v>0</v>
      </c>
      <c r="L1580" s="16">
        <f>'БА в тыс. руб.'!H1580*1000</f>
        <v>9800000</v>
      </c>
      <c r="M1580" s="169">
        <f t="shared" si="1063"/>
        <v>0</v>
      </c>
      <c r="N1580" s="16">
        <f>'БА в тыс. руб.'!I1580*1000</f>
        <v>7613030</v>
      </c>
      <c r="O1580" s="169">
        <f t="shared" si="1064"/>
        <v>0</v>
      </c>
      <c r="P1580" s="16"/>
      <c r="Q1580" s="16"/>
      <c r="R1580" s="16"/>
      <c r="S1580" s="16"/>
      <c r="T1580" s="16"/>
      <c r="U1580" s="16"/>
    </row>
    <row r="1581" spans="1:21" s="3" customFormat="1" ht="25.5">
      <c r="A1581" s="11" t="s">
        <v>724</v>
      </c>
      <c r="B1581" s="25" t="s">
        <v>16</v>
      </c>
      <c r="C1581" s="26" t="s">
        <v>71</v>
      </c>
      <c r="D1581" s="26" t="s">
        <v>65</v>
      </c>
      <c r="E1581" s="26" t="s">
        <v>562</v>
      </c>
      <c r="F1581" s="26" t="s">
        <v>58</v>
      </c>
      <c r="G1581" s="27">
        <f t="shared" si="1076"/>
        <v>600000</v>
      </c>
      <c r="H1581" s="27">
        <f t="shared" si="1076"/>
        <v>9800000</v>
      </c>
      <c r="I1581" s="27">
        <f t="shared" si="1076"/>
        <v>7613030</v>
      </c>
      <c r="J1581" s="16">
        <f>'БА в тыс. руб.'!G1581*1000</f>
        <v>600000</v>
      </c>
      <c r="K1581" s="169">
        <f t="shared" si="1062"/>
        <v>0</v>
      </c>
      <c r="L1581" s="16">
        <f>'БА в тыс. руб.'!H1581*1000</f>
        <v>9800000</v>
      </c>
      <c r="M1581" s="169">
        <f t="shared" si="1063"/>
        <v>0</v>
      </c>
      <c r="N1581" s="16">
        <f>'БА в тыс. руб.'!I1581*1000</f>
        <v>7613030</v>
      </c>
      <c r="O1581" s="169">
        <f t="shared" si="1064"/>
        <v>0</v>
      </c>
      <c r="P1581" s="16"/>
      <c r="Q1581" s="16"/>
      <c r="R1581" s="16"/>
      <c r="S1581" s="16"/>
      <c r="T1581" s="16"/>
      <c r="U1581" s="16"/>
    </row>
    <row r="1582" spans="1:21" s="3" customFormat="1" ht="38.25">
      <c r="A1582" s="11" t="s">
        <v>612</v>
      </c>
      <c r="B1582" s="25" t="s">
        <v>16</v>
      </c>
      <c r="C1582" s="26" t="s">
        <v>71</v>
      </c>
      <c r="D1582" s="26" t="s">
        <v>65</v>
      </c>
      <c r="E1582" s="26" t="s">
        <v>563</v>
      </c>
      <c r="F1582" s="26" t="s">
        <v>58</v>
      </c>
      <c r="G1582" s="27">
        <f t="shared" si="1076"/>
        <v>600000</v>
      </c>
      <c r="H1582" s="27">
        <f t="shared" si="1076"/>
        <v>9800000</v>
      </c>
      <c r="I1582" s="27">
        <f t="shared" si="1076"/>
        <v>7613030</v>
      </c>
      <c r="J1582" s="16">
        <f>'БА в тыс. руб.'!G1582*1000</f>
        <v>600000</v>
      </c>
      <c r="K1582" s="169">
        <f t="shared" si="1062"/>
        <v>0</v>
      </c>
      <c r="L1582" s="16">
        <f>'БА в тыс. руб.'!H1582*1000</f>
        <v>9800000</v>
      </c>
      <c r="M1582" s="169">
        <f t="shared" si="1063"/>
        <v>0</v>
      </c>
      <c r="N1582" s="16">
        <f>'БА в тыс. руб.'!I1582*1000</f>
        <v>7613030</v>
      </c>
      <c r="O1582" s="169">
        <f t="shared" si="1064"/>
        <v>0</v>
      </c>
      <c r="P1582" s="16"/>
      <c r="Q1582" s="16"/>
      <c r="R1582" s="16"/>
      <c r="S1582" s="16"/>
      <c r="T1582" s="16"/>
      <c r="U1582" s="16"/>
    </row>
    <row r="1583" spans="1:21" s="3" customFormat="1" ht="38.25">
      <c r="A1583" s="11" t="s">
        <v>154</v>
      </c>
      <c r="B1583" s="25" t="s">
        <v>16</v>
      </c>
      <c r="C1583" s="26" t="s">
        <v>71</v>
      </c>
      <c r="D1583" s="26" t="s">
        <v>65</v>
      </c>
      <c r="E1583" s="26" t="s">
        <v>564</v>
      </c>
      <c r="F1583" s="26" t="s">
        <v>58</v>
      </c>
      <c r="G1583" s="27">
        <f>G1584</f>
        <v>600000</v>
      </c>
      <c r="H1583" s="27">
        <f>H1584</f>
        <v>9800000</v>
      </c>
      <c r="I1583" s="27">
        <f>I1584</f>
        <v>7613030</v>
      </c>
      <c r="J1583" s="16">
        <f>'БА в тыс. руб.'!G1583*1000</f>
        <v>600000</v>
      </c>
      <c r="K1583" s="169">
        <f t="shared" si="1062"/>
        <v>0</v>
      </c>
      <c r="L1583" s="16">
        <f>'БА в тыс. руб.'!H1583*1000</f>
        <v>9800000</v>
      </c>
      <c r="M1583" s="169">
        <f t="shared" si="1063"/>
        <v>0</v>
      </c>
      <c r="N1583" s="16">
        <f>'БА в тыс. руб.'!I1583*1000</f>
        <v>7613030</v>
      </c>
      <c r="O1583" s="169">
        <f t="shared" si="1064"/>
        <v>0</v>
      </c>
      <c r="P1583" s="16"/>
      <c r="Q1583" s="16"/>
      <c r="R1583" s="16"/>
      <c r="S1583" s="16"/>
      <c r="T1583" s="16"/>
      <c r="U1583" s="16"/>
    </row>
    <row r="1584" spans="1:21" s="3" customFormat="1">
      <c r="A1584" s="11" t="s">
        <v>21</v>
      </c>
      <c r="B1584" s="25" t="s">
        <v>16</v>
      </c>
      <c r="C1584" s="26" t="s">
        <v>71</v>
      </c>
      <c r="D1584" s="26" t="s">
        <v>65</v>
      </c>
      <c r="E1584" s="26" t="s">
        <v>564</v>
      </c>
      <c r="F1584" s="26" t="s">
        <v>103</v>
      </c>
      <c r="G1584" s="27">
        <f>G1585</f>
        <v>600000</v>
      </c>
      <c r="H1584" s="27">
        <f t="shared" ref="H1584:I1584" si="1077">H1585</f>
        <v>9800000</v>
      </c>
      <c r="I1584" s="27">
        <f t="shared" si="1077"/>
        <v>7613030</v>
      </c>
      <c r="J1584" s="16">
        <f>'БА в тыс. руб.'!G1584*1000</f>
        <v>600000</v>
      </c>
      <c r="K1584" s="169">
        <f t="shared" si="1062"/>
        <v>0</v>
      </c>
      <c r="L1584" s="16">
        <f>'БА в тыс. руб.'!H1584*1000</f>
        <v>9800000</v>
      </c>
      <c r="M1584" s="169">
        <f t="shared" si="1063"/>
        <v>0</v>
      </c>
      <c r="N1584" s="16">
        <f>'БА в тыс. руб.'!I1584*1000</f>
        <v>7613030</v>
      </c>
      <c r="O1584" s="169">
        <f t="shared" si="1064"/>
        <v>0</v>
      </c>
      <c r="P1584" s="16"/>
      <c r="Q1584" s="16"/>
      <c r="R1584" s="16"/>
      <c r="S1584" s="16"/>
      <c r="T1584" s="16"/>
      <c r="U1584" s="16"/>
    </row>
    <row r="1585" spans="1:21" s="4" customFormat="1" ht="25.5">
      <c r="A1585" s="12" t="s">
        <v>987</v>
      </c>
      <c r="B1585" s="25" t="s">
        <v>16</v>
      </c>
      <c r="C1585" s="26" t="s">
        <v>71</v>
      </c>
      <c r="D1585" s="26" t="s">
        <v>65</v>
      </c>
      <c r="E1585" s="26" t="s">
        <v>564</v>
      </c>
      <c r="F1585" s="26" t="s">
        <v>1052</v>
      </c>
      <c r="G1585" s="27">
        <f t="shared" ref="G1585" si="1078">J1585</f>
        <v>600000</v>
      </c>
      <c r="H1585" s="27">
        <f>L1585</f>
        <v>9800000</v>
      </c>
      <c r="I1585" s="27">
        <f>N1585</f>
        <v>7613030</v>
      </c>
      <c r="J1585" s="16">
        <f>'БА в тыс. руб.'!G1585*1000</f>
        <v>600000</v>
      </c>
      <c r="K1585" s="169">
        <f t="shared" si="1062"/>
        <v>0</v>
      </c>
      <c r="L1585" s="16">
        <f>'БА в тыс. руб.'!H1585*1000</f>
        <v>9800000</v>
      </c>
      <c r="M1585" s="169">
        <f t="shared" si="1063"/>
        <v>0</v>
      </c>
      <c r="N1585" s="16">
        <f>'БА в тыс. руб.'!I1585*1000</f>
        <v>7613030</v>
      </c>
      <c r="O1585" s="169">
        <f t="shared" si="1064"/>
        <v>0</v>
      </c>
      <c r="P1585" s="16"/>
      <c r="Q1585" s="16"/>
      <c r="R1585" s="16"/>
      <c r="S1585" s="16"/>
      <c r="T1585" s="16"/>
      <c r="U1585" s="16"/>
    </row>
    <row r="1586" spans="1:21" s="3" customFormat="1">
      <c r="A1586" s="21" t="s">
        <v>61</v>
      </c>
      <c r="B1586" s="22" t="s">
        <v>16</v>
      </c>
      <c r="C1586" s="23" t="s">
        <v>71</v>
      </c>
      <c r="D1586" s="23" t="s">
        <v>66</v>
      </c>
      <c r="E1586" s="23" t="s">
        <v>196</v>
      </c>
      <c r="F1586" s="23" t="s">
        <v>58</v>
      </c>
      <c r="G1586" s="24">
        <f t="shared" ref="G1586:I1588" si="1079">G1587</f>
        <v>829746120</v>
      </c>
      <c r="H1586" s="24">
        <f t="shared" si="1079"/>
        <v>0</v>
      </c>
      <c r="I1586" s="24">
        <f t="shared" si="1079"/>
        <v>7613020</v>
      </c>
      <c r="J1586" s="16">
        <f>'БА в тыс. руб.'!G1586*1000</f>
        <v>829746120</v>
      </c>
      <c r="K1586" s="169">
        <f t="shared" si="1062"/>
        <v>0</v>
      </c>
      <c r="L1586" s="16">
        <f>'БА в тыс. руб.'!H1586*1000</f>
        <v>0</v>
      </c>
      <c r="M1586" s="169">
        <f t="shared" si="1063"/>
        <v>0</v>
      </c>
      <c r="N1586" s="16">
        <f>'БА в тыс. руб.'!I1586*1000</f>
        <v>7613020</v>
      </c>
      <c r="O1586" s="169">
        <f t="shared" si="1064"/>
        <v>0</v>
      </c>
      <c r="P1586" s="16"/>
      <c r="Q1586" s="16"/>
      <c r="R1586" s="16"/>
      <c r="S1586" s="16"/>
      <c r="T1586" s="16"/>
      <c r="U1586" s="16"/>
    </row>
    <row r="1587" spans="1:21" s="3" customFormat="1" ht="25.5">
      <c r="A1587" s="13" t="s">
        <v>723</v>
      </c>
      <c r="B1587" s="25" t="s">
        <v>16</v>
      </c>
      <c r="C1587" s="26" t="s">
        <v>71</v>
      </c>
      <c r="D1587" s="26" t="s">
        <v>66</v>
      </c>
      <c r="E1587" s="26" t="s">
        <v>331</v>
      </c>
      <c r="F1587" s="26" t="s">
        <v>58</v>
      </c>
      <c r="G1587" s="27">
        <f t="shared" si="1079"/>
        <v>829746120</v>
      </c>
      <c r="H1587" s="27">
        <f t="shared" si="1079"/>
        <v>0</v>
      </c>
      <c r="I1587" s="27">
        <f t="shared" si="1079"/>
        <v>7613020</v>
      </c>
      <c r="J1587" s="16">
        <f>'БА в тыс. руб.'!G1587*1000</f>
        <v>829746120</v>
      </c>
      <c r="K1587" s="169">
        <f t="shared" si="1062"/>
        <v>0</v>
      </c>
      <c r="L1587" s="16">
        <f>'БА в тыс. руб.'!H1587*1000</f>
        <v>0</v>
      </c>
      <c r="M1587" s="169">
        <f t="shared" si="1063"/>
        <v>0</v>
      </c>
      <c r="N1587" s="16">
        <f>'БА в тыс. руб.'!I1587*1000</f>
        <v>7613020</v>
      </c>
      <c r="O1587" s="169">
        <f t="shared" si="1064"/>
        <v>0</v>
      </c>
      <c r="P1587" s="16"/>
      <c r="Q1587" s="16"/>
      <c r="R1587" s="16"/>
      <c r="S1587" s="16"/>
      <c r="T1587" s="16"/>
      <c r="U1587" s="16"/>
    </row>
    <row r="1588" spans="1:21" s="3" customFormat="1" ht="25.5">
      <c r="A1588" s="11" t="s">
        <v>724</v>
      </c>
      <c r="B1588" s="25" t="s">
        <v>16</v>
      </c>
      <c r="C1588" s="26" t="s">
        <v>71</v>
      </c>
      <c r="D1588" s="26" t="s">
        <v>66</v>
      </c>
      <c r="E1588" s="26" t="s">
        <v>562</v>
      </c>
      <c r="F1588" s="26" t="s">
        <v>58</v>
      </c>
      <c r="G1588" s="27">
        <f t="shared" si="1079"/>
        <v>829746120</v>
      </c>
      <c r="H1588" s="27">
        <f t="shared" si="1079"/>
        <v>0</v>
      </c>
      <c r="I1588" s="27">
        <f t="shared" si="1079"/>
        <v>7613020</v>
      </c>
      <c r="J1588" s="16">
        <f>'БА в тыс. руб.'!G1588*1000</f>
        <v>829746120</v>
      </c>
      <c r="K1588" s="169">
        <f t="shared" si="1062"/>
        <v>0</v>
      </c>
      <c r="L1588" s="16">
        <f>'БА в тыс. руб.'!H1588*1000</f>
        <v>0</v>
      </c>
      <c r="M1588" s="169">
        <f t="shared" si="1063"/>
        <v>0</v>
      </c>
      <c r="N1588" s="16">
        <f>'БА в тыс. руб.'!I1588*1000</f>
        <v>7613020</v>
      </c>
      <c r="O1588" s="169">
        <f t="shared" si="1064"/>
        <v>0</v>
      </c>
      <c r="P1588" s="16"/>
      <c r="Q1588" s="16"/>
      <c r="R1588" s="16"/>
      <c r="S1588" s="16"/>
      <c r="T1588" s="16"/>
      <c r="U1588" s="16"/>
    </row>
    <row r="1589" spans="1:21" s="3" customFormat="1" ht="38.25">
      <c r="A1589" s="11" t="s">
        <v>612</v>
      </c>
      <c r="B1589" s="25" t="s">
        <v>16</v>
      </c>
      <c r="C1589" s="26" t="s">
        <v>71</v>
      </c>
      <c r="D1589" s="26" t="s">
        <v>66</v>
      </c>
      <c r="E1589" s="26" t="s">
        <v>563</v>
      </c>
      <c r="F1589" s="26" t="s">
        <v>58</v>
      </c>
      <c r="G1589" s="27">
        <f>G1590+G1593+G1596</f>
        <v>829746120</v>
      </c>
      <c r="H1589" s="27">
        <f>H1590+H1593+H1596</f>
        <v>0</v>
      </c>
      <c r="I1589" s="27">
        <f>I1590+I1593+I1596</f>
        <v>7613020</v>
      </c>
      <c r="J1589" s="16">
        <f>'БА в тыс. руб.'!G1589*1000</f>
        <v>829746120</v>
      </c>
      <c r="K1589" s="169">
        <f t="shared" si="1062"/>
        <v>0</v>
      </c>
      <c r="L1589" s="16">
        <f>'БА в тыс. руб.'!H1589*1000</f>
        <v>0</v>
      </c>
      <c r="M1589" s="169">
        <f t="shared" si="1063"/>
        <v>0</v>
      </c>
      <c r="N1589" s="16">
        <f>'БА в тыс. руб.'!I1589*1000</f>
        <v>7613020</v>
      </c>
      <c r="O1589" s="169">
        <f t="shared" si="1064"/>
        <v>0</v>
      </c>
      <c r="P1589" s="16"/>
      <c r="Q1589" s="16"/>
      <c r="R1589" s="16"/>
      <c r="S1589" s="16"/>
      <c r="T1589" s="16"/>
      <c r="U1589" s="16"/>
    </row>
    <row r="1590" spans="1:21" s="3" customFormat="1" ht="38.25">
      <c r="A1590" s="11" t="s">
        <v>154</v>
      </c>
      <c r="B1590" s="25" t="s">
        <v>16</v>
      </c>
      <c r="C1590" s="26" t="s">
        <v>71</v>
      </c>
      <c r="D1590" s="26" t="s">
        <v>66</v>
      </c>
      <c r="E1590" s="26" t="s">
        <v>564</v>
      </c>
      <c r="F1590" s="26" t="s">
        <v>58</v>
      </c>
      <c r="G1590" s="27">
        <f>G1591</f>
        <v>150000</v>
      </c>
      <c r="H1590" s="27">
        <f>H1591</f>
        <v>0</v>
      </c>
      <c r="I1590" s="27">
        <f>I1591</f>
        <v>7613020</v>
      </c>
      <c r="J1590" s="16">
        <f>'БА в тыс. руб.'!G1590*1000</f>
        <v>150000</v>
      </c>
      <c r="K1590" s="169">
        <f t="shared" si="1062"/>
        <v>0</v>
      </c>
      <c r="L1590" s="16">
        <f>'БА в тыс. руб.'!H1590*1000</f>
        <v>0</v>
      </c>
      <c r="M1590" s="169">
        <f t="shared" si="1063"/>
        <v>0</v>
      </c>
      <c r="N1590" s="16">
        <f>'БА в тыс. руб.'!I1590*1000</f>
        <v>7613020</v>
      </c>
      <c r="O1590" s="169">
        <f t="shared" si="1064"/>
        <v>0</v>
      </c>
      <c r="P1590" s="16"/>
      <c r="Q1590" s="16"/>
      <c r="R1590" s="16"/>
      <c r="S1590" s="16"/>
      <c r="T1590" s="16"/>
      <c r="U1590" s="16"/>
    </row>
    <row r="1591" spans="1:21" s="3" customFormat="1">
      <c r="A1591" s="11" t="s">
        <v>21</v>
      </c>
      <c r="B1591" s="25" t="s">
        <v>16</v>
      </c>
      <c r="C1591" s="26" t="s">
        <v>71</v>
      </c>
      <c r="D1591" s="26" t="s">
        <v>66</v>
      </c>
      <c r="E1591" s="26" t="s">
        <v>564</v>
      </c>
      <c r="F1591" s="26" t="s">
        <v>103</v>
      </c>
      <c r="G1591" s="27">
        <f>G1592</f>
        <v>150000</v>
      </c>
      <c r="H1591" s="27">
        <f t="shared" ref="H1591:I1591" si="1080">H1592</f>
        <v>0</v>
      </c>
      <c r="I1591" s="27">
        <f t="shared" si="1080"/>
        <v>7613020</v>
      </c>
      <c r="J1591" s="16">
        <f>'БА в тыс. руб.'!G1591*1000</f>
        <v>150000</v>
      </c>
      <c r="K1591" s="169">
        <f t="shared" si="1062"/>
        <v>0</v>
      </c>
      <c r="L1591" s="16">
        <f>'БА в тыс. руб.'!H1591*1000</f>
        <v>0</v>
      </c>
      <c r="M1591" s="169">
        <f t="shared" si="1063"/>
        <v>0</v>
      </c>
      <c r="N1591" s="16">
        <f>'БА в тыс. руб.'!I1591*1000</f>
        <v>7613020</v>
      </c>
      <c r="O1591" s="169">
        <f t="shared" si="1064"/>
        <v>0</v>
      </c>
      <c r="P1591" s="16"/>
      <c r="Q1591" s="16"/>
      <c r="R1591" s="16"/>
      <c r="S1591" s="16"/>
      <c r="T1591" s="16"/>
      <c r="U1591" s="16"/>
    </row>
    <row r="1592" spans="1:21" s="4" customFormat="1" ht="25.5">
      <c r="A1592" s="12" t="s">
        <v>987</v>
      </c>
      <c r="B1592" s="25" t="s">
        <v>16</v>
      </c>
      <c r="C1592" s="26" t="s">
        <v>71</v>
      </c>
      <c r="D1592" s="26" t="s">
        <v>66</v>
      </c>
      <c r="E1592" s="26" t="s">
        <v>564</v>
      </c>
      <c r="F1592" s="26" t="s">
        <v>1052</v>
      </c>
      <c r="G1592" s="27">
        <f t="shared" ref="G1592" si="1081">J1592</f>
        <v>150000</v>
      </c>
      <c r="H1592" s="27">
        <f>L1592</f>
        <v>0</v>
      </c>
      <c r="I1592" s="27">
        <f>N1592</f>
        <v>7613020</v>
      </c>
      <c r="J1592" s="16">
        <f>'БА в тыс. руб.'!G1592*1000</f>
        <v>150000</v>
      </c>
      <c r="K1592" s="169">
        <f t="shared" si="1062"/>
        <v>0</v>
      </c>
      <c r="L1592" s="16">
        <f>'БА в тыс. руб.'!H1592*1000</f>
        <v>0</v>
      </c>
      <c r="M1592" s="169">
        <f t="shared" si="1063"/>
        <v>0</v>
      </c>
      <c r="N1592" s="16">
        <f>'БА в тыс. руб.'!I1592*1000</f>
        <v>7613020</v>
      </c>
      <c r="O1592" s="169">
        <f t="shared" si="1064"/>
        <v>0</v>
      </c>
      <c r="P1592" s="16"/>
      <c r="Q1592" s="16"/>
      <c r="R1592" s="16"/>
      <c r="S1592" s="16"/>
      <c r="T1592" s="16"/>
      <c r="U1592" s="16"/>
    </row>
    <row r="1593" spans="1:21" s="3" customFormat="1" ht="38.25">
      <c r="A1593" s="11" t="s">
        <v>922</v>
      </c>
      <c r="B1593" s="25" t="s">
        <v>16</v>
      </c>
      <c r="C1593" s="26" t="s">
        <v>71</v>
      </c>
      <c r="D1593" s="26" t="s">
        <v>66</v>
      </c>
      <c r="E1593" s="26" t="s">
        <v>921</v>
      </c>
      <c r="F1593" s="26" t="s">
        <v>58</v>
      </c>
      <c r="G1593" s="27">
        <f>G1594</f>
        <v>2488790</v>
      </c>
      <c r="H1593" s="27">
        <f t="shared" ref="H1593:I1594" si="1082">H1594</f>
        <v>0</v>
      </c>
      <c r="I1593" s="27">
        <f t="shared" si="1082"/>
        <v>0</v>
      </c>
      <c r="J1593" s="16">
        <f>'БА в тыс. руб.'!G1593*1000</f>
        <v>2488790</v>
      </c>
      <c r="K1593" s="169">
        <f t="shared" si="1062"/>
        <v>0</v>
      </c>
      <c r="L1593" s="16">
        <f>'БА в тыс. руб.'!H1593*1000</f>
        <v>0</v>
      </c>
      <c r="M1593" s="169">
        <f t="shared" si="1063"/>
        <v>0</v>
      </c>
      <c r="N1593" s="16">
        <f>'БА в тыс. руб.'!I1593*1000</f>
        <v>0</v>
      </c>
      <c r="O1593" s="169">
        <f t="shared" si="1064"/>
        <v>0</v>
      </c>
      <c r="P1593" s="16"/>
      <c r="Q1593" s="16"/>
      <c r="R1593" s="16"/>
      <c r="S1593" s="16"/>
      <c r="T1593" s="16"/>
      <c r="U1593" s="16"/>
    </row>
    <row r="1594" spans="1:21" s="3" customFormat="1">
      <c r="A1594" s="11" t="s">
        <v>21</v>
      </c>
      <c r="B1594" s="25" t="s">
        <v>16</v>
      </c>
      <c r="C1594" s="26" t="s">
        <v>71</v>
      </c>
      <c r="D1594" s="26" t="s">
        <v>66</v>
      </c>
      <c r="E1594" s="26" t="s">
        <v>921</v>
      </c>
      <c r="F1594" s="26" t="s">
        <v>103</v>
      </c>
      <c r="G1594" s="27">
        <f>G1595</f>
        <v>2488790</v>
      </c>
      <c r="H1594" s="27">
        <f t="shared" si="1082"/>
        <v>0</v>
      </c>
      <c r="I1594" s="27">
        <f t="shared" si="1082"/>
        <v>0</v>
      </c>
      <c r="J1594" s="16">
        <f>'БА в тыс. руб.'!G1594*1000</f>
        <v>2488790</v>
      </c>
      <c r="K1594" s="169">
        <f t="shared" si="1062"/>
        <v>0</v>
      </c>
      <c r="L1594" s="16">
        <f>'БА в тыс. руб.'!H1594*1000</f>
        <v>0</v>
      </c>
      <c r="M1594" s="169">
        <f t="shared" si="1063"/>
        <v>0</v>
      </c>
      <c r="N1594" s="16">
        <f>'БА в тыс. руб.'!I1594*1000</f>
        <v>0</v>
      </c>
      <c r="O1594" s="169">
        <f t="shared" si="1064"/>
        <v>0</v>
      </c>
      <c r="P1594" s="16"/>
      <c r="Q1594" s="16"/>
      <c r="R1594" s="16"/>
      <c r="S1594" s="16"/>
      <c r="T1594" s="16"/>
      <c r="U1594" s="16"/>
    </row>
    <row r="1595" spans="1:21" s="4" customFormat="1" ht="25.5">
      <c r="A1595" s="12" t="s">
        <v>987</v>
      </c>
      <c r="B1595" s="25" t="s">
        <v>16</v>
      </c>
      <c r="C1595" s="26" t="s">
        <v>71</v>
      </c>
      <c r="D1595" s="26" t="s">
        <v>66</v>
      </c>
      <c r="E1595" s="26" t="s">
        <v>921</v>
      </c>
      <c r="F1595" s="26" t="s">
        <v>1052</v>
      </c>
      <c r="G1595" s="27">
        <f t="shared" ref="G1595" si="1083">J1595</f>
        <v>2488790</v>
      </c>
      <c r="H1595" s="27">
        <f>L1595</f>
        <v>0</v>
      </c>
      <c r="I1595" s="27">
        <f>N1595</f>
        <v>0</v>
      </c>
      <c r="J1595" s="16">
        <f>'БА в тыс. руб.'!G1595*1000</f>
        <v>2488790</v>
      </c>
      <c r="K1595" s="169">
        <f t="shared" si="1062"/>
        <v>0</v>
      </c>
      <c r="L1595" s="16">
        <f>'БА в тыс. руб.'!H1595*1000</f>
        <v>0</v>
      </c>
      <c r="M1595" s="169">
        <f t="shared" si="1063"/>
        <v>0</v>
      </c>
      <c r="N1595" s="16">
        <f>'БА в тыс. руб.'!I1595*1000</f>
        <v>0</v>
      </c>
      <c r="O1595" s="169">
        <f t="shared" si="1064"/>
        <v>0</v>
      </c>
      <c r="P1595" s="16"/>
      <c r="Q1595" s="16"/>
      <c r="R1595" s="16"/>
      <c r="S1595" s="16"/>
      <c r="T1595" s="16"/>
      <c r="U1595" s="16"/>
    </row>
    <row r="1596" spans="1:21" s="3" customFormat="1" ht="38.25">
      <c r="A1596" s="11" t="s">
        <v>924</v>
      </c>
      <c r="B1596" s="25" t="s">
        <v>16</v>
      </c>
      <c r="C1596" s="26" t="s">
        <v>71</v>
      </c>
      <c r="D1596" s="26" t="s">
        <v>66</v>
      </c>
      <c r="E1596" s="26" t="s">
        <v>923</v>
      </c>
      <c r="F1596" s="26" t="s">
        <v>58</v>
      </c>
      <c r="G1596" s="27">
        <f>G1597</f>
        <v>827107330</v>
      </c>
      <c r="H1596" s="27">
        <f t="shared" ref="H1596:I1597" si="1084">H1597</f>
        <v>0</v>
      </c>
      <c r="I1596" s="27">
        <f t="shared" si="1084"/>
        <v>0</v>
      </c>
      <c r="J1596" s="16">
        <f>'БА в тыс. руб.'!G1596*1000</f>
        <v>827107330</v>
      </c>
      <c r="K1596" s="169">
        <f t="shared" si="1062"/>
        <v>0</v>
      </c>
      <c r="L1596" s="16">
        <f>'БА в тыс. руб.'!H1596*1000</f>
        <v>0</v>
      </c>
      <c r="M1596" s="169">
        <f t="shared" si="1063"/>
        <v>0</v>
      </c>
      <c r="N1596" s="16">
        <f>'БА в тыс. руб.'!I1596*1000</f>
        <v>0</v>
      </c>
      <c r="O1596" s="169">
        <f t="shared" si="1064"/>
        <v>0</v>
      </c>
      <c r="P1596" s="16"/>
      <c r="Q1596" s="16"/>
      <c r="R1596" s="16"/>
      <c r="S1596" s="16"/>
      <c r="T1596" s="16"/>
      <c r="U1596" s="16"/>
    </row>
    <row r="1597" spans="1:21" s="3" customFormat="1">
      <c r="A1597" s="11" t="s">
        <v>21</v>
      </c>
      <c r="B1597" s="25" t="s">
        <v>16</v>
      </c>
      <c r="C1597" s="26" t="s">
        <v>71</v>
      </c>
      <c r="D1597" s="26" t="s">
        <v>66</v>
      </c>
      <c r="E1597" s="26" t="s">
        <v>923</v>
      </c>
      <c r="F1597" s="26" t="s">
        <v>103</v>
      </c>
      <c r="G1597" s="27">
        <f>G1598</f>
        <v>827107330</v>
      </c>
      <c r="H1597" s="27">
        <f t="shared" si="1084"/>
        <v>0</v>
      </c>
      <c r="I1597" s="27">
        <f t="shared" si="1084"/>
        <v>0</v>
      </c>
      <c r="J1597" s="16">
        <f>'БА в тыс. руб.'!G1597*1000</f>
        <v>827107330</v>
      </c>
      <c r="K1597" s="169">
        <f t="shared" si="1062"/>
        <v>0</v>
      </c>
      <c r="L1597" s="16">
        <f>'БА в тыс. руб.'!H1597*1000</f>
        <v>0</v>
      </c>
      <c r="M1597" s="169">
        <f t="shared" si="1063"/>
        <v>0</v>
      </c>
      <c r="N1597" s="16">
        <f>'БА в тыс. руб.'!I1597*1000</f>
        <v>0</v>
      </c>
      <c r="O1597" s="169">
        <f t="shared" si="1064"/>
        <v>0</v>
      </c>
      <c r="P1597" s="16"/>
      <c r="Q1597" s="16"/>
      <c r="R1597" s="16"/>
      <c r="S1597" s="16"/>
      <c r="T1597" s="16"/>
      <c r="U1597" s="16"/>
    </row>
    <row r="1598" spans="1:21" s="4" customFormat="1" ht="25.5">
      <c r="A1598" s="12" t="s">
        <v>987</v>
      </c>
      <c r="B1598" s="25" t="s">
        <v>16</v>
      </c>
      <c r="C1598" s="26" t="s">
        <v>71</v>
      </c>
      <c r="D1598" s="26" t="s">
        <v>66</v>
      </c>
      <c r="E1598" s="26" t="s">
        <v>923</v>
      </c>
      <c r="F1598" s="26" t="s">
        <v>1052</v>
      </c>
      <c r="G1598" s="27">
        <f t="shared" ref="G1598" si="1085">J1598</f>
        <v>827107330</v>
      </c>
      <c r="H1598" s="27">
        <f>L1598</f>
        <v>0</v>
      </c>
      <c r="I1598" s="27">
        <f>N1598</f>
        <v>0</v>
      </c>
      <c r="J1598" s="16">
        <f>'БА в тыс. руб.'!G1598*1000</f>
        <v>827107330</v>
      </c>
      <c r="K1598" s="169">
        <f t="shared" si="1062"/>
        <v>0</v>
      </c>
      <c r="L1598" s="16">
        <f>'БА в тыс. руб.'!H1598*1000</f>
        <v>0</v>
      </c>
      <c r="M1598" s="169">
        <f t="shared" si="1063"/>
        <v>0</v>
      </c>
      <c r="N1598" s="16">
        <f>'БА в тыс. руб.'!I1598*1000</f>
        <v>0</v>
      </c>
      <c r="O1598" s="169">
        <f t="shared" si="1064"/>
        <v>0</v>
      </c>
      <c r="P1598" s="16"/>
      <c r="Q1598" s="16"/>
      <c r="R1598" s="16"/>
      <c r="S1598" s="16"/>
      <c r="T1598" s="16"/>
      <c r="U1598" s="16"/>
    </row>
    <row r="1599" spans="1:21" s="3" customFormat="1">
      <c r="A1599" s="17" t="s">
        <v>83</v>
      </c>
      <c r="B1599" s="18" t="s">
        <v>16</v>
      </c>
      <c r="C1599" s="19" t="s">
        <v>50</v>
      </c>
      <c r="D1599" s="19" t="s">
        <v>51</v>
      </c>
      <c r="E1599" s="19" t="s">
        <v>196</v>
      </c>
      <c r="F1599" s="19" t="s">
        <v>58</v>
      </c>
      <c r="G1599" s="20">
        <f t="shared" ref="G1599:I1600" si="1086">G1600</f>
        <v>50800000</v>
      </c>
      <c r="H1599" s="20">
        <f t="shared" si="1086"/>
        <v>720000</v>
      </c>
      <c r="I1599" s="20">
        <f t="shared" si="1086"/>
        <v>720000</v>
      </c>
      <c r="J1599" s="16">
        <f>'БА в тыс. руб.'!G1599*1000</f>
        <v>50800000</v>
      </c>
      <c r="K1599" s="169">
        <f t="shared" si="1062"/>
        <v>0</v>
      </c>
      <c r="L1599" s="16">
        <f>'БА в тыс. руб.'!H1599*1000</f>
        <v>720000</v>
      </c>
      <c r="M1599" s="169">
        <f t="shared" si="1063"/>
        <v>0</v>
      </c>
      <c r="N1599" s="16">
        <f>'БА в тыс. руб.'!I1599*1000</f>
        <v>720000</v>
      </c>
      <c r="O1599" s="169">
        <f t="shared" si="1064"/>
        <v>0</v>
      </c>
      <c r="P1599" s="16"/>
      <c r="Q1599" s="16"/>
      <c r="R1599" s="16"/>
      <c r="S1599" s="16"/>
      <c r="T1599" s="16"/>
      <c r="U1599" s="16"/>
    </row>
    <row r="1600" spans="1:21" s="3" customFormat="1">
      <c r="A1600" s="21" t="s">
        <v>27</v>
      </c>
      <c r="B1600" s="22" t="s">
        <v>16</v>
      </c>
      <c r="C1600" s="23" t="s">
        <v>50</v>
      </c>
      <c r="D1600" s="23" t="s">
        <v>65</v>
      </c>
      <c r="E1600" s="23" t="s">
        <v>196</v>
      </c>
      <c r="F1600" s="23" t="s">
        <v>58</v>
      </c>
      <c r="G1600" s="24">
        <f t="shared" si="1086"/>
        <v>50800000</v>
      </c>
      <c r="H1600" s="24">
        <f t="shared" si="1086"/>
        <v>720000</v>
      </c>
      <c r="I1600" s="24">
        <f t="shared" si="1086"/>
        <v>720000</v>
      </c>
      <c r="J1600" s="16">
        <f>'БА в тыс. руб.'!G1600*1000</f>
        <v>50800000</v>
      </c>
      <c r="K1600" s="169">
        <f t="shared" si="1062"/>
        <v>0</v>
      </c>
      <c r="L1600" s="16">
        <f>'БА в тыс. руб.'!H1600*1000</f>
        <v>720000</v>
      </c>
      <c r="M1600" s="169">
        <f t="shared" si="1063"/>
        <v>0</v>
      </c>
      <c r="N1600" s="16">
        <f>'БА в тыс. руб.'!I1600*1000</f>
        <v>720000</v>
      </c>
      <c r="O1600" s="169">
        <f t="shared" si="1064"/>
        <v>0</v>
      </c>
      <c r="P1600" s="16"/>
      <c r="Q1600" s="16"/>
      <c r="R1600" s="16"/>
      <c r="S1600" s="16"/>
      <c r="T1600" s="16"/>
      <c r="U1600" s="16"/>
    </row>
    <row r="1601" spans="1:21" s="3" customFormat="1">
      <c r="A1601" s="11" t="s">
        <v>739</v>
      </c>
      <c r="B1601" s="25" t="s">
        <v>16</v>
      </c>
      <c r="C1601" s="26" t="s">
        <v>50</v>
      </c>
      <c r="D1601" s="26" t="s">
        <v>65</v>
      </c>
      <c r="E1601" s="36" t="s">
        <v>277</v>
      </c>
      <c r="F1601" s="26" t="s">
        <v>58</v>
      </c>
      <c r="G1601" s="27">
        <f>G1602+G1607</f>
        <v>50800000</v>
      </c>
      <c r="H1601" s="27">
        <f t="shared" ref="H1601:I1601" si="1087">H1602+H1607</f>
        <v>720000</v>
      </c>
      <c r="I1601" s="27">
        <f t="shared" si="1087"/>
        <v>720000</v>
      </c>
      <c r="J1601" s="16">
        <f>'БА в тыс. руб.'!G1601*1000</f>
        <v>50800000</v>
      </c>
      <c r="K1601" s="169">
        <f t="shared" si="1062"/>
        <v>0</v>
      </c>
      <c r="L1601" s="16">
        <f>'БА в тыс. руб.'!H1601*1000</f>
        <v>720000</v>
      </c>
      <c r="M1601" s="169">
        <f t="shared" si="1063"/>
        <v>0</v>
      </c>
      <c r="N1601" s="16">
        <f>'БА в тыс. руб.'!I1601*1000</f>
        <v>720000</v>
      </c>
      <c r="O1601" s="169">
        <f t="shared" si="1064"/>
        <v>0</v>
      </c>
      <c r="P1601" s="16"/>
      <c r="Q1601" s="16"/>
      <c r="R1601" s="16"/>
      <c r="S1601" s="16"/>
      <c r="T1601" s="16"/>
      <c r="U1601" s="16"/>
    </row>
    <row r="1602" spans="1:21" s="3" customFormat="1" ht="51">
      <c r="A1602" s="11" t="s">
        <v>194</v>
      </c>
      <c r="B1602" s="25" t="s">
        <v>16</v>
      </c>
      <c r="C1602" s="26" t="s">
        <v>50</v>
      </c>
      <c r="D1602" s="26" t="s">
        <v>65</v>
      </c>
      <c r="E1602" s="36" t="s">
        <v>278</v>
      </c>
      <c r="F1602" s="26" t="s">
        <v>58</v>
      </c>
      <c r="G1602" s="27">
        <f t="shared" ref="G1602:I1605" si="1088">G1603</f>
        <v>800000</v>
      </c>
      <c r="H1602" s="27">
        <f t="shared" si="1088"/>
        <v>720000</v>
      </c>
      <c r="I1602" s="27">
        <f t="shared" si="1088"/>
        <v>720000</v>
      </c>
      <c r="J1602" s="16">
        <f>'БА в тыс. руб.'!G1602*1000</f>
        <v>800000</v>
      </c>
      <c r="K1602" s="169">
        <f t="shared" si="1062"/>
        <v>0</v>
      </c>
      <c r="L1602" s="16">
        <f>'БА в тыс. руб.'!H1602*1000</f>
        <v>720000</v>
      </c>
      <c r="M1602" s="169">
        <f t="shared" si="1063"/>
        <v>0</v>
      </c>
      <c r="N1602" s="16">
        <f>'БА в тыс. руб.'!I1602*1000</f>
        <v>720000</v>
      </c>
      <c r="O1602" s="169">
        <f t="shared" si="1064"/>
        <v>0</v>
      </c>
      <c r="P1602" s="16"/>
      <c r="Q1602" s="16"/>
      <c r="R1602" s="16"/>
      <c r="S1602" s="16"/>
      <c r="T1602" s="16"/>
      <c r="U1602" s="16"/>
    </row>
    <row r="1603" spans="1:21" s="3" customFormat="1" ht="63.75">
      <c r="A1603" s="11" t="s">
        <v>605</v>
      </c>
      <c r="B1603" s="25" t="s">
        <v>16</v>
      </c>
      <c r="C1603" s="26" t="s">
        <v>50</v>
      </c>
      <c r="D1603" s="26" t="s">
        <v>65</v>
      </c>
      <c r="E1603" s="36" t="s">
        <v>279</v>
      </c>
      <c r="F1603" s="26" t="s">
        <v>58</v>
      </c>
      <c r="G1603" s="27">
        <f t="shared" si="1088"/>
        <v>800000</v>
      </c>
      <c r="H1603" s="27">
        <f t="shared" si="1088"/>
        <v>720000</v>
      </c>
      <c r="I1603" s="27">
        <f t="shared" si="1088"/>
        <v>720000</v>
      </c>
      <c r="J1603" s="16">
        <f>'БА в тыс. руб.'!G1603*1000</f>
        <v>800000</v>
      </c>
      <c r="K1603" s="169">
        <f t="shared" si="1062"/>
        <v>0</v>
      </c>
      <c r="L1603" s="16">
        <f>'БА в тыс. руб.'!H1603*1000</f>
        <v>720000</v>
      </c>
      <c r="M1603" s="169">
        <f t="shared" si="1063"/>
        <v>0</v>
      </c>
      <c r="N1603" s="16">
        <f>'БА в тыс. руб.'!I1603*1000</f>
        <v>720000</v>
      </c>
      <c r="O1603" s="169">
        <f t="shared" si="1064"/>
        <v>0</v>
      </c>
      <c r="P1603" s="16"/>
      <c r="Q1603" s="16"/>
      <c r="R1603" s="16"/>
      <c r="S1603" s="16"/>
      <c r="T1603" s="16"/>
      <c r="U1603" s="16"/>
    </row>
    <row r="1604" spans="1:21" s="3" customFormat="1" ht="25.5">
      <c r="A1604" s="11" t="s">
        <v>161</v>
      </c>
      <c r="B1604" s="25" t="s">
        <v>16</v>
      </c>
      <c r="C1604" s="26" t="s">
        <v>50</v>
      </c>
      <c r="D1604" s="26" t="s">
        <v>65</v>
      </c>
      <c r="E1604" s="36" t="s">
        <v>320</v>
      </c>
      <c r="F1604" s="26" t="s">
        <v>58</v>
      </c>
      <c r="G1604" s="27">
        <f t="shared" si="1088"/>
        <v>800000</v>
      </c>
      <c r="H1604" s="27">
        <f t="shared" si="1088"/>
        <v>720000</v>
      </c>
      <c r="I1604" s="27">
        <f t="shared" si="1088"/>
        <v>720000</v>
      </c>
      <c r="J1604" s="16">
        <f>'БА в тыс. руб.'!G1604*1000</f>
        <v>800000</v>
      </c>
      <c r="K1604" s="169">
        <f t="shared" si="1062"/>
        <v>0</v>
      </c>
      <c r="L1604" s="16">
        <f>'БА в тыс. руб.'!H1604*1000</f>
        <v>720000</v>
      </c>
      <c r="M1604" s="169">
        <f t="shared" si="1063"/>
        <v>0</v>
      </c>
      <c r="N1604" s="16">
        <f>'БА в тыс. руб.'!I1604*1000</f>
        <v>720000</v>
      </c>
      <c r="O1604" s="169">
        <f t="shared" si="1064"/>
        <v>0</v>
      </c>
      <c r="P1604" s="16"/>
      <c r="Q1604" s="16"/>
      <c r="R1604" s="16"/>
      <c r="S1604" s="16"/>
      <c r="T1604" s="16"/>
      <c r="U1604" s="16"/>
    </row>
    <row r="1605" spans="1:21" s="3" customFormat="1" ht="25.5">
      <c r="A1605" s="12" t="s">
        <v>108</v>
      </c>
      <c r="B1605" s="25" t="s">
        <v>16</v>
      </c>
      <c r="C1605" s="26" t="s">
        <v>50</v>
      </c>
      <c r="D1605" s="26" t="s">
        <v>65</v>
      </c>
      <c r="E1605" s="36" t="s">
        <v>320</v>
      </c>
      <c r="F1605" s="26" t="s">
        <v>116</v>
      </c>
      <c r="G1605" s="27">
        <f>G1606</f>
        <v>800000</v>
      </c>
      <c r="H1605" s="27">
        <f t="shared" si="1088"/>
        <v>720000</v>
      </c>
      <c r="I1605" s="27">
        <f t="shared" si="1088"/>
        <v>720000</v>
      </c>
      <c r="J1605" s="16">
        <f>'БА в тыс. руб.'!G1605*1000</f>
        <v>800000</v>
      </c>
      <c r="K1605" s="169">
        <f t="shared" si="1062"/>
        <v>0</v>
      </c>
      <c r="L1605" s="16">
        <f>'БА в тыс. руб.'!H1605*1000</f>
        <v>720000</v>
      </c>
      <c r="M1605" s="169">
        <f t="shared" si="1063"/>
        <v>0</v>
      </c>
      <c r="N1605" s="16">
        <f>'БА в тыс. руб.'!I1605*1000</f>
        <v>720000</v>
      </c>
      <c r="O1605" s="169">
        <f t="shared" si="1064"/>
        <v>0</v>
      </c>
      <c r="P1605" s="16"/>
      <c r="Q1605" s="16"/>
      <c r="R1605" s="16"/>
      <c r="S1605" s="16"/>
      <c r="T1605" s="16"/>
      <c r="U1605" s="16"/>
    </row>
    <row r="1606" spans="1:21" s="4" customFormat="1" ht="25.5">
      <c r="A1606" s="12" t="s">
        <v>973</v>
      </c>
      <c r="B1606" s="25" t="s">
        <v>16</v>
      </c>
      <c r="C1606" s="26" t="s">
        <v>50</v>
      </c>
      <c r="D1606" s="26" t="s">
        <v>65</v>
      </c>
      <c r="E1606" s="36" t="s">
        <v>320</v>
      </c>
      <c r="F1606" s="26" t="s">
        <v>1043</v>
      </c>
      <c r="G1606" s="27">
        <f t="shared" ref="G1606" si="1089">J1606</f>
        <v>800000</v>
      </c>
      <c r="H1606" s="27">
        <f>L1606</f>
        <v>720000</v>
      </c>
      <c r="I1606" s="27">
        <f>N1606</f>
        <v>720000</v>
      </c>
      <c r="J1606" s="16">
        <f>'БА в тыс. руб.'!G1606*1000</f>
        <v>800000</v>
      </c>
      <c r="K1606" s="169">
        <f t="shared" si="1062"/>
        <v>0</v>
      </c>
      <c r="L1606" s="16">
        <f>'БА в тыс. руб.'!H1606*1000</f>
        <v>720000</v>
      </c>
      <c r="M1606" s="169">
        <f t="shared" si="1063"/>
        <v>0</v>
      </c>
      <c r="N1606" s="16">
        <f>'БА в тыс. руб.'!I1606*1000</f>
        <v>720000</v>
      </c>
      <c r="O1606" s="169">
        <f t="shared" si="1064"/>
        <v>0</v>
      </c>
      <c r="P1606" s="16"/>
      <c r="Q1606" s="16"/>
      <c r="R1606" s="16"/>
      <c r="S1606" s="16"/>
      <c r="T1606" s="16"/>
      <c r="U1606" s="16"/>
    </row>
    <row r="1607" spans="1:21" s="3" customFormat="1">
      <c r="A1607" s="12" t="s">
        <v>140</v>
      </c>
      <c r="B1607" s="25" t="s">
        <v>16</v>
      </c>
      <c r="C1607" s="26" t="s">
        <v>50</v>
      </c>
      <c r="D1607" s="26" t="s">
        <v>65</v>
      </c>
      <c r="E1607" s="36" t="s">
        <v>372</v>
      </c>
      <c r="F1607" s="26" t="s">
        <v>58</v>
      </c>
      <c r="G1607" s="27">
        <f>G1608</f>
        <v>50000000</v>
      </c>
      <c r="H1607" s="27">
        <f t="shared" ref="H1607:I1609" si="1090">H1608</f>
        <v>0</v>
      </c>
      <c r="I1607" s="27">
        <f t="shared" si="1090"/>
        <v>0</v>
      </c>
      <c r="J1607" s="16">
        <f>'БА в тыс. руб.'!G1607*1000</f>
        <v>50000000</v>
      </c>
      <c r="K1607" s="169">
        <f t="shared" si="1062"/>
        <v>0</v>
      </c>
      <c r="L1607" s="16">
        <f>'БА в тыс. руб.'!H1607*1000</f>
        <v>0</v>
      </c>
      <c r="M1607" s="169">
        <f t="shared" si="1063"/>
        <v>0</v>
      </c>
      <c r="N1607" s="16">
        <f>'БА в тыс. руб.'!I1607*1000</f>
        <v>0</v>
      </c>
      <c r="O1607" s="169">
        <f t="shared" si="1064"/>
        <v>0</v>
      </c>
      <c r="P1607" s="16"/>
      <c r="Q1607" s="16"/>
      <c r="R1607" s="16"/>
      <c r="S1607" s="16"/>
      <c r="T1607" s="16"/>
      <c r="U1607" s="16"/>
    </row>
    <row r="1608" spans="1:21" s="3" customFormat="1" ht="25.5">
      <c r="A1608" s="11" t="s">
        <v>857</v>
      </c>
      <c r="B1608" s="25" t="s">
        <v>16</v>
      </c>
      <c r="C1608" s="26" t="s">
        <v>50</v>
      </c>
      <c r="D1608" s="26" t="s">
        <v>65</v>
      </c>
      <c r="E1608" s="36" t="s">
        <v>839</v>
      </c>
      <c r="F1608" s="26" t="s">
        <v>58</v>
      </c>
      <c r="G1608" s="27">
        <f>G1609</f>
        <v>50000000</v>
      </c>
      <c r="H1608" s="27">
        <f t="shared" si="1090"/>
        <v>0</v>
      </c>
      <c r="I1608" s="27">
        <f t="shared" si="1090"/>
        <v>0</v>
      </c>
      <c r="J1608" s="16">
        <f>'БА в тыс. руб.'!G1608*1000</f>
        <v>50000000</v>
      </c>
      <c r="K1608" s="169">
        <f t="shared" si="1062"/>
        <v>0</v>
      </c>
      <c r="L1608" s="16">
        <f>'БА в тыс. руб.'!H1608*1000</f>
        <v>0</v>
      </c>
      <c r="M1608" s="169">
        <f t="shared" si="1063"/>
        <v>0</v>
      </c>
      <c r="N1608" s="16">
        <f>'БА в тыс. руб.'!I1608*1000</f>
        <v>0</v>
      </c>
      <c r="O1608" s="169">
        <f t="shared" si="1064"/>
        <v>0</v>
      </c>
      <c r="P1608" s="16"/>
      <c r="Q1608" s="16"/>
      <c r="R1608" s="16"/>
      <c r="S1608" s="16"/>
      <c r="T1608" s="16"/>
      <c r="U1608" s="16"/>
    </row>
    <row r="1609" spans="1:21" s="3" customFormat="1" ht="63.75">
      <c r="A1609" s="13" t="s">
        <v>840</v>
      </c>
      <c r="B1609" s="25" t="s">
        <v>16</v>
      </c>
      <c r="C1609" s="26" t="s">
        <v>50</v>
      </c>
      <c r="D1609" s="26" t="s">
        <v>65</v>
      </c>
      <c r="E1609" s="36" t="s">
        <v>841</v>
      </c>
      <c r="F1609" s="26" t="s">
        <v>58</v>
      </c>
      <c r="G1609" s="27">
        <f>G1610</f>
        <v>50000000</v>
      </c>
      <c r="H1609" s="27">
        <f t="shared" si="1090"/>
        <v>0</v>
      </c>
      <c r="I1609" s="27">
        <f t="shared" si="1090"/>
        <v>0</v>
      </c>
      <c r="J1609" s="16">
        <f>'БА в тыс. руб.'!G1609*1000</f>
        <v>50000000</v>
      </c>
      <c r="K1609" s="169">
        <f t="shared" si="1062"/>
        <v>0</v>
      </c>
      <c r="L1609" s="16">
        <f>'БА в тыс. руб.'!H1609*1000</f>
        <v>0</v>
      </c>
      <c r="M1609" s="169">
        <f t="shared" si="1063"/>
        <v>0</v>
      </c>
      <c r="N1609" s="16">
        <f>'БА в тыс. руб.'!I1609*1000</f>
        <v>0</v>
      </c>
      <c r="O1609" s="169">
        <f t="shared" si="1064"/>
        <v>0</v>
      </c>
      <c r="P1609" s="16"/>
      <c r="Q1609" s="16"/>
      <c r="R1609" s="16"/>
      <c r="S1609" s="16"/>
      <c r="T1609" s="16"/>
      <c r="U1609" s="16"/>
    </row>
    <row r="1610" spans="1:21" s="3" customFormat="1">
      <c r="A1610" s="11" t="s">
        <v>21</v>
      </c>
      <c r="B1610" s="25" t="s">
        <v>16</v>
      </c>
      <c r="C1610" s="26" t="s">
        <v>50</v>
      </c>
      <c r="D1610" s="26" t="s">
        <v>65</v>
      </c>
      <c r="E1610" s="26" t="s">
        <v>841</v>
      </c>
      <c r="F1610" s="26" t="s">
        <v>103</v>
      </c>
      <c r="G1610" s="27">
        <f>G1611</f>
        <v>50000000</v>
      </c>
      <c r="H1610" s="27">
        <v>0</v>
      </c>
      <c r="I1610" s="27">
        <v>0</v>
      </c>
      <c r="J1610" s="16">
        <f>'БА в тыс. руб.'!G1610*1000</f>
        <v>50000000</v>
      </c>
      <c r="K1610" s="169">
        <f t="shared" si="1062"/>
        <v>0</v>
      </c>
      <c r="L1610" s="16">
        <f>'БА в тыс. руб.'!H1610*1000</f>
        <v>0</v>
      </c>
      <c r="M1610" s="169">
        <f t="shared" si="1063"/>
        <v>0</v>
      </c>
      <c r="N1610" s="16">
        <f>'БА в тыс. руб.'!I1610*1000</f>
        <v>0</v>
      </c>
      <c r="O1610" s="169">
        <f t="shared" si="1064"/>
        <v>0</v>
      </c>
      <c r="P1610" s="16"/>
      <c r="Q1610" s="16"/>
      <c r="R1610" s="16"/>
      <c r="S1610" s="16"/>
      <c r="T1610" s="16"/>
      <c r="U1610" s="16"/>
    </row>
    <row r="1611" spans="1:21" s="4" customFormat="1" ht="25.5">
      <c r="A1611" s="12" t="s">
        <v>987</v>
      </c>
      <c r="B1611" s="25" t="s">
        <v>16</v>
      </c>
      <c r="C1611" s="26" t="s">
        <v>50</v>
      </c>
      <c r="D1611" s="26" t="s">
        <v>65</v>
      </c>
      <c r="E1611" s="26" t="s">
        <v>841</v>
      </c>
      <c r="F1611" s="26" t="s">
        <v>1052</v>
      </c>
      <c r="G1611" s="27">
        <f t="shared" ref="G1611" si="1091">J1611</f>
        <v>50000000</v>
      </c>
      <c r="H1611" s="27">
        <f t="shared" ref="H1611" si="1092">L1611</f>
        <v>0</v>
      </c>
      <c r="I1611" s="27">
        <f t="shared" ref="I1611" si="1093">N1611</f>
        <v>0</v>
      </c>
      <c r="J1611" s="16">
        <f>'БА в тыс. руб.'!G1611*1000</f>
        <v>50000000</v>
      </c>
      <c r="K1611" s="169">
        <f t="shared" ref="K1611:K1674" si="1094">J1611-G1611</f>
        <v>0</v>
      </c>
      <c r="L1611" s="16">
        <f>'БА в тыс. руб.'!H1611*1000</f>
        <v>0</v>
      </c>
      <c r="M1611" s="169">
        <f t="shared" ref="M1611:M1674" si="1095">L1611-H1611</f>
        <v>0</v>
      </c>
      <c r="N1611" s="16">
        <f>'БА в тыс. руб.'!I1611*1000</f>
        <v>0</v>
      </c>
      <c r="O1611" s="169">
        <f t="shared" ref="O1611:O1674" si="1096">N1611-I1611</f>
        <v>0</v>
      </c>
      <c r="P1611" s="16"/>
      <c r="Q1611" s="16"/>
      <c r="R1611" s="16"/>
      <c r="S1611" s="16"/>
      <c r="T1611" s="16"/>
      <c r="U1611" s="16"/>
    </row>
    <row r="1612" spans="1:21" s="71" customFormat="1">
      <c r="A1612" s="79"/>
      <c r="B1612" s="92"/>
      <c r="C1612" s="70"/>
      <c r="D1612" s="70"/>
      <c r="E1612" s="70"/>
      <c r="F1612" s="70"/>
      <c r="G1612" s="27"/>
      <c r="H1612" s="27"/>
      <c r="I1612" s="27"/>
      <c r="J1612" s="16">
        <f>'БА в тыс. руб.'!G1612*1000</f>
        <v>0</v>
      </c>
      <c r="K1612" s="169">
        <f t="shared" si="1094"/>
        <v>0</v>
      </c>
      <c r="L1612" s="16">
        <f>'БА в тыс. руб.'!H1612*1000</f>
        <v>0</v>
      </c>
      <c r="M1612" s="169">
        <f t="shared" si="1095"/>
        <v>0</v>
      </c>
      <c r="N1612" s="16">
        <f>'БА в тыс. руб.'!I1612*1000</f>
        <v>0</v>
      </c>
      <c r="O1612" s="169">
        <f t="shared" si="1096"/>
        <v>0</v>
      </c>
      <c r="P1612" s="16"/>
      <c r="Q1612" s="16"/>
      <c r="R1612" s="16"/>
      <c r="S1612" s="16"/>
      <c r="T1612" s="16"/>
      <c r="U1612" s="16"/>
    </row>
    <row r="1613" spans="1:21" s="3" customFormat="1" ht="25.5">
      <c r="A1613" s="28" t="s">
        <v>180</v>
      </c>
      <c r="B1613" s="14" t="s">
        <v>536</v>
      </c>
      <c r="C1613" s="15" t="s">
        <v>51</v>
      </c>
      <c r="D1613" s="15" t="s">
        <v>51</v>
      </c>
      <c r="E1613" s="15" t="s">
        <v>196</v>
      </c>
      <c r="F1613" s="15" t="s">
        <v>58</v>
      </c>
      <c r="G1613" s="29">
        <f t="shared" ref="G1613:I1614" si="1097">G1614</f>
        <v>72707770</v>
      </c>
      <c r="H1613" s="29">
        <f t="shared" si="1097"/>
        <v>68682570</v>
      </c>
      <c r="I1613" s="29">
        <f t="shared" si="1097"/>
        <v>68682570</v>
      </c>
      <c r="J1613" s="16">
        <f>'БА в тыс. руб.'!G1613*1000</f>
        <v>72707770</v>
      </c>
      <c r="K1613" s="169">
        <f t="shared" si="1094"/>
        <v>0</v>
      </c>
      <c r="L1613" s="16">
        <f>'БА в тыс. руб.'!H1613*1000</f>
        <v>68682570</v>
      </c>
      <c r="M1613" s="169">
        <f t="shared" si="1095"/>
        <v>0</v>
      </c>
      <c r="N1613" s="16">
        <f>'БА в тыс. руб.'!I1613*1000</f>
        <v>68682570</v>
      </c>
      <c r="O1613" s="169">
        <f t="shared" si="1096"/>
        <v>0</v>
      </c>
      <c r="P1613" s="16"/>
      <c r="Q1613" s="16"/>
      <c r="R1613" s="16"/>
      <c r="S1613" s="16"/>
      <c r="T1613" s="16"/>
      <c r="U1613" s="16"/>
    </row>
    <row r="1614" spans="1:21" s="3" customFormat="1">
      <c r="A1614" s="17" t="s">
        <v>13</v>
      </c>
      <c r="B1614" s="18" t="s">
        <v>536</v>
      </c>
      <c r="C1614" s="19" t="s">
        <v>53</v>
      </c>
      <c r="D1614" s="19" t="s">
        <v>51</v>
      </c>
      <c r="E1614" s="19" t="s">
        <v>196</v>
      </c>
      <c r="F1614" s="19" t="s">
        <v>58</v>
      </c>
      <c r="G1614" s="20">
        <f t="shared" si="1097"/>
        <v>72707770</v>
      </c>
      <c r="H1614" s="20">
        <f t="shared" si="1097"/>
        <v>68682570</v>
      </c>
      <c r="I1614" s="20">
        <f t="shared" si="1097"/>
        <v>68682570</v>
      </c>
      <c r="J1614" s="16">
        <f>'БА в тыс. руб.'!G1614*1000</f>
        <v>72707770</v>
      </c>
      <c r="K1614" s="169">
        <f t="shared" si="1094"/>
        <v>0</v>
      </c>
      <c r="L1614" s="16">
        <f>'БА в тыс. руб.'!H1614*1000</f>
        <v>68682570</v>
      </c>
      <c r="M1614" s="169">
        <f t="shared" si="1095"/>
        <v>0</v>
      </c>
      <c r="N1614" s="16">
        <f>'БА в тыс. руб.'!I1614*1000</f>
        <v>68682570</v>
      </c>
      <c r="O1614" s="169">
        <f t="shared" si="1096"/>
        <v>0</v>
      </c>
      <c r="P1614" s="16"/>
      <c r="Q1614" s="16"/>
      <c r="R1614" s="16"/>
      <c r="S1614" s="16"/>
      <c r="T1614" s="16"/>
      <c r="U1614" s="16"/>
    </row>
    <row r="1615" spans="1:21" s="3" customFormat="1" ht="38.25">
      <c r="A1615" s="21" t="s">
        <v>537</v>
      </c>
      <c r="B1615" s="22" t="s">
        <v>536</v>
      </c>
      <c r="C1615" s="23" t="s">
        <v>53</v>
      </c>
      <c r="D1615" s="23" t="s">
        <v>25</v>
      </c>
      <c r="E1615" s="23" t="s">
        <v>196</v>
      </c>
      <c r="F1615" s="23" t="s">
        <v>58</v>
      </c>
      <c r="G1615" s="24">
        <f>G1616+G1622+G1670</f>
        <v>72707770</v>
      </c>
      <c r="H1615" s="24">
        <f>H1616+H1622+H1670</f>
        <v>68682570</v>
      </c>
      <c r="I1615" s="24">
        <f>I1616+I1622+I1670</f>
        <v>68682570</v>
      </c>
      <c r="J1615" s="16">
        <f>'БА в тыс. руб.'!G1615*1000</f>
        <v>72707770</v>
      </c>
      <c r="K1615" s="169">
        <f t="shared" si="1094"/>
        <v>0</v>
      </c>
      <c r="L1615" s="16">
        <f>'БА в тыс. руб.'!H1615*1000</f>
        <v>68682570</v>
      </c>
      <c r="M1615" s="169">
        <f t="shared" si="1095"/>
        <v>0</v>
      </c>
      <c r="N1615" s="16">
        <f>'БА в тыс. руб.'!I1615*1000</f>
        <v>68682570</v>
      </c>
      <c r="O1615" s="169">
        <f t="shared" si="1096"/>
        <v>0</v>
      </c>
      <c r="P1615" s="16"/>
      <c r="Q1615" s="16"/>
      <c r="R1615" s="16"/>
      <c r="S1615" s="16"/>
      <c r="T1615" s="16"/>
      <c r="U1615" s="16"/>
    </row>
    <row r="1616" spans="1:21" s="3" customFormat="1" ht="38.25">
      <c r="A1616" s="152" t="s">
        <v>752</v>
      </c>
      <c r="B1616" s="25" t="s">
        <v>536</v>
      </c>
      <c r="C1616" s="26" t="s">
        <v>53</v>
      </c>
      <c r="D1616" s="26" t="s">
        <v>25</v>
      </c>
      <c r="E1616" s="26" t="s">
        <v>249</v>
      </c>
      <c r="F1616" s="26" t="s">
        <v>58</v>
      </c>
      <c r="G1616" s="27">
        <f>G1617</f>
        <v>25500</v>
      </c>
      <c r="H1616" s="27">
        <f t="shared" ref="H1616:I1616" si="1098">H1617</f>
        <v>22950</v>
      </c>
      <c r="I1616" s="27">
        <f t="shared" si="1098"/>
        <v>22950</v>
      </c>
      <c r="J1616" s="16">
        <f>'БА в тыс. руб.'!G1616*1000</f>
        <v>25500</v>
      </c>
      <c r="K1616" s="169">
        <f t="shared" si="1094"/>
        <v>0</v>
      </c>
      <c r="L1616" s="16">
        <f>'БА в тыс. руб.'!H1616*1000</f>
        <v>22950</v>
      </c>
      <c r="M1616" s="169">
        <f t="shared" si="1095"/>
        <v>0</v>
      </c>
      <c r="N1616" s="16">
        <f>'БА в тыс. руб.'!I1616*1000</f>
        <v>22950</v>
      </c>
      <c r="O1616" s="169">
        <f t="shared" si="1096"/>
        <v>0</v>
      </c>
      <c r="P1616" s="16"/>
      <c r="Q1616" s="16"/>
      <c r="R1616" s="16"/>
      <c r="S1616" s="16"/>
      <c r="T1616" s="16"/>
      <c r="U1616" s="16"/>
    </row>
    <row r="1617" spans="1:21" s="153" customFormat="1" ht="25.5">
      <c r="A1617" s="11" t="s">
        <v>755</v>
      </c>
      <c r="B1617" s="25" t="s">
        <v>536</v>
      </c>
      <c r="C1617" s="26" t="s">
        <v>53</v>
      </c>
      <c r="D1617" s="26" t="s">
        <v>25</v>
      </c>
      <c r="E1617" s="26" t="s">
        <v>256</v>
      </c>
      <c r="F1617" s="26" t="s">
        <v>58</v>
      </c>
      <c r="G1617" s="27">
        <f t="shared" ref="G1617:I1618" si="1099">G1618</f>
        <v>25500</v>
      </c>
      <c r="H1617" s="27">
        <f t="shared" si="1099"/>
        <v>22950</v>
      </c>
      <c r="I1617" s="27">
        <f t="shared" si="1099"/>
        <v>22950</v>
      </c>
      <c r="J1617" s="16">
        <f>'БА в тыс. руб.'!G1617*1000</f>
        <v>25500</v>
      </c>
      <c r="K1617" s="169">
        <f t="shared" si="1094"/>
        <v>0</v>
      </c>
      <c r="L1617" s="16">
        <f>'БА в тыс. руб.'!H1617*1000</f>
        <v>22950</v>
      </c>
      <c r="M1617" s="169">
        <f t="shared" si="1095"/>
        <v>0</v>
      </c>
      <c r="N1617" s="16">
        <f>'БА в тыс. руб.'!I1617*1000</f>
        <v>22950</v>
      </c>
      <c r="O1617" s="169">
        <f t="shared" si="1096"/>
        <v>0</v>
      </c>
      <c r="P1617" s="16"/>
      <c r="Q1617" s="16"/>
      <c r="R1617" s="16"/>
      <c r="S1617" s="16"/>
      <c r="T1617" s="16"/>
      <c r="U1617" s="16"/>
    </row>
    <row r="1618" spans="1:21" s="3" customFormat="1" ht="25.5">
      <c r="A1618" s="152" t="s">
        <v>617</v>
      </c>
      <c r="B1618" s="25" t="s">
        <v>536</v>
      </c>
      <c r="C1618" s="26" t="s">
        <v>53</v>
      </c>
      <c r="D1618" s="26" t="s">
        <v>25</v>
      </c>
      <c r="E1618" s="26" t="s">
        <v>541</v>
      </c>
      <c r="F1618" s="26" t="s">
        <v>58</v>
      </c>
      <c r="G1618" s="27">
        <f t="shared" si="1099"/>
        <v>25500</v>
      </c>
      <c r="H1618" s="27">
        <f t="shared" si="1099"/>
        <v>22950</v>
      </c>
      <c r="I1618" s="27">
        <f t="shared" si="1099"/>
        <v>22950</v>
      </c>
      <c r="J1618" s="16">
        <f>'БА в тыс. руб.'!G1618*1000</f>
        <v>25500</v>
      </c>
      <c r="K1618" s="169">
        <f t="shared" si="1094"/>
        <v>0</v>
      </c>
      <c r="L1618" s="16">
        <f>'БА в тыс. руб.'!H1618*1000</f>
        <v>22950</v>
      </c>
      <c r="M1618" s="169">
        <f t="shared" si="1095"/>
        <v>0</v>
      </c>
      <c r="N1618" s="16">
        <f>'БА в тыс. руб.'!I1618*1000</f>
        <v>22950</v>
      </c>
      <c r="O1618" s="169">
        <f t="shared" si="1096"/>
        <v>0</v>
      </c>
      <c r="P1618" s="16"/>
      <c r="Q1618" s="16"/>
      <c r="R1618" s="16"/>
      <c r="S1618" s="16"/>
      <c r="T1618" s="16"/>
      <c r="U1618" s="16"/>
    </row>
    <row r="1619" spans="1:21" s="3" customFormat="1" ht="25.5">
      <c r="A1619" s="152" t="s">
        <v>901</v>
      </c>
      <c r="B1619" s="25" t="s">
        <v>536</v>
      </c>
      <c r="C1619" s="26" t="s">
        <v>53</v>
      </c>
      <c r="D1619" s="26" t="s">
        <v>25</v>
      </c>
      <c r="E1619" s="26" t="s">
        <v>917</v>
      </c>
      <c r="F1619" s="26" t="s">
        <v>58</v>
      </c>
      <c r="G1619" s="27">
        <f>G1620</f>
        <v>25500</v>
      </c>
      <c r="H1619" s="27">
        <f>H1620</f>
        <v>22950</v>
      </c>
      <c r="I1619" s="27">
        <f>I1620</f>
        <v>22950</v>
      </c>
      <c r="J1619" s="16">
        <f>'БА в тыс. руб.'!G1619*1000</f>
        <v>25500</v>
      </c>
      <c r="K1619" s="169">
        <f t="shared" si="1094"/>
        <v>0</v>
      </c>
      <c r="L1619" s="16">
        <f>'БА в тыс. руб.'!H1619*1000</f>
        <v>22950</v>
      </c>
      <c r="M1619" s="169">
        <f t="shared" si="1095"/>
        <v>0</v>
      </c>
      <c r="N1619" s="16">
        <f>'БА в тыс. руб.'!I1619*1000</f>
        <v>22950</v>
      </c>
      <c r="O1619" s="169">
        <f t="shared" si="1096"/>
        <v>0</v>
      </c>
      <c r="P1619" s="16"/>
      <c r="Q1619" s="16"/>
      <c r="R1619" s="16"/>
      <c r="S1619" s="16"/>
      <c r="T1619" s="16"/>
      <c r="U1619" s="16"/>
    </row>
    <row r="1620" spans="1:21" s="3" customFormat="1" ht="25.5">
      <c r="A1620" s="152" t="s">
        <v>108</v>
      </c>
      <c r="B1620" s="25" t="s">
        <v>536</v>
      </c>
      <c r="C1620" s="26" t="s">
        <v>53</v>
      </c>
      <c r="D1620" s="26" t="s">
        <v>25</v>
      </c>
      <c r="E1620" s="26" t="s">
        <v>917</v>
      </c>
      <c r="F1620" s="26" t="s">
        <v>116</v>
      </c>
      <c r="G1620" s="27">
        <f>G1621</f>
        <v>25500</v>
      </c>
      <c r="H1620" s="27">
        <f t="shared" ref="H1620:I1620" si="1100">H1621</f>
        <v>22950</v>
      </c>
      <c r="I1620" s="27">
        <f t="shared" si="1100"/>
        <v>22950</v>
      </c>
      <c r="J1620" s="16">
        <f>'БА в тыс. руб.'!G1620*1000</f>
        <v>25500</v>
      </c>
      <c r="K1620" s="169">
        <f t="shared" si="1094"/>
        <v>0</v>
      </c>
      <c r="L1620" s="16">
        <f>'БА в тыс. руб.'!H1620*1000</f>
        <v>22950</v>
      </c>
      <c r="M1620" s="169">
        <f t="shared" si="1095"/>
        <v>0</v>
      </c>
      <c r="N1620" s="16">
        <f>'БА в тыс. руб.'!I1620*1000</f>
        <v>22950</v>
      </c>
      <c r="O1620" s="169">
        <f t="shared" si="1096"/>
        <v>0</v>
      </c>
      <c r="P1620" s="16"/>
      <c r="Q1620" s="16"/>
      <c r="R1620" s="16"/>
      <c r="S1620" s="16"/>
      <c r="T1620" s="16"/>
      <c r="U1620" s="16"/>
    </row>
    <row r="1621" spans="1:21" s="94" customFormat="1" ht="25.5">
      <c r="A1621" s="12" t="s">
        <v>973</v>
      </c>
      <c r="B1621" s="25" t="s">
        <v>536</v>
      </c>
      <c r="C1621" s="26" t="s">
        <v>53</v>
      </c>
      <c r="D1621" s="26" t="s">
        <v>25</v>
      </c>
      <c r="E1621" s="26" t="s">
        <v>917</v>
      </c>
      <c r="F1621" s="26" t="s">
        <v>1043</v>
      </c>
      <c r="G1621" s="27">
        <f t="shared" ref="G1621" si="1101">J1621</f>
        <v>25500</v>
      </c>
      <c r="H1621" s="27">
        <f>L1621</f>
        <v>22950</v>
      </c>
      <c r="I1621" s="27">
        <f>N1621</f>
        <v>22950</v>
      </c>
      <c r="J1621" s="16">
        <f>'БА в тыс. руб.'!G1621*1000</f>
        <v>25500</v>
      </c>
      <c r="K1621" s="169">
        <f t="shared" si="1094"/>
        <v>0</v>
      </c>
      <c r="L1621" s="16">
        <f>'БА в тыс. руб.'!H1621*1000</f>
        <v>22950</v>
      </c>
      <c r="M1621" s="169">
        <f t="shared" si="1095"/>
        <v>0</v>
      </c>
      <c r="N1621" s="16">
        <f>'БА в тыс. руб.'!I1621*1000</f>
        <v>22950</v>
      </c>
      <c r="O1621" s="169">
        <f t="shared" si="1096"/>
        <v>0</v>
      </c>
      <c r="P1621" s="16"/>
      <c r="Q1621" s="16"/>
      <c r="R1621" s="16"/>
      <c r="S1621" s="16"/>
      <c r="T1621" s="16"/>
      <c r="U1621" s="16"/>
    </row>
    <row r="1622" spans="1:21" s="3" customFormat="1" ht="63.75">
      <c r="A1622" s="11" t="s">
        <v>756</v>
      </c>
      <c r="B1622" s="25" t="s">
        <v>536</v>
      </c>
      <c r="C1622" s="26" t="s">
        <v>53</v>
      </c>
      <c r="D1622" s="26" t="s">
        <v>25</v>
      </c>
      <c r="E1622" s="26" t="s">
        <v>339</v>
      </c>
      <c r="F1622" s="26" t="s">
        <v>58</v>
      </c>
      <c r="G1622" s="27">
        <f>G1623+G1642+G1647</f>
        <v>57332780</v>
      </c>
      <c r="H1622" s="27">
        <f>H1623+H1642+H1647</f>
        <v>53310130</v>
      </c>
      <c r="I1622" s="27">
        <f>I1623+I1642+I1647</f>
        <v>53310130</v>
      </c>
      <c r="J1622" s="16">
        <f>'БА в тыс. руб.'!G1622*1000</f>
        <v>57332780</v>
      </c>
      <c r="K1622" s="169">
        <f t="shared" si="1094"/>
        <v>0</v>
      </c>
      <c r="L1622" s="16">
        <f>'БА в тыс. руб.'!H1622*1000</f>
        <v>53310130.000000007</v>
      </c>
      <c r="M1622" s="169">
        <f t="shared" si="1095"/>
        <v>0</v>
      </c>
      <c r="N1622" s="16">
        <f>'БА в тыс. руб.'!I1622*1000</f>
        <v>53310130.000000007</v>
      </c>
      <c r="O1622" s="169">
        <f t="shared" si="1096"/>
        <v>0</v>
      </c>
      <c r="P1622" s="16"/>
      <c r="Q1622" s="16"/>
      <c r="R1622" s="16"/>
      <c r="S1622" s="16"/>
      <c r="T1622" s="16"/>
      <c r="U1622" s="16"/>
    </row>
    <row r="1623" spans="1:21" s="153" customFormat="1" ht="38.25">
      <c r="A1623" s="11" t="s">
        <v>135</v>
      </c>
      <c r="B1623" s="25" t="s">
        <v>536</v>
      </c>
      <c r="C1623" s="26" t="s">
        <v>53</v>
      </c>
      <c r="D1623" s="26" t="s">
        <v>25</v>
      </c>
      <c r="E1623" s="26" t="s">
        <v>542</v>
      </c>
      <c r="F1623" s="26" t="s">
        <v>58</v>
      </c>
      <c r="G1623" s="27">
        <f>G1624+G1628+G1638</f>
        <v>28743790</v>
      </c>
      <c r="H1623" s="27">
        <f>H1624+H1628+H1638</f>
        <v>28785740</v>
      </c>
      <c r="I1623" s="27">
        <f>I1624+I1628+I1638</f>
        <v>28785740</v>
      </c>
      <c r="J1623" s="16">
        <f>'БА в тыс. руб.'!G1623*1000</f>
        <v>28743790</v>
      </c>
      <c r="K1623" s="169">
        <f t="shared" si="1094"/>
        <v>0</v>
      </c>
      <c r="L1623" s="16">
        <f>'БА в тыс. руб.'!H1623*1000</f>
        <v>28785740</v>
      </c>
      <c r="M1623" s="169">
        <f t="shared" si="1095"/>
        <v>0</v>
      </c>
      <c r="N1623" s="16">
        <f>'БА в тыс. руб.'!I1623*1000</f>
        <v>28785740</v>
      </c>
      <c r="O1623" s="169">
        <f t="shared" si="1096"/>
        <v>0</v>
      </c>
      <c r="P1623" s="16"/>
      <c r="Q1623" s="16"/>
      <c r="R1623" s="16"/>
      <c r="S1623" s="16"/>
      <c r="T1623" s="16"/>
      <c r="U1623" s="16"/>
    </row>
    <row r="1624" spans="1:21" s="3" customFormat="1" ht="38.25">
      <c r="A1624" s="11" t="s">
        <v>627</v>
      </c>
      <c r="B1624" s="25" t="s">
        <v>536</v>
      </c>
      <c r="C1624" s="26" t="s">
        <v>53</v>
      </c>
      <c r="D1624" s="26" t="s">
        <v>25</v>
      </c>
      <c r="E1624" s="26" t="s">
        <v>543</v>
      </c>
      <c r="F1624" s="26" t="s">
        <v>58</v>
      </c>
      <c r="G1624" s="27">
        <f t="shared" ref="G1624:I1624" si="1102">G1625</f>
        <v>100000</v>
      </c>
      <c r="H1624" s="27">
        <f t="shared" si="1102"/>
        <v>100000</v>
      </c>
      <c r="I1624" s="27">
        <f t="shared" si="1102"/>
        <v>100000</v>
      </c>
      <c r="J1624" s="16">
        <f>'БА в тыс. руб.'!G1624*1000</f>
        <v>100000</v>
      </c>
      <c r="K1624" s="169">
        <f t="shared" si="1094"/>
        <v>0</v>
      </c>
      <c r="L1624" s="16">
        <f>'БА в тыс. руб.'!H1624*1000</f>
        <v>100000</v>
      </c>
      <c r="M1624" s="169">
        <f t="shared" si="1095"/>
        <v>0</v>
      </c>
      <c r="N1624" s="16">
        <f>'БА в тыс. руб.'!I1624*1000</f>
        <v>100000</v>
      </c>
      <c r="O1624" s="169">
        <f t="shared" si="1096"/>
        <v>0</v>
      </c>
      <c r="P1624" s="16"/>
      <c r="Q1624" s="16"/>
      <c r="R1624" s="16"/>
      <c r="S1624" s="16"/>
      <c r="T1624" s="16"/>
      <c r="U1624" s="16"/>
    </row>
    <row r="1625" spans="1:21" s="3" customFormat="1" ht="51">
      <c r="A1625" s="152" t="s">
        <v>625</v>
      </c>
      <c r="B1625" s="25" t="s">
        <v>536</v>
      </c>
      <c r="C1625" s="26" t="s">
        <v>53</v>
      </c>
      <c r="D1625" s="26" t="s">
        <v>25</v>
      </c>
      <c r="E1625" s="26" t="s">
        <v>544</v>
      </c>
      <c r="F1625" s="26" t="s">
        <v>58</v>
      </c>
      <c r="G1625" s="27">
        <f>G1626</f>
        <v>100000</v>
      </c>
      <c r="H1625" s="27">
        <f>H1626</f>
        <v>100000</v>
      </c>
      <c r="I1625" s="27">
        <f>I1626</f>
        <v>100000</v>
      </c>
      <c r="J1625" s="16">
        <f>'БА в тыс. руб.'!G1625*1000</f>
        <v>100000</v>
      </c>
      <c r="K1625" s="169">
        <f t="shared" si="1094"/>
        <v>0</v>
      </c>
      <c r="L1625" s="16">
        <f>'БА в тыс. руб.'!H1625*1000</f>
        <v>100000</v>
      </c>
      <c r="M1625" s="169">
        <f t="shared" si="1095"/>
        <v>0</v>
      </c>
      <c r="N1625" s="16">
        <f>'БА в тыс. руб.'!I1625*1000</f>
        <v>100000</v>
      </c>
      <c r="O1625" s="169">
        <f t="shared" si="1096"/>
        <v>0</v>
      </c>
      <c r="P1625" s="16"/>
      <c r="Q1625" s="16"/>
      <c r="R1625" s="16"/>
      <c r="S1625" s="16"/>
      <c r="T1625" s="16"/>
      <c r="U1625" s="16"/>
    </row>
    <row r="1626" spans="1:21" s="3" customFormat="1" ht="25.5">
      <c r="A1626" s="11" t="s">
        <v>108</v>
      </c>
      <c r="B1626" s="25" t="s">
        <v>536</v>
      </c>
      <c r="C1626" s="26" t="s">
        <v>53</v>
      </c>
      <c r="D1626" s="26" t="s">
        <v>25</v>
      </c>
      <c r="E1626" s="26" t="s">
        <v>544</v>
      </c>
      <c r="F1626" s="26" t="s">
        <v>116</v>
      </c>
      <c r="G1626" s="27">
        <f>G1627</f>
        <v>100000</v>
      </c>
      <c r="H1626" s="27">
        <f t="shared" ref="H1626:I1626" si="1103">H1627</f>
        <v>100000</v>
      </c>
      <c r="I1626" s="27">
        <f t="shared" si="1103"/>
        <v>100000</v>
      </c>
      <c r="J1626" s="16">
        <f>'БА в тыс. руб.'!G1626*1000</f>
        <v>100000</v>
      </c>
      <c r="K1626" s="169">
        <f t="shared" si="1094"/>
        <v>0</v>
      </c>
      <c r="L1626" s="16">
        <f>'БА в тыс. руб.'!H1626*1000</f>
        <v>100000</v>
      </c>
      <c r="M1626" s="169">
        <f t="shared" si="1095"/>
        <v>0</v>
      </c>
      <c r="N1626" s="16">
        <f>'БА в тыс. руб.'!I1626*1000</f>
        <v>100000</v>
      </c>
      <c r="O1626" s="169">
        <f t="shared" si="1096"/>
        <v>0</v>
      </c>
      <c r="P1626" s="16"/>
      <c r="Q1626" s="16"/>
      <c r="R1626" s="16"/>
      <c r="S1626" s="16"/>
      <c r="T1626" s="16"/>
      <c r="U1626" s="16"/>
    </row>
    <row r="1627" spans="1:21" s="4" customFormat="1" ht="25.5">
      <c r="A1627" s="12" t="s">
        <v>973</v>
      </c>
      <c r="B1627" s="25" t="s">
        <v>536</v>
      </c>
      <c r="C1627" s="26" t="s">
        <v>53</v>
      </c>
      <c r="D1627" s="26" t="s">
        <v>25</v>
      </c>
      <c r="E1627" s="26" t="s">
        <v>544</v>
      </c>
      <c r="F1627" s="26" t="s">
        <v>1043</v>
      </c>
      <c r="G1627" s="27">
        <f t="shared" ref="G1627" si="1104">J1627</f>
        <v>100000</v>
      </c>
      <c r="H1627" s="27">
        <f>L1627</f>
        <v>100000</v>
      </c>
      <c r="I1627" s="27">
        <f>N1627</f>
        <v>100000</v>
      </c>
      <c r="J1627" s="16">
        <f>'БА в тыс. руб.'!G1627*1000</f>
        <v>100000</v>
      </c>
      <c r="K1627" s="169">
        <f t="shared" si="1094"/>
        <v>0</v>
      </c>
      <c r="L1627" s="16">
        <f>'БА в тыс. руб.'!H1627*1000</f>
        <v>100000</v>
      </c>
      <c r="M1627" s="169">
        <f t="shared" si="1095"/>
        <v>0</v>
      </c>
      <c r="N1627" s="16">
        <f>'БА в тыс. руб.'!I1627*1000</f>
        <v>100000</v>
      </c>
      <c r="O1627" s="169">
        <f t="shared" si="1096"/>
        <v>0</v>
      </c>
      <c r="P1627" s="16"/>
      <c r="Q1627" s="16"/>
      <c r="R1627" s="16"/>
      <c r="S1627" s="16"/>
      <c r="T1627" s="16"/>
      <c r="U1627" s="16"/>
    </row>
    <row r="1628" spans="1:21" s="3" customFormat="1" ht="25.5">
      <c r="A1628" s="152" t="s">
        <v>862</v>
      </c>
      <c r="B1628" s="25" t="s">
        <v>536</v>
      </c>
      <c r="C1628" s="26" t="s">
        <v>53</v>
      </c>
      <c r="D1628" s="26" t="s">
        <v>25</v>
      </c>
      <c r="E1628" s="26" t="s">
        <v>545</v>
      </c>
      <c r="F1628" s="26" t="s">
        <v>58</v>
      </c>
      <c r="G1628" s="27">
        <f>G1629</f>
        <v>28213790</v>
      </c>
      <c r="H1628" s="27">
        <f>H1629</f>
        <v>28255740</v>
      </c>
      <c r="I1628" s="27">
        <f>I1629</f>
        <v>28255740</v>
      </c>
      <c r="J1628" s="16">
        <f>'БА в тыс. руб.'!G1628*1000</f>
        <v>28213790</v>
      </c>
      <c r="K1628" s="169">
        <f t="shared" si="1094"/>
        <v>0</v>
      </c>
      <c r="L1628" s="16">
        <f>'БА в тыс. руб.'!H1628*1000</f>
        <v>28255740</v>
      </c>
      <c r="M1628" s="169">
        <f t="shared" si="1095"/>
        <v>0</v>
      </c>
      <c r="N1628" s="16">
        <f>'БА в тыс. руб.'!I1628*1000</f>
        <v>28255740</v>
      </c>
      <c r="O1628" s="169">
        <f t="shared" si="1096"/>
        <v>0</v>
      </c>
      <c r="P1628" s="16"/>
      <c r="Q1628" s="16"/>
      <c r="R1628" s="16"/>
      <c r="S1628" s="16"/>
      <c r="T1628" s="16"/>
      <c r="U1628" s="16"/>
    </row>
    <row r="1629" spans="1:21" s="3" customFormat="1" ht="25.5">
      <c r="A1629" s="152" t="s">
        <v>247</v>
      </c>
      <c r="B1629" s="25" t="s">
        <v>536</v>
      </c>
      <c r="C1629" s="26" t="s">
        <v>53</v>
      </c>
      <c r="D1629" s="26" t="s">
        <v>25</v>
      </c>
      <c r="E1629" s="26" t="s">
        <v>819</v>
      </c>
      <c r="F1629" s="26" t="s">
        <v>58</v>
      </c>
      <c r="G1629" s="27">
        <f>G1630+G1633+G1635</f>
        <v>28213790</v>
      </c>
      <c r="H1629" s="27">
        <f t="shared" ref="H1629:I1629" si="1105">H1630+H1633+H1635</f>
        <v>28255740</v>
      </c>
      <c r="I1629" s="27">
        <f t="shared" si="1105"/>
        <v>28255740</v>
      </c>
      <c r="J1629" s="16">
        <f>'БА в тыс. руб.'!G1629*1000</f>
        <v>28213790</v>
      </c>
      <c r="K1629" s="169">
        <f t="shared" si="1094"/>
        <v>0</v>
      </c>
      <c r="L1629" s="16">
        <f>'БА в тыс. руб.'!H1629*1000</f>
        <v>28255740</v>
      </c>
      <c r="M1629" s="169">
        <f t="shared" si="1095"/>
        <v>0</v>
      </c>
      <c r="N1629" s="16">
        <f>'БА в тыс. руб.'!I1629*1000</f>
        <v>28255740</v>
      </c>
      <c r="O1629" s="169">
        <f t="shared" si="1096"/>
        <v>0</v>
      </c>
      <c r="P1629" s="16"/>
      <c r="Q1629" s="16"/>
      <c r="R1629" s="16"/>
      <c r="S1629" s="16"/>
      <c r="T1629" s="16"/>
      <c r="U1629" s="16"/>
    </row>
    <row r="1630" spans="1:21" s="3" customFormat="1">
      <c r="A1630" s="11" t="s">
        <v>106</v>
      </c>
      <c r="B1630" s="25" t="s">
        <v>536</v>
      </c>
      <c r="C1630" s="26" t="s">
        <v>53</v>
      </c>
      <c r="D1630" s="26" t="s">
        <v>25</v>
      </c>
      <c r="E1630" s="26" t="s">
        <v>819</v>
      </c>
      <c r="F1630" s="26" t="s">
        <v>121</v>
      </c>
      <c r="G1630" s="27">
        <f>SUM(G1631:G1632)</f>
        <v>23050520</v>
      </c>
      <c r="H1630" s="27">
        <f t="shared" ref="H1630:I1630" si="1106">SUM(H1631:H1632)</f>
        <v>23050520</v>
      </c>
      <c r="I1630" s="27">
        <f t="shared" si="1106"/>
        <v>23050520</v>
      </c>
      <c r="J1630" s="16">
        <f>'БА в тыс. руб.'!G1630*1000</f>
        <v>23050520</v>
      </c>
      <c r="K1630" s="169">
        <f t="shared" si="1094"/>
        <v>0</v>
      </c>
      <c r="L1630" s="16">
        <f>'БА в тыс. руб.'!H1630*1000</f>
        <v>23050520</v>
      </c>
      <c r="M1630" s="169">
        <f t="shared" si="1095"/>
        <v>0</v>
      </c>
      <c r="N1630" s="16">
        <f>'БА в тыс. руб.'!I1630*1000</f>
        <v>23050520</v>
      </c>
      <c r="O1630" s="169">
        <f t="shared" si="1096"/>
        <v>0</v>
      </c>
      <c r="P1630" s="16"/>
      <c r="Q1630" s="16"/>
      <c r="R1630" s="16"/>
      <c r="S1630" s="16"/>
      <c r="T1630" s="16"/>
      <c r="U1630" s="16"/>
    </row>
    <row r="1631" spans="1:21" s="4" customFormat="1">
      <c r="A1631" s="12" t="s">
        <v>932</v>
      </c>
      <c r="B1631" s="25" t="s">
        <v>536</v>
      </c>
      <c r="C1631" s="26" t="s">
        <v>53</v>
      </c>
      <c r="D1631" s="26" t="s">
        <v>25</v>
      </c>
      <c r="E1631" s="26" t="s">
        <v>819</v>
      </c>
      <c r="F1631" s="26" t="s">
        <v>1056</v>
      </c>
      <c r="G1631" s="27">
        <f t="shared" ref="G1631:G1632" si="1107">J1631</f>
        <v>17703930</v>
      </c>
      <c r="H1631" s="27">
        <f t="shared" ref="H1631:H1632" si="1108">L1631</f>
        <v>17703930</v>
      </c>
      <c r="I1631" s="27">
        <f t="shared" ref="I1631:I1632" si="1109">N1631</f>
        <v>17703930</v>
      </c>
      <c r="J1631" s="16">
        <f>'БА в тыс. руб.'!G1631*1000</f>
        <v>17703930</v>
      </c>
      <c r="K1631" s="169">
        <f t="shared" si="1094"/>
        <v>0</v>
      </c>
      <c r="L1631" s="16">
        <f>'БА в тыс. руб.'!H1631*1000</f>
        <v>17703930</v>
      </c>
      <c r="M1631" s="169">
        <f t="shared" si="1095"/>
        <v>0</v>
      </c>
      <c r="N1631" s="16">
        <f>'БА в тыс. руб.'!I1631*1000</f>
        <v>17703930</v>
      </c>
      <c r="O1631" s="169">
        <f t="shared" si="1096"/>
        <v>0</v>
      </c>
      <c r="P1631" s="16"/>
      <c r="Q1631" s="16"/>
      <c r="R1631" s="16"/>
      <c r="S1631" s="16"/>
      <c r="T1631" s="16"/>
      <c r="U1631" s="16"/>
    </row>
    <row r="1632" spans="1:21" s="4" customFormat="1" ht="38.25">
      <c r="A1632" s="12" t="s">
        <v>935</v>
      </c>
      <c r="B1632" s="25" t="s">
        <v>536</v>
      </c>
      <c r="C1632" s="26" t="s">
        <v>53</v>
      </c>
      <c r="D1632" s="26" t="s">
        <v>25</v>
      </c>
      <c r="E1632" s="26" t="s">
        <v>819</v>
      </c>
      <c r="F1632" s="26" t="s">
        <v>1057</v>
      </c>
      <c r="G1632" s="27">
        <f t="shared" si="1107"/>
        <v>5346590</v>
      </c>
      <c r="H1632" s="27">
        <f t="shared" si="1108"/>
        <v>5346590</v>
      </c>
      <c r="I1632" s="27">
        <f t="shared" si="1109"/>
        <v>5346590</v>
      </c>
      <c r="J1632" s="16">
        <f>'БА в тыс. руб.'!G1632*1000</f>
        <v>5346590</v>
      </c>
      <c r="K1632" s="169">
        <f t="shared" si="1094"/>
        <v>0</v>
      </c>
      <c r="L1632" s="16">
        <f>'БА в тыс. руб.'!H1632*1000</f>
        <v>5346590</v>
      </c>
      <c r="M1632" s="169">
        <f t="shared" si="1095"/>
        <v>0</v>
      </c>
      <c r="N1632" s="16">
        <f>'БА в тыс. руб.'!I1632*1000</f>
        <v>5346590</v>
      </c>
      <c r="O1632" s="169">
        <f t="shared" si="1096"/>
        <v>0</v>
      </c>
      <c r="P1632" s="16"/>
      <c r="Q1632" s="16"/>
      <c r="R1632" s="16"/>
      <c r="S1632" s="16"/>
      <c r="T1632" s="16"/>
      <c r="U1632" s="16"/>
    </row>
    <row r="1633" spans="1:21" s="3" customFormat="1" ht="25.5">
      <c r="A1633" s="152" t="s">
        <v>108</v>
      </c>
      <c r="B1633" s="25" t="s">
        <v>536</v>
      </c>
      <c r="C1633" s="26" t="s">
        <v>53</v>
      </c>
      <c r="D1633" s="26" t="s">
        <v>25</v>
      </c>
      <c r="E1633" s="26" t="s">
        <v>819</v>
      </c>
      <c r="F1633" s="26" t="s">
        <v>116</v>
      </c>
      <c r="G1633" s="27">
        <f>G1634</f>
        <v>4044270</v>
      </c>
      <c r="H1633" s="27">
        <f t="shared" ref="H1633:I1633" si="1110">H1634</f>
        <v>4264220</v>
      </c>
      <c r="I1633" s="27">
        <f t="shared" si="1110"/>
        <v>4264220</v>
      </c>
      <c r="J1633" s="16">
        <f>'БА в тыс. руб.'!G1633*1000</f>
        <v>4044270</v>
      </c>
      <c r="K1633" s="169">
        <f t="shared" si="1094"/>
        <v>0</v>
      </c>
      <c r="L1633" s="16">
        <f>'БА в тыс. руб.'!H1633*1000</f>
        <v>4264220</v>
      </c>
      <c r="M1633" s="169">
        <f t="shared" si="1095"/>
        <v>0</v>
      </c>
      <c r="N1633" s="16">
        <f>'БА в тыс. руб.'!I1633*1000</f>
        <v>4264220</v>
      </c>
      <c r="O1633" s="169">
        <f t="shared" si="1096"/>
        <v>0</v>
      </c>
      <c r="P1633" s="16"/>
      <c r="Q1633" s="16"/>
      <c r="R1633" s="16"/>
      <c r="S1633" s="16"/>
      <c r="T1633" s="16"/>
      <c r="U1633" s="16"/>
    </row>
    <row r="1634" spans="1:21" s="4" customFormat="1" ht="25.5">
      <c r="A1634" s="12" t="s">
        <v>973</v>
      </c>
      <c r="B1634" s="25" t="s">
        <v>536</v>
      </c>
      <c r="C1634" s="26" t="s">
        <v>53</v>
      </c>
      <c r="D1634" s="26" t="s">
        <v>25</v>
      </c>
      <c r="E1634" s="26" t="s">
        <v>819</v>
      </c>
      <c r="F1634" s="26" t="s">
        <v>1043</v>
      </c>
      <c r="G1634" s="27">
        <f t="shared" ref="G1634" si="1111">J1634</f>
        <v>4044270</v>
      </c>
      <c r="H1634" s="27">
        <f>L1634</f>
        <v>4264220</v>
      </c>
      <c r="I1634" s="27">
        <f>N1634</f>
        <v>4264220</v>
      </c>
      <c r="J1634" s="16">
        <f>'БА в тыс. руб.'!G1634*1000</f>
        <v>4044270</v>
      </c>
      <c r="K1634" s="169">
        <f t="shared" si="1094"/>
        <v>0</v>
      </c>
      <c r="L1634" s="16">
        <f>'БА в тыс. руб.'!H1634*1000</f>
        <v>4264220</v>
      </c>
      <c r="M1634" s="169">
        <f t="shared" si="1095"/>
        <v>0</v>
      </c>
      <c r="N1634" s="16">
        <f>'БА в тыс. руб.'!I1634*1000</f>
        <v>4264220</v>
      </c>
      <c r="O1634" s="169">
        <f t="shared" si="1096"/>
        <v>0</v>
      </c>
      <c r="P1634" s="16"/>
      <c r="Q1634" s="16"/>
      <c r="R1634" s="16"/>
      <c r="S1634" s="16"/>
      <c r="T1634" s="16"/>
      <c r="U1634" s="16"/>
    </row>
    <row r="1635" spans="1:21" s="3" customFormat="1">
      <c r="A1635" s="152" t="s">
        <v>97</v>
      </c>
      <c r="B1635" s="25" t="s">
        <v>536</v>
      </c>
      <c r="C1635" s="26" t="s">
        <v>53</v>
      </c>
      <c r="D1635" s="26" t="s">
        <v>25</v>
      </c>
      <c r="E1635" s="26" t="s">
        <v>819</v>
      </c>
      <c r="F1635" s="26" t="s">
        <v>118</v>
      </c>
      <c r="G1635" s="27">
        <f>SUM(G1636:G1637)</f>
        <v>1119000</v>
      </c>
      <c r="H1635" s="27">
        <f t="shared" ref="H1635:I1635" si="1112">SUM(H1636:H1637)</f>
        <v>941000</v>
      </c>
      <c r="I1635" s="27">
        <f t="shared" si="1112"/>
        <v>941000</v>
      </c>
      <c r="J1635" s="16">
        <f>'БА в тыс. руб.'!G1635*1000</f>
        <v>1119000</v>
      </c>
      <c r="K1635" s="169">
        <f t="shared" si="1094"/>
        <v>0</v>
      </c>
      <c r="L1635" s="16">
        <f>'БА в тыс. руб.'!H1635*1000</f>
        <v>941000</v>
      </c>
      <c r="M1635" s="169">
        <f t="shared" si="1095"/>
        <v>0</v>
      </c>
      <c r="N1635" s="16">
        <f>'БА в тыс. руб.'!I1635*1000</f>
        <v>941000</v>
      </c>
      <c r="O1635" s="169">
        <f t="shared" si="1096"/>
        <v>0</v>
      </c>
      <c r="P1635" s="16"/>
      <c r="Q1635" s="16"/>
      <c r="R1635" s="16"/>
      <c r="S1635" s="16"/>
      <c r="T1635" s="16"/>
      <c r="U1635" s="16"/>
    </row>
    <row r="1636" spans="1:21" s="4" customFormat="1">
      <c r="A1636" s="12" t="s">
        <v>1036</v>
      </c>
      <c r="B1636" s="25" t="s">
        <v>536</v>
      </c>
      <c r="C1636" s="26" t="s">
        <v>53</v>
      </c>
      <c r="D1636" s="26" t="s">
        <v>25</v>
      </c>
      <c r="E1636" s="26" t="s">
        <v>819</v>
      </c>
      <c r="F1636" s="26" t="s">
        <v>1061</v>
      </c>
      <c r="G1636" s="27">
        <f t="shared" ref="G1636:G1637" si="1113">J1636</f>
        <v>1080000</v>
      </c>
      <c r="H1636" s="27">
        <f t="shared" ref="H1636:H1637" si="1114">L1636</f>
        <v>901000</v>
      </c>
      <c r="I1636" s="27">
        <f t="shared" ref="I1636:I1637" si="1115">N1636</f>
        <v>901000</v>
      </c>
      <c r="J1636" s="16">
        <f>'БА в тыс. руб.'!G1636*1000</f>
        <v>1080000</v>
      </c>
      <c r="K1636" s="169">
        <f t="shared" si="1094"/>
        <v>0</v>
      </c>
      <c r="L1636" s="16">
        <f>'БА в тыс. руб.'!H1636*1000</f>
        <v>901000</v>
      </c>
      <c r="M1636" s="169">
        <f t="shared" si="1095"/>
        <v>0</v>
      </c>
      <c r="N1636" s="16">
        <f>'БА в тыс. руб.'!I1636*1000</f>
        <v>901000</v>
      </c>
      <c r="O1636" s="169">
        <f t="shared" si="1096"/>
        <v>0</v>
      </c>
      <c r="P1636" s="16"/>
      <c r="Q1636" s="16"/>
      <c r="R1636" s="16"/>
      <c r="S1636" s="16"/>
      <c r="T1636" s="16"/>
      <c r="U1636" s="16"/>
    </row>
    <row r="1637" spans="1:21" s="94" customFormat="1">
      <c r="A1637" s="12" t="s">
        <v>1037</v>
      </c>
      <c r="B1637" s="25" t="s">
        <v>536</v>
      </c>
      <c r="C1637" s="26" t="s">
        <v>53</v>
      </c>
      <c r="D1637" s="26" t="s">
        <v>25</v>
      </c>
      <c r="E1637" s="26" t="s">
        <v>819</v>
      </c>
      <c r="F1637" s="26" t="s">
        <v>1062</v>
      </c>
      <c r="G1637" s="27">
        <f t="shared" si="1113"/>
        <v>39000</v>
      </c>
      <c r="H1637" s="27">
        <f t="shared" si="1114"/>
        <v>40000</v>
      </c>
      <c r="I1637" s="27">
        <f t="shared" si="1115"/>
        <v>40000</v>
      </c>
      <c r="J1637" s="16">
        <f>'БА в тыс. руб.'!G1637*1000</f>
        <v>39000</v>
      </c>
      <c r="K1637" s="169">
        <f t="shared" si="1094"/>
        <v>0</v>
      </c>
      <c r="L1637" s="16">
        <f>'БА в тыс. руб.'!H1637*1000</f>
        <v>40000</v>
      </c>
      <c r="M1637" s="169">
        <f t="shared" si="1095"/>
        <v>0</v>
      </c>
      <c r="N1637" s="16">
        <f>'БА в тыс. руб.'!I1637*1000</f>
        <v>40000</v>
      </c>
      <c r="O1637" s="169">
        <f t="shared" si="1096"/>
        <v>0</v>
      </c>
      <c r="P1637" s="16"/>
      <c r="Q1637" s="16"/>
      <c r="R1637" s="16"/>
      <c r="S1637" s="16"/>
      <c r="T1637" s="16"/>
      <c r="U1637" s="16"/>
    </row>
    <row r="1638" spans="1:21" s="3" customFormat="1" ht="25.5">
      <c r="A1638" s="152" t="s">
        <v>617</v>
      </c>
      <c r="B1638" s="25" t="s">
        <v>536</v>
      </c>
      <c r="C1638" s="26" t="s">
        <v>53</v>
      </c>
      <c r="D1638" s="26" t="s">
        <v>25</v>
      </c>
      <c r="E1638" s="26" t="s">
        <v>626</v>
      </c>
      <c r="F1638" s="26" t="s">
        <v>58</v>
      </c>
      <c r="G1638" s="27">
        <f t="shared" ref="G1638:I1638" si="1116">G1639</f>
        <v>430000</v>
      </c>
      <c r="H1638" s="27">
        <f t="shared" si="1116"/>
        <v>430000</v>
      </c>
      <c r="I1638" s="27">
        <f t="shared" si="1116"/>
        <v>430000</v>
      </c>
      <c r="J1638" s="16">
        <f>'БА в тыс. руб.'!G1638*1000</f>
        <v>430000</v>
      </c>
      <c r="K1638" s="169">
        <f t="shared" si="1094"/>
        <v>0</v>
      </c>
      <c r="L1638" s="16">
        <f>'БА в тыс. руб.'!H1638*1000</f>
        <v>430000</v>
      </c>
      <c r="M1638" s="169">
        <f t="shared" si="1095"/>
        <v>0</v>
      </c>
      <c r="N1638" s="16">
        <f>'БА в тыс. руб.'!I1638*1000</f>
        <v>430000</v>
      </c>
      <c r="O1638" s="169">
        <f t="shared" si="1096"/>
        <v>0</v>
      </c>
      <c r="P1638" s="16"/>
      <c r="Q1638" s="16"/>
      <c r="R1638" s="16"/>
      <c r="S1638" s="16"/>
      <c r="T1638" s="16"/>
      <c r="U1638" s="16"/>
    </row>
    <row r="1639" spans="1:21" s="3" customFormat="1" ht="51">
      <c r="A1639" s="11" t="s">
        <v>172</v>
      </c>
      <c r="B1639" s="25" t="s">
        <v>536</v>
      </c>
      <c r="C1639" s="26" t="s">
        <v>53</v>
      </c>
      <c r="D1639" s="26" t="s">
        <v>25</v>
      </c>
      <c r="E1639" s="26" t="s">
        <v>820</v>
      </c>
      <c r="F1639" s="26" t="s">
        <v>58</v>
      </c>
      <c r="G1639" s="27">
        <f>G1640</f>
        <v>430000</v>
      </c>
      <c r="H1639" s="27">
        <f>H1640</f>
        <v>430000</v>
      </c>
      <c r="I1639" s="27">
        <f>I1640</f>
        <v>430000</v>
      </c>
      <c r="J1639" s="16">
        <f>'БА в тыс. руб.'!G1639*1000</f>
        <v>430000</v>
      </c>
      <c r="K1639" s="169">
        <f t="shared" si="1094"/>
        <v>0</v>
      </c>
      <c r="L1639" s="16">
        <f>'БА в тыс. руб.'!H1639*1000</f>
        <v>430000</v>
      </c>
      <c r="M1639" s="169">
        <f t="shared" si="1095"/>
        <v>0</v>
      </c>
      <c r="N1639" s="16">
        <f>'БА в тыс. руб.'!I1639*1000</f>
        <v>430000</v>
      </c>
      <c r="O1639" s="169">
        <f t="shared" si="1096"/>
        <v>0</v>
      </c>
      <c r="P1639" s="16"/>
      <c r="Q1639" s="16"/>
      <c r="R1639" s="16"/>
      <c r="S1639" s="16"/>
      <c r="T1639" s="16"/>
      <c r="U1639" s="16"/>
    </row>
    <row r="1640" spans="1:21" s="3" customFormat="1" ht="25.5">
      <c r="A1640" s="152" t="s">
        <v>108</v>
      </c>
      <c r="B1640" s="25" t="s">
        <v>536</v>
      </c>
      <c r="C1640" s="26" t="s">
        <v>53</v>
      </c>
      <c r="D1640" s="26" t="s">
        <v>25</v>
      </c>
      <c r="E1640" s="26" t="s">
        <v>820</v>
      </c>
      <c r="F1640" s="26" t="s">
        <v>116</v>
      </c>
      <c r="G1640" s="27">
        <f>G1641</f>
        <v>430000</v>
      </c>
      <c r="H1640" s="27">
        <f t="shared" ref="H1640:I1640" si="1117">H1641</f>
        <v>430000</v>
      </c>
      <c r="I1640" s="27">
        <f t="shared" si="1117"/>
        <v>430000</v>
      </c>
      <c r="J1640" s="16">
        <f>'БА в тыс. руб.'!G1640*1000</f>
        <v>430000</v>
      </c>
      <c r="K1640" s="169">
        <f t="shared" si="1094"/>
        <v>0</v>
      </c>
      <c r="L1640" s="16">
        <f>'БА в тыс. руб.'!H1640*1000</f>
        <v>430000</v>
      </c>
      <c r="M1640" s="169">
        <f t="shared" si="1095"/>
        <v>0</v>
      </c>
      <c r="N1640" s="16">
        <f>'БА в тыс. руб.'!I1640*1000</f>
        <v>430000</v>
      </c>
      <c r="O1640" s="169">
        <f t="shared" si="1096"/>
        <v>0</v>
      </c>
      <c r="P1640" s="16"/>
      <c r="Q1640" s="16"/>
      <c r="R1640" s="16"/>
      <c r="S1640" s="16"/>
      <c r="T1640" s="16"/>
      <c r="U1640" s="16"/>
    </row>
    <row r="1641" spans="1:21" s="4" customFormat="1" ht="25.5">
      <c r="A1641" s="12" t="s">
        <v>973</v>
      </c>
      <c r="B1641" s="25" t="s">
        <v>536</v>
      </c>
      <c r="C1641" s="26" t="s">
        <v>53</v>
      </c>
      <c r="D1641" s="26" t="s">
        <v>25</v>
      </c>
      <c r="E1641" s="26" t="s">
        <v>820</v>
      </c>
      <c r="F1641" s="26" t="s">
        <v>1043</v>
      </c>
      <c r="G1641" s="27">
        <f t="shared" ref="G1641" si="1118">J1641</f>
        <v>430000</v>
      </c>
      <c r="H1641" s="27">
        <f>L1641</f>
        <v>430000</v>
      </c>
      <c r="I1641" s="27">
        <f>N1641</f>
        <v>430000</v>
      </c>
      <c r="J1641" s="16">
        <f>'БА в тыс. руб.'!G1641*1000</f>
        <v>430000</v>
      </c>
      <c r="K1641" s="169">
        <f t="shared" si="1094"/>
        <v>0</v>
      </c>
      <c r="L1641" s="16">
        <f>'БА в тыс. руб.'!H1641*1000</f>
        <v>430000</v>
      </c>
      <c r="M1641" s="169">
        <f t="shared" si="1095"/>
        <v>0</v>
      </c>
      <c r="N1641" s="16">
        <f>'БА в тыс. руб.'!I1641*1000</f>
        <v>430000</v>
      </c>
      <c r="O1641" s="169">
        <f t="shared" si="1096"/>
        <v>0</v>
      </c>
      <c r="P1641" s="16"/>
      <c r="Q1641" s="16"/>
      <c r="R1641" s="16"/>
      <c r="S1641" s="16"/>
      <c r="T1641" s="16"/>
      <c r="U1641" s="16"/>
    </row>
    <row r="1642" spans="1:21" s="153" customFormat="1" ht="25.5">
      <c r="A1642" s="11" t="s">
        <v>136</v>
      </c>
      <c r="B1642" s="25" t="s">
        <v>536</v>
      </c>
      <c r="C1642" s="26" t="s">
        <v>53</v>
      </c>
      <c r="D1642" s="26" t="s">
        <v>25</v>
      </c>
      <c r="E1642" s="26" t="s">
        <v>340</v>
      </c>
      <c r="F1642" s="26" t="s">
        <v>58</v>
      </c>
      <c r="G1642" s="27">
        <f t="shared" ref="G1642:I1643" si="1119">G1643</f>
        <v>1712740</v>
      </c>
      <c r="H1642" s="27">
        <f t="shared" si="1119"/>
        <v>435000</v>
      </c>
      <c r="I1642" s="27">
        <f t="shared" si="1119"/>
        <v>435000</v>
      </c>
      <c r="J1642" s="16">
        <f>'БА в тыс. руб.'!G1642*1000</f>
        <v>1712740</v>
      </c>
      <c r="K1642" s="169">
        <f t="shared" si="1094"/>
        <v>0</v>
      </c>
      <c r="L1642" s="16">
        <f>'БА в тыс. руб.'!H1642*1000</f>
        <v>435000</v>
      </c>
      <c r="M1642" s="169">
        <f t="shared" si="1095"/>
        <v>0</v>
      </c>
      <c r="N1642" s="16">
        <f>'БА в тыс. руб.'!I1642*1000</f>
        <v>435000</v>
      </c>
      <c r="O1642" s="169">
        <f t="shared" si="1096"/>
        <v>0</v>
      </c>
      <c r="P1642" s="16"/>
      <c r="Q1642" s="16"/>
      <c r="R1642" s="16"/>
      <c r="S1642" s="16"/>
      <c r="T1642" s="16"/>
      <c r="U1642" s="16"/>
    </row>
    <row r="1643" spans="1:21" s="3" customFormat="1" ht="25.5">
      <c r="A1643" s="152" t="s">
        <v>863</v>
      </c>
      <c r="B1643" s="25" t="s">
        <v>536</v>
      </c>
      <c r="C1643" s="26" t="s">
        <v>53</v>
      </c>
      <c r="D1643" s="26" t="s">
        <v>25</v>
      </c>
      <c r="E1643" s="26" t="s">
        <v>341</v>
      </c>
      <c r="F1643" s="26" t="s">
        <v>58</v>
      </c>
      <c r="G1643" s="27">
        <f t="shared" si="1119"/>
        <v>1712740</v>
      </c>
      <c r="H1643" s="27">
        <f t="shared" si="1119"/>
        <v>435000</v>
      </c>
      <c r="I1643" s="27">
        <f t="shared" si="1119"/>
        <v>435000</v>
      </c>
      <c r="J1643" s="16">
        <f>'БА в тыс. руб.'!G1643*1000</f>
        <v>1712740</v>
      </c>
      <c r="K1643" s="169">
        <f t="shared" si="1094"/>
        <v>0</v>
      </c>
      <c r="L1643" s="16">
        <f>'БА в тыс. руб.'!H1643*1000</f>
        <v>435000</v>
      </c>
      <c r="M1643" s="169">
        <f t="shared" si="1095"/>
        <v>0</v>
      </c>
      <c r="N1643" s="16">
        <f>'БА в тыс. руб.'!I1643*1000</f>
        <v>435000</v>
      </c>
      <c r="O1643" s="169">
        <f t="shared" si="1096"/>
        <v>0</v>
      </c>
      <c r="P1643" s="16"/>
      <c r="Q1643" s="16"/>
      <c r="R1643" s="16"/>
      <c r="S1643" s="16"/>
      <c r="T1643" s="16"/>
      <c r="U1643" s="16"/>
    </row>
    <row r="1644" spans="1:21" s="3" customFormat="1" ht="25.5">
      <c r="A1644" s="152" t="s">
        <v>137</v>
      </c>
      <c r="B1644" s="25" t="s">
        <v>536</v>
      </c>
      <c r="C1644" s="26" t="s">
        <v>53</v>
      </c>
      <c r="D1644" s="26" t="s">
        <v>25</v>
      </c>
      <c r="E1644" s="26" t="s">
        <v>546</v>
      </c>
      <c r="F1644" s="26" t="s">
        <v>58</v>
      </c>
      <c r="G1644" s="27">
        <f>G1645</f>
        <v>1712740</v>
      </c>
      <c r="H1644" s="27">
        <f>H1645</f>
        <v>435000</v>
      </c>
      <c r="I1644" s="27">
        <f>I1645</f>
        <v>435000</v>
      </c>
      <c r="J1644" s="16">
        <f>'БА в тыс. руб.'!G1644*1000</f>
        <v>1712740</v>
      </c>
      <c r="K1644" s="169">
        <f t="shared" si="1094"/>
        <v>0</v>
      </c>
      <c r="L1644" s="16">
        <f>'БА в тыс. руб.'!H1644*1000</f>
        <v>435000</v>
      </c>
      <c r="M1644" s="169">
        <f t="shared" si="1095"/>
        <v>0</v>
      </c>
      <c r="N1644" s="16">
        <f>'БА в тыс. руб.'!I1644*1000</f>
        <v>435000</v>
      </c>
      <c r="O1644" s="169">
        <f t="shared" si="1096"/>
        <v>0</v>
      </c>
      <c r="P1644" s="16"/>
      <c r="Q1644" s="16"/>
      <c r="R1644" s="16"/>
      <c r="S1644" s="16"/>
      <c r="T1644" s="16"/>
      <c r="U1644" s="16"/>
    </row>
    <row r="1645" spans="1:21" s="3" customFormat="1" ht="25.5">
      <c r="A1645" s="11" t="s">
        <v>108</v>
      </c>
      <c r="B1645" s="25" t="s">
        <v>536</v>
      </c>
      <c r="C1645" s="26" t="s">
        <v>53</v>
      </c>
      <c r="D1645" s="26" t="s">
        <v>25</v>
      </c>
      <c r="E1645" s="26" t="s">
        <v>546</v>
      </c>
      <c r="F1645" s="26" t="s">
        <v>116</v>
      </c>
      <c r="G1645" s="27">
        <f>G1646</f>
        <v>1712740</v>
      </c>
      <c r="H1645" s="27">
        <f t="shared" ref="H1645:I1645" si="1120">H1646</f>
        <v>435000</v>
      </c>
      <c r="I1645" s="27">
        <f t="shared" si="1120"/>
        <v>435000</v>
      </c>
      <c r="J1645" s="16">
        <f>'БА в тыс. руб.'!G1645*1000</f>
        <v>1712740</v>
      </c>
      <c r="K1645" s="169">
        <f t="shared" si="1094"/>
        <v>0</v>
      </c>
      <c r="L1645" s="16">
        <f>'БА в тыс. руб.'!H1645*1000</f>
        <v>435000</v>
      </c>
      <c r="M1645" s="169">
        <f t="shared" si="1095"/>
        <v>0</v>
      </c>
      <c r="N1645" s="16">
        <f>'БА в тыс. руб.'!I1645*1000</f>
        <v>435000</v>
      </c>
      <c r="O1645" s="169">
        <f t="shared" si="1096"/>
        <v>0</v>
      </c>
      <c r="P1645" s="16"/>
      <c r="Q1645" s="16"/>
      <c r="R1645" s="16"/>
      <c r="S1645" s="16"/>
      <c r="T1645" s="16"/>
      <c r="U1645" s="16"/>
    </row>
    <row r="1646" spans="1:21" s="4" customFormat="1" ht="25.5">
      <c r="A1646" s="12" t="s">
        <v>973</v>
      </c>
      <c r="B1646" s="25" t="s">
        <v>536</v>
      </c>
      <c r="C1646" s="26" t="s">
        <v>53</v>
      </c>
      <c r="D1646" s="26" t="s">
        <v>25</v>
      </c>
      <c r="E1646" s="26" t="s">
        <v>546</v>
      </c>
      <c r="F1646" s="26" t="s">
        <v>1043</v>
      </c>
      <c r="G1646" s="27">
        <f t="shared" ref="G1646" si="1121">J1646</f>
        <v>1712740</v>
      </c>
      <c r="H1646" s="27">
        <f>L1646</f>
        <v>435000</v>
      </c>
      <c r="I1646" s="27">
        <f>N1646</f>
        <v>435000</v>
      </c>
      <c r="J1646" s="16">
        <f>'БА в тыс. руб.'!G1646*1000</f>
        <v>1712740</v>
      </c>
      <c r="K1646" s="169">
        <f t="shared" si="1094"/>
        <v>0</v>
      </c>
      <c r="L1646" s="16">
        <f>'БА в тыс. руб.'!H1646*1000</f>
        <v>435000</v>
      </c>
      <c r="M1646" s="169">
        <f t="shared" si="1095"/>
        <v>0</v>
      </c>
      <c r="N1646" s="16">
        <f>'БА в тыс. руб.'!I1646*1000</f>
        <v>435000</v>
      </c>
      <c r="O1646" s="169">
        <f t="shared" si="1096"/>
        <v>0</v>
      </c>
      <c r="P1646" s="16"/>
      <c r="Q1646" s="16"/>
      <c r="R1646" s="16"/>
      <c r="S1646" s="16"/>
      <c r="T1646" s="16"/>
      <c r="U1646" s="16"/>
    </row>
    <row r="1647" spans="1:21" s="3" customFormat="1" ht="25.5">
      <c r="A1647" s="11" t="s">
        <v>822</v>
      </c>
      <c r="B1647" s="25" t="s">
        <v>536</v>
      </c>
      <c r="C1647" s="26" t="s">
        <v>53</v>
      </c>
      <c r="D1647" s="26" t="s">
        <v>25</v>
      </c>
      <c r="E1647" s="26" t="s">
        <v>821</v>
      </c>
      <c r="F1647" s="26" t="s">
        <v>58</v>
      </c>
      <c r="G1647" s="27">
        <f>G1648+G1658+G1662+G1666</f>
        <v>26876250</v>
      </c>
      <c r="H1647" s="27">
        <f>H1648+H1658+H1662+H1666</f>
        <v>24089390</v>
      </c>
      <c r="I1647" s="27">
        <f>I1648+I1658+I1662+I1666</f>
        <v>24089390</v>
      </c>
      <c r="J1647" s="16">
        <f>'БА в тыс. руб.'!G1647*1000</f>
        <v>26876250</v>
      </c>
      <c r="K1647" s="169">
        <f t="shared" si="1094"/>
        <v>0</v>
      </c>
      <c r="L1647" s="16">
        <f>'БА в тыс. руб.'!H1647*1000</f>
        <v>24089390.000000004</v>
      </c>
      <c r="M1647" s="169">
        <f t="shared" si="1095"/>
        <v>0</v>
      </c>
      <c r="N1647" s="16">
        <f>'БА в тыс. руб.'!I1647*1000</f>
        <v>24089390.000000004</v>
      </c>
      <c r="O1647" s="169">
        <f t="shared" si="1096"/>
        <v>0</v>
      </c>
      <c r="P1647" s="16"/>
      <c r="Q1647" s="16"/>
      <c r="R1647" s="16"/>
      <c r="S1647" s="16"/>
      <c r="T1647" s="16"/>
      <c r="U1647" s="16"/>
    </row>
    <row r="1648" spans="1:21" s="3" customFormat="1" ht="38.25">
      <c r="A1648" s="11" t="s">
        <v>864</v>
      </c>
      <c r="B1648" s="25" t="s">
        <v>536</v>
      </c>
      <c r="C1648" s="26" t="s">
        <v>53</v>
      </c>
      <c r="D1648" s="26" t="s">
        <v>25</v>
      </c>
      <c r="E1648" s="26" t="s">
        <v>823</v>
      </c>
      <c r="F1648" s="26" t="s">
        <v>58</v>
      </c>
      <c r="G1648" s="27">
        <f>G1649</f>
        <v>18692580</v>
      </c>
      <c r="H1648" s="27">
        <f>H1649</f>
        <v>18692580</v>
      </c>
      <c r="I1648" s="27">
        <f>I1649</f>
        <v>18692580</v>
      </c>
      <c r="J1648" s="16">
        <f>'БА в тыс. руб.'!G1648*1000</f>
        <v>18692580</v>
      </c>
      <c r="K1648" s="169">
        <f t="shared" si="1094"/>
        <v>0</v>
      </c>
      <c r="L1648" s="16">
        <f>'БА в тыс. руб.'!H1648*1000</f>
        <v>18692580</v>
      </c>
      <c r="M1648" s="169">
        <f t="shared" si="1095"/>
        <v>0</v>
      </c>
      <c r="N1648" s="16">
        <f>'БА в тыс. руб.'!I1648*1000</f>
        <v>18692580</v>
      </c>
      <c r="O1648" s="169">
        <f t="shared" si="1096"/>
        <v>0</v>
      </c>
      <c r="P1648" s="16"/>
      <c r="Q1648" s="16"/>
      <c r="R1648" s="16"/>
      <c r="S1648" s="16"/>
      <c r="T1648" s="16"/>
      <c r="U1648" s="16"/>
    </row>
    <row r="1649" spans="1:21" s="3" customFormat="1" ht="25.5">
      <c r="A1649" s="152" t="s">
        <v>247</v>
      </c>
      <c r="B1649" s="25" t="s">
        <v>536</v>
      </c>
      <c r="C1649" s="26" t="s">
        <v>53</v>
      </c>
      <c r="D1649" s="26" t="s">
        <v>25</v>
      </c>
      <c r="E1649" s="26" t="s">
        <v>824</v>
      </c>
      <c r="F1649" s="26" t="s">
        <v>58</v>
      </c>
      <c r="G1649" s="27">
        <f>G1650+G1653+G1655</f>
        <v>18692580</v>
      </c>
      <c r="H1649" s="27">
        <f t="shared" ref="H1649:I1649" si="1122">H1650+H1653+H1655</f>
        <v>18692580</v>
      </c>
      <c r="I1649" s="27">
        <f t="shared" si="1122"/>
        <v>18692580</v>
      </c>
      <c r="J1649" s="16">
        <f>'БА в тыс. руб.'!G1649*1000</f>
        <v>18692580</v>
      </c>
      <c r="K1649" s="169">
        <f t="shared" si="1094"/>
        <v>0</v>
      </c>
      <c r="L1649" s="16">
        <f>'БА в тыс. руб.'!H1649*1000</f>
        <v>18692580</v>
      </c>
      <c r="M1649" s="169">
        <f t="shared" si="1095"/>
        <v>0</v>
      </c>
      <c r="N1649" s="16">
        <f>'БА в тыс. руб.'!I1649*1000</f>
        <v>18692580</v>
      </c>
      <c r="O1649" s="169">
        <f t="shared" si="1096"/>
        <v>0</v>
      </c>
      <c r="P1649" s="16"/>
      <c r="Q1649" s="16"/>
      <c r="R1649" s="16"/>
      <c r="S1649" s="16"/>
      <c r="T1649" s="16"/>
      <c r="U1649" s="16"/>
    </row>
    <row r="1650" spans="1:21" s="3" customFormat="1">
      <c r="A1650" s="152" t="s">
        <v>106</v>
      </c>
      <c r="B1650" s="25" t="s">
        <v>536</v>
      </c>
      <c r="C1650" s="26" t="s">
        <v>53</v>
      </c>
      <c r="D1650" s="26" t="s">
        <v>25</v>
      </c>
      <c r="E1650" s="26" t="s">
        <v>824</v>
      </c>
      <c r="F1650" s="26" t="s">
        <v>121</v>
      </c>
      <c r="G1650" s="27">
        <f>SUM(G1651:G1652)</f>
        <v>16997420</v>
      </c>
      <c r="H1650" s="27">
        <f t="shared" ref="H1650:I1650" si="1123">SUM(H1651:H1652)</f>
        <v>16997420</v>
      </c>
      <c r="I1650" s="27">
        <f t="shared" si="1123"/>
        <v>16997420</v>
      </c>
      <c r="J1650" s="16">
        <f>'БА в тыс. руб.'!G1650*1000</f>
        <v>16997420.000000004</v>
      </c>
      <c r="K1650" s="169">
        <f t="shared" si="1094"/>
        <v>0</v>
      </c>
      <c r="L1650" s="16">
        <f>'БА в тыс. руб.'!H1650*1000</f>
        <v>16997420.000000004</v>
      </c>
      <c r="M1650" s="169">
        <f t="shared" si="1095"/>
        <v>0</v>
      </c>
      <c r="N1650" s="16">
        <f>'БА в тыс. руб.'!I1650*1000</f>
        <v>16997420.000000004</v>
      </c>
      <c r="O1650" s="169">
        <f t="shared" si="1096"/>
        <v>0</v>
      </c>
      <c r="P1650" s="16"/>
      <c r="Q1650" s="16"/>
      <c r="R1650" s="16"/>
      <c r="S1650" s="16"/>
      <c r="T1650" s="16"/>
      <c r="U1650" s="16"/>
    </row>
    <row r="1651" spans="1:21" s="4" customFormat="1">
      <c r="A1651" s="12" t="s">
        <v>932</v>
      </c>
      <c r="B1651" s="25" t="s">
        <v>536</v>
      </c>
      <c r="C1651" s="26" t="s">
        <v>53</v>
      </c>
      <c r="D1651" s="26" t="s">
        <v>25</v>
      </c>
      <c r="E1651" s="26" t="s">
        <v>824</v>
      </c>
      <c r="F1651" s="26" t="s">
        <v>1056</v>
      </c>
      <c r="G1651" s="27">
        <f t="shared" ref="G1651:G1652" si="1124">J1651</f>
        <v>13054850</v>
      </c>
      <c r="H1651" s="27">
        <f t="shared" ref="H1651:H1652" si="1125">L1651</f>
        <v>13054850</v>
      </c>
      <c r="I1651" s="27">
        <f t="shared" ref="I1651:I1652" si="1126">N1651</f>
        <v>13054850</v>
      </c>
      <c r="J1651" s="16">
        <f>'БА в тыс. руб.'!G1651*1000</f>
        <v>13054850</v>
      </c>
      <c r="K1651" s="169">
        <f t="shared" si="1094"/>
        <v>0</v>
      </c>
      <c r="L1651" s="16">
        <f>'БА в тыс. руб.'!H1651*1000</f>
        <v>13054850</v>
      </c>
      <c r="M1651" s="169">
        <f t="shared" si="1095"/>
        <v>0</v>
      </c>
      <c r="N1651" s="16">
        <f>'БА в тыс. руб.'!I1651*1000</f>
        <v>13054850</v>
      </c>
      <c r="O1651" s="169">
        <f t="shared" si="1096"/>
        <v>0</v>
      </c>
      <c r="P1651" s="16"/>
      <c r="Q1651" s="16"/>
      <c r="R1651" s="16"/>
      <c r="S1651" s="16"/>
      <c r="T1651" s="16"/>
      <c r="U1651" s="16"/>
    </row>
    <row r="1652" spans="1:21" s="4" customFormat="1" ht="38.25">
      <c r="A1652" s="12" t="s">
        <v>935</v>
      </c>
      <c r="B1652" s="25" t="s">
        <v>536</v>
      </c>
      <c r="C1652" s="26" t="s">
        <v>53</v>
      </c>
      <c r="D1652" s="26" t="s">
        <v>25</v>
      </c>
      <c r="E1652" s="26" t="s">
        <v>824</v>
      </c>
      <c r="F1652" s="26" t="s">
        <v>1057</v>
      </c>
      <c r="G1652" s="27">
        <f t="shared" si="1124"/>
        <v>3942570</v>
      </c>
      <c r="H1652" s="27">
        <f t="shared" si="1125"/>
        <v>3942570</v>
      </c>
      <c r="I1652" s="27">
        <f t="shared" si="1126"/>
        <v>3942570</v>
      </c>
      <c r="J1652" s="16">
        <f>'БА в тыс. руб.'!G1652*1000</f>
        <v>3942570</v>
      </c>
      <c r="K1652" s="169">
        <f t="shared" si="1094"/>
        <v>0</v>
      </c>
      <c r="L1652" s="16">
        <f>'БА в тыс. руб.'!H1652*1000</f>
        <v>3942570</v>
      </c>
      <c r="M1652" s="169">
        <f t="shared" si="1095"/>
        <v>0</v>
      </c>
      <c r="N1652" s="16">
        <f>'БА в тыс. руб.'!I1652*1000</f>
        <v>3942570</v>
      </c>
      <c r="O1652" s="169">
        <f t="shared" si="1096"/>
        <v>0</v>
      </c>
      <c r="P1652" s="16"/>
      <c r="Q1652" s="16"/>
      <c r="R1652" s="16"/>
      <c r="S1652" s="16"/>
      <c r="T1652" s="16"/>
      <c r="U1652" s="16"/>
    </row>
    <row r="1653" spans="1:21" s="3" customFormat="1" ht="25.5">
      <c r="A1653" s="11" t="s">
        <v>108</v>
      </c>
      <c r="B1653" s="25" t="s">
        <v>536</v>
      </c>
      <c r="C1653" s="26" t="s">
        <v>53</v>
      </c>
      <c r="D1653" s="26" t="s">
        <v>25</v>
      </c>
      <c r="E1653" s="26" t="s">
        <v>824</v>
      </c>
      <c r="F1653" s="26" t="s">
        <v>116</v>
      </c>
      <c r="G1653" s="27">
        <f>G1654</f>
        <v>1338160</v>
      </c>
      <c r="H1653" s="27">
        <f t="shared" ref="H1653:I1653" si="1127">H1654</f>
        <v>1338160</v>
      </c>
      <c r="I1653" s="27">
        <f t="shared" si="1127"/>
        <v>1338160</v>
      </c>
      <c r="J1653" s="16">
        <f>'БА в тыс. руб.'!G1653*1000</f>
        <v>1338160</v>
      </c>
      <c r="K1653" s="169">
        <f t="shared" si="1094"/>
        <v>0</v>
      </c>
      <c r="L1653" s="16">
        <f>'БА в тыс. руб.'!H1653*1000</f>
        <v>1338160</v>
      </c>
      <c r="M1653" s="169">
        <f t="shared" si="1095"/>
        <v>0</v>
      </c>
      <c r="N1653" s="16">
        <f>'БА в тыс. руб.'!I1653*1000</f>
        <v>1338160</v>
      </c>
      <c r="O1653" s="169">
        <f t="shared" si="1096"/>
        <v>0</v>
      </c>
      <c r="P1653" s="16"/>
      <c r="Q1653" s="16"/>
      <c r="R1653" s="16"/>
      <c r="S1653" s="16"/>
      <c r="T1653" s="16"/>
      <c r="U1653" s="16"/>
    </row>
    <row r="1654" spans="1:21" s="4" customFormat="1" ht="25.5">
      <c r="A1654" s="12" t="s">
        <v>973</v>
      </c>
      <c r="B1654" s="25" t="s">
        <v>536</v>
      </c>
      <c r="C1654" s="26" t="s">
        <v>53</v>
      </c>
      <c r="D1654" s="26" t="s">
        <v>25</v>
      </c>
      <c r="E1654" s="26" t="s">
        <v>824</v>
      </c>
      <c r="F1654" s="26" t="s">
        <v>1043</v>
      </c>
      <c r="G1654" s="27">
        <f t="shared" ref="G1654" si="1128">J1654</f>
        <v>1338160</v>
      </c>
      <c r="H1654" s="27">
        <f>L1654</f>
        <v>1338160</v>
      </c>
      <c r="I1654" s="27">
        <f>N1654</f>
        <v>1338160</v>
      </c>
      <c r="J1654" s="16">
        <f>'БА в тыс. руб.'!G1654*1000</f>
        <v>1338160</v>
      </c>
      <c r="K1654" s="169">
        <f t="shared" si="1094"/>
        <v>0</v>
      </c>
      <c r="L1654" s="16">
        <f>'БА в тыс. руб.'!H1654*1000</f>
        <v>1338160</v>
      </c>
      <c r="M1654" s="169">
        <f t="shared" si="1095"/>
        <v>0</v>
      </c>
      <c r="N1654" s="16">
        <f>'БА в тыс. руб.'!I1654*1000</f>
        <v>1338160</v>
      </c>
      <c r="O1654" s="169">
        <f t="shared" si="1096"/>
        <v>0</v>
      </c>
      <c r="P1654" s="16"/>
      <c r="Q1654" s="16"/>
      <c r="R1654" s="16"/>
      <c r="S1654" s="16"/>
      <c r="T1654" s="16"/>
      <c r="U1654" s="16"/>
    </row>
    <row r="1655" spans="1:21" s="3" customFormat="1">
      <c r="A1655" s="152" t="s">
        <v>97</v>
      </c>
      <c r="B1655" s="25" t="s">
        <v>536</v>
      </c>
      <c r="C1655" s="26" t="s">
        <v>53</v>
      </c>
      <c r="D1655" s="26" t="s">
        <v>25</v>
      </c>
      <c r="E1655" s="26" t="s">
        <v>824</v>
      </c>
      <c r="F1655" s="26" t="s">
        <v>118</v>
      </c>
      <c r="G1655" s="27">
        <f>SUM(G1656:G1657)</f>
        <v>357000</v>
      </c>
      <c r="H1655" s="27">
        <f t="shared" ref="H1655:I1655" si="1129">SUM(H1656:H1657)</f>
        <v>357000</v>
      </c>
      <c r="I1655" s="27">
        <f t="shared" si="1129"/>
        <v>357000</v>
      </c>
      <c r="J1655" s="16">
        <f>'БА в тыс. руб.'!G1655*1000</f>
        <v>357000</v>
      </c>
      <c r="K1655" s="169">
        <f t="shared" si="1094"/>
        <v>0</v>
      </c>
      <c r="L1655" s="16">
        <f>'БА в тыс. руб.'!H1655*1000</f>
        <v>357000</v>
      </c>
      <c r="M1655" s="169">
        <f t="shared" si="1095"/>
        <v>0</v>
      </c>
      <c r="N1655" s="16">
        <f>'БА в тыс. руб.'!I1655*1000</f>
        <v>357000</v>
      </c>
      <c r="O1655" s="169">
        <f t="shared" si="1096"/>
        <v>0</v>
      </c>
      <c r="P1655" s="16"/>
      <c r="Q1655" s="16"/>
      <c r="R1655" s="16"/>
      <c r="S1655" s="16"/>
      <c r="T1655" s="16"/>
      <c r="U1655" s="16"/>
    </row>
    <row r="1656" spans="1:21" s="4" customFormat="1">
      <c r="A1656" s="12" t="s">
        <v>1036</v>
      </c>
      <c r="B1656" s="25" t="s">
        <v>536</v>
      </c>
      <c r="C1656" s="26" t="s">
        <v>53</v>
      </c>
      <c r="D1656" s="26" t="s">
        <v>25</v>
      </c>
      <c r="E1656" s="26" t="s">
        <v>824</v>
      </c>
      <c r="F1656" s="26" t="s">
        <v>1061</v>
      </c>
      <c r="G1656" s="27">
        <f t="shared" ref="G1656:G1657" si="1130">J1656</f>
        <v>350000</v>
      </c>
      <c r="H1656" s="27">
        <f t="shared" ref="H1656:H1657" si="1131">L1656</f>
        <v>350000</v>
      </c>
      <c r="I1656" s="27">
        <f t="shared" ref="I1656:I1657" si="1132">N1656</f>
        <v>350000</v>
      </c>
      <c r="J1656" s="16">
        <f>'БА в тыс. руб.'!G1656*1000</f>
        <v>350000</v>
      </c>
      <c r="K1656" s="169">
        <f t="shared" si="1094"/>
        <v>0</v>
      </c>
      <c r="L1656" s="16">
        <f>'БА в тыс. руб.'!H1656*1000</f>
        <v>350000</v>
      </c>
      <c r="M1656" s="169">
        <f t="shared" si="1095"/>
        <v>0</v>
      </c>
      <c r="N1656" s="16">
        <f>'БА в тыс. руб.'!I1656*1000</f>
        <v>350000</v>
      </c>
      <c r="O1656" s="169">
        <f t="shared" si="1096"/>
        <v>0</v>
      </c>
      <c r="P1656" s="16"/>
      <c r="Q1656" s="16"/>
      <c r="R1656" s="16"/>
      <c r="S1656" s="16"/>
      <c r="T1656" s="16"/>
      <c r="U1656" s="16"/>
    </row>
    <row r="1657" spans="1:21" s="4" customFormat="1">
      <c r="A1657" s="12" t="s">
        <v>1037</v>
      </c>
      <c r="B1657" s="25" t="s">
        <v>536</v>
      </c>
      <c r="C1657" s="26" t="s">
        <v>53</v>
      </c>
      <c r="D1657" s="26" t="s">
        <v>25</v>
      </c>
      <c r="E1657" s="26" t="s">
        <v>824</v>
      </c>
      <c r="F1657" s="26" t="s">
        <v>1062</v>
      </c>
      <c r="G1657" s="27">
        <f t="shared" si="1130"/>
        <v>7000</v>
      </c>
      <c r="H1657" s="27">
        <f t="shared" si="1131"/>
        <v>7000</v>
      </c>
      <c r="I1657" s="27">
        <f t="shared" si="1132"/>
        <v>7000</v>
      </c>
      <c r="J1657" s="16">
        <f>'БА в тыс. руб.'!G1657*1000</f>
        <v>7000</v>
      </c>
      <c r="K1657" s="169">
        <f t="shared" si="1094"/>
        <v>0</v>
      </c>
      <c r="L1657" s="16">
        <f>'БА в тыс. руб.'!H1657*1000</f>
        <v>7000</v>
      </c>
      <c r="M1657" s="169">
        <f t="shared" si="1095"/>
        <v>0</v>
      </c>
      <c r="N1657" s="16">
        <f>'БА в тыс. руб.'!I1657*1000</f>
        <v>7000</v>
      </c>
      <c r="O1657" s="169">
        <f t="shared" si="1096"/>
        <v>0</v>
      </c>
      <c r="P1657" s="16"/>
      <c r="Q1657" s="16"/>
      <c r="R1657" s="16"/>
      <c r="S1657" s="16"/>
      <c r="T1657" s="16"/>
      <c r="U1657" s="16"/>
    </row>
    <row r="1658" spans="1:21" s="3" customFormat="1" ht="63.75">
      <c r="A1658" s="152" t="s">
        <v>670</v>
      </c>
      <c r="B1658" s="25" t="s">
        <v>536</v>
      </c>
      <c r="C1658" s="26" t="s">
        <v>53</v>
      </c>
      <c r="D1658" s="26" t="s">
        <v>25</v>
      </c>
      <c r="E1658" s="26" t="s">
        <v>825</v>
      </c>
      <c r="F1658" s="26" t="s">
        <v>58</v>
      </c>
      <c r="G1658" s="27">
        <f>G1659</f>
        <v>2553670</v>
      </c>
      <c r="H1658" s="27">
        <f t="shared" ref="H1658:I1658" si="1133">H1659</f>
        <v>2201810</v>
      </c>
      <c r="I1658" s="27">
        <f t="shared" si="1133"/>
        <v>2201810</v>
      </c>
      <c r="J1658" s="16">
        <f>'БА в тыс. руб.'!G1658*1000</f>
        <v>2553670</v>
      </c>
      <c r="K1658" s="169">
        <f t="shared" si="1094"/>
        <v>0</v>
      </c>
      <c r="L1658" s="16">
        <f>'БА в тыс. руб.'!H1658*1000</f>
        <v>2201810</v>
      </c>
      <c r="M1658" s="169">
        <f t="shared" si="1095"/>
        <v>0</v>
      </c>
      <c r="N1658" s="16">
        <f>'БА в тыс. руб.'!I1658*1000</f>
        <v>2201810</v>
      </c>
      <c r="O1658" s="169">
        <f t="shared" si="1096"/>
        <v>0</v>
      </c>
      <c r="P1658" s="16"/>
      <c r="Q1658" s="16"/>
      <c r="R1658" s="16"/>
      <c r="S1658" s="16"/>
      <c r="T1658" s="16"/>
      <c r="U1658" s="16"/>
    </row>
    <row r="1659" spans="1:21" s="3" customFormat="1" ht="51">
      <c r="A1659" s="152" t="s">
        <v>173</v>
      </c>
      <c r="B1659" s="25" t="s">
        <v>536</v>
      </c>
      <c r="C1659" s="26" t="s">
        <v>53</v>
      </c>
      <c r="D1659" s="26" t="s">
        <v>25</v>
      </c>
      <c r="E1659" s="26" t="s">
        <v>826</v>
      </c>
      <c r="F1659" s="26" t="s">
        <v>58</v>
      </c>
      <c r="G1659" s="27">
        <f>G1660</f>
        <v>2553670</v>
      </c>
      <c r="H1659" s="27">
        <f>H1660</f>
        <v>2201810</v>
      </c>
      <c r="I1659" s="27">
        <f>I1660</f>
        <v>2201810</v>
      </c>
      <c r="J1659" s="16">
        <f>'БА в тыс. руб.'!G1659*1000</f>
        <v>2553670</v>
      </c>
      <c r="K1659" s="169">
        <f t="shared" si="1094"/>
        <v>0</v>
      </c>
      <c r="L1659" s="16">
        <f>'БА в тыс. руб.'!H1659*1000</f>
        <v>2201810</v>
      </c>
      <c r="M1659" s="169">
        <f t="shared" si="1095"/>
        <v>0</v>
      </c>
      <c r="N1659" s="16">
        <f>'БА в тыс. руб.'!I1659*1000</f>
        <v>2201810</v>
      </c>
      <c r="O1659" s="169">
        <f t="shared" si="1096"/>
        <v>0</v>
      </c>
      <c r="P1659" s="16"/>
      <c r="Q1659" s="16"/>
      <c r="R1659" s="16"/>
      <c r="S1659" s="16"/>
      <c r="T1659" s="16"/>
      <c r="U1659" s="16"/>
    </row>
    <row r="1660" spans="1:21" s="3" customFormat="1" ht="25.5">
      <c r="A1660" s="11" t="s">
        <v>108</v>
      </c>
      <c r="B1660" s="25" t="s">
        <v>536</v>
      </c>
      <c r="C1660" s="26" t="s">
        <v>53</v>
      </c>
      <c r="D1660" s="26" t="s">
        <v>25</v>
      </c>
      <c r="E1660" s="26" t="s">
        <v>826</v>
      </c>
      <c r="F1660" s="26" t="s">
        <v>116</v>
      </c>
      <c r="G1660" s="27">
        <f>G1661</f>
        <v>2553670</v>
      </c>
      <c r="H1660" s="27">
        <f t="shared" ref="H1660:I1660" si="1134">H1661</f>
        <v>2201810</v>
      </c>
      <c r="I1660" s="27">
        <f t="shared" si="1134"/>
        <v>2201810</v>
      </c>
      <c r="J1660" s="16">
        <f>'БА в тыс. руб.'!G1660*1000</f>
        <v>2553670</v>
      </c>
      <c r="K1660" s="169">
        <f t="shared" si="1094"/>
        <v>0</v>
      </c>
      <c r="L1660" s="16">
        <f>'БА в тыс. руб.'!H1660*1000</f>
        <v>2201810</v>
      </c>
      <c r="M1660" s="169">
        <f t="shared" si="1095"/>
        <v>0</v>
      </c>
      <c r="N1660" s="16">
        <f>'БА в тыс. руб.'!I1660*1000</f>
        <v>2201810</v>
      </c>
      <c r="O1660" s="169">
        <f t="shared" si="1096"/>
        <v>0</v>
      </c>
      <c r="P1660" s="16"/>
      <c r="Q1660" s="16"/>
      <c r="R1660" s="16"/>
      <c r="S1660" s="16"/>
      <c r="T1660" s="16"/>
      <c r="U1660" s="16"/>
    </row>
    <row r="1661" spans="1:21" s="4" customFormat="1" ht="25.5">
      <c r="A1661" s="12" t="s">
        <v>973</v>
      </c>
      <c r="B1661" s="25" t="s">
        <v>536</v>
      </c>
      <c r="C1661" s="26" t="s">
        <v>53</v>
      </c>
      <c r="D1661" s="26" t="s">
        <v>25</v>
      </c>
      <c r="E1661" s="26" t="s">
        <v>826</v>
      </c>
      <c r="F1661" s="26" t="s">
        <v>1043</v>
      </c>
      <c r="G1661" s="27">
        <f t="shared" ref="G1661" si="1135">J1661</f>
        <v>2553670</v>
      </c>
      <c r="H1661" s="27">
        <f>L1661</f>
        <v>2201810</v>
      </c>
      <c r="I1661" s="27">
        <f>N1661</f>
        <v>2201810</v>
      </c>
      <c r="J1661" s="16">
        <f>'БА в тыс. руб.'!G1661*1000</f>
        <v>2553670</v>
      </c>
      <c r="K1661" s="169">
        <f t="shared" si="1094"/>
        <v>0</v>
      </c>
      <c r="L1661" s="16">
        <f>'БА в тыс. руб.'!H1661*1000</f>
        <v>2201810</v>
      </c>
      <c r="M1661" s="169">
        <f t="shared" si="1095"/>
        <v>0</v>
      </c>
      <c r="N1661" s="16">
        <f>'БА в тыс. руб.'!I1661*1000</f>
        <v>2201810</v>
      </c>
      <c r="O1661" s="169">
        <f t="shared" si="1096"/>
        <v>0</v>
      </c>
      <c r="P1661" s="16"/>
      <c r="Q1661" s="16"/>
      <c r="R1661" s="16"/>
      <c r="S1661" s="16"/>
      <c r="T1661" s="16"/>
      <c r="U1661" s="16"/>
    </row>
    <row r="1662" spans="1:21" s="3" customFormat="1" ht="25.5">
      <c r="A1662" s="152" t="s">
        <v>865</v>
      </c>
      <c r="B1662" s="25" t="s">
        <v>536</v>
      </c>
      <c r="C1662" s="26" t="s">
        <v>53</v>
      </c>
      <c r="D1662" s="26" t="s">
        <v>25</v>
      </c>
      <c r="E1662" s="26" t="s">
        <v>827</v>
      </c>
      <c r="F1662" s="26" t="s">
        <v>58</v>
      </c>
      <c r="G1662" s="27">
        <f>G1663</f>
        <v>2700000</v>
      </c>
      <c r="H1662" s="27">
        <f t="shared" ref="H1662:I1662" si="1136">H1663</f>
        <v>2430000</v>
      </c>
      <c r="I1662" s="27">
        <f t="shared" si="1136"/>
        <v>2430000</v>
      </c>
      <c r="J1662" s="16">
        <f>'БА в тыс. руб.'!G1662*1000</f>
        <v>2700000</v>
      </c>
      <c r="K1662" s="169">
        <f t="shared" si="1094"/>
        <v>0</v>
      </c>
      <c r="L1662" s="16">
        <f>'БА в тыс. руб.'!H1662*1000</f>
        <v>2430000</v>
      </c>
      <c r="M1662" s="169">
        <f t="shared" si="1095"/>
        <v>0</v>
      </c>
      <c r="N1662" s="16">
        <f>'БА в тыс. руб.'!I1662*1000</f>
        <v>2430000</v>
      </c>
      <c r="O1662" s="169">
        <f t="shared" si="1096"/>
        <v>0</v>
      </c>
      <c r="P1662" s="16"/>
      <c r="Q1662" s="16"/>
      <c r="R1662" s="16"/>
      <c r="S1662" s="16"/>
      <c r="T1662" s="16"/>
      <c r="U1662" s="16"/>
    </row>
    <row r="1663" spans="1:21" s="3" customFormat="1" ht="25.5">
      <c r="A1663" s="152" t="s">
        <v>122</v>
      </c>
      <c r="B1663" s="25" t="s">
        <v>536</v>
      </c>
      <c r="C1663" s="26" t="s">
        <v>53</v>
      </c>
      <c r="D1663" s="26" t="s">
        <v>25</v>
      </c>
      <c r="E1663" s="26" t="s">
        <v>828</v>
      </c>
      <c r="F1663" s="26" t="s">
        <v>58</v>
      </c>
      <c r="G1663" s="27">
        <f>G1664</f>
        <v>2700000</v>
      </c>
      <c r="H1663" s="27">
        <f>H1664</f>
        <v>2430000</v>
      </c>
      <c r="I1663" s="27">
        <f>I1664</f>
        <v>2430000</v>
      </c>
      <c r="J1663" s="16">
        <f>'БА в тыс. руб.'!G1663*1000</f>
        <v>2700000</v>
      </c>
      <c r="K1663" s="169">
        <f t="shared" si="1094"/>
        <v>0</v>
      </c>
      <c r="L1663" s="16">
        <f>'БА в тыс. руб.'!H1663*1000</f>
        <v>2430000</v>
      </c>
      <c r="M1663" s="169">
        <f t="shared" si="1095"/>
        <v>0</v>
      </c>
      <c r="N1663" s="16">
        <f>'БА в тыс. руб.'!I1663*1000</f>
        <v>2430000</v>
      </c>
      <c r="O1663" s="169">
        <f t="shared" si="1096"/>
        <v>0</v>
      </c>
      <c r="P1663" s="16"/>
      <c r="Q1663" s="16"/>
      <c r="R1663" s="16"/>
      <c r="S1663" s="16"/>
      <c r="T1663" s="16"/>
      <c r="U1663" s="16"/>
    </row>
    <row r="1664" spans="1:21" s="3" customFormat="1" ht="25.5">
      <c r="A1664" s="152" t="s">
        <v>108</v>
      </c>
      <c r="B1664" s="25" t="s">
        <v>536</v>
      </c>
      <c r="C1664" s="26" t="s">
        <v>53</v>
      </c>
      <c r="D1664" s="26" t="s">
        <v>25</v>
      </c>
      <c r="E1664" s="26" t="s">
        <v>828</v>
      </c>
      <c r="F1664" s="26" t="s">
        <v>116</v>
      </c>
      <c r="G1664" s="27">
        <f>G1665</f>
        <v>2700000</v>
      </c>
      <c r="H1664" s="27">
        <f t="shared" ref="H1664:I1664" si="1137">H1665</f>
        <v>2430000</v>
      </c>
      <c r="I1664" s="27">
        <f t="shared" si="1137"/>
        <v>2430000</v>
      </c>
      <c r="J1664" s="16">
        <f>'БА в тыс. руб.'!G1664*1000</f>
        <v>2700000</v>
      </c>
      <c r="K1664" s="169">
        <f t="shared" si="1094"/>
        <v>0</v>
      </c>
      <c r="L1664" s="16">
        <f>'БА в тыс. руб.'!H1664*1000</f>
        <v>2430000</v>
      </c>
      <c r="M1664" s="169">
        <f t="shared" si="1095"/>
        <v>0</v>
      </c>
      <c r="N1664" s="16">
        <f>'БА в тыс. руб.'!I1664*1000</f>
        <v>2430000</v>
      </c>
      <c r="O1664" s="169">
        <f t="shared" si="1096"/>
        <v>0</v>
      </c>
      <c r="P1664" s="16"/>
      <c r="Q1664" s="16"/>
      <c r="R1664" s="16"/>
      <c r="S1664" s="16"/>
      <c r="T1664" s="16"/>
      <c r="U1664" s="16"/>
    </row>
    <row r="1665" spans="1:21" s="4" customFormat="1" ht="25.5">
      <c r="A1665" s="12" t="s">
        <v>973</v>
      </c>
      <c r="B1665" s="25" t="s">
        <v>536</v>
      </c>
      <c r="C1665" s="26" t="s">
        <v>53</v>
      </c>
      <c r="D1665" s="26" t="s">
        <v>25</v>
      </c>
      <c r="E1665" s="26" t="s">
        <v>828</v>
      </c>
      <c r="F1665" s="26" t="s">
        <v>1043</v>
      </c>
      <c r="G1665" s="27">
        <f t="shared" ref="G1665" si="1138">J1665</f>
        <v>2700000</v>
      </c>
      <c r="H1665" s="27">
        <f>L1665</f>
        <v>2430000</v>
      </c>
      <c r="I1665" s="27">
        <f>N1665</f>
        <v>2430000</v>
      </c>
      <c r="J1665" s="16">
        <f>'БА в тыс. руб.'!G1665*1000</f>
        <v>2700000</v>
      </c>
      <c r="K1665" s="169">
        <f t="shared" si="1094"/>
        <v>0</v>
      </c>
      <c r="L1665" s="16">
        <f>'БА в тыс. руб.'!H1665*1000</f>
        <v>2430000</v>
      </c>
      <c r="M1665" s="169">
        <f t="shared" si="1095"/>
        <v>0</v>
      </c>
      <c r="N1665" s="16">
        <f>'БА в тыс. руб.'!I1665*1000</f>
        <v>2430000</v>
      </c>
      <c r="O1665" s="169">
        <f t="shared" si="1096"/>
        <v>0</v>
      </c>
      <c r="P1665" s="16"/>
      <c r="Q1665" s="16"/>
      <c r="R1665" s="16"/>
      <c r="S1665" s="16"/>
      <c r="T1665" s="16"/>
      <c r="U1665" s="16"/>
    </row>
    <row r="1666" spans="1:21" s="3" customFormat="1" ht="63.75">
      <c r="A1666" s="152" t="s">
        <v>866</v>
      </c>
      <c r="B1666" s="25" t="s">
        <v>536</v>
      </c>
      <c r="C1666" s="26" t="s">
        <v>53</v>
      </c>
      <c r="D1666" s="26" t="s">
        <v>25</v>
      </c>
      <c r="E1666" s="26" t="s">
        <v>829</v>
      </c>
      <c r="F1666" s="26" t="s">
        <v>58</v>
      </c>
      <c r="G1666" s="27">
        <f>G1667</f>
        <v>2930000</v>
      </c>
      <c r="H1666" s="27">
        <f t="shared" ref="H1666:I1666" si="1139">H1667</f>
        <v>765000</v>
      </c>
      <c r="I1666" s="27">
        <f t="shared" si="1139"/>
        <v>765000</v>
      </c>
      <c r="J1666" s="16">
        <f>'БА в тыс. руб.'!G1666*1000</f>
        <v>2930000</v>
      </c>
      <c r="K1666" s="169">
        <f t="shared" si="1094"/>
        <v>0</v>
      </c>
      <c r="L1666" s="16">
        <f>'БА в тыс. руб.'!H1666*1000</f>
        <v>765000</v>
      </c>
      <c r="M1666" s="169">
        <f t="shared" si="1095"/>
        <v>0</v>
      </c>
      <c r="N1666" s="16">
        <f>'БА в тыс. руб.'!I1666*1000</f>
        <v>765000</v>
      </c>
      <c r="O1666" s="169">
        <f t="shared" si="1096"/>
        <v>0</v>
      </c>
      <c r="P1666" s="16"/>
      <c r="Q1666" s="16"/>
      <c r="R1666" s="16"/>
      <c r="S1666" s="16"/>
      <c r="T1666" s="16"/>
      <c r="U1666" s="16"/>
    </row>
    <row r="1667" spans="1:21" s="3" customFormat="1" ht="25.5">
      <c r="A1667" s="152" t="s">
        <v>122</v>
      </c>
      <c r="B1667" s="25" t="s">
        <v>536</v>
      </c>
      <c r="C1667" s="26" t="s">
        <v>53</v>
      </c>
      <c r="D1667" s="26" t="s">
        <v>25</v>
      </c>
      <c r="E1667" s="26" t="s">
        <v>830</v>
      </c>
      <c r="F1667" s="26" t="s">
        <v>58</v>
      </c>
      <c r="G1667" s="27">
        <f>G1668</f>
        <v>2930000</v>
      </c>
      <c r="H1667" s="27">
        <f>H1668</f>
        <v>765000</v>
      </c>
      <c r="I1667" s="27">
        <f>I1668</f>
        <v>765000</v>
      </c>
      <c r="J1667" s="16">
        <f>'БА в тыс. руб.'!G1667*1000</f>
        <v>2930000</v>
      </c>
      <c r="K1667" s="169">
        <f t="shared" si="1094"/>
        <v>0</v>
      </c>
      <c r="L1667" s="16">
        <f>'БА в тыс. руб.'!H1667*1000</f>
        <v>765000</v>
      </c>
      <c r="M1667" s="169">
        <f t="shared" si="1095"/>
        <v>0</v>
      </c>
      <c r="N1667" s="16">
        <f>'БА в тыс. руб.'!I1667*1000</f>
        <v>765000</v>
      </c>
      <c r="O1667" s="169">
        <f t="shared" si="1096"/>
        <v>0</v>
      </c>
      <c r="P1667" s="16"/>
      <c r="Q1667" s="16"/>
      <c r="R1667" s="16"/>
      <c r="S1667" s="16"/>
      <c r="T1667" s="16"/>
      <c r="U1667" s="16"/>
    </row>
    <row r="1668" spans="1:21" s="3" customFormat="1" ht="25.5">
      <c r="A1668" s="152" t="s">
        <v>108</v>
      </c>
      <c r="B1668" s="25" t="s">
        <v>536</v>
      </c>
      <c r="C1668" s="26" t="s">
        <v>53</v>
      </c>
      <c r="D1668" s="26" t="s">
        <v>25</v>
      </c>
      <c r="E1668" s="26" t="s">
        <v>830</v>
      </c>
      <c r="F1668" s="26" t="s">
        <v>116</v>
      </c>
      <c r="G1668" s="27">
        <f>G1669</f>
        <v>2930000</v>
      </c>
      <c r="H1668" s="27">
        <f t="shared" ref="H1668:I1668" si="1140">H1669</f>
        <v>765000</v>
      </c>
      <c r="I1668" s="27">
        <f t="shared" si="1140"/>
        <v>765000</v>
      </c>
      <c r="J1668" s="16">
        <f>'БА в тыс. руб.'!G1668*1000</f>
        <v>2930000</v>
      </c>
      <c r="K1668" s="169">
        <f t="shared" si="1094"/>
        <v>0</v>
      </c>
      <c r="L1668" s="16">
        <f>'БА в тыс. руб.'!H1668*1000</f>
        <v>765000</v>
      </c>
      <c r="M1668" s="169">
        <f t="shared" si="1095"/>
        <v>0</v>
      </c>
      <c r="N1668" s="16">
        <f>'БА в тыс. руб.'!I1668*1000</f>
        <v>765000</v>
      </c>
      <c r="O1668" s="169">
        <f t="shared" si="1096"/>
        <v>0</v>
      </c>
      <c r="P1668" s="16"/>
      <c r="Q1668" s="16"/>
      <c r="R1668" s="16"/>
      <c r="S1668" s="16"/>
      <c r="T1668" s="16"/>
      <c r="U1668" s="16"/>
    </row>
    <row r="1669" spans="1:21" s="4" customFormat="1" ht="25.5">
      <c r="A1669" s="12" t="s">
        <v>973</v>
      </c>
      <c r="B1669" s="25" t="s">
        <v>536</v>
      </c>
      <c r="C1669" s="26" t="s">
        <v>53</v>
      </c>
      <c r="D1669" s="26" t="s">
        <v>25</v>
      </c>
      <c r="E1669" s="26" t="s">
        <v>830</v>
      </c>
      <c r="F1669" s="26" t="s">
        <v>1043</v>
      </c>
      <c r="G1669" s="27">
        <f t="shared" ref="G1669" si="1141">J1669</f>
        <v>2930000</v>
      </c>
      <c r="H1669" s="27">
        <f>L1669</f>
        <v>765000</v>
      </c>
      <c r="I1669" s="27">
        <f>N1669</f>
        <v>765000</v>
      </c>
      <c r="J1669" s="16">
        <f>'БА в тыс. руб.'!G1669*1000</f>
        <v>2930000</v>
      </c>
      <c r="K1669" s="169">
        <f t="shared" si="1094"/>
        <v>0</v>
      </c>
      <c r="L1669" s="16">
        <f>'БА в тыс. руб.'!H1669*1000</f>
        <v>765000</v>
      </c>
      <c r="M1669" s="169">
        <f t="shared" si="1095"/>
        <v>0</v>
      </c>
      <c r="N1669" s="16">
        <f>'БА в тыс. руб.'!I1669*1000</f>
        <v>765000</v>
      </c>
      <c r="O1669" s="169">
        <f t="shared" si="1096"/>
        <v>0</v>
      </c>
      <c r="P1669" s="16"/>
      <c r="Q1669" s="16"/>
      <c r="R1669" s="16"/>
      <c r="S1669" s="16"/>
      <c r="T1669" s="16"/>
      <c r="U1669" s="16"/>
    </row>
    <row r="1670" spans="1:21" s="3" customFormat="1" ht="38.25">
      <c r="A1670" s="120" t="s">
        <v>185</v>
      </c>
      <c r="B1670" s="25" t="s">
        <v>536</v>
      </c>
      <c r="C1670" s="26" t="s">
        <v>53</v>
      </c>
      <c r="D1670" s="26" t="s">
        <v>25</v>
      </c>
      <c r="E1670" s="26" t="s">
        <v>547</v>
      </c>
      <c r="F1670" s="26" t="s">
        <v>58</v>
      </c>
      <c r="G1670" s="27">
        <f>G1671</f>
        <v>15349490</v>
      </c>
      <c r="H1670" s="27">
        <f>H1671</f>
        <v>15349490</v>
      </c>
      <c r="I1670" s="27">
        <f>I1671</f>
        <v>15349490</v>
      </c>
      <c r="J1670" s="16">
        <f>'БА в тыс. руб.'!G1670*1000</f>
        <v>15349490</v>
      </c>
      <c r="K1670" s="169">
        <f t="shared" si="1094"/>
        <v>0</v>
      </c>
      <c r="L1670" s="16">
        <f>'БА в тыс. руб.'!H1670*1000</f>
        <v>15349490</v>
      </c>
      <c r="M1670" s="169">
        <f t="shared" si="1095"/>
        <v>0</v>
      </c>
      <c r="N1670" s="16">
        <f>'БА в тыс. руб.'!I1670*1000</f>
        <v>15349490</v>
      </c>
      <c r="O1670" s="169">
        <f t="shared" si="1096"/>
        <v>0</v>
      </c>
      <c r="P1670" s="16"/>
      <c r="Q1670" s="16"/>
      <c r="R1670" s="16"/>
      <c r="S1670" s="16"/>
      <c r="T1670" s="16"/>
      <c r="U1670" s="16"/>
    </row>
    <row r="1671" spans="1:21" s="153" customFormat="1" ht="38.25">
      <c r="A1671" s="11" t="s">
        <v>548</v>
      </c>
      <c r="B1671" s="25" t="s">
        <v>536</v>
      </c>
      <c r="C1671" s="26" t="s">
        <v>53</v>
      </c>
      <c r="D1671" s="26" t="s">
        <v>25</v>
      </c>
      <c r="E1671" s="26" t="s">
        <v>549</v>
      </c>
      <c r="F1671" s="26" t="s">
        <v>58</v>
      </c>
      <c r="G1671" s="27">
        <f>G1672+G1681</f>
        <v>15349490</v>
      </c>
      <c r="H1671" s="27">
        <f>H1672+H1681</f>
        <v>15349490</v>
      </c>
      <c r="I1671" s="27">
        <f>I1672+I1681</f>
        <v>15349490</v>
      </c>
      <c r="J1671" s="16">
        <f>'БА в тыс. руб.'!G1671*1000</f>
        <v>15349490</v>
      </c>
      <c r="K1671" s="169">
        <f t="shared" si="1094"/>
        <v>0</v>
      </c>
      <c r="L1671" s="16">
        <f>'БА в тыс. руб.'!H1671*1000</f>
        <v>15349490</v>
      </c>
      <c r="M1671" s="169">
        <f t="shared" si="1095"/>
        <v>0</v>
      </c>
      <c r="N1671" s="16">
        <f>'БА в тыс. руб.'!I1671*1000</f>
        <v>15349490</v>
      </c>
      <c r="O1671" s="169">
        <f t="shared" si="1096"/>
        <v>0</v>
      </c>
      <c r="P1671" s="16"/>
      <c r="Q1671" s="16"/>
      <c r="R1671" s="16"/>
      <c r="S1671" s="16"/>
      <c r="T1671" s="16"/>
      <c r="U1671" s="16"/>
    </row>
    <row r="1672" spans="1:21" s="3" customFormat="1" ht="25.5">
      <c r="A1672" s="157" t="s">
        <v>114</v>
      </c>
      <c r="B1672" s="154" t="s">
        <v>536</v>
      </c>
      <c r="C1672" s="155" t="s">
        <v>53</v>
      </c>
      <c r="D1672" s="155" t="s">
        <v>25</v>
      </c>
      <c r="E1672" s="155" t="s">
        <v>550</v>
      </c>
      <c r="F1672" s="155" t="s">
        <v>58</v>
      </c>
      <c r="G1672" s="156">
        <f>G1673+G1676+G1678</f>
        <v>1772940</v>
      </c>
      <c r="H1672" s="156">
        <f t="shared" ref="H1672:I1672" si="1142">H1673+H1676+H1678</f>
        <v>1772940</v>
      </c>
      <c r="I1672" s="156">
        <f t="shared" si="1142"/>
        <v>1772940</v>
      </c>
      <c r="J1672" s="16">
        <f>'БА в тыс. руб.'!G1672*1000</f>
        <v>1772940</v>
      </c>
      <c r="K1672" s="171">
        <f t="shared" si="1094"/>
        <v>0</v>
      </c>
      <c r="L1672" s="16">
        <f>'БА в тыс. руб.'!H1672*1000</f>
        <v>1772940</v>
      </c>
      <c r="M1672" s="171">
        <f t="shared" si="1095"/>
        <v>0</v>
      </c>
      <c r="N1672" s="16">
        <f>'БА в тыс. руб.'!I1672*1000</f>
        <v>1772940</v>
      </c>
      <c r="O1672" s="171">
        <f t="shared" si="1096"/>
        <v>0</v>
      </c>
      <c r="P1672" s="16"/>
      <c r="Q1672" s="16"/>
      <c r="R1672" s="16"/>
      <c r="S1672" s="16"/>
      <c r="T1672" s="16"/>
      <c r="U1672" s="16"/>
    </row>
    <row r="1673" spans="1:21" s="159" customFormat="1" ht="25.5">
      <c r="A1673" s="11" t="s">
        <v>107</v>
      </c>
      <c r="B1673" s="25" t="s">
        <v>536</v>
      </c>
      <c r="C1673" s="26" t="s">
        <v>53</v>
      </c>
      <c r="D1673" s="26" t="s">
        <v>25</v>
      </c>
      <c r="E1673" s="26" t="s">
        <v>550</v>
      </c>
      <c r="F1673" s="26" t="s">
        <v>115</v>
      </c>
      <c r="G1673" s="27">
        <f>SUM(G1674:G1675)</f>
        <v>387250</v>
      </c>
      <c r="H1673" s="27">
        <f t="shared" ref="H1673:I1673" si="1143">SUM(H1674:H1675)</f>
        <v>387250</v>
      </c>
      <c r="I1673" s="27">
        <f t="shared" si="1143"/>
        <v>387250</v>
      </c>
      <c r="J1673" s="16">
        <f>'БА в тыс. руб.'!G1673*1000</f>
        <v>387250</v>
      </c>
      <c r="K1673" s="172">
        <f t="shared" si="1094"/>
        <v>0</v>
      </c>
      <c r="L1673" s="16">
        <f>'БА в тыс. руб.'!H1673*1000</f>
        <v>387250</v>
      </c>
      <c r="M1673" s="172">
        <f t="shared" si="1095"/>
        <v>0</v>
      </c>
      <c r="N1673" s="16">
        <f>'БА в тыс. руб.'!I1673*1000</f>
        <v>387250</v>
      </c>
      <c r="O1673" s="172">
        <f t="shared" si="1096"/>
        <v>0</v>
      </c>
      <c r="P1673" s="16"/>
      <c r="Q1673" s="16"/>
      <c r="R1673" s="16"/>
      <c r="S1673" s="16"/>
      <c r="T1673" s="16"/>
      <c r="U1673" s="16"/>
    </row>
    <row r="1674" spans="1:21" s="159" customFormat="1" ht="25.5">
      <c r="A1674" s="11" t="s">
        <v>937</v>
      </c>
      <c r="B1674" s="25" t="s">
        <v>536</v>
      </c>
      <c r="C1674" s="26" t="s">
        <v>53</v>
      </c>
      <c r="D1674" s="26" t="s">
        <v>25</v>
      </c>
      <c r="E1674" s="26" t="s">
        <v>550</v>
      </c>
      <c r="F1674" s="26" t="s">
        <v>1059</v>
      </c>
      <c r="G1674" s="27">
        <f t="shared" ref="G1674:G1675" si="1144">J1674</f>
        <v>303080</v>
      </c>
      <c r="H1674" s="27">
        <f t="shared" ref="H1674:H1675" si="1145">L1674</f>
        <v>303080</v>
      </c>
      <c r="I1674" s="27">
        <f t="shared" ref="I1674:I1675" si="1146">N1674</f>
        <v>303080</v>
      </c>
      <c r="J1674" s="16">
        <f>'БА в тыс. руб.'!G1674*1000</f>
        <v>303080</v>
      </c>
      <c r="K1674" s="172">
        <f t="shared" si="1094"/>
        <v>0</v>
      </c>
      <c r="L1674" s="16">
        <f>'БА в тыс. руб.'!H1674*1000</f>
        <v>303080</v>
      </c>
      <c r="M1674" s="172">
        <f t="shared" si="1095"/>
        <v>0</v>
      </c>
      <c r="N1674" s="16">
        <f>'БА в тыс. руб.'!I1674*1000</f>
        <v>303080</v>
      </c>
      <c r="O1674" s="172">
        <f t="shared" si="1096"/>
        <v>0</v>
      </c>
      <c r="P1674" s="16"/>
      <c r="Q1674" s="16"/>
      <c r="R1674" s="16"/>
      <c r="S1674" s="16"/>
      <c r="T1674" s="16"/>
      <c r="U1674" s="16"/>
    </row>
    <row r="1675" spans="1:21" s="159" customFormat="1" ht="38.25">
      <c r="A1675" s="11" t="s">
        <v>939</v>
      </c>
      <c r="B1675" s="25" t="s">
        <v>536</v>
      </c>
      <c r="C1675" s="26" t="s">
        <v>53</v>
      </c>
      <c r="D1675" s="26" t="s">
        <v>25</v>
      </c>
      <c r="E1675" s="26" t="s">
        <v>550</v>
      </c>
      <c r="F1675" s="26" t="s">
        <v>1060</v>
      </c>
      <c r="G1675" s="27">
        <f t="shared" si="1144"/>
        <v>84170</v>
      </c>
      <c r="H1675" s="27">
        <f t="shared" si="1145"/>
        <v>84170</v>
      </c>
      <c r="I1675" s="27">
        <f t="shared" si="1146"/>
        <v>84170</v>
      </c>
      <c r="J1675" s="16">
        <f>'БА в тыс. руб.'!G1675*1000</f>
        <v>84170</v>
      </c>
      <c r="K1675" s="172">
        <f t="shared" ref="K1675:K1706" si="1147">J1675-G1675</f>
        <v>0</v>
      </c>
      <c r="L1675" s="16">
        <f>'БА в тыс. руб.'!H1675*1000</f>
        <v>84170</v>
      </c>
      <c r="M1675" s="172">
        <f t="shared" ref="M1675:M1706" si="1148">L1675-H1675</f>
        <v>0</v>
      </c>
      <c r="N1675" s="16">
        <f>'БА в тыс. руб.'!I1675*1000</f>
        <v>84170</v>
      </c>
      <c r="O1675" s="172">
        <f t="shared" ref="O1675:O1706" si="1149">N1675-I1675</f>
        <v>0</v>
      </c>
      <c r="P1675" s="16"/>
      <c r="Q1675" s="16"/>
      <c r="R1675" s="16"/>
      <c r="S1675" s="16"/>
      <c r="T1675" s="16"/>
      <c r="U1675" s="16"/>
    </row>
    <row r="1676" spans="1:21" s="159" customFormat="1" ht="25.5">
      <c r="A1676" s="11" t="s">
        <v>108</v>
      </c>
      <c r="B1676" s="25" t="s">
        <v>536</v>
      </c>
      <c r="C1676" s="26" t="s">
        <v>53</v>
      </c>
      <c r="D1676" s="26" t="s">
        <v>25</v>
      </c>
      <c r="E1676" s="26" t="s">
        <v>550</v>
      </c>
      <c r="F1676" s="26" t="s">
        <v>116</v>
      </c>
      <c r="G1676" s="27">
        <f>G1677</f>
        <v>1183980</v>
      </c>
      <c r="H1676" s="27">
        <f t="shared" ref="H1676:I1676" si="1150">H1677</f>
        <v>1183980</v>
      </c>
      <c r="I1676" s="27">
        <f t="shared" si="1150"/>
        <v>1183980</v>
      </c>
      <c r="J1676" s="16">
        <f>'БА в тыс. руб.'!G1676*1000</f>
        <v>1183980</v>
      </c>
      <c r="K1676" s="172">
        <f t="shared" si="1147"/>
        <v>0</v>
      </c>
      <c r="L1676" s="16">
        <f>'БА в тыс. руб.'!H1676*1000</f>
        <v>1183980</v>
      </c>
      <c r="M1676" s="172">
        <f t="shared" si="1148"/>
        <v>0</v>
      </c>
      <c r="N1676" s="16">
        <f>'БА в тыс. руб.'!I1676*1000</f>
        <v>1183980</v>
      </c>
      <c r="O1676" s="172">
        <f t="shared" si="1149"/>
        <v>0</v>
      </c>
      <c r="P1676" s="16"/>
      <c r="Q1676" s="16"/>
      <c r="R1676" s="16"/>
      <c r="S1676" s="16"/>
      <c r="T1676" s="16"/>
      <c r="U1676" s="16"/>
    </row>
    <row r="1677" spans="1:21" s="159" customFormat="1" ht="25.5">
      <c r="A1677" s="12" t="s">
        <v>973</v>
      </c>
      <c r="B1677" s="25" t="s">
        <v>536</v>
      </c>
      <c r="C1677" s="26" t="s">
        <v>53</v>
      </c>
      <c r="D1677" s="26" t="s">
        <v>25</v>
      </c>
      <c r="E1677" s="26" t="s">
        <v>550</v>
      </c>
      <c r="F1677" s="26" t="s">
        <v>1043</v>
      </c>
      <c r="G1677" s="27">
        <f t="shared" ref="G1677" si="1151">J1677</f>
        <v>1183980</v>
      </c>
      <c r="H1677" s="27">
        <f>L1677</f>
        <v>1183980</v>
      </c>
      <c r="I1677" s="27">
        <f>N1677</f>
        <v>1183980</v>
      </c>
      <c r="J1677" s="16">
        <f>'БА в тыс. руб.'!G1677*1000</f>
        <v>1183980</v>
      </c>
      <c r="K1677" s="172">
        <f t="shared" si="1147"/>
        <v>0</v>
      </c>
      <c r="L1677" s="16">
        <f>'БА в тыс. руб.'!H1677*1000</f>
        <v>1183980</v>
      </c>
      <c r="M1677" s="172">
        <f t="shared" si="1148"/>
        <v>0</v>
      </c>
      <c r="N1677" s="16">
        <f>'БА в тыс. руб.'!I1677*1000</f>
        <v>1183980</v>
      </c>
      <c r="O1677" s="172">
        <f t="shared" si="1149"/>
        <v>0</v>
      </c>
      <c r="P1677" s="16"/>
      <c r="Q1677" s="16"/>
      <c r="R1677" s="16"/>
      <c r="S1677" s="16"/>
      <c r="T1677" s="16"/>
      <c r="U1677" s="16"/>
    </row>
    <row r="1678" spans="1:21" s="159" customFormat="1">
      <c r="A1678" s="11" t="s">
        <v>97</v>
      </c>
      <c r="B1678" s="25" t="s">
        <v>536</v>
      </c>
      <c r="C1678" s="26" t="s">
        <v>53</v>
      </c>
      <c r="D1678" s="26" t="s">
        <v>25</v>
      </c>
      <c r="E1678" s="26" t="s">
        <v>550</v>
      </c>
      <c r="F1678" s="26" t="s">
        <v>118</v>
      </c>
      <c r="G1678" s="27">
        <f>SUM(G1679:G1680)</f>
        <v>201710</v>
      </c>
      <c r="H1678" s="27">
        <f>SUM(H1679:H1680)</f>
        <v>201710</v>
      </c>
      <c r="I1678" s="27">
        <f>SUM(I1679:I1680)</f>
        <v>201710</v>
      </c>
      <c r="J1678" s="16">
        <f>'БА в тыс. руб.'!G1678*1000</f>
        <v>201710</v>
      </c>
      <c r="K1678" s="172">
        <f t="shared" si="1147"/>
        <v>0</v>
      </c>
      <c r="L1678" s="16">
        <f>'БА в тыс. руб.'!H1678*1000</f>
        <v>201710</v>
      </c>
      <c r="M1678" s="172">
        <f t="shared" si="1148"/>
        <v>0</v>
      </c>
      <c r="N1678" s="16">
        <f>'БА в тыс. руб.'!I1678*1000</f>
        <v>201710</v>
      </c>
      <c r="O1678" s="172">
        <f t="shared" si="1149"/>
        <v>0</v>
      </c>
      <c r="P1678" s="16"/>
      <c r="Q1678" s="16"/>
      <c r="R1678" s="16"/>
      <c r="S1678" s="16"/>
      <c r="T1678" s="16"/>
      <c r="U1678" s="16"/>
    </row>
    <row r="1679" spans="1:21" s="159" customFormat="1">
      <c r="A1679" s="11" t="s">
        <v>1036</v>
      </c>
      <c r="B1679" s="25" t="s">
        <v>536</v>
      </c>
      <c r="C1679" s="26" t="s">
        <v>53</v>
      </c>
      <c r="D1679" s="26" t="s">
        <v>25</v>
      </c>
      <c r="E1679" s="26" t="s">
        <v>550</v>
      </c>
      <c r="F1679" s="26" t="s">
        <v>1061</v>
      </c>
      <c r="G1679" s="27">
        <f t="shared" ref="G1679:G1680" si="1152">J1679</f>
        <v>172710</v>
      </c>
      <c r="H1679" s="27">
        <f t="shared" ref="H1679:H1680" si="1153">L1679</f>
        <v>172710</v>
      </c>
      <c r="I1679" s="27">
        <f t="shared" ref="I1679:I1680" si="1154">N1679</f>
        <v>172710</v>
      </c>
      <c r="J1679" s="16">
        <f>'БА в тыс. руб.'!G1679*1000</f>
        <v>172710</v>
      </c>
      <c r="K1679" s="172">
        <f t="shared" si="1147"/>
        <v>0</v>
      </c>
      <c r="L1679" s="16">
        <f>'БА в тыс. руб.'!H1679*1000</f>
        <v>172710</v>
      </c>
      <c r="M1679" s="172">
        <f t="shared" si="1148"/>
        <v>0</v>
      </c>
      <c r="N1679" s="16">
        <f>'БА в тыс. руб.'!I1679*1000</f>
        <v>172710</v>
      </c>
      <c r="O1679" s="172">
        <f t="shared" si="1149"/>
        <v>0</v>
      </c>
      <c r="P1679" s="16"/>
      <c r="Q1679" s="16"/>
      <c r="R1679" s="16"/>
      <c r="S1679" s="16"/>
      <c r="T1679" s="16"/>
      <c r="U1679" s="16"/>
    </row>
    <row r="1680" spans="1:21" s="159" customFormat="1">
      <c r="A1680" s="11" t="s">
        <v>1037</v>
      </c>
      <c r="B1680" s="25" t="s">
        <v>536</v>
      </c>
      <c r="C1680" s="26" t="s">
        <v>53</v>
      </c>
      <c r="D1680" s="26" t="s">
        <v>25</v>
      </c>
      <c r="E1680" s="26" t="s">
        <v>550</v>
      </c>
      <c r="F1680" s="26" t="s">
        <v>1062</v>
      </c>
      <c r="G1680" s="27">
        <f t="shared" si="1152"/>
        <v>29000</v>
      </c>
      <c r="H1680" s="27">
        <f t="shared" si="1153"/>
        <v>29000</v>
      </c>
      <c r="I1680" s="27">
        <f t="shared" si="1154"/>
        <v>29000</v>
      </c>
      <c r="J1680" s="16">
        <f>'БА в тыс. руб.'!G1680*1000</f>
        <v>29000</v>
      </c>
      <c r="K1680" s="172">
        <f t="shared" si="1147"/>
        <v>0</v>
      </c>
      <c r="L1680" s="16">
        <f>'БА в тыс. руб.'!H1680*1000</f>
        <v>29000</v>
      </c>
      <c r="M1680" s="172">
        <f t="shared" si="1148"/>
        <v>0</v>
      </c>
      <c r="N1680" s="16">
        <f>'БА в тыс. руб.'!I1680*1000</f>
        <v>29000</v>
      </c>
      <c r="O1680" s="172">
        <f t="shared" si="1149"/>
        <v>0</v>
      </c>
      <c r="P1680" s="16"/>
      <c r="Q1680" s="16"/>
      <c r="R1680" s="16"/>
      <c r="S1680" s="16"/>
      <c r="T1680" s="16"/>
      <c r="U1680" s="16"/>
    </row>
    <row r="1681" spans="1:21" s="3" customFormat="1" ht="25.5">
      <c r="A1681" s="152" t="s">
        <v>126</v>
      </c>
      <c r="B1681" s="25" t="s">
        <v>536</v>
      </c>
      <c r="C1681" s="26" t="s">
        <v>53</v>
      </c>
      <c r="D1681" s="26" t="s">
        <v>25</v>
      </c>
      <c r="E1681" s="26" t="s">
        <v>551</v>
      </c>
      <c r="F1681" s="26" t="s">
        <v>58</v>
      </c>
      <c r="G1681" s="27">
        <f>G1682</f>
        <v>13576550</v>
      </c>
      <c r="H1681" s="27">
        <f>H1682</f>
        <v>13576550</v>
      </c>
      <c r="I1681" s="27">
        <f>I1682</f>
        <v>13576550</v>
      </c>
      <c r="J1681" s="16">
        <f>'БА в тыс. руб.'!G1681*1000</f>
        <v>13576550</v>
      </c>
      <c r="K1681" s="169">
        <f t="shared" si="1147"/>
        <v>0</v>
      </c>
      <c r="L1681" s="16">
        <f>'БА в тыс. руб.'!H1681*1000</f>
        <v>13576550</v>
      </c>
      <c r="M1681" s="169">
        <f t="shared" si="1148"/>
        <v>0</v>
      </c>
      <c r="N1681" s="16">
        <f>'БА в тыс. руб.'!I1681*1000</f>
        <v>13576550</v>
      </c>
      <c r="O1681" s="169">
        <f t="shared" si="1149"/>
        <v>0</v>
      </c>
      <c r="P1681" s="16"/>
      <c r="Q1681" s="16"/>
      <c r="R1681" s="16"/>
      <c r="S1681" s="16"/>
      <c r="T1681" s="16"/>
      <c r="U1681" s="16"/>
    </row>
    <row r="1682" spans="1:21" s="3" customFormat="1" ht="25.5">
      <c r="A1682" s="11" t="s">
        <v>107</v>
      </c>
      <c r="B1682" s="25" t="s">
        <v>536</v>
      </c>
      <c r="C1682" s="26" t="s">
        <v>53</v>
      </c>
      <c r="D1682" s="26" t="s">
        <v>25</v>
      </c>
      <c r="E1682" s="26" t="s">
        <v>551</v>
      </c>
      <c r="F1682" s="26" t="s">
        <v>115</v>
      </c>
      <c r="G1682" s="27">
        <f>SUM(G1683:G1684)</f>
        <v>13576550</v>
      </c>
      <c r="H1682" s="27">
        <f t="shared" ref="H1682:I1682" si="1155">SUM(H1683:H1684)</f>
        <v>13576550</v>
      </c>
      <c r="I1682" s="27">
        <f t="shared" si="1155"/>
        <v>13576550</v>
      </c>
      <c r="J1682" s="16">
        <f>'БА в тыс. руб.'!G1682*1000</f>
        <v>13576550</v>
      </c>
      <c r="K1682" s="169">
        <f t="shared" si="1147"/>
        <v>0</v>
      </c>
      <c r="L1682" s="16">
        <f>'БА в тыс. руб.'!H1682*1000</f>
        <v>13576550</v>
      </c>
      <c r="M1682" s="169">
        <f t="shared" si="1148"/>
        <v>0</v>
      </c>
      <c r="N1682" s="16">
        <f>'БА в тыс. руб.'!I1682*1000</f>
        <v>13576550</v>
      </c>
      <c r="O1682" s="169">
        <f t="shared" si="1149"/>
        <v>0</v>
      </c>
      <c r="P1682" s="16"/>
      <c r="Q1682" s="16"/>
      <c r="R1682" s="16"/>
      <c r="S1682" s="16"/>
      <c r="T1682" s="16"/>
      <c r="U1682" s="16"/>
    </row>
    <row r="1683" spans="1:21" s="94" customFormat="1">
      <c r="A1683" s="12" t="s">
        <v>936</v>
      </c>
      <c r="B1683" s="25" t="s">
        <v>536</v>
      </c>
      <c r="C1683" s="26" t="s">
        <v>53</v>
      </c>
      <c r="D1683" s="26" t="s">
        <v>25</v>
      </c>
      <c r="E1683" s="26" t="s">
        <v>551</v>
      </c>
      <c r="F1683" s="26" t="s">
        <v>1063</v>
      </c>
      <c r="G1683" s="27">
        <f t="shared" ref="G1683:G1684" si="1156">J1683</f>
        <v>10427460</v>
      </c>
      <c r="H1683" s="27">
        <f t="shared" ref="H1683:H1684" si="1157">L1683</f>
        <v>10427460</v>
      </c>
      <c r="I1683" s="27">
        <f t="shared" ref="I1683:I1684" si="1158">N1683</f>
        <v>10427460</v>
      </c>
      <c r="J1683" s="16">
        <f>'БА в тыс. руб.'!G1683*1000</f>
        <v>10427460</v>
      </c>
      <c r="K1683" s="169">
        <f t="shared" si="1147"/>
        <v>0</v>
      </c>
      <c r="L1683" s="16">
        <f>'БА в тыс. руб.'!H1683*1000</f>
        <v>10427460</v>
      </c>
      <c r="M1683" s="169">
        <f t="shared" si="1148"/>
        <v>0</v>
      </c>
      <c r="N1683" s="16">
        <f>'БА в тыс. руб.'!I1683*1000</f>
        <v>10427460</v>
      </c>
      <c r="O1683" s="169">
        <f t="shared" si="1149"/>
        <v>0</v>
      </c>
      <c r="P1683" s="16"/>
      <c r="Q1683" s="16"/>
      <c r="R1683" s="16"/>
      <c r="S1683" s="16"/>
      <c r="T1683" s="16"/>
      <c r="U1683" s="16"/>
    </row>
    <row r="1684" spans="1:21" s="94" customFormat="1" ht="38.25">
      <c r="A1684" s="12" t="s">
        <v>939</v>
      </c>
      <c r="B1684" s="25" t="s">
        <v>536</v>
      </c>
      <c r="C1684" s="26" t="s">
        <v>53</v>
      </c>
      <c r="D1684" s="26" t="s">
        <v>25</v>
      </c>
      <c r="E1684" s="26" t="s">
        <v>551</v>
      </c>
      <c r="F1684" s="26" t="s">
        <v>1060</v>
      </c>
      <c r="G1684" s="27">
        <f t="shared" si="1156"/>
        <v>3149090</v>
      </c>
      <c r="H1684" s="27">
        <f t="shared" si="1157"/>
        <v>3149090</v>
      </c>
      <c r="I1684" s="27">
        <f t="shared" si="1158"/>
        <v>3149090</v>
      </c>
      <c r="J1684" s="16">
        <f>'БА в тыс. руб.'!G1684*1000</f>
        <v>3149090</v>
      </c>
      <c r="K1684" s="169">
        <f t="shared" si="1147"/>
        <v>0</v>
      </c>
      <c r="L1684" s="16">
        <f>'БА в тыс. руб.'!H1684*1000</f>
        <v>3149090</v>
      </c>
      <c r="M1684" s="169">
        <f t="shared" si="1148"/>
        <v>0</v>
      </c>
      <c r="N1684" s="16">
        <f>'БА в тыс. руб.'!I1684*1000</f>
        <v>3149090</v>
      </c>
      <c r="O1684" s="169">
        <f t="shared" si="1149"/>
        <v>0</v>
      </c>
      <c r="P1684" s="16"/>
      <c r="Q1684" s="16"/>
      <c r="R1684" s="16"/>
      <c r="S1684" s="16"/>
      <c r="T1684" s="16"/>
      <c r="U1684" s="16"/>
    </row>
    <row r="1685" spans="1:21" s="71" customFormat="1" ht="16.899999999999999" customHeight="1">
      <c r="A1685" s="79"/>
      <c r="B1685" s="92"/>
      <c r="C1685" s="70"/>
      <c r="D1685" s="70"/>
      <c r="E1685" s="70"/>
      <c r="F1685" s="70"/>
      <c r="G1685" s="27"/>
      <c r="H1685" s="27"/>
      <c r="I1685" s="27"/>
      <c r="J1685" s="16">
        <f>'БА в тыс. руб.'!G1685*1000</f>
        <v>0</v>
      </c>
      <c r="K1685" s="169">
        <f t="shared" si="1147"/>
        <v>0</v>
      </c>
      <c r="L1685" s="16">
        <f>'БА в тыс. руб.'!H1685*1000</f>
        <v>0</v>
      </c>
      <c r="M1685" s="169">
        <f t="shared" si="1148"/>
        <v>0</v>
      </c>
      <c r="N1685" s="16">
        <f>'БА в тыс. руб.'!I1685*1000</f>
        <v>0</v>
      </c>
      <c r="O1685" s="169">
        <f t="shared" si="1149"/>
        <v>0</v>
      </c>
      <c r="P1685" s="16"/>
      <c r="Q1685" s="16"/>
      <c r="R1685" s="16"/>
      <c r="S1685" s="16"/>
      <c r="T1685" s="16"/>
      <c r="U1685" s="16"/>
    </row>
    <row r="1686" spans="1:21" s="3" customFormat="1">
      <c r="A1686" s="28" t="s">
        <v>127</v>
      </c>
      <c r="B1686" s="14" t="s">
        <v>707</v>
      </c>
      <c r="C1686" s="15" t="s">
        <v>51</v>
      </c>
      <c r="D1686" s="15" t="s">
        <v>51</v>
      </c>
      <c r="E1686" s="15" t="s">
        <v>196</v>
      </c>
      <c r="F1686" s="15" t="s">
        <v>58</v>
      </c>
      <c r="G1686" s="29">
        <f t="shared" ref="G1686:I1689" si="1159">G1687</f>
        <v>13430300</v>
      </c>
      <c r="H1686" s="29">
        <f t="shared" si="1159"/>
        <v>13442180</v>
      </c>
      <c r="I1686" s="29">
        <f t="shared" si="1159"/>
        <v>13442180</v>
      </c>
      <c r="J1686" s="16">
        <f>'БА в тыс. руб.'!G1686*1000</f>
        <v>13430300.000000002</v>
      </c>
      <c r="K1686" s="169">
        <f t="shared" si="1147"/>
        <v>0</v>
      </c>
      <c r="L1686" s="16">
        <f>'БА в тыс. руб.'!H1686*1000</f>
        <v>13442180</v>
      </c>
      <c r="M1686" s="169">
        <f t="shared" si="1148"/>
        <v>0</v>
      </c>
      <c r="N1686" s="16">
        <f>'БА в тыс. руб.'!I1686*1000</f>
        <v>13442180</v>
      </c>
      <c r="O1686" s="169">
        <f t="shared" si="1149"/>
        <v>0</v>
      </c>
      <c r="P1686" s="16"/>
      <c r="Q1686" s="16"/>
      <c r="R1686" s="16"/>
      <c r="S1686" s="16"/>
      <c r="T1686" s="16"/>
      <c r="U1686" s="16"/>
    </row>
    <row r="1687" spans="1:21" s="3" customFormat="1">
      <c r="A1687" s="17" t="s">
        <v>64</v>
      </c>
      <c r="B1687" s="18" t="s">
        <v>707</v>
      </c>
      <c r="C1687" s="19" t="s">
        <v>65</v>
      </c>
      <c r="D1687" s="19" t="s">
        <v>51</v>
      </c>
      <c r="E1687" s="19" t="s">
        <v>196</v>
      </c>
      <c r="F1687" s="19" t="s">
        <v>58</v>
      </c>
      <c r="G1687" s="20">
        <f t="shared" si="1159"/>
        <v>13430300</v>
      </c>
      <c r="H1687" s="20">
        <f t="shared" si="1159"/>
        <v>13442180</v>
      </c>
      <c r="I1687" s="20">
        <f t="shared" si="1159"/>
        <v>13442180</v>
      </c>
      <c r="J1687" s="16">
        <f>'БА в тыс. руб.'!G1687*1000</f>
        <v>13430300.000000002</v>
      </c>
      <c r="K1687" s="169">
        <f t="shared" si="1147"/>
        <v>0</v>
      </c>
      <c r="L1687" s="16">
        <f>'БА в тыс. руб.'!H1687*1000</f>
        <v>13442180</v>
      </c>
      <c r="M1687" s="169">
        <f t="shared" si="1148"/>
        <v>0</v>
      </c>
      <c r="N1687" s="16">
        <f>'БА в тыс. руб.'!I1687*1000</f>
        <v>13442180</v>
      </c>
      <c r="O1687" s="169">
        <f t="shared" si="1149"/>
        <v>0</v>
      </c>
      <c r="P1687" s="16"/>
      <c r="Q1687" s="16"/>
      <c r="R1687" s="16"/>
      <c r="S1687" s="16"/>
      <c r="T1687" s="16"/>
      <c r="U1687" s="16"/>
    </row>
    <row r="1688" spans="1:21" s="3" customFormat="1" ht="25.5">
      <c r="A1688" s="21" t="s">
        <v>32</v>
      </c>
      <c r="B1688" s="22" t="s">
        <v>707</v>
      </c>
      <c r="C1688" s="23" t="s">
        <v>65</v>
      </c>
      <c r="D1688" s="23" t="s">
        <v>2</v>
      </c>
      <c r="E1688" s="23" t="s">
        <v>196</v>
      </c>
      <c r="F1688" s="23" t="s">
        <v>58</v>
      </c>
      <c r="G1688" s="24">
        <f t="shared" si="1159"/>
        <v>13430300</v>
      </c>
      <c r="H1688" s="24">
        <f t="shared" si="1159"/>
        <v>13442180</v>
      </c>
      <c r="I1688" s="24">
        <f t="shared" si="1159"/>
        <v>13442180</v>
      </c>
      <c r="J1688" s="16">
        <f>'БА в тыс. руб.'!G1688*1000</f>
        <v>13430300.000000002</v>
      </c>
      <c r="K1688" s="169">
        <f t="shared" si="1147"/>
        <v>0</v>
      </c>
      <c r="L1688" s="16">
        <f>'БА в тыс. руб.'!H1688*1000</f>
        <v>13442180</v>
      </c>
      <c r="M1688" s="169">
        <f t="shared" si="1148"/>
        <v>0</v>
      </c>
      <c r="N1688" s="16">
        <f>'БА в тыс. руб.'!I1688*1000</f>
        <v>13442180</v>
      </c>
      <c r="O1688" s="169">
        <f t="shared" si="1149"/>
        <v>0</v>
      </c>
      <c r="P1688" s="16"/>
      <c r="Q1688" s="16"/>
      <c r="R1688" s="16"/>
      <c r="S1688" s="16"/>
      <c r="T1688" s="16"/>
      <c r="U1688" s="16"/>
    </row>
    <row r="1689" spans="1:21" s="3" customFormat="1" ht="26.25">
      <c r="A1689" s="10" t="s">
        <v>712</v>
      </c>
      <c r="B1689" s="25" t="s">
        <v>707</v>
      </c>
      <c r="C1689" s="26" t="s">
        <v>65</v>
      </c>
      <c r="D1689" s="26" t="s">
        <v>2</v>
      </c>
      <c r="E1689" s="26" t="s">
        <v>710</v>
      </c>
      <c r="F1689" s="26" t="s">
        <v>58</v>
      </c>
      <c r="G1689" s="27">
        <f t="shared" si="1159"/>
        <v>13430300</v>
      </c>
      <c r="H1689" s="27">
        <f t="shared" si="1159"/>
        <v>13442180</v>
      </c>
      <c r="I1689" s="27">
        <f t="shared" si="1159"/>
        <v>13442180</v>
      </c>
      <c r="J1689" s="16">
        <f>'БА в тыс. руб.'!G1689*1000</f>
        <v>13430300.000000002</v>
      </c>
      <c r="K1689" s="169">
        <f t="shared" si="1147"/>
        <v>0</v>
      </c>
      <c r="L1689" s="16">
        <f>'БА в тыс. руб.'!H1689*1000</f>
        <v>13442180</v>
      </c>
      <c r="M1689" s="169">
        <f t="shared" si="1148"/>
        <v>0</v>
      </c>
      <c r="N1689" s="16">
        <f>'БА в тыс. руб.'!I1689*1000</f>
        <v>13442180</v>
      </c>
      <c r="O1689" s="169">
        <f t="shared" si="1149"/>
        <v>0</v>
      </c>
      <c r="P1689" s="16"/>
      <c r="Q1689" s="16"/>
      <c r="R1689" s="16"/>
      <c r="S1689" s="16"/>
      <c r="T1689" s="16"/>
      <c r="U1689" s="16"/>
    </row>
    <row r="1690" spans="1:21" s="3" customFormat="1" ht="26.25">
      <c r="A1690" s="10" t="s">
        <v>711</v>
      </c>
      <c r="B1690" s="25" t="s">
        <v>707</v>
      </c>
      <c r="C1690" s="26" t="s">
        <v>65</v>
      </c>
      <c r="D1690" s="26" t="s">
        <v>2</v>
      </c>
      <c r="E1690" s="26" t="s">
        <v>708</v>
      </c>
      <c r="F1690" s="26" t="s">
        <v>58</v>
      </c>
      <c r="G1690" s="27">
        <f>G1691+G1699</f>
        <v>13430300</v>
      </c>
      <c r="H1690" s="27">
        <f>H1691+H1699</f>
        <v>13442180</v>
      </c>
      <c r="I1690" s="27">
        <f>I1691+I1699</f>
        <v>13442180</v>
      </c>
      <c r="J1690" s="16">
        <f>'БА в тыс. руб.'!G1690*1000</f>
        <v>13430300.000000002</v>
      </c>
      <c r="K1690" s="169">
        <f t="shared" si="1147"/>
        <v>0</v>
      </c>
      <c r="L1690" s="16">
        <f>'БА в тыс. руб.'!H1690*1000</f>
        <v>13442180</v>
      </c>
      <c r="M1690" s="169">
        <f t="shared" si="1148"/>
        <v>0</v>
      </c>
      <c r="N1690" s="16">
        <f>'БА в тыс. руб.'!I1690*1000</f>
        <v>13442180</v>
      </c>
      <c r="O1690" s="169">
        <f t="shared" si="1149"/>
        <v>0</v>
      </c>
      <c r="P1690" s="16"/>
      <c r="Q1690" s="16"/>
      <c r="R1690" s="16"/>
      <c r="S1690" s="16"/>
      <c r="T1690" s="16"/>
      <c r="U1690" s="16"/>
    </row>
    <row r="1691" spans="1:21" s="3" customFormat="1" ht="25.5">
      <c r="A1691" s="11" t="s">
        <v>114</v>
      </c>
      <c r="B1691" s="25" t="s">
        <v>707</v>
      </c>
      <c r="C1691" s="26" t="s">
        <v>65</v>
      </c>
      <c r="D1691" s="26" t="s">
        <v>2</v>
      </c>
      <c r="E1691" s="26" t="s">
        <v>709</v>
      </c>
      <c r="F1691" s="26" t="s">
        <v>58</v>
      </c>
      <c r="G1691" s="27">
        <f>G1692+G1695+G1697</f>
        <v>2962510</v>
      </c>
      <c r="H1691" s="27">
        <f t="shared" ref="H1691:I1691" si="1160">H1692+H1695+H1697</f>
        <v>2974390</v>
      </c>
      <c r="I1691" s="27">
        <f t="shared" si="1160"/>
        <v>2974390</v>
      </c>
      <c r="J1691" s="16">
        <f>'БА в тыс. руб.'!G1691*1000</f>
        <v>2962510</v>
      </c>
      <c r="K1691" s="169">
        <f t="shared" si="1147"/>
        <v>0</v>
      </c>
      <c r="L1691" s="16">
        <f>'БА в тыс. руб.'!H1691*1000</f>
        <v>2974390.0000000005</v>
      </c>
      <c r="M1691" s="169">
        <f t="shared" si="1148"/>
        <v>0</v>
      </c>
      <c r="N1691" s="16">
        <f>'БА в тыс. руб.'!I1691*1000</f>
        <v>2974390.0000000005</v>
      </c>
      <c r="O1691" s="169">
        <f t="shared" si="1149"/>
        <v>0</v>
      </c>
      <c r="P1691" s="16"/>
      <c r="Q1691" s="16"/>
      <c r="R1691" s="16"/>
      <c r="S1691" s="16"/>
      <c r="T1691" s="16"/>
      <c r="U1691" s="16"/>
    </row>
    <row r="1692" spans="1:21" s="3" customFormat="1" ht="25.5">
      <c r="A1692" s="12" t="s">
        <v>107</v>
      </c>
      <c r="B1692" s="25" t="s">
        <v>707</v>
      </c>
      <c r="C1692" s="26" t="s">
        <v>65</v>
      </c>
      <c r="D1692" s="26" t="s">
        <v>2</v>
      </c>
      <c r="E1692" s="26" t="s">
        <v>709</v>
      </c>
      <c r="F1692" s="26" t="s">
        <v>115</v>
      </c>
      <c r="G1692" s="27">
        <f>SUM(G1693:G1694)</f>
        <v>446530</v>
      </c>
      <c r="H1692" s="27">
        <f t="shared" ref="H1692:I1692" si="1161">SUM(H1693:H1694)</f>
        <v>446530</v>
      </c>
      <c r="I1692" s="27">
        <f t="shared" si="1161"/>
        <v>446530</v>
      </c>
      <c r="J1692" s="16">
        <f>'БА в тыс. руб.'!G1692*1000</f>
        <v>446530</v>
      </c>
      <c r="K1692" s="169">
        <f t="shared" si="1147"/>
        <v>0</v>
      </c>
      <c r="L1692" s="16">
        <f>'БА в тыс. руб.'!H1692*1000</f>
        <v>446530</v>
      </c>
      <c r="M1692" s="169">
        <f t="shared" si="1148"/>
        <v>0</v>
      </c>
      <c r="N1692" s="16">
        <f>'БА в тыс. руб.'!I1692*1000</f>
        <v>446530</v>
      </c>
      <c r="O1692" s="169">
        <f t="shared" si="1149"/>
        <v>0</v>
      </c>
      <c r="P1692" s="16"/>
      <c r="Q1692" s="16"/>
      <c r="R1692" s="16"/>
      <c r="S1692" s="16"/>
      <c r="T1692" s="16"/>
      <c r="U1692" s="16"/>
    </row>
    <row r="1693" spans="1:21" s="4" customFormat="1" ht="25.5">
      <c r="A1693" s="12" t="s">
        <v>937</v>
      </c>
      <c r="B1693" s="25" t="s">
        <v>707</v>
      </c>
      <c r="C1693" s="26" t="s">
        <v>65</v>
      </c>
      <c r="D1693" s="26" t="s">
        <v>2</v>
      </c>
      <c r="E1693" s="26" t="s">
        <v>709</v>
      </c>
      <c r="F1693" s="26" t="s">
        <v>1059</v>
      </c>
      <c r="G1693" s="27">
        <f t="shared" ref="G1693:G1694" si="1162">J1693</f>
        <v>376500</v>
      </c>
      <c r="H1693" s="27">
        <f t="shared" ref="H1693:H1694" si="1163">L1693</f>
        <v>376500</v>
      </c>
      <c r="I1693" s="27">
        <f t="shared" ref="I1693:I1694" si="1164">N1693</f>
        <v>376500</v>
      </c>
      <c r="J1693" s="16">
        <f>'БА в тыс. руб.'!G1693*1000</f>
        <v>376500</v>
      </c>
      <c r="K1693" s="169">
        <f t="shared" si="1147"/>
        <v>0</v>
      </c>
      <c r="L1693" s="16">
        <f>'БА в тыс. руб.'!H1693*1000</f>
        <v>376500</v>
      </c>
      <c r="M1693" s="169">
        <f t="shared" si="1148"/>
        <v>0</v>
      </c>
      <c r="N1693" s="16">
        <f>'БА в тыс. руб.'!I1693*1000</f>
        <v>376500</v>
      </c>
      <c r="O1693" s="169">
        <f t="shared" si="1149"/>
        <v>0</v>
      </c>
      <c r="P1693" s="16"/>
      <c r="Q1693" s="16"/>
      <c r="R1693" s="16"/>
      <c r="S1693" s="16"/>
      <c r="T1693" s="16"/>
      <c r="U1693" s="16"/>
    </row>
    <row r="1694" spans="1:21" s="4" customFormat="1" ht="38.25">
      <c r="A1694" s="12" t="s">
        <v>939</v>
      </c>
      <c r="B1694" s="25" t="s">
        <v>707</v>
      </c>
      <c r="C1694" s="26" t="s">
        <v>65</v>
      </c>
      <c r="D1694" s="26" t="s">
        <v>2</v>
      </c>
      <c r="E1694" s="26" t="s">
        <v>709</v>
      </c>
      <c r="F1694" s="26" t="s">
        <v>1060</v>
      </c>
      <c r="G1694" s="27">
        <f t="shared" si="1162"/>
        <v>70030</v>
      </c>
      <c r="H1694" s="27">
        <f t="shared" si="1163"/>
        <v>70030</v>
      </c>
      <c r="I1694" s="27">
        <f t="shared" si="1164"/>
        <v>70030</v>
      </c>
      <c r="J1694" s="16">
        <f>'БА в тыс. руб.'!G1694*1000</f>
        <v>70030</v>
      </c>
      <c r="K1694" s="169">
        <f t="shared" si="1147"/>
        <v>0</v>
      </c>
      <c r="L1694" s="16">
        <f>'БА в тыс. руб.'!H1694*1000</f>
        <v>70030</v>
      </c>
      <c r="M1694" s="169">
        <f t="shared" si="1148"/>
        <v>0</v>
      </c>
      <c r="N1694" s="16">
        <f>'БА в тыс. руб.'!I1694*1000</f>
        <v>70030</v>
      </c>
      <c r="O1694" s="169">
        <f t="shared" si="1149"/>
        <v>0</v>
      </c>
      <c r="P1694" s="16"/>
      <c r="Q1694" s="16"/>
      <c r="R1694" s="16"/>
      <c r="S1694" s="16"/>
      <c r="T1694" s="16"/>
      <c r="U1694" s="16"/>
    </row>
    <row r="1695" spans="1:21" s="3" customFormat="1" ht="25.5">
      <c r="A1695" s="11" t="s">
        <v>108</v>
      </c>
      <c r="B1695" s="25" t="s">
        <v>707</v>
      </c>
      <c r="C1695" s="26" t="s">
        <v>65</v>
      </c>
      <c r="D1695" s="26" t="s">
        <v>2</v>
      </c>
      <c r="E1695" s="26" t="s">
        <v>709</v>
      </c>
      <c r="F1695" s="26" t="s">
        <v>116</v>
      </c>
      <c r="G1695" s="27">
        <f>G1696</f>
        <v>2496980</v>
      </c>
      <c r="H1695" s="27">
        <f t="shared" ref="H1695:I1695" si="1165">H1696</f>
        <v>2508860</v>
      </c>
      <c r="I1695" s="27">
        <f t="shared" si="1165"/>
        <v>2508860</v>
      </c>
      <c r="J1695" s="16">
        <f>'БА в тыс. руб.'!G1695*1000</f>
        <v>2496980</v>
      </c>
      <c r="K1695" s="169">
        <f t="shared" si="1147"/>
        <v>0</v>
      </c>
      <c r="L1695" s="16">
        <f>'БА в тыс. руб.'!H1695*1000</f>
        <v>2508860</v>
      </c>
      <c r="M1695" s="169">
        <f t="shared" si="1148"/>
        <v>0</v>
      </c>
      <c r="N1695" s="16">
        <f>'БА в тыс. руб.'!I1695*1000</f>
        <v>2508860</v>
      </c>
      <c r="O1695" s="169">
        <f t="shared" si="1149"/>
        <v>0</v>
      </c>
      <c r="P1695" s="16"/>
      <c r="Q1695" s="16"/>
      <c r="R1695" s="16"/>
      <c r="S1695" s="16"/>
      <c r="T1695" s="16"/>
      <c r="U1695" s="16"/>
    </row>
    <row r="1696" spans="1:21" s="94" customFormat="1" ht="25.5">
      <c r="A1696" s="12" t="s">
        <v>973</v>
      </c>
      <c r="B1696" s="25" t="s">
        <v>707</v>
      </c>
      <c r="C1696" s="26" t="s">
        <v>65</v>
      </c>
      <c r="D1696" s="26" t="s">
        <v>2</v>
      </c>
      <c r="E1696" s="26" t="s">
        <v>709</v>
      </c>
      <c r="F1696" s="26" t="s">
        <v>1043</v>
      </c>
      <c r="G1696" s="27">
        <f t="shared" ref="G1696" si="1166">J1696</f>
        <v>2496980</v>
      </c>
      <c r="H1696" s="27">
        <f>L1696</f>
        <v>2508860</v>
      </c>
      <c r="I1696" s="27">
        <f>N1696</f>
        <v>2508860</v>
      </c>
      <c r="J1696" s="16">
        <f>'БА в тыс. руб.'!G1696*1000</f>
        <v>2496980</v>
      </c>
      <c r="K1696" s="169">
        <f t="shared" si="1147"/>
        <v>0</v>
      </c>
      <c r="L1696" s="16">
        <f>'БА в тыс. руб.'!H1696*1000</f>
        <v>2508860</v>
      </c>
      <c r="M1696" s="169">
        <f t="shared" si="1148"/>
        <v>0</v>
      </c>
      <c r="N1696" s="16">
        <f>'БА в тыс. руб.'!I1696*1000</f>
        <v>2508860</v>
      </c>
      <c r="O1696" s="169">
        <f t="shared" si="1149"/>
        <v>0</v>
      </c>
      <c r="P1696" s="16"/>
      <c r="Q1696" s="16"/>
      <c r="R1696" s="16"/>
      <c r="S1696" s="16"/>
      <c r="T1696" s="16"/>
      <c r="U1696" s="16"/>
    </row>
    <row r="1697" spans="1:21" s="3" customFormat="1">
      <c r="A1697" s="11" t="s">
        <v>97</v>
      </c>
      <c r="B1697" s="25" t="s">
        <v>707</v>
      </c>
      <c r="C1697" s="26" t="s">
        <v>65</v>
      </c>
      <c r="D1697" s="26" t="s">
        <v>2</v>
      </c>
      <c r="E1697" s="26" t="s">
        <v>709</v>
      </c>
      <c r="F1697" s="26" t="s">
        <v>118</v>
      </c>
      <c r="G1697" s="27">
        <f>G1698</f>
        <v>19000</v>
      </c>
      <c r="H1697" s="27">
        <f t="shared" ref="H1697:I1697" si="1167">H1698</f>
        <v>19000</v>
      </c>
      <c r="I1697" s="27">
        <f t="shared" si="1167"/>
        <v>19000</v>
      </c>
      <c r="J1697" s="16">
        <f>'БА в тыс. руб.'!G1697*1000</f>
        <v>19000</v>
      </c>
      <c r="K1697" s="169">
        <f t="shared" si="1147"/>
        <v>0</v>
      </c>
      <c r="L1697" s="16">
        <f>'БА в тыс. руб.'!H1697*1000</f>
        <v>19000</v>
      </c>
      <c r="M1697" s="169">
        <f t="shared" si="1148"/>
        <v>0</v>
      </c>
      <c r="N1697" s="16">
        <f>'БА в тыс. руб.'!I1697*1000</f>
        <v>19000</v>
      </c>
      <c r="O1697" s="169">
        <f t="shared" si="1149"/>
        <v>0</v>
      </c>
      <c r="P1697" s="16"/>
      <c r="Q1697" s="16"/>
      <c r="R1697" s="16"/>
      <c r="S1697" s="16"/>
      <c r="T1697" s="16"/>
      <c r="U1697" s="16"/>
    </row>
    <row r="1698" spans="1:21" s="4" customFormat="1">
      <c r="A1698" s="12" t="s">
        <v>1038</v>
      </c>
      <c r="B1698" s="25" t="s">
        <v>707</v>
      </c>
      <c r="C1698" s="26" t="s">
        <v>65</v>
      </c>
      <c r="D1698" s="26" t="s">
        <v>2</v>
      </c>
      <c r="E1698" s="26" t="s">
        <v>709</v>
      </c>
      <c r="F1698" s="26" t="s">
        <v>1066</v>
      </c>
      <c r="G1698" s="27">
        <f t="shared" ref="G1698" si="1168">J1698</f>
        <v>19000</v>
      </c>
      <c r="H1698" s="27">
        <f>L1698</f>
        <v>19000</v>
      </c>
      <c r="I1698" s="27">
        <f>N1698</f>
        <v>19000</v>
      </c>
      <c r="J1698" s="16">
        <f>'БА в тыс. руб.'!G1698*1000</f>
        <v>19000</v>
      </c>
      <c r="K1698" s="169">
        <f t="shared" si="1147"/>
        <v>0</v>
      </c>
      <c r="L1698" s="16">
        <f>'БА в тыс. руб.'!H1698*1000</f>
        <v>19000</v>
      </c>
      <c r="M1698" s="169">
        <f t="shared" si="1148"/>
        <v>0</v>
      </c>
      <c r="N1698" s="16">
        <f>'БА в тыс. руб.'!I1698*1000</f>
        <v>19000</v>
      </c>
      <c r="O1698" s="169">
        <f t="shared" si="1149"/>
        <v>0</v>
      </c>
      <c r="P1698" s="16"/>
      <c r="Q1698" s="16"/>
      <c r="R1698" s="16"/>
      <c r="S1698" s="16"/>
      <c r="T1698" s="16"/>
      <c r="U1698" s="16"/>
    </row>
    <row r="1699" spans="1:21" s="3" customFormat="1" ht="25.5">
      <c r="A1699" s="11" t="s">
        <v>126</v>
      </c>
      <c r="B1699" s="25" t="s">
        <v>707</v>
      </c>
      <c r="C1699" s="26" t="s">
        <v>65</v>
      </c>
      <c r="D1699" s="26" t="s">
        <v>2</v>
      </c>
      <c r="E1699" s="26" t="s">
        <v>713</v>
      </c>
      <c r="F1699" s="26" t="s">
        <v>58</v>
      </c>
      <c r="G1699" s="27">
        <f>G1700</f>
        <v>10467790</v>
      </c>
      <c r="H1699" s="27">
        <f>H1700</f>
        <v>10467790</v>
      </c>
      <c r="I1699" s="27">
        <f>I1700</f>
        <v>10467790</v>
      </c>
      <c r="J1699" s="16">
        <f>'БА в тыс. руб.'!G1699*1000</f>
        <v>10467790</v>
      </c>
      <c r="K1699" s="169">
        <f t="shared" si="1147"/>
        <v>0</v>
      </c>
      <c r="L1699" s="16">
        <f>'БА в тыс. руб.'!H1699*1000</f>
        <v>10467790</v>
      </c>
      <c r="M1699" s="169">
        <f t="shared" si="1148"/>
        <v>0</v>
      </c>
      <c r="N1699" s="16">
        <f>'БА в тыс. руб.'!I1699*1000</f>
        <v>10467790</v>
      </c>
      <c r="O1699" s="169">
        <f t="shared" si="1149"/>
        <v>0</v>
      </c>
      <c r="P1699" s="16"/>
      <c r="Q1699" s="16"/>
      <c r="R1699" s="16"/>
      <c r="S1699" s="16"/>
      <c r="T1699" s="16"/>
      <c r="U1699" s="16"/>
    </row>
    <row r="1700" spans="1:21" s="3" customFormat="1" ht="25.5">
      <c r="A1700" s="11" t="s">
        <v>107</v>
      </c>
      <c r="B1700" s="25" t="s">
        <v>707</v>
      </c>
      <c r="C1700" s="26" t="s">
        <v>65</v>
      </c>
      <c r="D1700" s="26" t="s">
        <v>2</v>
      </c>
      <c r="E1700" s="26" t="s">
        <v>713</v>
      </c>
      <c r="F1700" s="26" t="s">
        <v>115</v>
      </c>
      <c r="G1700" s="27">
        <f>SUM(G1701:G1702)</f>
        <v>10467790</v>
      </c>
      <c r="H1700" s="27">
        <f t="shared" ref="H1700:I1700" si="1169">SUM(H1701:H1702)</f>
        <v>10467790</v>
      </c>
      <c r="I1700" s="27">
        <f t="shared" si="1169"/>
        <v>10467790</v>
      </c>
      <c r="J1700" s="16">
        <f>'БА в тыс. руб.'!G1700*1000</f>
        <v>10467790</v>
      </c>
      <c r="K1700" s="169">
        <f t="shared" si="1147"/>
        <v>0</v>
      </c>
      <c r="L1700" s="16">
        <f>'БА в тыс. руб.'!H1700*1000</f>
        <v>10467790</v>
      </c>
      <c r="M1700" s="169">
        <f t="shared" si="1148"/>
        <v>0</v>
      </c>
      <c r="N1700" s="16">
        <f>'БА в тыс. руб.'!I1700*1000</f>
        <v>10467790</v>
      </c>
      <c r="O1700" s="169">
        <f t="shared" si="1149"/>
        <v>0</v>
      </c>
      <c r="P1700" s="16"/>
      <c r="Q1700" s="16"/>
      <c r="R1700" s="16"/>
      <c r="S1700" s="16"/>
      <c r="T1700" s="16"/>
      <c r="U1700" s="16"/>
    </row>
    <row r="1701" spans="1:21" s="3" customFormat="1">
      <c r="A1701" s="11" t="s">
        <v>936</v>
      </c>
      <c r="B1701" s="25" t="s">
        <v>707</v>
      </c>
      <c r="C1701" s="26" t="s">
        <v>65</v>
      </c>
      <c r="D1701" s="26" t="s">
        <v>2</v>
      </c>
      <c r="E1701" s="26" t="s">
        <v>713</v>
      </c>
      <c r="F1701" s="26" t="s">
        <v>1063</v>
      </c>
      <c r="G1701" s="27">
        <f t="shared" ref="G1701:G1702" si="1170">J1701</f>
        <v>8039780</v>
      </c>
      <c r="H1701" s="27">
        <f t="shared" ref="H1701:H1704" si="1171">L1701</f>
        <v>8039780</v>
      </c>
      <c r="I1701" s="27">
        <f t="shared" ref="I1701:I1704" si="1172">N1701</f>
        <v>8039780</v>
      </c>
      <c r="J1701" s="16">
        <f>'БА в тыс. руб.'!G1701*1000</f>
        <v>8039780</v>
      </c>
      <c r="K1701" s="169">
        <f t="shared" si="1147"/>
        <v>0</v>
      </c>
      <c r="L1701" s="16">
        <f>'БА в тыс. руб.'!H1701*1000</f>
        <v>8039780</v>
      </c>
      <c r="M1701" s="169">
        <f t="shared" si="1148"/>
        <v>0</v>
      </c>
      <c r="N1701" s="16">
        <f>'БА в тыс. руб.'!I1701*1000</f>
        <v>8039780</v>
      </c>
      <c r="O1701" s="169">
        <f t="shared" si="1149"/>
        <v>0</v>
      </c>
      <c r="P1701" s="16"/>
      <c r="Q1701" s="16"/>
      <c r="R1701" s="16"/>
      <c r="S1701" s="16"/>
      <c r="T1701" s="16"/>
      <c r="U1701" s="16"/>
    </row>
    <row r="1702" spans="1:21" s="3" customFormat="1" ht="38.25">
      <c r="A1702" s="11" t="s">
        <v>939</v>
      </c>
      <c r="B1702" s="25" t="s">
        <v>707</v>
      </c>
      <c r="C1702" s="26" t="s">
        <v>65</v>
      </c>
      <c r="D1702" s="26" t="s">
        <v>2</v>
      </c>
      <c r="E1702" s="26" t="s">
        <v>713</v>
      </c>
      <c r="F1702" s="26" t="s">
        <v>1060</v>
      </c>
      <c r="G1702" s="27">
        <f t="shared" si="1170"/>
        <v>2428010</v>
      </c>
      <c r="H1702" s="27">
        <f t="shared" si="1171"/>
        <v>2428010</v>
      </c>
      <c r="I1702" s="27">
        <f t="shared" si="1172"/>
        <v>2428010</v>
      </c>
      <c r="J1702" s="16">
        <f>'БА в тыс. руб.'!G1702*1000</f>
        <v>2428010</v>
      </c>
      <c r="K1702" s="169">
        <f t="shared" si="1147"/>
        <v>0</v>
      </c>
      <c r="L1702" s="16">
        <f>'БА в тыс. руб.'!H1702*1000</f>
        <v>2428010</v>
      </c>
      <c r="M1702" s="169">
        <f t="shared" si="1148"/>
        <v>0</v>
      </c>
      <c r="N1702" s="16">
        <f>'БА в тыс. руб.'!I1702*1000</f>
        <v>2428010</v>
      </c>
      <c r="O1702" s="169">
        <f t="shared" si="1149"/>
        <v>0</v>
      </c>
      <c r="P1702" s="16"/>
      <c r="Q1702" s="16"/>
      <c r="R1702" s="16"/>
      <c r="S1702" s="16"/>
      <c r="T1702" s="16"/>
      <c r="U1702" s="16"/>
    </row>
    <row r="1703" spans="1:21" s="3" customFormat="1">
      <c r="A1703" s="11"/>
      <c r="B1703" s="25"/>
      <c r="C1703" s="26"/>
      <c r="D1703" s="26"/>
      <c r="E1703" s="26"/>
      <c r="F1703" s="26"/>
      <c r="G1703" s="27"/>
      <c r="H1703" s="27"/>
      <c r="I1703" s="27"/>
      <c r="J1703" s="16">
        <f>'БА в тыс. руб.'!G1703*1000</f>
        <v>0</v>
      </c>
      <c r="K1703" s="169">
        <f t="shared" si="1147"/>
        <v>0</v>
      </c>
      <c r="L1703" s="16">
        <f>'БА в тыс. руб.'!H1703*1000</f>
        <v>0</v>
      </c>
      <c r="M1703" s="169">
        <f t="shared" si="1148"/>
        <v>0</v>
      </c>
      <c r="N1703" s="16">
        <f>'БА в тыс. руб.'!I1703*1000</f>
        <v>0</v>
      </c>
      <c r="O1703" s="169">
        <f t="shared" si="1149"/>
        <v>0</v>
      </c>
      <c r="P1703" s="16"/>
      <c r="Q1703" s="16"/>
      <c r="R1703" s="16"/>
      <c r="S1703" s="16"/>
      <c r="T1703" s="16"/>
      <c r="U1703" s="16"/>
    </row>
    <row r="1704" spans="1:21" s="3" customFormat="1">
      <c r="A1704" s="11" t="s">
        <v>833</v>
      </c>
      <c r="B1704" s="25"/>
      <c r="C1704" s="26"/>
      <c r="D1704" s="26"/>
      <c r="E1704" s="26"/>
      <c r="F1704" s="26"/>
      <c r="G1704" s="27">
        <v>0</v>
      </c>
      <c r="H1704" s="27">
        <f t="shared" si="1171"/>
        <v>93704760</v>
      </c>
      <c r="I1704" s="27">
        <f t="shared" si="1172"/>
        <v>194788330.00000003</v>
      </c>
      <c r="J1704" s="16">
        <f>'БА в тыс. руб.'!G1704*1000</f>
        <v>0</v>
      </c>
      <c r="K1704" s="169">
        <f t="shared" si="1147"/>
        <v>0</v>
      </c>
      <c r="L1704" s="16">
        <f>'БА в тыс. руб.'!H1704*1000</f>
        <v>93704760</v>
      </c>
      <c r="M1704" s="169">
        <f t="shared" si="1148"/>
        <v>0</v>
      </c>
      <c r="N1704" s="16">
        <f>'БА в тыс. руб.'!I1704*1000</f>
        <v>194788330.00000003</v>
      </c>
      <c r="O1704" s="169">
        <f t="shared" si="1149"/>
        <v>0</v>
      </c>
      <c r="P1704" s="16"/>
      <c r="Q1704" s="16"/>
      <c r="R1704" s="16"/>
      <c r="S1704" s="16"/>
      <c r="T1704" s="16"/>
      <c r="U1704" s="16"/>
    </row>
    <row r="1705" spans="1:21" s="3" customFormat="1">
      <c r="A1705" s="160"/>
      <c r="B1705" s="25"/>
      <c r="C1705" s="26"/>
      <c r="D1705" s="26"/>
      <c r="E1705" s="26"/>
      <c r="F1705" s="26"/>
      <c r="G1705" s="27"/>
      <c r="H1705" s="27"/>
      <c r="I1705" s="27"/>
      <c r="J1705" s="27"/>
      <c r="K1705" s="169">
        <f t="shared" si="1147"/>
        <v>0</v>
      </c>
      <c r="L1705" s="27"/>
      <c r="M1705" s="169">
        <f t="shared" si="1148"/>
        <v>0</v>
      </c>
      <c r="N1705" s="16">
        <f>'БА в тыс. руб.'!I1705*1000</f>
        <v>0</v>
      </c>
      <c r="O1705" s="169">
        <f t="shared" si="1149"/>
        <v>0</v>
      </c>
      <c r="P1705" s="16"/>
      <c r="Q1705" s="16"/>
      <c r="R1705" s="16"/>
      <c r="S1705" s="16"/>
      <c r="T1705" s="16"/>
      <c r="U1705" s="16"/>
    </row>
    <row r="1706" spans="1:21">
      <c r="A1706" s="9" t="s">
        <v>41</v>
      </c>
      <c r="B1706" s="61"/>
      <c r="C1706" s="15"/>
      <c r="D1706" s="15"/>
      <c r="E1706" s="15"/>
      <c r="F1706" s="15"/>
      <c r="G1706" s="29">
        <f>G5+G62+G275+G344+G390+G431+G632+G814+G1018+G1096+G1182+G1265+G1348+G1613+G1522+G1686+G1704</f>
        <v>8620578340</v>
      </c>
      <c r="H1706" s="29">
        <f>H5+H62+H275+H344+H390+H431+H632+H814+H1018+H1096+H1182+H1265+H1348+H1613+H1522+H1686+H1704</f>
        <v>7084551580</v>
      </c>
      <c r="I1706" s="29">
        <f>I5+I62+I275+I344+I390+I431+I632+I814+I1018+I1096+I1182+I1265+I1348+I1613+I1522+I1686+I1704</f>
        <v>7545819350</v>
      </c>
      <c r="J1706" s="29">
        <f>J5+J62+J275+J344+J390+J431+J632+J814+J1018+J1096+J1182+J1265+J1348+J1613+J1522+J1686+J1704</f>
        <v>8620578340</v>
      </c>
      <c r="K1706" s="169">
        <f t="shared" si="1147"/>
        <v>0</v>
      </c>
      <c r="L1706" s="29">
        <f>L5+L62+L275+L344+L390+L431+L632+L814+L1018+L1096+L1182+L1265+L1348+L1613+L1522+L1686+L1704</f>
        <v>7084551580</v>
      </c>
      <c r="M1706" s="169">
        <f t="shared" si="1148"/>
        <v>0</v>
      </c>
      <c r="N1706" s="29">
        <f>N5+N62+N275+N344+N390+N431+N632+N814+N1018+N1096+N1182+N1265+N1348+N1613+N1522+N1686+N1704</f>
        <v>7545819350</v>
      </c>
      <c r="O1706" s="169">
        <f t="shared" si="1149"/>
        <v>0</v>
      </c>
      <c r="P1706" s="29"/>
      <c r="Q1706" s="29"/>
      <c r="R1706" s="29"/>
      <c r="S1706" s="29"/>
      <c r="T1706" s="29"/>
      <c r="U1706" s="29"/>
    </row>
    <row r="1707" spans="1:21">
      <c r="H1707" s="49"/>
      <c r="I1707" s="20"/>
      <c r="J1707" s="20"/>
      <c r="K1707" s="173"/>
      <c r="L1707" s="29"/>
      <c r="M1707" s="169"/>
      <c r="N1707" s="20"/>
      <c r="O1707" s="177"/>
      <c r="P1707" s="20"/>
      <c r="Q1707" s="20"/>
      <c r="R1707" s="20"/>
      <c r="S1707" s="20"/>
      <c r="T1707" s="20"/>
      <c r="U1707" s="20"/>
    </row>
    <row r="1708" spans="1:21">
      <c r="H1708" s="49"/>
      <c r="I1708" s="20"/>
      <c r="J1708" s="20"/>
      <c r="K1708" s="173"/>
      <c r="L1708" s="29"/>
      <c r="M1708" s="169"/>
      <c r="N1708" s="20"/>
      <c r="O1708" s="177"/>
      <c r="P1708" s="20"/>
      <c r="Q1708" s="20"/>
      <c r="R1708" s="20"/>
      <c r="S1708" s="20"/>
      <c r="T1708" s="20"/>
      <c r="U1708" s="20"/>
    </row>
    <row r="1709" spans="1:21">
      <c r="E1709" s="65"/>
      <c r="F1709" s="65"/>
      <c r="G1709" s="52">
        <f>'БА в тыс. руб.'!G1709*1000</f>
        <v>8620578340.0000019</v>
      </c>
      <c r="H1709" s="52">
        <f>'БА в тыс. руб.'!H1709*1000</f>
        <v>7084551580</v>
      </c>
      <c r="I1709" s="52">
        <f>'БА в тыс. руб.'!I1709*1000</f>
        <v>7545819350.000001</v>
      </c>
      <c r="J1709" s="52"/>
      <c r="K1709" s="174"/>
      <c r="L1709" s="27"/>
      <c r="M1709" s="169"/>
      <c r="N1709" s="52"/>
      <c r="O1709" s="177"/>
      <c r="P1709" s="52"/>
      <c r="Q1709" s="52"/>
      <c r="R1709" s="52"/>
      <c r="S1709" s="52"/>
      <c r="T1709" s="52"/>
      <c r="U1709" s="52"/>
    </row>
    <row r="1710" spans="1:21">
      <c r="E1710" s="65"/>
      <c r="F1710" s="65"/>
      <c r="G1710" s="52">
        <f>G1706-G1709</f>
        <v>0</v>
      </c>
      <c r="H1710" s="52">
        <f>H1706-H1709</f>
        <v>0</v>
      </c>
      <c r="I1710" s="52">
        <f>I1706-I1709</f>
        <v>0</v>
      </c>
      <c r="J1710" s="52"/>
      <c r="K1710" s="174"/>
      <c r="L1710" s="27"/>
      <c r="M1710" s="169"/>
      <c r="N1710" s="52"/>
      <c r="O1710" s="177"/>
      <c r="P1710" s="52"/>
      <c r="Q1710" s="52"/>
      <c r="R1710" s="52"/>
      <c r="S1710" s="52"/>
      <c r="T1710" s="52"/>
      <c r="U1710" s="52"/>
    </row>
    <row r="1711" spans="1:21">
      <c r="E1711" s="65"/>
      <c r="F1711" s="65"/>
      <c r="G1711" s="52"/>
      <c r="H1711" s="52"/>
      <c r="I1711" s="52"/>
      <c r="J1711" s="52"/>
      <c r="K1711" s="174"/>
      <c r="L1711" s="27"/>
      <c r="M1711" s="177"/>
      <c r="N1711" s="52"/>
      <c r="O1711" s="177"/>
      <c r="P1711" s="52"/>
      <c r="Q1711" s="52"/>
      <c r="R1711" s="52"/>
      <c r="S1711" s="52"/>
      <c r="T1711" s="52"/>
      <c r="U1711" s="52"/>
    </row>
    <row r="1712" spans="1:21">
      <c r="E1712" s="65"/>
      <c r="F1712" s="65"/>
      <c r="G1712" s="52"/>
      <c r="H1712" s="52"/>
      <c r="I1712" s="52"/>
      <c r="J1712" s="52"/>
      <c r="K1712" s="174"/>
      <c r="L1712" s="27"/>
      <c r="M1712" s="177"/>
      <c r="N1712" s="52"/>
      <c r="O1712" s="177"/>
      <c r="P1712" s="52"/>
      <c r="Q1712" s="52"/>
      <c r="R1712" s="52"/>
      <c r="S1712" s="52"/>
      <c r="T1712" s="52"/>
      <c r="U1712" s="52"/>
    </row>
    <row r="1713" spans="5:21">
      <c r="E1713" s="65"/>
      <c r="F1713" s="65"/>
      <c r="G1713" s="52"/>
      <c r="H1713" s="52"/>
      <c r="I1713" s="52"/>
      <c r="J1713" s="52"/>
      <c r="K1713" s="174"/>
      <c r="L1713" s="27"/>
      <c r="M1713" s="177"/>
      <c r="N1713" s="52"/>
      <c r="O1713" s="177"/>
      <c r="P1713" s="52"/>
      <c r="Q1713" s="52"/>
      <c r="R1713" s="52"/>
      <c r="S1713" s="52"/>
      <c r="T1713" s="52"/>
      <c r="U1713" s="52"/>
    </row>
    <row r="1714" spans="5:21">
      <c r="E1714" s="65"/>
      <c r="F1714" s="65"/>
      <c r="G1714" s="52"/>
      <c r="H1714" s="52"/>
      <c r="I1714" s="52"/>
      <c r="J1714" s="52"/>
      <c r="K1714" s="174"/>
      <c r="L1714" s="27"/>
      <c r="M1714" s="177"/>
      <c r="N1714" s="52"/>
      <c r="O1714" s="177"/>
      <c r="P1714" s="52"/>
      <c r="Q1714" s="52"/>
      <c r="R1714" s="52"/>
      <c r="S1714" s="52"/>
      <c r="T1714" s="52"/>
      <c r="U1714" s="52"/>
    </row>
    <row r="1715" spans="5:21">
      <c r="E1715" s="65"/>
      <c r="F1715" s="65"/>
      <c r="G1715" s="52"/>
      <c r="H1715" s="52"/>
      <c r="I1715" s="52"/>
      <c r="J1715" s="52"/>
      <c r="K1715" s="174"/>
      <c r="L1715" s="52"/>
      <c r="M1715" s="174"/>
      <c r="N1715" s="52"/>
      <c r="O1715" s="174"/>
      <c r="P1715" s="52"/>
      <c r="Q1715" s="52"/>
      <c r="R1715" s="52"/>
      <c r="S1715" s="52"/>
      <c r="T1715" s="52"/>
      <c r="U1715" s="52"/>
    </row>
    <row r="1716" spans="5:21">
      <c r="G1716" s="49"/>
      <c r="H1716" s="49"/>
      <c r="I1716" s="49"/>
      <c r="J1716" s="49"/>
      <c r="K1716" s="175"/>
      <c r="L1716" s="49"/>
      <c r="M1716" s="175"/>
      <c r="N1716" s="49"/>
      <c r="O1716" s="175"/>
      <c r="P1716" s="49"/>
      <c r="Q1716" s="49"/>
      <c r="R1716" s="49"/>
      <c r="S1716" s="49"/>
      <c r="T1716" s="49"/>
      <c r="U1716" s="49"/>
    </row>
    <row r="1717" spans="5:21">
      <c r="I1717" s="20"/>
      <c r="J1717" s="20"/>
      <c r="K1717" s="173"/>
      <c r="L1717" s="20"/>
      <c r="M1717" s="173"/>
      <c r="N1717" s="20"/>
      <c r="O1717" s="173"/>
      <c r="P1717" s="20"/>
      <c r="Q1717" s="20"/>
      <c r="R1717" s="20"/>
      <c r="S1717" s="20"/>
      <c r="T1717" s="20"/>
      <c r="U1717" s="20"/>
    </row>
  </sheetData>
  <autoFilter ref="A3:O1706"/>
  <pageMargins left="0.59055118110236227" right="0.15748031496062992" top="0.51181102362204722" bottom="0.27559055118110237" header="0.19685039370078741" footer="0.15748031496062992"/>
  <pageSetup paperSize="9" scale="10" fitToHeight="2" orientation="portrait" r:id="rId1"/>
  <headerFooter differentFirst="1" alignWithMargins="0">
    <oddHeader>&amp;C&amp;P</oddHeader>
  </headerFooter>
  <rowBreaks count="1" manualBreakCount="1">
    <brk id="781" max="8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F0"/>
  </sheetPr>
  <dimension ref="A1:I1713"/>
  <sheetViews>
    <sheetView view="pageBreakPreview" topLeftCell="A1144" zoomScaleNormal="100" zoomScaleSheetLayoutView="100" workbookViewId="0">
      <selection activeCell="A1159" sqref="A1159"/>
    </sheetView>
  </sheetViews>
  <sheetFormatPr defaultColWidth="8.7265625" defaultRowHeight="15.75"/>
  <cols>
    <col min="1" max="1" width="44.90625" style="6" customWidth="1"/>
    <col min="2" max="2" width="5" style="62" customWidth="1"/>
    <col min="3" max="3" width="3.36328125" style="63" customWidth="1"/>
    <col min="4" max="4" width="3" style="63" customWidth="1"/>
    <col min="5" max="5" width="8.90625" style="63" customWidth="1"/>
    <col min="6" max="6" width="4" style="63" customWidth="1"/>
    <col min="7" max="7" width="11.453125" style="64" bestFit="1" customWidth="1"/>
    <col min="8" max="8" width="15.453125" style="67" customWidth="1"/>
    <col min="9" max="9" width="10.36328125" style="176" customWidth="1"/>
    <col min="10" max="16384" width="8.7265625" style="5"/>
  </cols>
  <sheetData>
    <row r="1" spans="1:9" s="2" customFormat="1">
      <c r="A1" s="1"/>
      <c r="B1" s="48"/>
      <c r="C1" s="193"/>
      <c r="D1" s="193"/>
      <c r="E1" s="193"/>
      <c r="F1" s="193"/>
      <c r="G1" s="197" t="s">
        <v>1078</v>
      </c>
      <c r="H1" s="195"/>
      <c r="I1" s="196"/>
    </row>
    <row r="2" spans="1:9" s="2" customFormat="1">
      <c r="A2" s="1"/>
      <c r="B2" s="48"/>
      <c r="C2" s="193"/>
      <c r="D2" s="193"/>
      <c r="E2" s="193"/>
      <c r="F2" s="193"/>
      <c r="G2" s="198" t="s">
        <v>1073</v>
      </c>
      <c r="H2" s="195"/>
      <c r="I2" s="196"/>
    </row>
    <row r="3" spans="1:9" s="2" customFormat="1">
      <c r="A3" s="1"/>
      <c r="B3" s="48"/>
      <c r="C3" s="193"/>
      <c r="D3" s="193"/>
      <c r="E3" s="193"/>
      <c r="F3" s="193"/>
      <c r="G3" s="199" t="s">
        <v>1074</v>
      </c>
      <c r="H3" s="195"/>
      <c r="I3" s="196"/>
    </row>
    <row r="4" spans="1:9" s="2" customFormat="1">
      <c r="A4" s="1"/>
      <c r="B4" s="48"/>
      <c r="C4" s="193"/>
      <c r="D4" s="193"/>
      <c r="E4" s="193"/>
      <c r="F4" s="193"/>
      <c r="G4" s="199" t="s">
        <v>1075</v>
      </c>
      <c r="H4" s="195"/>
      <c r="I4" s="196"/>
    </row>
    <row r="5" spans="1:9" s="2" customFormat="1">
      <c r="A5" s="1"/>
      <c r="B5" s="48"/>
      <c r="C5" s="193"/>
      <c r="D5" s="193"/>
      <c r="E5" s="193"/>
      <c r="F5" s="193"/>
      <c r="G5" s="199" t="s">
        <v>1076</v>
      </c>
      <c r="H5" s="195"/>
      <c r="I5" s="196"/>
    </row>
    <row r="6" spans="1:9" s="2" customFormat="1">
      <c r="A6" s="1"/>
      <c r="B6" s="48"/>
      <c r="C6" s="193"/>
      <c r="D6" s="193"/>
      <c r="E6" s="193"/>
      <c r="F6" s="193"/>
      <c r="G6" s="199" t="s">
        <v>1077</v>
      </c>
      <c r="H6" s="195"/>
      <c r="I6" s="196"/>
    </row>
    <row r="7" spans="1:9" s="2" customFormat="1">
      <c r="A7" s="1"/>
      <c r="B7" s="48"/>
      <c r="C7" s="193"/>
      <c r="D7" s="193"/>
      <c r="E7" s="193"/>
      <c r="F7" s="193"/>
      <c r="G7" s="194"/>
      <c r="H7" s="195"/>
      <c r="I7" s="196"/>
    </row>
    <row r="8" spans="1:9" s="2" customFormat="1" ht="18.75">
      <c r="A8" s="376" t="s">
        <v>1079</v>
      </c>
      <c r="B8" s="376"/>
      <c r="C8" s="376"/>
      <c r="D8" s="376"/>
      <c r="E8" s="376"/>
      <c r="F8" s="376"/>
      <c r="G8" s="376"/>
      <c r="H8" s="200"/>
      <c r="I8" s="200"/>
    </row>
    <row r="9" spans="1:9" s="2" customFormat="1" ht="18.75">
      <c r="A9" s="376" t="s">
        <v>1119</v>
      </c>
      <c r="B9" s="376"/>
      <c r="C9" s="376"/>
      <c r="D9" s="376"/>
      <c r="E9" s="376"/>
      <c r="F9" s="376"/>
      <c r="G9" s="376"/>
      <c r="H9" s="200"/>
      <c r="I9" s="200"/>
    </row>
    <row r="10" spans="1:9" s="2" customFormat="1" ht="18.75">
      <c r="A10" s="201"/>
      <c r="B10" s="201"/>
      <c r="C10" s="201"/>
      <c r="D10" s="201"/>
      <c r="E10" s="201"/>
      <c r="F10" s="201"/>
      <c r="G10" s="201"/>
      <c r="H10" s="200"/>
      <c r="I10" s="200"/>
    </row>
    <row r="11" spans="1:9" s="2" customFormat="1" ht="18.75">
      <c r="A11" s="377" t="s">
        <v>1080</v>
      </c>
      <c r="B11" s="377"/>
      <c r="C11" s="377"/>
      <c r="D11" s="377"/>
      <c r="E11" s="377"/>
      <c r="F11" s="377"/>
      <c r="G11" s="377"/>
      <c r="H11" s="200"/>
      <c r="I11" s="200"/>
    </row>
    <row r="12" spans="1:9" s="2" customFormat="1" ht="18.75">
      <c r="A12" s="377" t="s">
        <v>1081</v>
      </c>
      <c r="B12" s="377"/>
      <c r="C12" s="377"/>
      <c r="D12" s="377"/>
      <c r="E12" s="377"/>
      <c r="F12" s="377"/>
      <c r="G12" s="377"/>
      <c r="H12" s="200"/>
      <c r="I12" s="200"/>
    </row>
    <row r="13" spans="1:9" s="2" customFormat="1" ht="16.5" thickBot="1">
      <c r="A13" s="7"/>
      <c r="B13" s="54"/>
      <c r="C13" s="55"/>
      <c r="D13" s="55"/>
      <c r="F13" s="206"/>
      <c r="G13" s="207" t="s">
        <v>1091</v>
      </c>
      <c r="H13" s="78"/>
      <c r="I13" s="166"/>
    </row>
    <row r="14" spans="1:9" s="2" customFormat="1" ht="53.45" customHeight="1" thickBot="1">
      <c r="A14" s="378" t="s">
        <v>1082</v>
      </c>
      <c r="B14" s="379" t="s">
        <v>1083</v>
      </c>
      <c r="C14" s="380"/>
      <c r="D14" s="379"/>
      <c r="E14" s="379"/>
      <c r="F14" s="379"/>
      <c r="G14" s="379" t="s">
        <v>1084</v>
      </c>
      <c r="H14" s="78"/>
      <c r="I14" s="166"/>
    </row>
    <row r="15" spans="1:9" s="2" customFormat="1" ht="16.5" thickBot="1">
      <c r="A15" s="378"/>
      <c r="B15" s="208" t="s">
        <v>1092</v>
      </c>
      <c r="C15" s="208" t="s">
        <v>23</v>
      </c>
      <c r="D15" s="208" t="s">
        <v>44</v>
      </c>
      <c r="E15" s="208" t="s">
        <v>45</v>
      </c>
      <c r="F15" s="208" t="s">
        <v>46</v>
      </c>
      <c r="G15" s="379"/>
      <c r="H15" s="78"/>
      <c r="I15" s="166"/>
    </row>
    <row r="16" spans="1:9" s="2" customFormat="1">
      <c r="A16" s="202" t="s">
        <v>1085</v>
      </c>
      <c r="B16" s="203" t="s">
        <v>1086</v>
      </c>
      <c r="C16" s="204" t="s">
        <v>1087</v>
      </c>
      <c r="D16" s="203" t="s">
        <v>552</v>
      </c>
      <c r="E16" s="205" t="s">
        <v>1088</v>
      </c>
      <c r="F16" s="203" t="s">
        <v>1089</v>
      </c>
      <c r="G16" s="203" t="s">
        <v>1090</v>
      </c>
      <c r="H16" s="215"/>
      <c r="I16" s="216"/>
    </row>
    <row r="17" spans="1:9" s="3" customFormat="1">
      <c r="A17" s="219" t="s">
        <v>47</v>
      </c>
      <c r="B17" s="220" t="s">
        <v>48</v>
      </c>
      <c r="C17" s="221" t="s">
        <v>51</v>
      </c>
      <c r="D17" s="221" t="s">
        <v>51</v>
      </c>
      <c r="E17" s="221" t="s">
        <v>196</v>
      </c>
      <c r="F17" s="221" t="s">
        <v>58</v>
      </c>
      <c r="G17" s="222"/>
      <c r="H17" s="222"/>
      <c r="I17" s="223"/>
    </row>
    <row r="18" spans="1:9" s="3" customFormat="1">
      <c r="A18" s="224" t="s">
        <v>64</v>
      </c>
      <c r="B18" s="225" t="s">
        <v>48</v>
      </c>
      <c r="C18" s="226" t="s">
        <v>65</v>
      </c>
      <c r="D18" s="226" t="s">
        <v>51</v>
      </c>
      <c r="E18" s="226" t="s">
        <v>196</v>
      </c>
      <c r="F18" s="226" t="s">
        <v>58</v>
      </c>
      <c r="G18" s="227"/>
      <c r="H18" s="222"/>
      <c r="I18" s="223"/>
    </row>
    <row r="19" spans="1:9" s="3" customFormat="1" ht="25.5">
      <c r="A19" s="228" t="s">
        <v>56</v>
      </c>
      <c r="B19" s="229" t="s">
        <v>48</v>
      </c>
      <c r="C19" s="230" t="s">
        <v>65</v>
      </c>
      <c r="D19" s="230" t="s">
        <v>53</v>
      </c>
      <c r="E19" s="230" t="s">
        <v>196</v>
      </c>
      <c r="F19" s="230" t="s">
        <v>58</v>
      </c>
      <c r="G19" s="231"/>
      <c r="H19" s="222"/>
      <c r="I19" s="223"/>
    </row>
    <row r="20" spans="1:9" s="3" customFormat="1">
      <c r="A20" s="232" t="s">
        <v>124</v>
      </c>
      <c r="B20" s="233" t="s">
        <v>48</v>
      </c>
      <c r="C20" s="234" t="s">
        <v>65</v>
      </c>
      <c r="D20" s="234" t="s">
        <v>53</v>
      </c>
      <c r="E20" s="234" t="s">
        <v>197</v>
      </c>
      <c r="F20" s="234" t="s">
        <v>58</v>
      </c>
      <c r="G20" s="235"/>
      <c r="H20" s="222"/>
      <c r="I20" s="223"/>
    </row>
    <row r="21" spans="1:9" s="3" customFormat="1" ht="25.5">
      <c r="A21" s="232" t="s">
        <v>125</v>
      </c>
      <c r="B21" s="233" t="s">
        <v>48</v>
      </c>
      <c r="C21" s="234" t="s">
        <v>65</v>
      </c>
      <c r="D21" s="234" t="s">
        <v>53</v>
      </c>
      <c r="E21" s="234" t="s">
        <v>200</v>
      </c>
      <c r="F21" s="234" t="s">
        <v>58</v>
      </c>
      <c r="G21" s="235"/>
      <c r="H21" s="222"/>
      <c r="I21" s="223"/>
    </row>
    <row r="22" spans="1:9" s="3" customFormat="1" ht="25.5">
      <c r="A22" s="232" t="s">
        <v>114</v>
      </c>
      <c r="B22" s="233" t="s">
        <v>48</v>
      </c>
      <c r="C22" s="234" t="s">
        <v>65</v>
      </c>
      <c r="D22" s="234" t="s">
        <v>53</v>
      </c>
      <c r="E22" s="234" t="s">
        <v>201</v>
      </c>
      <c r="F22" s="234" t="s">
        <v>58</v>
      </c>
      <c r="G22" s="235"/>
      <c r="H22" s="222"/>
      <c r="I22" s="223"/>
    </row>
    <row r="23" spans="1:9" s="3" customFormat="1">
      <c r="A23" s="236" t="s">
        <v>107</v>
      </c>
      <c r="B23" s="233" t="s">
        <v>48</v>
      </c>
      <c r="C23" s="234" t="s">
        <v>65</v>
      </c>
      <c r="D23" s="234" t="s">
        <v>53</v>
      </c>
      <c r="E23" s="234" t="s">
        <v>201</v>
      </c>
      <c r="F23" s="234" t="s">
        <v>115</v>
      </c>
      <c r="G23" s="235"/>
      <c r="H23" s="222"/>
      <c r="I23" s="223"/>
    </row>
    <row r="24" spans="1:9" s="3" customFormat="1" ht="25.5">
      <c r="A24" s="236" t="s">
        <v>937</v>
      </c>
      <c r="B24" s="233" t="s">
        <v>48</v>
      </c>
      <c r="C24" s="234" t="s">
        <v>65</v>
      </c>
      <c r="D24" s="234" t="s">
        <v>53</v>
      </c>
      <c r="E24" s="234" t="s">
        <v>201</v>
      </c>
      <c r="F24" s="234" t="s">
        <v>1059</v>
      </c>
      <c r="G24" s="235"/>
      <c r="H24" s="222"/>
      <c r="I24" s="223"/>
    </row>
    <row r="25" spans="1:9" s="4" customFormat="1" ht="38.25">
      <c r="A25" s="236" t="s">
        <v>938</v>
      </c>
      <c r="B25" s="233" t="s">
        <v>48</v>
      </c>
      <c r="C25" s="234" t="s">
        <v>65</v>
      </c>
      <c r="D25" s="234" t="s">
        <v>53</v>
      </c>
      <c r="E25" s="234" t="s">
        <v>201</v>
      </c>
      <c r="F25" s="234" t="s">
        <v>1068</v>
      </c>
      <c r="G25" s="235"/>
      <c r="H25" s="222"/>
      <c r="I25" s="223"/>
    </row>
    <row r="26" spans="1:9" s="4" customFormat="1" ht="38.25">
      <c r="A26" s="236" t="s">
        <v>939</v>
      </c>
      <c r="B26" s="233" t="s">
        <v>48</v>
      </c>
      <c r="C26" s="234" t="s">
        <v>65</v>
      </c>
      <c r="D26" s="234" t="s">
        <v>53</v>
      </c>
      <c r="E26" s="234" t="s">
        <v>201</v>
      </c>
      <c r="F26" s="234" t="s">
        <v>1060</v>
      </c>
      <c r="G26" s="235"/>
      <c r="H26" s="222"/>
      <c r="I26" s="223"/>
    </row>
    <row r="27" spans="1:9" s="3" customFormat="1" ht="25.5">
      <c r="A27" s="232" t="s">
        <v>108</v>
      </c>
      <c r="B27" s="233" t="s">
        <v>48</v>
      </c>
      <c r="C27" s="234" t="s">
        <v>65</v>
      </c>
      <c r="D27" s="234" t="s">
        <v>53</v>
      </c>
      <c r="E27" s="234" t="s">
        <v>201</v>
      </c>
      <c r="F27" s="234" t="s">
        <v>116</v>
      </c>
      <c r="G27" s="235"/>
      <c r="H27" s="222"/>
      <c r="I27" s="223"/>
    </row>
    <row r="28" spans="1:9" s="4" customFormat="1" ht="25.5">
      <c r="A28" s="236" t="s">
        <v>973</v>
      </c>
      <c r="B28" s="233" t="s">
        <v>48</v>
      </c>
      <c r="C28" s="234" t="s">
        <v>65</v>
      </c>
      <c r="D28" s="234" t="s">
        <v>53</v>
      </c>
      <c r="E28" s="234" t="s">
        <v>201</v>
      </c>
      <c r="F28" s="234" t="s">
        <v>1043</v>
      </c>
      <c r="G28" s="235"/>
      <c r="H28" s="222"/>
      <c r="I28" s="223"/>
    </row>
    <row r="29" spans="1:9" s="3" customFormat="1">
      <c r="A29" s="232" t="s">
        <v>97</v>
      </c>
      <c r="B29" s="233" t="s">
        <v>48</v>
      </c>
      <c r="C29" s="234" t="s">
        <v>65</v>
      </c>
      <c r="D29" s="234" t="s">
        <v>53</v>
      </c>
      <c r="E29" s="234" t="s">
        <v>201</v>
      </c>
      <c r="F29" s="234" t="s">
        <v>118</v>
      </c>
      <c r="G29" s="235"/>
      <c r="H29" s="222"/>
      <c r="I29" s="223"/>
    </row>
    <row r="30" spans="1:9" s="3" customFormat="1">
      <c r="A30" s="232" t="s">
        <v>1036</v>
      </c>
      <c r="B30" s="233" t="s">
        <v>48</v>
      </c>
      <c r="C30" s="234" t="s">
        <v>65</v>
      </c>
      <c r="D30" s="234" t="s">
        <v>53</v>
      </c>
      <c r="E30" s="234" t="s">
        <v>201</v>
      </c>
      <c r="F30" s="234" t="s">
        <v>1061</v>
      </c>
      <c r="G30" s="235"/>
      <c r="H30" s="222"/>
      <c r="I30" s="223"/>
    </row>
    <row r="31" spans="1:9" s="3" customFormat="1">
      <c r="A31" s="232" t="s">
        <v>1037</v>
      </c>
      <c r="B31" s="233" t="s">
        <v>48</v>
      </c>
      <c r="C31" s="234" t="s">
        <v>65</v>
      </c>
      <c r="D31" s="234" t="s">
        <v>53</v>
      </c>
      <c r="E31" s="234" t="s">
        <v>201</v>
      </c>
      <c r="F31" s="234" t="s">
        <v>1062</v>
      </c>
      <c r="G31" s="235"/>
      <c r="H31" s="222"/>
      <c r="I31" s="223"/>
    </row>
    <row r="32" spans="1:9" s="3" customFormat="1" ht="25.5">
      <c r="A32" s="232" t="s">
        <v>126</v>
      </c>
      <c r="B32" s="233" t="s">
        <v>48</v>
      </c>
      <c r="C32" s="234" t="s">
        <v>65</v>
      </c>
      <c r="D32" s="234" t="s">
        <v>53</v>
      </c>
      <c r="E32" s="234" t="s">
        <v>202</v>
      </c>
      <c r="F32" s="234" t="s">
        <v>58</v>
      </c>
      <c r="G32" s="235"/>
      <c r="H32" s="222"/>
      <c r="I32" s="223"/>
    </row>
    <row r="33" spans="1:9" s="3" customFormat="1">
      <c r="A33" s="232" t="s">
        <v>107</v>
      </c>
      <c r="B33" s="233" t="s">
        <v>48</v>
      </c>
      <c r="C33" s="234" t="s">
        <v>65</v>
      </c>
      <c r="D33" s="234" t="s">
        <v>53</v>
      </c>
      <c r="E33" s="234" t="s">
        <v>202</v>
      </c>
      <c r="F33" s="234" t="s">
        <v>115</v>
      </c>
      <c r="G33" s="235"/>
      <c r="H33" s="222"/>
      <c r="I33" s="223"/>
    </row>
    <row r="34" spans="1:9" s="3" customFormat="1">
      <c r="A34" s="232" t="s">
        <v>936</v>
      </c>
      <c r="B34" s="233" t="s">
        <v>48</v>
      </c>
      <c r="C34" s="234" t="s">
        <v>65</v>
      </c>
      <c r="D34" s="234" t="s">
        <v>53</v>
      </c>
      <c r="E34" s="234" t="s">
        <v>202</v>
      </c>
      <c r="F34" s="234" t="s">
        <v>1063</v>
      </c>
      <c r="G34" s="235"/>
      <c r="H34" s="222"/>
      <c r="I34" s="223"/>
    </row>
    <row r="35" spans="1:9" s="3" customFormat="1" ht="38.25">
      <c r="A35" s="232" t="s">
        <v>939</v>
      </c>
      <c r="B35" s="233" t="s">
        <v>48</v>
      </c>
      <c r="C35" s="234" t="s">
        <v>65</v>
      </c>
      <c r="D35" s="234" t="s">
        <v>53</v>
      </c>
      <c r="E35" s="234" t="s">
        <v>202</v>
      </c>
      <c r="F35" s="234" t="s">
        <v>1060</v>
      </c>
      <c r="G35" s="235"/>
      <c r="H35" s="222"/>
      <c r="I35" s="223"/>
    </row>
    <row r="36" spans="1:9" s="3" customFormat="1">
      <c r="A36" s="232" t="s">
        <v>831</v>
      </c>
      <c r="B36" s="233" t="s">
        <v>48</v>
      </c>
      <c r="C36" s="234" t="s">
        <v>65</v>
      </c>
      <c r="D36" s="234" t="s">
        <v>53</v>
      </c>
      <c r="E36" s="234" t="s">
        <v>198</v>
      </c>
      <c r="F36" s="234" t="s">
        <v>58</v>
      </c>
      <c r="G36" s="235"/>
      <c r="H36" s="222"/>
      <c r="I36" s="223"/>
    </row>
    <row r="37" spans="1:9" s="3" customFormat="1" ht="25.5">
      <c r="A37" s="232" t="s">
        <v>114</v>
      </c>
      <c r="B37" s="233" t="s">
        <v>48</v>
      </c>
      <c r="C37" s="234" t="s">
        <v>65</v>
      </c>
      <c r="D37" s="234" t="s">
        <v>53</v>
      </c>
      <c r="E37" s="234" t="s">
        <v>628</v>
      </c>
      <c r="F37" s="234" t="s">
        <v>58</v>
      </c>
      <c r="G37" s="235"/>
      <c r="H37" s="222"/>
      <c r="I37" s="223"/>
    </row>
    <row r="38" spans="1:9" s="3" customFormat="1">
      <c r="A38" s="232" t="s">
        <v>107</v>
      </c>
      <c r="B38" s="233" t="s">
        <v>48</v>
      </c>
      <c r="C38" s="234" t="s">
        <v>65</v>
      </c>
      <c r="D38" s="234" t="s">
        <v>53</v>
      </c>
      <c r="E38" s="234" t="s">
        <v>628</v>
      </c>
      <c r="F38" s="234" t="s">
        <v>115</v>
      </c>
      <c r="G38" s="235"/>
      <c r="H38" s="222"/>
      <c r="I38" s="223"/>
    </row>
    <row r="39" spans="1:9" s="3" customFormat="1" ht="25.5">
      <c r="A39" s="232" t="s">
        <v>937</v>
      </c>
      <c r="B39" s="233" t="s">
        <v>48</v>
      </c>
      <c r="C39" s="234" t="s">
        <v>65</v>
      </c>
      <c r="D39" s="234" t="s">
        <v>53</v>
      </c>
      <c r="E39" s="234" t="s">
        <v>628</v>
      </c>
      <c r="F39" s="234" t="s">
        <v>1059</v>
      </c>
      <c r="G39" s="235"/>
      <c r="H39" s="222"/>
      <c r="I39" s="223"/>
    </row>
    <row r="40" spans="1:9" s="3" customFormat="1" ht="38.25">
      <c r="A40" s="232" t="s">
        <v>939</v>
      </c>
      <c r="B40" s="233" t="s">
        <v>48</v>
      </c>
      <c r="C40" s="234" t="s">
        <v>65</v>
      </c>
      <c r="D40" s="234" t="s">
        <v>53</v>
      </c>
      <c r="E40" s="234" t="s">
        <v>628</v>
      </c>
      <c r="F40" s="234" t="s">
        <v>1060</v>
      </c>
      <c r="G40" s="235"/>
      <c r="H40" s="222"/>
      <c r="I40" s="223"/>
    </row>
    <row r="41" spans="1:9" s="3" customFormat="1" ht="25.5">
      <c r="A41" s="232" t="s">
        <v>126</v>
      </c>
      <c r="B41" s="233" t="s">
        <v>48</v>
      </c>
      <c r="C41" s="234" t="s">
        <v>65</v>
      </c>
      <c r="D41" s="234" t="s">
        <v>53</v>
      </c>
      <c r="E41" s="234" t="s">
        <v>199</v>
      </c>
      <c r="F41" s="234" t="s">
        <v>58</v>
      </c>
      <c r="G41" s="235"/>
      <c r="H41" s="222"/>
      <c r="I41" s="223"/>
    </row>
    <row r="42" spans="1:9" s="3" customFormat="1">
      <c r="A42" s="232" t="s">
        <v>107</v>
      </c>
      <c r="B42" s="233" t="s">
        <v>48</v>
      </c>
      <c r="C42" s="234" t="s">
        <v>65</v>
      </c>
      <c r="D42" s="234" t="s">
        <v>53</v>
      </c>
      <c r="E42" s="234" t="s">
        <v>199</v>
      </c>
      <c r="F42" s="234" t="s">
        <v>115</v>
      </c>
      <c r="G42" s="235"/>
      <c r="H42" s="222"/>
      <c r="I42" s="223"/>
    </row>
    <row r="43" spans="1:9" s="3" customFormat="1">
      <c r="A43" s="232" t="s">
        <v>936</v>
      </c>
      <c r="B43" s="233" t="s">
        <v>48</v>
      </c>
      <c r="C43" s="234" t="s">
        <v>65</v>
      </c>
      <c r="D43" s="234" t="s">
        <v>53</v>
      </c>
      <c r="E43" s="234" t="s">
        <v>199</v>
      </c>
      <c r="F43" s="234" t="s">
        <v>1063</v>
      </c>
      <c r="G43" s="235"/>
      <c r="H43" s="222"/>
      <c r="I43" s="223"/>
    </row>
    <row r="44" spans="1:9" s="3" customFormat="1" ht="38.25">
      <c r="A44" s="232" t="s">
        <v>939</v>
      </c>
      <c r="B44" s="233" t="s">
        <v>48</v>
      </c>
      <c r="C44" s="234" t="s">
        <v>65</v>
      </c>
      <c r="D44" s="234" t="s">
        <v>53</v>
      </c>
      <c r="E44" s="234" t="s">
        <v>199</v>
      </c>
      <c r="F44" s="234" t="s">
        <v>1060</v>
      </c>
      <c r="G44" s="235"/>
      <c r="H44" s="222"/>
      <c r="I44" s="223"/>
    </row>
    <row r="45" spans="1:9" s="3" customFormat="1">
      <c r="A45" s="232" t="s">
        <v>28</v>
      </c>
      <c r="B45" s="233" t="s">
        <v>48</v>
      </c>
      <c r="C45" s="234" t="s">
        <v>65</v>
      </c>
      <c r="D45" s="234" t="s">
        <v>53</v>
      </c>
      <c r="E45" s="234" t="s">
        <v>203</v>
      </c>
      <c r="F45" s="234" t="s">
        <v>58</v>
      </c>
      <c r="G45" s="235"/>
      <c r="H45" s="222"/>
      <c r="I45" s="223"/>
    </row>
    <row r="46" spans="1:9" s="3" customFormat="1" ht="25.5">
      <c r="A46" s="232" t="s">
        <v>114</v>
      </c>
      <c r="B46" s="233" t="s">
        <v>48</v>
      </c>
      <c r="C46" s="234" t="s">
        <v>65</v>
      </c>
      <c r="D46" s="234" t="s">
        <v>53</v>
      </c>
      <c r="E46" s="234" t="s">
        <v>643</v>
      </c>
      <c r="F46" s="234" t="s">
        <v>58</v>
      </c>
      <c r="G46" s="235"/>
      <c r="H46" s="222"/>
      <c r="I46" s="223"/>
    </row>
    <row r="47" spans="1:9" s="3" customFormat="1">
      <c r="A47" s="232" t="s">
        <v>107</v>
      </c>
      <c r="B47" s="233" t="s">
        <v>48</v>
      </c>
      <c r="C47" s="234" t="s">
        <v>65</v>
      </c>
      <c r="D47" s="234" t="s">
        <v>53</v>
      </c>
      <c r="E47" s="234" t="s">
        <v>643</v>
      </c>
      <c r="F47" s="234" t="s">
        <v>115</v>
      </c>
      <c r="G47" s="235"/>
      <c r="H47" s="222"/>
      <c r="I47" s="223"/>
    </row>
    <row r="48" spans="1:9" s="3" customFormat="1" ht="25.5">
      <c r="A48" s="232" t="s">
        <v>937</v>
      </c>
      <c r="B48" s="233" t="s">
        <v>48</v>
      </c>
      <c r="C48" s="234" t="s">
        <v>65</v>
      </c>
      <c r="D48" s="234" t="s">
        <v>53</v>
      </c>
      <c r="E48" s="234" t="s">
        <v>643</v>
      </c>
      <c r="F48" s="234" t="s">
        <v>1059</v>
      </c>
      <c r="G48" s="235"/>
      <c r="H48" s="222"/>
      <c r="I48" s="223"/>
    </row>
    <row r="49" spans="1:9" s="3" customFormat="1" ht="38.25">
      <c r="A49" s="232" t="s">
        <v>939</v>
      </c>
      <c r="B49" s="233" t="s">
        <v>48</v>
      </c>
      <c r="C49" s="234" t="s">
        <v>65</v>
      </c>
      <c r="D49" s="234" t="s">
        <v>53</v>
      </c>
      <c r="E49" s="234" t="s">
        <v>643</v>
      </c>
      <c r="F49" s="234" t="s">
        <v>1060</v>
      </c>
      <c r="G49" s="235"/>
      <c r="H49" s="222"/>
      <c r="I49" s="223"/>
    </row>
    <row r="50" spans="1:9" s="3" customFormat="1" ht="25.5">
      <c r="A50" s="232" t="s">
        <v>126</v>
      </c>
      <c r="B50" s="233" t="s">
        <v>48</v>
      </c>
      <c r="C50" s="234" t="s">
        <v>65</v>
      </c>
      <c r="D50" s="234" t="s">
        <v>53</v>
      </c>
      <c r="E50" s="234" t="s">
        <v>204</v>
      </c>
      <c r="F50" s="234" t="s">
        <v>58</v>
      </c>
      <c r="G50" s="235"/>
      <c r="H50" s="222"/>
      <c r="I50" s="223"/>
    </row>
    <row r="51" spans="1:9" s="3" customFormat="1">
      <c r="A51" s="232" t="s">
        <v>107</v>
      </c>
      <c r="B51" s="233" t="s">
        <v>48</v>
      </c>
      <c r="C51" s="234" t="s">
        <v>65</v>
      </c>
      <c r="D51" s="234" t="s">
        <v>53</v>
      </c>
      <c r="E51" s="234" t="s">
        <v>204</v>
      </c>
      <c r="F51" s="234" t="s">
        <v>115</v>
      </c>
      <c r="G51" s="235"/>
      <c r="H51" s="222"/>
      <c r="I51" s="223"/>
    </row>
    <row r="52" spans="1:9" s="3" customFormat="1">
      <c r="A52" s="232" t="s">
        <v>936</v>
      </c>
      <c r="B52" s="233" t="s">
        <v>48</v>
      </c>
      <c r="C52" s="234" t="s">
        <v>65</v>
      </c>
      <c r="D52" s="234" t="s">
        <v>53</v>
      </c>
      <c r="E52" s="234" t="s">
        <v>204</v>
      </c>
      <c r="F52" s="234" t="s">
        <v>1063</v>
      </c>
      <c r="G52" s="235"/>
      <c r="H52" s="222"/>
      <c r="I52" s="223"/>
    </row>
    <row r="53" spans="1:9" s="3" customFormat="1" ht="38.25">
      <c r="A53" s="232" t="s">
        <v>939</v>
      </c>
      <c r="B53" s="233" t="s">
        <v>48</v>
      </c>
      <c r="C53" s="234" t="s">
        <v>65</v>
      </c>
      <c r="D53" s="234" t="s">
        <v>53</v>
      </c>
      <c r="E53" s="234" t="s">
        <v>204</v>
      </c>
      <c r="F53" s="234" t="s">
        <v>1060</v>
      </c>
      <c r="G53" s="235"/>
      <c r="H53" s="222"/>
      <c r="I53" s="223"/>
    </row>
    <row r="54" spans="1:9" s="3" customFormat="1">
      <c r="A54" s="228" t="s">
        <v>38</v>
      </c>
      <c r="B54" s="229" t="s">
        <v>48</v>
      </c>
      <c r="C54" s="230" t="s">
        <v>65</v>
      </c>
      <c r="D54" s="230" t="s">
        <v>84</v>
      </c>
      <c r="E54" s="230" t="s">
        <v>196</v>
      </c>
      <c r="F54" s="230" t="s">
        <v>58</v>
      </c>
      <c r="G54" s="231"/>
      <c r="H54" s="222"/>
      <c r="I54" s="223"/>
    </row>
    <row r="55" spans="1:9" s="3" customFormat="1">
      <c r="A55" s="232" t="s">
        <v>124</v>
      </c>
      <c r="B55" s="233" t="s">
        <v>48</v>
      </c>
      <c r="C55" s="234" t="s">
        <v>65</v>
      </c>
      <c r="D55" s="234" t="s">
        <v>84</v>
      </c>
      <c r="E55" s="234" t="s">
        <v>197</v>
      </c>
      <c r="F55" s="234" t="s">
        <v>58</v>
      </c>
      <c r="G55" s="235"/>
      <c r="H55" s="222"/>
      <c r="I55" s="223"/>
    </row>
    <row r="56" spans="1:9" s="3" customFormat="1">
      <c r="A56" s="232" t="s">
        <v>175</v>
      </c>
      <c r="B56" s="233" t="s">
        <v>48</v>
      </c>
      <c r="C56" s="234" t="s">
        <v>65</v>
      </c>
      <c r="D56" s="234" t="s">
        <v>84</v>
      </c>
      <c r="E56" s="234" t="s">
        <v>205</v>
      </c>
      <c r="F56" s="234" t="s">
        <v>58</v>
      </c>
      <c r="G56" s="235"/>
      <c r="H56" s="222"/>
      <c r="I56" s="223"/>
    </row>
    <row r="57" spans="1:9" s="3" customFormat="1" ht="51">
      <c r="A57" s="237" t="s">
        <v>846</v>
      </c>
      <c r="B57" s="233" t="s">
        <v>48</v>
      </c>
      <c r="C57" s="234" t="s">
        <v>65</v>
      </c>
      <c r="D57" s="234" t="s">
        <v>84</v>
      </c>
      <c r="E57" s="234" t="s">
        <v>832</v>
      </c>
      <c r="F57" s="234" t="s">
        <v>58</v>
      </c>
      <c r="G57" s="235"/>
      <c r="H57" s="222"/>
      <c r="I57" s="223"/>
    </row>
    <row r="58" spans="1:9" s="3" customFormat="1" ht="25.5">
      <c r="A58" s="232" t="s">
        <v>108</v>
      </c>
      <c r="B58" s="233" t="s">
        <v>48</v>
      </c>
      <c r="C58" s="234" t="s">
        <v>65</v>
      </c>
      <c r="D58" s="234" t="s">
        <v>84</v>
      </c>
      <c r="E58" s="234" t="s">
        <v>832</v>
      </c>
      <c r="F58" s="234" t="s">
        <v>116</v>
      </c>
      <c r="G58" s="235"/>
      <c r="H58" s="222"/>
      <c r="I58" s="223"/>
    </row>
    <row r="59" spans="1:9" s="4" customFormat="1" ht="25.5">
      <c r="A59" s="236" t="s">
        <v>973</v>
      </c>
      <c r="B59" s="233" t="s">
        <v>48</v>
      </c>
      <c r="C59" s="234" t="s">
        <v>65</v>
      </c>
      <c r="D59" s="234" t="s">
        <v>84</v>
      </c>
      <c r="E59" s="234" t="s">
        <v>832</v>
      </c>
      <c r="F59" s="234" t="s">
        <v>1043</v>
      </c>
      <c r="G59" s="235"/>
      <c r="H59" s="222"/>
      <c r="I59" s="223"/>
    </row>
    <row r="60" spans="1:9" s="3" customFormat="1">
      <c r="A60" s="224" t="s">
        <v>77</v>
      </c>
      <c r="B60" s="225" t="s">
        <v>48</v>
      </c>
      <c r="C60" s="226" t="s">
        <v>40</v>
      </c>
      <c r="D60" s="226" t="s">
        <v>51</v>
      </c>
      <c r="E60" s="226" t="s">
        <v>196</v>
      </c>
      <c r="F60" s="226" t="s">
        <v>58</v>
      </c>
      <c r="G60" s="227"/>
      <c r="H60" s="222"/>
      <c r="I60" s="223"/>
    </row>
    <row r="61" spans="1:9" s="3" customFormat="1">
      <c r="A61" s="228" t="s">
        <v>906</v>
      </c>
      <c r="B61" s="229" t="s">
        <v>48</v>
      </c>
      <c r="C61" s="230" t="s">
        <v>40</v>
      </c>
      <c r="D61" s="230" t="s">
        <v>65</v>
      </c>
      <c r="E61" s="230" t="s">
        <v>196</v>
      </c>
      <c r="F61" s="230" t="s">
        <v>58</v>
      </c>
      <c r="G61" s="231"/>
      <c r="H61" s="222"/>
      <c r="I61" s="223"/>
    </row>
    <row r="62" spans="1:9" s="3" customFormat="1">
      <c r="A62" s="232" t="s">
        <v>124</v>
      </c>
      <c r="B62" s="233" t="s">
        <v>48</v>
      </c>
      <c r="C62" s="234" t="s">
        <v>40</v>
      </c>
      <c r="D62" s="234" t="s">
        <v>65</v>
      </c>
      <c r="E62" s="234" t="s">
        <v>197</v>
      </c>
      <c r="F62" s="234" t="s">
        <v>58</v>
      </c>
      <c r="G62" s="235"/>
      <c r="H62" s="222"/>
      <c r="I62" s="223"/>
    </row>
    <row r="63" spans="1:9" s="3" customFormat="1">
      <c r="A63" s="232" t="s">
        <v>175</v>
      </c>
      <c r="B63" s="233" t="s">
        <v>48</v>
      </c>
      <c r="C63" s="234" t="s">
        <v>40</v>
      </c>
      <c r="D63" s="234" t="s">
        <v>65</v>
      </c>
      <c r="E63" s="234" t="s">
        <v>205</v>
      </c>
      <c r="F63" s="234" t="s">
        <v>58</v>
      </c>
      <c r="G63" s="235"/>
      <c r="H63" s="222"/>
      <c r="I63" s="223"/>
    </row>
    <row r="64" spans="1:9" s="3" customFormat="1">
      <c r="A64" s="232" t="s">
        <v>120</v>
      </c>
      <c r="B64" s="233" t="s">
        <v>48</v>
      </c>
      <c r="C64" s="234" t="s">
        <v>40</v>
      </c>
      <c r="D64" s="234" t="s">
        <v>65</v>
      </c>
      <c r="E64" s="234" t="s">
        <v>928</v>
      </c>
      <c r="F64" s="234" t="s">
        <v>58</v>
      </c>
      <c r="G64" s="235"/>
      <c r="H64" s="222"/>
      <c r="I64" s="223"/>
    </row>
    <row r="65" spans="1:9" s="3" customFormat="1" ht="25.5">
      <c r="A65" s="232" t="s">
        <v>108</v>
      </c>
      <c r="B65" s="233" t="s">
        <v>48</v>
      </c>
      <c r="C65" s="234" t="s">
        <v>40</v>
      </c>
      <c r="D65" s="234" t="s">
        <v>65</v>
      </c>
      <c r="E65" s="234" t="s">
        <v>928</v>
      </c>
      <c r="F65" s="234" t="s">
        <v>116</v>
      </c>
      <c r="G65" s="235"/>
      <c r="H65" s="222"/>
      <c r="I65" s="223"/>
    </row>
    <row r="66" spans="1:9" s="4" customFormat="1" ht="25.5">
      <c r="A66" s="236" t="s">
        <v>973</v>
      </c>
      <c r="B66" s="233" t="s">
        <v>48</v>
      </c>
      <c r="C66" s="234" t="s">
        <v>40</v>
      </c>
      <c r="D66" s="234" t="s">
        <v>65</v>
      </c>
      <c r="E66" s="234" t="s">
        <v>928</v>
      </c>
      <c r="F66" s="234" t="s">
        <v>1043</v>
      </c>
      <c r="G66" s="235"/>
      <c r="H66" s="222"/>
      <c r="I66" s="223"/>
    </row>
    <row r="67" spans="1:9" s="3" customFormat="1">
      <c r="A67" s="228" t="s">
        <v>52</v>
      </c>
      <c r="B67" s="229" t="s">
        <v>48</v>
      </c>
      <c r="C67" s="230" t="s">
        <v>40</v>
      </c>
      <c r="D67" s="230" t="s">
        <v>66</v>
      </c>
      <c r="E67" s="230" t="s">
        <v>196</v>
      </c>
      <c r="F67" s="230" t="s">
        <v>58</v>
      </c>
      <c r="G67" s="231"/>
      <c r="H67" s="222"/>
      <c r="I67" s="223"/>
    </row>
    <row r="68" spans="1:9" s="3" customFormat="1">
      <c r="A68" s="232" t="s">
        <v>124</v>
      </c>
      <c r="B68" s="233" t="s">
        <v>48</v>
      </c>
      <c r="C68" s="234" t="s">
        <v>40</v>
      </c>
      <c r="D68" s="234" t="s">
        <v>66</v>
      </c>
      <c r="E68" s="234" t="s">
        <v>197</v>
      </c>
      <c r="F68" s="234" t="s">
        <v>58</v>
      </c>
      <c r="G68" s="235"/>
      <c r="H68" s="222"/>
      <c r="I68" s="223"/>
    </row>
    <row r="69" spans="1:9" s="3" customFormat="1">
      <c r="A69" s="232" t="s">
        <v>175</v>
      </c>
      <c r="B69" s="233" t="s">
        <v>48</v>
      </c>
      <c r="C69" s="234" t="s">
        <v>40</v>
      </c>
      <c r="D69" s="234" t="s">
        <v>66</v>
      </c>
      <c r="E69" s="234" t="s">
        <v>205</v>
      </c>
      <c r="F69" s="234" t="s">
        <v>58</v>
      </c>
      <c r="G69" s="235"/>
      <c r="H69" s="222"/>
      <c r="I69" s="223"/>
    </row>
    <row r="70" spans="1:9" s="3" customFormat="1">
      <c r="A70" s="232" t="s">
        <v>120</v>
      </c>
      <c r="B70" s="233" t="s">
        <v>48</v>
      </c>
      <c r="C70" s="234" t="s">
        <v>40</v>
      </c>
      <c r="D70" s="234" t="s">
        <v>66</v>
      </c>
      <c r="E70" s="234" t="s">
        <v>928</v>
      </c>
      <c r="F70" s="234" t="s">
        <v>58</v>
      </c>
      <c r="G70" s="235"/>
      <c r="H70" s="222"/>
      <c r="I70" s="223"/>
    </row>
    <row r="71" spans="1:9" s="3" customFormat="1" ht="25.5">
      <c r="A71" s="232" t="s">
        <v>108</v>
      </c>
      <c r="B71" s="233" t="s">
        <v>48</v>
      </c>
      <c r="C71" s="234" t="s">
        <v>40</v>
      </c>
      <c r="D71" s="234" t="s">
        <v>66</v>
      </c>
      <c r="E71" s="234" t="s">
        <v>928</v>
      </c>
      <c r="F71" s="234" t="s">
        <v>116</v>
      </c>
      <c r="G71" s="235"/>
      <c r="H71" s="222"/>
      <c r="I71" s="223"/>
    </row>
    <row r="72" spans="1:9" s="4" customFormat="1" ht="25.5">
      <c r="A72" s="236" t="s">
        <v>973</v>
      </c>
      <c r="B72" s="233" t="s">
        <v>48</v>
      </c>
      <c r="C72" s="234" t="s">
        <v>40</v>
      </c>
      <c r="D72" s="234" t="s">
        <v>66</v>
      </c>
      <c r="E72" s="234" t="s">
        <v>928</v>
      </c>
      <c r="F72" s="234" t="s">
        <v>1043</v>
      </c>
      <c r="G72" s="235"/>
      <c r="H72" s="222"/>
      <c r="I72" s="223"/>
    </row>
    <row r="73" spans="1:9" s="71" customFormat="1">
      <c r="A73" s="238"/>
      <c r="B73" s="239"/>
      <c r="C73" s="240"/>
      <c r="D73" s="240"/>
      <c r="E73" s="240"/>
      <c r="F73" s="240"/>
      <c r="G73" s="235"/>
      <c r="H73" s="222"/>
      <c r="I73" s="223"/>
    </row>
    <row r="74" spans="1:9" s="3" customFormat="1">
      <c r="A74" s="219" t="s">
        <v>54</v>
      </c>
      <c r="B74" s="220" t="s">
        <v>55</v>
      </c>
      <c r="C74" s="221" t="s">
        <v>51</v>
      </c>
      <c r="D74" s="221" t="s">
        <v>51</v>
      </c>
      <c r="E74" s="221" t="s">
        <v>196</v>
      </c>
      <c r="F74" s="221" t="s">
        <v>58</v>
      </c>
      <c r="G74" s="222"/>
      <c r="H74" s="222"/>
      <c r="I74" s="223"/>
    </row>
    <row r="75" spans="1:9" s="3" customFormat="1">
      <c r="A75" s="224" t="s">
        <v>64</v>
      </c>
      <c r="B75" s="225" t="s">
        <v>55</v>
      </c>
      <c r="C75" s="226" t="s">
        <v>65</v>
      </c>
      <c r="D75" s="226" t="s">
        <v>51</v>
      </c>
      <c r="E75" s="226" t="s">
        <v>196</v>
      </c>
      <c r="F75" s="226" t="s">
        <v>58</v>
      </c>
      <c r="G75" s="227"/>
      <c r="H75" s="222"/>
      <c r="I75" s="223"/>
    </row>
    <row r="76" spans="1:9" s="3" customFormat="1" ht="25.5">
      <c r="A76" s="228" t="s">
        <v>33</v>
      </c>
      <c r="B76" s="229" t="s">
        <v>55</v>
      </c>
      <c r="C76" s="230" t="s">
        <v>65</v>
      </c>
      <c r="D76" s="230" t="s">
        <v>66</v>
      </c>
      <c r="E76" s="230" t="s">
        <v>196</v>
      </c>
      <c r="F76" s="230" t="s">
        <v>58</v>
      </c>
      <c r="G76" s="231"/>
      <c r="H76" s="222"/>
      <c r="I76" s="223"/>
    </row>
    <row r="77" spans="1:9" s="3" customFormat="1">
      <c r="A77" s="232" t="s">
        <v>112</v>
      </c>
      <c r="B77" s="233" t="s">
        <v>55</v>
      </c>
      <c r="C77" s="234" t="s">
        <v>65</v>
      </c>
      <c r="D77" s="234" t="s">
        <v>66</v>
      </c>
      <c r="E77" s="234" t="s">
        <v>206</v>
      </c>
      <c r="F77" s="234" t="s">
        <v>58</v>
      </c>
      <c r="G77" s="235"/>
      <c r="H77" s="222"/>
      <c r="I77" s="223"/>
    </row>
    <row r="78" spans="1:9" s="3" customFormat="1">
      <c r="A78" s="232" t="s">
        <v>34</v>
      </c>
      <c r="B78" s="233" t="s">
        <v>55</v>
      </c>
      <c r="C78" s="234" t="s">
        <v>65</v>
      </c>
      <c r="D78" s="234" t="s">
        <v>66</v>
      </c>
      <c r="E78" s="234" t="s">
        <v>213</v>
      </c>
      <c r="F78" s="234" t="s">
        <v>58</v>
      </c>
      <c r="G78" s="235"/>
      <c r="H78" s="222"/>
      <c r="I78" s="223"/>
    </row>
    <row r="79" spans="1:9" s="3" customFormat="1" ht="25.5">
      <c r="A79" s="232" t="s">
        <v>114</v>
      </c>
      <c r="B79" s="233" t="s">
        <v>55</v>
      </c>
      <c r="C79" s="234" t="s">
        <v>65</v>
      </c>
      <c r="D79" s="234" t="s">
        <v>66</v>
      </c>
      <c r="E79" s="234" t="s">
        <v>585</v>
      </c>
      <c r="F79" s="234" t="s">
        <v>58</v>
      </c>
      <c r="G79" s="235"/>
      <c r="H79" s="222"/>
      <c r="I79" s="223"/>
    </row>
    <row r="80" spans="1:9" s="3" customFormat="1">
      <c r="A80" s="232" t="s">
        <v>107</v>
      </c>
      <c r="B80" s="233" t="s">
        <v>55</v>
      </c>
      <c r="C80" s="234" t="s">
        <v>65</v>
      </c>
      <c r="D80" s="234" t="s">
        <v>66</v>
      </c>
      <c r="E80" s="234" t="s">
        <v>585</v>
      </c>
      <c r="F80" s="234" t="s">
        <v>115</v>
      </c>
      <c r="G80" s="235"/>
      <c r="H80" s="222"/>
      <c r="I80" s="223"/>
    </row>
    <row r="81" spans="1:9" s="3" customFormat="1" ht="25.5">
      <c r="A81" s="232" t="s">
        <v>937</v>
      </c>
      <c r="B81" s="233" t="s">
        <v>55</v>
      </c>
      <c r="C81" s="234" t="s">
        <v>65</v>
      </c>
      <c r="D81" s="234" t="s">
        <v>66</v>
      </c>
      <c r="E81" s="234" t="s">
        <v>585</v>
      </c>
      <c r="F81" s="234" t="s">
        <v>1059</v>
      </c>
      <c r="G81" s="235"/>
      <c r="H81" s="222"/>
      <c r="I81" s="223"/>
    </row>
    <row r="82" spans="1:9" s="3" customFormat="1" ht="38.25">
      <c r="A82" s="232" t="s">
        <v>939</v>
      </c>
      <c r="B82" s="233" t="s">
        <v>55</v>
      </c>
      <c r="C82" s="234" t="s">
        <v>65</v>
      </c>
      <c r="D82" s="234" t="s">
        <v>66</v>
      </c>
      <c r="E82" s="234" t="s">
        <v>585</v>
      </c>
      <c r="F82" s="234" t="s">
        <v>1060</v>
      </c>
      <c r="G82" s="235"/>
      <c r="H82" s="222"/>
      <c r="I82" s="223"/>
    </row>
    <row r="83" spans="1:9" s="3" customFormat="1" ht="25.5">
      <c r="A83" s="232" t="s">
        <v>126</v>
      </c>
      <c r="B83" s="233" t="s">
        <v>55</v>
      </c>
      <c r="C83" s="234" t="s">
        <v>65</v>
      </c>
      <c r="D83" s="234" t="s">
        <v>66</v>
      </c>
      <c r="E83" s="234" t="s">
        <v>214</v>
      </c>
      <c r="F83" s="234" t="s">
        <v>58</v>
      </c>
      <c r="G83" s="235"/>
      <c r="H83" s="222"/>
      <c r="I83" s="223"/>
    </row>
    <row r="84" spans="1:9" s="3" customFormat="1">
      <c r="A84" s="236" t="s">
        <v>107</v>
      </c>
      <c r="B84" s="233" t="s">
        <v>55</v>
      </c>
      <c r="C84" s="234" t="s">
        <v>65</v>
      </c>
      <c r="D84" s="234" t="s">
        <v>66</v>
      </c>
      <c r="E84" s="234" t="s">
        <v>214</v>
      </c>
      <c r="F84" s="234" t="s">
        <v>115</v>
      </c>
      <c r="G84" s="235"/>
      <c r="H84" s="222"/>
      <c r="I84" s="223"/>
    </row>
    <row r="85" spans="1:9" s="4" customFormat="1">
      <c r="A85" s="236" t="s">
        <v>936</v>
      </c>
      <c r="B85" s="233" t="s">
        <v>55</v>
      </c>
      <c r="C85" s="234" t="s">
        <v>65</v>
      </c>
      <c r="D85" s="234" t="s">
        <v>66</v>
      </c>
      <c r="E85" s="234" t="s">
        <v>214</v>
      </c>
      <c r="F85" s="234" t="s">
        <v>1063</v>
      </c>
      <c r="G85" s="235"/>
      <c r="H85" s="222"/>
      <c r="I85" s="223"/>
    </row>
    <row r="86" spans="1:9" s="4" customFormat="1" ht="38.25">
      <c r="A86" s="236" t="s">
        <v>939</v>
      </c>
      <c r="B86" s="233" t="s">
        <v>55</v>
      </c>
      <c r="C86" s="234" t="s">
        <v>65</v>
      </c>
      <c r="D86" s="234" t="s">
        <v>66</v>
      </c>
      <c r="E86" s="234" t="s">
        <v>214</v>
      </c>
      <c r="F86" s="234" t="s">
        <v>1060</v>
      </c>
      <c r="G86" s="235"/>
      <c r="H86" s="222"/>
      <c r="I86" s="223"/>
    </row>
    <row r="87" spans="1:9" s="3" customFormat="1" ht="38.25">
      <c r="A87" s="228" t="s">
        <v>31</v>
      </c>
      <c r="B87" s="229" t="s">
        <v>55</v>
      </c>
      <c r="C87" s="230" t="s">
        <v>65</v>
      </c>
      <c r="D87" s="230" t="s">
        <v>37</v>
      </c>
      <c r="E87" s="230" t="s">
        <v>196</v>
      </c>
      <c r="F87" s="230" t="s">
        <v>58</v>
      </c>
      <c r="G87" s="231"/>
      <c r="H87" s="222"/>
      <c r="I87" s="223"/>
    </row>
    <row r="88" spans="1:9" s="3" customFormat="1">
      <c r="A88" s="237" t="s">
        <v>112</v>
      </c>
      <c r="B88" s="233" t="s">
        <v>55</v>
      </c>
      <c r="C88" s="234" t="s">
        <v>65</v>
      </c>
      <c r="D88" s="234" t="s">
        <v>37</v>
      </c>
      <c r="E88" s="234" t="s">
        <v>206</v>
      </c>
      <c r="F88" s="234" t="s">
        <v>58</v>
      </c>
      <c r="G88" s="235"/>
      <c r="H88" s="222"/>
      <c r="I88" s="223"/>
    </row>
    <row r="89" spans="1:9" s="3" customFormat="1" ht="25.5">
      <c r="A89" s="237" t="s">
        <v>113</v>
      </c>
      <c r="B89" s="233" t="s">
        <v>55</v>
      </c>
      <c r="C89" s="234" t="s">
        <v>65</v>
      </c>
      <c r="D89" s="234" t="s">
        <v>37</v>
      </c>
      <c r="E89" s="234" t="s">
        <v>207</v>
      </c>
      <c r="F89" s="234" t="s">
        <v>58</v>
      </c>
      <c r="G89" s="235"/>
      <c r="H89" s="222"/>
      <c r="I89" s="223"/>
    </row>
    <row r="90" spans="1:9" s="3" customFormat="1" ht="25.5">
      <c r="A90" s="237" t="s">
        <v>114</v>
      </c>
      <c r="B90" s="241" t="s">
        <v>55</v>
      </c>
      <c r="C90" s="242" t="s">
        <v>65</v>
      </c>
      <c r="D90" s="242" t="s">
        <v>37</v>
      </c>
      <c r="E90" s="242" t="s">
        <v>208</v>
      </c>
      <c r="F90" s="242" t="s">
        <v>58</v>
      </c>
      <c r="G90" s="243"/>
      <c r="H90" s="222"/>
      <c r="I90" s="223"/>
    </row>
    <row r="91" spans="1:9" s="3" customFormat="1">
      <c r="A91" s="236" t="s">
        <v>107</v>
      </c>
      <c r="B91" s="241" t="s">
        <v>55</v>
      </c>
      <c r="C91" s="242" t="s">
        <v>65</v>
      </c>
      <c r="D91" s="242" t="s">
        <v>37</v>
      </c>
      <c r="E91" s="242" t="s">
        <v>208</v>
      </c>
      <c r="F91" s="234" t="s">
        <v>115</v>
      </c>
      <c r="G91" s="235"/>
      <c r="H91" s="222"/>
      <c r="I91" s="223"/>
    </row>
    <row r="92" spans="1:9" s="3" customFormat="1" ht="25.5">
      <c r="A92" s="232" t="s">
        <v>937</v>
      </c>
      <c r="B92" s="233" t="s">
        <v>55</v>
      </c>
      <c r="C92" s="234" t="s">
        <v>65</v>
      </c>
      <c r="D92" s="234" t="s">
        <v>37</v>
      </c>
      <c r="E92" s="234" t="s">
        <v>208</v>
      </c>
      <c r="F92" s="234" t="s">
        <v>1059</v>
      </c>
      <c r="G92" s="235"/>
      <c r="H92" s="222"/>
      <c r="I92" s="223"/>
    </row>
    <row r="93" spans="1:9" s="3" customFormat="1" ht="38.25">
      <c r="A93" s="232" t="s">
        <v>939</v>
      </c>
      <c r="B93" s="233" t="s">
        <v>55</v>
      </c>
      <c r="C93" s="234" t="s">
        <v>65</v>
      </c>
      <c r="D93" s="234" t="s">
        <v>37</v>
      </c>
      <c r="E93" s="234" t="s">
        <v>208</v>
      </c>
      <c r="F93" s="234" t="s">
        <v>1060</v>
      </c>
      <c r="G93" s="235"/>
      <c r="H93" s="222"/>
      <c r="I93" s="223"/>
    </row>
    <row r="94" spans="1:9" s="3" customFormat="1" ht="25.5">
      <c r="A94" s="232" t="s">
        <v>108</v>
      </c>
      <c r="B94" s="241" t="s">
        <v>55</v>
      </c>
      <c r="C94" s="242" t="s">
        <v>65</v>
      </c>
      <c r="D94" s="242" t="s">
        <v>37</v>
      </c>
      <c r="E94" s="242" t="s">
        <v>208</v>
      </c>
      <c r="F94" s="234" t="s">
        <v>116</v>
      </c>
      <c r="G94" s="235"/>
      <c r="H94" s="222"/>
      <c r="I94" s="223"/>
    </row>
    <row r="95" spans="1:9" s="4" customFormat="1" ht="25.5">
      <c r="A95" s="236" t="s">
        <v>973</v>
      </c>
      <c r="B95" s="241" t="s">
        <v>55</v>
      </c>
      <c r="C95" s="242" t="s">
        <v>65</v>
      </c>
      <c r="D95" s="242" t="s">
        <v>37</v>
      </c>
      <c r="E95" s="242" t="s">
        <v>208</v>
      </c>
      <c r="F95" s="234" t="s">
        <v>1043</v>
      </c>
      <c r="G95" s="235"/>
      <c r="H95" s="222"/>
      <c r="I95" s="223"/>
    </row>
    <row r="96" spans="1:9" s="3" customFormat="1">
      <c r="A96" s="232" t="s">
        <v>97</v>
      </c>
      <c r="B96" s="241" t="s">
        <v>55</v>
      </c>
      <c r="C96" s="242" t="s">
        <v>65</v>
      </c>
      <c r="D96" s="242" t="s">
        <v>37</v>
      </c>
      <c r="E96" s="242" t="s">
        <v>208</v>
      </c>
      <c r="F96" s="234" t="s">
        <v>118</v>
      </c>
      <c r="G96" s="235"/>
      <c r="H96" s="222"/>
      <c r="I96" s="223"/>
    </row>
    <row r="97" spans="1:9" s="4" customFormat="1">
      <c r="A97" s="236" t="s">
        <v>1037</v>
      </c>
      <c r="B97" s="241" t="s">
        <v>55</v>
      </c>
      <c r="C97" s="242" t="s">
        <v>65</v>
      </c>
      <c r="D97" s="242" t="s">
        <v>37</v>
      </c>
      <c r="E97" s="242" t="s">
        <v>208</v>
      </c>
      <c r="F97" s="234" t="s">
        <v>1062</v>
      </c>
      <c r="G97" s="235"/>
      <c r="H97" s="222"/>
      <c r="I97" s="223"/>
    </row>
    <row r="98" spans="1:9" s="3" customFormat="1" ht="25.5">
      <c r="A98" s="237" t="s">
        <v>126</v>
      </c>
      <c r="B98" s="233" t="s">
        <v>55</v>
      </c>
      <c r="C98" s="234" t="s">
        <v>65</v>
      </c>
      <c r="D98" s="234" t="s">
        <v>37</v>
      </c>
      <c r="E98" s="234" t="s">
        <v>209</v>
      </c>
      <c r="F98" s="242" t="s">
        <v>58</v>
      </c>
      <c r="G98" s="235"/>
      <c r="H98" s="222"/>
      <c r="I98" s="223"/>
    </row>
    <row r="99" spans="1:9" s="3" customFormat="1">
      <c r="A99" s="236" t="s">
        <v>107</v>
      </c>
      <c r="B99" s="233" t="s">
        <v>55</v>
      </c>
      <c r="C99" s="234" t="s">
        <v>65</v>
      </c>
      <c r="D99" s="234" t="s">
        <v>37</v>
      </c>
      <c r="E99" s="234" t="s">
        <v>209</v>
      </c>
      <c r="F99" s="242" t="s">
        <v>115</v>
      </c>
      <c r="G99" s="235"/>
      <c r="H99" s="222"/>
      <c r="I99" s="223"/>
    </row>
    <row r="100" spans="1:9" s="4" customFormat="1">
      <c r="A100" s="236" t="s">
        <v>936</v>
      </c>
      <c r="B100" s="233" t="s">
        <v>55</v>
      </c>
      <c r="C100" s="234" t="s">
        <v>65</v>
      </c>
      <c r="D100" s="234" t="s">
        <v>37</v>
      </c>
      <c r="E100" s="234" t="s">
        <v>209</v>
      </c>
      <c r="F100" s="234" t="s">
        <v>1063</v>
      </c>
      <c r="G100" s="235"/>
      <c r="H100" s="222"/>
      <c r="I100" s="223"/>
    </row>
    <row r="101" spans="1:9" s="4" customFormat="1" ht="38.25">
      <c r="A101" s="236" t="s">
        <v>939</v>
      </c>
      <c r="B101" s="233" t="s">
        <v>55</v>
      </c>
      <c r="C101" s="234" t="s">
        <v>65</v>
      </c>
      <c r="D101" s="234" t="s">
        <v>37</v>
      </c>
      <c r="E101" s="234" t="s">
        <v>209</v>
      </c>
      <c r="F101" s="234" t="s">
        <v>1060</v>
      </c>
      <c r="G101" s="235"/>
      <c r="H101" s="222"/>
      <c r="I101" s="223"/>
    </row>
    <row r="102" spans="1:9" s="3" customFormat="1" ht="38.25">
      <c r="A102" s="237" t="s">
        <v>870</v>
      </c>
      <c r="B102" s="233" t="s">
        <v>55</v>
      </c>
      <c r="C102" s="234" t="s">
        <v>65</v>
      </c>
      <c r="D102" s="234" t="s">
        <v>37</v>
      </c>
      <c r="E102" s="234" t="s">
        <v>210</v>
      </c>
      <c r="F102" s="242" t="s">
        <v>58</v>
      </c>
      <c r="G102" s="235"/>
      <c r="H102" s="222"/>
      <c r="I102" s="223"/>
    </row>
    <row r="103" spans="1:9" s="3" customFormat="1" ht="25.5">
      <c r="A103" s="232" t="s">
        <v>108</v>
      </c>
      <c r="B103" s="233" t="s">
        <v>55</v>
      </c>
      <c r="C103" s="234" t="s">
        <v>65</v>
      </c>
      <c r="D103" s="234" t="s">
        <v>37</v>
      </c>
      <c r="E103" s="234" t="s">
        <v>210</v>
      </c>
      <c r="F103" s="234" t="s">
        <v>116</v>
      </c>
      <c r="G103" s="235"/>
      <c r="H103" s="222"/>
      <c r="I103" s="223"/>
    </row>
    <row r="104" spans="1:9" s="4" customFormat="1" ht="25.5">
      <c r="A104" s="236" t="s">
        <v>973</v>
      </c>
      <c r="B104" s="233" t="s">
        <v>55</v>
      </c>
      <c r="C104" s="234" t="s">
        <v>65</v>
      </c>
      <c r="D104" s="234" t="s">
        <v>37</v>
      </c>
      <c r="E104" s="234" t="s">
        <v>210</v>
      </c>
      <c r="F104" s="234" t="s">
        <v>1043</v>
      </c>
      <c r="G104" s="235"/>
      <c r="H104" s="222"/>
      <c r="I104" s="223"/>
    </row>
    <row r="105" spans="1:9" s="3" customFormat="1" ht="38.25">
      <c r="A105" s="232" t="s">
        <v>597</v>
      </c>
      <c r="B105" s="241" t="s">
        <v>55</v>
      </c>
      <c r="C105" s="242" t="s">
        <v>65</v>
      </c>
      <c r="D105" s="242" t="s">
        <v>37</v>
      </c>
      <c r="E105" s="242" t="s">
        <v>211</v>
      </c>
      <c r="F105" s="242" t="s">
        <v>58</v>
      </c>
      <c r="G105" s="235"/>
      <c r="H105" s="222"/>
      <c r="I105" s="223"/>
    </row>
    <row r="106" spans="1:9" s="3" customFormat="1">
      <c r="A106" s="236" t="s">
        <v>107</v>
      </c>
      <c r="B106" s="241" t="s">
        <v>55</v>
      </c>
      <c r="C106" s="242" t="s">
        <v>65</v>
      </c>
      <c r="D106" s="242" t="s">
        <v>37</v>
      </c>
      <c r="E106" s="242" t="s">
        <v>211</v>
      </c>
      <c r="F106" s="242" t="s">
        <v>115</v>
      </c>
      <c r="G106" s="235"/>
      <c r="H106" s="222"/>
      <c r="I106" s="223"/>
    </row>
    <row r="107" spans="1:9" s="4" customFormat="1">
      <c r="A107" s="236" t="s">
        <v>936</v>
      </c>
      <c r="B107" s="241" t="s">
        <v>55</v>
      </c>
      <c r="C107" s="242" t="s">
        <v>65</v>
      </c>
      <c r="D107" s="242" t="s">
        <v>37</v>
      </c>
      <c r="E107" s="242" t="s">
        <v>211</v>
      </c>
      <c r="F107" s="234" t="s">
        <v>1063</v>
      </c>
      <c r="G107" s="235"/>
      <c r="H107" s="222"/>
      <c r="I107" s="223"/>
    </row>
    <row r="108" spans="1:9" s="4" customFormat="1" ht="38.25">
      <c r="A108" s="236" t="s">
        <v>939</v>
      </c>
      <c r="B108" s="241" t="s">
        <v>55</v>
      </c>
      <c r="C108" s="242" t="s">
        <v>65</v>
      </c>
      <c r="D108" s="242" t="s">
        <v>37</v>
      </c>
      <c r="E108" s="242" t="s">
        <v>211</v>
      </c>
      <c r="F108" s="234" t="s">
        <v>1060</v>
      </c>
      <c r="G108" s="235"/>
      <c r="H108" s="222"/>
      <c r="I108" s="223"/>
    </row>
    <row r="109" spans="1:9" s="3" customFormat="1" ht="25.5">
      <c r="A109" s="232" t="s">
        <v>108</v>
      </c>
      <c r="B109" s="241" t="s">
        <v>55</v>
      </c>
      <c r="C109" s="242" t="s">
        <v>65</v>
      </c>
      <c r="D109" s="242" t="s">
        <v>37</v>
      </c>
      <c r="E109" s="242" t="s">
        <v>211</v>
      </c>
      <c r="F109" s="242" t="s">
        <v>116</v>
      </c>
      <c r="G109" s="235"/>
      <c r="H109" s="222"/>
      <c r="I109" s="223"/>
    </row>
    <row r="110" spans="1:9" s="3" customFormat="1" ht="25.5">
      <c r="A110" s="236" t="s">
        <v>973</v>
      </c>
      <c r="B110" s="241" t="s">
        <v>55</v>
      </c>
      <c r="C110" s="242" t="s">
        <v>65</v>
      </c>
      <c r="D110" s="242" t="s">
        <v>37</v>
      </c>
      <c r="E110" s="242" t="s">
        <v>211</v>
      </c>
      <c r="F110" s="242" t="s">
        <v>1043</v>
      </c>
      <c r="G110" s="235"/>
      <c r="H110" s="222"/>
      <c r="I110" s="223"/>
    </row>
    <row r="111" spans="1:9" s="3" customFormat="1" ht="25.5">
      <c r="A111" s="237" t="s">
        <v>596</v>
      </c>
      <c r="B111" s="241" t="s">
        <v>55</v>
      </c>
      <c r="C111" s="242" t="s">
        <v>65</v>
      </c>
      <c r="D111" s="242" t="s">
        <v>37</v>
      </c>
      <c r="E111" s="242" t="s">
        <v>212</v>
      </c>
      <c r="F111" s="242" t="s">
        <v>58</v>
      </c>
      <c r="G111" s="243"/>
      <c r="H111" s="222"/>
      <c r="I111" s="223"/>
    </row>
    <row r="112" spans="1:9" s="3" customFormat="1" ht="25.5">
      <c r="A112" s="232" t="s">
        <v>108</v>
      </c>
      <c r="B112" s="241" t="s">
        <v>55</v>
      </c>
      <c r="C112" s="242" t="s">
        <v>65</v>
      </c>
      <c r="D112" s="242" t="s">
        <v>37</v>
      </c>
      <c r="E112" s="242" t="s">
        <v>212</v>
      </c>
      <c r="F112" s="242" t="s">
        <v>116</v>
      </c>
      <c r="G112" s="235"/>
      <c r="H112" s="222"/>
      <c r="I112" s="223"/>
    </row>
    <row r="113" spans="1:9" s="4" customFormat="1" ht="25.5">
      <c r="A113" s="236" t="s">
        <v>973</v>
      </c>
      <c r="B113" s="241" t="s">
        <v>55</v>
      </c>
      <c r="C113" s="242" t="s">
        <v>65</v>
      </c>
      <c r="D113" s="242" t="s">
        <v>37</v>
      </c>
      <c r="E113" s="242" t="s">
        <v>212</v>
      </c>
      <c r="F113" s="242" t="s">
        <v>1043</v>
      </c>
      <c r="G113" s="235"/>
      <c r="H113" s="222"/>
      <c r="I113" s="223"/>
    </row>
    <row r="114" spans="1:9" s="3" customFormat="1">
      <c r="A114" s="228" t="s">
        <v>57</v>
      </c>
      <c r="B114" s="229" t="s">
        <v>55</v>
      </c>
      <c r="C114" s="230" t="s">
        <v>65</v>
      </c>
      <c r="D114" s="230" t="s">
        <v>8</v>
      </c>
      <c r="E114" s="230" t="s">
        <v>196</v>
      </c>
      <c r="F114" s="230" t="s">
        <v>58</v>
      </c>
      <c r="G114" s="231"/>
      <c r="H114" s="222"/>
      <c r="I114" s="223"/>
    </row>
    <row r="115" spans="1:9" s="3" customFormat="1" ht="25.5">
      <c r="A115" s="232" t="s">
        <v>683</v>
      </c>
      <c r="B115" s="233" t="s">
        <v>55</v>
      </c>
      <c r="C115" s="234" t="s">
        <v>65</v>
      </c>
      <c r="D115" s="242" t="s">
        <v>8</v>
      </c>
      <c r="E115" s="234" t="s">
        <v>680</v>
      </c>
      <c r="F115" s="234" t="s">
        <v>58</v>
      </c>
      <c r="G115" s="235"/>
      <c r="H115" s="222"/>
      <c r="I115" s="223"/>
    </row>
    <row r="116" spans="1:9" s="3" customFormat="1">
      <c r="A116" s="232" t="s">
        <v>684</v>
      </c>
      <c r="B116" s="233" t="s">
        <v>55</v>
      </c>
      <c r="C116" s="234" t="s">
        <v>65</v>
      </c>
      <c r="D116" s="242" t="s">
        <v>8</v>
      </c>
      <c r="E116" s="234" t="s">
        <v>681</v>
      </c>
      <c r="F116" s="234" t="s">
        <v>58</v>
      </c>
      <c r="G116" s="235"/>
      <c r="H116" s="222"/>
      <c r="I116" s="223"/>
    </row>
    <row r="117" spans="1:9" s="3" customFormat="1" ht="38.25">
      <c r="A117" s="237" t="s">
        <v>903</v>
      </c>
      <c r="B117" s="241" t="s">
        <v>55</v>
      </c>
      <c r="C117" s="242" t="s">
        <v>65</v>
      </c>
      <c r="D117" s="242" t="s">
        <v>8</v>
      </c>
      <c r="E117" s="242" t="s">
        <v>682</v>
      </c>
      <c r="F117" s="242" t="s">
        <v>58</v>
      </c>
      <c r="G117" s="243"/>
      <c r="H117" s="222"/>
      <c r="I117" s="223"/>
    </row>
    <row r="118" spans="1:9" s="3" customFormat="1" ht="25.5">
      <c r="A118" s="232" t="s">
        <v>108</v>
      </c>
      <c r="B118" s="241" t="s">
        <v>55</v>
      </c>
      <c r="C118" s="242" t="s">
        <v>65</v>
      </c>
      <c r="D118" s="242" t="s">
        <v>8</v>
      </c>
      <c r="E118" s="242" t="s">
        <v>682</v>
      </c>
      <c r="F118" s="242" t="s">
        <v>116</v>
      </c>
      <c r="G118" s="235"/>
      <c r="H118" s="222"/>
      <c r="I118" s="223"/>
    </row>
    <row r="119" spans="1:9" s="4" customFormat="1" ht="25.5">
      <c r="A119" s="236" t="s">
        <v>973</v>
      </c>
      <c r="B119" s="241" t="s">
        <v>55</v>
      </c>
      <c r="C119" s="242" t="s">
        <v>65</v>
      </c>
      <c r="D119" s="242" t="s">
        <v>8</v>
      </c>
      <c r="E119" s="242" t="s">
        <v>682</v>
      </c>
      <c r="F119" s="242" t="s">
        <v>1043</v>
      </c>
      <c r="G119" s="235"/>
      <c r="H119" s="222"/>
      <c r="I119" s="223"/>
    </row>
    <row r="120" spans="1:9" s="3" customFormat="1">
      <c r="A120" s="228" t="s">
        <v>38</v>
      </c>
      <c r="B120" s="229" t="s">
        <v>55</v>
      </c>
      <c r="C120" s="230" t="s">
        <v>65</v>
      </c>
      <c r="D120" s="230" t="s">
        <v>84</v>
      </c>
      <c r="E120" s="230" t="s">
        <v>196</v>
      </c>
      <c r="F120" s="230" t="s">
        <v>58</v>
      </c>
      <c r="G120" s="231"/>
      <c r="H120" s="222"/>
      <c r="I120" s="223"/>
    </row>
    <row r="121" spans="1:9" s="3" customFormat="1">
      <c r="A121" s="237" t="s">
        <v>747</v>
      </c>
      <c r="B121" s="233" t="s">
        <v>55</v>
      </c>
      <c r="C121" s="234" t="s">
        <v>65</v>
      </c>
      <c r="D121" s="234" t="s">
        <v>84</v>
      </c>
      <c r="E121" s="234" t="s">
        <v>215</v>
      </c>
      <c r="F121" s="234" t="s">
        <v>58</v>
      </c>
      <c r="G121" s="235"/>
      <c r="H121" s="222"/>
      <c r="I121" s="223"/>
    </row>
    <row r="122" spans="1:9" s="3" customFormat="1" ht="25.5">
      <c r="A122" s="237" t="s">
        <v>765</v>
      </c>
      <c r="B122" s="233" t="s">
        <v>55</v>
      </c>
      <c r="C122" s="234" t="s">
        <v>65</v>
      </c>
      <c r="D122" s="234" t="s">
        <v>84</v>
      </c>
      <c r="E122" s="234" t="s">
        <v>216</v>
      </c>
      <c r="F122" s="234" t="s">
        <v>58</v>
      </c>
      <c r="G122" s="235"/>
      <c r="H122" s="222"/>
      <c r="I122" s="223"/>
    </row>
    <row r="123" spans="1:9" s="3" customFormat="1" ht="25.5">
      <c r="A123" s="237" t="s">
        <v>845</v>
      </c>
      <c r="B123" s="233" t="s">
        <v>55</v>
      </c>
      <c r="C123" s="234" t="s">
        <v>65</v>
      </c>
      <c r="D123" s="234" t="s">
        <v>84</v>
      </c>
      <c r="E123" s="234" t="s">
        <v>217</v>
      </c>
      <c r="F123" s="234" t="s">
        <v>58</v>
      </c>
      <c r="G123" s="235"/>
      <c r="H123" s="222"/>
      <c r="I123" s="223"/>
    </row>
    <row r="124" spans="1:9" s="3" customFormat="1" ht="25.5">
      <c r="A124" s="237" t="s">
        <v>844</v>
      </c>
      <c r="B124" s="233" t="s">
        <v>55</v>
      </c>
      <c r="C124" s="234" t="s">
        <v>65</v>
      </c>
      <c r="D124" s="234" t="s">
        <v>84</v>
      </c>
      <c r="E124" s="234" t="s">
        <v>218</v>
      </c>
      <c r="F124" s="234" t="s">
        <v>58</v>
      </c>
      <c r="G124" s="235"/>
      <c r="H124" s="222"/>
      <c r="I124" s="223"/>
    </row>
    <row r="125" spans="1:9" s="3" customFormat="1">
      <c r="A125" s="232" t="s">
        <v>97</v>
      </c>
      <c r="B125" s="233" t="s">
        <v>55</v>
      </c>
      <c r="C125" s="234" t="s">
        <v>65</v>
      </c>
      <c r="D125" s="234" t="s">
        <v>84</v>
      </c>
      <c r="E125" s="234" t="s">
        <v>218</v>
      </c>
      <c r="F125" s="234" t="s">
        <v>118</v>
      </c>
      <c r="G125" s="235"/>
      <c r="H125" s="222"/>
      <c r="I125" s="223"/>
    </row>
    <row r="126" spans="1:9" s="4" customFormat="1">
      <c r="A126" s="236" t="s">
        <v>1038</v>
      </c>
      <c r="B126" s="233" t="s">
        <v>55</v>
      </c>
      <c r="C126" s="234" t="s">
        <v>65</v>
      </c>
      <c r="D126" s="234" t="s">
        <v>84</v>
      </c>
      <c r="E126" s="234" t="s">
        <v>218</v>
      </c>
      <c r="F126" s="234" t="s">
        <v>1066</v>
      </c>
      <c r="G126" s="235"/>
      <c r="H126" s="222"/>
      <c r="I126" s="223"/>
    </row>
    <row r="127" spans="1:9" s="3" customFormat="1" ht="51">
      <c r="A127" s="237" t="s">
        <v>846</v>
      </c>
      <c r="B127" s="233" t="s">
        <v>55</v>
      </c>
      <c r="C127" s="234" t="s">
        <v>65</v>
      </c>
      <c r="D127" s="234" t="s">
        <v>84</v>
      </c>
      <c r="E127" s="234" t="s">
        <v>219</v>
      </c>
      <c r="F127" s="234" t="s">
        <v>58</v>
      </c>
      <c r="G127" s="235"/>
      <c r="H127" s="222"/>
      <c r="I127" s="223"/>
    </row>
    <row r="128" spans="1:9" s="3" customFormat="1" ht="25.5">
      <c r="A128" s="232" t="s">
        <v>108</v>
      </c>
      <c r="B128" s="233" t="s">
        <v>55</v>
      </c>
      <c r="C128" s="234" t="s">
        <v>65</v>
      </c>
      <c r="D128" s="234" t="s">
        <v>84</v>
      </c>
      <c r="E128" s="234" t="s">
        <v>219</v>
      </c>
      <c r="F128" s="234" t="s">
        <v>116</v>
      </c>
      <c r="G128" s="235"/>
      <c r="H128" s="222"/>
      <c r="I128" s="223"/>
    </row>
    <row r="129" spans="1:9" s="3" customFormat="1" ht="25.5">
      <c r="A129" s="236" t="s">
        <v>973</v>
      </c>
      <c r="B129" s="233" t="s">
        <v>55</v>
      </c>
      <c r="C129" s="234" t="s">
        <v>65</v>
      </c>
      <c r="D129" s="234" t="s">
        <v>84</v>
      </c>
      <c r="E129" s="234" t="s">
        <v>219</v>
      </c>
      <c r="F129" s="234" t="s">
        <v>1043</v>
      </c>
      <c r="G129" s="235"/>
      <c r="H129" s="222"/>
      <c r="I129" s="223"/>
    </row>
    <row r="130" spans="1:9" s="3" customFormat="1" ht="25.5">
      <c r="A130" s="237" t="s">
        <v>748</v>
      </c>
      <c r="B130" s="233" t="s">
        <v>55</v>
      </c>
      <c r="C130" s="234" t="s">
        <v>65</v>
      </c>
      <c r="D130" s="234" t="s">
        <v>84</v>
      </c>
      <c r="E130" s="234" t="s">
        <v>220</v>
      </c>
      <c r="F130" s="234" t="s">
        <v>58</v>
      </c>
      <c r="G130" s="235"/>
      <c r="H130" s="222"/>
      <c r="I130" s="223"/>
    </row>
    <row r="131" spans="1:9" s="3" customFormat="1" ht="25.5">
      <c r="A131" s="232" t="s">
        <v>750</v>
      </c>
      <c r="B131" s="233" t="s">
        <v>55</v>
      </c>
      <c r="C131" s="234" t="s">
        <v>65</v>
      </c>
      <c r="D131" s="234" t="s">
        <v>84</v>
      </c>
      <c r="E131" s="234" t="s">
        <v>225</v>
      </c>
      <c r="F131" s="234" t="s">
        <v>58</v>
      </c>
      <c r="G131" s="235"/>
      <c r="H131" s="222"/>
      <c r="I131" s="223"/>
    </row>
    <row r="132" spans="1:9" s="3" customFormat="1" ht="25.5">
      <c r="A132" s="237" t="s">
        <v>228</v>
      </c>
      <c r="B132" s="233" t="s">
        <v>55</v>
      </c>
      <c r="C132" s="234" t="s">
        <v>65</v>
      </c>
      <c r="D132" s="234" t="s">
        <v>84</v>
      </c>
      <c r="E132" s="234" t="s">
        <v>226</v>
      </c>
      <c r="F132" s="234" t="s">
        <v>58</v>
      </c>
      <c r="G132" s="235"/>
      <c r="H132" s="222"/>
      <c r="I132" s="223"/>
    </row>
    <row r="133" spans="1:9" s="3" customFormat="1" ht="25.5">
      <c r="A133" s="237" t="s">
        <v>169</v>
      </c>
      <c r="B133" s="233" t="s">
        <v>55</v>
      </c>
      <c r="C133" s="234" t="s">
        <v>65</v>
      </c>
      <c r="D133" s="234" t="s">
        <v>84</v>
      </c>
      <c r="E133" s="234" t="s">
        <v>227</v>
      </c>
      <c r="F133" s="234" t="s">
        <v>58</v>
      </c>
      <c r="G133" s="235"/>
      <c r="H133" s="222"/>
      <c r="I133" s="223"/>
    </row>
    <row r="134" spans="1:9" s="3" customFormat="1" ht="25.5">
      <c r="A134" s="232" t="s">
        <v>108</v>
      </c>
      <c r="B134" s="233" t="s">
        <v>55</v>
      </c>
      <c r="C134" s="234" t="s">
        <v>65</v>
      </c>
      <c r="D134" s="234" t="s">
        <v>84</v>
      </c>
      <c r="E134" s="234" t="s">
        <v>227</v>
      </c>
      <c r="F134" s="234" t="s">
        <v>116</v>
      </c>
      <c r="G134" s="235"/>
      <c r="H134" s="222"/>
      <c r="I134" s="223"/>
    </row>
    <row r="135" spans="1:9" s="4" customFormat="1" ht="25.5">
      <c r="A135" s="236" t="s">
        <v>973</v>
      </c>
      <c r="B135" s="233" t="s">
        <v>55</v>
      </c>
      <c r="C135" s="234" t="s">
        <v>65</v>
      </c>
      <c r="D135" s="234" t="s">
        <v>84</v>
      </c>
      <c r="E135" s="234" t="s">
        <v>227</v>
      </c>
      <c r="F135" s="234" t="s">
        <v>1043</v>
      </c>
      <c r="G135" s="235"/>
      <c r="H135" s="222"/>
      <c r="I135" s="223"/>
    </row>
    <row r="136" spans="1:9" s="3" customFormat="1" ht="38.25">
      <c r="A136" s="237" t="s">
        <v>751</v>
      </c>
      <c r="B136" s="233" t="s">
        <v>55</v>
      </c>
      <c r="C136" s="234" t="s">
        <v>65</v>
      </c>
      <c r="D136" s="234" t="s">
        <v>84</v>
      </c>
      <c r="E136" s="234" t="s">
        <v>229</v>
      </c>
      <c r="F136" s="234" t="s">
        <v>58</v>
      </c>
      <c r="G136" s="235"/>
      <c r="H136" s="222"/>
      <c r="I136" s="223"/>
    </row>
    <row r="137" spans="1:9" s="3" customFormat="1">
      <c r="A137" s="237" t="s">
        <v>119</v>
      </c>
      <c r="B137" s="233" t="s">
        <v>55</v>
      </c>
      <c r="C137" s="234" t="s">
        <v>65</v>
      </c>
      <c r="D137" s="234" t="s">
        <v>84</v>
      </c>
      <c r="E137" s="234" t="s">
        <v>230</v>
      </c>
      <c r="F137" s="234" t="s">
        <v>58</v>
      </c>
      <c r="G137" s="235"/>
      <c r="H137" s="222"/>
      <c r="I137" s="223"/>
    </row>
    <row r="138" spans="1:9" s="3" customFormat="1" ht="25.5">
      <c r="A138" s="237" t="s">
        <v>231</v>
      </c>
      <c r="B138" s="233" t="s">
        <v>55</v>
      </c>
      <c r="C138" s="234" t="s">
        <v>65</v>
      </c>
      <c r="D138" s="234" t="s">
        <v>84</v>
      </c>
      <c r="E138" s="234" t="s">
        <v>232</v>
      </c>
      <c r="F138" s="234" t="s">
        <v>58</v>
      </c>
      <c r="G138" s="235"/>
      <c r="H138" s="222"/>
      <c r="I138" s="223"/>
    </row>
    <row r="139" spans="1:9" s="3" customFormat="1" ht="25.5">
      <c r="A139" s="237" t="s">
        <v>170</v>
      </c>
      <c r="B139" s="233" t="s">
        <v>55</v>
      </c>
      <c r="C139" s="234" t="s">
        <v>65</v>
      </c>
      <c r="D139" s="234" t="s">
        <v>84</v>
      </c>
      <c r="E139" s="234" t="s">
        <v>233</v>
      </c>
      <c r="F139" s="234" t="s">
        <v>58</v>
      </c>
      <c r="G139" s="235"/>
      <c r="H139" s="222"/>
      <c r="I139" s="223"/>
    </row>
    <row r="140" spans="1:9" s="3" customFormat="1" ht="25.5">
      <c r="A140" s="232" t="s">
        <v>108</v>
      </c>
      <c r="B140" s="233" t="s">
        <v>55</v>
      </c>
      <c r="C140" s="234" t="s">
        <v>65</v>
      </c>
      <c r="D140" s="234" t="s">
        <v>84</v>
      </c>
      <c r="E140" s="234" t="s">
        <v>233</v>
      </c>
      <c r="F140" s="234" t="s">
        <v>116</v>
      </c>
      <c r="G140" s="235"/>
      <c r="H140" s="222"/>
      <c r="I140" s="223"/>
    </row>
    <row r="141" spans="1:9" s="4" customFormat="1" ht="25.5">
      <c r="A141" s="236" t="s">
        <v>973</v>
      </c>
      <c r="B141" s="233" t="s">
        <v>55</v>
      </c>
      <c r="C141" s="234" t="s">
        <v>65</v>
      </c>
      <c r="D141" s="234" t="s">
        <v>84</v>
      </c>
      <c r="E141" s="234" t="s">
        <v>233</v>
      </c>
      <c r="F141" s="234" t="s">
        <v>1043</v>
      </c>
      <c r="G141" s="235"/>
      <c r="H141" s="222"/>
      <c r="I141" s="223"/>
    </row>
    <row r="142" spans="1:9" s="3" customFormat="1" ht="38.25">
      <c r="A142" s="237" t="s">
        <v>234</v>
      </c>
      <c r="B142" s="233" t="s">
        <v>55</v>
      </c>
      <c r="C142" s="234" t="s">
        <v>65</v>
      </c>
      <c r="D142" s="234" t="s">
        <v>84</v>
      </c>
      <c r="E142" s="234" t="s">
        <v>235</v>
      </c>
      <c r="F142" s="234" t="s">
        <v>58</v>
      </c>
      <c r="G142" s="235"/>
      <c r="H142" s="222"/>
      <c r="I142" s="223"/>
    </row>
    <row r="143" spans="1:9" s="3" customFormat="1" ht="25.5">
      <c r="A143" s="237" t="s">
        <v>170</v>
      </c>
      <c r="B143" s="233" t="s">
        <v>55</v>
      </c>
      <c r="C143" s="234" t="s">
        <v>65</v>
      </c>
      <c r="D143" s="234" t="s">
        <v>84</v>
      </c>
      <c r="E143" s="234" t="s">
        <v>236</v>
      </c>
      <c r="F143" s="234" t="s">
        <v>58</v>
      </c>
      <c r="G143" s="235"/>
      <c r="H143" s="222"/>
      <c r="I143" s="223"/>
    </row>
    <row r="144" spans="1:9" s="3" customFormat="1" ht="25.5">
      <c r="A144" s="232" t="s">
        <v>108</v>
      </c>
      <c r="B144" s="233" t="s">
        <v>55</v>
      </c>
      <c r="C144" s="234" t="s">
        <v>65</v>
      </c>
      <c r="D144" s="234" t="s">
        <v>84</v>
      </c>
      <c r="E144" s="234" t="s">
        <v>236</v>
      </c>
      <c r="F144" s="234" t="s">
        <v>116</v>
      </c>
      <c r="G144" s="235"/>
      <c r="H144" s="222"/>
      <c r="I144" s="223"/>
    </row>
    <row r="145" spans="1:9" s="4" customFormat="1" ht="25.5">
      <c r="A145" s="236" t="s">
        <v>973</v>
      </c>
      <c r="B145" s="233" t="s">
        <v>55</v>
      </c>
      <c r="C145" s="234" t="s">
        <v>65</v>
      </c>
      <c r="D145" s="234" t="s">
        <v>84</v>
      </c>
      <c r="E145" s="234" t="s">
        <v>236</v>
      </c>
      <c r="F145" s="234" t="s">
        <v>1043</v>
      </c>
      <c r="G145" s="235"/>
      <c r="H145" s="222"/>
      <c r="I145" s="223"/>
    </row>
    <row r="146" spans="1:9" s="3" customFormat="1" ht="25.5">
      <c r="A146" s="237" t="s">
        <v>871</v>
      </c>
      <c r="B146" s="233" t="s">
        <v>55</v>
      </c>
      <c r="C146" s="234" t="s">
        <v>65</v>
      </c>
      <c r="D146" s="234" t="s">
        <v>84</v>
      </c>
      <c r="E146" s="234" t="s">
        <v>240</v>
      </c>
      <c r="F146" s="234" t="s">
        <v>58</v>
      </c>
      <c r="G146" s="235"/>
      <c r="H146" s="222"/>
      <c r="I146" s="223"/>
    </row>
    <row r="147" spans="1:9" s="3" customFormat="1" ht="25.5">
      <c r="A147" s="237" t="s">
        <v>849</v>
      </c>
      <c r="B147" s="233" t="s">
        <v>55</v>
      </c>
      <c r="C147" s="234" t="s">
        <v>65</v>
      </c>
      <c r="D147" s="234" t="s">
        <v>84</v>
      </c>
      <c r="E147" s="234" t="s">
        <v>241</v>
      </c>
      <c r="F147" s="234" t="s">
        <v>58</v>
      </c>
      <c r="G147" s="235"/>
      <c r="H147" s="222"/>
      <c r="I147" s="223"/>
    </row>
    <row r="148" spans="1:9" s="3" customFormat="1" ht="38.25">
      <c r="A148" s="237" t="s">
        <v>872</v>
      </c>
      <c r="B148" s="233" t="s">
        <v>55</v>
      </c>
      <c r="C148" s="234" t="s">
        <v>65</v>
      </c>
      <c r="D148" s="234" t="s">
        <v>84</v>
      </c>
      <c r="E148" s="234" t="s">
        <v>242</v>
      </c>
      <c r="F148" s="234" t="s">
        <v>58</v>
      </c>
      <c r="G148" s="235"/>
      <c r="H148" s="222"/>
      <c r="I148" s="223"/>
    </row>
    <row r="149" spans="1:9" s="3" customFormat="1" ht="25.5">
      <c r="A149" s="232" t="s">
        <v>108</v>
      </c>
      <c r="B149" s="233" t="s">
        <v>55</v>
      </c>
      <c r="C149" s="234" t="s">
        <v>65</v>
      </c>
      <c r="D149" s="234" t="s">
        <v>84</v>
      </c>
      <c r="E149" s="234" t="s">
        <v>242</v>
      </c>
      <c r="F149" s="234" t="s">
        <v>116</v>
      </c>
      <c r="G149" s="235"/>
      <c r="H149" s="222"/>
      <c r="I149" s="223"/>
    </row>
    <row r="150" spans="1:9" s="4" customFormat="1" ht="25.5">
      <c r="A150" s="236" t="s">
        <v>973</v>
      </c>
      <c r="B150" s="233" t="s">
        <v>55</v>
      </c>
      <c r="C150" s="234" t="s">
        <v>65</v>
      </c>
      <c r="D150" s="234" t="s">
        <v>84</v>
      </c>
      <c r="E150" s="234" t="s">
        <v>242</v>
      </c>
      <c r="F150" s="234" t="s">
        <v>1043</v>
      </c>
      <c r="G150" s="235"/>
      <c r="H150" s="222"/>
      <c r="I150" s="223"/>
    </row>
    <row r="151" spans="1:9" s="3" customFormat="1" ht="38.25">
      <c r="A151" s="237" t="s">
        <v>604</v>
      </c>
      <c r="B151" s="233" t="s">
        <v>55</v>
      </c>
      <c r="C151" s="234" t="s">
        <v>65</v>
      </c>
      <c r="D151" s="234" t="s">
        <v>84</v>
      </c>
      <c r="E151" s="234" t="s">
        <v>243</v>
      </c>
      <c r="F151" s="234" t="s">
        <v>58</v>
      </c>
      <c r="G151" s="235"/>
      <c r="H151" s="222"/>
      <c r="I151" s="223"/>
    </row>
    <row r="152" spans="1:9" s="3" customFormat="1" ht="38.25">
      <c r="A152" s="237" t="s">
        <v>872</v>
      </c>
      <c r="B152" s="233" t="s">
        <v>55</v>
      </c>
      <c r="C152" s="234" t="s">
        <v>65</v>
      </c>
      <c r="D152" s="234" t="s">
        <v>84</v>
      </c>
      <c r="E152" s="234" t="s">
        <v>244</v>
      </c>
      <c r="F152" s="234" t="s">
        <v>58</v>
      </c>
      <c r="G152" s="235"/>
      <c r="H152" s="222"/>
      <c r="I152" s="223"/>
    </row>
    <row r="153" spans="1:9" s="3" customFormat="1" ht="25.5">
      <c r="A153" s="232" t="s">
        <v>108</v>
      </c>
      <c r="B153" s="233" t="s">
        <v>55</v>
      </c>
      <c r="C153" s="234" t="s">
        <v>65</v>
      </c>
      <c r="D153" s="234" t="s">
        <v>84</v>
      </c>
      <c r="E153" s="234" t="s">
        <v>244</v>
      </c>
      <c r="F153" s="234" t="s">
        <v>116</v>
      </c>
      <c r="G153" s="235"/>
      <c r="H153" s="222"/>
      <c r="I153" s="223"/>
    </row>
    <row r="154" spans="1:9" s="4" customFormat="1" ht="25.5">
      <c r="A154" s="236" t="s">
        <v>973</v>
      </c>
      <c r="B154" s="233" t="s">
        <v>55</v>
      </c>
      <c r="C154" s="234" t="s">
        <v>65</v>
      </c>
      <c r="D154" s="234" t="s">
        <v>84</v>
      </c>
      <c r="E154" s="234" t="s">
        <v>244</v>
      </c>
      <c r="F154" s="234" t="s">
        <v>1043</v>
      </c>
      <c r="G154" s="235"/>
      <c r="H154" s="222"/>
      <c r="I154" s="223"/>
    </row>
    <row r="155" spans="1:9" s="3" customFormat="1" ht="38.25">
      <c r="A155" s="237" t="s">
        <v>771</v>
      </c>
      <c r="B155" s="233" t="s">
        <v>55</v>
      </c>
      <c r="C155" s="234" t="s">
        <v>65</v>
      </c>
      <c r="D155" s="234" t="s">
        <v>84</v>
      </c>
      <c r="E155" s="234" t="s">
        <v>772</v>
      </c>
      <c r="F155" s="234" t="s">
        <v>58</v>
      </c>
      <c r="G155" s="235"/>
      <c r="H155" s="222"/>
      <c r="I155" s="223"/>
    </row>
    <row r="156" spans="1:9" s="3" customFormat="1" ht="38.25">
      <c r="A156" s="237" t="s">
        <v>872</v>
      </c>
      <c r="B156" s="233" t="s">
        <v>55</v>
      </c>
      <c r="C156" s="234" t="s">
        <v>65</v>
      </c>
      <c r="D156" s="234" t="s">
        <v>84</v>
      </c>
      <c r="E156" s="234" t="s">
        <v>773</v>
      </c>
      <c r="F156" s="234" t="s">
        <v>58</v>
      </c>
      <c r="G156" s="235"/>
      <c r="H156" s="222"/>
      <c r="I156" s="223"/>
    </row>
    <row r="157" spans="1:9" s="3" customFormat="1" ht="25.5">
      <c r="A157" s="232" t="s">
        <v>108</v>
      </c>
      <c r="B157" s="233" t="s">
        <v>55</v>
      </c>
      <c r="C157" s="234" t="s">
        <v>65</v>
      </c>
      <c r="D157" s="234" t="s">
        <v>84</v>
      </c>
      <c r="E157" s="234" t="s">
        <v>773</v>
      </c>
      <c r="F157" s="234" t="s">
        <v>116</v>
      </c>
      <c r="G157" s="235"/>
      <c r="H157" s="222"/>
      <c r="I157" s="223"/>
    </row>
    <row r="158" spans="1:9" s="4" customFormat="1" ht="25.5">
      <c r="A158" s="236" t="s">
        <v>973</v>
      </c>
      <c r="B158" s="233" t="s">
        <v>55</v>
      </c>
      <c r="C158" s="234" t="s">
        <v>65</v>
      </c>
      <c r="D158" s="234" t="s">
        <v>84</v>
      </c>
      <c r="E158" s="234" t="s">
        <v>773</v>
      </c>
      <c r="F158" s="234" t="s">
        <v>1043</v>
      </c>
      <c r="G158" s="235"/>
      <c r="H158" s="222"/>
      <c r="I158" s="223"/>
    </row>
    <row r="159" spans="1:9" s="3" customFormat="1" ht="25.5">
      <c r="A159" s="237" t="s">
        <v>245</v>
      </c>
      <c r="B159" s="233" t="s">
        <v>55</v>
      </c>
      <c r="C159" s="234" t="s">
        <v>65</v>
      </c>
      <c r="D159" s="234" t="s">
        <v>84</v>
      </c>
      <c r="E159" s="234" t="s">
        <v>246</v>
      </c>
      <c r="F159" s="234" t="s">
        <v>58</v>
      </c>
      <c r="G159" s="235"/>
      <c r="H159" s="222"/>
      <c r="I159" s="223"/>
    </row>
    <row r="160" spans="1:9" s="3" customFormat="1">
      <c r="A160" s="237" t="s">
        <v>247</v>
      </c>
      <c r="B160" s="233" t="s">
        <v>55</v>
      </c>
      <c r="C160" s="234" t="s">
        <v>65</v>
      </c>
      <c r="D160" s="234" t="s">
        <v>84</v>
      </c>
      <c r="E160" s="234" t="s">
        <v>248</v>
      </c>
      <c r="F160" s="234" t="s">
        <v>58</v>
      </c>
      <c r="G160" s="235"/>
      <c r="H160" s="222"/>
      <c r="I160" s="223"/>
    </row>
    <row r="161" spans="1:9" s="3" customFormat="1">
      <c r="A161" s="244" t="s">
        <v>106</v>
      </c>
      <c r="B161" s="233" t="s">
        <v>55</v>
      </c>
      <c r="C161" s="234" t="s">
        <v>65</v>
      </c>
      <c r="D161" s="234" t="s">
        <v>84</v>
      </c>
      <c r="E161" s="234" t="s">
        <v>248</v>
      </c>
      <c r="F161" s="234" t="s">
        <v>121</v>
      </c>
      <c r="G161" s="235"/>
      <c r="H161" s="222"/>
      <c r="I161" s="223"/>
    </row>
    <row r="162" spans="1:9" s="4" customFormat="1">
      <c r="A162" s="236" t="s">
        <v>932</v>
      </c>
      <c r="B162" s="233" t="s">
        <v>55</v>
      </c>
      <c r="C162" s="234" t="s">
        <v>65</v>
      </c>
      <c r="D162" s="234" t="s">
        <v>84</v>
      </c>
      <c r="E162" s="234" t="s">
        <v>248</v>
      </c>
      <c r="F162" s="234" t="s">
        <v>1056</v>
      </c>
      <c r="G162" s="235"/>
      <c r="H162" s="222"/>
      <c r="I162" s="223"/>
    </row>
    <row r="163" spans="1:9" s="4" customFormat="1">
      <c r="A163" s="236" t="s">
        <v>933</v>
      </c>
      <c r="B163" s="233" t="s">
        <v>55</v>
      </c>
      <c r="C163" s="234" t="s">
        <v>65</v>
      </c>
      <c r="D163" s="234" t="s">
        <v>84</v>
      </c>
      <c r="E163" s="234" t="s">
        <v>248</v>
      </c>
      <c r="F163" s="234" t="s">
        <v>1069</v>
      </c>
      <c r="G163" s="235"/>
      <c r="H163" s="222"/>
      <c r="I163" s="223"/>
    </row>
    <row r="164" spans="1:9" s="4" customFormat="1" ht="25.5">
      <c r="A164" s="236" t="s">
        <v>935</v>
      </c>
      <c r="B164" s="233" t="s">
        <v>55</v>
      </c>
      <c r="C164" s="234" t="s">
        <v>65</v>
      </c>
      <c r="D164" s="234" t="s">
        <v>84</v>
      </c>
      <c r="E164" s="234" t="s">
        <v>248</v>
      </c>
      <c r="F164" s="234" t="s">
        <v>1057</v>
      </c>
      <c r="G164" s="235"/>
      <c r="H164" s="222"/>
      <c r="I164" s="223"/>
    </row>
    <row r="165" spans="1:9" s="3" customFormat="1" ht="25.5">
      <c r="A165" s="232" t="s">
        <v>108</v>
      </c>
      <c r="B165" s="233" t="s">
        <v>55</v>
      </c>
      <c r="C165" s="234" t="s">
        <v>65</v>
      </c>
      <c r="D165" s="234" t="s">
        <v>84</v>
      </c>
      <c r="E165" s="234" t="s">
        <v>248</v>
      </c>
      <c r="F165" s="234" t="s">
        <v>116</v>
      </c>
      <c r="G165" s="235"/>
      <c r="H165" s="222"/>
      <c r="I165" s="223"/>
    </row>
    <row r="166" spans="1:9" s="4" customFormat="1" ht="25.5">
      <c r="A166" s="236" t="s">
        <v>973</v>
      </c>
      <c r="B166" s="233" t="s">
        <v>55</v>
      </c>
      <c r="C166" s="234" t="s">
        <v>65</v>
      </c>
      <c r="D166" s="234" t="s">
        <v>84</v>
      </c>
      <c r="E166" s="234" t="s">
        <v>248</v>
      </c>
      <c r="F166" s="234" t="s">
        <v>1043</v>
      </c>
      <c r="G166" s="235"/>
      <c r="H166" s="222"/>
      <c r="I166" s="223"/>
    </row>
    <row r="167" spans="1:9" s="3" customFormat="1">
      <c r="A167" s="232" t="s">
        <v>97</v>
      </c>
      <c r="B167" s="233" t="s">
        <v>55</v>
      </c>
      <c r="C167" s="234" t="s">
        <v>65</v>
      </c>
      <c r="D167" s="234" t="s">
        <v>84</v>
      </c>
      <c r="E167" s="234" t="s">
        <v>248</v>
      </c>
      <c r="F167" s="245">
        <v>850</v>
      </c>
      <c r="G167" s="235"/>
      <c r="H167" s="222"/>
      <c r="I167" s="223"/>
    </row>
    <row r="168" spans="1:9" s="4" customFormat="1">
      <c r="A168" s="236" t="s">
        <v>1036</v>
      </c>
      <c r="B168" s="233" t="s">
        <v>55</v>
      </c>
      <c r="C168" s="234" t="s">
        <v>65</v>
      </c>
      <c r="D168" s="234" t="s">
        <v>84</v>
      </c>
      <c r="E168" s="234" t="s">
        <v>248</v>
      </c>
      <c r="F168" s="246">
        <v>851</v>
      </c>
      <c r="G168" s="235"/>
      <c r="H168" s="222"/>
      <c r="I168" s="223"/>
    </row>
    <row r="169" spans="1:9" s="4" customFormat="1">
      <c r="A169" s="236" t="s">
        <v>1037</v>
      </c>
      <c r="B169" s="233" t="s">
        <v>55</v>
      </c>
      <c r="C169" s="234" t="s">
        <v>65</v>
      </c>
      <c r="D169" s="234" t="s">
        <v>84</v>
      </c>
      <c r="E169" s="234" t="s">
        <v>248</v>
      </c>
      <c r="F169" s="246">
        <v>852</v>
      </c>
      <c r="G169" s="235"/>
      <c r="H169" s="222"/>
      <c r="I169" s="223"/>
    </row>
    <row r="170" spans="1:9" s="3" customFormat="1" ht="25.5">
      <c r="A170" s="236" t="s">
        <v>752</v>
      </c>
      <c r="B170" s="241">
        <v>601</v>
      </c>
      <c r="C170" s="241" t="s">
        <v>65</v>
      </c>
      <c r="D170" s="241">
        <v>13</v>
      </c>
      <c r="E170" s="241" t="s">
        <v>249</v>
      </c>
      <c r="F170" s="241" t="s">
        <v>58</v>
      </c>
      <c r="G170" s="247"/>
      <c r="H170" s="222"/>
      <c r="I170" s="223"/>
    </row>
    <row r="171" spans="1:9" s="3" customFormat="1">
      <c r="A171" s="232" t="s">
        <v>753</v>
      </c>
      <c r="B171" s="241">
        <v>601</v>
      </c>
      <c r="C171" s="241" t="s">
        <v>65</v>
      </c>
      <c r="D171" s="241">
        <v>13</v>
      </c>
      <c r="E171" s="241" t="s">
        <v>250</v>
      </c>
      <c r="F171" s="241" t="s">
        <v>58</v>
      </c>
      <c r="G171" s="247"/>
      <c r="H171" s="222"/>
      <c r="I171" s="223"/>
    </row>
    <row r="172" spans="1:9" s="3" customFormat="1" ht="38.25">
      <c r="A172" s="237" t="s">
        <v>880</v>
      </c>
      <c r="B172" s="241">
        <v>601</v>
      </c>
      <c r="C172" s="241" t="s">
        <v>65</v>
      </c>
      <c r="D172" s="241">
        <v>13</v>
      </c>
      <c r="E172" s="241" t="s">
        <v>538</v>
      </c>
      <c r="F172" s="241" t="s">
        <v>58</v>
      </c>
      <c r="G172" s="247"/>
      <c r="H172" s="222"/>
      <c r="I172" s="223"/>
    </row>
    <row r="173" spans="1:9" s="3" customFormat="1" ht="25.5">
      <c r="A173" s="237" t="s">
        <v>122</v>
      </c>
      <c r="B173" s="241">
        <v>601</v>
      </c>
      <c r="C173" s="241" t="s">
        <v>65</v>
      </c>
      <c r="D173" s="241">
        <v>13</v>
      </c>
      <c r="E173" s="241" t="s">
        <v>539</v>
      </c>
      <c r="F173" s="241" t="s">
        <v>58</v>
      </c>
      <c r="G173" s="247"/>
      <c r="H173" s="222"/>
      <c r="I173" s="223"/>
    </row>
    <row r="174" spans="1:9" s="3" customFormat="1" ht="25.5">
      <c r="A174" s="248" t="s">
        <v>108</v>
      </c>
      <c r="B174" s="241">
        <v>601</v>
      </c>
      <c r="C174" s="241" t="s">
        <v>65</v>
      </c>
      <c r="D174" s="241">
        <v>13</v>
      </c>
      <c r="E174" s="241" t="s">
        <v>539</v>
      </c>
      <c r="F174" s="241" t="s">
        <v>116</v>
      </c>
      <c r="G174" s="235"/>
      <c r="H174" s="222"/>
      <c r="I174" s="223"/>
    </row>
    <row r="175" spans="1:9" s="4" customFormat="1" ht="25.5">
      <c r="A175" s="236" t="s">
        <v>973</v>
      </c>
      <c r="B175" s="241">
        <v>601</v>
      </c>
      <c r="C175" s="241" t="s">
        <v>65</v>
      </c>
      <c r="D175" s="241">
        <v>13</v>
      </c>
      <c r="E175" s="241" t="s">
        <v>539</v>
      </c>
      <c r="F175" s="241" t="s">
        <v>1043</v>
      </c>
      <c r="G175" s="235"/>
      <c r="H175" s="222"/>
      <c r="I175" s="223"/>
    </row>
    <row r="176" spans="1:9" s="3" customFormat="1">
      <c r="A176" s="248" t="s">
        <v>618</v>
      </c>
      <c r="B176" s="241">
        <v>601</v>
      </c>
      <c r="C176" s="241" t="s">
        <v>65</v>
      </c>
      <c r="D176" s="241">
        <v>13</v>
      </c>
      <c r="E176" s="241" t="s">
        <v>540</v>
      </c>
      <c r="F176" s="241" t="s">
        <v>58</v>
      </c>
      <c r="G176" s="247"/>
      <c r="H176" s="222"/>
      <c r="I176" s="223"/>
    </row>
    <row r="177" spans="1:9" s="3" customFormat="1" ht="25.5">
      <c r="A177" s="248" t="s">
        <v>122</v>
      </c>
      <c r="B177" s="241">
        <v>601</v>
      </c>
      <c r="C177" s="241" t="s">
        <v>65</v>
      </c>
      <c r="D177" s="241">
        <v>13</v>
      </c>
      <c r="E177" s="241" t="s">
        <v>571</v>
      </c>
      <c r="F177" s="241" t="s">
        <v>58</v>
      </c>
      <c r="G177" s="247"/>
      <c r="H177" s="222"/>
      <c r="I177" s="223"/>
    </row>
    <row r="178" spans="1:9" s="3" customFormat="1" ht="25.5">
      <c r="A178" s="248" t="s">
        <v>108</v>
      </c>
      <c r="B178" s="241">
        <v>601</v>
      </c>
      <c r="C178" s="241" t="s">
        <v>65</v>
      </c>
      <c r="D178" s="241">
        <v>13</v>
      </c>
      <c r="E178" s="241" t="s">
        <v>571</v>
      </c>
      <c r="F178" s="241" t="s">
        <v>116</v>
      </c>
      <c r="G178" s="235"/>
      <c r="H178" s="222"/>
      <c r="I178" s="223"/>
    </row>
    <row r="179" spans="1:9" s="4" customFormat="1" ht="25.5">
      <c r="A179" s="236" t="s">
        <v>973</v>
      </c>
      <c r="B179" s="241">
        <v>601</v>
      </c>
      <c r="C179" s="241" t="s">
        <v>65</v>
      </c>
      <c r="D179" s="241">
        <v>13</v>
      </c>
      <c r="E179" s="241" t="s">
        <v>571</v>
      </c>
      <c r="F179" s="241" t="s">
        <v>1043</v>
      </c>
      <c r="G179" s="235"/>
      <c r="H179" s="222"/>
      <c r="I179" s="223"/>
    </row>
    <row r="180" spans="1:9" s="3" customFormat="1">
      <c r="A180" s="236" t="s">
        <v>754</v>
      </c>
      <c r="B180" s="245">
        <v>601</v>
      </c>
      <c r="C180" s="241" t="s">
        <v>65</v>
      </c>
      <c r="D180" s="241">
        <v>13</v>
      </c>
      <c r="E180" s="241" t="s">
        <v>251</v>
      </c>
      <c r="F180" s="241" t="s">
        <v>58</v>
      </c>
      <c r="G180" s="247"/>
      <c r="H180" s="222"/>
      <c r="I180" s="223"/>
    </row>
    <row r="181" spans="1:9" s="3" customFormat="1" ht="25.5">
      <c r="A181" s="237" t="s">
        <v>774</v>
      </c>
      <c r="B181" s="245">
        <v>601</v>
      </c>
      <c r="C181" s="241" t="s">
        <v>65</v>
      </c>
      <c r="D181" s="241">
        <v>13</v>
      </c>
      <c r="E181" s="241" t="s">
        <v>775</v>
      </c>
      <c r="F181" s="241" t="s">
        <v>58</v>
      </c>
      <c r="G181" s="247"/>
      <c r="H181" s="222"/>
      <c r="I181" s="223"/>
    </row>
    <row r="182" spans="1:9" s="3" customFormat="1" ht="38.25">
      <c r="A182" s="237" t="s">
        <v>873</v>
      </c>
      <c r="B182" s="245">
        <v>601</v>
      </c>
      <c r="C182" s="241" t="s">
        <v>65</v>
      </c>
      <c r="D182" s="241">
        <v>13</v>
      </c>
      <c r="E182" s="241" t="s">
        <v>776</v>
      </c>
      <c r="F182" s="241" t="s">
        <v>58</v>
      </c>
      <c r="G182" s="235"/>
      <c r="H182" s="222"/>
      <c r="I182" s="223"/>
    </row>
    <row r="183" spans="1:9" s="3" customFormat="1" ht="25.5">
      <c r="A183" s="232" t="s">
        <v>108</v>
      </c>
      <c r="B183" s="245">
        <v>601</v>
      </c>
      <c r="C183" s="241" t="s">
        <v>65</v>
      </c>
      <c r="D183" s="241">
        <v>13</v>
      </c>
      <c r="E183" s="241" t="s">
        <v>776</v>
      </c>
      <c r="F183" s="241" t="s">
        <v>116</v>
      </c>
      <c r="G183" s="235"/>
      <c r="H183" s="222"/>
      <c r="I183" s="223"/>
    </row>
    <row r="184" spans="1:9" s="4" customFormat="1" ht="25.5">
      <c r="A184" s="236" t="s">
        <v>973</v>
      </c>
      <c r="B184" s="245">
        <v>601</v>
      </c>
      <c r="C184" s="241" t="s">
        <v>65</v>
      </c>
      <c r="D184" s="241">
        <v>13</v>
      </c>
      <c r="E184" s="241" t="s">
        <v>776</v>
      </c>
      <c r="F184" s="241" t="s">
        <v>1043</v>
      </c>
      <c r="G184" s="235"/>
      <c r="H184" s="222"/>
      <c r="I184" s="223"/>
    </row>
    <row r="185" spans="1:9" s="3" customFormat="1" ht="25.5">
      <c r="A185" s="237" t="s">
        <v>611</v>
      </c>
      <c r="B185" s="245">
        <v>601</v>
      </c>
      <c r="C185" s="241" t="s">
        <v>65</v>
      </c>
      <c r="D185" s="241">
        <v>13</v>
      </c>
      <c r="E185" s="241" t="s">
        <v>252</v>
      </c>
      <c r="F185" s="234" t="s">
        <v>58</v>
      </c>
      <c r="G185" s="235"/>
      <c r="H185" s="222"/>
      <c r="I185" s="223"/>
    </row>
    <row r="186" spans="1:9" s="3" customFormat="1" ht="38.25">
      <c r="A186" s="237" t="s">
        <v>873</v>
      </c>
      <c r="B186" s="245">
        <v>601</v>
      </c>
      <c r="C186" s="241" t="s">
        <v>65</v>
      </c>
      <c r="D186" s="241">
        <v>13</v>
      </c>
      <c r="E186" s="241" t="s">
        <v>253</v>
      </c>
      <c r="F186" s="234" t="s">
        <v>58</v>
      </c>
      <c r="G186" s="235"/>
      <c r="H186" s="222"/>
      <c r="I186" s="223"/>
    </row>
    <row r="187" spans="1:9" s="3" customFormat="1" ht="25.5">
      <c r="A187" s="232" t="s">
        <v>108</v>
      </c>
      <c r="B187" s="245">
        <v>601</v>
      </c>
      <c r="C187" s="241" t="s">
        <v>65</v>
      </c>
      <c r="D187" s="241">
        <v>13</v>
      </c>
      <c r="E187" s="241" t="s">
        <v>253</v>
      </c>
      <c r="F187" s="234" t="s">
        <v>116</v>
      </c>
      <c r="G187" s="235"/>
      <c r="H187" s="222"/>
      <c r="I187" s="223"/>
    </row>
    <row r="188" spans="1:9" s="4" customFormat="1" ht="25.5">
      <c r="A188" s="236" t="s">
        <v>973</v>
      </c>
      <c r="B188" s="245">
        <v>601</v>
      </c>
      <c r="C188" s="241" t="s">
        <v>65</v>
      </c>
      <c r="D188" s="241">
        <v>13</v>
      </c>
      <c r="E188" s="241" t="s">
        <v>253</v>
      </c>
      <c r="F188" s="234" t="s">
        <v>1043</v>
      </c>
      <c r="G188" s="235"/>
      <c r="H188" s="222"/>
      <c r="I188" s="223"/>
    </row>
    <row r="189" spans="1:9" s="3" customFormat="1">
      <c r="A189" s="248" t="s">
        <v>91</v>
      </c>
      <c r="B189" s="245">
        <v>601</v>
      </c>
      <c r="C189" s="241" t="s">
        <v>65</v>
      </c>
      <c r="D189" s="241">
        <v>13</v>
      </c>
      <c r="E189" s="241" t="s">
        <v>253</v>
      </c>
      <c r="F189" s="234" t="s">
        <v>100</v>
      </c>
      <c r="G189" s="235"/>
      <c r="H189" s="222"/>
      <c r="I189" s="223"/>
    </row>
    <row r="190" spans="1:9" s="3" customFormat="1" ht="25.5">
      <c r="A190" s="237" t="s">
        <v>615</v>
      </c>
      <c r="B190" s="245">
        <v>601</v>
      </c>
      <c r="C190" s="241" t="s">
        <v>65</v>
      </c>
      <c r="D190" s="241">
        <v>13</v>
      </c>
      <c r="E190" s="241" t="s">
        <v>254</v>
      </c>
      <c r="F190" s="234" t="s">
        <v>58</v>
      </c>
      <c r="G190" s="235"/>
      <c r="H190" s="222"/>
      <c r="I190" s="223"/>
    </row>
    <row r="191" spans="1:9" s="3" customFormat="1" ht="38.25">
      <c r="A191" s="237" t="s">
        <v>873</v>
      </c>
      <c r="B191" s="245">
        <v>601</v>
      </c>
      <c r="C191" s="241" t="s">
        <v>65</v>
      </c>
      <c r="D191" s="241">
        <v>13</v>
      </c>
      <c r="E191" s="241" t="s">
        <v>255</v>
      </c>
      <c r="F191" s="234" t="s">
        <v>58</v>
      </c>
      <c r="G191" s="235"/>
      <c r="H191" s="222"/>
      <c r="I191" s="223"/>
    </row>
    <row r="192" spans="1:9" s="3" customFormat="1" ht="25.5">
      <c r="A192" s="232" t="s">
        <v>108</v>
      </c>
      <c r="B192" s="245">
        <v>601</v>
      </c>
      <c r="C192" s="241" t="s">
        <v>65</v>
      </c>
      <c r="D192" s="241">
        <v>13</v>
      </c>
      <c r="E192" s="241" t="s">
        <v>255</v>
      </c>
      <c r="F192" s="234" t="s">
        <v>116</v>
      </c>
      <c r="G192" s="235"/>
      <c r="H192" s="222"/>
      <c r="I192" s="223"/>
    </row>
    <row r="193" spans="1:9" s="4" customFormat="1" ht="25.5">
      <c r="A193" s="236" t="s">
        <v>973</v>
      </c>
      <c r="B193" s="245">
        <v>601</v>
      </c>
      <c r="C193" s="241" t="s">
        <v>65</v>
      </c>
      <c r="D193" s="241">
        <v>13</v>
      </c>
      <c r="E193" s="241" t="s">
        <v>255</v>
      </c>
      <c r="F193" s="234" t="s">
        <v>1043</v>
      </c>
      <c r="G193" s="235"/>
      <c r="H193" s="222"/>
      <c r="I193" s="223"/>
    </row>
    <row r="194" spans="1:9" s="3" customFormat="1">
      <c r="A194" s="248" t="s">
        <v>91</v>
      </c>
      <c r="B194" s="245">
        <v>601</v>
      </c>
      <c r="C194" s="241" t="s">
        <v>65</v>
      </c>
      <c r="D194" s="241">
        <v>13</v>
      </c>
      <c r="E194" s="241" t="s">
        <v>255</v>
      </c>
      <c r="F194" s="234" t="s">
        <v>100</v>
      </c>
      <c r="G194" s="235"/>
      <c r="H194" s="222"/>
      <c r="I194" s="223"/>
    </row>
    <row r="195" spans="1:9" s="3" customFormat="1">
      <c r="A195" s="232" t="s">
        <v>755</v>
      </c>
      <c r="B195" s="245">
        <v>601</v>
      </c>
      <c r="C195" s="241" t="s">
        <v>65</v>
      </c>
      <c r="D195" s="241">
        <v>13</v>
      </c>
      <c r="E195" s="241" t="s">
        <v>256</v>
      </c>
      <c r="F195" s="234" t="s">
        <v>58</v>
      </c>
      <c r="G195" s="235"/>
      <c r="H195" s="222"/>
      <c r="I195" s="223"/>
    </row>
    <row r="196" spans="1:9" s="3" customFormat="1" ht="25.5">
      <c r="A196" s="232" t="s">
        <v>679</v>
      </c>
      <c r="B196" s="245">
        <v>601</v>
      </c>
      <c r="C196" s="241" t="s">
        <v>65</v>
      </c>
      <c r="D196" s="241">
        <v>13</v>
      </c>
      <c r="E196" s="241" t="s">
        <v>257</v>
      </c>
      <c r="F196" s="234" t="s">
        <v>58</v>
      </c>
      <c r="G196" s="235"/>
      <c r="H196" s="222"/>
      <c r="I196" s="223"/>
    </row>
    <row r="197" spans="1:9" s="3" customFormat="1" ht="38.25">
      <c r="A197" s="232" t="s">
        <v>678</v>
      </c>
      <c r="B197" s="245">
        <v>601</v>
      </c>
      <c r="C197" s="241" t="s">
        <v>65</v>
      </c>
      <c r="D197" s="241">
        <v>13</v>
      </c>
      <c r="E197" s="241" t="s">
        <v>258</v>
      </c>
      <c r="F197" s="234" t="s">
        <v>58</v>
      </c>
      <c r="G197" s="235"/>
      <c r="H197" s="222"/>
      <c r="I197" s="223"/>
    </row>
    <row r="198" spans="1:9" s="3" customFormat="1">
      <c r="A198" s="248" t="s">
        <v>91</v>
      </c>
      <c r="B198" s="245">
        <v>601</v>
      </c>
      <c r="C198" s="241" t="s">
        <v>65</v>
      </c>
      <c r="D198" s="241">
        <v>13</v>
      </c>
      <c r="E198" s="241" t="s">
        <v>258</v>
      </c>
      <c r="F198" s="234" t="s">
        <v>100</v>
      </c>
      <c r="G198" s="235"/>
      <c r="H198" s="222"/>
      <c r="I198" s="223"/>
    </row>
    <row r="199" spans="1:9" s="3" customFormat="1">
      <c r="A199" s="232" t="s">
        <v>759</v>
      </c>
      <c r="B199" s="233" t="s">
        <v>55</v>
      </c>
      <c r="C199" s="234" t="s">
        <v>65</v>
      </c>
      <c r="D199" s="234" t="s">
        <v>84</v>
      </c>
      <c r="E199" s="234" t="s">
        <v>259</v>
      </c>
      <c r="F199" s="234" t="s">
        <v>58</v>
      </c>
      <c r="G199" s="235"/>
      <c r="H199" s="222"/>
      <c r="I199" s="223"/>
    </row>
    <row r="200" spans="1:9" s="3" customFormat="1" ht="25.5">
      <c r="A200" s="232" t="s">
        <v>760</v>
      </c>
      <c r="B200" s="233" t="s">
        <v>55</v>
      </c>
      <c r="C200" s="234" t="s">
        <v>65</v>
      </c>
      <c r="D200" s="234" t="s">
        <v>84</v>
      </c>
      <c r="E200" s="234" t="s">
        <v>260</v>
      </c>
      <c r="F200" s="234" t="s">
        <v>58</v>
      </c>
      <c r="G200" s="235"/>
      <c r="H200" s="222"/>
      <c r="I200" s="223"/>
    </row>
    <row r="201" spans="1:9" s="3" customFormat="1" ht="38.25">
      <c r="A201" s="237" t="s">
        <v>261</v>
      </c>
      <c r="B201" s="233" t="s">
        <v>55</v>
      </c>
      <c r="C201" s="234" t="s">
        <v>65</v>
      </c>
      <c r="D201" s="234" t="s">
        <v>84</v>
      </c>
      <c r="E201" s="234" t="s">
        <v>262</v>
      </c>
      <c r="F201" s="234" t="s">
        <v>58</v>
      </c>
      <c r="G201" s="235"/>
      <c r="H201" s="222"/>
      <c r="I201" s="223"/>
    </row>
    <row r="202" spans="1:9" s="3" customFormat="1" ht="63.75">
      <c r="A202" s="232" t="s">
        <v>677</v>
      </c>
      <c r="B202" s="233" t="s">
        <v>55</v>
      </c>
      <c r="C202" s="234" t="s">
        <v>65</v>
      </c>
      <c r="D202" s="234" t="s">
        <v>84</v>
      </c>
      <c r="E202" s="234" t="s">
        <v>263</v>
      </c>
      <c r="F202" s="234" t="s">
        <v>58</v>
      </c>
      <c r="G202" s="235"/>
      <c r="H202" s="222"/>
      <c r="I202" s="223"/>
    </row>
    <row r="203" spans="1:9" s="3" customFormat="1" ht="25.5">
      <c r="A203" s="232" t="s">
        <v>111</v>
      </c>
      <c r="B203" s="233" t="s">
        <v>55</v>
      </c>
      <c r="C203" s="234" t="s">
        <v>65</v>
      </c>
      <c r="D203" s="234" t="s">
        <v>84</v>
      </c>
      <c r="E203" s="234" t="s">
        <v>263</v>
      </c>
      <c r="F203" s="234" t="s">
        <v>104</v>
      </c>
      <c r="G203" s="235"/>
      <c r="H203" s="222"/>
      <c r="I203" s="223"/>
    </row>
    <row r="204" spans="1:9" s="4" customFormat="1" ht="38.25">
      <c r="A204" s="236" t="s">
        <v>1047</v>
      </c>
      <c r="B204" s="233" t="s">
        <v>55</v>
      </c>
      <c r="C204" s="234" t="s">
        <v>65</v>
      </c>
      <c r="D204" s="234" t="s">
        <v>84</v>
      </c>
      <c r="E204" s="234" t="s">
        <v>263</v>
      </c>
      <c r="F204" s="234" t="s">
        <v>1072</v>
      </c>
      <c r="G204" s="235"/>
      <c r="H204" s="222"/>
      <c r="I204" s="223"/>
    </row>
    <row r="205" spans="1:9" s="3" customFormat="1">
      <c r="A205" s="237" t="s">
        <v>112</v>
      </c>
      <c r="B205" s="241" t="s">
        <v>55</v>
      </c>
      <c r="C205" s="242" t="s">
        <v>65</v>
      </c>
      <c r="D205" s="242" t="s">
        <v>84</v>
      </c>
      <c r="E205" s="242" t="s">
        <v>206</v>
      </c>
      <c r="F205" s="242" t="s">
        <v>58</v>
      </c>
      <c r="G205" s="235"/>
      <c r="H205" s="222"/>
      <c r="I205" s="223"/>
    </row>
    <row r="206" spans="1:9" s="3" customFormat="1" ht="25.5">
      <c r="A206" s="237" t="s">
        <v>113</v>
      </c>
      <c r="B206" s="241" t="s">
        <v>55</v>
      </c>
      <c r="C206" s="242" t="s">
        <v>65</v>
      </c>
      <c r="D206" s="242" t="s">
        <v>84</v>
      </c>
      <c r="E206" s="242" t="s">
        <v>207</v>
      </c>
      <c r="F206" s="242" t="s">
        <v>58</v>
      </c>
      <c r="G206" s="235"/>
      <c r="H206" s="222"/>
      <c r="I206" s="223"/>
    </row>
    <row r="207" spans="1:9" s="3" customFormat="1">
      <c r="A207" s="237" t="s">
        <v>247</v>
      </c>
      <c r="B207" s="241" t="s">
        <v>55</v>
      </c>
      <c r="C207" s="242" t="s">
        <v>65</v>
      </c>
      <c r="D207" s="242" t="s">
        <v>84</v>
      </c>
      <c r="E207" s="242" t="s">
        <v>264</v>
      </c>
      <c r="F207" s="242" t="s">
        <v>58</v>
      </c>
      <c r="G207" s="243"/>
      <c r="H207" s="222"/>
      <c r="I207" s="223"/>
    </row>
    <row r="208" spans="1:9" s="3" customFormat="1">
      <c r="A208" s="244" t="s">
        <v>106</v>
      </c>
      <c r="B208" s="241" t="s">
        <v>55</v>
      </c>
      <c r="C208" s="242" t="s">
        <v>65</v>
      </c>
      <c r="D208" s="242" t="s">
        <v>84</v>
      </c>
      <c r="E208" s="242" t="s">
        <v>264</v>
      </c>
      <c r="F208" s="242" t="s">
        <v>121</v>
      </c>
      <c r="G208" s="235"/>
      <c r="H208" s="222"/>
      <c r="I208" s="223"/>
    </row>
    <row r="209" spans="1:9" s="4" customFormat="1">
      <c r="A209" s="236" t="s">
        <v>932</v>
      </c>
      <c r="B209" s="241" t="s">
        <v>55</v>
      </c>
      <c r="C209" s="242" t="s">
        <v>65</v>
      </c>
      <c r="D209" s="242" t="s">
        <v>84</v>
      </c>
      <c r="E209" s="242" t="s">
        <v>264</v>
      </c>
      <c r="F209" s="234" t="s">
        <v>1056</v>
      </c>
      <c r="G209" s="235"/>
      <c r="H209" s="222"/>
      <c r="I209" s="223"/>
    </row>
    <row r="210" spans="1:9" s="4" customFormat="1">
      <c r="A210" s="236" t="s">
        <v>933</v>
      </c>
      <c r="B210" s="241" t="s">
        <v>55</v>
      </c>
      <c r="C210" s="242" t="s">
        <v>65</v>
      </c>
      <c r="D210" s="242" t="s">
        <v>84</v>
      </c>
      <c r="E210" s="242" t="s">
        <v>264</v>
      </c>
      <c r="F210" s="234" t="s">
        <v>1069</v>
      </c>
      <c r="G210" s="235"/>
      <c r="H210" s="222"/>
      <c r="I210" s="223"/>
    </row>
    <row r="211" spans="1:9" s="4" customFormat="1" ht="25.5">
      <c r="A211" s="236" t="s">
        <v>935</v>
      </c>
      <c r="B211" s="241" t="s">
        <v>55</v>
      </c>
      <c r="C211" s="242" t="s">
        <v>65</v>
      </c>
      <c r="D211" s="242" t="s">
        <v>84</v>
      </c>
      <c r="E211" s="242" t="s">
        <v>264</v>
      </c>
      <c r="F211" s="234" t="s">
        <v>1057</v>
      </c>
      <c r="G211" s="235"/>
      <c r="H211" s="222"/>
      <c r="I211" s="223"/>
    </row>
    <row r="212" spans="1:9" s="3" customFormat="1" ht="25.5">
      <c r="A212" s="232" t="s">
        <v>108</v>
      </c>
      <c r="B212" s="241" t="s">
        <v>55</v>
      </c>
      <c r="C212" s="242" t="s">
        <v>65</v>
      </c>
      <c r="D212" s="242" t="s">
        <v>84</v>
      </c>
      <c r="E212" s="242" t="s">
        <v>264</v>
      </c>
      <c r="F212" s="242" t="s">
        <v>116</v>
      </c>
      <c r="G212" s="235"/>
      <c r="H212" s="222"/>
      <c r="I212" s="223"/>
    </row>
    <row r="213" spans="1:9" s="4" customFormat="1" ht="25.5">
      <c r="A213" s="236" t="s">
        <v>973</v>
      </c>
      <c r="B213" s="241" t="s">
        <v>55</v>
      </c>
      <c r="C213" s="242" t="s">
        <v>65</v>
      </c>
      <c r="D213" s="242" t="s">
        <v>84</v>
      </c>
      <c r="E213" s="242" t="s">
        <v>264</v>
      </c>
      <c r="F213" s="242" t="s">
        <v>1043</v>
      </c>
      <c r="G213" s="235"/>
      <c r="H213" s="222"/>
      <c r="I213" s="223"/>
    </row>
    <row r="214" spans="1:9" s="3" customFormat="1">
      <c r="A214" s="232" t="s">
        <v>97</v>
      </c>
      <c r="B214" s="233" t="s">
        <v>55</v>
      </c>
      <c r="C214" s="234" t="s">
        <v>65</v>
      </c>
      <c r="D214" s="234" t="s">
        <v>84</v>
      </c>
      <c r="E214" s="234" t="s">
        <v>264</v>
      </c>
      <c r="F214" s="234" t="s">
        <v>118</v>
      </c>
      <c r="G214" s="235"/>
      <c r="H214" s="222"/>
      <c r="I214" s="223"/>
    </row>
    <row r="215" spans="1:9" s="3" customFormat="1">
      <c r="A215" s="232" t="s">
        <v>1036</v>
      </c>
      <c r="B215" s="233" t="s">
        <v>55</v>
      </c>
      <c r="C215" s="234" t="s">
        <v>65</v>
      </c>
      <c r="D215" s="234" t="s">
        <v>84</v>
      </c>
      <c r="E215" s="234" t="s">
        <v>264</v>
      </c>
      <c r="F215" s="234" t="s">
        <v>1061</v>
      </c>
      <c r="G215" s="235"/>
      <c r="H215" s="222"/>
      <c r="I215" s="223"/>
    </row>
    <row r="216" spans="1:9" s="3" customFormat="1">
      <c r="A216" s="232" t="s">
        <v>1037</v>
      </c>
      <c r="B216" s="233" t="s">
        <v>55</v>
      </c>
      <c r="C216" s="234" t="s">
        <v>65</v>
      </c>
      <c r="D216" s="234" t="s">
        <v>84</v>
      </c>
      <c r="E216" s="234" t="s">
        <v>264</v>
      </c>
      <c r="F216" s="234" t="s">
        <v>1062</v>
      </c>
      <c r="G216" s="235"/>
      <c r="H216" s="222"/>
      <c r="I216" s="223"/>
    </row>
    <row r="217" spans="1:9" s="3" customFormat="1">
      <c r="A217" s="232" t="s">
        <v>1038</v>
      </c>
      <c r="B217" s="233" t="s">
        <v>55</v>
      </c>
      <c r="C217" s="234" t="s">
        <v>65</v>
      </c>
      <c r="D217" s="234" t="s">
        <v>84</v>
      </c>
      <c r="E217" s="234" t="s">
        <v>264</v>
      </c>
      <c r="F217" s="234" t="s">
        <v>1066</v>
      </c>
      <c r="G217" s="235"/>
      <c r="H217" s="222"/>
      <c r="I217" s="223"/>
    </row>
    <row r="218" spans="1:9" s="3" customFormat="1" ht="25.5">
      <c r="A218" s="232" t="s">
        <v>683</v>
      </c>
      <c r="B218" s="241" t="s">
        <v>55</v>
      </c>
      <c r="C218" s="242" t="s">
        <v>65</v>
      </c>
      <c r="D218" s="242" t="s">
        <v>84</v>
      </c>
      <c r="E218" s="242" t="s">
        <v>680</v>
      </c>
      <c r="F218" s="242" t="s">
        <v>58</v>
      </c>
      <c r="G218" s="235"/>
      <c r="H218" s="222"/>
      <c r="I218" s="223"/>
    </row>
    <row r="219" spans="1:9" s="3" customFormat="1">
      <c r="A219" s="232" t="s">
        <v>684</v>
      </c>
      <c r="B219" s="241" t="s">
        <v>55</v>
      </c>
      <c r="C219" s="242" t="s">
        <v>65</v>
      </c>
      <c r="D219" s="242" t="s">
        <v>84</v>
      </c>
      <c r="E219" s="242" t="s">
        <v>681</v>
      </c>
      <c r="F219" s="242" t="s">
        <v>58</v>
      </c>
      <c r="G219" s="235"/>
      <c r="H219" s="222"/>
      <c r="I219" s="223"/>
    </row>
    <row r="220" spans="1:9" s="3" customFormat="1" ht="25.5">
      <c r="A220" s="237" t="s">
        <v>265</v>
      </c>
      <c r="B220" s="241" t="s">
        <v>55</v>
      </c>
      <c r="C220" s="242" t="s">
        <v>65</v>
      </c>
      <c r="D220" s="242" t="s">
        <v>84</v>
      </c>
      <c r="E220" s="242" t="s">
        <v>770</v>
      </c>
      <c r="F220" s="242" t="s">
        <v>58</v>
      </c>
      <c r="G220" s="235"/>
      <c r="H220" s="222"/>
      <c r="I220" s="223"/>
    </row>
    <row r="221" spans="1:9" s="3" customFormat="1">
      <c r="A221" s="236" t="s">
        <v>107</v>
      </c>
      <c r="B221" s="241" t="s">
        <v>55</v>
      </c>
      <c r="C221" s="242" t="s">
        <v>65</v>
      </c>
      <c r="D221" s="242" t="s">
        <v>84</v>
      </c>
      <c r="E221" s="242" t="s">
        <v>770</v>
      </c>
      <c r="F221" s="242" t="s">
        <v>115</v>
      </c>
      <c r="G221" s="235"/>
      <c r="H221" s="222"/>
      <c r="I221" s="223"/>
    </row>
    <row r="222" spans="1:9" s="4" customFormat="1">
      <c r="A222" s="236" t="s">
        <v>936</v>
      </c>
      <c r="B222" s="241" t="s">
        <v>55</v>
      </c>
      <c r="C222" s="242" t="s">
        <v>65</v>
      </c>
      <c r="D222" s="242" t="s">
        <v>84</v>
      </c>
      <c r="E222" s="242" t="s">
        <v>770</v>
      </c>
      <c r="F222" s="234" t="s">
        <v>1063</v>
      </c>
      <c r="G222" s="235"/>
      <c r="H222" s="222"/>
      <c r="I222" s="223"/>
    </row>
    <row r="223" spans="1:9" s="4" customFormat="1" ht="38.25">
      <c r="A223" s="236" t="s">
        <v>939</v>
      </c>
      <c r="B223" s="241" t="s">
        <v>55</v>
      </c>
      <c r="C223" s="242" t="s">
        <v>65</v>
      </c>
      <c r="D223" s="242" t="s">
        <v>84</v>
      </c>
      <c r="E223" s="242" t="s">
        <v>770</v>
      </c>
      <c r="F223" s="234" t="s">
        <v>1060</v>
      </c>
      <c r="G223" s="235"/>
      <c r="H223" s="222"/>
      <c r="I223" s="223"/>
    </row>
    <row r="224" spans="1:9" s="3" customFormat="1">
      <c r="A224" s="224" t="s">
        <v>35</v>
      </c>
      <c r="B224" s="225" t="s">
        <v>55</v>
      </c>
      <c r="C224" s="226" t="s">
        <v>37</v>
      </c>
      <c r="D224" s="226" t="s">
        <v>51</v>
      </c>
      <c r="E224" s="226" t="s">
        <v>196</v>
      </c>
      <c r="F224" s="226" t="s">
        <v>58</v>
      </c>
      <c r="G224" s="227"/>
      <c r="H224" s="222"/>
      <c r="I224" s="223"/>
    </row>
    <row r="225" spans="1:9" s="3" customFormat="1">
      <c r="A225" s="228" t="s">
        <v>30</v>
      </c>
      <c r="B225" s="229" t="s">
        <v>55</v>
      </c>
      <c r="C225" s="230" t="s">
        <v>37</v>
      </c>
      <c r="D225" s="230" t="s">
        <v>40</v>
      </c>
      <c r="E225" s="230" t="s">
        <v>196</v>
      </c>
      <c r="F225" s="230" t="s">
        <v>58</v>
      </c>
      <c r="G225" s="231"/>
      <c r="H225" s="222"/>
      <c r="I225" s="223"/>
    </row>
    <row r="226" spans="1:9" s="3" customFormat="1">
      <c r="A226" s="237" t="s">
        <v>747</v>
      </c>
      <c r="B226" s="233" t="s">
        <v>55</v>
      </c>
      <c r="C226" s="234" t="s">
        <v>37</v>
      </c>
      <c r="D226" s="234" t="s">
        <v>40</v>
      </c>
      <c r="E226" s="234" t="s">
        <v>215</v>
      </c>
      <c r="F226" s="234" t="s">
        <v>58</v>
      </c>
      <c r="G226" s="235"/>
      <c r="H226" s="222"/>
      <c r="I226" s="223"/>
    </row>
    <row r="227" spans="1:9" s="3" customFormat="1" ht="25.5">
      <c r="A227" s="237" t="s">
        <v>153</v>
      </c>
      <c r="B227" s="233" t="s">
        <v>55</v>
      </c>
      <c r="C227" s="234" t="s">
        <v>37</v>
      </c>
      <c r="D227" s="234" t="s">
        <v>40</v>
      </c>
      <c r="E227" s="234" t="s">
        <v>266</v>
      </c>
      <c r="F227" s="234" t="s">
        <v>58</v>
      </c>
      <c r="G227" s="235"/>
      <c r="H227" s="222"/>
      <c r="I227" s="223"/>
    </row>
    <row r="228" spans="1:9" s="3" customFormat="1" ht="25.5">
      <c r="A228" s="237" t="s">
        <v>586</v>
      </c>
      <c r="B228" s="233" t="s">
        <v>55</v>
      </c>
      <c r="C228" s="234" t="s">
        <v>37</v>
      </c>
      <c r="D228" s="234" t="s">
        <v>40</v>
      </c>
      <c r="E228" s="234" t="s">
        <v>267</v>
      </c>
      <c r="F228" s="234" t="s">
        <v>58</v>
      </c>
      <c r="G228" s="235"/>
      <c r="H228" s="222"/>
      <c r="I228" s="223"/>
    </row>
    <row r="229" spans="1:9" s="3" customFormat="1" ht="25.5">
      <c r="A229" s="237" t="s">
        <v>268</v>
      </c>
      <c r="B229" s="233" t="s">
        <v>55</v>
      </c>
      <c r="C229" s="234" t="s">
        <v>37</v>
      </c>
      <c r="D229" s="234" t="s">
        <v>40</v>
      </c>
      <c r="E229" s="234" t="s">
        <v>269</v>
      </c>
      <c r="F229" s="234" t="s">
        <v>58</v>
      </c>
      <c r="G229" s="235"/>
      <c r="H229" s="222"/>
      <c r="I229" s="223"/>
    </row>
    <row r="230" spans="1:9" s="3" customFormat="1" ht="38.25">
      <c r="A230" s="237" t="s">
        <v>561</v>
      </c>
      <c r="B230" s="233" t="s">
        <v>55</v>
      </c>
      <c r="C230" s="234" t="s">
        <v>37</v>
      </c>
      <c r="D230" s="234" t="s">
        <v>40</v>
      </c>
      <c r="E230" s="234" t="s">
        <v>269</v>
      </c>
      <c r="F230" s="234" t="s">
        <v>101</v>
      </c>
      <c r="G230" s="235"/>
      <c r="H230" s="222"/>
      <c r="I230" s="223"/>
    </row>
    <row r="231" spans="1:9" s="3" customFormat="1" ht="38.25">
      <c r="A231" s="236" t="s">
        <v>1047</v>
      </c>
      <c r="B231" s="233" t="s">
        <v>55</v>
      </c>
      <c r="C231" s="234" t="s">
        <v>37</v>
      </c>
      <c r="D231" s="234" t="s">
        <v>40</v>
      </c>
      <c r="E231" s="234" t="s">
        <v>269</v>
      </c>
      <c r="F231" s="234" t="s">
        <v>1050</v>
      </c>
      <c r="G231" s="235"/>
      <c r="H231" s="222"/>
      <c r="I231" s="223"/>
    </row>
    <row r="232" spans="1:9" s="4" customFormat="1" ht="63.75">
      <c r="A232" s="236" t="s">
        <v>1048</v>
      </c>
      <c r="B232" s="233" t="s">
        <v>55</v>
      </c>
      <c r="C232" s="234" t="s">
        <v>37</v>
      </c>
      <c r="D232" s="234" t="s">
        <v>40</v>
      </c>
      <c r="E232" s="234" t="s">
        <v>269</v>
      </c>
      <c r="F232" s="234" t="s">
        <v>1051</v>
      </c>
      <c r="G232" s="235"/>
      <c r="H232" s="222"/>
      <c r="I232" s="223"/>
    </row>
    <row r="233" spans="1:9" s="3" customFormat="1" ht="38.25">
      <c r="A233" s="237" t="s">
        <v>270</v>
      </c>
      <c r="B233" s="233" t="s">
        <v>55</v>
      </c>
      <c r="C233" s="234" t="s">
        <v>37</v>
      </c>
      <c r="D233" s="234" t="s">
        <v>40</v>
      </c>
      <c r="E233" s="234" t="s">
        <v>271</v>
      </c>
      <c r="F233" s="234" t="s">
        <v>58</v>
      </c>
      <c r="G233" s="235"/>
      <c r="H233" s="222"/>
      <c r="I233" s="223"/>
    </row>
    <row r="234" spans="1:9" s="3" customFormat="1" ht="25.5">
      <c r="A234" s="237" t="s">
        <v>874</v>
      </c>
      <c r="B234" s="233" t="s">
        <v>55</v>
      </c>
      <c r="C234" s="234" t="s">
        <v>37</v>
      </c>
      <c r="D234" s="234" t="s">
        <v>40</v>
      </c>
      <c r="E234" s="234" t="s">
        <v>272</v>
      </c>
      <c r="F234" s="234" t="s">
        <v>58</v>
      </c>
      <c r="G234" s="235"/>
      <c r="H234" s="222"/>
      <c r="I234" s="223"/>
    </row>
    <row r="235" spans="1:9" s="3" customFormat="1" ht="25.5">
      <c r="A235" s="232" t="s">
        <v>108</v>
      </c>
      <c r="B235" s="233" t="s">
        <v>55</v>
      </c>
      <c r="C235" s="234" t="s">
        <v>37</v>
      </c>
      <c r="D235" s="234" t="s">
        <v>40</v>
      </c>
      <c r="E235" s="234" t="s">
        <v>272</v>
      </c>
      <c r="F235" s="234" t="s">
        <v>116</v>
      </c>
      <c r="G235" s="235"/>
      <c r="H235" s="222"/>
      <c r="I235" s="223"/>
    </row>
    <row r="236" spans="1:9" s="94" customFormat="1" ht="25.5">
      <c r="A236" s="236" t="s">
        <v>973</v>
      </c>
      <c r="B236" s="233" t="s">
        <v>55</v>
      </c>
      <c r="C236" s="234" t="s">
        <v>37</v>
      </c>
      <c r="D236" s="234" t="s">
        <v>40</v>
      </c>
      <c r="E236" s="234" t="s">
        <v>272</v>
      </c>
      <c r="F236" s="234" t="s">
        <v>1043</v>
      </c>
      <c r="G236" s="235"/>
      <c r="H236" s="222"/>
      <c r="I236" s="223"/>
    </row>
    <row r="237" spans="1:9" s="3" customFormat="1" ht="25.5">
      <c r="A237" s="237" t="s">
        <v>608</v>
      </c>
      <c r="B237" s="233" t="s">
        <v>55</v>
      </c>
      <c r="C237" s="234" t="s">
        <v>37</v>
      </c>
      <c r="D237" s="234" t="s">
        <v>40</v>
      </c>
      <c r="E237" s="234" t="s">
        <v>273</v>
      </c>
      <c r="F237" s="234" t="s">
        <v>58</v>
      </c>
      <c r="G237" s="235"/>
      <c r="H237" s="222"/>
      <c r="I237" s="223"/>
    </row>
    <row r="238" spans="1:9" s="3" customFormat="1" ht="25.5">
      <c r="A238" s="237" t="s">
        <v>874</v>
      </c>
      <c r="B238" s="233" t="s">
        <v>55</v>
      </c>
      <c r="C238" s="234" t="s">
        <v>37</v>
      </c>
      <c r="D238" s="234" t="s">
        <v>40</v>
      </c>
      <c r="E238" s="234" t="s">
        <v>274</v>
      </c>
      <c r="F238" s="234" t="s">
        <v>58</v>
      </c>
      <c r="G238" s="235"/>
      <c r="H238" s="222"/>
      <c r="I238" s="223"/>
    </row>
    <row r="239" spans="1:9" s="3" customFormat="1" ht="25.5">
      <c r="A239" s="232" t="s">
        <v>108</v>
      </c>
      <c r="B239" s="233" t="s">
        <v>55</v>
      </c>
      <c r="C239" s="234" t="s">
        <v>37</v>
      </c>
      <c r="D239" s="234" t="s">
        <v>40</v>
      </c>
      <c r="E239" s="234" t="s">
        <v>274</v>
      </c>
      <c r="F239" s="234" t="s">
        <v>116</v>
      </c>
      <c r="G239" s="235"/>
      <c r="H239" s="222"/>
      <c r="I239" s="223"/>
    </row>
    <row r="240" spans="1:9" s="4" customFormat="1" ht="25.5">
      <c r="A240" s="236" t="s">
        <v>973</v>
      </c>
      <c r="B240" s="233" t="s">
        <v>55</v>
      </c>
      <c r="C240" s="234" t="s">
        <v>37</v>
      </c>
      <c r="D240" s="234" t="s">
        <v>40</v>
      </c>
      <c r="E240" s="234" t="s">
        <v>274</v>
      </c>
      <c r="F240" s="234" t="s">
        <v>1043</v>
      </c>
      <c r="G240" s="235"/>
      <c r="H240" s="222"/>
      <c r="I240" s="223"/>
    </row>
    <row r="241" spans="1:9" s="3" customFormat="1" ht="25.5">
      <c r="A241" s="232" t="s">
        <v>765</v>
      </c>
      <c r="B241" s="233" t="s">
        <v>55</v>
      </c>
      <c r="C241" s="234" t="s">
        <v>37</v>
      </c>
      <c r="D241" s="234" t="s">
        <v>40</v>
      </c>
      <c r="E241" s="234" t="s">
        <v>216</v>
      </c>
      <c r="F241" s="234" t="s">
        <v>58</v>
      </c>
      <c r="G241" s="235"/>
      <c r="H241" s="222"/>
      <c r="I241" s="223"/>
    </row>
    <row r="242" spans="1:9" s="3" customFormat="1" ht="25.5">
      <c r="A242" s="237" t="s">
        <v>847</v>
      </c>
      <c r="B242" s="233" t="s">
        <v>55</v>
      </c>
      <c r="C242" s="234" t="s">
        <v>37</v>
      </c>
      <c r="D242" s="234" t="s">
        <v>40</v>
      </c>
      <c r="E242" s="234" t="s">
        <v>777</v>
      </c>
      <c r="F242" s="234" t="s">
        <v>58</v>
      </c>
      <c r="G242" s="235"/>
      <c r="H242" s="222"/>
      <c r="I242" s="223"/>
    </row>
    <row r="243" spans="1:9" s="3" customFormat="1">
      <c r="A243" s="237" t="s">
        <v>875</v>
      </c>
      <c r="B243" s="233" t="s">
        <v>55</v>
      </c>
      <c r="C243" s="234" t="s">
        <v>37</v>
      </c>
      <c r="D243" s="234" t="s">
        <v>40</v>
      </c>
      <c r="E243" s="234" t="s">
        <v>778</v>
      </c>
      <c r="F243" s="234" t="s">
        <v>58</v>
      </c>
      <c r="G243" s="235"/>
      <c r="H243" s="222"/>
      <c r="I243" s="223"/>
    </row>
    <row r="244" spans="1:9" s="3" customFormat="1" ht="25.5">
      <c r="A244" s="232" t="s">
        <v>108</v>
      </c>
      <c r="B244" s="233" t="s">
        <v>55</v>
      </c>
      <c r="C244" s="234" t="s">
        <v>37</v>
      </c>
      <c r="D244" s="234" t="s">
        <v>40</v>
      </c>
      <c r="E244" s="234" t="s">
        <v>778</v>
      </c>
      <c r="F244" s="234" t="s">
        <v>116</v>
      </c>
      <c r="G244" s="235"/>
      <c r="H244" s="222"/>
      <c r="I244" s="223"/>
    </row>
    <row r="245" spans="1:9" s="4" customFormat="1" ht="25.5">
      <c r="A245" s="236" t="s">
        <v>973</v>
      </c>
      <c r="B245" s="233" t="s">
        <v>55</v>
      </c>
      <c r="C245" s="234" t="s">
        <v>37</v>
      </c>
      <c r="D245" s="234" t="s">
        <v>40</v>
      </c>
      <c r="E245" s="234" t="s">
        <v>778</v>
      </c>
      <c r="F245" s="234" t="s">
        <v>1043</v>
      </c>
      <c r="G245" s="235"/>
      <c r="H245" s="222"/>
      <c r="I245" s="223"/>
    </row>
    <row r="246" spans="1:9" s="3" customFormat="1" ht="25.5">
      <c r="A246" s="232" t="s">
        <v>851</v>
      </c>
      <c r="B246" s="233" t="s">
        <v>55</v>
      </c>
      <c r="C246" s="234" t="s">
        <v>37</v>
      </c>
      <c r="D246" s="234" t="s">
        <v>40</v>
      </c>
      <c r="E246" s="234" t="s">
        <v>275</v>
      </c>
      <c r="F246" s="234" t="s">
        <v>58</v>
      </c>
      <c r="G246" s="235"/>
      <c r="H246" s="222"/>
      <c r="I246" s="223"/>
    </row>
    <row r="247" spans="1:9" s="3" customFormat="1" ht="25.5">
      <c r="A247" s="237" t="s">
        <v>876</v>
      </c>
      <c r="B247" s="233" t="s">
        <v>55</v>
      </c>
      <c r="C247" s="234" t="s">
        <v>37</v>
      </c>
      <c r="D247" s="234" t="s">
        <v>40</v>
      </c>
      <c r="E247" s="234" t="s">
        <v>276</v>
      </c>
      <c r="F247" s="234" t="s">
        <v>58</v>
      </c>
      <c r="G247" s="235"/>
      <c r="H247" s="222"/>
      <c r="I247" s="223"/>
    </row>
    <row r="248" spans="1:9" s="3" customFormat="1" ht="25.5">
      <c r="A248" s="232" t="s">
        <v>108</v>
      </c>
      <c r="B248" s="233" t="s">
        <v>55</v>
      </c>
      <c r="C248" s="234" t="s">
        <v>37</v>
      </c>
      <c r="D248" s="234" t="s">
        <v>40</v>
      </c>
      <c r="E248" s="234" t="s">
        <v>276</v>
      </c>
      <c r="F248" s="234" t="s">
        <v>116</v>
      </c>
      <c r="G248" s="235"/>
      <c r="H248" s="222"/>
      <c r="I248" s="223"/>
    </row>
    <row r="249" spans="1:9" s="4" customFormat="1" ht="25.5">
      <c r="A249" s="236" t="s">
        <v>973</v>
      </c>
      <c r="B249" s="233" t="s">
        <v>55</v>
      </c>
      <c r="C249" s="234" t="s">
        <v>37</v>
      </c>
      <c r="D249" s="234" t="s">
        <v>40</v>
      </c>
      <c r="E249" s="234" t="s">
        <v>276</v>
      </c>
      <c r="F249" s="234" t="s">
        <v>1043</v>
      </c>
      <c r="G249" s="235"/>
      <c r="H249" s="222"/>
      <c r="I249" s="223"/>
    </row>
    <row r="250" spans="1:9" s="3" customFormat="1">
      <c r="A250" s="232" t="s">
        <v>99</v>
      </c>
      <c r="B250" s="233" t="s">
        <v>55</v>
      </c>
      <c r="C250" s="234" t="s">
        <v>37</v>
      </c>
      <c r="D250" s="234" t="s">
        <v>40</v>
      </c>
      <c r="E250" s="234" t="s">
        <v>276</v>
      </c>
      <c r="F250" s="234" t="s">
        <v>105</v>
      </c>
      <c r="G250" s="235"/>
      <c r="H250" s="222"/>
      <c r="I250" s="223"/>
    </row>
    <row r="251" spans="1:9" s="3" customFormat="1">
      <c r="A251" s="224" t="s">
        <v>70</v>
      </c>
      <c r="B251" s="225" t="s">
        <v>55</v>
      </c>
      <c r="C251" s="226" t="s">
        <v>71</v>
      </c>
      <c r="D251" s="226" t="s">
        <v>51</v>
      </c>
      <c r="E251" s="226" t="s">
        <v>196</v>
      </c>
      <c r="F251" s="226" t="s">
        <v>58</v>
      </c>
      <c r="G251" s="227"/>
      <c r="H251" s="222"/>
      <c r="I251" s="223"/>
    </row>
    <row r="252" spans="1:9" s="3" customFormat="1">
      <c r="A252" s="228" t="s">
        <v>664</v>
      </c>
      <c r="B252" s="229" t="s">
        <v>55</v>
      </c>
      <c r="C252" s="230" t="s">
        <v>71</v>
      </c>
      <c r="D252" s="230" t="s">
        <v>8</v>
      </c>
      <c r="E252" s="230" t="s">
        <v>196</v>
      </c>
      <c r="F252" s="230" t="s">
        <v>58</v>
      </c>
      <c r="G252" s="231"/>
      <c r="H252" s="222"/>
      <c r="I252" s="223"/>
    </row>
    <row r="253" spans="1:9" s="3" customFormat="1" ht="25.5">
      <c r="A253" s="237" t="s">
        <v>748</v>
      </c>
      <c r="B253" s="233" t="s">
        <v>55</v>
      </c>
      <c r="C253" s="234" t="s">
        <v>71</v>
      </c>
      <c r="D253" s="234" t="s">
        <v>8</v>
      </c>
      <c r="E253" s="234" t="s">
        <v>220</v>
      </c>
      <c r="F253" s="234" t="s">
        <v>58</v>
      </c>
      <c r="G253" s="235"/>
      <c r="H253" s="222"/>
      <c r="I253" s="223"/>
    </row>
    <row r="254" spans="1:9" s="3" customFormat="1">
      <c r="A254" s="237" t="s">
        <v>749</v>
      </c>
      <c r="B254" s="233" t="s">
        <v>55</v>
      </c>
      <c r="C254" s="234" t="s">
        <v>71</v>
      </c>
      <c r="D254" s="234" t="s">
        <v>8</v>
      </c>
      <c r="E254" s="234" t="s">
        <v>221</v>
      </c>
      <c r="F254" s="234" t="s">
        <v>58</v>
      </c>
      <c r="G254" s="235"/>
      <c r="H254" s="222"/>
      <c r="I254" s="223"/>
    </row>
    <row r="255" spans="1:9" s="3" customFormat="1" ht="25.5">
      <c r="A255" s="237" t="s">
        <v>222</v>
      </c>
      <c r="B255" s="233" t="s">
        <v>55</v>
      </c>
      <c r="C255" s="234" t="s">
        <v>71</v>
      </c>
      <c r="D255" s="234" t="s">
        <v>8</v>
      </c>
      <c r="E255" s="234" t="s">
        <v>223</v>
      </c>
      <c r="F255" s="234" t="s">
        <v>58</v>
      </c>
      <c r="G255" s="235"/>
      <c r="H255" s="222"/>
      <c r="I255" s="223"/>
    </row>
    <row r="256" spans="1:9" s="3" customFormat="1" ht="25.5">
      <c r="A256" s="237" t="s">
        <v>877</v>
      </c>
      <c r="B256" s="233" t="s">
        <v>55</v>
      </c>
      <c r="C256" s="234" t="s">
        <v>71</v>
      </c>
      <c r="D256" s="234" t="s">
        <v>8</v>
      </c>
      <c r="E256" s="234" t="s">
        <v>224</v>
      </c>
      <c r="F256" s="234" t="s">
        <v>58</v>
      </c>
      <c r="G256" s="235"/>
      <c r="H256" s="222"/>
      <c r="I256" s="223"/>
    </row>
    <row r="257" spans="1:9" s="3" customFormat="1" ht="25.5">
      <c r="A257" s="232" t="s">
        <v>108</v>
      </c>
      <c r="B257" s="233" t="s">
        <v>55</v>
      </c>
      <c r="C257" s="234" t="s">
        <v>71</v>
      </c>
      <c r="D257" s="234" t="s">
        <v>8</v>
      </c>
      <c r="E257" s="234" t="s">
        <v>224</v>
      </c>
      <c r="F257" s="234" t="s">
        <v>116</v>
      </c>
      <c r="G257" s="235"/>
      <c r="H257" s="222"/>
      <c r="I257" s="223"/>
    </row>
    <row r="258" spans="1:9" s="4" customFormat="1" ht="25.5">
      <c r="A258" s="236" t="s">
        <v>973</v>
      </c>
      <c r="B258" s="233" t="s">
        <v>55</v>
      </c>
      <c r="C258" s="234" t="s">
        <v>71</v>
      </c>
      <c r="D258" s="234" t="s">
        <v>8</v>
      </c>
      <c r="E258" s="234" t="s">
        <v>224</v>
      </c>
      <c r="F258" s="234" t="s">
        <v>1043</v>
      </c>
      <c r="G258" s="235"/>
      <c r="H258" s="222"/>
      <c r="I258" s="223"/>
    </row>
    <row r="259" spans="1:9" s="3" customFormat="1">
      <c r="A259" s="224" t="s">
        <v>499</v>
      </c>
      <c r="B259" s="225" t="s">
        <v>55</v>
      </c>
      <c r="C259" s="226" t="s">
        <v>50</v>
      </c>
      <c r="D259" s="226" t="s">
        <v>51</v>
      </c>
      <c r="E259" s="226" t="s">
        <v>196</v>
      </c>
      <c r="F259" s="226" t="s">
        <v>58</v>
      </c>
      <c r="G259" s="227"/>
      <c r="H259" s="222"/>
      <c r="I259" s="223"/>
    </row>
    <row r="260" spans="1:9" s="3" customFormat="1">
      <c r="A260" s="228" t="s">
        <v>27</v>
      </c>
      <c r="B260" s="229" t="s">
        <v>55</v>
      </c>
      <c r="C260" s="230" t="s">
        <v>50</v>
      </c>
      <c r="D260" s="230" t="s">
        <v>65</v>
      </c>
      <c r="E260" s="230" t="s">
        <v>196</v>
      </c>
      <c r="F260" s="230" t="s">
        <v>58</v>
      </c>
      <c r="G260" s="231"/>
      <c r="H260" s="222"/>
      <c r="I260" s="223"/>
    </row>
    <row r="261" spans="1:9" s="3" customFormat="1">
      <c r="A261" s="232" t="s">
        <v>739</v>
      </c>
      <c r="B261" s="233" t="s">
        <v>55</v>
      </c>
      <c r="C261" s="234" t="s">
        <v>50</v>
      </c>
      <c r="D261" s="234" t="s">
        <v>65</v>
      </c>
      <c r="E261" s="234" t="s">
        <v>277</v>
      </c>
      <c r="F261" s="234" t="s">
        <v>58</v>
      </c>
      <c r="G261" s="235"/>
      <c r="H261" s="222"/>
      <c r="I261" s="223"/>
    </row>
    <row r="262" spans="1:9" s="3" customFormat="1" ht="38.25">
      <c r="A262" s="237" t="s">
        <v>191</v>
      </c>
      <c r="B262" s="233" t="s">
        <v>55</v>
      </c>
      <c r="C262" s="234" t="s">
        <v>50</v>
      </c>
      <c r="D262" s="234" t="s">
        <v>65</v>
      </c>
      <c r="E262" s="234" t="s">
        <v>278</v>
      </c>
      <c r="F262" s="234" t="s">
        <v>58</v>
      </c>
      <c r="G262" s="235"/>
      <c r="H262" s="222"/>
      <c r="I262" s="223"/>
    </row>
    <row r="263" spans="1:9" s="3" customFormat="1" ht="51">
      <c r="A263" s="237" t="s">
        <v>605</v>
      </c>
      <c r="B263" s="233" t="s">
        <v>55</v>
      </c>
      <c r="C263" s="234" t="s">
        <v>50</v>
      </c>
      <c r="D263" s="234" t="s">
        <v>65</v>
      </c>
      <c r="E263" s="234" t="s">
        <v>279</v>
      </c>
      <c r="F263" s="234" t="s">
        <v>58</v>
      </c>
      <c r="G263" s="235"/>
      <c r="H263" s="222"/>
      <c r="I263" s="223"/>
    </row>
    <row r="264" spans="1:9" s="3" customFormat="1">
      <c r="A264" s="237" t="s">
        <v>161</v>
      </c>
      <c r="B264" s="233" t="s">
        <v>55</v>
      </c>
      <c r="C264" s="234" t="s">
        <v>50</v>
      </c>
      <c r="D264" s="234" t="s">
        <v>65</v>
      </c>
      <c r="E264" s="234" t="s">
        <v>320</v>
      </c>
      <c r="F264" s="234" t="s">
        <v>58</v>
      </c>
      <c r="G264" s="235"/>
      <c r="H264" s="222"/>
      <c r="I264" s="223"/>
    </row>
    <row r="265" spans="1:9" s="3" customFormat="1" ht="25.5">
      <c r="A265" s="232" t="s">
        <v>108</v>
      </c>
      <c r="B265" s="233" t="s">
        <v>55</v>
      </c>
      <c r="C265" s="234" t="s">
        <v>50</v>
      </c>
      <c r="D265" s="234" t="s">
        <v>65</v>
      </c>
      <c r="E265" s="234" t="s">
        <v>320</v>
      </c>
      <c r="F265" s="234" t="s">
        <v>116</v>
      </c>
      <c r="G265" s="235"/>
      <c r="H265" s="222"/>
      <c r="I265" s="223"/>
    </row>
    <row r="266" spans="1:9" s="4" customFormat="1" ht="25.5">
      <c r="A266" s="236" t="s">
        <v>973</v>
      </c>
      <c r="B266" s="233" t="s">
        <v>55</v>
      </c>
      <c r="C266" s="234" t="s">
        <v>50</v>
      </c>
      <c r="D266" s="234" t="s">
        <v>65</v>
      </c>
      <c r="E266" s="234" t="s">
        <v>320</v>
      </c>
      <c r="F266" s="234" t="s">
        <v>1043</v>
      </c>
      <c r="G266" s="235"/>
      <c r="H266" s="222"/>
      <c r="I266" s="223"/>
    </row>
    <row r="267" spans="1:9" s="3" customFormat="1">
      <c r="A267" s="224" t="s">
        <v>77</v>
      </c>
      <c r="B267" s="225" t="s">
        <v>55</v>
      </c>
      <c r="C267" s="226" t="s">
        <v>40</v>
      </c>
      <c r="D267" s="226" t="s">
        <v>51</v>
      </c>
      <c r="E267" s="226" t="s">
        <v>196</v>
      </c>
      <c r="F267" s="226" t="s">
        <v>58</v>
      </c>
      <c r="G267" s="227"/>
      <c r="H267" s="222"/>
      <c r="I267" s="223"/>
    </row>
    <row r="268" spans="1:9" s="3" customFormat="1">
      <c r="A268" s="228" t="s">
        <v>906</v>
      </c>
      <c r="B268" s="229" t="s">
        <v>55</v>
      </c>
      <c r="C268" s="230" t="s">
        <v>40</v>
      </c>
      <c r="D268" s="230" t="s">
        <v>65</v>
      </c>
      <c r="E268" s="230" t="s">
        <v>196</v>
      </c>
      <c r="F268" s="230" t="s">
        <v>58</v>
      </c>
      <c r="G268" s="231"/>
      <c r="H268" s="222"/>
      <c r="I268" s="223"/>
    </row>
    <row r="269" spans="1:9" s="3" customFormat="1" ht="38.25">
      <c r="A269" s="237" t="s">
        <v>751</v>
      </c>
      <c r="B269" s="233" t="s">
        <v>55</v>
      </c>
      <c r="C269" s="234" t="s">
        <v>40</v>
      </c>
      <c r="D269" s="234" t="s">
        <v>65</v>
      </c>
      <c r="E269" s="234" t="s">
        <v>229</v>
      </c>
      <c r="F269" s="234" t="s">
        <v>58</v>
      </c>
      <c r="G269" s="235"/>
      <c r="H269" s="222"/>
      <c r="I269" s="223"/>
    </row>
    <row r="270" spans="1:9" s="3" customFormat="1">
      <c r="A270" s="237" t="s">
        <v>119</v>
      </c>
      <c r="B270" s="233" t="s">
        <v>55</v>
      </c>
      <c r="C270" s="234" t="s">
        <v>40</v>
      </c>
      <c r="D270" s="234" t="s">
        <v>65</v>
      </c>
      <c r="E270" s="234" t="s">
        <v>230</v>
      </c>
      <c r="F270" s="234" t="s">
        <v>58</v>
      </c>
      <c r="G270" s="235"/>
      <c r="H270" s="222"/>
      <c r="I270" s="223"/>
    </row>
    <row r="271" spans="1:9" s="3" customFormat="1" ht="38.25">
      <c r="A271" s="237" t="s">
        <v>237</v>
      </c>
      <c r="B271" s="233" t="s">
        <v>55</v>
      </c>
      <c r="C271" s="234" t="s">
        <v>40</v>
      </c>
      <c r="D271" s="234" t="s">
        <v>65</v>
      </c>
      <c r="E271" s="234" t="s">
        <v>238</v>
      </c>
      <c r="F271" s="234" t="s">
        <v>58</v>
      </c>
      <c r="G271" s="235"/>
      <c r="H271" s="222"/>
      <c r="I271" s="223"/>
    </row>
    <row r="272" spans="1:9" s="3" customFormat="1">
      <c r="A272" s="237" t="s">
        <v>120</v>
      </c>
      <c r="B272" s="233" t="s">
        <v>55</v>
      </c>
      <c r="C272" s="234" t="s">
        <v>40</v>
      </c>
      <c r="D272" s="234" t="s">
        <v>65</v>
      </c>
      <c r="E272" s="234" t="s">
        <v>907</v>
      </c>
      <c r="F272" s="234" t="s">
        <v>58</v>
      </c>
      <c r="G272" s="235"/>
      <c r="H272" s="222"/>
      <c r="I272" s="223"/>
    </row>
    <row r="273" spans="1:9" s="3" customFormat="1" ht="25.5">
      <c r="A273" s="232" t="s">
        <v>108</v>
      </c>
      <c r="B273" s="233" t="s">
        <v>55</v>
      </c>
      <c r="C273" s="234" t="s">
        <v>40</v>
      </c>
      <c r="D273" s="234" t="s">
        <v>65</v>
      </c>
      <c r="E273" s="234" t="s">
        <v>907</v>
      </c>
      <c r="F273" s="234" t="s">
        <v>116</v>
      </c>
      <c r="G273" s="235"/>
      <c r="H273" s="222"/>
      <c r="I273" s="223"/>
    </row>
    <row r="274" spans="1:9" s="4" customFormat="1" ht="25.5">
      <c r="A274" s="236" t="s">
        <v>973</v>
      </c>
      <c r="B274" s="233" t="s">
        <v>55</v>
      </c>
      <c r="C274" s="234" t="s">
        <v>40</v>
      </c>
      <c r="D274" s="234" t="s">
        <v>65</v>
      </c>
      <c r="E274" s="234" t="s">
        <v>907</v>
      </c>
      <c r="F274" s="234" t="s">
        <v>1043</v>
      </c>
      <c r="G274" s="235"/>
      <c r="H274" s="222"/>
      <c r="I274" s="223"/>
    </row>
    <row r="275" spans="1:9" s="3" customFormat="1">
      <c r="A275" s="228" t="s">
        <v>52</v>
      </c>
      <c r="B275" s="229" t="s">
        <v>55</v>
      </c>
      <c r="C275" s="230" t="s">
        <v>40</v>
      </c>
      <c r="D275" s="230" t="s">
        <v>66</v>
      </c>
      <c r="E275" s="230" t="s">
        <v>196</v>
      </c>
      <c r="F275" s="230" t="s">
        <v>58</v>
      </c>
      <c r="G275" s="231"/>
      <c r="H275" s="222"/>
      <c r="I275" s="223"/>
    </row>
    <row r="276" spans="1:9" s="3" customFormat="1" ht="38.25">
      <c r="A276" s="237" t="s">
        <v>751</v>
      </c>
      <c r="B276" s="233" t="s">
        <v>55</v>
      </c>
      <c r="C276" s="234" t="s">
        <v>40</v>
      </c>
      <c r="D276" s="234" t="s">
        <v>66</v>
      </c>
      <c r="E276" s="234" t="s">
        <v>229</v>
      </c>
      <c r="F276" s="234" t="s">
        <v>58</v>
      </c>
      <c r="G276" s="235"/>
      <c r="H276" s="222"/>
      <c r="I276" s="223"/>
    </row>
    <row r="277" spans="1:9" s="3" customFormat="1">
      <c r="A277" s="237" t="s">
        <v>119</v>
      </c>
      <c r="B277" s="233" t="s">
        <v>55</v>
      </c>
      <c r="C277" s="234" t="s">
        <v>40</v>
      </c>
      <c r="D277" s="234" t="s">
        <v>66</v>
      </c>
      <c r="E277" s="234" t="s">
        <v>230</v>
      </c>
      <c r="F277" s="234" t="s">
        <v>58</v>
      </c>
      <c r="G277" s="235"/>
      <c r="H277" s="222"/>
      <c r="I277" s="223"/>
    </row>
    <row r="278" spans="1:9" s="3" customFormat="1" ht="38.25">
      <c r="A278" s="237" t="s">
        <v>237</v>
      </c>
      <c r="B278" s="233" t="s">
        <v>55</v>
      </c>
      <c r="C278" s="234" t="s">
        <v>40</v>
      </c>
      <c r="D278" s="234" t="s">
        <v>66</v>
      </c>
      <c r="E278" s="234" t="s">
        <v>238</v>
      </c>
      <c r="F278" s="234" t="s">
        <v>58</v>
      </c>
      <c r="G278" s="235"/>
      <c r="H278" s="222"/>
      <c r="I278" s="223"/>
    </row>
    <row r="279" spans="1:9" s="3" customFormat="1">
      <c r="A279" s="237" t="s">
        <v>120</v>
      </c>
      <c r="B279" s="233" t="s">
        <v>55</v>
      </c>
      <c r="C279" s="234" t="s">
        <v>40</v>
      </c>
      <c r="D279" s="234" t="s">
        <v>66</v>
      </c>
      <c r="E279" s="234" t="s">
        <v>907</v>
      </c>
      <c r="F279" s="234" t="s">
        <v>58</v>
      </c>
      <c r="G279" s="235"/>
      <c r="H279" s="222"/>
      <c r="I279" s="223"/>
    </row>
    <row r="280" spans="1:9" s="3" customFormat="1" ht="25.5">
      <c r="A280" s="232" t="s">
        <v>108</v>
      </c>
      <c r="B280" s="233" t="s">
        <v>55</v>
      </c>
      <c r="C280" s="234" t="s">
        <v>40</v>
      </c>
      <c r="D280" s="234" t="s">
        <v>66</v>
      </c>
      <c r="E280" s="234" t="s">
        <v>907</v>
      </c>
      <c r="F280" s="234" t="s">
        <v>116</v>
      </c>
      <c r="G280" s="235"/>
      <c r="H280" s="222"/>
      <c r="I280" s="223"/>
    </row>
    <row r="281" spans="1:9" s="4" customFormat="1" ht="25.5">
      <c r="A281" s="236" t="s">
        <v>973</v>
      </c>
      <c r="B281" s="233" t="s">
        <v>55</v>
      </c>
      <c r="C281" s="234" t="s">
        <v>40</v>
      </c>
      <c r="D281" s="234" t="s">
        <v>66</v>
      </c>
      <c r="E281" s="234" t="s">
        <v>907</v>
      </c>
      <c r="F281" s="234" t="s">
        <v>1043</v>
      </c>
      <c r="G281" s="235"/>
      <c r="H281" s="222"/>
      <c r="I281" s="223"/>
    </row>
    <row r="282" spans="1:9" s="3" customFormat="1" ht="25.5">
      <c r="A282" s="237" t="s">
        <v>603</v>
      </c>
      <c r="B282" s="233" t="s">
        <v>55</v>
      </c>
      <c r="C282" s="234" t="s">
        <v>40</v>
      </c>
      <c r="D282" s="234" t="s">
        <v>66</v>
      </c>
      <c r="E282" s="234" t="s">
        <v>239</v>
      </c>
      <c r="F282" s="234" t="s">
        <v>58</v>
      </c>
      <c r="G282" s="235"/>
      <c r="H282" s="222"/>
      <c r="I282" s="223"/>
    </row>
    <row r="283" spans="1:9" s="3" customFormat="1" ht="25.5">
      <c r="A283" s="237" t="s">
        <v>171</v>
      </c>
      <c r="B283" s="233" t="s">
        <v>55</v>
      </c>
      <c r="C283" s="234" t="s">
        <v>40</v>
      </c>
      <c r="D283" s="234" t="s">
        <v>66</v>
      </c>
      <c r="E283" s="234" t="s">
        <v>929</v>
      </c>
      <c r="F283" s="234" t="s">
        <v>58</v>
      </c>
      <c r="G283" s="235"/>
      <c r="H283" s="222"/>
      <c r="I283" s="223"/>
    </row>
    <row r="284" spans="1:9" s="3" customFormat="1" ht="38.25">
      <c r="A284" s="237" t="s">
        <v>561</v>
      </c>
      <c r="B284" s="233" t="s">
        <v>55</v>
      </c>
      <c r="C284" s="234" t="s">
        <v>40</v>
      </c>
      <c r="D284" s="234" t="s">
        <v>66</v>
      </c>
      <c r="E284" s="234" t="s">
        <v>929</v>
      </c>
      <c r="F284" s="234" t="s">
        <v>101</v>
      </c>
      <c r="G284" s="235"/>
      <c r="H284" s="222"/>
      <c r="I284" s="223"/>
    </row>
    <row r="285" spans="1:9" s="94" customFormat="1" ht="38.25">
      <c r="A285" s="236" t="s">
        <v>1047</v>
      </c>
      <c r="B285" s="233" t="s">
        <v>55</v>
      </c>
      <c r="C285" s="234" t="s">
        <v>40</v>
      </c>
      <c r="D285" s="234" t="s">
        <v>66</v>
      </c>
      <c r="E285" s="234" t="s">
        <v>929</v>
      </c>
      <c r="F285" s="234" t="s">
        <v>1050</v>
      </c>
      <c r="G285" s="235"/>
      <c r="H285" s="222"/>
      <c r="I285" s="223"/>
    </row>
    <row r="286" spans="1:9" s="71" customFormat="1">
      <c r="A286" s="249"/>
      <c r="B286" s="239"/>
      <c r="C286" s="240"/>
      <c r="D286" s="240"/>
      <c r="E286" s="240"/>
      <c r="F286" s="240"/>
      <c r="G286" s="235"/>
      <c r="H286" s="222"/>
      <c r="I286" s="223"/>
    </row>
    <row r="287" spans="1:9" s="109" customFormat="1" ht="12.75">
      <c r="A287" s="219" t="s">
        <v>60</v>
      </c>
      <c r="B287" s="220" t="s">
        <v>29</v>
      </c>
      <c r="C287" s="221" t="s">
        <v>51</v>
      </c>
      <c r="D287" s="221" t="s">
        <v>51</v>
      </c>
      <c r="E287" s="221" t="s">
        <v>196</v>
      </c>
      <c r="F287" s="221" t="s">
        <v>58</v>
      </c>
      <c r="G287" s="222"/>
      <c r="H287" s="222"/>
      <c r="I287" s="223"/>
    </row>
    <row r="288" spans="1:9" s="109" customFormat="1" ht="12.75">
      <c r="A288" s="224" t="s">
        <v>64</v>
      </c>
      <c r="B288" s="225" t="s">
        <v>29</v>
      </c>
      <c r="C288" s="226" t="s">
        <v>65</v>
      </c>
      <c r="D288" s="226" t="s">
        <v>51</v>
      </c>
      <c r="E288" s="226" t="s">
        <v>196</v>
      </c>
      <c r="F288" s="226" t="s">
        <v>58</v>
      </c>
      <c r="G288" s="227"/>
      <c r="H288" s="222"/>
      <c r="I288" s="223"/>
    </row>
    <row r="289" spans="1:9" s="109" customFormat="1" ht="12.75">
      <c r="A289" s="228" t="s">
        <v>38</v>
      </c>
      <c r="B289" s="229" t="s">
        <v>29</v>
      </c>
      <c r="C289" s="230" t="s">
        <v>65</v>
      </c>
      <c r="D289" s="230" t="s">
        <v>84</v>
      </c>
      <c r="E289" s="230" t="s">
        <v>196</v>
      </c>
      <c r="F289" s="230" t="s">
        <v>58</v>
      </c>
      <c r="G289" s="231"/>
      <c r="H289" s="222"/>
      <c r="I289" s="223"/>
    </row>
    <row r="290" spans="1:9" s="109" customFormat="1" ht="38.25">
      <c r="A290" s="244" t="s">
        <v>745</v>
      </c>
      <c r="B290" s="233" t="s">
        <v>29</v>
      </c>
      <c r="C290" s="234" t="s">
        <v>65</v>
      </c>
      <c r="D290" s="234" t="s">
        <v>84</v>
      </c>
      <c r="E290" s="234" t="s">
        <v>280</v>
      </c>
      <c r="F290" s="234" t="s">
        <v>58</v>
      </c>
      <c r="G290" s="235"/>
      <c r="H290" s="222"/>
      <c r="I290" s="223"/>
    </row>
    <row r="291" spans="1:9" s="109" customFormat="1" ht="38.25">
      <c r="A291" s="244" t="s">
        <v>746</v>
      </c>
      <c r="B291" s="233" t="s">
        <v>29</v>
      </c>
      <c r="C291" s="234" t="s">
        <v>65</v>
      </c>
      <c r="D291" s="234" t="s">
        <v>84</v>
      </c>
      <c r="E291" s="234" t="s">
        <v>281</v>
      </c>
      <c r="F291" s="234" t="s">
        <v>58</v>
      </c>
      <c r="G291" s="235"/>
      <c r="H291" s="222"/>
      <c r="I291" s="223"/>
    </row>
    <row r="292" spans="1:9" s="109" customFormat="1" ht="25.5">
      <c r="A292" s="232" t="s">
        <v>282</v>
      </c>
      <c r="B292" s="233" t="s">
        <v>29</v>
      </c>
      <c r="C292" s="234" t="s">
        <v>65</v>
      </c>
      <c r="D292" s="234" t="s">
        <v>84</v>
      </c>
      <c r="E292" s="234" t="s">
        <v>283</v>
      </c>
      <c r="F292" s="234" t="s">
        <v>58</v>
      </c>
      <c r="G292" s="235"/>
      <c r="H292" s="222"/>
      <c r="I292" s="223"/>
    </row>
    <row r="293" spans="1:9" s="109" customFormat="1" ht="38.25">
      <c r="A293" s="232" t="s">
        <v>165</v>
      </c>
      <c r="B293" s="233" t="s">
        <v>29</v>
      </c>
      <c r="C293" s="234" t="s">
        <v>65</v>
      </c>
      <c r="D293" s="234" t="s">
        <v>84</v>
      </c>
      <c r="E293" s="234" t="s">
        <v>284</v>
      </c>
      <c r="F293" s="234" t="s">
        <v>58</v>
      </c>
      <c r="G293" s="235"/>
      <c r="H293" s="222"/>
      <c r="I293" s="223"/>
    </row>
    <row r="294" spans="1:9" s="109" customFormat="1" ht="25.5">
      <c r="A294" s="232" t="s">
        <v>108</v>
      </c>
      <c r="B294" s="233" t="s">
        <v>29</v>
      </c>
      <c r="C294" s="234" t="s">
        <v>65</v>
      </c>
      <c r="D294" s="234" t="s">
        <v>84</v>
      </c>
      <c r="E294" s="234" t="s">
        <v>284</v>
      </c>
      <c r="F294" s="234" t="s">
        <v>116</v>
      </c>
      <c r="G294" s="235"/>
      <c r="H294" s="222"/>
      <c r="I294" s="223"/>
    </row>
    <row r="295" spans="1:9" s="110" customFormat="1" ht="25.5">
      <c r="A295" s="236" t="s">
        <v>973</v>
      </c>
      <c r="B295" s="233" t="s">
        <v>29</v>
      </c>
      <c r="C295" s="234" t="s">
        <v>65</v>
      </c>
      <c r="D295" s="234" t="s">
        <v>84</v>
      </c>
      <c r="E295" s="234" t="s">
        <v>284</v>
      </c>
      <c r="F295" s="234" t="s">
        <v>1043</v>
      </c>
      <c r="G295" s="235"/>
      <c r="H295" s="222"/>
      <c r="I295" s="223"/>
    </row>
    <row r="296" spans="1:9" s="109" customFormat="1" ht="12.75">
      <c r="A296" s="232" t="s">
        <v>97</v>
      </c>
      <c r="B296" s="233" t="s">
        <v>29</v>
      </c>
      <c r="C296" s="234" t="s">
        <v>65</v>
      </c>
      <c r="D296" s="234" t="s">
        <v>84</v>
      </c>
      <c r="E296" s="234" t="s">
        <v>284</v>
      </c>
      <c r="F296" s="234" t="s">
        <v>118</v>
      </c>
      <c r="G296" s="235"/>
      <c r="H296" s="222"/>
      <c r="I296" s="223"/>
    </row>
    <row r="297" spans="1:9" s="110" customFormat="1" ht="12.75">
      <c r="A297" s="236" t="s">
        <v>1037</v>
      </c>
      <c r="B297" s="233" t="s">
        <v>29</v>
      </c>
      <c r="C297" s="234" t="s">
        <v>65</v>
      </c>
      <c r="D297" s="234" t="s">
        <v>84</v>
      </c>
      <c r="E297" s="234" t="s">
        <v>284</v>
      </c>
      <c r="F297" s="234" t="s">
        <v>1062</v>
      </c>
      <c r="G297" s="235"/>
      <c r="H297" s="222"/>
      <c r="I297" s="223"/>
    </row>
    <row r="298" spans="1:9" s="109" customFormat="1" ht="25.5">
      <c r="A298" s="232" t="s">
        <v>166</v>
      </c>
      <c r="B298" s="233" t="s">
        <v>29</v>
      </c>
      <c r="C298" s="234" t="s">
        <v>65</v>
      </c>
      <c r="D298" s="234" t="s">
        <v>84</v>
      </c>
      <c r="E298" s="234" t="s">
        <v>285</v>
      </c>
      <c r="F298" s="234" t="s">
        <v>58</v>
      </c>
      <c r="G298" s="235"/>
      <c r="H298" s="222"/>
      <c r="I298" s="223"/>
    </row>
    <row r="299" spans="1:9" s="109" customFormat="1" ht="25.5">
      <c r="A299" s="232" t="s">
        <v>108</v>
      </c>
      <c r="B299" s="233" t="s">
        <v>29</v>
      </c>
      <c r="C299" s="234" t="s">
        <v>65</v>
      </c>
      <c r="D299" s="234" t="s">
        <v>84</v>
      </c>
      <c r="E299" s="234" t="s">
        <v>285</v>
      </c>
      <c r="F299" s="234" t="s">
        <v>116</v>
      </c>
      <c r="G299" s="235"/>
      <c r="H299" s="222"/>
      <c r="I299" s="223"/>
    </row>
    <row r="300" spans="1:9" s="110" customFormat="1" ht="25.5">
      <c r="A300" s="236" t="s">
        <v>973</v>
      </c>
      <c r="B300" s="233" t="s">
        <v>29</v>
      </c>
      <c r="C300" s="234" t="s">
        <v>65</v>
      </c>
      <c r="D300" s="234" t="s">
        <v>84</v>
      </c>
      <c r="E300" s="234" t="s">
        <v>285</v>
      </c>
      <c r="F300" s="234" t="s">
        <v>1043</v>
      </c>
      <c r="G300" s="235"/>
      <c r="H300" s="222"/>
      <c r="I300" s="223"/>
    </row>
    <row r="301" spans="1:9" s="109" customFormat="1" ht="25.5">
      <c r="A301" s="232" t="s">
        <v>859</v>
      </c>
      <c r="B301" s="233" t="s">
        <v>29</v>
      </c>
      <c r="C301" s="234" t="s">
        <v>65</v>
      </c>
      <c r="D301" s="234" t="s">
        <v>84</v>
      </c>
      <c r="E301" s="234" t="s">
        <v>858</v>
      </c>
      <c r="F301" s="234" t="s">
        <v>58</v>
      </c>
      <c r="G301" s="235"/>
      <c r="H301" s="222"/>
      <c r="I301" s="223"/>
    </row>
    <row r="302" spans="1:9" s="109" customFormat="1" ht="25.5">
      <c r="A302" s="232" t="s">
        <v>108</v>
      </c>
      <c r="B302" s="233" t="s">
        <v>29</v>
      </c>
      <c r="C302" s="234" t="s">
        <v>65</v>
      </c>
      <c r="D302" s="234" t="s">
        <v>84</v>
      </c>
      <c r="E302" s="234" t="s">
        <v>858</v>
      </c>
      <c r="F302" s="234" t="s">
        <v>116</v>
      </c>
      <c r="G302" s="235"/>
      <c r="H302" s="222"/>
      <c r="I302" s="223"/>
    </row>
    <row r="303" spans="1:9" s="110" customFormat="1" ht="25.5">
      <c r="A303" s="236" t="s">
        <v>973</v>
      </c>
      <c r="B303" s="233" t="s">
        <v>29</v>
      </c>
      <c r="C303" s="234" t="s">
        <v>65</v>
      </c>
      <c r="D303" s="234" t="s">
        <v>84</v>
      </c>
      <c r="E303" s="234" t="s">
        <v>858</v>
      </c>
      <c r="F303" s="234" t="s">
        <v>1043</v>
      </c>
      <c r="G303" s="235"/>
      <c r="H303" s="222"/>
      <c r="I303" s="223"/>
    </row>
    <row r="304" spans="1:9" s="109" customFormat="1" ht="51">
      <c r="A304" s="250" t="s">
        <v>852</v>
      </c>
      <c r="B304" s="233" t="s">
        <v>29</v>
      </c>
      <c r="C304" s="234" t="s">
        <v>65</v>
      </c>
      <c r="D304" s="234" t="s">
        <v>84</v>
      </c>
      <c r="E304" s="234" t="s">
        <v>289</v>
      </c>
      <c r="F304" s="234" t="s">
        <v>58</v>
      </c>
      <c r="G304" s="235"/>
      <c r="H304" s="222"/>
      <c r="I304" s="223"/>
    </row>
    <row r="305" spans="1:9" s="109" customFormat="1" ht="38.25">
      <c r="A305" s="232" t="s">
        <v>168</v>
      </c>
      <c r="B305" s="233" t="s">
        <v>29</v>
      </c>
      <c r="C305" s="234" t="s">
        <v>65</v>
      </c>
      <c r="D305" s="234" t="s">
        <v>84</v>
      </c>
      <c r="E305" s="234" t="s">
        <v>290</v>
      </c>
      <c r="F305" s="234" t="s">
        <v>58</v>
      </c>
      <c r="G305" s="235"/>
      <c r="H305" s="222"/>
      <c r="I305" s="223"/>
    </row>
    <row r="306" spans="1:9" s="109" customFormat="1" ht="25.5">
      <c r="A306" s="232" t="s">
        <v>108</v>
      </c>
      <c r="B306" s="233" t="s">
        <v>29</v>
      </c>
      <c r="C306" s="234" t="s">
        <v>65</v>
      </c>
      <c r="D306" s="234" t="s">
        <v>84</v>
      </c>
      <c r="E306" s="234" t="s">
        <v>290</v>
      </c>
      <c r="F306" s="234" t="s">
        <v>116</v>
      </c>
      <c r="G306" s="235"/>
      <c r="H306" s="222"/>
      <c r="I306" s="223"/>
    </row>
    <row r="307" spans="1:9" s="110" customFormat="1" ht="25.5">
      <c r="A307" s="236" t="s">
        <v>973</v>
      </c>
      <c r="B307" s="233" t="s">
        <v>29</v>
      </c>
      <c r="C307" s="234" t="s">
        <v>65</v>
      </c>
      <c r="D307" s="234" t="s">
        <v>84</v>
      </c>
      <c r="E307" s="234" t="s">
        <v>290</v>
      </c>
      <c r="F307" s="234" t="s">
        <v>1043</v>
      </c>
      <c r="G307" s="235"/>
      <c r="H307" s="222"/>
      <c r="I307" s="223"/>
    </row>
    <row r="308" spans="1:9" s="109" customFormat="1" ht="38.25">
      <c r="A308" s="237" t="s">
        <v>751</v>
      </c>
      <c r="B308" s="233" t="s">
        <v>29</v>
      </c>
      <c r="C308" s="234" t="s">
        <v>65</v>
      </c>
      <c r="D308" s="234" t="s">
        <v>84</v>
      </c>
      <c r="E308" s="234" t="s">
        <v>229</v>
      </c>
      <c r="F308" s="234" t="s">
        <v>58</v>
      </c>
      <c r="G308" s="235"/>
      <c r="H308" s="222"/>
      <c r="I308" s="223"/>
    </row>
    <row r="309" spans="1:9" s="109" customFormat="1" ht="12.75">
      <c r="A309" s="237" t="s">
        <v>119</v>
      </c>
      <c r="B309" s="233" t="s">
        <v>29</v>
      </c>
      <c r="C309" s="234" t="s">
        <v>65</v>
      </c>
      <c r="D309" s="234" t="s">
        <v>84</v>
      </c>
      <c r="E309" s="234" t="s">
        <v>230</v>
      </c>
      <c r="F309" s="234" t="s">
        <v>58</v>
      </c>
      <c r="G309" s="235"/>
      <c r="H309" s="222"/>
      <c r="I309" s="223"/>
    </row>
    <row r="310" spans="1:9" s="109" customFormat="1" ht="38.25">
      <c r="A310" s="237" t="s">
        <v>234</v>
      </c>
      <c r="B310" s="233" t="s">
        <v>29</v>
      </c>
      <c r="C310" s="234" t="s">
        <v>65</v>
      </c>
      <c r="D310" s="234" t="s">
        <v>84</v>
      </c>
      <c r="E310" s="234" t="s">
        <v>235</v>
      </c>
      <c r="F310" s="234" t="s">
        <v>58</v>
      </c>
      <c r="G310" s="235"/>
      <c r="H310" s="222"/>
      <c r="I310" s="223"/>
    </row>
    <row r="311" spans="1:9" s="109" customFormat="1" ht="25.5">
      <c r="A311" s="237" t="s">
        <v>170</v>
      </c>
      <c r="B311" s="233" t="s">
        <v>29</v>
      </c>
      <c r="C311" s="234" t="s">
        <v>65</v>
      </c>
      <c r="D311" s="234" t="s">
        <v>84</v>
      </c>
      <c r="E311" s="234" t="s">
        <v>236</v>
      </c>
      <c r="F311" s="234" t="s">
        <v>58</v>
      </c>
      <c r="G311" s="235"/>
      <c r="H311" s="222"/>
      <c r="I311" s="223"/>
    </row>
    <row r="312" spans="1:9" s="109" customFormat="1" ht="25.5">
      <c r="A312" s="232" t="s">
        <v>108</v>
      </c>
      <c r="B312" s="233" t="s">
        <v>29</v>
      </c>
      <c r="C312" s="234" t="s">
        <v>65</v>
      </c>
      <c r="D312" s="234" t="s">
        <v>84</v>
      </c>
      <c r="E312" s="234" t="s">
        <v>236</v>
      </c>
      <c r="F312" s="234" t="s">
        <v>116</v>
      </c>
      <c r="G312" s="235"/>
      <c r="H312" s="222"/>
      <c r="I312" s="223"/>
    </row>
    <row r="313" spans="1:9" s="110" customFormat="1" ht="25.5">
      <c r="A313" s="236" t="s">
        <v>973</v>
      </c>
      <c r="B313" s="233" t="s">
        <v>29</v>
      </c>
      <c r="C313" s="234" t="s">
        <v>65</v>
      </c>
      <c r="D313" s="234" t="s">
        <v>84</v>
      </c>
      <c r="E313" s="234" t="s">
        <v>236</v>
      </c>
      <c r="F313" s="234" t="s">
        <v>1043</v>
      </c>
      <c r="G313" s="235"/>
      <c r="H313" s="222"/>
      <c r="I313" s="223"/>
    </row>
    <row r="314" spans="1:9" s="3" customFormat="1" ht="25.5">
      <c r="A314" s="236" t="s">
        <v>752</v>
      </c>
      <c r="B314" s="233" t="s">
        <v>29</v>
      </c>
      <c r="C314" s="241" t="s">
        <v>65</v>
      </c>
      <c r="D314" s="241">
        <v>13</v>
      </c>
      <c r="E314" s="241" t="s">
        <v>249</v>
      </c>
      <c r="F314" s="241" t="s">
        <v>58</v>
      </c>
      <c r="G314" s="247"/>
      <c r="H314" s="222"/>
      <c r="I314" s="223"/>
    </row>
    <row r="315" spans="1:9" s="3" customFormat="1">
      <c r="A315" s="232" t="s">
        <v>753</v>
      </c>
      <c r="B315" s="233" t="s">
        <v>29</v>
      </c>
      <c r="C315" s="241" t="s">
        <v>65</v>
      </c>
      <c r="D315" s="241">
        <v>13</v>
      </c>
      <c r="E315" s="241" t="s">
        <v>250</v>
      </c>
      <c r="F315" s="241" t="s">
        <v>58</v>
      </c>
      <c r="G315" s="247"/>
      <c r="H315" s="222"/>
      <c r="I315" s="223"/>
    </row>
    <row r="316" spans="1:9" s="3" customFormat="1">
      <c r="A316" s="248" t="s">
        <v>618</v>
      </c>
      <c r="B316" s="233" t="s">
        <v>29</v>
      </c>
      <c r="C316" s="241" t="s">
        <v>65</v>
      </c>
      <c r="D316" s="241">
        <v>13</v>
      </c>
      <c r="E316" s="241" t="s">
        <v>540</v>
      </c>
      <c r="F316" s="241" t="s">
        <v>58</v>
      </c>
      <c r="G316" s="247"/>
      <c r="H316" s="222"/>
      <c r="I316" s="223"/>
    </row>
    <row r="317" spans="1:9" s="3" customFormat="1" ht="25.5">
      <c r="A317" s="248" t="s">
        <v>122</v>
      </c>
      <c r="B317" s="233" t="s">
        <v>29</v>
      </c>
      <c r="C317" s="241" t="s">
        <v>65</v>
      </c>
      <c r="D317" s="241">
        <v>13</v>
      </c>
      <c r="E317" s="241" t="s">
        <v>571</v>
      </c>
      <c r="F317" s="241" t="s">
        <v>58</v>
      </c>
      <c r="G317" s="247"/>
      <c r="H317" s="222"/>
      <c r="I317" s="223"/>
    </row>
    <row r="318" spans="1:9" s="3" customFormat="1" ht="25.5">
      <c r="A318" s="248" t="s">
        <v>108</v>
      </c>
      <c r="B318" s="233" t="s">
        <v>29</v>
      </c>
      <c r="C318" s="241" t="s">
        <v>65</v>
      </c>
      <c r="D318" s="241">
        <v>13</v>
      </c>
      <c r="E318" s="241" t="s">
        <v>571</v>
      </c>
      <c r="F318" s="241" t="s">
        <v>116</v>
      </c>
      <c r="G318" s="235"/>
      <c r="H318" s="222"/>
      <c r="I318" s="223"/>
    </row>
    <row r="319" spans="1:9" s="4" customFormat="1" ht="25.5">
      <c r="A319" s="236" t="s">
        <v>973</v>
      </c>
      <c r="B319" s="233" t="s">
        <v>29</v>
      </c>
      <c r="C319" s="241" t="s">
        <v>65</v>
      </c>
      <c r="D319" s="241">
        <v>13</v>
      </c>
      <c r="E319" s="241" t="s">
        <v>571</v>
      </c>
      <c r="F319" s="241" t="s">
        <v>1043</v>
      </c>
      <c r="G319" s="235"/>
      <c r="H319" s="222"/>
      <c r="I319" s="223"/>
    </row>
    <row r="320" spans="1:9" s="109" customFormat="1" ht="25.5">
      <c r="A320" s="232" t="s">
        <v>291</v>
      </c>
      <c r="B320" s="233" t="s">
        <v>29</v>
      </c>
      <c r="C320" s="234" t="s">
        <v>65</v>
      </c>
      <c r="D320" s="234" t="s">
        <v>84</v>
      </c>
      <c r="E320" s="234" t="s">
        <v>292</v>
      </c>
      <c r="F320" s="234" t="s">
        <v>58</v>
      </c>
      <c r="G320" s="235"/>
      <c r="H320" s="222"/>
      <c r="I320" s="223"/>
    </row>
    <row r="321" spans="1:9" s="109" customFormat="1" ht="25.5">
      <c r="A321" s="232" t="s">
        <v>581</v>
      </c>
      <c r="B321" s="233" t="s">
        <v>29</v>
      </c>
      <c r="C321" s="234" t="s">
        <v>65</v>
      </c>
      <c r="D321" s="234" t="s">
        <v>84</v>
      </c>
      <c r="E321" s="234" t="s">
        <v>293</v>
      </c>
      <c r="F321" s="234" t="s">
        <v>58</v>
      </c>
      <c r="G321" s="235"/>
      <c r="H321" s="222"/>
      <c r="I321" s="223"/>
    </row>
    <row r="322" spans="1:9" s="109" customFormat="1" ht="25.5">
      <c r="A322" s="232" t="s">
        <v>114</v>
      </c>
      <c r="B322" s="233" t="s">
        <v>29</v>
      </c>
      <c r="C322" s="234" t="s">
        <v>65</v>
      </c>
      <c r="D322" s="234" t="s">
        <v>84</v>
      </c>
      <c r="E322" s="234" t="s">
        <v>294</v>
      </c>
      <c r="F322" s="234" t="s">
        <v>58</v>
      </c>
      <c r="G322" s="235"/>
      <c r="H322" s="222"/>
      <c r="I322" s="223"/>
    </row>
    <row r="323" spans="1:9" s="109" customFormat="1" ht="12.75">
      <c r="A323" s="236" t="s">
        <v>107</v>
      </c>
      <c r="B323" s="233" t="s">
        <v>29</v>
      </c>
      <c r="C323" s="234" t="s">
        <v>65</v>
      </c>
      <c r="D323" s="234" t="s">
        <v>84</v>
      </c>
      <c r="E323" s="234" t="s">
        <v>294</v>
      </c>
      <c r="F323" s="234" t="s">
        <v>115</v>
      </c>
      <c r="G323" s="235"/>
      <c r="H323" s="222"/>
      <c r="I323" s="223"/>
    </row>
    <row r="324" spans="1:9" s="110" customFormat="1" ht="25.5">
      <c r="A324" s="236" t="s">
        <v>937</v>
      </c>
      <c r="B324" s="233" t="s">
        <v>29</v>
      </c>
      <c r="C324" s="234" t="s">
        <v>65</v>
      </c>
      <c r="D324" s="234" t="s">
        <v>84</v>
      </c>
      <c r="E324" s="234" t="s">
        <v>294</v>
      </c>
      <c r="F324" s="234" t="s">
        <v>1059</v>
      </c>
      <c r="G324" s="235"/>
      <c r="H324" s="222"/>
      <c r="I324" s="223"/>
    </row>
    <row r="325" spans="1:9" s="110" customFormat="1" ht="38.25">
      <c r="A325" s="236" t="s">
        <v>939</v>
      </c>
      <c r="B325" s="233" t="s">
        <v>29</v>
      </c>
      <c r="C325" s="234" t="s">
        <v>65</v>
      </c>
      <c r="D325" s="234" t="s">
        <v>84</v>
      </c>
      <c r="E325" s="234" t="s">
        <v>294</v>
      </c>
      <c r="F325" s="234" t="s">
        <v>1060</v>
      </c>
      <c r="G325" s="235"/>
      <c r="H325" s="222"/>
      <c r="I325" s="223"/>
    </row>
    <row r="326" spans="1:9" s="109" customFormat="1" ht="25.5">
      <c r="A326" s="232" t="s">
        <v>108</v>
      </c>
      <c r="B326" s="233" t="s">
        <v>29</v>
      </c>
      <c r="C326" s="234" t="s">
        <v>65</v>
      </c>
      <c r="D326" s="234" t="s">
        <v>84</v>
      </c>
      <c r="E326" s="234" t="s">
        <v>294</v>
      </c>
      <c r="F326" s="234" t="s">
        <v>116</v>
      </c>
      <c r="G326" s="235"/>
      <c r="H326" s="222"/>
      <c r="I326" s="223"/>
    </row>
    <row r="327" spans="1:9" s="110" customFormat="1" ht="25.5">
      <c r="A327" s="236" t="s">
        <v>973</v>
      </c>
      <c r="B327" s="233" t="s">
        <v>29</v>
      </c>
      <c r="C327" s="234" t="s">
        <v>65</v>
      </c>
      <c r="D327" s="234" t="s">
        <v>84</v>
      </c>
      <c r="E327" s="234" t="s">
        <v>294</v>
      </c>
      <c r="F327" s="234" t="s">
        <v>1043</v>
      </c>
      <c r="G327" s="235"/>
      <c r="H327" s="222"/>
      <c r="I327" s="223"/>
    </row>
    <row r="328" spans="1:9" s="109" customFormat="1" ht="12.75">
      <c r="A328" s="232" t="s">
        <v>97</v>
      </c>
      <c r="B328" s="233" t="s">
        <v>29</v>
      </c>
      <c r="C328" s="234" t="s">
        <v>65</v>
      </c>
      <c r="D328" s="234" t="s">
        <v>84</v>
      </c>
      <c r="E328" s="234" t="s">
        <v>294</v>
      </c>
      <c r="F328" s="234" t="s">
        <v>118</v>
      </c>
      <c r="G328" s="235"/>
      <c r="H328" s="222"/>
      <c r="I328" s="223"/>
    </row>
    <row r="329" spans="1:9" s="100" customFormat="1" ht="12.75">
      <c r="A329" s="236" t="s">
        <v>1036</v>
      </c>
      <c r="B329" s="233" t="s">
        <v>29</v>
      </c>
      <c r="C329" s="234" t="s">
        <v>65</v>
      </c>
      <c r="D329" s="234" t="s">
        <v>84</v>
      </c>
      <c r="E329" s="234" t="s">
        <v>294</v>
      </c>
      <c r="F329" s="234" t="s">
        <v>1061</v>
      </c>
      <c r="G329" s="235"/>
      <c r="H329" s="222"/>
      <c r="I329" s="223"/>
    </row>
    <row r="330" spans="1:9" s="100" customFormat="1" ht="12.75">
      <c r="A330" s="236" t="s">
        <v>1037</v>
      </c>
      <c r="B330" s="233" t="s">
        <v>29</v>
      </c>
      <c r="C330" s="234" t="s">
        <v>65</v>
      </c>
      <c r="D330" s="234" t="s">
        <v>84</v>
      </c>
      <c r="E330" s="234" t="s">
        <v>294</v>
      </c>
      <c r="F330" s="234" t="s">
        <v>1062</v>
      </c>
      <c r="G330" s="235"/>
      <c r="H330" s="222"/>
      <c r="I330" s="223"/>
    </row>
    <row r="331" spans="1:9" s="109" customFormat="1" ht="25.5">
      <c r="A331" s="232" t="s">
        <v>126</v>
      </c>
      <c r="B331" s="233" t="s">
        <v>29</v>
      </c>
      <c r="C331" s="234" t="s">
        <v>65</v>
      </c>
      <c r="D331" s="234" t="s">
        <v>84</v>
      </c>
      <c r="E331" s="234" t="s">
        <v>295</v>
      </c>
      <c r="F331" s="234" t="s">
        <v>58</v>
      </c>
      <c r="G331" s="235"/>
      <c r="H331" s="222"/>
      <c r="I331" s="223"/>
    </row>
    <row r="332" spans="1:9" s="109" customFormat="1" ht="12.75">
      <c r="A332" s="232" t="s">
        <v>107</v>
      </c>
      <c r="B332" s="233" t="s">
        <v>29</v>
      </c>
      <c r="C332" s="234" t="s">
        <v>65</v>
      </c>
      <c r="D332" s="234" t="s">
        <v>84</v>
      </c>
      <c r="E332" s="234" t="s">
        <v>295</v>
      </c>
      <c r="F332" s="234" t="s">
        <v>115</v>
      </c>
      <c r="G332" s="235"/>
      <c r="H332" s="222"/>
      <c r="I332" s="223"/>
    </row>
    <row r="333" spans="1:9" s="109" customFormat="1" ht="12.75">
      <c r="A333" s="232" t="s">
        <v>936</v>
      </c>
      <c r="B333" s="233" t="s">
        <v>29</v>
      </c>
      <c r="C333" s="234" t="s">
        <v>65</v>
      </c>
      <c r="D333" s="234" t="s">
        <v>84</v>
      </c>
      <c r="E333" s="234" t="s">
        <v>295</v>
      </c>
      <c r="F333" s="234" t="s">
        <v>1063</v>
      </c>
      <c r="G333" s="235"/>
      <c r="H333" s="222"/>
      <c r="I333" s="223"/>
    </row>
    <row r="334" spans="1:9" s="109" customFormat="1" ht="38.25">
      <c r="A334" s="232" t="s">
        <v>939</v>
      </c>
      <c r="B334" s="233" t="s">
        <v>29</v>
      </c>
      <c r="C334" s="234" t="s">
        <v>65</v>
      </c>
      <c r="D334" s="234" t="s">
        <v>84</v>
      </c>
      <c r="E334" s="234" t="s">
        <v>295</v>
      </c>
      <c r="F334" s="234" t="s">
        <v>1060</v>
      </c>
      <c r="G334" s="235"/>
      <c r="H334" s="222"/>
      <c r="I334" s="223"/>
    </row>
    <row r="335" spans="1:9" s="109" customFormat="1" ht="12.75">
      <c r="A335" s="224" t="s">
        <v>35</v>
      </c>
      <c r="B335" s="225" t="s">
        <v>29</v>
      </c>
      <c r="C335" s="226" t="s">
        <v>37</v>
      </c>
      <c r="D335" s="226" t="s">
        <v>51</v>
      </c>
      <c r="E335" s="226" t="s">
        <v>196</v>
      </c>
      <c r="F335" s="226" t="s">
        <v>58</v>
      </c>
      <c r="G335" s="227"/>
      <c r="H335" s="222"/>
      <c r="I335" s="223"/>
    </row>
    <row r="336" spans="1:9" s="109" customFormat="1" ht="12.75">
      <c r="A336" s="228" t="s">
        <v>73</v>
      </c>
      <c r="B336" s="229" t="s">
        <v>29</v>
      </c>
      <c r="C336" s="230" t="s">
        <v>37</v>
      </c>
      <c r="D336" s="230" t="s">
        <v>40</v>
      </c>
      <c r="E336" s="251" t="s">
        <v>196</v>
      </c>
      <c r="F336" s="251" t="s">
        <v>58</v>
      </c>
      <c r="G336" s="231"/>
      <c r="H336" s="222"/>
      <c r="I336" s="223"/>
    </row>
    <row r="337" spans="1:9" s="109" customFormat="1" ht="38.25">
      <c r="A337" s="248" t="s">
        <v>725</v>
      </c>
      <c r="B337" s="233" t="s">
        <v>29</v>
      </c>
      <c r="C337" s="234" t="s">
        <v>37</v>
      </c>
      <c r="D337" s="234" t="s">
        <v>40</v>
      </c>
      <c r="E337" s="234" t="s">
        <v>296</v>
      </c>
      <c r="F337" s="234" t="s">
        <v>58</v>
      </c>
      <c r="G337" s="235"/>
      <c r="H337" s="222"/>
      <c r="I337" s="223"/>
    </row>
    <row r="338" spans="1:9" s="109" customFormat="1" ht="38.25">
      <c r="A338" s="232" t="s">
        <v>726</v>
      </c>
      <c r="B338" s="233" t="s">
        <v>29</v>
      </c>
      <c r="C338" s="234" t="s">
        <v>37</v>
      </c>
      <c r="D338" s="234" t="s">
        <v>40</v>
      </c>
      <c r="E338" s="234" t="s">
        <v>297</v>
      </c>
      <c r="F338" s="234" t="s">
        <v>58</v>
      </c>
      <c r="G338" s="235"/>
      <c r="H338" s="222"/>
      <c r="I338" s="223"/>
    </row>
    <row r="339" spans="1:9" s="109" customFormat="1" ht="38.25">
      <c r="A339" s="232" t="s">
        <v>606</v>
      </c>
      <c r="B339" s="233" t="s">
        <v>29</v>
      </c>
      <c r="C339" s="234" t="s">
        <v>37</v>
      </c>
      <c r="D339" s="234" t="s">
        <v>40</v>
      </c>
      <c r="E339" s="234" t="s">
        <v>298</v>
      </c>
      <c r="F339" s="234" t="s">
        <v>58</v>
      </c>
      <c r="G339" s="235"/>
      <c r="H339" s="222"/>
      <c r="I339" s="223"/>
    </row>
    <row r="340" spans="1:9" s="109" customFormat="1" ht="51">
      <c r="A340" s="232" t="s">
        <v>156</v>
      </c>
      <c r="B340" s="233" t="s">
        <v>29</v>
      </c>
      <c r="C340" s="234" t="s">
        <v>37</v>
      </c>
      <c r="D340" s="234" t="s">
        <v>40</v>
      </c>
      <c r="E340" s="234" t="s">
        <v>299</v>
      </c>
      <c r="F340" s="234" t="s">
        <v>58</v>
      </c>
      <c r="G340" s="235"/>
      <c r="H340" s="222"/>
      <c r="I340" s="223"/>
    </row>
    <row r="341" spans="1:9" s="109" customFormat="1" ht="25.5">
      <c r="A341" s="232" t="s">
        <v>108</v>
      </c>
      <c r="B341" s="233" t="s">
        <v>29</v>
      </c>
      <c r="C341" s="234" t="s">
        <v>37</v>
      </c>
      <c r="D341" s="234" t="s">
        <v>40</v>
      </c>
      <c r="E341" s="234" t="s">
        <v>299</v>
      </c>
      <c r="F341" s="234" t="s">
        <v>116</v>
      </c>
      <c r="G341" s="235"/>
      <c r="H341" s="222"/>
      <c r="I341" s="223"/>
    </row>
    <row r="342" spans="1:9" s="110" customFormat="1" ht="25.5">
      <c r="A342" s="236" t="s">
        <v>973</v>
      </c>
      <c r="B342" s="233" t="s">
        <v>29</v>
      </c>
      <c r="C342" s="234" t="s">
        <v>37</v>
      </c>
      <c r="D342" s="234" t="s">
        <v>40</v>
      </c>
      <c r="E342" s="234" t="s">
        <v>299</v>
      </c>
      <c r="F342" s="234" t="s">
        <v>1043</v>
      </c>
      <c r="G342" s="235"/>
      <c r="H342" s="222"/>
      <c r="I342" s="223"/>
    </row>
    <row r="343" spans="1:9" s="109" customFormat="1" ht="38.25">
      <c r="A343" s="236" t="s">
        <v>722</v>
      </c>
      <c r="B343" s="233" t="s">
        <v>29</v>
      </c>
      <c r="C343" s="234" t="s">
        <v>37</v>
      </c>
      <c r="D343" s="234" t="s">
        <v>40</v>
      </c>
      <c r="E343" s="234" t="s">
        <v>300</v>
      </c>
      <c r="F343" s="234" t="s">
        <v>58</v>
      </c>
      <c r="G343" s="235"/>
      <c r="H343" s="222"/>
      <c r="I343" s="223"/>
    </row>
    <row r="344" spans="1:9" s="109" customFormat="1" ht="38.25">
      <c r="A344" s="252" t="s">
        <v>729</v>
      </c>
      <c r="B344" s="233" t="s">
        <v>29</v>
      </c>
      <c r="C344" s="234" t="s">
        <v>37</v>
      </c>
      <c r="D344" s="234" t="s">
        <v>40</v>
      </c>
      <c r="E344" s="234" t="s">
        <v>301</v>
      </c>
      <c r="F344" s="234" t="s">
        <v>58</v>
      </c>
      <c r="G344" s="235"/>
      <c r="H344" s="222"/>
      <c r="I344" s="223"/>
    </row>
    <row r="345" spans="1:9" s="109" customFormat="1" ht="38.25">
      <c r="A345" s="232" t="s">
        <v>644</v>
      </c>
      <c r="B345" s="233" t="s">
        <v>29</v>
      </c>
      <c r="C345" s="234" t="s">
        <v>37</v>
      </c>
      <c r="D345" s="234" t="s">
        <v>40</v>
      </c>
      <c r="E345" s="234" t="s">
        <v>302</v>
      </c>
      <c r="F345" s="234" t="s">
        <v>58</v>
      </c>
      <c r="G345" s="235"/>
      <c r="H345" s="222"/>
      <c r="I345" s="223"/>
    </row>
    <row r="346" spans="1:9" s="109" customFormat="1" ht="25.5">
      <c r="A346" s="232" t="s">
        <v>303</v>
      </c>
      <c r="B346" s="233" t="s">
        <v>29</v>
      </c>
      <c r="C346" s="234" t="s">
        <v>37</v>
      </c>
      <c r="D346" s="234" t="s">
        <v>40</v>
      </c>
      <c r="E346" s="234" t="s">
        <v>304</v>
      </c>
      <c r="F346" s="234" t="s">
        <v>58</v>
      </c>
      <c r="G346" s="235"/>
      <c r="H346" s="222"/>
      <c r="I346" s="223"/>
    </row>
    <row r="347" spans="1:9" s="109" customFormat="1" ht="25.5">
      <c r="A347" s="232" t="s">
        <v>108</v>
      </c>
      <c r="B347" s="233" t="s">
        <v>29</v>
      </c>
      <c r="C347" s="234" t="s">
        <v>37</v>
      </c>
      <c r="D347" s="234" t="s">
        <v>40</v>
      </c>
      <c r="E347" s="234" t="s">
        <v>304</v>
      </c>
      <c r="F347" s="234" t="s">
        <v>116</v>
      </c>
      <c r="G347" s="235"/>
      <c r="H347" s="222"/>
      <c r="I347" s="223"/>
    </row>
    <row r="348" spans="1:9" s="110" customFormat="1" ht="25.5">
      <c r="A348" s="236" t="s">
        <v>973</v>
      </c>
      <c r="B348" s="233" t="s">
        <v>29</v>
      </c>
      <c r="C348" s="234" t="s">
        <v>37</v>
      </c>
      <c r="D348" s="234" t="s">
        <v>40</v>
      </c>
      <c r="E348" s="234" t="s">
        <v>304</v>
      </c>
      <c r="F348" s="234" t="s">
        <v>1043</v>
      </c>
      <c r="G348" s="235"/>
      <c r="H348" s="222"/>
      <c r="I348" s="223"/>
    </row>
    <row r="349" spans="1:9" s="109" customFormat="1" ht="38.25">
      <c r="A349" s="244" t="s">
        <v>745</v>
      </c>
      <c r="B349" s="233" t="s">
        <v>29</v>
      </c>
      <c r="C349" s="234" t="s">
        <v>37</v>
      </c>
      <c r="D349" s="234" t="s">
        <v>40</v>
      </c>
      <c r="E349" s="234" t="s">
        <v>280</v>
      </c>
      <c r="F349" s="234" t="s">
        <v>58</v>
      </c>
      <c r="G349" s="235"/>
      <c r="H349" s="222"/>
      <c r="I349" s="223"/>
    </row>
    <row r="350" spans="1:9" s="109" customFormat="1" ht="38.25">
      <c r="A350" s="244" t="s">
        <v>746</v>
      </c>
      <c r="B350" s="233" t="s">
        <v>29</v>
      </c>
      <c r="C350" s="234" t="s">
        <v>37</v>
      </c>
      <c r="D350" s="234" t="s">
        <v>40</v>
      </c>
      <c r="E350" s="234" t="s">
        <v>281</v>
      </c>
      <c r="F350" s="234" t="s">
        <v>58</v>
      </c>
      <c r="G350" s="235"/>
      <c r="H350" s="222"/>
      <c r="I350" s="223"/>
    </row>
    <row r="351" spans="1:9" s="109" customFormat="1" ht="25.5">
      <c r="A351" s="232" t="s">
        <v>286</v>
      </c>
      <c r="B351" s="233" t="s">
        <v>29</v>
      </c>
      <c r="C351" s="234" t="s">
        <v>37</v>
      </c>
      <c r="D351" s="234" t="s">
        <v>40</v>
      </c>
      <c r="E351" s="234" t="s">
        <v>287</v>
      </c>
      <c r="F351" s="234" t="s">
        <v>58</v>
      </c>
      <c r="G351" s="235"/>
      <c r="H351" s="222"/>
      <c r="I351" s="223"/>
    </row>
    <row r="352" spans="1:9" s="109" customFormat="1" ht="38.25">
      <c r="A352" s="232" t="s">
        <v>878</v>
      </c>
      <c r="B352" s="233" t="s">
        <v>29</v>
      </c>
      <c r="C352" s="234" t="s">
        <v>37</v>
      </c>
      <c r="D352" s="234" t="s">
        <v>40</v>
      </c>
      <c r="E352" s="234" t="s">
        <v>288</v>
      </c>
      <c r="F352" s="234" t="s">
        <v>58</v>
      </c>
      <c r="G352" s="235"/>
      <c r="H352" s="222"/>
      <c r="I352" s="223"/>
    </row>
    <row r="353" spans="1:9" s="109" customFormat="1" ht="25.5">
      <c r="A353" s="232" t="s">
        <v>108</v>
      </c>
      <c r="B353" s="233" t="s">
        <v>29</v>
      </c>
      <c r="C353" s="234" t="s">
        <v>37</v>
      </c>
      <c r="D353" s="234" t="s">
        <v>40</v>
      </c>
      <c r="E353" s="234" t="s">
        <v>288</v>
      </c>
      <c r="F353" s="234" t="s">
        <v>116</v>
      </c>
      <c r="G353" s="235"/>
      <c r="H353" s="222"/>
      <c r="I353" s="223"/>
    </row>
    <row r="354" spans="1:9" s="110" customFormat="1" ht="25.5">
      <c r="A354" s="236" t="s">
        <v>973</v>
      </c>
      <c r="B354" s="233" t="s">
        <v>29</v>
      </c>
      <c r="C354" s="234" t="s">
        <v>37</v>
      </c>
      <c r="D354" s="234" t="s">
        <v>40</v>
      </c>
      <c r="E354" s="234" t="s">
        <v>288</v>
      </c>
      <c r="F354" s="234" t="s">
        <v>1043</v>
      </c>
      <c r="G354" s="235"/>
      <c r="H354" s="222"/>
      <c r="I354" s="223"/>
    </row>
    <row r="355" spans="1:9" s="99" customFormat="1" ht="12.75">
      <c r="A355" s="238"/>
      <c r="B355" s="239"/>
      <c r="C355" s="240"/>
      <c r="D355" s="240"/>
      <c r="E355" s="240"/>
      <c r="F355" s="240"/>
      <c r="G355" s="235"/>
      <c r="H355" s="222"/>
      <c r="I355" s="223"/>
    </row>
    <row r="356" spans="1:9" s="109" customFormat="1" ht="12.75">
      <c r="A356" s="219" t="s">
        <v>74</v>
      </c>
      <c r="B356" s="220" t="s">
        <v>75</v>
      </c>
      <c r="C356" s="221" t="s">
        <v>51</v>
      </c>
      <c r="D356" s="221" t="s">
        <v>51</v>
      </c>
      <c r="E356" s="221" t="s">
        <v>196</v>
      </c>
      <c r="F356" s="221" t="s">
        <v>58</v>
      </c>
      <c r="G356" s="222"/>
      <c r="H356" s="222"/>
      <c r="I356" s="223"/>
    </row>
    <row r="357" spans="1:9" s="109" customFormat="1" ht="12.75">
      <c r="A357" s="224" t="s">
        <v>64</v>
      </c>
      <c r="B357" s="225" t="s">
        <v>75</v>
      </c>
      <c r="C357" s="226" t="s">
        <v>65</v>
      </c>
      <c r="D357" s="226" t="s">
        <v>51</v>
      </c>
      <c r="E357" s="226" t="s">
        <v>196</v>
      </c>
      <c r="F357" s="226" t="s">
        <v>58</v>
      </c>
      <c r="G357" s="227"/>
      <c r="H357" s="222"/>
      <c r="I357" s="223"/>
    </row>
    <row r="358" spans="1:9" s="109" customFormat="1" ht="25.5">
      <c r="A358" s="228" t="s">
        <v>32</v>
      </c>
      <c r="B358" s="229" t="s">
        <v>75</v>
      </c>
      <c r="C358" s="230" t="s">
        <v>65</v>
      </c>
      <c r="D358" s="230" t="s">
        <v>2</v>
      </c>
      <c r="E358" s="230" t="s">
        <v>196</v>
      </c>
      <c r="F358" s="230" t="s">
        <v>58</v>
      </c>
      <c r="G358" s="231"/>
      <c r="H358" s="222"/>
      <c r="I358" s="223"/>
    </row>
    <row r="359" spans="1:9" s="109" customFormat="1" ht="25.5">
      <c r="A359" s="253" t="s">
        <v>128</v>
      </c>
      <c r="B359" s="233" t="s">
        <v>75</v>
      </c>
      <c r="C359" s="234" t="s">
        <v>65</v>
      </c>
      <c r="D359" s="234" t="s">
        <v>2</v>
      </c>
      <c r="E359" s="234" t="s">
        <v>305</v>
      </c>
      <c r="F359" s="234" t="s">
        <v>58</v>
      </c>
      <c r="G359" s="235"/>
      <c r="H359" s="222"/>
      <c r="I359" s="223"/>
    </row>
    <row r="360" spans="1:9" s="109" customFormat="1" ht="25.5">
      <c r="A360" s="253" t="s">
        <v>129</v>
      </c>
      <c r="B360" s="233" t="s">
        <v>75</v>
      </c>
      <c r="C360" s="234" t="s">
        <v>65</v>
      </c>
      <c r="D360" s="234" t="s">
        <v>2</v>
      </c>
      <c r="E360" s="234" t="s">
        <v>306</v>
      </c>
      <c r="F360" s="234" t="s">
        <v>58</v>
      </c>
      <c r="G360" s="235"/>
      <c r="H360" s="222"/>
      <c r="I360" s="223"/>
    </row>
    <row r="361" spans="1:9" s="109" customFormat="1" ht="25.5">
      <c r="A361" s="254" t="s">
        <v>114</v>
      </c>
      <c r="B361" s="233" t="s">
        <v>75</v>
      </c>
      <c r="C361" s="234" t="s">
        <v>65</v>
      </c>
      <c r="D361" s="234" t="s">
        <v>2</v>
      </c>
      <c r="E361" s="234" t="s">
        <v>307</v>
      </c>
      <c r="F361" s="234" t="s">
        <v>58</v>
      </c>
      <c r="G361" s="235"/>
      <c r="H361" s="222"/>
      <c r="I361" s="223"/>
    </row>
    <row r="362" spans="1:9" s="109" customFormat="1" ht="12.75">
      <c r="A362" s="236" t="s">
        <v>107</v>
      </c>
      <c r="B362" s="233" t="s">
        <v>75</v>
      </c>
      <c r="C362" s="234" t="s">
        <v>65</v>
      </c>
      <c r="D362" s="234" t="s">
        <v>2</v>
      </c>
      <c r="E362" s="234" t="s">
        <v>307</v>
      </c>
      <c r="F362" s="234" t="s">
        <v>115</v>
      </c>
      <c r="G362" s="235"/>
      <c r="H362" s="222"/>
      <c r="I362" s="223"/>
    </row>
    <row r="363" spans="1:9" s="110" customFormat="1" ht="25.5">
      <c r="A363" s="236" t="s">
        <v>937</v>
      </c>
      <c r="B363" s="233" t="s">
        <v>75</v>
      </c>
      <c r="C363" s="234" t="s">
        <v>65</v>
      </c>
      <c r="D363" s="234" t="s">
        <v>2</v>
      </c>
      <c r="E363" s="234" t="s">
        <v>307</v>
      </c>
      <c r="F363" s="234" t="s">
        <v>1059</v>
      </c>
      <c r="G363" s="235"/>
      <c r="H363" s="222"/>
      <c r="I363" s="223"/>
    </row>
    <row r="364" spans="1:9" s="110" customFormat="1" ht="38.25">
      <c r="A364" s="236" t="s">
        <v>939</v>
      </c>
      <c r="B364" s="233" t="s">
        <v>75</v>
      </c>
      <c r="C364" s="234" t="s">
        <v>65</v>
      </c>
      <c r="D364" s="234" t="s">
        <v>2</v>
      </c>
      <c r="E364" s="234" t="s">
        <v>307</v>
      </c>
      <c r="F364" s="234" t="s">
        <v>1060</v>
      </c>
      <c r="G364" s="235"/>
      <c r="H364" s="222"/>
      <c r="I364" s="223"/>
    </row>
    <row r="365" spans="1:9" s="109" customFormat="1" ht="25.5">
      <c r="A365" s="232" t="s">
        <v>108</v>
      </c>
      <c r="B365" s="233" t="s">
        <v>75</v>
      </c>
      <c r="C365" s="234" t="s">
        <v>65</v>
      </c>
      <c r="D365" s="234" t="s">
        <v>2</v>
      </c>
      <c r="E365" s="234" t="s">
        <v>307</v>
      </c>
      <c r="F365" s="234" t="s">
        <v>116</v>
      </c>
      <c r="G365" s="235"/>
      <c r="H365" s="222"/>
      <c r="I365" s="223"/>
    </row>
    <row r="366" spans="1:9" s="110" customFormat="1" ht="25.5">
      <c r="A366" s="236" t="s">
        <v>973</v>
      </c>
      <c r="B366" s="233" t="s">
        <v>75</v>
      </c>
      <c r="C366" s="234" t="s">
        <v>65</v>
      </c>
      <c r="D366" s="234" t="s">
        <v>2</v>
      </c>
      <c r="E366" s="234" t="s">
        <v>307</v>
      </c>
      <c r="F366" s="234" t="s">
        <v>1043</v>
      </c>
      <c r="G366" s="235"/>
      <c r="H366" s="222"/>
      <c r="I366" s="223"/>
    </row>
    <row r="367" spans="1:9" s="109" customFormat="1" ht="12.75">
      <c r="A367" s="232" t="s">
        <v>97</v>
      </c>
      <c r="B367" s="233" t="s">
        <v>75</v>
      </c>
      <c r="C367" s="234" t="s">
        <v>65</v>
      </c>
      <c r="D367" s="234" t="s">
        <v>2</v>
      </c>
      <c r="E367" s="234" t="s">
        <v>307</v>
      </c>
      <c r="F367" s="234" t="s">
        <v>118</v>
      </c>
      <c r="G367" s="235"/>
      <c r="H367" s="222"/>
      <c r="I367" s="223"/>
    </row>
    <row r="368" spans="1:9" s="109" customFormat="1" ht="12.75">
      <c r="A368" s="232" t="s">
        <v>1036</v>
      </c>
      <c r="B368" s="233" t="s">
        <v>75</v>
      </c>
      <c r="C368" s="234" t="s">
        <v>65</v>
      </c>
      <c r="D368" s="234" t="s">
        <v>2</v>
      </c>
      <c r="E368" s="234" t="s">
        <v>307</v>
      </c>
      <c r="F368" s="234" t="s">
        <v>1061</v>
      </c>
      <c r="G368" s="235"/>
      <c r="H368" s="222"/>
      <c r="I368" s="223"/>
    </row>
    <row r="369" spans="1:9" s="109" customFormat="1" ht="12.75">
      <c r="A369" s="232" t="s">
        <v>1037</v>
      </c>
      <c r="B369" s="233" t="s">
        <v>75</v>
      </c>
      <c r="C369" s="234" t="s">
        <v>65</v>
      </c>
      <c r="D369" s="234" t="s">
        <v>2</v>
      </c>
      <c r="E369" s="234" t="s">
        <v>307</v>
      </c>
      <c r="F369" s="234" t="s">
        <v>1062</v>
      </c>
      <c r="G369" s="235"/>
      <c r="H369" s="222"/>
      <c r="I369" s="223"/>
    </row>
    <row r="370" spans="1:9" s="109" customFormat="1" ht="12.75">
      <c r="A370" s="232" t="s">
        <v>1038</v>
      </c>
      <c r="B370" s="233" t="s">
        <v>75</v>
      </c>
      <c r="C370" s="234" t="s">
        <v>65</v>
      </c>
      <c r="D370" s="234" t="s">
        <v>2</v>
      </c>
      <c r="E370" s="234" t="s">
        <v>307</v>
      </c>
      <c r="F370" s="234" t="s">
        <v>1066</v>
      </c>
      <c r="G370" s="235"/>
      <c r="H370" s="222"/>
      <c r="I370" s="223"/>
    </row>
    <row r="371" spans="1:9" s="109" customFormat="1" ht="25.5">
      <c r="A371" s="255" t="s">
        <v>126</v>
      </c>
      <c r="B371" s="233" t="s">
        <v>75</v>
      </c>
      <c r="C371" s="234" t="s">
        <v>65</v>
      </c>
      <c r="D371" s="234" t="s">
        <v>2</v>
      </c>
      <c r="E371" s="234" t="s">
        <v>308</v>
      </c>
      <c r="F371" s="234" t="s">
        <v>58</v>
      </c>
      <c r="G371" s="235"/>
      <c r="H371" s="222"/>
      <c r="I371" s="223"/>
    </row>
    <row r="372" spans="1:9" s="109" customFormat="1" ht="12.75">
      <c r="A372" s="232" t="s">
        <v>107</v>
      </c>
      <c r="B372" s="233" t="s">
        <v>75</v>
      </c>
      <c r="C372" s="234" t="s">
        <v>65</v>
      </c>
      <c r="D372" s="234" t="s">
        <v>2</v>
      </c>
      <c r="E372" s="234" t="s">
        <v>308</v>
      </c>
      <c r="F372" s="234" t="s">
        <v>115</v>
      </c>
      <c r="G372" s="235"/>
      <c r="H372" s="222"/>
      <c r="I372" s="223"/>
    </row>
    <row r="373" spans="1:9" s="109" customFormat="1" ht="12.75">
      <c r="A373" s="232" t="s">
        <v>936</v>
      </c>
      <c r="B373" s="233" t="s">
        <v>75</v>
      </c>
      <c r="C373" s="234" t="s">
        <v>65</v>
      </c>
      <c r="D373" s="234" t="s">
        <v>2</v>
      </c>
      <c r="E373" s="234" t="s">
        <v>308</v>
      </c>
      <c r="F373" s="234" t="s">
        <v>1063</v>
      </c>
      <c r="G373" s="235"/>
      <c r="H373" s="222"/>
      <c r="I373" s="223"/>
    </row>
    <row r="374" spans="1:9" s="109" customFormat="1" ht="38.25">
      <c r="A374" s="232" t="s">
        <v>939</v>
      </c>
      <c r="B374" s="233" t="s">
        <v>75</v>
      </c>
      <c r="C374" s="234" t="s">
        <v>65</v>
      </c>
      <c r="D374" s="234" t="s">
        <v>2</v>
      </c>
      <c r="E374" s="234" t="s">
        <v>308</v>
      </c>
      <c r="F374" s="234" t="s">
        <v>1060</v>
      </c>
      <c r="G374" s="235"/>
      <c r="H374" s="222"/>
      <c r="I374" s="223"/>
    </row>
    <row r="375" spans="1:9" s="109" customFormat="1" ht="12.75">
      <c r="A375" s="228" t="s">
        <v>309</v>
      </c>
      <c r="B375" s="229" t="s">
        <v>75</v>
      </c>
      <c r="C375" s="230" t="s">
        <v>65</v>
      </c>
      <c r="D375" s="230" t="s">
        <v>78</v>
      </c>
      <c r="E375" s="230" t="s">
        <v>196</v>
      </c>
      <c r="F375" s="230" t="s">
        <v>310</v>
      </c>
      <c r="G375" s="231"/>
      <c r="H375" s="222"/>
      <c r="I375" s="223"/>
    </row>
    <row r="376" spans="1:9" s="109" customFormat="1" ht="25.5">
      <c r="A376" s="236" t="s">
        <v>743</v>
      </c>
      <c r="B376" s="233" t="s">
        <v>75</v>
      </c>
      <c r="C376" s="234" t="s">
        <v>65</v>
      </c>
      <c r="D376" s="234" t="s">
        <v>78</v>
      </c>
      <c r="E376" s="234" t="s">
        <v>311</v>
      </c>
      <c r="F376" s="234" t="s">
        <v>310</v>
      </c>
      <c r="G376" s="235"/>
      <c r="H376" s="222"/>
      <c r="I376" s="223"/>
    </row>
    <row r="377" spans="1:9" s="109" customFormat="1" ht="25.5">
      <c r="A377" s="236" t="s">
        <v>744</v>
      </c>
      <c r="B377" s="233" t="s">
        <v>75</v>
      </c>
      <c r="C377" s="234" t="s">
        <v>65</v>
      </c>
      <c r="D377" s="234" t="s">
        <v>78</v>
      </c>
      <c r="E377" s="234" t="s">
        <v>312</v>
      </c>
      <c r="F377" s="234" t="s">
        <v>58</v>
      </c>
      <c r="G377" s="235"/>
      <c r="H377" s="222"/>
      <c r="I377" s="223"/>
    </row>
    <row r="378" spans="1:9" s="109" customFormat="1" ht="25.5">
      <c r="A378" s="236" t="s">
        <v>313</v>
      </c>
      <c r="B378" s="233" t="s">
        <v>75</v>
      </c>
      <c r="C378" s="234" t="s">
        <v>65</v>
      </c>
      <c r="D378" s="234" t="s">
        <v>78</v>
      </c>
      <c r="E378" s="234" t="s">
        <v>568</v>
      </c>
      <c r="F378" s="234" t="s">
        <v>58</v>
      </c>
      <c r="G378" s="235"/>
      <c r="H378" s="222"/>
      <c r="I378" s="223"/>
    </row>
    <row r="379" spans="1:9" s="109" customFormat="1" ht="12.75">
      <c r="A379" s="232" t="s">
        <v>0</v>
      </c>
      <c r="B379" s="233" t="s">
        <v>75</v>
      </c>
      <c r="C379" s="234" t="s">
        <v>65</v>
      </c>
      <c r="D379" s="234" t="s">
        <v>78</v>
      </c>
      <c r="E379" s="234" t="s">
        <v>569</v>
      </c>
      <c r="F379" s="234" t="s">
        <v>58</v>
      </c>
      <c r="G379" s="235"/>
      <c r="H379" s="222"/>
      <c r="I379" s="223"/>
    </row>
    <row r="380" spans="1:9" s="109" customFormat="1" ht="12.75">
      <c r="A380" s="232" t="s">
        <v>98</v>
      </c>
      <c r="B380" s="233" t="s">
        <v>75</v>
      </c>
      <c r="C380" s="234" t="s">
        <v>65</v>
      </c>
      <c r="D380" s="234" t="s">
        <v>78</v>
      </c>
      <c r="E380" s="234" t="s">
        <v>569</v>
      </c>
      <c r="F380" s="234" t="s">
        <v>102</v>
      </c>
      <c r="G380" s="235"/>
      <c r="H380" s="222"/>
      <c r="I380" s="223"/>
    </row>
    <row r="381" spans="1:9" s="109" customFormat="1" ht="12.75">
      <c r="A381" s="228" t="s">
        <v>38</v>
      </c>
      <c r="B381" s="229" t="s">
        <v>75</v>
      </c>
      <c r="C381" s="230" t="s">
        <v>65</v>
      </c>
      <c r="D381" s="230" t="s">
        <v>84</v>
      </c>
      <c r="E381" s="230" t="s">
        <v>196</v>
      </c>
      <c r="F381" s="230" t="s">
        <v>58</v>
      </c>
      <c r="G381" s="231"/>
      <c r="H381" s="222"/>
      <c r="I381" s="223"/>
    </row>
    <row r="382" spans="1:9" s="109" customFormat="1" ht="25.5">
      <c r="A382" s="236" t="s">
        <v>743</v>
      </c>
      <c r="B382" s="233" t="s">
        <v>75</v>
      </c>
      <c r="C382" s="234" t="s">
        <v>65</v>
      </c>
      <c r="D382" s="234" t="s">
        <v>84</v>
      </c>
      <c r="E382" s="234" t="s">
        <v>311</v>
      </c>
      <c r="F382" s="234" t="s">
        <v>58</v>
      </c>
      <c r="G382" s="235"/>
      <c r="H382" s="222"/>
      <c r="I382" s="223"/>
    </row>
    <row r="383" spans="1:9" s="109" customFormat="1" ht="25.5">
      <c r="A383" s="236" t="s">
        <v>744</v>
      </c>
      <c r="B383" s="233" t="s">
        <v>75</v>
      </c>
      <c r="C383" s="234" t="s">
        <v>65</v>
      </c>
      <c r="D383" s="234" t="s">
        <v>84</v>
      </c>
      <c r="E383" s="234" t="s">
        <v>312</v>
      </c>
      <c r="F383" s="234" t="s">
        <v>58</v>
      </c>
      <c r="G383" s="235"/>
      <c r="H383" s="222"/>
      <c r="I383" s="223"/>
    </row>
    <row r="384" spans="1:9" s="109" customFormat="1" ht="38.25">
      <c r="A384" s="236" t="s">
        <v>315</v>
      </c>
      <c r="B384" s="233" t="s">
        <v>75</v>
      </c>
      <c r="C384" s="234" t="s">
        <v>65</v>
      </c>
      <c r="D384" s="234" t="s">
        <v>84</v>
      </c>
      <c r="E384" s="234" t="s">
        <v>314</v>
      </c>
      <c r="F384" s="234" t="s">
        <v>58</v>
      </c>
      <c r="G384" s="235"/>
      <c r="H384" s="222"/>
      <c r="I384" s="223"/>
    </row>
    <row r="385" spans="1:9" s="109" customFormat="1" ht="12.75">
      <c r="A385" s="232" t="s">
        <v>130</v>
      </c>
      <c r="B385" s="233" t="s">
        <v>75</v>
      </c>
      <c r="C385" s="234" t="s">
        <v>65</v>
      </c>
      <c r="D385" s="234" t="s">
        <v>84</v>
      </c>
      <c r="E385" s="234" t="s">
        <v>570</v>
      </c>
      <c r="F385" s="234" t="s">
        <v>58</v>
      </c>
      <c r="G385" s="235"/>
      <c r="H385" s="222"/>
      <c r="I385" s="223"/>
    </row>
    <row r="386" spans="1:9" s="109" customFormat="1" ht="12.75">
      <c r="A386" s="232" t="s">
        <v>96</v>
      </c>
      <c r="B386" s="233" t="s">
        <v>75</v>
      </c>
      <c r="C386" s="234" t="s">
        <v>65</v>
      </c>
      <c r="D386" s="234" t="s">
        <v>84</v>
      </c>
      <c r="E386" s="234" t="s">
        <v>570</v>
      </c>
      <c r="F386" s="234" t="s">
        <v>131</v>
      </c>
      <c r="G386" s="235"/>
      <c r="H386" s="222"/>
      <c r="I386" s="223"/>
    </row>
    <row r="387" spans="1:9" s="110" customFormat="1" ht="25.5">
      <c r="A387" s="236" t="s">
        <v>1044</v>
      </c>
      <c r="B387" s="233" t="s">
        <v>75</v>
      </c>
      <c r="C387" s="234" t="s">
        <v>65</v>
      </c>
      <c r="D387" s="234" t="s">
        <v>84</v>
      </c>
      <c r="E387" s="234" t="s">
        <v>570</v>
      </c>
      <c r="F387" s="234" t="s">
        <v>1045</v>
      </c>
      <c r="G387" s="235"/>
      <c r="H387" s="222"/>
      <c r="I387" s="223"/>
    </row>
    <row r="388" spans="1:9" s="109" customFormat="1" ht="25.5">
      <c r="A388" s="232" t="s">
        <v>683</v>
      </c>
      <c r="B388" s="233" t="s">
        <v>75</v>
      </c>
      <c r="C388" s="234" t="s">
        <v>65</v>
      </c>
      <c r="D388" s="234" t="s">
        <v>84</v>
      </c>
      <c r="E388" s="234" t="s">
        <v>680</v>
      </c>
      <c r="F388" s="234" t="s">
        <v>58</v>
      </c>
      <c r="G388" s="235"/>
      <c r="H388" s="222"/>
      <c r="I388" s="223"/>
    </row>
    <row r="389" spans="1:9" s="109" customFormat="1" ht="12.75">
      <c r="A389" s="232" t="s">
        <v>684</v>
      </c>
      <c r="B389" s="233" t="s">
        <v>75</v>
      </c>
      <c r="C389" s="234" t="s">
        <v>65</v>
      </c>
      <c r="D389" s="234" t="s">
        <v>84</v>
      </c>
      <c r="E389" s="234" t="s">
        <v>681</v>
      </c>
      <c r="F389" s="234" t="s">
        <v>58</v>
      </c>
      <c r="G389" s="235"/>
      <c r="H389" s="222"/>
      <c r="I389" s="223"/>
    </row>
    <row r="390" spans="1:9" s="109" customFormat="1" ht="25.5">
      <c r="A390" s="232" t="s">
        <v>602</v>
      </c>
      <c r="B390" s="233" t="s">
        <v>75</v>
      </c>
      <c r="C390" s="234" t="s">
        <v>65</v>
      </c>
      <c r="D390" s="234" t="s">
        <v>84</v>
      </c>
      <c r="E390" s="234" t="s">
        <v>685</v>
      </c>
      <c r="F390" s="234" t="s">
        <v>58</v>
      </c>
      <c r="G390" s="235"/>
      <c r="H390" s="222"/>
      <c r="I390" s="223"/>
    </row>
    <row r="391" spans="1:9" s="109" customFormat="1" ht="12.75">
      <c r="A391" s="237" t="s">
        <v>99</v>
      </c>
      <c r="B391" s="233" t="s">
        <v>75</v>
      </c>
      <c r="C391" s="234" t="s">
        <v>65</v>
      </c>
      <c r="D391" s="234" t="s">
        <v>84</v>
      </c>
      <c r="E391" s="234" t="s">
        <v>685</v>
      </c>
      <c r="F391" s="234" t="s">
        <v>105</v>
      </c>
      <c r="G391" s="235"/>
      <c r="H391" s="222"/>
      <c r="I391" s="223"/>
    </row>
    <row r="392" spans="1:9" s="109" customFormat="1" ht="76.5">
      <c r="A392" s="256" t="s">
        <v>601</v>
      </c>
      <c r="B392" s="233" t="s">
        <v>75</v>
      </c>
      <c r="C392" s="234" t="s">
        <v>65</v>
      </c>
      <c r="D392" s="234" t="s">
        <v>84</v>
      </c>
      <c r="E392" s="234" t="s">
        <v>686</v>
      </c>
      <c r="F392" s="234" t="s">
        <v>58</v>
      </c>
      <c r="G392" s="235"/>
      <c r="H392" s="222"/>
      <c r="I392" s="223"/>
    </row>
    <row r="393" spans="1:9" s="109" customFormat="1" ht="12.75">
      <c r="A393" s="237" t="s">
        <v>99</v>
      </c>
      <c r="B393" s="233" t="s">
        <v>75</v>
      </c>
      <c r="C393" s="234" t="s">
        <v>65</v>
      </c>
      <c r="D393" s="234" t="s">
        <v>84</v>
      </c>
      <c r="E393" s="234" t="s">
        <v>686</v>
      </c>
      <c r="F393" s="234" t="s">
        <v>105</v>
      </c>
      <c r="G393" s="235"/>
      <c r="H393" s="222"/>
      <c r="I393" s="223"/>
    </row>
    <row r="394" spans="1:9" s="109" customFormat="1" ht="12.75">
      <c r="A394" s="224" t="s">
        <v>85</v>
      </c>
      <c r="B394" s="225" t="s">
        <v>75</v>
      </c>
      <c r="C394" s="226" t="s">
        <v>84</v>
      </c>
      <c r="D394" s="226" t="s">
        <v>51</v>
      </c>
      <c r="E394" s="226" t="s">
        <v>196</v>
      </c>
      <c r="F394" s="226" t="s">
        <v>58</v>
      </c>
      <c r="G394" s="227"/>
      <c r="H394" s="222"/>
      <c r="I394" s="223"/>
    </row>
    <row r="395" spans="1:9" s="109" customFormat="1" ht="12.75">
      <c r="A395" s="228" t="s">
        <v>86</v>
      </c>
      <c r="B395" s="229" t="s">
        <v>75</v>
      </c>
      <c r="C395" s="230" t="s">
        <v>84</v>
      </c>
      <c r="D395" s="230" t="s">
        <v>65</v>
      </c>
      <c r="E395" s="230" t="s">
        <v>196</v>
      </c>
      <c r="F395" s="230" t="s">
        <v>58</v>
      </c>
      <c r="G395" s="231"/>
      <c r="H395" s="222"/>
      <c r="I395" s="223"/>
    </row>
    <row r="396" spans="1:9" s="109" customFormat="1" ht="25.5">
      <c r="A396" s="236" t="s">
        <v>743</v>
      </c>
      <c r="B396" s="233" t="s">
        <v>75</v>
      </c>
      <c r="C396" s="234" t="s">
        <v>84</v>
      </c>
      <c r="D396" s="234" t="s">
        <v>65</v>
      </c>
      <c r="E396" s="234" t="s">
        <v>311</v>
      </c>
      <c r="F396" s="234" t="s">
        <v>58</v>
      </c>
      <c r="G396" s="235"/>
      <c r="H396" s="222"/>
      <c r="I396" s="223"/>
    </row>
    <row r="397" spans="1:9" s="109" customFormat="1" ht="25.5">
      <c r="A397" s="236" t="s">
        <v>744</v>
      </c>
      <c r="B397" s="233" t="s">
        <v>75</v>
      </c>
      <c r="C397" s="234" t="s">
        <v>84</v>
      </c>
      <c r="D397" s="234" t="s">
        <v>65</v>
      </c>
      <c r="E397" s="234" t="s">
        <v>312</v>
      </c>
      <c r="F397" s="234" t="s">
        <v>58</v>
      </c>
      <c r="G397" s="235"/>
      <c r="H397" s="222"/>
      <c r="I397" s="223"/>
    </row>
    <row r="398" spans="1:9" s="109" customFormat="1" ht="38.25">
      <c r="A398" s="236" t="s">
        <v>316</v>
      </c>
      <c r="B398" s="233" t="s">
        <v>75</v>
      </c>
      <c r="C398" s="234" t="s">
        <v>84</v>
      </c>
      <c r="D398" s="234" t="s">
        <v>65</v>
      </c>
      <c r="E398" s="234" t="s">
        <v>317</v>
      </c>
      <c r="F398" s="234" t="s">
        <v>58</v>
      </c>
      <c r="G398" s="235"/>
      <c r="H398" s="222"/>
      <c r="I398" s="223"/>
    </row>
    <row r="399" spans="1:9" s="109" customFormat="1" ht="12.75">
      <c r="A399" s="236" t="s">
        <v>95</v>
      </c>
      <c r="B399" s="233" t="s">
        <v>75</v>
      </c>
      <c r="C399" s="234" t="s">
        <v>84</v>
      </c>
      <c r="D399" s="234" t="s">
        <v>65</v>
      </c>
      <c r="E399" s="234" t="s">
        <v>318</v>
      </c>
      <c r="F399" s="234" t="s">
        <v>58</v>
      </c>
      <c r="G399" s="235"/>
      <c r="H399" s="222"/>
      <c r="I399" s="223"/>
    </row>
    <row r="400" spans="1:9" s="109" customFormat="1" ht="12.75">
      <c r="A400" s="236" t="s">
        <v>94</v>
      </c>
      <c r="B400" s="233" t="s">
        <v>75</v>
      </c>
      <c r="C400" s="234" t="s">
        <v>84</v>
      </c>
      <c r="D400" s="234" t="s">
        <v>65</v>
      </c>
      <c r="E400" s="234" t="s">
        <v>318</v>
      </c>
      <c r="F400" s="234" t="s">
        <v>132</v>
      </c>
      <c r="G400" s="235"/>
      <c r="H400" s="222"/>
      <c r="I400" s="223"/>
    </row>
    <row r="401" spans="1:9" s="99" customFormat="1" ht="12.75">
      <c r="A401" s="257"/>
      <c r="B401" s="239"/>
      <c r="C401" s="240"/>
      <c r="D401" s="240"/>
      <c r="E401" s="240"/>
      <c r="F401" s="240"/>
      <c r="G401" s="235"/>
      <c r="H401" s="222"/>
      <c r="I401" s="223"/>
    </row>
    <row r="402" spans="1:9" s="3" customFormat="1">
      <c r="A402" s="219" t="s">
        <v>87</v>
      </c>
      <c r="B402" s="220" t="s">
        <v>68</v>
      </c>
      <c r="C402" s="221" t="s">
        <v>51</v>
      </c>
      <c r="D402" s="221" t="s">
        <v>51</v>
      </c>
      <c r="E402" s="221" t="s">
        <v>196</v>
      </c>
      <c r="F402" s="221" t="s">
        <v>58</v>
      </c>
      <c r="G402" s="222"/>
      <c r="H402" s="222"/>
      <c r="I402" s="223"/>
    </row>
    <row r="403" spans="1:9" s="116" customFormat="1">
      <c r="A403" s="224" t="s">
        <v>64</v>
      </c>
      <c r="B403" s="225" t="s">
        <v>68</v>
      </c>
      <c r="C403" s="226" t="s">
        <v>65</v>
      </c>
      <c r="D403" s="226" t="s">
        <v>51</v>
      </c>
      <c r="E403" s="226" t="s">
        <v>196</v>
      </c>
      <c r="F403" s="226" t="s">
        <v>58</v>
      </c>
      <c r="G403" s="227"/>
      <c r="H403" s="222"/>
      <c r="I403" s="223"/>
    </row>
    <row r="404" spans="1:9" s="4" customFormat="1">
      <c r="A404" s="228" t="s">
        <v>38</v>
      </c>
      <c r="B404" s="229" t="s">
        <v>68</v>
      </c>
      <c r="C404" s="230" t="s">
        <v>65</v>
      </c>
      <c r="D404" s="230" t="s">
        <v>84</v>
      </c>
      <c r="E404" s="230" t="s">
        <v>196</v>
      </c>
      <c r="F404" s="230" t="s">
        <v>58</v>
      </c>
      <c r="G404" s="231"/>
      <c r="H404" s="222"/>
      <c r="I404" s="223"/>
    </row>
    <row r="405" spans="1:9" s="3" customFormat="1" ht="25.5">
      <c r="A405" s="232" t="s">
        <v>752</v>
      </c>
      <c r="B405" s="233" t="s">
        <v>68</v>
      </c>
      <c r="C405" s="234" t="s">
        <v>65</v>
      </c>
      <c r="D405" s="234" t="s">
        <v>84</v>
      </c>
      <c r="E405" s="234" t="s">
        <v>249</v>
      </c>
      <c r="F405" s="234" t="s">
        <v>58</v>
      </c>
      <c r="G405" s="235"/>
      <c r="H405" s="222"/>
      <c r="I405" s="223"/>
    </row>
    <row r="406" spans="1:9" s="3" customFormat="1">
      <c r="A406" s="232" t="s">
        <v>879</v>
      </c>
      <c r="B406" s="233" t="s">
        <v>68</v>
      </c>
      <c r="C406" s="234" t="s">
        <v>65</v>
      </c>
      <c r="D406" s="234" t="s">
        <v>84</v>
      </c>
      <c r="E406" s="234" t="s">
        <v>256</v>
      </c>
      <c r="F406" s="234" t="s">
        <v>58</v>
      </c>
      <c r="G406" s="235"/>
      <c r="H406" s="222"/>
      <c r="I406" s="223"/>
    </row>
    <row r="407" spans="1:9" s="3" customFormat="1">
      <c r="A407" s="232" t="s">
        <v>616</v>
      </c>
      <c r="B407" s="233" t="s">
        <v>68</v>
      </c>
      <c r="C407" s="234" t="s">
        <v>65</v>
      </c>
      <c r="D407" s="234" t="s">
        <v>84</v>
      </c>
      <c r="E407" s="234" t="s">
        <v>321</v>
      </c>
      <c r="F407" s="234" t="s">
        <v>58</v>
      </c>
      <c r="G407" s="235"/>
      <c r="H407" s="222"/>
      <c r="I407" s="223"/>
    </row>
    <row r="408" spans="1:9" s="3" customFormat="1" ht="25.5">
      <c r="A408" s="232" t="s">
        <v>133</v>
      </c>
      <c r="B408" s="233" t="s">
        <v>68</v>
      </c>
      <c r="C408" s="234" t="s">
        <v>65</v>
      </c>
      <c r="D408" s="234" t="s">
        <v>84</v>
      </c>
      <c r="E408" s="234" t="s">
        <v>322</v>
      </c>
      <c r="F408" s="234" t="s">
        <v>58</v>
      </c>
      <c r="G408" s="235"/>
      <c r="H408" s="222"/>
      <c r="I408" s="223"/>
    </row>
    <row r="409" spans="1:9" s="3" customFormat="1" ht="25.5">
      <c r="A409" s="232" t="s">
        <v>108</v>
      </c>
      <c r="B409" s="233" t="s">
        <v>68</v>
      </c>
      <c r="C409" s="234" t="s">
        <v>65</v>
      </c>
      <c r="D409" s="234" t="s">
        <v>84</v>
      </c>
      <c r="E409" s="234" t="s">
        <v>322</v>
      </c>
      <c r="F409" s="234" t="s">
        <v>116</v>
      </c>
      <c r="G409" s="235"/>
      <c r="H409" s="222"/>
      <c r="I409" s="223"/>
    </row>
    <row r="410" spans="1:9" s="94" customFormat="1" ht="25.5">
      <c r="A410" s="236" t="s">
        <v>973</v>
      </c>
      <c r="B410" s="233" t="s">
        <v>68</v>
      </c>
      <c r="C410" s="234" t="s">
        <v>65</v>
      </c>
      <c r="D410" s="234" t="s">
        <v>84</v>
      </c>
      <c r="E410" s="234" t="s">
        <v>322</v>
      </c>
      <c r="F410" s="234" t="s">
        <v>1043</v>
      </c>
      <c r="G410" s="235"/>
      <c r="H410" s="222"/>
      <c r="I410" s="223"/>
    </row>
    <row r="411" spans="1:9" s="3" customFormat="1" ht="25.5">
      <c r="A411" s="232" t="s">
        <v>582</v>
      </c>
      <c r="B411" s="233" t="s">
        <v>68</v>
      </c>
      <c r="C411" s="234" t="s">
        <v>65</v>
      </c>
      <c r="D411" s="234" t="s">
        <v>84</v>
      </c>
      <c r="E411" s="234" t="s">
        <v>323</v>
      </c>
      <c r="F411" s="234" t="s">
        <v>58</v>
      </c>
      <c r="G411" s="235"/>
      <c r="H411" s="222"/>
      <c r="I411" s="223"/>
    </row>
    <row r="412" spans="1:9" s="3" customFormat="1" ht="25.5">
      <c r="A412" s="232" t="s">
        <v>583</v>
      </c>
      <c r="B412" s="233" t="s">
        <v>68</v>
      </c>
      <c r="C412" s="234" t="s">
        <v>65</v>
      </c>
      <c r="D412" s="234" t="s">
        <v>84</v>
      </c>
      <c r="E412" s="234" t="s">
        <v>324</v>
      </c>
      <c r="F412" s="234" t="s">
        <v>58</v>
      </c>
      <c r="G412" s="235"/>
      <c r="H412" s="222"/>
      <c r="I412" s="223"/>
    </row>
    <row r="413" spans="1:9" s="3" customFormat="1" ht="25.5">
      <c r="A413" s="232" t="s">
        <v>114</v>
      </c>
      <c r="B413" s="233" t="s">
        <v>68</v>
      </c>
      <c r="C413" s="234" t="s">
        <v>65</v>
      </c>
      <c r="D413" s="234" t="s">
        <v>84</v>
      </c>
      <c r="E413" s="234" t="s">
        <v>325</v>
      </c>
      <c r="F413" s="234" t="s">
        <v>58</v>
      </c>
      <c r="G413" s="235"/>
      <c r="H413" s="222"/>
      <c r="I413" s="223"/>
    </row>
    <row r="414" spans="1:9" s="3" customFormat="1">
      <c r="A414" s="232" t="s">
        <v>107</v>
      </c>
      <c r="B414" s="233" t="s">
        <v>68</v>
      </c>
      <c r="C414" s="234" t="s">
        <v>65</v>
      </c>
      <c r="D414" s="234" t="s">
        <v>84</v>
      </c>
      <c r="E414" s="234" t="s">
        <v>325</v>
      </c>
      <c r="F414" s="234" t="s">
        <v>115</v>
      </c>
      <c r="G414" s="235"/>
      <c r="H414" s="222"/>
      <c r="I414" s="223"/>
    </row>
    <row r="415" spans="1:9" s="3" customFormat="1" ht="25.5">
      <c r="A415" s="232" t="s">
        <v>937</v>
      </c>
      <c r="B415" s="233" t="s">
        <v>68</v>
      </c>
      <c r="C415" s="234" t="s">
        <v>65</v>
      </c>
      <c r="D415" s="234" t="s">
        <v>84</v>
      </c>
      <c r="E415" s="234" t="s">
        <v>325</v>
      </c>
      <c r="F415" s="234" t="s">
        <v>1059</v>
      </c>
      <c r="G415" s="235"/>
      <c r="H415" s="222"/>
      <c r="I415" s="223"/>
    </row>
    <row r="416" spans="1:9" s="3" customFormat="1" ht="38.25">
      <c r="A416" s="232" t="s">
        <v>939</v>
      </c>
      <c r="B416" s="233" t="s">
        <v>68</v>
      </c>
      <c r="C416" s="234" t="s">
        <v>65</v>
      </c>
      <c r="D416" s="234" t="s">
        <v>84</v>
      </c>
      <c r="E416" s="234" t="s">
        <v>325</v>
      </c>
      <c r="F416" s="234" t="s">
        <v>1060</v>
      </c>
      <c r="G416" s="235"/>
      <c r="H416" s="222"/>
      <c r="I416" s="223"/>
    </row>
    <row r="417" spans="1:9" s="3" customFormat="1" ht="25.5">
      <c r="A417" s="232" t="s">
        <v>108</v>
      </c>
      <c r="B417" s="233" t="s">
        <v>68</v>
      </c>
      <c r="C417" s="234" t="s">
        <v>65</v>
      </c>
      <c r="D417" s="234" t="s">
        <v>84</v>
      </c>
      <c r="E417" s="234" t="s">
        <v>325</v>
      </c>
      <c r="F417" s="234" t="s">
        <v>116</v>
      </c>
      <c r="G417" s="235"/>
      <c r="H417" s="222"/>
      <c r="I417" s="223"/>
    </row>
    <row r="418" spans="1:9" s="4" customFormat="1" ht="25.5">
      <c r="A418" s="236" t="s">
        <v>973</v>
      </c>
      <c r="B418" s="233" t="s">
        <v>68</v>
      </c>
      <c r="C418" s="234" t="s">
        <v>65</v>
      </c>
      <c r="D418" s="234" t="s">
        <v>84</v>
      </c>
      <c r="E418" s="234" t="s">
        <v>325</v>
      </c>
      <c r="F418" s="234" t="s">
        <v>1043</v>
      </c>
      <c r="G418" s="235"/>
      <c r="H418" s="222"/>
      <c r="I418" s="223"/>
    </row>
    <row r="419" spans="1:9" s="3" customFormat="1">
      <c r="A419" s="232" t="s">
        <v>97</v>
      </c>
      <c r="B419" s="233" t="s">
        <v>68</v>
      </c>
      <c r="C419" s="234" t="s">
        <v>65</v>
      </c>
      <c r="D419" s="234" t="s">
        <v>84</v>
      </c>
      <c r="E419" s="234" t="s">
        <v>325</v>
      </c>
      <c r="F419" s="234" t="s">
        <v>118</v>
      </c>
      <c r="G419" s="235"/>
      <c r="H419" s="222"/>
      <c r="I419" s="223"/>
    </row>
    <row r="420" spans="1:9" s="4" customFormat="1">
      <c r="A420" s="236" t="s">
        <v>1036</v>
      </c>
      <c r="B420" s="233" t="s">
        <v>68</v>
      </c>
      <c r="C420" s="234" t="s">
        <v>65</v>
      </c>
      <c r="D420" s="234" t="s">
        <v>84</v>
      </c>
      <c r="E420" s="234" t="s">
        <v>325</v>
      </c>
      <c r="F420" s="234" t="s">
        <v>1061</v>
      </c>
      <c r="G420" s="235"/>
      <c r="H420" s="222"/>
      <c r="I420" s="223"/>
    </row>
    <row r="421" spans="1:9" s="4" customFormat="1">
      <c r="A421" s="236" t="s">
        <v>1037</v>
      </c>
      <c r="B421" s="233" t="s">
        <v>68</v>
      </c>
      <c r="C421" s="234" t="s">
        <v>65</v>
      </c>
      <c r="D421" s="234" t="s">
        <v>84</v>
      </c>
      <c r="E421" s="234" t="s">
        <v>325</v>
      </c>
      <c r="F421" s="234" t="s">
        <v>1062</v>
      </c>
      <c r="G421" s="235"/>
      <c r="H421" s="222"/>
      <c r="I421" s="223"/>
    </row>
    <row r="422" spans="1:9" s="3" customFormat="1" ht="25.5">
      <c r="A422" s="232" t="s">
        <v>126</v>
      </c>
      <c r="B422" s="233" t="s">
        <v>68</v>
      </c>
      <c r="C422" s="234" t="s">
        <v>65</v>
      </c>
      <c r="D422" s="234" t="s">
        <v>84</v>
      </c>
      <c r="E422" s="234" t="s">
        <v>326</v>
      </c>
      <c r="F422" s="234" t="s">
        <v>58</v>
      </c>
      <c r="G422" s="235"/>
      <c r="H422" s="222"/>
      <c r="I422" s="223"/>
    </row>
    <row r="423" spans="1:9" s="3" customFormat="1">
      <c r="A423" s="236" t="s">
        <v>107</v>
      </c>
      <c r="B423" s="233" t="s">
        <v>68</v>
      </c>
      <c r="C423" s="234" t="s">
        <v>65</v>
      </c>
      <c r="D423" s="234" t="s">
        <v>84</v>
      </c>
      <c r="E423" s="234" t="s">
        <v>326</v>
      </c>
      <c r="F423" s="234" t="s">
        <v>115</v>
      </c>
      <c r="G423" s="235"/>
      <c r="H423" s="222"/>
      <c r="I423" s="223"/>
    </row>
    <row r="424" spans="1:9" s="4" customFormat="1">
      <c r="A424" s="236" t="s">
        <v>936</v>
      </c>
      <c r="B424" s="233" t="s">
        <v>68</v>
      </c>
      <c r="C424" s="234" t="s">
        <v>65</v>
      </c>
      <c r="D424" s="234" t="s">
        <v>84</v>
      </c>
      <c r="E424" s="234" t="s">
        <v>326</v>
      </c>
      <c r="F424" s="234" t="s">
        <v>1063</v>
      </c>
      <c r="G424" s="235"/>
      <c r="H424" s="222"/>
      <c r="I424" s="223"/>
    </row>
    <row r="425" spans="1:9" s="4" customFormat="1" ht="38.25">
      <c r="A425" s="236" t="s">
        <v>939</v>
      </c>
      <c r="B425" s="233" t="s">
        <v>68</v>
      </c>
      <c r="C425" s="234" t="s">
        <v>65</v>
      </c>
      <c r="D425" s="234" t="s">
        <v>84</v>
      </c>
      <c r="E425" s="234" t="s">
        <v>326</v>
      </c>
      <c r="F425" s="234" t="s">
        <v>1060</v>
      </c>
      <c r="G425" s="235"/>
      <c r="H425" s="222"/>
      <c r="I425" s="223"/>
    </row>
    <row r="426" spans="1:9" s="3" customFormat="1">
      <c r="A426" s="224" t="s">
        <v>499</v>
      </c>
      <c r="B426" s="225" t="s">
        <v>68</v>
      </c>
      <c r="C426" s="226" t="s">
        <v>50</v>
      </c>
      <c r="D426" s="226" t="s">
        <v>51</v>
      </c>
      <c r="E426" s="226" t="s">
        <v>196</v>
      </c>
      <c r="F426" s="226" t="s">
        <v>58</v>
      </c>
      <c r="G426" s="227"/>
      <c r="H426" s="222"/>
      <c r="I426" s="223"/>
    </row>
    <row r="427" spans="1:9" s="3" customFormat="1">
      <c r="A427" s="228" t="s">
        <v>27</v>
      </c>
      <c r="B427" s="229" t="s">
        <v>68</v>
      </c>
      <c r="C427" s="230" t="s">
        <v>50</v>
      </c>
      <c r="D427" s="230" t="s">
        <v>65</v>
      </c>
      <c r="E427" s="230" t="s">
        <v>196</v>
      </c>
      <c r="F427" s="230" t="s">
        <v>58</v>
      </c>
      <c r="G427" s="231"/>
      <c r="H427" s="222"/>
      <c r="I427" s="223"/>
    </row>
    <row r="428" spans="1:9" s="3" customFormat="1">
      <c r="A428" s="232" t="s">
        <v>739</v>
      </c>
      <c r="B428" s="241" t="s">
        <v>68</v>
      </c>
      <c r="C428" s="242" t="s">
        <v>50</v>
      </c>
      <c r="D428" s="242" t="s">
        <v>65</v>
      </c>
      <c r="E428" s="242" t="s">
        <v>277</v>
      </c>
      <c r="F428" s="242" t="s">
        <v>58</v>
      </c>
      <c r="G428" s="243"/>
      <c r="H428" s="222"/>
      <c r="I428" s="223"/>
    </row>
    <row r="429" spans="1:9" s="3" customFormat="1" ht="38.25">
      <c r="A429" s="232" t="s">
        <v>194</v>
      </c>
      <c r="B429" s="241" t="s">
        <v>68</v>
      </c>
      <c r="C429" s="242" t="s">
        <v>50</v>
      </c>
      <c r="D429" s="242" t="s">
        <v>65</v>
      </c>
      <c r="E429" s="242" t="s">
        <v>278</v>
      </c>
      <c r="F429" s="242" t="s">
        <v>58</v>
      </c>
      <c r="G429" s="243"/>
      <c r="H429" s="222"/>
      <c r="I429" s="223"/>
    </row>
    <row r="430" spans="1:9" s="3" customFormat="1" ht="51">
      <c r="A430" s="232" t="s">
        <v>605</v>
      </c>
      <c r="B430" s="241" t="s">
        <v>68</v>
      </c>
      <c r="C430" s="242" t="s">
        <v>50</v>
      </c>
      <c r="D430" s="242" t="s">
        <v>65</v>
      </c>
      <c r="E430" s="242" t="s">
        <v>319</v>
      </c>
      <c r="F430" s="242" t="s">
        <v>58</v>
      </c>
      <c r="G430" s="243"/>
      <c r="H430" s="222"/>
      <c r="I430" s="223"/>
    </row>
    <row r="431" spans="1:9" s="3" customFormat="1">
      <c r="A431" s="232" t="s">
        <v>161</v>
      </c>
      <c r="B431" s="241" t="s">
        <v>68</v>
      </c>
      <c r="C431" s="242" t="s">
        <v>50</v>
      </c>
      <c r="D431" s="242" t="s">
        <v>65</v>
      </c>
      <c r="E431" s="242" t="s">
        <v>320</v>
      </c>
      <c r="F431" s="242" t="s">
        <v>58</v>
      </c>
      <c r="G431" s="243"/>
      <c r="H431" s="222"/>
      <c r="I431" s="223"/>
    </row>
    <row r="432" spans="1:9" s="3" customFormat="1" ht="25.5">
      <c r="A432" s="232" t="s">
        <v>108</v>
      </c>
      <c r="B432" s="241" t="s">
        <v>68</v>
      </c>
      <c r="C432" s="242" t="s">
        <v>50</v>
      </c>
      <c r="D432" s="242" t="s">
        <v>65</v>
      </c>
      <c r="E432" s="242" t="s">
        <v>320</v>
      </c>
      <c r="F432" s="242" t="s">
        <v>116</v>
      </c>
      <c r="G432" s="235"/>
      <c r="H432" s="222"/>
      <c r="I432" s="223"/>
    </row>
    <row r="433" spans="1:9" s="4" customFormat="1" ht="25.5">
      <c r="A433" s="236" t="s">
        <v>973</v>
      </c>
      <c r="B433" s="241" t="s">
        <v>68</v>
      </c>
      <c r="C433" s="242" t="s">
        <v>50</v>
      </c>
      <c r="D433" s="242" t="s">
        <v>65</v>
      </c>
      <c r="E433" s="242" t="s">
        <v>320</v>
      </c>
      <c r="F433" s="242" t="s">
        <v>1043</v>
      </c>
      <c r="G433" s="235"/>
      <c r="H433" s="222"/>
      <c r="I433" s="223"/>
    </row>
    <row r="434" spans="1:9" s="116" customFormat="1">
      <c r="A434" s="224" t="s">
        <v>49</v>
      </c>
      <c r="B434" s="225" t="s">
        <v>68</v>
      </c>
      <c r="C434" s="226" t="s">
        <v>14</v>
      </c>
      <c r="D434" s="226" t="s">
        <v>51</v>
      </c>
      <c r="E434" s="226" t="s">
        <v>196</v>
      </c>
      <c r="F434" s="226" t="s">
        <v>58</v>
      </c>
      <c r="G434" s="227"/>
      <c r="H434" s="222"/>
      <c r="I434" s="223"/>
    </row>
    <row r="435" spans="1:9" s="4" customFormat="1">
      <c r="A435" s="228" t="s">
        <v>63</v>
      </c>
      <c r="B435" s="229" t="s">
        <v>68</v>
      </c>
      <c r="C435" s="230" t="s">
        <v>14</v>
      </c>
      <c r="D435" s="230" t="s">
        <v>53</v>
      </c>
      <c r="E435" s="230" t="s">
        <v>196</v>
      </c>
      <c r="F435" s="230" t="s">
        <v>58</v>
      </c>
      <c r="G435" s="231"/>
      <c r="H435" s="222"/>
      <c r="I435" s="223"/>
    </row>
    <row r="436" spans="1:9" s="3" customFormat="1">
      <c r="A436" s="248" t="s">
        <v>727</v>
      </c>
      <c r="B436" s="233" t="s">
        <v>68</v>
      </c>
      <c r="C436" s="234" t="s">
        <v>14</v>
      </c>
      <c r="D436" s="234" t="s">
        <v>53</v>
      </c>
      <c r="E436" s="234" t="s">
        <v>327</v>
      </c>
      <c r="F436" s="234" t="s">
        <v>58</v>
      </c>
      <c r="G436" s="235"/>
      <c r="H436" s="222"/>
      <c r="I436" s="223"/>
    </row>
    <row r="437" spans="1:9" s="3" customFormat="1" ht="38.25">
      <c r="A437" s="248" t="s">
        <v>842</v>
      </c>
      <c r="B437" s="233" t="s">
        <v>68</v>
      </c>
      <c r="C437" s="234" t="s">
        <v>14</v>
      </c>
      <c r="D437" s="234" t="s">
        <v>53</v>
      </c>
      <c r="E437" s="234" t="s">
        <v>328</v>
      </c>
      <c r="F437" s="234" t="s">
        <v>58</v>
      </c>
      <c r="G437" s="235"/>
      <c r="H437" s="222"/>
      <c r="I437" s="223"/>
    </row>
    <row r="438" spans="1:9" s="3" customFormat="1" ht="25.5">
      <c r="A438" s="232" t="s">
        <v>635</v>
      </c>
      <c r="B438" s="233" t="s">
        <v>68</v>
      </c>
      <c r="C438" s="234" t="s">
        <v>14</v>
      </c>
      <c r="D438" s="234" t="s">
        <v>53</v>
      </c>
      <c r="E438" s="234" t="s">
        <v>560</v>
      </c>
      <c r="F438" s="234" t="s">
        <v>58</v>
      </c>
      <c r="G438" s="235"/>
      <c r="H438" s="222"/>
      <c r="I438" s="223"/>
    </row>
    <row r="439" spans="1:9" s="3" customFormat="1" ht="25.5">
      <c r="A439" s="232" t="s">
        <v>329</v>
      </c>
      <c r="B439" s="233" t="s">
        <v>68</v>
      </c>
      <c r="C439" s="234" t="s">
        <v>14</v>
      </c>
      <c r="D439" s="234" t="s">
        <v>53</v>
      </c>
      <c r="E439" s="234" t="s">
        <v>330</v>
      </c>
      <c r="F439" s="234" t="s">
        <v>58</v>
      </c>
      <c r="G439" s="235"/>
      <c r="H439" s="222"/>
      <c r="I439" s="223"/>
    </row>
    <row r="440" spans="1:9" s="3" customFormat="1" ht="38.25">
      <c r="A440" s="237" t="s">
        <v>561</v>
      </c>
      <c r="B440" s="233" t="s">
        <v>68</v>
      </c>
      <c r="C440" s="234" t="s">
        <v>14</v>
      </c>
      <c r="D440" s="234" t="s">
        <v>53</v>
      </c>
      <c r="E440" s="234" t="s">
        <v>330</v>
      </c>
      <c r="F440" s="234" t="s">
        <v>101</v>
      </c>
      <c r="G440" s="235"/>
      <c r="H440" s="222"/>
      <c r="I440" s="223"/>
    </row>
    <row r="441" spans="1:9" s="3" customFormat="1" ht="38.25">
      <c r="A441" s="232" t="s">
        <v>1047</v>
      </c>
      <c r="B441" s="233" t="s">
        <v>68</v>
      </c>
      <c r="C441" s="234" t="s">
        <v>14</v>
      </c>
      <c r="D441" s="234" t="s">
        <v>53</v>
      </c>
      <c r="E441" s="234" t="s">
        <v>330</v>
      </c>
      <c r="F441" s="234" t="s">
        <v>1050</v>
      </c>
      <c r="G441" s="235"/>
      <c r="H441" s="222"/>
      <c r="I441" s="223"/>
    </row>
    <row r="442" spans="1:9" s="71" customFormat="1">
      <c r="A442" s="249"/>
      <c r="B442" s="239"/>
      <c r="C442" s="240"/>
      <c r="D442" s="240"/>
      <c r="E442" s="240"/>
      <c r="F442" s="240"/>
      <c r="G442" s="235"/>
      <c r="H442" s="222"/>
      <c r="I442" s="223"/>
    </row>
    <row r="443" spans="1:9" s="30" customFormat="1">
      <c r="A443" s="219" t="s">
        <v>179</v>
      </c>
      <c r="B443" s="220" t="s">
        <v>69</v>
      </c>
      <c r="C443" s="221" t="s">
        <v>51</v>
      </c>
      <c r="D443" s="221" t="s">
        <v>51</v>
      </c>
      <c r="E443" s="221" t="s">
        <v>196</v>
      </c>
      <c r="F443" s="221" t="s">
        <v>58</v>
      </c>
      <c r="G443" s="222"/>
      <c r="H443" s="222"/>
      <c r="I443" s="223"/>
    </row>
    <row r="444" spans="1:9" s="30" customFormat="1">
      <c r="A444" s="224" t="s">
        <v>70</v>
      </c>
      <c r="B444" s="225" t="s">
        <v>69</v>
      </c>
      <c r="C444" s="226" t="s">
        <v>71</v>
      </c>
      <c r="D444" s="226" t="s">
        <v>51</v>
      </c>
      <c r="E444" s="226" t="s">
        <v>196</v>
      </c>
      <c r="F444" s="226" t="s">
        <v>58</v>
      </c>
      <c r="G444" s="227"/>
      <c r="H444" s="222"/>
      <c r="I444" s="223"/>
    </row>
    <row r="445" spans="1:9" s="30" customFormat="1">
      <c r="A445" s="228" t="s">
        <v>72</v>
      </c>
      <c r="B445" s="229" t="s">
        <v>69</v>
      </c>
      <c r="C445" s="230" t="s">
        <v>71</v>
      </c>
      <c r="D445" s="230" t="s">
        <v>65</v>
      </c>
      <c r="E445" s="230" t="s">
        <v>196</v>
      </c>
      <c r="F445" s="230" t="s">
        <v>58</v>
      </c>
      <c r="G445" s="231"/>
      <c r="H445" s="222"/>
      <c r="I445" s="223"/>
    </row>
    <row r="446" spans="1:9" s="30" customFormat="1">
      <c r="A446" s="244" t="s">
        <v>723</v>
      </c>
      <c r="B446" s="233" t="s">
        <v>69</v>
      </c>
      <c r="C446" s="234" t="s">
        <v>71</v>
      </c>
      <c r="D446" s="234" t="s">
        <v>65</v>
      </c>
      <c r="E446" s="234" t="s">
        <v>331</v>
      </c>
      <c r="F446" s="234" t="s">
        <v>58</v>
      </c>
      <c r="G446" s="235"/>
      <c r="H446" s="222"/>
      <c r="I446" s="223"/>
    </row>
    <row r="447" spans="1:9" s="30" customFormat="1" ht="25.5">
      <c r="A447" s="244" t="s">
        <v>860</v>
      </c>
      <c r="B447" s="233" t="s">
        <v>69</v>
      </c>
      <c r="C447" s="234" t="s">
        <v>71</v>
      </c>
      <c r="D447" s="234" t="s">
        <v>65</v>
      </c>
      <c r="E447" s="234" t="s">
        <v>332</v>
      </c>
      <c r="F447" s="234" t="s">
        <v>58</v>
      </c>
      <c r="G447" s="235"/>
      <c r="H447" s="222"/>
      <c r="I447" s="223"/>
    </row>
    <row r="448" spans="1:9" s="30" customFormat="1" ht="25.5">
      <c r="A448" s="244" t="s">
        <v>607</v>
      </c>
      <c r="B448" s="233" t="s">
        <v>69</v>
      </c>
      <c r="C448" s="234" t="s">
        <v>71</v>
      </c>
      <c r="D448" s="234" t="s">
        <v>65</v>
      </c>
      <c r="E448" s="234" t="s">
        <v>333</v>
      </c>
      <c r="F448" s="234" t="s">
        <v>58</v>
      </c>
      <c r="G448" s="235"/>
      <c r="H448" s="222"/>
      <c r="I448" s="223"/>
    </row>
    <row r="449" spans="1:9" s="30" customFormat="1">
      <c r="A449" s="244" t="s">
        <v>247</v>
      </c>
      <c r="B449" s="233" t="s">
        <v>69</v>
      </c>
      <c r="C449" s="234" t="s">
        <v>71</v>
      </c>
      <c r="D449" s="234" t="s">
        <v>65</v>
      </c>
      <c r="E449" s="234" t="s">
        <v>334</v>
      </c>
      <c r="F449" s="234" t="s">
        <v>58</v>
      </c>
      <c r="G449" s="235"/>
      <c r="H449" s="222"/>
      <c r="I449" s="223"/>
    </row>
    <row r="450" spans="1:9" s="30" customFormat="1">
      <c r="A450" s="244" t="s">
        <v>92</v>
      </c>
      <c r="B450" s="233" t="s">
        <v>69</v>
      </c>
      <c r="C450" s="234" t="s">
        <v>71</v>
      </c>
      <c r="D450" s="234" t="s">
        <v>65</v>
      </c>
      <c r="E450" s="234" t="s">
        <v>334</v>
      </c>
      <c r="F450" s="234" t="s">
        <v>138</v>
      </c>
      <c r="G450" s="235"/>
      <c r="H450" s="222"/>
      <c r="I450" s="223"/>
    </row>
    <row r="451" spans="1:9" s="83" customFormat="1" ht="38.25">
      <c r="A451" s="236" t="s">
        <v>1015</v>
      </c>
      <c r="B451" s="233" t="s">
        <v>69</v>
      </c>
      <c r="C451" s="234" t="s">
        <v>71</v>
      </c>
      <c r="D451" s="234" t="s">
        <v>65</v>
      </c>
      <c r="E451" s="234" t="s">
        <v>334</v>
      </c>
      <c r="F451" s="234" t="s">
        <v>67</v>
      </c>
      <c r="G451" s="235"/>
      <c r="H451" s="222"/>
      <c r="I451" s="223"/>
    </row>
    <row r="452" spans="1:9" s="83" customFormat="1">
      <c r="A452" s="236" t="s">
        <v>1016</v>
      </c>
      <c r="B452" s="233" t="s">
        <v>69</v>
      </c>
      <c r="C452" s="234" t="s">
        <v>71</v>
      </c>
      <c r="D452" s="234" t="s">
        <v>65</v>
      </c>
      <c r="E452" s="234" t="s">
        <v>334</v>
      </c>
      <c r="F452" s="234" t="s">
        <v>1046</v>
      </c>
      <c r="G452" s="235"/>
      <c r="H452" s="222"/>
      <c r="I452" s="223"/>
    </row>
    <row r="453" spans="1:9" s="30" customFormat="1">
      <c r="A453" s="244" t="s">
        <v>93</v>
      </c>
      <c r="B453" s="233" t="s">
        <v>69</v>
      </c>
      <c r="C453" s="234" t="s">
        <v>71</v>
      </c>
      <c r="D453" s="234" t="s">
        <v>65</v>
      </c>
      <c r="E453" s="234" t="s">
        <v>334</v>
      </c>
      <c r="F453" s="234" t="s">
        <v>20</v>
      </c>
      <c r="G453" s="235"/>
      <c r="H453" s="222"/>
      <c r="I453" s="223"/>
    </row>
    <row r="454" spans="1:9" s="83" customFormat="1" ht="38.25">
      <c r="A454" s="236" t="s">
        <v>1018</v>
      </c>
      <c r="B454" s="233" t="s">
        <v>69</v>
      </c>
      <c r="C454" s="234" t="s">
        <v>71</v>
      </c>
      <c r="D454" s="234" t="s">
        <v>65</v>
      </c>
      <c r="E454" s="234" t="s">
        <v>334</v>
      </c>
      <c r="F454" s="234" t="s">
        <v>16</v>
      </c>
      <c r="G454" s="235"/>
      <c r="H454" s="222"/>
      <c r="I454" s="223"/>
    </row>
    <row r="455" spans="1:9" s="30" customFormat="1" ht="63.75">
      <c r="A455" s="232" t="s">
        <v>335</v>
      </c>
      <c r="B455" s="233" t="s">
        <v>69</v>
      </c>
      <c r="C455" s="234" t="s">
        <v>71</v>
      </c>
      <c r="D455" s="234" t="s">
        <v>65</v>
      </c>
      <c r="E455" s="234" t="s">
        <v>336</v>
      </c>
      <c r="F455" s="234" t="s">
        <v>58</v>
      </c>
      <c r="G455" s="235"/>
      <c r="H455" s="222"/>
      <c r="I455" s="223"/>
    </row>
    <row r="456" spans="1:9" s="30" customFormat="1">
      <c r="A456" s="244" t="s">
        <v>92</v>
      </c>
      <c r="B456" s="233" t="s">
        <v>69</v>
      </c>
      <c r="C456" s="234" t="s">
        <v>71</v>
      </c>
      <c r="D456" s="234" t="s">
        <v>65</v>
      </c>
      <c r="E456" s="234" t="s">
        <v>336</v>
      </c>
      <c r="F456" s="234" t="s">
        <v>138</v>
      </c>
      <c r="G456" s="235"/>
      <c r="H456" s="222"/>
      <c r="I456" s="223"/>
    </row>
    <row r="457" spans="1:9" s="83" customFormat="1" ht="38.25">
      <c r="A457" s="236" t="s">
        <v>1015</v>
      </c>
      <c r="B457" s="233" t="s">
        <v>69</v>
      </c>
      <c r="C457" s="234" t="s">
        <v>71</v>
      </c>
      <c r="D457" s="234" t="s">
        <v>65</v>
      </c>
      <c r="E457" s="234" t="s">
        <v>336</v>
      </c>
      <c r="F457" s="234" t="s">
        <v>67</v>
      </c>
      <c r="G457" s="235"/>
      <c r="H457" s="222"/>
      <c r="I457" s="223"/>
    </row>
    <row r="458" spans="1:9" s="30" customFormat="1">
      <c r="A458" s="244" t="s">
        <v>93</v>
      </c>
      <c r="B458" s="233" t="s">
        <v>69</v>
      </c>
      <c r="C458" s="234" t="s">
        <v>71</v>
      </c>
      <c r="D458" s="234" t="s">
        <v>65</v>
      </c>
      <c r="E458" s="234" t="s">
        <v>336</v>
      </c>
      <c r="F458" s="234" t="s">
        <v>20</v>
      </c>
      <c r="G458" s="235"/>
      <c r="H458" s="222"/>
      <c r="I458" s="223"/>
    </row>
    <row r="459" spans="1:9" s="83" customFormat="1" ht="38.25">
      <c r="A459" s="236" t="s">
        <v>1018</v>
      </c>
      <c r="B459" s="233" t="s">
        <v>69</v>
      </c>
      <c r="C459" s="234" t="s">
        <v>71</v>
      </c>
      <c r="D459" s="234" t="s">
        <v>65</v>
      </c>
      <c r="E459" s="234" t="s">
        <v>336</v>
      </c>
      <c r="F459" s="234" t="s">
        <v>16</v>
      </c>
      <c r="G459" s="235"/>
      <c r="H459" s="222"/>
      <c r="I459" s="223"/>
    </row>
    <row r="460" spans="1:9" s="30" customFormat="1" ht="25.5">
      <c r="A460" s="232" t="s">
        <v>111</v>
      </c>
      <c r="B460" s="233" t="s">
        <v>69</v>
      </c>
      <c r="C460" s="234" t="s">
        <v>71</v>
      </c>
      <c r="D460" s="234" t="s">
        <v>65</v>
      </c>
      <c r="E460" s="234" t="s">
        <v>336</v>
      </c>
      <c r="F460" s="234" t="s">
        <v>104</v>
      </c>
      <c r="G460" s="235"/>
      <c r="H460" s="222"/>
      <c r="I460" s="223"/>
    </row>
    <row r="461" spans="1:9" s="83" customFormat="1" ht="63.75">
      <c r="A461" s="236" t="s">
        <v>1048</v>
      </c>
      <c r="B461" s="233" t="s">
        <v>69</v>
      </c>
      <c r="C461" s="234" t="s">
        <v>71</v>
      </c>
      <c r="D461" s="234" t="s">
        <v>65</v>
      </c>
      <c r="E461" s="234" t="s">
        <v>336</v>
      </c>
      <c r="F461" s="234" t="s">
        <v>1055</v>
      </c>
      <c r="G461" s="235"/>
      <c r="H461" s="222"/>
      <c r="I461" s="223"/>
    </row>
    <row r="462" spans="1:9" s="30" customFormat="1" ht="38.25">
      <c r="A462" s="232" t="s">
        <v>629</v>
      </c>
      <c r="B462" s="233" t="s">
        <v>69</v>
      </c>
      <c r="C462" s="234" t="s">
        <v>71</v>
      </c>
      <c r="D462" s="234" t="s">
        <v>65</v>
      </c>
      <c r="E462" s="234" t="s">
        <v>337</v>
      </c>
      <c r="F462" s="234" t="s">
        <v>58</v>
      </c>
      <c r="G462" s="235"/>
      <c r="H462" s="222"/>
      <c r="I462" s="223"/>
    </row>
    <row r="463" spans="1:9" s="30" customFormat="1">
      <c r="A463" s="244" t="s">
        <v>247</v>
      </c>
      <c r="B463" s="233" t="s">
        <v>69</v>
      </c>
      <c r="C463" s="234" t="s">
        <v>71</v>
      </c>
      <c r="D463" s="234" t="s">
        <v>65</v>
      </c>
      <c r="E463" s="234" t="s">
        <v>338</v>
      </c>
      <c r="F463" s="234" t="s">
        <v>58</v>
      </c>
      <c r="G463" s="235"/>
      <c r="H463" s="222"/>
      <c r="I463" s="223"/>
    </row>
    <row r="464" spans="1:9" s="30" customFormat="1">
      <c r="A464" s="244" t="s">
        <v>92</v>
      </c>
      <c r="B464" s="233" t="s">
        <v>69</v>
      </c>
      <c r="C464" s="234" t="s">
        <v>71</v>
      </c>
      <c r="D464" s="234" t="s">
        <v>65</v>
      </c>
      <c r="E464" s="234" t="s">
        <v>338</v>
      </c>
      <c r="F464" s="234" t="s">
        <v>138</v>
      </c>
      <c r="G464" s="235"/>
      <c r="H464" s="222"/>
      <c r="I464" s="223"/>
    </row>
    <row r="465" spans="1:9" s="83" customFormat="1">
      <c r="A465" s="236" t="s">
        <v>1016</v>
      </c>
      <c r="B465" s="233" t="s">
        <v>69</v>
      </c>
      <c r="C465" s="234" t="s">
        <v>71</v>
      </c>
      <c r="D465" s="234" t="s">
        <v>65</v>
      </c>
      <c r="E465" s="234" t="s">
        <v>338</v>
      </c>
      <c r="F465" s="234" t="s">
        <v>1046</v>
      </c>
      <c r="G465" s="235"/>
      <c r="H465" s="222"/>
      <c r="I465" s="223"/>
    </row>
    <row r="466" spans="1:9" s="30" customFormat="1" ht="25.5">
      <c r="A466" s="244" t="s">
        <v>702</v>
      </c>
      <c r="B466" s="233" t="s">
        <v>69</v>
      </c>
      <c r="C466" s="234" t="s">
        <v>71</v>
      </c>
      <c r="D466" s="234" t="s">
        <v>65</v>
      </c>
      <c r="E466" s="234" t="s">
        <v>701</v>
      </c>
      <c r="F466" s="234" t="s">
        <v>58</v>
      </c>
      <c r="G466" s="235"/>
      <c r="H466" s="222"/>
      <c r="I466" s="223"/>
    </row>
    <row r="467" spans="1:9" s="30" customFormat="1">
      <c r="A467" s="244" t="s">
        <v>92</v>
      </c>
      <c r="B467" s="233" t="s">
        <v>69</v>
      </c>
      <c r="C467" s="234" t="s">
        <v>71</v>
      </c>
      <c r="D467" s="234" t="s">
        <v>65</v>
      </c>
      <c r="E467" s="234" t="s">
        <v>701</v>
      </c>
      <c r="F467" s="234" t="s">
        <v>138</v>
      </c>
      <c r="G467" s="235"/>
      <c r="H467" s="222"/>
      <c r="I467" s="223"/>
    </row>
    <row r="468" spans="1:9" s="83" customFormat="1">
      <c r="A468" s="236" t="s">
        <v>1016</v>
      </c>
      <c r="B468" s="233" t="s">
        <v>69</v>
      </c>
      <c r="C468" s="234" t="s">
        <v>71</v>
      </c>
      <c r="D468" s="234" t="s">
        <v>65</v>
      </c>
      <c r="E468" s="234" t="s">
        <v>701</v>
      </c>
      <c r="F468" s="234" t="s">
        <v>1046</v>
      </c>
      <c r="G468" s="235"/>
      <c r="H468" s="222"/>
      <c r="I468" s="223"/>
    </row>
    <row r="469" spans="1:9" s="30" customFormat="1" ht="51">
      <c r="A469" s="232" t="s">
        <v>756</v>
      </c>
      <c r="B469" s="233" t="s">
        <v>69</v>
      </c>
      <c r="C469" s="234" t="s">
        <v>71</v>
      </c>
      <c r="D469" s="234" t="s">
        <v>65</v>
      </c>
      <c r="E469" s="234" t="s">
        <v>339</v>
      </c>
      <c r="F469" s="234" t="s">
        <v>58</v>
      </c>
      <c r="G469" s="235"/>
      <c r="H469" s="222"/>
      <c r="I469" s="223"/>
    </row>
    <row r="470" spans="1:9" s="30" customFormat="1" ht="25.5">
      <c r="A470" s="232" t="s">
        <v>136</v>
      </c>
      <c r="B470" s="233" t="s">
        <v>69</v>
      </c>
      <c r="C470" s="234" t="s">
        <v>71</v>
      </c>
      <c r="D470" s="234" t="s">
        <v>65</v>
      </c>
      <c r="E470" s="234" t="s">
        <v>340</v>
      </c>
      <c r="F470" s="234" t="s">
        <v>58</v>
      </c>
      <c r="G470" s="235"/>
      <c r="H470" s="222"/>
      <c r="I470" s="223"/>
    </row>
    <row r="471" spans="1:9" s="30" customFormat="1" ht="25.5">
      <c r="A471" s="232" t="s">
        <v>667</v>
      </c>
      <c r="B471" s="233" t="s">
        <v>69</v>
      </c>
      <c r="C471" s="234" t="s">
        <v>71</v>
      </c>
      <c r="D471" s="234" t="s">
        <v>65</v>
      </c>
      <c r="E471" s="234" t="s">
        <v>609</v>
      </c>
      <c r="F471" s="234" t="s">
        <v>58</v>
      </c>
      <c r="G471" s="235"/>
      <c r="H471" s="222"/>
      <c r="I471" s="223"/>
    </row>
    <row r="472" spans="1:9" s="30" customFormat="1" ht="25.5">
      <c r="A472" s="232" t="s">
        <v>177</v>
      </c>
      <c r="B472" s="233" t="s">
        <v>69</v>
      </c>
      <c r="C472" s="234" t="s">
        <v>71</v>
      </c>
      <c r="D472" s="234" t="s">
        <v>65</v>
      </c>
      <c r="E472" s="234" t="s">
        <v>610</v>
      </c>
      <c r="F472" s="234" t="s">
        <v>58</v>
      </c>
      <c r="G472" s="235"/>
      <c r="H472" s="222"/>
      <c r="I472" s="223"/>
    </row>
    <row r="473" spans="1:9" s="30" customFormat="1">
      <c r="A473" s="244" t="s">
        <v>92</v>
      </c>
      <c r="B473" s="233" t="s">
        <v>69</v>
      </c>
      <c r="C473" s="234" t="s">
        <v>71</v>
      </c>
      <c r="D473" s="234" t="s">
        <v>65</v>
      </c>
      <c r="E473" s="234" t="s">
        <v>610</v>
      </c>
      <c r="F473" s="234" t="s">
        <v>138</v>
      </c>
      <c r="G473" s="235"/>
      <c r="H473" s="222"/>
      <c r="I473" s="223"/>
    </row>
    <row r="474" spans="1:9" s="83" customFormat="1">
      <c r="A474" s="236" t="s">
        <v>1016</v>
      </c>
      <c r="B474" s="233" t="s">
        <v>69</v>
      </c>
      <c r="C474" s="234" t="s">
        <v>71</v>
      </c>
      <c r="D474" s="234" t="s">
        <v>65</v>
      </c>
      <c r="E474" s="234" t="s">
        <v>610</v>
      </c>
      <c r="F474" s="234" t="s">
        <v>1046</v>
      </c>
      <c r="G474" s="235"/>
      <c r="H474" s="222"/>
      <c r="I474" s="223"/>
    </row>
    <row r="475" spans="1:9" s="30" customFormat="1">
      <c r="A475" s="244" t="s">
        <v>93</v>
      </c>
      <c r="B475" s="233" t="s">
        <v>69</v>
      </c>
      <c r="C475" s="234" t="s">
        <v>71</v>
      </c>
      <c r="D475" s="234" t="s">
        <v>65</v>
      </c>
      <c r="E475" s="234" t="s">
        <v>610</v>
      </c>
      <c r="F475" s="234" t="s">
        <v>20</v>
      </c>
      <c r="G475" s="235"/>
      <c r="H475" s="222"/>
      <c r="I475" s="223"/>
    </row>
    <row r="476" spans="1:9" s="83" customFormat="1">
      <c r="A476" s="236" t="s">
        <v>1019</v>
      </c>
      <c r="B476" s="233" t="s">
        <v>69</v>
      </c>
      <c r="C476" s="234" t="s">
        <v>71</v>
      </c>
      <c r="D476" s="234" t="s">
        <v>65</v>
      </c>
      <c r="E476" s="234" t="s">
        <v>610</v>
      </c>
      <c r="F476" s="234" t="s">
        <v>1054</v>
      </c>
      <c r="G476" s="235"/>
      <c r="H476" s="222"/>
      <c r="I476" s="223"/>
    </row>
    <row r="477" spans="1:9" s="30" customFormat="1">
      <c r="A477" s="228" t="s">
        <v>61</v>
      </c>
      <c r="B477" s="229" t="s">
        <v>69</v>
      </c>
      <c r="C477" s="230" t="s">
        <v>71</v>
      </c>
      <c r="D477" s="230" t="s">
        <v>66</v>
      </c>
      <c r="E477" s="230" t="s">
        <v>196</v>
      </c>
      <c r="F477" s="230" t="s">
        <v>58</v>
      </c>
      <c r="G477" s="231"/>
      <c r="H477" s="222"/>
      <c r="I477" s="223"/>
    </row>
    <row r="478" spans="1:9" s="30" customFormat="1">
      <c r="A478" s="244" t="s">
        <v>723</v>
      </c>
      <c r="B478" s="233" t="s">
        <v>69</v>
      </c>
      <c r="C478" s="234" t="s">
        <v>71</v>
      </c>
      <c r="D478" s="234" t="s">
        <v>66</v>
      </c>
      <c r="E478" s="234" t="s">
        <v>331</v>
      </c>
      <c r="F478" s="234" t="s">
        <v>58</v>
      </c>
      <c r="G478" s="235"/>
      <c r="H478" s="222"/>
      <c r="I478" s="223"/>
    </row>
    <row r="479" spans="1:9" s="30" customFormat="1" ht="25.5">
      <c r="A479" s="244" t="s">
        <v>860</v>
      </c>
      <c r="B479" s="233" t="s">
        <v>69</v>
      </c>
      <c r="C479" s="234" t="s">
        <v>71</v>
      </c>
      <c r="D479" s="234" t="s">
        <v>66</v>
      </c>
      <c r="E479" s="234" t="s">
        <v>332</v>
      </c>
      <c r="F479" s="234" t="s">
        <v>58</v>
      </c>
      <c r="G479" s="235"/>
      <c r="H479" s="222"/>
      <c r="I479" s="223"/>
    </row>
    <row r="480" spans="1:9" s="30" customFormat="1" ht="38.25">
      <c r="A480" s="244" t="s">
        <v>663</v>
      </c>
      <c r="B480" s="233" t="s">
        <v>69</v>
      </c>
      <c r="C480" s="234" t="s">
        <v>71</v>
      </c>
      <c r="D480" s="234" t="s">
        <v>66</v>
      </c>
      <c r="E480" s="234" t="s">
        <v>347</v>
      </c>
      <c r="F480" s="234" t="s">
        <v>58</v>
      </c>
      <c r="G480" s="235"/>
      <c r="H480" s="222"/>
      <c r="I480" s="223"/>
    </row>
    <row r="481" spans="1:9" s="30" customFormat="1">
      <c r="A481" s="244" t="s">
        <v>247</v>
      </c>
      <c r="B481" s="233" t="s">
        <v>69</v>
      </c>
      <c r="C481" s="234" t="s">
        <v>71</v>
      </c>
      <c r="D481" s="234" t="s">
        <v>66</v>
      </c>
      <c r="E481" s="234" t="s">
        <v>348</v>
      </c>
      <c r="F481" s="234" t="s">
        <v>58</v>
      </c>
      <c r="G481" s="235"/>
      <c r="H481" s="222"/>
      <c r="I481" s="223"/>
    </row>
    <row r="482" spans="1:9" s="30" customFormat="1">
      <c r="A482" s="244" t="s">
        <v>106</v>
      </c>
      <c r="B482" s="233" t="s">
        <v>69</v>
      </c>
      <c r="C482" s="234" t="s">
        <v>71</v>
      </c>
      <c r="D482" s="234" t="s">
        <v>66</v>
      </c>
      <c r="E482" s="234" t="s">
        <v>348</v>
      </c>
      <c r="F482" s="234" t="s">
        <v>121</v>
      </c>
      <c r="G482" s="235"/>
      <c r="H482" s="222"/>
      <c r="I482" s="223"/>
    </row>
    <row r="483" spans="1:9" s="83" customFormat="1">
      <c r="A483" s="236" t="s">
        <v>932</v>
      </c>
      <c r="B483" s="233" t="s">
        <v>69</v>
      </c>
      <c r="C483" s="234" t="s">
        <v>71</v>
      </c>
      <c r="D483" s="234" t="s">
        <v>66</v>
      </c>
      <c r="E483" s="234" t="s">
        <v>348</v>
      </c>
      <c r="F483" s="234" t="s">
        <v>1056</v>
      </c>
      <c r="G483" s="235"/>
      <c r="H483" s="222"/>
      <c r="I483" s="223"/>
    </row>
    <row r="484" spans="1:9" s="83" customFormat="1" ht="25.5">
      <c r="A484" s="236" t="s">
        <v>935</v>
      </c>
      <c r="B484" s="233" t="s">
        <v>69</v>
      </c>
      <c r="C484" s="234" t="s">
        <v>71</v>
      </c>
      <c r="D484" s="234" t="s">
        <v>66</v>
      </c>
      <c r="E484" s="234" t="s">
        <v>348</v>
      </c>
      <c r="F484" s="234" t="s">
        <v>1057</v>
      </c>
      <c r="G484" s="235"/>
      <c r="H484" s="222"/>
      <c r="I484" s="223"/>
    </row>
    <row r="485" spans="1:9" s="30" customFormat="1" ht="25.5">
      <c r="A485" s="232" t="s">
        <v>108</v>
      </c>
      <c r="B485" s="233" t="s">
        <v>69</v>
      </c>
      <c r="C485" s="234" t="s">
        <v>71</v>
      </c>
      <c r="D485" s="234" t="s">
        <v>66</v>
      </c>
      <c r="E485" s="234" t="s">
        <v>348</v>
      </c>
      <c r="F485" s="234" t="s">
        <v>116</v>
      </c>
      <c r="G485" s="235"/>
      <c r="H485" s="222"/>
      <c r="I485" s="223"/>
    </row>
    <row r="486" spans="1:9" s="83" customFormat="1" ht="25.5">
      <c r="A486" s="236" t="s">
        <v>973</v>
      </c>
      <c r="B486" s="233" t="s">
        <v>69</v>
      </c>
      <c r="C486" s="234" t="s">
        <v>71</v>
      </c>
      <c r="D486" s="234" t="s">
        <v>66</v>
      </c>
      <c r="E486" s="234" t="s">
        <v>348</v>
      </c>
      <c r="F486" s="234" t="s">
        <v>1043</v>
      </c>
      <c r="G486" s="235"/>
      <c r="H486" s="222"/>
      <c r="I486" s="223"/>
    </row>
    <row r="487" spans="1:9" s="30" customFormat="1">
      <c r="A487" s="244" t="s">
        <v>92</v>
      </c>
      <c r="B487" s="233" t="s">
        <v>69</v>
      </c>
      <c r="C487" s="234" t="s">
        <v>71</v>
      </c>
      <c r="D487" s="234" t="s">
        <v>66</v>
      </c>
      <c r="E487" s="234" t="s">
        <v>348</v>
      </c>
      <c r="F487" s="234" t="s">
        <v>138</v>
      </c>
      <c r="G487" s="235"/>
      <c r="H487" s="222"/>
      <c r="I487" s="223"/>
    </row>
    <row r="488" spans="1:9" s="83" customFormat="1" ht="38.25">
      <c r="A488" s="236" t="s">
        <v>1015</v>
      </c>
      <c r="B488" s="233" t="s">
        <v>69</v>
      </c>
      <c r="C488" s="234" t="s">
        <v>71</v>
      </c>
      <c r="D488" s="234" t="s">
        <v>66</v>
      </c>
      <c r="E488" s="234" t="s">
        <v>348</v>
      </c>
      <c r="F488" s="234" t="s">
        <v>67</v>
      </c>
      <c r="G488" s="235"/>
      <c r="H488" s="222"/>
      <c r="I488" s="223"/>
    </row>
    <row r="489" spans="1:9" s="83" customFormat="1">
      <c r="A489" s="236" t="s">
        <v>1016</v>
      </c>
      <c r="B489" s="233" t="s">
        <v>69</v>
      </c>
      <c r="C489" s="234" t="s">
        <v>71</v>
      </c>
      <c r="D489" s="234" t="s">
        <v>66</v>
      </c>
      <c r="E489" s="234" t="s">
        <v>348</v>
      </c>
      <c r="F489" s="234" t="s">
        <v>1046</v>
      </c>
      <c r="G489" s="235"/>
      <c r="H489" s="222"/>
      <c r="I489" s="223"/>
    </row>
    <row r="490" spans="1:9" s="30" customFormat="1">
      <c r="A490" s="244" t="s">
        <v>93</v>
      </c>
      <c r="B490" s="233" t="s">
        <v>69</v>
      </c>
      <c r="C490" s="234" t="s">
        <v>71</v>
      </c>
      <c r="D490" s="234" t="s">
        <v>66</v>
      </c>
      <c r="E490" s="234" t="s">
        <v>348</v>
      </c>
      <c r="F490" s="234" t="s">
        <v>20</v>
      </c>
      <c r="G490" s="235"/>
      <c r="H490" s="222"/>
      <c r="I490" s="223"/>
    </row>
    <row r="491" spans="1:9" s="83" customFormat="1" ht="38.25">
      <c r="A491" s="236" t="s">
        <v>1018</v>
      </c>
      <c r="B491" s="233" t="s">
        <v>69</v>
      </c>
      <c r="C491" s="234" t="s">
        <v>71</v>
      </c>
      <c r="D491" s="234" t="s">
        <v>66</v>
      </c>
      <c r="E491" s="234" t="s">
        <v>348</v>
      </c>
      <c r="F491" s="234" t="s">
        <v>16</v>
      </c>
      <c r="G491" s="235"/>
      <c r="H491" s="222"/>
      <c r="I491" s="223"/>
    </row>
    <row r="492" spans="1:9" s="30" customFormat="1" ht="89.25">
      <c r="A492" s="236" t="s">
        <v>349</v>
      </c>
      <c r="B492" s="233" t="s">
        <v>69</v>
      </c>
      <c r="C492" s="234" t="s">
        <v>71</v>
      </c>
      <c r="D492" s="234" t="s">
        <v>66</v>
      </c>
      <c r="E492" s="234" t="s">
        <v>350</v>
      </c>
      <c r="F492" s="234" t="s">
        <v>58</v>
      </c>
      <c r="G492" s="235"/>
      <c r="H492" s="222"/>
      <c r="I492" s="223"/>
    </row>
    <row r="493" spans="1:9" s="30" customFormat="1">
      <c r="A493" s="236" t="s">
        <v>106</v>
      </c>
      <c r="B493" s="233" t="s">
        <v>69</v>
      </c>
      <c r="C493" s="234" t="s">
        <v>71</v>
      </c>
      <c r="D493" s="234" t="s">
        <v>66</v>
      </c>
      <c r="E493" s="234" t="s">
        <v>350</v>
      </c>
      <c r="F493" s="234" t="s">
        <v>121</v>
      </c>
      <c r="G493" s="235"/>
      <c r="H493" s="222"/>
      <c r="I493" s="223"/>
    </row>
    <row r="494" spans="1:9" s="83" customFormat="1">
      <c r="A494" s="236" t="s">
        <v>932</v>
      </c>
      <c r="B494" s="233" t="s">
        <v>69</v>
      </c>
      <c r="C494" s="234" t="s">
        <v>71</v>
      </c>
      <c r="D494" s="234" t="s">
        <v>66</v>
      </c>
      <c r="E494" s="234" t="s">
        <v>350</v>
      </c>
      <c r="F494" s="234" t="s">
        <v>1056</v>
      </c>
      <c r="G494" s="235"/>
      <c r="H494" s="222"/>
      <c r="I494" s="223"/>
    </row>
    <row r="495" spans="1:9" s="83" customFormat="1" ht="25.5">
      <c r="A495" s="236" t="s">
        <v>935</v>
      </c>
      <c r="B495" s="233" t="s">
        <v>69</v>
      </c>
      <c r="C495" s="234" t="s">
        <v>71</v>
      </c>
      <c r="D495" s="234" t="s">
        <v>66</v>
      </c>
      <c r="E495" s="234" t="s">
        <v>350</v>
      </c>
      <c r="F495" s="234" t="s">
        <v>1057</v>
      </c>
      <c r="G495" s="235"/>
      <c r="H495" s="222"/>
      <c r="I495" s="223"/>
    </row>
    <row r="496" spans="1:9" s="30" customFormat="1">
      <c r="A496" s="244" t="s">
        <v>92</v>
      </c>
      <c r="B496" s="233" t="s">
        <v>69</v>
      </c>
      <c r="C496" s="234" t="s">
        <v>71</v>
      </c>
      <c r="D496" s="234" t="s">
        <v>66</v>
      </c>
      <c r="E496" s="234" t="s">
        <v>350</v>
      </c>
      <c r="F496" s="234" t="s">
        <v>138</v>
      </c>
      <c r="G496" s="235"/>
      <c r="H496" s="222"/>
      <c r="I496" s="223"/>
    </row>
    <row r="497" spans="1:9" s="83" customFormat="1" ht="38.25">
      <c r="A497" s="236" t="s">
        <v>1015</v>
      </c>
      <c r="B497" s="233" t="s">
        <v>69</v>
      </c>
      <c r="C497" s="234" t="s">
        <v>71</v>
      </c>
      <c r="D497" s="234" t="s">
        <v>66</v>
      </c>
      <c r="E497" s="234" t="s">
        <v>350</v>
      </c>
      <c r="F497" s="234" t="s">
        <v>67</v>
      </c>
      <c r="G497" s="235"/>
      <c r="H497" s="222"/>
      <c r="I497" s="223"/>
    </row>
    <row r="498" spans="1:9" s="30" customFormat="1">
      <c r="A498" s="244" t="s">
        <v>93</v>
      </c>
      <c r="B498" s="233" t="s">
        <v>69</v>
      </c>
      <c r="C498" s="234" t="s">
        <v>71</v>
      </c>
      <c r="D498" s="234" t="s">
        <v>66</v>
      </c>
      <c r="E498" s="234" t="s">
        <v>350</v>
      </c>
      <c r="F498" s="234" t="s">
        <v>20</v>
      </c>
      <c r="G498" s="235"/>
      <c r="H498" s="222"/>
      <c r="I498" s="223"/>
    </row>
    <row r="499" spans="1:9" s="83" customFormat="1" ht="38.25">
      <c r="A499" s="236" t="s">
        <v>1018</v>
      </c>
      <c r="B499" s="233" t="s">
        <v>69</v>
      </c>
      <c r="C499" s="234" t="s">
        <v>71</v>
      </c>
      <c r="D499" s="234" t="s">
        <v>66</v>
      </c>
      <c r="E499" s="234" t="s">
        <v>350</v>
      </c>
      <c r="F499" s="234" t="s">
        <v>16</v>
      </c>
      <c r="G499" s="235"/>
      <c r="H499" s="222"/>
      <c r="I499" s="223"/>
    </row>
    <row r="500" spans="1:9" s="30" customFormat="1" ht="25.5">
      <c r="A500" s="232" t="s">
        <v>111</v>
      </c>
      <c r="B500" s="233" t="s">
        <v>69</v>
      </c>
      <c r="C500" s="234" t="s">
        <v>71</v>
      </c>
      <c r="D500" s="234" t="s">
        <v>66</v>
      </c>
      <c r="E500" s="234" t="s">
        <v>350</v>
      </c>
      <c r="F500" s="234" t="s">
        <v>104</v>
      </c>
      <c r="G500" s="235"/>
      <c r="H500" s="222"/>
      <c r="I500" s="223"/>
    </row>
    <row r="501" spans="1:9" s="83" customFormat="1" ht="63.75">
      <c r="A501" s="236" t="s">
        <v>1048</v>
      </c>
      <c r="B501" s="233" t="s">
        <v>69</v>
      </c>
      <c r="C501" s="234" t="s">
        <v>71</v>
      </c>
      <c r="D501" s="234" t="s">
        <v>66</v>
      </c>
      <c r="E501" s="234" t="s">
        <v>350</v>
      </c>
      <c r="F501" s="234" t="s">
        <v>1055</v>
      </c>
      <c r="G501" s="235"/>
      <c r="H501" s="222"/>
      <c r="I501" s="223"/>
    </row>
    <row r="502" spans="1:9" s="30" customFormat="1" ht="38.25">
      <c r="A502" s="232" t="s">
        <v>629</v>
      </c>
      <c r="B502" s="233" t="s">
        <v>69</v>
      </c>
      <c r="C502" s="234" t="s">
        <v>71</v>
      </c>
      <c r="D502" s="234" t="s">
        <v>66</v>
      </c>
      <c r="E502" s="234" t="s">
        <v>337</v>
      </c>
      <c r="F502" s="234" t="s">
        <v>58</v>
      </c>
      <c r="G502" s="235"/>
      <c r="H502" s="222"/>
      <c r="I502" s="223"/>
    </row>
    <row r="503" spans="1:9" s="30" customFormat="1">
      <c r="A503" s="244" t="s">
        <v>247</v>
      </c>
      <c r="B503" s="233" t="s">
        <v>69</v>
      </c>
      <c r="C503" s="234" t="s">
        <v>71</v>
      </c>
      <c r="D503" s="234" t="s">
        <v>66</v>
      </c>
      <c r="E503" s="234" t="s">
        <v>338</v>
      </c>
      <c r="F503" s="234" t="s">
        <v>58</v>
      </c>
      <c r="G503" s="235"/>
      <c r="H503" s="222"/>
      <c r="I503" s="223"/>
    </row>
    <row r="504" spans="1:9" s="30" customFormat="1">
      <c r="A504" s="244" t="s">
        <v>92</v>
      </c>
      <c r="B504" s="233" t="s">
        <v>69</v>
      </c>
      <c r="C504" s="234" t="s">
        <v>71</v>
      </c>
      <c r="D504" s="234" t="s">
        <v>66</v>
      </c>
      <c r="E504" s="234" t="s">
        <v>338</v>
      </c>
      <c r="F504" s="234" t="s">
        <v>138</v>
      </c>
      <c r="G504" s="235"/>
      <c r="H504" s="222"/>
      <c r="I504" s="223"/>
    </row>
    <row r="505" spans="1:9" s="83" customFormat="1">
      <c r="A505" s="236" t="s">
        <v>1016</v>
      </c>
      <c r="B505" s="233" t="s">
        <v>69</v>
      </c>
      <c r="C505" s="234" t="s">
        <v>71</v>
      </c>
      <c r="D505" s="234" t="s">
        <v>66</v>
      </c>
      <c r="E505" s="234" t="s">
        <v>338</v>
      </c>
      <c r="F505" s="234" t="s">
        <v>1046</v>
      </c>
      <c r="G505" s="235"/>
      <c r="H505" s="222"/>
      <c r="I505" s="223"/>
    </row>
    <row r="506" spans="1:9" s="30" customFormat="1" ht="25.5">
      <c r="A506" s="244" t="s">
        <v>724</v>
      </c>
      <c r="B506" s="233" t="s">
        <v>69</v>
      </c>
      <c r="C506" s="234" t="s">
        <v>71</v>
      </c>
      <c r="D506" s="234" t="s">
        <v>66</v>
      </c>
      <c r="E506" s="234" t="s">
        <v>562</v>
      </c>
      <c r="F506" s="234" t="s">
        <v>58</v>
      </c>
      <c r="G506" s="235"/>
      <c r="H506" s="222"/>
      <c r="I506" s="223"/>
    </row>
    <row r="507" spans="1:9" s="30" customFormat="1" ht="38.25">
      <c r="A507" s="244" t="s">
        <v>642</v>
      </c>
      <c r="B507" s="233" t="s">
        <v>69</v>
      </c>
      <c r="C507" s="234" t="s">
        <v>71</v>
      </c>
      <c r="D507" s="234" t="s">
        <v>66</v>
      </c>
      <c r="E507" s="234" t="s">
        <v>563</v>
      </c>
      <c r="F507" s="234" t="s">
        <v>58</v>
      </c>
      <c r="G507" s="235"/>
      <c r="H507" s="222"/>
      <c r="I507" s="223"/>
    </row>
    <row r="508" spans="1:9" s="30" customFormat="1" ht="25.5">
      <c r="A508" s="244" t="s">
        <v>154</v>
      </c>
      <c r="B508" s="233" t="s">
        <v>69</v>
      </c>
      <c r="C508" s="234" t="s">
        <v>71</v>
      </c>
      <c r="D508" s="234" t="s">
        <v>66</v>
      </c>
      <c r="E508" s="234" t="s">
        <v>564</v>
      </c>
      <c r="F508" s="234" t="s">
        <v>58</v>
      </c>
      <c r="G508" s="235"/>
      <c r="H508" s="222"/>
      <c r="I508" s="223"/>
    </row>
    <row r="509" spans="1:9" s="30" customFormat="1" ht="76.5">
      <c r="A509" s="244" t="s">
        <v>868</v>
      </c>
      <c r="B509" s="233" t="s">
        <v>69</v>
      </c>
      <c r="C509" s="234" t="s">
        <v>71</v>
      </c>
      <c r="D509" s="234" t="s">
        <v>66</v>
      </c>
      <c r="E509" s="234" t="s">
        <v>564</v>
      </c>
      <c r="F509" s="234" t="s">
        <v>848</v>
      </c>
      <c r="G509" s="235"/>
      <c r="H509" s="222"/>
      <c r="I509" s="223"/>
    </row>
    <row r="510" spans="1:9" s="83" customFormat="1" ht="38.25">
      <c r="A510" s="236" t="s">
        <v>999</v>
      </c>
      <c r="B510" s="233" t="s">
        <v>69</v>
      </c>
      <c r="C510" s="234" t="s">
        <v>71</v>
      </c>
      <c r="D510" s="234" t="s">
        <v>66</v>
      </c>
      <c r="E510" s="234" t="s">
        <v>564</v>
      </c>
      <c r="F510" s="234" t="s">
        <v>1058</v>
      </c>
      <c r="G510" s="235"/>
      <c r="H510" s="222"/>
      <c r="I510" s="223"/>
    </row>
    <row r="511" spans="1:9" s="30" customFormat="1" ht="25.5">
      <c r="A511" s="236" t="s">
        <v>752</v>
      </c>
      <c r="B511" s="233" t="s">
        <v>69</v>
      </c>
      <c r="C511" s="234" t="s">
        <v>71</v>
      </c>
      <c r="D511" s="234" t="s">
        <v>66</v>
      </c>
      <c r="E511" s="234" t="s">
        <v>249</v>
      </c>
      <c r="F511" s="234" t="s">
        <v>58</v>
      </c>
      <c r="G511" s="235"/>
      <c r="H511" s="222"/>
      <c r="I511" s="223"/>
    </row>
    <row r="512" spans="1:9" s="30" customFormat="1">
      <c r="A512" s="236" t="s">
        <v>754</v>
      </c>
      <c r="B512" s="233" t="s">
        <v>69</v>
      </c>
      <c r="C512" s="234" t="s">
        <v>71</v>
      </c>
      <c r="D512" s="234" t="s">
        <v>66</v>
      </c>
      <c r="E512" s="234" t="s">
        <v>251</v>
      </c>
      <c r="F512" s="234" t="s">
        <v>58</v>
      </c>
      <c r="G512" s="235"/>
      <c r="H512" s="222"/>
      <c r="I512" s="223"/>
    </row>
    <row r="513" spans="1:9" s="30" customFormat="1" ht="25.5">
      <c r="A513" s="236" t="s">
        <v>611</v>
      </c>
      <c r="B513" s="233" t="s">
        <v>69</v>
      </c>
      <c r="C513" s="234" t="s">
        <v>71</v>
      </c>
      <c r="D513" s="234" t="s">
        <v>66</v>
      </c>
      <c r="E513" s="234" t="s">
        <v>252</v>
      </c>
      <c r="F513" s="234" t="s">
        <v>58</v>
      </c>
      <c r="G513" s="235"/>
      <c r="H513" s="222"/>
      <c r="I513" s="223"/>
    </row>
    <row r="514" spans="1:9" s="30" customFormat="1" ht="38.25">
      <c r="A514" s="237" t="s">
        <v>873</v>
      </c>
      <c r="B514" s="233" t="s">
        <v>69</v>
      </c>
      <c r="C514" s="234" t="s">
        <v>71</v>
      </c>
      <c r="D514" s="234" t="s">
        <v>66</v>
      </c>
      <c r="E514" s="234" t="s">
        <v>253</v>
      </c>
      <c r="F514" s="234" t="s">
        <v>58</v>
      </c>
      <c r="G514" s="235"/>
      <c r="H514" s="222"/>
      <c r="I514" s="223"/>
    </row>
    <row r="515" spans="1:9" s="30" customFormat="1">
      <c r="A515" s="244" t="s">
        <v>92</v>
      </c>
      <c r="B515" s="233" t="s">
        <v>69</v>
      </c>
      <c r="C515" s="234" t="s">
        <v>71</v>
      </c>
      <c r="D515" s="234" t="s">
        <v>66</v>
      </c>
      <c r="E515" s="234" t="s">
        <v>253</v>
      </c>
      <c r="F515" s="234" t="s">
        <v>138</v>
      </c>
      <c r="G515" s="235"/>
      <c r="H515" s="222"/>
      <c r="I515" s="223"/>
    </row>
    <row r="516" spans="1:9" s="83" customFormat="1">
      <c r="A516" s="236" t="s">
        <v>1016</v>
      </c>
      <c r="B516" s="233" t="s">
        <v>69</v>
      </c>
      <c r="C516" s="234" t="s">
        <v>71</v>
      </c>
      <c r="D516" s="234" t="s">
        <v>66</v>
      </c>
      <c r="E516" s="234" t="s">
        <v>253</v>
      </c>
      <c r="F516" s="234" t="s">
        <v>1046</v>
      </c>
      <c r="G516" s="235"/>
      <c r="H516" s="222"/>
      <c r="I516" s="223"/>
    </row>
    <row r="517" spans="1:9" s="30" customFormat="1">
      <c r="A517" s="232" t="s">
        <v>755</v>
      </c>
      <c r="B517" s="233" t="s">
        <v>69</v>
      </c>
      <c r="C517" s="234" t="s">
        <v>71</v>
      </c>
      <c r="D517" s="234" t="s">
        <v>66</v>
      </c>
      <c r="E517" s="234" t="s">
        <v>256</v>
      </c>
      <c r="F517" s="234" t="s">
        <v>58</v>
      </c>
      <c r="G517" s="235"/>
      <c r="H517" s="222"/>
      <c r="I517" s="223"/>
    </row>
    <row r="518" spans="1:9" s="30" customFormat="1">
      <c r="A518" s="232" t="s">
        <v>616</v>
      </c>
      <c r="B518" s="233" t="s">
        <v>69</v>
      </c>
      <c r="C518" s="234" t="s">
        <v>71</v>
      </c>
      <c r="D518" s="234" t="s">
        <v>66</v>
      </c>
      <c r="E518" s="234" t="s">
        <v>321</v>
      </c>
      <c r="F518" s="234" t="s">
        <v>58</v>
      </c>
      <c r="G518" s="235"/>
      <c r="H518" s="222"/>
      <c r="I518" s="223"/>
    </row>
    <row r="519" spans="1:9" s="30" customFormat="1" ht="25.5">
      <c r="A519" s="232" t="s">
        <v>133</v>
      </c>
      <c r="B519" s="233" t="s">
        <v>69</v>
      </c>
      <c r="C519" s="234" t="s">
        <v>71</v>
      </c>
      <c r="D519" s="234" t="s">
        <v>66</v>
      </c>
      <c r="E519" s="234" t="s">
        <v>322</v>
      </c>
      <c r="F519" s="234" t="s">
        <v>58</v>
      </c>
      <c r="G519" s="235"/>
      <c r="H519" s="222"/>
      <c r="I519" s="223"/>
    </row>
    <row r="520" spans="1:9" s="30" customFormat="1">
      <c r="A520" s="244" t="s">
        <v>92</v>
      </c>
      <c r="B520" s="233" t="s">
        <v>69</v>
      </c>
      <c r="C520" s="234" t="s">
        <v>71</v>
      </c>
      <c r="D520" s="234" t="s">
        <v>66</v>
      </c>
      <c r="E520" s="234" t="s">
        <v>322</v>
      </c>
      <c r="F520" s="234" t="s">
        <v>138</v>
      </c>
      <c r="G520" s="235"/>
      <c r="H520" s="222"/>
      <c r="I520" s="223"/>
    </row>
    <row r="521" spans="1:9" s="83" customFormat="1">
      <c r="A521" s="236" t="s">
        <v>1016</v>
      </c>
      <c r="B521" s="233" t="s">
        <v>69</v>
      </c>
      <c r="C521" s="234" t="s">
        <v>71</v>
      </c>
      <c r="D521" s="234" t="s">
        <v>66</v>
      </c>
      <c r="E521" s="234" t="s">
        <v>322</v>
      </c>
      <c r="F521" s="234" t="s">
        <v>1046</v>
      </c>
      <c r="G521" s="235"/>
      <c r="H521" s="222"/>
      <c r="I521" s="223"/>
    </row>
    <row r="522" spans="1:9" s="30" customFormat="1" ht="51">
      <c r="A522" s="232" t="s">
        <v>756</v>
      </c>
      <c r="B522" s="233" t="s">
        <v>69</v>
      </c>
      <c r="C522" s="234" t="s">
        <v>71</v>
      </c>
      <c r="D522" s="234" t="s">
        <v>66</v>
      </c>
      <c r="E522" s="234" t="s">
        <v>339</v>
      </c>
      <c r="F522" s="234" t="s">
        <v>58</v>
      </c>
      <c r="G522" s="235"/>
      <c r="H522" s="222"/>
      <c r="I522" s="223"/>
    </row>
    <row r="523" spans="1:9" s="30" customFormat="1" ht="25.5">
      <c r="A523" s="232" t="s">
        <v>136</v>
      </c>
      <c r="B523" s="233" t="s">
        <v>69</v>
      </c>
      <c r="C523" s="234" t="s">
        <v>71</v>
      </c>
      <c r="D523" s="234" t="s">
        <v>66</v>
      </c>
      <c r="E523" s="234" t="s">
        <v>340</v>
      </c>
      <c r="F523" s="234" t="s">
        <v>58</v>
      </c>
      <c r="G523" s="235"/>
      <c r="H523" s="222"/>
      <c r="I523" s="223"/>
    </row>
    <row r="524" spans="1:9" s="30" customFormat="1" ht="25.5">
      <c r="A524" s="232" t="s">
        <v>667</v>
      </c>
      <c r="B524" s="233" t="s">
        <v>69</v>
      </c>
      <c r="C524" s="234" t="s">
        <v>71</v>
      </c>
      <c r="D524" s="234" t="s">
        <v>66</v>
      </c>
      <c r="E524" s="234" t="s">
        <v>609</v>
      </c>
      <c r="F524" s="234" t="s">
        <v>58</v>
      </c>
      <c r="G524" s="235"/>
      <c r="H524" s="222"/>
      <c r="I524" s="223"/>
    </row>
    <row r="525" spans="1:9" s="30" customFormat="1" ht="25.5">
      <c r="A525" s="232" t="s">
        <v>177</v>
      </c>
      <c r="B525" s="233" t="s">
        <v>69</v>
      </c>
      <c r="C525" s="234" t="s">
        <v>71</v>
      </c>
      <c r="D525" s="234" t="s">
        <v>66</v>
      </c>
      <c r="E525" s="234" t="s">
        <v>610</v>
      </c>
      <c r="F525" s="234" t="s">
        <v>58</v>
      </c>
      <c r="G525" s="235"/>
      <c r="H525" s="222"/>
      <c r="I525" s="223"/>
    </row>
    <row r="526" spans="1:9" s="30" customFormat="1">
      <c r="A526" s="244" t="s">
        <v>92</v>
      </c>
      <c r="B526" s="233" t="s">
        <v>69</v>
      </c>
      <c r="C526" s="234" t="s">
        <v>71</v>
      </c>
      <c r="D526" s="234" t="s">
        <v>66</v>
      </c>
      <c r="E526" s="234" t="s">
        <v>610</v>
      </c>
      <c r="F526" s="234" t="s">
        <v>138</v>
      </c>
      <c r="G526" s="235"/>
      <c r="H526" s="222"/>
      <c r="I526" s="223"/>
    </row>
    <row r="527" spans="1:9" s="83" customFormat="1">
      <c r="A527" s="236" t="s">
        <v>1016</v>
      </c>
      <c r="B527" s="233" t="s">
        <v>69</v>
      </c>
      <c r="C527" s="234" t="s">
        <v>71</v>
      </c>
      <c r="D527" s="234" t="s">
        <v>66</v>
      </c>
      <c r="E527" s="234" t="s">
        <v>610</v>
      </c>
      <c r="F527" s="234" t="s">
        <v>1046</v>
      </c>
      <c r="G527" s="235"/>
      <c r="H527" s="222"/>
      <c r="I527" s="223"/>
    </row>
    <row r="528" spans="1:9" s="30" customFormat="1">
      <c r="A528" s="244" t="s">
        <v>93</v>
      </c>
      <c r="B528" s="233" t="s">
        <v>69</v>
      </c>
      <c r="C528" s="234" t="s">
        <v>71</v>
      </c>
      <c r="D528" s="234" t="s">
        <v>66</v>
      </c>
      <c r="E528" s="234" t="s">
        <v>610</v>
      </c>
      <c r="F528" s="234" t="s">
        <v>20</v>
      </c>
      <c r="G528" s="235"/>
      <c r="H528" s="222"/>
      <c r="I528" s="223"/>
    </row>
    <row r="529" spans="1:9" s="83" customFormat="1">
      <c r="A529" s="236" t="s">
        <v>1019</v>
      </c>
      <c r="B529" s="233" t="s">
        <v>69</v>
      </c>
      <c r="C529" s="234" t="s">
        <v>71</v>
      </c>
      <c r="D529" s="234" t="s">
        <v>66</v>
      </c>
      <c r="E529" s="234" t="s">
        <v>610</v>
      </c>
      <c r="F529" s="234" t="s">
        <v>1054</v>
      </c>
      <c r="G529" s="235"/>
      <c r="H529" s="222"/>
      <c r="I529" s="223"/>
    </row>
    <row r="530" spans="1:9" s="30" customFormat="1">
      <c r="A530" s="244" t="s">
        <v>759</v>
      </c>
      <c r="B530" s="233" t="s">
        <v>69</v>
      </c>
      <c r="C530" s="234" t="s">
        <v>71</v>
      </c>
      <c r="D530" s="234" t="s">
        <v>66</v>
      </c>
      <c r="E530" s="234" t="s">
        <v>259</v>
      </c>
      <c r="F530" s="234" t="s">
        <v>58</v>
      </c>
      <c r="G530" s="235"/>
      <c r="H530" s="222"/>
      <c r="I530" s="223"/>
    </row>
    <row r="531" spans="1:9" s="30" customFormat="1" ht="25.5">
      <c r="A531" s="244" t="s">
        <v>760</v>
      </c>
      <c r="B531" s="233" t="s">
        <v>69</v>
      </c>
      <c r="C531" s="234" t="s">
        <v>71</v>
      </c>
      <c r="D531" s="234" t="s">
        <v>66</v>
      </c>
      <c r="E531" s="234" t="s">
        <v>260</v>
      </c>
      <c r="F531" s="234" t="s">
        <v>58</v>
      </c>
      <c r="G531" s="235"/>
      <c r="H531" s="222"/>
      <c r="I531" s="223"/>
    </row>
    <row r="532" spans="1:9" s="30" customFormat="1" ht="51">
      <c r="A532" s="232" t="s">
        <v>784</v>
      </c>
      <c r="B532" s="233" t="s">
        <v>69</v>
      </c>
      <c r="C532" s="234" t="s">
        <v>71</v>
      </c>
      <c r="D532" s="234" t="s">
        <v>66</v>
      </c>
      <c r="E532" s="234" t="s">
        <v>785</v>
      </c>
      <c r="F532" s="234" t="s">
        <v>58</v>
      </c>
      <c r="G532" s="235"/>
      <c r="H532" s="222"/>
      <c r="I532" s="223"/>
    </row>
    <row r="533" spans="1:9" s="30" customFormat="1" ht="25.5">
      <c r="A533" s="232" t="s">
        <v>786</v>
      </c>
      <c r="B533" s="233" t="s">
        <v>69</v>
      </c>
      <c r="C533" s="234" t="s">
        <v>71</v>
      </c>
      <c r="D533" s="234" t="s">
        <v>66</v>
      </c>
      <c r="E533" s="234" t="s">
        <v>787</v>
      </c>
      <c r="F533" s="234" t="s">
        <v>58</v>
      </c>
      <c r="G533" s="235"/>
      <c r="H533" s="222"/>
      <c r="I533" s="223"/>
    </row>
    <row r="534" spans="1:9" s="30" customFormat="1">
      <c r="A534" s="244" t="s">
        <v>92</v>
      </c>
      <c r="B534" s="233" t="s">
        <v>69</v>
      </c>
      <c r="C534" s="234" t="s">
        <v>71</v>
      </c>
      <c r="D534" s="234" t="s">
        <v>66</v>
      </c>
      <c r="E534" s="234" t="s">
        <v>787</v>
      </c>
      <c r="F534" s="234" t="s">
        <v>138</v>
      </c>
      <c r="G534" s="235"/>
      <c r="H534" s="222"/>
      <c r="I534" s="223"/>
    </row>
    <row r="535" spans="1:9" s="83" customFormat="1">
      <c r="A535" s="236" t="s">
        <v>1016</v>
      </c>
      <c r="B535" s="233" t="s">
        <v>69</v>
      </c>
      <c r="C535" s="234" t="s">
        <v>71</v>
      </c>
      <c r="D535" s="234" t="s">
        <v>66</v>
      </c>
      <c r="E535" s="234" t="s">
        <v>787</v>
      </c>
      <c r="F535" s="234" t="s">
        <v>1046</v>
      </c>
      <c r="G535" s="235"/>
      <c r="H535" s="222"/>
      <c r="I535" s="223"/>
    </row>
    <row r="536" spans="1:9" s="30" customFormat="1">
      <c r="A536" s="228" t="s">
        <v>779</v>
      </c>
      <c r="B536" s="229" t="s">
        <v>69</v>
      </c>
      <c r="C536" s="230" t="s">
        <v>71</v>
      </c>
      <c r="D536" s="230" t="s">
        <v>53</v>
      </c>
      <c r="E536" s="230" t="s">
        <v>196</v>
      </c>
      <c r="F536" s="230" t="s">
        <v>58</v>
      </c>
      <c r="G536" s="231"/>
      <c r="H536" s="222"/>
      <c r="I536" s="223"/>
    </row>
    <row r="537" spans="1:9" s="30" customFormat="1">
      <c r="A537" s="244" t="s">
        <v>723</v>
      </c>
      <c r="B537" s="233" t="s">
        <v>69</v>
      </c>
      <c r="C537" s="234" t="s">
        <v>71</v>
      </c>
      <c r="D537" s="234" t="s">
        <v>53</v>
      </c>
      <c r="E537" s="234" t="s">
        <v>331</v>
      </c>
      <c r="F537" s="234" t="s">
        <v>58</v>
      </c>
      <c r="G537" s="235"/>
      <c r="H537" s="222"/>
      <c r="I537" s="223"/>
    </row>
    <row r="538" spans="1:9" s="30" customFormat="1" ht="25.5">
      <c r="A538" s="244" t="s">
        <v>860</v>
      </c>
      <c r="B538" s="233" t="s">
        <v>69</v>
      </c>
      <c r="C538" s="234" t="s">
        <v>71</v>
      </c>
      <c r="D538" s="234" t="s">
        <v>53</v>
      </c>
      <c r="E538" s="234" t="s">
        <v>332</v>
      </c>
      <c r="F538" s="234" t="s">
        <v>58</v>
      </c>
      <c r="G538" s="235"/>
      <c r="H538" s="222"/>
      <c r="I538" s="223"/>
    </row>
    <row r="539" spans="1:9" s="30" customFormat="1" ht="25.5">
      <c r="A539" s="237" t="s">
        <v>630</v>
      </c>
      <c r="B539" s="241" t="s">
        <v>69</v>
      </c>
      <c r="C539" s="242" t="s">
        <v>71</v>
      </c>
      <c r="D539" s="242" t="s">
        <v>53</v>
      </c>
      <c r="E539" s="242" t="s">
        <v>351</v>
      </c>
      <c r="F539" s="242" t="s">
        <v>58</v>
      </c>
      <c r="G539" s="243"/>
      <c r="H539" s="222"/>
      <c r="I539" s="223"/>
    </row>
    <row r="540" spans="1:9" s="30" customFormat="1">
      <c r="A540" s="252" t="s">
        <v>247</v>
      </c>
      <c r="B540" s="241" t="s">
        <v>69</v>
      </c>
      <c r="C540" s="242" t="s">
        <v>71</v>
      </c>
      <c r="D540" s="242" t="s">
        <v>53</v>
      </c>
      <c r="E540" s="242" t="s">
        <v>352</v>
      </c>
      <c r="F540" s="242" t="s">
        <v>58</v>
      </c>
      <c r="G540" s="243"/>
      <c r="H540" s="222"/>
      <c r="I540" s="223"/>
    </row>
    <row r="541" spans="1:9" s="30" customFormat="1">
      <c r="A541" s="252" t="s">
        <v>92</v>
      </c>
      <c r="B541" s="241" t="s">
        <v>69</v>
      </c>
      <c r="C541" s="242" t="s">
        <v>71</v>
      </c>
      <c r="D541" s="242" t="s">
        <v>53</v>
      </c>
      <c r="E541" s="242" t="s">
        <v>352</v>
      </c>
      <c r="F541" s="242" t="s">
        <v>138</v>
      </c>
      <c r="G541" s="235"/>
      <c r="H541" s="222"/>
      <c r="I541" s="223"/>
    </row>
    <row r="542" spans="1:9" s="83" customFormat="1" ht="38.25">
      <c r="A542" s="236" t="s">
        <v>1015</v>
      </c>
      <c r="B542" s="241" t="s">
        <v>69</v>
      </c>
      <c r="C542" s="242" t="s">
        <v>71</v>
      </c>
      <c r="D542" s="242" t="s">
        <v>53</v>
      </c>
      <c r="E542" s="242" t="s">
        <v>352</v>
      </c>
      <c r="F542" s="242" t="s">
        <v>67</v>
      </c>
      <c r="G542" s="235"/>
      <c r="H542" s="222"/>
      <c r="I542" s="223"/>
    </row>
    <row r="543" spans="1:9" s="30" customFormat="1">
      <c r="A543" s="252" t="s">
        <v>93</v>
      </c>
      <c r="B543" s="241" t="s">
        <v>69</v>
      </c>
      <c r="C543" s="242" t="s">
        <v>71</v>
      </c>
      <c r="D543" s="242" t="s">
        <v>53</v>
      </c>
      <c r="E543" s="242" t="s">
        <v>352</v>
      </c>
      <c r="F543" s="242" t="s">
        <v>20</v>
      </c>
      <c r="G543" s="235"/>
      <c r="H543" s="222"/>
      <c r="I543" s="223"/>
    </row>
    <row r="544" spans="1:9" s="83" customFormat="1" ht="38.25">
      <c r="A544" s="236" t="s">
        <v>1018</v>
      </c>
      <c r="B544" s="241" t="s">
        <v>69</v>
      </c>
      <c r="C544" s="242" t="s">
        <v>71</v>
      </c>
      <c r="D544" s="242" t="s">
        <v>53</v>
      </c>
      <c r="E544" s="242" t="s">
        <v>352</v>
      </c>
      <c r="F544" s="242" t="s">
        <v>16</v>
      </c>
      <c r="G544" s="235"/>
      <c r="H544" s="222"/>
      <c r="I544" s="223"/>
    </row>
    <row r="545" spans="1:9" s="30" customFormat="1" ht="51">
      <c r="A545" s="232" t="s">
        <v>756</v>
      </c>
      <c r="B545" s="233" t="s">
        <v>69</v>
      </c>
      <c r="C545" s="242" t="s">
        <v>71</v>
      </c>
      <c r="D545" s="242" t="s">
        <v>53</v>
      </c>
      <c r="E545" s="234" t="s">
        <v>339</v>
      </c>
      <c r="F545" s="234" t="s">
        <v>58</v>
      </c>
      <c r="G545" s="235"/>
      <c r="H545" s="222"/>
      <c r="I545" s="223"/>
    </row>
    <row r="546" spans="1:9" s="30" customFormat="1" ht="25.5">
      <c r="A546" s="232" t="s">
        <v>136</v>
      </c>
      <c r="B546" s="233" t="s">
        <v>69</v>
      </c>
      <c r="C546" s="242" t="s">
        <v>71</v>
      </c>
      <c r="D546" s="242" t="s">
        <v>53</v>
      </c>
      <c r="E546" s="234" t="s">
        <v>340</v>
      </c>
      <c r="F546" s="234" t="s">
        <v>58</v>
      </c>
      <c r="G546" s="235"/>
      <c r="H546" s="222"/>
      <c r="I546" s="223"/>
    </row>
    <row r="547" spans="1:9" s="30" customFormat="1" ht="25.5">
      <c r="A547" s="232" t="s">
        <v>667</v>
      </c>
      <c r="B547" s="233" t="s">
        <v>69</v>
      </c>
      <c r="C547" s="242" t="s">
        <v>71</v>
      </c>
      <c r="D547" s="242" t="s">
        <v>53</v>
      </c>
      <c r="E547" s="234" t="s">
        <v>609</v>
      </c>
      <c r="F547" s="234" t="s">
        <v>58</v>
      </c>
      <c r="G547" s="235"/>
      <c r="H547" s="222"/>
      <c r="I547" s="223"/>
    </row>
    <row r="548" spans="1:9" s="30" customFormat="1" ht="25.5">
      <c r="A548" s="232" t="s">
        <v>177</v>
      </c>
      <c r="B548" s="233" t="s">
        <v>69</v>
      </c>
      <c r="C548" s="242" t="s">
        <v>71</v>
      </c>
      <c r="D548" s="242" t="s">
        <v>53</v>
      </c>
      <c r="E548" s="234" t="s">
        <v>610</v>
      </c>
      <c r="F548" s="234" t="s">
        <v>58</v>
      </c>
      <c r="G548" s="235"/>
      <c r="H548" s="222"/>
      <c r="I548" s="223"/>
    </row>
    <row r="549" spans="1:9" s="30" customFormat="1">
      <c r="A549" s="252" t="s">
        <v>92</v>
      </c>
      <c r="B549" s="233" t="s">
        <v>69</v>
      </c>
      <c r="C549" s="242" t="s">
        <v>71</v>
      </c>
      <c r="D549" s="242" t="s">
        <v>53</v>
      </c>
      <c r="E549" s="234" t="s">
        <v>610</v>
      </c>
      <c r="F549" s="234" t="s">
        <v>138</v>
      </c>
      <c r="G549" s="235"/>
      <c r="H549" s="222"/>
      <c r="I549" s="223"/>
    </row>
    <row r="550" spans="1:9" s="83" customFormat="1">
      <c r="A550" s="236" t="s">
        <v>1016</v>
      </c>
      <c r="B550" s="233" t="s">
        <v>69</v>
      </c>
      <c r="C550" s="242" t="s">
        <v>71</v>
      </c>
      <c r="D550" s="242" t="s">
        <v>53</v>
      </c>
      <c r="E550" s="234" t="s">
        <v>610</v>
      </c>
      <c r="F550" s="234" t="s">
        <v>1046</v>
      </c>
      <c r="G550" s="235"/>
      <c r="H550" s="222"/>
      <c r="I550" s="223"/>
    </row>
    <row r="551" spans="1:9" s="30" customFormat="1">
      <c r="A551" s="244" t="s">
        <v>93</v>
      </c>
      <c r="B551" s="233" t="s">
        <v>69</v>
      </c>
      <c r="C551" s="242" t="s">
        <v>71</v>
      </c>
      <c r="D551" s="242" t="s">
        <v>53</v>
      </c>
      <c r="E551" s="234" t="s">
        <v>610</v>
      </c>
      <c r="F551" s="234" t="s">
        <v>20</v>
      </c>
      <c r="G551" s="235"/>
      <c r="H551" s="222"/>
      <c r="I551" s="223"/>
    </row>
    <row r="552" spans="1:9" s="83" customFormat="1">
      <c r="A552" s="236" t="s">
        <v>1019</v>
      </c>
      <c r="B552" s="233" t="s">
        <v>69</v>
      </c>
      <c r="C552" s="242" t="s">
        <v>71</v>
      </c>
      <c r="D552" s="242" t="s">
        <v>53</v>
      </c>
      <c r="E552" s="234" t="s">
        <v>610</v>
      </c>
      <c r="F552" s="234" t="s">
        <v>1054</v>
      </c>
      <c r="G552" s="235"/>
      <c r="H552" s="222"/>
      <c r="I552" s="223"/>
    </row>
    <row r="553" spans="1:9" s="30" customFormat="1">
      <c r="A553" s="228" t="s">
        <v>783</v>
      </c>
      <c r="B553" s="229" t="s">
        <v>69</v>
      </c>
      <c r="C553" s="230" t="s">
        <v>71</v>
      </c>
      <c r="D553" s="230" t="s">
        <v>71</v>
      </c>
      <c r="E553" s="230" t="s">
        <v>196</v>
      </c>
      <c r="F553" s="230" t="s">
        <v>58</v>
      </c>
      <c r="G553" s="231"/>
      <c r="H553" s="222"/>
      <c r="I553" s="223"/>
    </row>
    <row r="554" spans="1:9" s="30" customFormat="1">
      <c r="A554" s="244" t="s">
        <v>723</v>
      </c>
      <c r="B554" s="233" t="s">
        <v>69</v>
      </c>
      <c r="C554" s="234" t="s">
        <v>71</v>
      </c>
      <c r="D554" s="234" t="s">
        <v>71</v>
      </c>
      <c r="E554" s="234" t="s">
        <v>331</v>
      </c>
      <c r="F554" s="234" t="s">
        <v>58</v>
      </c>
      <c r="G554" s="235"/>
      <c r="H554" s="222"/>
      <c r="I554" s="223"/>
    </row>
    <row r="555" spans="1:9" s="30" customFormat="1" ht="25.5">
      <c r="A555" s="244" t="s">
        <v>860</v>
      </c>
      <c r="B555" s="233" t="s">
        <v>69</v>
      </c>
      <c r="C555" s="234" t="s">
        <v>71</v>
      </c>
      <c r="D555" s="234" t="s">
        <v>71</v>
      </c>
      <c r="E555" s="234" t="s">
        <v>332</v>
      </c>
      <c r="F555" s="234" t="s">
        <v>58</v>
      </c>
      <c r="G555" s="235"/>
      <c r="H555" s="222"/>
      <c r="I555" s="223"/>
    </row>
    <row r="556" spans="1:9" s="30" customFormat="1">
      <c r="A556" s="244" t="s">
        <v>631</v>
      </c>
      <c r="B556" s="233" t="s">
        <v>69</v>
      </c>
      <c r="C556" s="234" t="s">
        <v>71</v>
      </c>
      <c r="D556" s="234" t="s">
        <v>71</v>
      </c>
      <c r="E556" s="234" t="s">
        <v>353</v>
      </c>
      <c r="F556" s="234" t="s">
        <v>58</v>
      </c>
      <c r="G556" s="235"/>
      <c r="H556" s="222"/>
      <c r="I556" s="223"/>
    </row>
    <row r="557" spans="1:9" s="30" customFormat="1">
      <c r="A557" s="244" t="s">
        <v>247</v>
      </c>
      <c r="B557" s="233" t="s">
        <v>69</v>
      </c>
      <c r="C557" s="234" t="s">
        <v>71</v>
      </c>
      <c r="D557" s="234" t="s">
        <v>71</v>
      </c>
      <c r="E557" s="234" t="s">
        <v>354</v>
      </c>
      <c r="F557" s="234" t="s">
        <v>58</v>
      </c>
      <c r="G557" s="235"/>
      <c r="H557" s="222"/>
      <c r="I557" s="223"/>
    </row>
    <row r="558" spans="1:9" s="30" customFormat="1">
      <c r="A558" s="244" t="s">
        <v>93</v>
      </c>
      <c r="B558" s="233" t="s">
        <v>69</v>
      </c>
      <c r="C558" s="234" t="s">
        <v>71</v>
      </c>
      <c r="D558" s="234" t="s">
        <v>71</v>
      </c>
      <c r="E558" s="234" t="s">
        <v>354</v>
      </c>
      <c r="F558" s="234" t="s">
        <v>20</v>
      </c>
      <c r="G558" s="235"/>
      <c r="H558" s="222"/>
      <c r="I558" s="223"/>
    </row>
    <row r="559" spans="1:9" s="83" customFormat="1" ht="38.25">
      <c r="A559" s="236" t="s">
        <v>1018</v>
      </c>
      <c r="B559" s="233" t="s">
        <v>69</v>
      </c>
      <c r="C559" s="234" t="s">
        <v>71</v>
      </c>
      <c r="D559" s="234" t="s">
        <v>71</v>
      </c>
      <c r="E559" s="234" t="s">
        <v>354</v>
      </c>
      <c r="F559" s="234" t="s">
        <v>16</v>
      </c>
      <c r="G559" s="235"/>
      <c r="H559" s="222"/>
      <c r="I559" s="223"/>
    </row>
    <row r="560" spans="1:9" s="30" customFormat="1">
      <c r="A560" s="232" t="s">
        <v>355</v>
      </c>
      <c r="B560" s="233" t="s">
        <v>69</v>
      </c>
      <c r="C560" s="234" t="s">
        <v>71</v>
      </c>
      <c r="D560" s="234" t="s">
        <v>71</v>
      </c>
      <c r="E560" s="234" t="s">
        <v>356</v>
      </c>
      <c r="F560" s="234" t="s">
        <v>58</v>
      </c>
      <c r="G560" s="235"/>
      <c r="H560" s="222"/>
      <c r="I560" s="223"/>
    </row>
    <row r="561" spans="1:9" s="30" customFormat="1">
      <c r="A561" s="244" t="s">
        <v>92</v>
      </c>
      <c r="B561" s="233" t="s">
        <v>69</v>
      </c>
      <c r="C561" s="234" t="s">
        <v>71</v>
      </c>
      <c r="D561" s="234" t="s">
        <v>71</v>
      </c>
      <c r="E561" s="234" t="s">
        <v>356</v>
      </c>
      <c r="F561" s="234" t="s">
        <v>138</v>
      </c>
      <c r="G561" s="235"/>
      <c r="H561" s="222"/>
      <c r="I561" s="223"/>
    </row>
    <row r="562" spans="1:9" s="83" customFormat="1">
      <c r="A562" s="236" t="s">
        <v>1016</v>
      </c>
      <c r="B562" s="233" t="s">
        <v>69</v>
      </c>
      <c r="C562" s="234" t="s">
        <v>71</v>
      </c>
      <c r="D562" s="234" t="s">
        <v>71</v>
      </c>
      <c r="E562" s="234" t="s">
        <v>356</v>
      </c>
      <c r="F562" s="234" t="s">
        <v>1046</v>
      </c>
      <c r="G562" s="235"/>
      <c r="H562" s="222"/>
      <c r="I562" s="223"/>
    </row>
    <row r="563" spans="1:9" s="30" customFormat="1" ht="51">
      <c r="A563" s="232" t="s">
        <v>756</v>
      </c>
      <c r="B563" s="233" t="s">
        <v>69</v>
      </c>
      <c r="C563" s="234" t="s">
        <v>71</v>
      </c>
      <c r="D563" s="234" t="s">
        <v>71</v>
      </c>
      <c r="E563" s="234" t="s">
        <v>339</v>
      </c>
      <c r="F563" s="234" t="s">
        <v>58</v>
      </c>
      <c r="G563" s="235"/>
      <c r="H563" s="222"/>
      <c r="I563" s="223"/>
    </row>
    <row r="564" spans="1:9" s="30" customFormat="1" ht="25.5">
      <c r="A564" s="232" t="s">
        <v>136</v>
      </c>
      <c r="B564" s="233" t="s">
        <v>69</v>
      </c>
      <c r="C564" s="234" t="s">
        <v>71</v>
      </c>
      <c r="D564" s="234" t="s">
        <v>71</v>
      </c>
      <c r="E564" s="234" t="s">
        <v>340</v>
      </c>
      <c r="F564" s="234" t="s">
        <v>58</v>
      </c>
      <c r="G564" s="235"/>
      <c r="H564" s="222"/>
      <c r="I564" s="223"/>
    </row>
    <row r="565" spans="1:9" s="30" customFormat="1" ht="25.5">
      <c r="A565" s="232" t="s">
        <v>667</v>
      </c>
      <c r="B565" s="233" t="s">
        <v>69</v>
      </c>
      <c r="C565" s="234" t="s">
        <v>71</v>
      </c>
      <c r="D565" s="234" t="s">
        <v>71</v>
      </c>
      <c r="E565" s="234" t="s">
        <v>609</v>
      </c>
      <c r="F565" s="234" t="s">
        <v>58</v>
      </c>
      <c r="G565" s="235"/>
      <c r="H565" s="222"/>
      <c r="I565" s="223"/>
    </row>
    <row r="566" spans="1:9" s="30" customFormat="1" ht="25.5">
      <c r="A566" s="232" t="s">
        <v>177</v>
      </c>
      <c r="B566" s="233" t="s">
        <v>69</v>
      </c>
      <c r="C566" s="234" t="s">
        <v>71</v>
      </c>
      <c r="D566" s="234" t="s">
        <v>71</v>
      </c>
      <c r="E566" s="234" t="s">
        <v>610</v>
      </c>
      <c r="F566" s="234" t="s">
        <v>58</v>
      </c>
      <c r="G566" s="235"/>
      <c r="H566" s="222"/>
      <c r="I566" s="223"/>
    </row>
    <row r="567" spans="1:9" s="30" customFormat="1">
      <c r="A567" s="244" t="s">
        <v>93</v>
      </c>
      <c r="B567" s="233" t="s">
        <v>69</v>
      </c>
      <c r="C567" s="234" t="s">
        <v>71</v>
      </c>
      <c r="D567" s="234" t="s">
        <v>71</v>
      </c>
      <c r="E567" s="234" t="s">
        <v>610</v>
      </c>
      <c r="F567" s="234" t="s">
        <v>20</v>
      </c>
      <c r="G567" s="235"/>
      <c r="H567" s="222"/>
      <c r="I567" s="223"/>
    </row>
    <row r="568" spans="1:9" s="83" customFormat="1">
      <c r="A568" s="236" t="s">
        <v>1019</v>
      </c>
      <c r="B568" s="233" t="s">
        <v>69</v>
      </c>
      <c r="C568" s="234" t="s">
        <v>71</v>
      </c>
      <c r="D568" s="234" t="s">
        <v>71</v>
      </c>
      <c r="E568" s="234" t="s">
        <v>610</v>
      </c>
      <c r="F568" s="234" t="s">
        <v>1054</v>
      </c>
      <c r="G568" s="235"/>
      <c r="H568" s="222"/>
      <c r="I568" s="223"/>
    </row>
    <row r="569" spans="1:9" s="30" customFormat="1">
      <c r="A569" s="228" t="s">
        <v>24</v>
      </c>
      <c r="B569" s="229" t="s">
        <v>69</v>
      </c>
      <c r="C569" s="230" t="s">
        <v>71</v>
      </c>
      <c r="D569" s="230" t="s">
        <v>25</v>
      </c>
      <c r="E569" s="230" t="s">
        <v>196</v>
      </c>
      <c r="F569" s="230" t="s">
        <v>58</v>
      </c>
      <c r="G569" s="231"/>
      <c r="H569" s="222"/>
      <c r="I569" s="223"/>
    </row>
    <row r="570" spans="1:9" s="30" customFormat="1">
      <c r="A570" s="244" t="s">
        <v>723</v>
      </c>
      <c r="B570" s="233" t="s">
        <v>69</v>
      </c>
      <c r="C570" s="234" t="s">
        <v>71</v>
      </c>
      <c r="D570" s="234" t="s">
        <v>25</v>
      </c>
      <c r="E570" s="234" t="s">
        <v>331</v>
      </c>
      <c r="F570" s="234" t="s">
        <v>58</v>
      </c>
      <c r="G570" s="235"/>
      <c r="H570" s="222"/>
      <c r="I570" s="223"/>
    </row>
    <row r="571" spans="1:9" s="30" customFormat="1" ht="25.5">
      <c r="A571" s="244" t="s">
        <v>860</v>
      </c>
      <c r="B571" s="233" t="s">
        <v>69</v>
      </c>
      <c r="C571" s="234" t="s">
        <v>71</v>
      </c>
      <c r="D571" s="234" t="s">
        <v>25</v>
      </c>
      <c r="E571" s="234" t="s">
        <v>332</v>
      </c>
      <c r="F571" s="234" t="s">
        <v>58</v>
      </c>
      <c r="G571" s="235"/>
      <c r="H571" s="222"/>
      <c r="I571" s="223"/>
    </row>
    <row r="572" spans="1:9" s="30" customFormat="1" ht="25.5">
      <c r="A572" s="237" t="s">
        <v>630</v>
      </c>
      <c r="B572" s="241" t="s">
        <v>69</v>
      </c>
      <c r="C572" s="242" t="s">
        <v>71</v>
      </c>
      <c r="D572" s="242" t="s">
        <v>25</v>
      </c>
      <c r="E572" s="242" t="s">
        <v>351</v>
      </c>
      <c r="F572" s="242" t="s">
        <v>58</v>
      </c>
      <c r="G572" s="243"/>
      <c r="H572" s="222"/>
      <c r="I572" s="223"/>
    </row>
    <row r="573" spans="1:9" s="30" customFormat="1">
      <c r="A573" s="252" t="s">
        <v>247</v>
      </c>
      <c r="B573" s="241" t="s">
        <v>69</v>
      </c>
      <c r="C573" s="242" t="s">
        <v>71</v>
      </c>
      <c r="D573" s="242" t="s">
        <v>25</v>
      </c>
      <c r="E573" s="242" t="s">
        <v>352</v>
      </c>
      <c r="F573" s="242" t="s">
        <v>58</v>
      </c>
      <c r="G573" s="243"/>
      <c r="H573" s="222"/>
      <c r="I573" s="223"/>
    </row>
    <row r="574" spans="1:9" s="30" customFormat="1">
      <c r="A574" s="252" t="s">
        <v>92</v>
      </c>
      <c r="B574" s="241" t="s">
        <v>69</v>
      </c>
      <c r="C574" s="242" t="s">
        <v>71</v>
      </c>
      <c r="D574" s="242" t="s">
        <v>25</v>
      </c>
      <c r="E574" s="242" t="s">
        <v>352</v>
      </c>
      <c r="F574" s="242" t="s">
        <v>138</v>
      </c>
      <c r="G574" s="235"/>
      <c r="H574" s="222"/>
      <c r="I574" s="223"/>
    </row>
    <row r="575" spans="1:9" s="83" customFormat="1" ht="38.25">
      <c r="A575" s="236" t="s">
        <v>1015</v>
      </c>
      <c r="B575" s="241" t="s">
        <v>69</v>
      </c>
      <c r="C575" s="242" t="s">
        <v>71</v>
      </c>
      <c r="D575" s="242" t="s">
        <v>25</v>
      </c>
      <c r="E575" s="242" t="s">
        <v>352</v>
      </c>
      <c r="F575" s="242" t="s">
        <v>67</v>
      </c>
      <c r="G575" s="235"/>
      <c r="H575" s="222"/>
      <c r="I575" s="223"/>
    </row>
    <row r="576" spans="1:9" s="30" customFormat="1" ht="38.25">
      <c r="A576" s="244" t="s">
        <v>633</v>
      </c>
      <c r="B576" s="233" t="s">
        <v>69</v>
      </c>
      <c r="C576" s="234" t="s">
        <v>71</v>
      </c>
      <c r="D576" s="234" t="s">
        <v>25</v>
      </c>
      <c r="E576" s="234" t="s">
        <v>357</v>
      </c>
      <c r="F576" s="234" t="s">
        <v>58</v>
      </c>
      <c r="G576" s="235"/>
      <c r="H576" s="222"/>
      <c r="I576" s="223"/>
    </row>
    <row r="577" spans="1:9" s="30" customFormat="1">
      <c r="A577" s="244" t="s">
        <v>139</v>
      </c>
      <c r="B577" s="233" t="s">
        <v>69</v>
      </c>
      <c r="C577" s="234" t="s">
        <v>71</v>
      </c>
      <c r="D577" s="234" t="s">
        <v>25</v>
      </c>
      <c r="E577" s="234" t="s">
        <v>632</v>
      </c>
      <c r="F577" s="234" t="s">
        <v>58</v>
      </c>
      <c r="G577" s="235"/>
      <c r="H577" s="222"/>
      <c r="I577" s="223"/>
    </row>
    <row r="578" spans="1:9" s="30" customFormat="1" ht="25.5">
      <c r="A578" s="232" t="s">
        <v>108</v>
      </c>
      <c r="B578" s="233" t="s">
        <v>69</v>
      </c>
      <c r="C578" s="234" t="s">
        <v>71</v>
      </c>
      <c r="D578" s="234" t="s">
        <v>25</v>
      </c>
      <c r="E578" s="234" t="s">
        <v>632</v>
      </c>
      <c r="F578" s="234" t="s">
        <v>116</v>
      </c>
      <c r="G578" s="235"/>
      <c r="H578" s="222"/>
      <c r="I578" s="223"/>
    </row>
    <row r="579" spans="1:9" s="83" customFormat="1" ht="25.5">
      <c r="A579" s="236" t="s">
        <v>973</v>
      </c>
      <c r="B579" s="233" t="s">
        <v>69</v>
      </c>
      <c r="C579" s="234" t="s">
        <v>71</v>
      </c>
      <c r="D579" s="234" t="s">
        <v>25</v>
      </c>
      <c r="E579" s="234" t="s">
        <v>632</v>
      </c>
      <c r="F579" s="234" t="s">
        <v>1043</v>
      </c>
      <c r="G579" s="235"/>
      <c r="H579" s="222"/>
      <c r="I579" s="223"/>
    </row>
    <row r="580" spans="1:9" s="30" customFormat="1">
      <c r="A580" s="244" t="s">
        <v>92</v>
      </c>
      <c r="B580" s="233" t="s">
        <v>69</v>
      </c>
      <c r="C580" s="234" t="s">
        <v>71</v>
      </c>
      <c r="D580" s="234" t="s">
        <v>25</v>
      </c>
      <c r="E580" s="234" t="s">
        <v>632</v>
      </c>
      <c r="F580" s="234" t="s">
        <v>138</v>
      </c>
      <c r="G580" s="235"/>
      <c r="H580" s="222"/>
      <c r="I580" s="223"/>
    </row>
    <row r="581" spans="1:9" s="83" customFormat="1">
      <c r="A581" s="236" t="s">
        <v>1016</v>
      </c>
      <c r="B581" s="233" t="s">
        <v>69</v>
      </c>
      <c r="C581" s="234" t="s">
        <v>71</v>
      </c>
      <c r="D581" s="234" t="s">
        <v>25</v>
      </c>
      <c r="E581" s="234" t="s">
        <v>632</v>
      </c>
      <c r="F581" s="234" t="s">
        <v>1046</v>
      </c>
      <c r="G581" s="235"/>
      <c r="H581" s="222"/>
      <c r="I581" s="223"/>
    </row>
    <row r="582" spans="1:9" s="30" customFormat="1">
      <c r="A582" s="244" t="s">
        <v>93</v>
      </c>
      <c r="B582" s="233" t="s">
        <v>69</v>
      </c>
      <c r="C582" s="234" t="s">
        <v>71</v>
      </c>
      <c r="D582" s="234" t="s">
        <v>25</v>
      </c>
      <c r="E582" s="234" t="s">
        <v>632</v>
      </c>
      <c r="F582" s="234" t="s">
        <v>20</v>
      </c>
      <c r="G582" s="235"/>
      <c r="H582" s="222"/>
      <c r="I582" s="223"/>
    </row>
    <row r="583" spans="1:9" s="83" customFormat="1">
      <c r="A583" s="236" t="s">
        <v>1019</v>
      </c>
      <c r="B583" s="233" t="s">
        <v>69</v>
      </c>
      <c r="C583" s="234" t="s">
        <v>71</v>
      </c>
      <c r="D583" s="234" t="s">
        <v>25</v>
      </c>
      <c r="E583" s="234" t="s">
        <v>632</v>
      </c>
      <c r="F583" s="234" t="s">
        <v>1054</v>
      </c>
      <c r="G583" s="235"/>
      <c r="H583" s="222"/>
      <c r="I583" s="223"/>
    </row>
    <row r="584" spans="1:9" s="30" customFormat="1" ht="25.5">
      <c r="A584" s="237" t="s">
        <v>674</v>
      </c>
      <c r="B584" s="241" t="s">
        <v>69</v>
      </c>
      <c r="C584" s="242" t="s">
        <v>71</v>
      </c>
      <c r="D584" s="242" t="s">
        <v>25</v>
      </c>
      <c r="E584" s="242" t="s">
        <v>665</v>
      </c>
      <c r="F584" s="242" t="s">
        <v>58</v>
      </c>
      <c r="G584" s="243"/>
      <c r="H584" s="222"/>
      <c r="I584" s="223"/>
    </row>
    <row r="585" spans="1:9" s="30" customFormat="1">
      <c r="A585" s="252" t="s">
        <v>247</v>
      </c>
      <c r="B585" s="241" t="s">
        <v>69</v>
      </c>
      <c r="C585" s="242" t="s">
        <v>71</v>
      </c>
      <c r="D585" s="242" t="s">
        <v>25</v>
      </c>
      <c r="E585" s="242" t="s">
        <v>666</v>
      </c>
      <c r="F585" s="242" t="s">
        <v>58</v>
      </c>
      <c r="G585" s="243"/>
      <c r="H585" s="222"/>
      <c r="I585" s="223"/>
    </row>
    <row r="586" spans="1:9" s="30" customFormat="1">
      <c r="A586" s="252" t="s">
        <v>92</v>
      </c>
      <c r="B586" s="241" t="s">
        <v>69</v>
      </c>
      <c r="C586" s="242" t="s">
        <v>71</v>
      </c>
      <c r="D586" s="242" t="s">
        <v>25</v>
      </c>
      <c r="E586" s="242" t="s">
        <v>666</v>
      </c>
      <c r="F586" s="242" t="s">
        <v>138</v>
      </c>
      <c r="G586" s="235"/>
      <c r="H586" s="222"/>
      <c r="I586" s="223"/>
    </row>
    <row r="587" spans="1:9" s="83" customFormat="1" ht="38.25">
      <c r="A587" s="236" t="s">
        <v>1015</v>
      </c>
      <c r="B587" s="241" t="s">
        <v>69</v>
      </c>
      <c r="C587" s="242" t="s">
        <v>71</v>
      </c>
      <c r="D587" s="242" t="s">
        <v>25</v>
      </c>
      <c r="E587" s="242" t="s">
        <v>666</v>
      </c>
      <c r="F587" s="242" t="s">
        <v>67</v>
      </c>
      <c r="G587" s="235"/>
      <c r="H587" s="222"/>
      <c r="I587" s="223"/>
    </row>
    <row r="588" spans="1:9" s="30" customFormat="1" ht="51">
      <c r="A588" s="232" t="s">
        <v>756</v>
      </c>
      <c r="B588" s="233" t="s">
        <v>69</v>
      </c>
      <c r="C588" s="234" t="s">
        <v>71</v>
      </c>
      <c r="D588" s="234" t="s">
        <v>25</v>
      </c>
      <c r="E588" s="234" t="s">
        <v>339</v>
      </c>
      <c r="F588" s="234" t="s">
        <v>58</v>
      </c>
      <c r="G588" s="235"/>
      <c r="H588" s="222"/>
      <c r="I588" s="223"/>
    </row>
    <row r="589" spans="1:9" s="30" customFormat="1" ht="25.5">
      <c r="A589" s="232" t="s">
        <v>136</v>
      </c>
      <c r="B589" s="233" t="s">
        <v>69</v>
      </c>
      <c r="C589" s="234" t="s">
        <v>71</v>
      </c>
      <c r="D589" s="234" t="s">
        <v>25</v>
      </c>
      <c r="E589" s="234" t="s">
        <v>340</v>
      </c>
      <c r="F589" s="234" t="s">
        <v>58</v>
      </c>
      <c r="G589" s="235"/>
      <c r="H589" s="222"/>
      <c r="I589" s="223"/>
    </row>
    <row r="590" spans="1:9" s="30" customFormat="1" ht="25.5">
      <c r="A590" s="232" t="s">
        <v>667</v>
      </c>
      <c r="B590" s="233" t="s">
        <v>69</v>
      </c>
      <c r="C590" s="234" t="s">
        <v>71</v>
      </c>
      <c r="D590" s="234" t="s">
        <v>25</v>
      </c>
      <c r="E590" s="234" t="s">
        <v>609</v>
      </c>
      <c r="F590" s="234" t="s">
        <v>58</v>
      </c>
      <c r="G590" s="235"/>
      <c r="H590" s="222"/>
      <c r="I590" s="223"/>
    </row>
    <row r="591" spans="1:9" s="30" customFormat="1" ht="25.5">
      <c r="A591" s="232" t="s">
        <v>177</v>
      </c>
      <c r="B591" s="233" t="s">
        <v>69</v>
      </c>
      <c r="C591" s="234" t="s">
        <v>71</v>
      </c>
      <c r="D591" s="234" t="s">
        <v>25</v>
      </c>
      <c r="E591" s="234" t="s">
        <v>610</v>
      </c>
      <c r="F591" s="234" t="s">
        <v>58</v>
      </c>
      <c r="G591" s="235"/>
      <c r="H591" s="222"/>
      <c r="I591" s="223"/>
    </row>
    <row r="592" spans="1:9" s="30" customFormat="1">
      <c r="A592" s="244" t="s">
        <v>92</v>
      </c>
      <c r="B592" s="233" t="s">
        <v>69</v>
      </c>
      <c r="C592" s="234" t="s">
        <v>71</v>
      </c>
      <c r="D592" s="234" t="s">
        <v>25</v>
      </c>
      <c r="E592" s="234" t="s">
        <v>610</v>
      </c>
      <c r="F592" s="234" t="s">
        <v>138</v>
      </c>
      <c r="G592" s="235"/>
      <c r="H592" s="222"/>
      <c r="I592" s="223"/>
    </row>
    <row r="593" spans="1:9" s="83" customFormat="1">
      <c r="A593" s="236" t="s">
        <v>1016</v>
      </c>
      <c r="B593" s="233" t="s">
        <v>69</v>
      </c>
      <c r="C593" s="234" t="s">
        <v>71</v>
      </c>
      <c r="D593" s="234" t="s">
        <v>25</v>
      </c>
      <c r="E593" s="234" t="s">
        <v>610</v>
      </c>
      <c r="F593" s="234" t="s">
        <v>1046</v>
      </c>
      <c r="G593" s="235"/>
      <c r="H593" s="222"/>
      <c r="I593" s="223"/>
    </row>
    <row r="594" spans="1:9" s="30" customFormat="1" ht="25.5">
      <c r="A594" s="232" t="s">
        <v>183</v>
      </c>
      <c r="B594" s="233" t="s">
        <v>69</v>
      </c>
      <c r="C594" s="234" t="s">
        <v>71</v>
      </c>
      <c r="D594" s="234" t="s">
        <v>25</v>
      </c>
      <c r="E594" s="234" t="s">
        <v>358</v>
      </c>
      <c r="F594" s="234" t="s">
        <v>58</v>
      </c>
      <c r="G594" s="235"/>
      <c r="H594" s="222"/>
      <c r="I594" s="223"/>
    </row>
    <row r="595" spans="1:9" s="30" customFormat="1" ht="25.5">
      <c r="A595" s="232" t="s">
        <v>184</v>
      </c>
      <c r="B595" s="233" t="s">
        <v>69</v>
      </c>
      <c r="C595" s="234" t="s">
        <v>71</v>
      </c>
      <c r="D595" s="234" t="s">
        <v>25</v>
      </c>
      <c r="E595" s="234" t="s">
        <v>359</v>
      </c>
      <c r="F595" s="234" t="s">
        <v>58</v>
      </c>
      <c r="G595" s="235"/>
      <c r="H595" s="222"/>
      <c r="I595" s="223"/>
    </row>
    <row r="596" spans="1:9" s="30" customFormat="1" ht="25.5">
      <c r="A596" s="232" t="s">
        <v>114</v>
      </c>
      <c r="B596" s="233" t="s">
        <v>69</v>
      </c>
      <c r="C596" s="234" t="s">
        <v>71</v>
      </c>
      <c r="D596" s="234" t="s">
        <v>25</v>
      </c>
      <c r="E596" s="234" t="s">
        <v>360</v>
      </c>
      <c r="F596" s="234" t="s">
        <v>58</v>
      </c>
      <c r="G596" s="235"/>
      <c r="H596" s="222"/>
      <c r="I596" s="223"/>
    </row>
    <row r="597" spans="1:9" s="30" customFormat="1">
      <c r="A597" s="232" t="s">
        <v>362</v>
      </c>
      <c r="B597" s="233" t="s">
        <v>69</v>
      </c>
      <c r="C597" s="234" t="s">
        <v>71</v>
      </c>
      <c r="D597" s="234" t="s">
        <v>25</v>
      </c>
      <c r="E597" s="234" t="s">
        <v>360</v>
      </c>
      <c r="F597" s="234" t="s">
        <v>115</v>
      </c>
      <c r="G597" s="235"/>
      <c r="H597" s="222"/>
      <c r="I597" s="223"/>
    </row>
    <row r="598" spans="1:9" s="83" customFormat="1" ht="25.5">
      <c r="A598" s="236" t="s">
        <v>937</v>
      </c>
      <c r="B598" s="233" t="s">
        <v>69</v>
      </c>
      <c r="C598" s="234" t="s">
        <v>71</v>
      </c>
      <c r="D598" s="234" t="s">
        <v>25</v>
      </c>
      <c r="E598" s="234" t="s">
        <v>360</v>
      </c>
      <c r="F598" s="234" t="s">
        <v>1059</v>
      </c>
      <c r="G598" s="235"/>
      <c r="H598" s="222"/>
      <c r="I598" s="223"/>
    </row>
    <row r="599" spans="1:9" s="83" customFormat="1" ht="38.25">
      <c r="A599" s="236" t="s">
        <v>939</v>
      </c>
      <c r="B599" s="233" t="s">
        <v>69</v>
      </c>
      <c r="C599" s="234" t="s">
        <v>71</v>
      </c>
      <c r="D599" s="234" t="s">
        <v>25</v>
      </c>
      <c r="E599" s="234" t="s">
        <v>360</v>
      </c>
      <c r="F599" s="234" t="s">
        <v>1060</v>
      </c>
      <c r="G599" s="235"/>
      <c r="H599" s="222"/>
      <c r="I599" s="223"/>
    </row>
    <row r="600" spans="1:9" s="30" customFormat="1" ht="25.5">
      <c r="A600" s="232" t="s">
        <v>108</v>
      </c>
      <c r="B600" s="233" t="s">
        <v>69</v>
      </c>
      <c r="C600" s="234" t="s">
        <v>71</v>
      </c>
      <c r="D600" s="234" t="s">
        <v>25</v>
      </c>
      <c r="E600" s="234" t="s">
        <v>360</v>
      </c>
      <c r="F600" s="234" t="s">
        <v>116</v>
      </c>
      <c r="G600" s="235"/>
      <c r="H600" s="222"/>
      <c r="I600" s="223"/>
    </row>
    <row r="601" spans="1:9" s="83" customFormat="1" ht="25.5">
      <c r="A601" s="236" t="s">
        <v>973</v>
      </c>
      <c r="B601" s="233" t="s">
        <v>69</v>
      </c>
      <c r="C601" s="234" t="s">
        <v>71</v>
      </c>
      <c r="D601" s="234" t="s">
        <v>25</v>
      </c>
      <c r="E601" s="234" t="s">
        <v>360</v>
      </c>
      <c r="F601" s="234" t="s">
        <v>1043</v>
      </c>
      <c r="G601" s="235"/>
      <c r="H601" s="222"/>
      <c r="I601" s="223"/>
    </row>
    <row r="602" spans="1:9" s="30" customFormat="1">
      <c r="A602" s="232" t="s">
        <v>97</v>
      </c>
      <c r="B602" s="233" t="s">
        <v>69</v>
      </c>
      <c r="C602" s="234" t="s">
        <v>71</v>
      </c>
      <c r="D602" s="234" t="s">
        <v>25</v>
      </c>
      <c r="E602" s="234" t="s">
        <v>360</v>
      </c>
      <c r="F602" s="234" t="s">
        <v>118</v>
      </c>
      <c r="G602" s="235"/>
      <c r="H602" s="222"/>
      <c r="I602" s="223"/>
    </row>
    <row r="603" spans="1:9" s="83" customFormat="1">
      <c r="A603" s="236" t="s">
        <v>1036</v>
      </c>
      <c r="B603" s="233" t="s">
        <v>69</v>
      </c>
      <c r="C603" s="234" t="s">
        <v>71</v>
      </c>
      <c r="D603" s="234" t="s">
        <v>25</v>
      </c>
      <c r="E603" s="234" t="s">
        <v>360</v>
      </c>
      <c r="F603" s="234" t="s">
        <v>1061</v>
      </c>
      <c r="G603" s="235"/>
      <c r="H603" s="222"/>
      <c r="I603" s="223"/>
    </row>
    <row r="604" spans="1:9" s="83" customFormat="1">
      <c r="A604" s="236" t="s">
        <v>1037</v>
      </c>
      <c r="B604" s="233" t="s">
        <v>69</v>
      </c>
      <c r="C604" s="234" t="s">
        <v>71</v>
      </c>
      <c r="D604" s="234" t="s">
        <v>25</v>
      </c>
      <c r="E604" s="234" t="s">
        <v>360</v>
      </c>
      <c r="F604" s="234" t="s">
        <v>1062</v>
      </c>
      <c r="G604" s="235"/>
      <c r="H604" s="222"/>
      <c r="I604" s="223"/>
    </row>
    <row r="605" spans="1:9" s="30" customFormat="1" ht="25.5">
      <c r="A605" s="232" t="s">
        <v>126</v>
      </c>
      <c r="B605" s="233" t="s">
        <v>69</v>
      </c>
      <c r="C605" s="234" t="s">
        <v>71</v>
      </c>
      <c r="D605" s="234" t="s">
        <v>25</v>
      </c>
      <c r="E605" s="234" t="s">
        <v>361</v>
      </c>
      <c r="F605" s="234" t="s">
        <v>58</v>
      </c>
      <c r="G605" s="235"/>
      <c r="H605" s="222"/>
      <c r="I605" s="223"/>
    </row>
    <row r="606" spans="1:9" s="30" customFormat="1">
      <c r="A606" s="232" t="s">
        <v>362</v>
      </c>
      <c r="B606" s="233" t="s">
        <v>69</v>
      </c>
      <c r="C606" s="234" t="s">
        <v>71</v>
      </c>
      <c r="D606" s="234" t="s">
        <v>25</v>
      </c>
      <c r="E606" s="234" t="s">
        <v>361</v>
      </c>
      <c r="F606" s="234" t="s">
        <v>115</v>
      </c>
      <c r="G606" s="235"/>
      <c r="H606" s="222"/>
      <c r="I606" s="223"/>
    </row>
    <row r="607" spans="1:9" s="83" customFormat="1">
      <c r="A607" s="236" t="s">
        <v>936</v>
      </c>
      <c r="B607" s="233" t="s">
        <v>69</v>
      </c>
      <c r="C607" s="234" t="s">
        <v>71</v>
      </c>
      <c r="D607" s="234" t="s">
        <v>25</v>
      </c>
      <c r="E607" s="234" t="s">
        <v>361</v>
      </c>
      <c r="F607" s="234" t="s">
        <v>1063</v>
      </c>
      <c r="G607" s="235"/>
      <c r="H607" s="222"/>
      <c r="I607" s="223"/>
    </row>
    <row r="608" spans="1:9" s="83" customFormat="1" ht="38.25">
      <c r="A608" s="236" t="s">
        <v>939</v>
      </c>
      <c r="B608" s="233" t="s">
        <v>69</v>
      </c>
      <c r="C608" s="234" t="s">
        <v>71</v>
      </c>
      <c r="D608" s="234" t="s">
        <v>25</v>
      </c>
      <c r="E608" s="234" t="s">
        <v>361</v>
      </c>
      <c r="F608" s="234" t="s">
        <v>1060</v>
      </c>
      <c r="G608" s="235"/>
      <c r="H608" s="222"/>
      <c r="I608" s="223"/>
    </row>
    <row r="609" spans="1:9" s="30" customFormat="1" ht="38.25">
      <c r="A609" s="232" t="s">
        <v>598</v>
      </c>
      <c r="B609" s="233" t="s">
        <v>69</v>
      </c>
      <c r="C609" s="234" t="s">
        <v>71</v>
      </c>
      <c r="D609" s="234" t="s">
        <v>25</v>
      </c>
      <c r="E609" s="234" t="s">
        <v>363</v>
      </c>
      <c r="F609" s="234" t="s">
        <v>58</v>
      </c>
      <c r="G609" s="235"/>
      <c r="H609" s="222"/>
      <c r="I609" s="223"/>
    </row>
    <row r="610" spans="1:9" s="30" customFormat="1">
      <c r="A610" s="232" t="s">
        <v>362</v>
      </c>
      <c r="B610" s="233" t="s">
        <v>69</v>
      </c>
      <c r="C610" s="234" t="s">
        <v>71</v>
      </c>
      <c r="D610" s="234" t="s">
        <v>25</v>
      </c>
      <c r="E610" s="234" t="s">
        <v>363</v>
      </c>
      <c r="F610" s="234" t="s">
        <v>115</v>
      </c>
      <c r="G610" s="235"/>
      <c r="H610" s="222"/>
      <c r="I610" s="223"/>
    </row>
    <row r="611" spans="1:9" s="83" customFormat="1">
      <c r="A611" s="236" t="s">
        <v>936</v>
      </c>
      <c r="B611" s="233" t="s">
        <v>69</v>
      </c>
      <c r="C611" s="234" t="s">
        <v>71</v>
      </c>
      <c r="D611" s="234" t="s">
        <v>25</v>
      </c>
      <c r="E611" s="234" t="s">
        <v>363</v>
      </c>
      <c r="F611" s="234" t="s">
        <v>1063</v>
      </c>
      <c r="G611" s="235"/>
      <c r="H611" s="222"/>
      <c r="I611" s="223"/>
    </row>
    <row r="612" spans="1:9" s="83" customFormat="1" ht="25.5">
      <c r="A612" s="236" t="s">
        <v>937</v>
      </c>
      <c r="B612" s="233" t="s">
        <v>69</v>
      </c>
      <c r="C612" s="234" t="s">
        <v>71</v>
      </c>
      <c r="D612" s="234" t="s">
        <v>25</v>
      </c>
      <c r="E612" s="234" t="s">
        <v>363</v>
      </c>
      <c r="F612" s="234" t="s">
        <v>1059</v>
      </c>
      <c r="G612" s="235"/>
      <c r="H612" s="222"/>
      <c r="I612" s="223"/>
    </row>
    <row r="613" spans="1:9" s="83" customFormat="1" ht="38.25">
      <c r="A613" s="236" t="s">
        <v>939</v>
      </c>
      <c r="B613" s="233" t="s">
        <v>69</v>
      </c>
      <c r="C613" s="234" t="s">
        <v>71</v>
      </c>
      <c r="D613" s="234" t="s">
        <v>25</v>
      </c>
      <c r="E613" s="234" t="s">
        <v>363</v>
      </c>
      <c r="F613" s="234" t="s">
        <v>1060</v>
      </c>
      <c r="G613" s="235"/>
      <c r="H613" s="222"/>
      <c r="I613" s="223"/>
    </row>
    <row r="614" spans="1:9" s="30" customFormat="1">
      <c r="A614" s="224" t="s">
        <v>49</v>
      </c>
      <c r="B614" s="225" t="s">
        <v>69</v>
      </c>
      <c r="C614" s="226" t="s">
        <v>14</v>
      </c>
      <c r="D614" s="226" t="s">
        <v>51</v>
      </c>
      <c r="E614" s="226" t="s">
        <v>196</v>
      </c>
      <c r="F614" s="226" t="s">
        <v>58</v>
      </c>
      <c r="G614" s="227"/>
      <c r="H614" s="222"/>
      <c r="I614" s="223"/>
    </row>
    <row r="615" spans="1:9" s="30" customFormat="1">
      <c r="A615" s="228" t="s">
        <v>22</v>
      </c>
      <c r="B615" s="229" t="s">
        <v>69</v>
      </c>
      <c r="C615" s="230" t="s">
        <v>14</v>
      </c>
      <c r="D615" s="230" t="s">
        <v>37</v>
      </c>
      <c r="E615" s="230" t="s">
        <v>196</v>
      </c>
      <c r="F615" s="230" t="s">
        <v>58</v>
      </c>
      <c r="G615" s="231"/>
      <c r="H615" s="222"/>
      <c r="I615" s="223"/>
    </row>
    <row r="616" spans="1:9" s="30" customFormat="1">
      <c r="A616" s="244" t="s">
        <v>723</v>
      </c>
      <c r="B616" s="233" t="s">
        <v>69</v>
      </c>
      <c r="C616" s="234" t="s">
        <v>14</v>
      </c>
      <c r="D616" s="234" t="s">
        <v>37</v>
      </c>
      <c r="E616" s="234" t="s">
        <v>331</v>
      </c>
      <c r="F616" s="234" t="s">
        <v>58</v>
      </c>
      <c r="G616" s="235"/>
      <c r="H616" s="222"/>
      <c r="I616" s="223"/>
    </row>
    <row r="617" spans="1:9" s="30" customFormat="1" ht="25.5">
      <c r="A617" s="244" t="s">
        <v>860</v>
      </c>
      <c r="B617" s="233" t="s">
        <v>69</v>
      </c>
      <c r="C617" s="234" t="s">
        <v>14</v>
      </c>
      <c r="D617" s="234" t="s">
        <v>37</v>
      </c>
      <c r="E617" s="234" t="s">
        <v>332</v>
      </c>
      <c r="F617" s="234" t="s">
        <v>58</v>
      </c>
      <c r="G617" s="235"/>
      <c r="H617" s="222"/>
      <c r="I617" s="223"/>
    </row>
    <row r="618" spans="1:9" s="30" customFormat="1" ht="25.5">
      <c r="A618" s="244" t="s">
        <v>607</v>
      </c>
      <c r="B618" s="233" t="s">
        <v>69</v>
      </c>
      <c r="C618" s="234" t="s">
        <v>14</v>
      </c>
      <c r="D618" s="234" t="s">
        <v>37</v>
      </c>
      <c r="E618" s="234" t="s">
        <v>333</v>
      </c>
      <c r="F618" s="234" t="s">
        <v>58</v>
      </c>
      <c r="G618" s="235"/>
      <c r="H618" s="222"/>
      <c r="I618" s="223"/>
    </row>
    <row r="619" spans="1:9" s="30" customFormat="1" ht="38.25">
      <c r="A619" s="244" t="s">
        <v>364</v>
      </c>
      <c r="B619" s="233" t="s">
        <v>69</v>
      </c>
      <c r="C619" s="234" t="s">
        <v>14</v>
      </c>
      <c r="D619" s="234" t="s">
        <v>37</v>
      </c>
      <c r="E619" s="234" t="s">
        <v>365</v>
      </c>
      <c r="F619" s="234" t="s">
        <v>58</v>
      </c>
      <c r="G619" s="235"/>
      <c r="H619" s="222"/>
      <c r="I619" s="223"/>
    </row>
    <row r="620" spans="1:9" s="30" customFormat="1" ht="25.5">
      <c r="A620" s="232" t="s">
        <v>108</v>
      </c>
      <c r="B620" s="233" t="s">
        <v>69</v>
      </c>
      <c r="C620" s="234" t="s">
        <v>14</v>
      </c>
      <c r="D620" s="234" t="s">
        <v>37</v>
      </c>
      <c r="E620" s="234" t="s">
        <v>365</v>
      </c>
      <c r="F620" s="234" t="s">
        <v>116</v>
      </c>
      <c r="G620" s="235"/>
      <c r="H620" s="222"/>
      <c r="I620" s="223"/>
    </row>
    <row r="621" spans="1:9" s="83" customFormat="1" ht="25.5">
      <c r="A621" s="236" t="s">
        <v>973</v>
      </c>
      <c r="B621" s="233" t="s">
        <v>69</v>
      </c>
      <c r="C621" s="234" t="s">
        <v>14</v>
      </c>
      <c r="D621" s="234" t="s">
        <v>37</v>
      </c>
      <c r="E621" s="234" t="s">
        <v>365</v>
      </c>
      <c r="F621" s="234" t="s">
        <v>1043</v>
      </c>
      <c r="G621" s="235"/>
      <c r="H621" s="222"/>
      <c r="I621" s="223"/>
    </row>
    <row r="622" spans="1:9" s="30" customFormat="1">
      <c r="A622" s="244" t="s">
        <v>109</v>
      </c>
      <c r="B622" s="233" t="s">
        <v>69</v>
      </c>
      <c r="C622" s="234" t="s">
        <v>14</v>
      </c>
      <c r="D622" s="234" t="s">
        <v>37</v>
      </c>
      <c r="E622" s="234" t="s">
        <v>365</v>
      </c>
      <c r="F622" s="234" t="s">
        <v>134</v>
      </c>
      <c r="G622" s="235"/>
      <c r="H622" s="222"/>
      <c r="I622" s="223"/>
    </row>
    <row r="623" spans="1:9" s="83" customFormat="1" ht="25.5">
      <c r="A623" s="236" t="s">
        <v>978</v>
      </c>
      <c r="B623" s="233" t="s">
        <v>69</v>
      </c>
      <c r="C623" s="234" t="s">
        <v>14</v>
      </c>
      <c r="D623" s="234" t="s">
        <v>37</v>
      </c>
      <c r="E623" s="234" t="s">
        <v>365</v>
      </c>
      <c r="F623" s="234" t="s">
        <v>1064</v>
      </c>
      <c r="G623" s="235"/>
      <c r="H623" s="222"/>
      <c r="I623" s="223"/>
    </row>
    <row r="624" spans="1:9" s="30" customFormat="1" ht="25.5">
      <c r="A624" s="244" t="s">
        <v>584</v>
      </c>
      <c r="B624" s="233" t="s">
        <v>69</v>
      </c>
      <c r="C624" s="234" t="s">
        <v>14</v>
      </c>
      <c r="D624" s="234" t="s">
        <v>37</v>
      </c>
      <c r="E624" s="234" t="s">
        <v>366</v>
      </c>
      <c r="F624" s="234" t="s">
        <v>58</v>
      </c>
      <c r="G624" s="235"/>
      <c r="H624" s="222"/>
      <c r="I624" s="223"/>
    </row>
    <row r="625" spans="1:9" s="30" customFormat="1" ht="25.5">
      <c r="A625" s="244" t="s">
        <v>367</v>
      </c>
      <c r="B625" s="233" t="s">
        <v>69</v>
      </c>
      <c r="C625" s="234" t="s">
        <v>14</v>
      </c>
      <c r="D625" s="234" t="s">
        <v>37</v>
      </c>
      <c r="E625" s="234" t="s">
        <v>788</v>
      </c>
      <c r="F625" s="234" t="s">
        <v>58</v>
      </c>
      <c r="G625" s="235"/>
      <c r="H625" s="222"/>
      <c r="I625" s="223"/>
    </row>
    <row r="626" spans="1:9" s="30" customFormat="1" ht="25.5">
      <c r="A626" s="244" t="s">
        <v>110</v>
      </c>
      <c r="B626" s="233" t="s">
        <v>69</v>
      </c>
      <c r="C626" s="234" t="s">
        <v>14</v>
      </c>
      <c r="D626" s="234" t="s">
        <v>37</v>
      </c>
      <c r="E626" s="234" t="s">
        <v>788</v>
      </c>
      <c r="F626" s="234" t="s">
        <v>117</v>
      </c>
      <c r="G626" s="235"/>
      <c r="H626" s="222"/>
      <c r="I626" s="223"/>
    </row>
    <row r="627" spans="1:9" s="83" customFormat="1" ht="25.5">
      <c r="A627" s="236" t="s">
        <v>981</v>
      </c>
      <c r="B627" s="233" t="s">
        <v>69</v>
      </c>
      <c r="C627" s="234" t="s">
        <v>14</v>
      </c>
      <c r="D627" s="234" t="s">
        <v>37</v>
      </c>
      <c r="E627" s="234" t="s">
        <v>788</v>
      </c>
      <c r="F627" s="234" t="s">
        <v>1065</v>
      </c>
      <c r="G627" s="235"/>
      <c r="H627" s="222"/>
      <c r="I627" s="223"/>
    </row>
    <row r="628" spans="1:9" s="30" customFormat="1" ht="38.25">
      <c r="A628" s="232" t="s">
        <v>594</v>
      </c>
      <c r="B628" s="233" t="s">
        <v>69</v>
      </c>
      <c r="C628" s="234" t="s">
        <v>14</v>
      </c>
      <c r="D628" s="234" t="s">
        <v>37</v>
      </c>
      <c r="E628" s="234" t="s">
        <v>789</v>
      </c>
      <c r="F628" s="234" t="s">
        <v>58</v>
      </c>
      <c r="G628" s="235"/>
      <c r="H628" s="222"/>
      <c r="I628" s="223"/>
    </row>
    <row r="629" spans="1:9" s="30" customFormat="1" ht="25.5">
      <c r="A629" s="244" t="s">
        <v>110</v>
      </c>
      <c r="B629" s="233" t="s">
        <v>69</v>
      </c>
      <c r="C629" s="234" t="s">
        <v>14</v>
      </c>
      <c r="D629" s="234" t="s">
        <v>37</v>
      </c>
      <c r="E629" s="234" t="s">
        <v>789</v>
      </c>
      <c r="F629" s="234" t="s">
        <v>117</v>
      </c>
      <c r="G629" s="235"/>
      <c r="H629" s="222"/>
      <c r="I629" s="223"/>
    </row>
    <row r="630" spans="1:9" s="83" customFormat="1" ht="25.5">
      <c r="A630" s="236" t="s">
        <v>981</v>
      </c>
      <c r="B630" s="233" t="s">
        <v>69</v>
      </c>
      <c r="C630" s="234" t="s">
        <v>14</v>
      </c>
      <c r="D630" s="234" t="s">
        <v>37</v>
      </c>
      <c r="E630" s="234" t="s">
        <v>789</v>
      </c>
      <c r="F630" s="234" t="s">
        <v>1065</v>
      </c>
      <c r="G630" s="235"/>
      <c r="H630" s="222"/>
      <c r="I630" s="223"/>
    </row>
    <row r="631" spans="1:9" s="30" customFormat="1" ht="38.25">
      <c r="A631" s="232" t="s">
        <v>368</v>
      </c>
      <c r="B631" s="233" t="s">
        <v>69</v>
      </c>
      <c r="C631" s="234" t="s">
        <v>14</v>
      </c>
      <c r="D631" s="234" t="s">
        <v>37</v>
      </c>
      <c r="E631" s="234" t="s">
        <v>790</v>
      </c>
      <c r="F631" s="234" t="s">
        <v>58</v>
      </c>
      <c r="G631" s="235"/>
      <c r="H631" s="222"/>
      <c r="I631" s="223"/>
    </row>
    <row r="632" spans="1:9" s="30" customFormat="1" ht="25.5">
      <c r="A632" s="244" t="s">
        <v>110</v>
      </c>
      <c r="B632" s="233" t="s">
        <v>69</v>
      </c>
      <c r="C632" s="234" t="s">
        <v>14</v>
      </c>
      <c r="D632" s="234" t="s">
        <v>37</v>
      </c>
      <c r="E632" s="234" t="s">
        <v>790</v>
      </c>
      <c r="F632" s="234" t="s">
        <v>117</v>
      </c>
      <c r="G632" s="235"/>
      <c r="H632" s="222"/>
      <c r="I632" s="223"/>
    </row>
    <row r="633" spans="1:9" s="83" customFormat="1" ht="25.5">
      <c r="A633" s="236" t="s">
        <v>981</v>
      </c>
      <c r="B633" s="233" t="s">
        <v>69</v>
      </c>
      <c r="C633" s="234" t="s">
        <v>14</v>
      </c>
      <c r="D633" s="234" t="s">
        <v>37</v>
      </c>
      <c r="E633" s="234" t="s">
        <v>790</v>
      </c>
      <c r="F633" s="234" t="s">
        <v>1065</v>
      </c>
      <c r="G633" s="235"/>
      <c r="H633" s="222"/>
      <c r="I633" s="223"/>
    </row>
    <row r="634" spans="1:9" s="30" customFormat="1">
      <c r="A634" s="232" t="s">
        <v>369</v>
      </c>
      <c r="B634" s="233" t="s">
        <v>69</v>
      </c>
      <c r="C634" s="234" t="s">
        <v>14</v>
      </c>
      <c r="D634" s="234" t="s">
        <v>37</v>
      </c>
      <c r="E634" s="234" t="s">
        <v>791</v>
      </c>
      <c r="F634" s="234" t="s">
        <v>58</v>
      </c>
      <c r="G634" s="235"/>
      <c r="H634" s="222"/>
      <c r="I634" s="223"/>
    </row>
    <row r="635" spans="1:9" s="30" customFormat="1" ht="25.5">
      <c r="A635" s="244" t="s">
        <v>110</v>
      </c>
      <c r="B635" s="233" t="s">
        <v>69</v>
      </c>
      <c r="C635" s="234" t="s">
        <v>14</v>
      </c>
      <c r="D635" s="234" t="s">
        <v>37</v>
      </c>
      <c r="E635" s="234" t="s">
        <v>791</v>
      </c>
      <c r="F635" s="234" t="s">
        <v>117</v>
      </c>
      <c r="G635" s="235"/>
      <c r="H635" s="222"/>
      <c r="I635" s="223"/>
    </row>
    <row r="636" spans="1:9" s="83" customFormat="1" ht="25.5">
      <c r="A636" s="236" t="s">
        <v>981</v>
      </c>
      <c r="B636" s="233" t="s">
        <v>69</v>
      </c>
      <c r="C636" s="234" t="s">
        <v>14</v>
      </c>
      <c r="D636" s="234" t="s">
        <v>37</v>
      </c>
      <c r="E636" s="234" t="s">
        <v>791</v>
      </c>
      <c r="F636" s="234" t="s">
        <v>1065</v>
      </c>
      <c r="G636" s="235"/>
      <c r="H636" s="222"/>
      <c r="I636" s="223"/>
    </row>
    <row r="637" spans="1:9" s="30" customFormat="1">
      <c r="A637" s="244"/>
      <c r="B637" s="233"/>
      <c r="C637" s="234"/>
      <c r="D637" s="234"/>
      <c r="E637" s="234"/>
      <c r="F637" s="234"/>
      <c r="G637" s="235"/>
      <c r="H637" s="222"/>
      <c r="I637" s="223"/>
    </row>
    <row r="638" spans="1:9" s="3" customFormat="1">
      <c r="A638" s="219" t="s">
        <v>687</v>
      </c>
      <c r="B638" s="220" t="s">
        <v>26</v>
      </c>
      <c r="C638" s="221" t="s">
        <v>51</v>
      </c>
      <c r="D638" s="221" t="s">
        <v>51</v>
      </c>
      <c r="E638" s="221" t="s">
        <v>196</v>
      </c>
      <c r="F638" s="221" t="s">
        <v>58</v>
      </c>
      <c r="G638" s="222"/>
      <c r="H638" s="222"/>
      <c r="I638" s="223"/>
    </row>
    <row r="639" spans="1:9" s="3" customFormat="1">
      <c r="A639" s="224" t="s">
        <v>64</v>
      </c>
      <c r="B639" s="225" t="s">
        <v>26</v>
      </c>
      <c r="C639" s="226" t="s">
        <v>65</v>
      </c>
      <c r="D639" s="226" t="s">
        <v>51</v>
      </c>
      <c r="E639" s="226" t="s">
        <v>196</v>
      </c>
      <c r="F639" s="226" t="s">
        <v>58</v>
      </c>
      <c r="G639" s="227"/>
      <c r="H639" s="222"/>
      <c r="I639" s="223"/>
    </row>
    <row r="640" spans="1:9" s="3" customFormat="1">
      <c r="A640" s="228" t="s">
        <v>38</v>
      </c>
      <c r="B640" s="229" t="s">
        <v>26</v>
      </c>
      <c r="C640" s="230" t="s">
        <v>65</v>
      </c>
      <c r="D640" s="230" t="s">
        <v>84</v>
      </c>
      <c r="E640" s="230" t="s">
        <v>196</v>
      </c>
      <c r="F640" s="230" t="s">
        <v>58</v>
      </c>
      <c r="G640" s="231"/>
      <c r="H640" s="222"/>
      <c r="I640" s="223"/>
    </row>
    <row r="641" spans="1:9" s="3" customFormat="1" ht="25.5">
      <c r="A641" s="232" t="s">
        <v>683</v>
      </c>
      <c r="B641" s="233" t="s">
        <v>26</v>
      </c>
      <c r="C641" s="234" t="s">
        <v>65</v>
      </c>
      <c r="D641" s="234" t="s">
        <v>84</v>
      </c>
      <c r="E641" s="234" t="s">
        <v>680</v>
      </c>
      <c r="F641" s="234" t="s">
        <v>58</v>
      </c>
      <c r="G641" s="235"/>
      <c r="H641" s="222"/>
      <c r="I641" s="223"/>
    </row>
    <row r="642" spans="1:9" s="3" customFormat="1">
      <c r="A642" s="232" t="s">
        <v>684</v>
      </c>
      <c r="B642" s="233" t="s">
        <v>26</v>
      </c>
      <c r="C642" s="234" t="s">
        <v>65</v>
      </c>
      <c r="D642" s="234" t="s">
        <v>84</v>
      </c>
      <c r="E642" s="234" t="s">
        <v>681</v>
      </c>
      <c r="F642" s="234" t="s">
        <v>58</v>
      </c>
      <c r="G642" s="235"/>
      <c r="H642" s="222"/>
      <c r="I642" s="223"/>
    </row>
    <row r="643" spans="1:9" s="3" customFormat="1">
      <c r="A643" s="232" t="s">
        <v>123</v>
      </c>
      <c r="B643" s="233" t="s">
        <v>26</v>
      </c>
      <c r="C643" s="234" t="s">
        <v>65</v>
      </c>
      <c r="D643" s="234" t="s">
        <v>84</v>
      </c>
      <c r="E643" s="234" t="s">
        <v>688</v>
      </c>
      <c r="F643" s="234" t="s">
        <v>58</v>
      </c>
      <c r="G643" s="235"/>
      <c r="H643" s="222"/>
      <c r="I643" s="223"/>
    </row>
    <row r="644" spans="1:9" s="3" customFormat="1" ht="25.5">
      <c r="A644" s="232" t="s">
        <v>108</v>
      </c>
      <c r="B644" s="233" t="s">
        <v>26</v>
      </c>
      <c r="C644" s="234" t="s">
        <v>65</v>
      </c>
      <c r="D644" s="234" t="s">
        <v>84</v>
      </c>
      <c r="E644" s="234" t="s">
        <v>688</v>
      </c>
      <c r="F644" s="234" t="s">
        <v>116</v>
      </c>
      <c r="G644" s="235"/>
      <c r="H644" s="222"/>
      <c r="I644" s="223"/>
    </row>
    <row r="645" spans="1:9" s="4" customFormat="1" ht="25.5">
      <c r="A645" s="236" t="s">
        <v>973</v>
      </c>
      <c r="B645" s="233" t="s">
        <v>26</v>
      </c>
      <c r="C645" s="234" t="s">
        <v>65</v>
      </c>
      <c r="D645" s="234" t="s">
        <v>84</v>
      </c>
      <c r="E645" s="234" t="s">
        <v>688</v>
      </c>
      <c r="F645" s="234" t="s">
        <v>1043</v>
      </c>
      <c r="G645" s="235"/>
      <c r="H645" s="222"/>
      <c r="I645" s="223"/>
    </row>
    <row r="646" spans="1:9" s="3" customFormat="1">
      <c r="A646" s="232" t="s">
        <v>91</v>
      </c>
      <c r="B646" s="233" t="s">
        <v>26</v>
      </c>
      <c r="C646" s="234" t="s">
        <v>65</v>
      </c>
      <c r="D646" s="234" t="s">
        <v>84</v>
      </c>
      <c r="E646" s="234" t="s">
        <v>688</v>
      </c>
      <c r="F646" s="234" t="s">
        <v>100</v>
      </c>
      <c r="G646" s="235"/>
      <c r="H646" s="222"/>
      <c r="I646" s="223"/>
    </row>
    <row r="647" spans="1:9" s="3" customFormat="1">
      <c r="A647" s="232" t="s">
        <v>97</v>
      </c>
      <c r="B647" s="233" t="s">
        <v>26</v>
      </c>
      <c r="C647" s="234" t="s">
        <v>65</v>
      </c>
      <c r="D647" s="234" t="s">
        <v>84</v>
      </c>
      <c r="E647" s="234" t="s">
        <v>688</v>
      </c>
      <c r="F647" s="234" t="s">
        <v>118</v>
      </c>
      <c r="G647" s="235"/>
      <c r="H647" s="222"/>
      <c r="I647" s="223"/>
    </row>
    <row r="648" spans="1:9" s="4" customFormat="1">
      <c r="A648" s="236" t="s">
        <v>1038</v>
      </c>
      <c r="B648" s="233" t="s">
        <v>26</v>
      </c>
      <c r="C648" s="234" t="s">
        <v>65</v>
      </c>
      <c r="D648" s="234" t="s">
        <v>84</v>
      </c>
      <c r="E648" s="234" t="s">
        <v>688</v>
      </c>
      <c r="F648" s="234" t="s">
        <v>1066</v>
      </c>
      <c r="G648" s="235"/>
      <c r="H648" s="222"/>
      <c r="I648" s="223"/>
    </row>
    <row r="649" spans="1:9" s="3" customFormat="1" ht="25.5">
      <c r="A649" s="232" t="s">
        <v>704</v>
      </c>
      <c r="B649" s="233" t="s">
        <v>26</v>
      </c>
      <c r="C649" s="234" t="s">
        <v>65</v>
      </c>
      <c r="D649" s="234" t="s">
        <v>84</v>
      </c>
      <c r="E649" s="234" t="s">
        <v>688</v>
      </c>
      <c r="F649" s="234" t="s">
        <v>703</v>
      </c>
      <c r="G649" s="235"/>
      <c r="H649" s="222"/>
      <c r="I649" s="223"/>
    </row>
    <row r="650" spans="1:9" s="4" customFormat="1">
      <c r="A650" s="236" t="s">
        <v>1041</v>
      </c>
      <c r="B650" s="233" t="s">
        <v>26</v>
      </c>
      <c r="C650" s="234" t="s">
        <v>65</v>
      </c>
      <c r="D650" s="234" t="s">
        <v>84</v>
      </c>
      <c r="E650" s="234" t="s">
        <v>688</v>
      </c>
      <c r="F650" s="234" t="s">
        <v>1067</v>
      </c>
      <c r="G650" s="235"/>
      <c r="H650" s="222"/>
      <c r="I650" s="223"/>
    </row>
    <row r="651" spans="1:9" s="3" customFormat="1">
      <c r="A651" s="224" t="s">
        <v>70</v>
      </c>
      <c r="B651" s="225" t="s">
        <v>26</v>
      </c>
      <c r="C651" s="226" t="s">
        <v>71</v>
      </c>
      <c r="D651" s="226" t="s">
        <v>51</v>
      </c>
      <c r="E651" s="226" t="s">
        <v>196</v>
      </c>
      <c r="F651" s="226" t="s">
        <v>58</v>
      </c>
      <c r="G651" s="227"/>
      <c r="H651" s="222"/>
      <c r="I651" s="223"/>
    </row>
    <row r="652" spans="1:9" s="3" customFormat="1">
      <c r="A652" s="228" t="s">
        <v>779</v>
      </c>
      <c r="B652" s="229" t="s">
        <v>26</v>
      </c>
      <c r="C652" s="230" t="s">
        <v>71</v>
      </c>
      <c r="D652" s="230" t="s">
        <v>53</v>
      </c>
      <c r="E652" s="230" t="s">
        <v>196</v>
      </c>
      <c r="F652" s="230" t="s">
        <v>58</v>
      </c>
      <c r="G652" s="231"/>
      <c r="H652" s="222"/>
      <c r="I652" s="223"/>
    </row>
    <row r="653" spans="1:9" s="3" customFormat="1">
      <c r="A653" s="232" t="s">
        <v>739</v>
      </c>
      <c r="B653" s="233" t="s">
        <v>26</v>
      </c>
      <c r="C653" s="234" t="s">
        <v>71</v>
      </c>
      <c r="D653" s="234" t="s">
        <v>53</v>
      </c>
      <c r="E653" s="234" t="s">
        <v>277</v>
      </c>
      <c r="F653" s="234" t="s">
        <v>58</v>
      </c>
      <c r="G653" s="235"/>
      <c r="H653" s="222"/>
      <c r="I653" s="223"/>
    </row>
    <row r="654" spans="1:9" s="3" customFormat="1" ht="38.25">
      <c r="A654" s="232" t="s">
        <v>191</v>
      </c>
      <c r="B654" s="233" t="s">
        <v>26</v>
      </c>
      <c r="C654" s="234" t="s">
        <v>71</v>
      </c>
      <c r="D654" s="234" t="s">
        <v>53</v>
      </c>
      <c r="E654" s="234" t="s">
        <v>278</v>
      </c>
      <c r="F654" s="234" t="s">
        <v>58</v>
      </c>
      <c r="G654" s="235"/>
      <c r="H654" s="222"/>
      <c r="I654" s="223"/>
    </row>
    <row r="655" spans="1:9" s="3" customFormat="1" ht="51">
      <c r="A655" s="232" t="s">
        <v>605</v>
      </c>
      <c r="B655" s="233" t="s">
        <v>26</v>
      </c>
      <c r="C655" s="234" t="s">
        <v>71</v>
      </c>
      <c r="D655" s="234" t="s">
        <v>53</v>
      </c>
      <c r="E655" s="234" t="s">
        <v>279</v>
      </c>
      <c r="F655" s="234" t="s">
        <v>58</v>
      </c>
      <c r="G655" s="235"/>
      <c r="H655" s="222"/>
      <c r="I655" s="223"/>
    </row>
    <row r="656" spans="1:9" s="3" customFormat="1">
      <c r="A656" s="232" t="s">
        <v>161</v>
      </c>
      <c r="B656" s="233" t="s">
        <v>26</v>
      </c>
      <c r="C656" s="234" t="s">
        <v>71</v>
      </c>
      <c r="D656" s="234" t="s">
        <v>53</v>
      </c>
      <c r="E656" s="234" t="s">
        <v>320</v>
      </c>
      <c r="F656" s="234" t="s">
        <v>58</v>
      </c>
      <c r="G656" s="235"/>
      <c r="H656" s="222"/>
      <c r="I656" s="223"/>
    </row>
    <row r="657" spans="1:9" s="3" customFormat="1">
      <c r="A657" s="244" t="s">
        <v>92</v>
      </c>
      <c r="B657" s="233" t="s">
        <v>26</v>
      </c>
      <c r="C657" s="234" t="s">
        <v>71</v>
      </c>
      <c r="D657" s="234" t="s">
        <v>53</v>
      </c>
      <c r="E657" s="234" t="s">
        <v>320</v>
      </c>
      <c r="F657" s="234" t="s">
        <v>138</v>
      </c>
      <c r="G657" s="235"/>
      <c r="H657" s="222"/>
      <c r="I657" s="223"/>
    </row>
    <row r="658" spans="1:9" s="4" customFormat="1" ht="38.25">
      <c r="A658" s="236" t="s">
        <v>1015</v>
      </c>
      <c r="B658" s="233" t="s">
        <v>26</v>
      </c>
      <c r="C658" s="234" t="s">
        <v>71</v>
      </c>
      <c r="D658" s="234" t="s">
        <v>53</v>
      </c>
      <c r="E658" s="234" t="s">
        <v>320</v>
      </c>
      <c r="F658" s="234" t="s">
        <v>67</v>
      </c>
      <c r="G658" s="235"/>
      <c r="H658" s="222"/>
      <c r="I658" s="223"/>
    </row>
    <row r="659" spans="1:9" s="3" customFormat="1">
      <c r="A659" s="252" t="s">
        <v>93</v>
      </c>
      <c r="B659" s="233" t="s">
        <v>26</v>
      </c>
      <c r="C659" s="234" t="s">
        <v>71</v>
      </c>
      <c r="D659" s="234" t="s">
        <v>53</v>
      </c>
      <c r="E659" s="234" t="s">
        <v>320</v>
      </c>
      <c r="F659" s="234" t="s">
        <v>20</v>
      </c>
      <c r="G659" s="235"/>
      <c r="H659" s="222"/>
      <c r="I659" s="223"/>
    </row>
    <row r="660" spans="1:9" s="4" customFormat="1" ht="38.25">
      <c r="A660" s="236" t="s">
        <v>1018</v>
      </c>
      <c r="B660" s="233" t="s">
        <v>26</v>
      </c>
      <c r="C660" s="234" t="s">
        <v>71</v>
      </c>
      <c r="D660" s="234" t="s">
        <v>53</v>
      </c>
      <c r="E660" s="234" t="s">
        <v>320</v>
      </c>
      <c r="F660" s="234" t="s">
        <v>16</v>
      </c>
      <c r="G660" s="235"/>
      <c r="H660" s="222"/>
      <c r="I660" s="223"/>
    </row>
    <row r="661" spans="1:9" s="3" customFormat="1">
      <c r="A661" s="232" t="s">
        <v>140</v>
      </c>
      <c r="B661" s="233" t="s">
        <v>26</v>
      </c>
      <c r="C661" s="234" t="s">
        <v>71</v>
      </c>
      <c r="D661" s="234" t="s">
        <v>53</v>
      </c>
      <c r="E661" s="234" t="s">
        <v>372</v>
      </c>
      <c r="F661" s="234" t="s">
        <v>58</v>
      </c>
      <c r="G661" s="235"/>
      <c r="H661" s="222"/>
      <c r="I661" s="223"/>
    </row>
    <row r="662" spans="1:9" s="3" customFormat="1" ht="25.5">
      <c r="A662" s="232" t="s">
        <v>780</v>
      </c>
      <c r="B662" s="233" t="s">
        <v>26</v>
      </c>
      <c r="C662" s="234" t="s">
        <v>71</v>
      </c>
      <c r="D662" s="234" t="s">
        <v>53</v>
      </c>
      <c r="E662" s="234" t="s">
        <v>373</v>
      </c>
      <c r="F662" s="234" t="s">
        <v>58</v>
      </c>
      <c r="G662" s="235"/>
      <c r="H662" s="222"/>
      <c r="I662" s="223"/>
    </row>
    <row r="663" spans="1:9" s="3" customFormat="1">
      <c r="A663" s="232" t="s">
        <v>247</v>
      </c>
      <c r="B663" s="233" t="s">
        <v>26</v>
      </c>
      <c r="C663" s="234" t="s">
        <v>71</v>
      </c>
      <c r="D663" s="234" t="s">
        <v>53</v>
      </c>
      <c r="E663" s="234" t="s">
        <v>374</v>
      </c>
      <c r="F663" s="234" t="s">
        <v>58</v>
      </c>
      <c r="G663" s="235"/>
      <c r="H663" s="222"/>
      <c r="I663" s="223"/>
    </row>
    <row r="664" spans="1:9" s="3" customFormat="1">
      <c r="A664" s="244" t="s">
        <v>92</v>
      </c>
      <c r="B664" s="233" t="s">
        <v>26</v>
      </c>
      <c r="C664" s="234" t="s">
        <v>71</v>
      </c>
      <c r="D664" s="234" t="s">
        <v>53</v>
      </c>
      <c r="E664" s="234" t="s">
        <v>374</v>
      </c>
      <c r="F664" s="234" t="s">
        <v>138</v>
      </c>
      <c r="G664" s="235"/>
      <c r="H664" s="222"/>
      <c r="I664" s="223"/>
    </row>
    <row r="665" spans="1:9" s="4" customFormat="1" ht="38.25">
      <c r="A665" s="236" t="s">
        <v>1015</v>
      </c>
      <c r="B665" s="233" t="s">
        <v>26</v>
      </c>
      <c r="C665" s="234" t="s">
        <v>71</v>
      </c>
      <c r="D665" s="234" t="s">
        <v>53</v>
      </c>
      <c r="E665" s="234" t="s">
        <v>374</v>
      </c>
      <c r="F665" s="234" t="s">
        <v>67</v>
      </c>
      <c r="G665" s="235"/>
      <c r="H665" s="222"/>
      <c r="I665" s="223"/>
    </row>
    <row r="666" spans="1:9" s="30" customFormat="1">
      <c r="A666" s="244" t="s">
        <v>93</v>
      </c>
      <c r="B666" s="233" t="s">
        <v>26</v>
      </c>
      <c r="C666" s="234" t="s">
        <v>71</v>
      </c>
      <c r="D666" s="234" t="s">
        <v>53</v>
      </c>
      <c r="E666" s="234" t="s">
        <v>374</v>
      </c>
      <c r="F666" s="234" t="s">
        <v>20</v>
      </c>
      <c r="G666" s="235"/>
      <c r="H666" s="222"/>
      <c r="I666" s="223"/>
    </row>
    <row r="667" spans="1:9" s="83" customFormat="1" ht="38.25">
      <c r="A667" s="236" t="s">
        <v>1018</v>
      </c>
      <c r="B667" s="233" t="s">
        <v>26</v>
      </c>
      <c r="C667" s="234" t="s">
        <v>71</v>
      </c>
      <c r="D667" s="234" t="s">
        <v>53</v>
      </c>
      <c r="E667" s="234" t="s">
        <v>374</v>
      </c>
      <c r="F667" s="234" t="s">
        <v>16</v>
      </c>
      <c r="G667" s="235"/>
      <c r="H667" s="222"/>
      <c r="I667" s="223"/>
    </row>
    <row r="668" spans="1:9" s="3" customFormat="1" ht="63.75">
      <c r="A668" s="244" t="s">
        <v>850</v>
      </c>
      <c r="B668" s="233" t="s">
        <v>26</v>
      </c>
      <c r="C668" s="234" t="s">
        <v>71</v>
      </c>
      <c r="D668" s="234" t="s">
        <v>53</v>
      </c>
      <c r="E668" s="234" t="s">
        <v>622</v>
      </c>
      <c r="F668" s="234" t="s">
        <v>58</v>
      </c>
      <c r="G668" s="235"/>
      <c r="H668" s="222"/>
      <c r="I668" s="223"/>
    </row>
    <row r="669" spans="1:9" s="3" customFormat="1" ht="63.75">
      <c r="A669" s="232" t="s">
        <v>853</v>
      </c>
      <c r="B669" s="233" t="s">
        <v>26</v>
      </c>
      <c r="C669" s="234" t="s">
        <v>71</v>
      </c>
      <c r="D669" s="234" t="s">
        <v>53</v>
      </c>
      <c r="E669" s="234" t="s">
        <v>623</v>
      </c>
      <c r="F669" s="234" t="s">
        <v>58</v>
      </c>
      <c r="G669" s="235"/>
      <c r="H669" s="222"/>
      <c r="I669" s="223"/>
    </row>
    <row r="670" spans="1:9" s="3" customFormat="1">
      <c r="A670" s="244" t="s">
        <v>92</v>
      </c>
      <c r="B670" s="233" t="s">
        <v>26</v>
      </c>
      <c r="C670" s="234" t="s">
        <v>71</v>
      </c>
      <c r="D670" s="234" t="s">
        <v>53</v>
      </c>
      <c r="E670" s="234" t="s">
        <v>623</v>
      </c>
      <c r="F670" s="234" t="s">
        <v>138</v>
      </c>
      <c r="G670" s="235"/>
      <c r="H670" s="222"/>
      <c r="I670" s="223"/>
    </row>
    <row r="671" spans="1:9" s="4" customFormat="1">
      <c r="A671" s="232" t="s">
        <v>1016</v>
      </c>
      <c r="B671" s="233" t="s">
        <v>26</v>
      </c>
      <c r="C671" s="234" t="s">
        <v>71</v>
      </c>
      <c r="D671" s="234" t="s">
        <v>53</v>
      </c>
      <c r="E671" s="234" t="s">
        <v>623</v>
      </c>
      <c r="F671" s="234" t="s">
        <v>1046</v>
      </c>
      <c r="G671" s="235"/>
      <c r="H671" s="222"/>
      <c r="I671" s="223"/>
    </row>
    <row r="672" spans="1:9" s="3" customFormat="1" ht="25.5">
      <c r="A672" s="244" t="s">
        <v>854</v>
      </c>
      <c r="B672" s="233" t="s">
        <v>26</v>
      </c>
      <c r="C672" s="234" t="s">
        <v>71</v>
      </c>
      <c r="D672" s="234" t="s">
        <v>53</v>
      </c>
      <c r="E672" s="234" t="s">
        <v>624</v>
      </c>
      <c r="F672" s="234" t="s">
        <v>58</v>
      </c>
      <c r="G672" s="235"/>
      <c r="H672" s="222"/>
      <c r="I672" s="223"/>
    </row>
    <row r="673" spans="1:9" s="3" customFormat="1" ht="25.5">
      <c r="A673" s="244" t="s">
        <v>855</v>
      </c>
      <c r="B673" s="233" t="s">
        <v>26</v>
      </c>
      <c r="C673" s="234" t="s">
        <v>71</v>
      </c>
      <c r="D673" s="234" t="s">
        <v>53</v>
      </c>
      <c r="E673" s="234" t="s">
        <v>690</v>
      </c>
      <c r="F673" s="234" t="s">
        <v>58</v>
      </c>
      <c r="G673" s="235"/>
      <c r="H673" s="222"/>
      <c r="I673" s="223"/>
    </row>
    <row r="674" spans="1:9" s="3" customFormat="1">
      <c r="A674" s="244" t="s">
        <v>92</v>
      </c>
      <c r="B674" s="233" t="s">
        <v>26</v>
      </c>
      <c r="C674" s="234" t="s">
        <v>71</v>
      </c>
      <c r="D674" s="234" t="s">
        <v>53</v>
      </c>
      <c r="E674" s="234" t="s">
        <v>690</v>
      </c>
      <c r="F674" s="234" t="s">
        <v>138</v>
      </c>
      <c r="G674" s="235"/>
      <c r="H674" s="222"/>
      <c r="I674" s="223"/>
    </row>
    <row r="675" spans="1:9" s="4" customFormat="1">
      <c r="A675" s="232" t="s">
        <v>1016</v>
      </c>
      <c r="B675" s="233" t="s">
        <v>26</v>
      </c>
      <c r="C675" s="234" t="s">
        <v>71</v>
      </c>
      <c r="D675" s="234" t="s">
        <v>53</v>
      </c>
      <c r="E675" s="234" t="s">
        <v>690</v>
      </c>
      <c r="F675" s="234" t="s">
        <v>1046</v>
      </c>
      <c r="G675" s="235"/>
      <c r="H675" s="222"/>
      <c r="I675" s="223"/>
    </row>
    <row r="676" spans="1:9" s="3" customFormat="1">
      <c r="A676" s="244" t="s">
        <v>93</v>
      </c>
      <c r="B676" s="233" t="s">
        <v>26</v>
      </c>
      <c r="C676" s="234" t="s">
        <v>71</v>
      </c>
      <c r="D676" s="234" t="s">
        <v>53</v>
      </c>
      <c r="E676" s="234" t="s">
        <v>690</v>
      </c>
      <c r="F676" s="234" t="s">
        <v>20</v>
      </c>
      <c r="G676" s="235"/>
      <c r="H676" s="222"/>
      <c r="I676" s="223"/>
    </row>
    <row r="677" spans="1:9" s="4" customFormat="1">
      <c r="A677" s="236" t="s">
        <v>1019</v>
      </c>
      <c r="B677" s="233" t="s">
        <v>26</v>
      </c>
      <c r="C677" s="234" t="s">
        <v>71</v>
      </c>
      <c r="D677" s="234" t="s">
        <v>53</v>
      </c>
      <c r="E677" s="234" t="s">
        <v>690</v>
      </c>
      <c r="F677" s="234" t="s">
        <v>1054</v>
      </c>
      <c r="G677" s="235"/>
      <c r="H677" s="222"/>
      <c r="I677" s="223"/>
    </row>
    <row r="678" spans="1:9" s="3" customFormat="1" ht="38.25">
      <c r="A678" s="244" t="s">
        <v>856</v>
      </c>
      <c r="B678" s="233" t="s">
        <v>26</v>
      </c>
      <c r="C678" s="234" t="s">
        <v>71</v>
      </c>
      <c r="D678" s="234" t="s">
        <v>53</v>
      </c>
      <c r="E678" s="234" t="s">
        <v>781</v>
      </c>
      <c r="F678" s="234" t="s">
        <v>58</v>
      </c>
      <c r="G678" s="235"/>
      <c r="H678" s="222"/>
      <c r="I678" s="223"/>
    </row>
    <row r="679" spans="1:9" s="3" customFormat="1" ht="63.75">
      <c r="A679" s="244" t="s">
        <v>888</v>
      </c>
      <c r="B679" s="233" t="s">
        <v>26</v>
      </c>
      <c r="C679" s="234" t="s">
        <v>71</v>
      </c>
      <c r="D679" s="234" t="s">
        <v>53</v>
      </c>
      <c r="E679" s="234" t="s">
        <v>782</v>
      </c>
      <c r="F679" s="234" t="s">
        <v>58</v>
      </c>
      <c r="G679" s="235"/>
      <c r="H679" s="222"/>
      <c r="I679" s="223"/>
    </row>
    <row r="680" spans="1:9" s="3" customFormat="1">
      <c r="A680" s="244" t="s">
        <v>93</v>
      </c>
      <c r="B680" s="233" t="s">
        <v>26</v>
      </c>
      <c r="C680" s="234" t="s">
        <v>71</v>
      </c>
      <c r="D680" s="234" t="s">
        <v>53</v>
      </c>
      <c r="E680" s="234" t="s">
        <v>782</v>
      </c>
      <c r="F680" s="234" t="s">
        <v>20</v>
      </c>
      <c r="G680" s="235"/>
      <c r="H680" s="222"/>
      <c r="I680" s="223"/>
    </row>
    <row r="681" spans="1:9" s="4" customFormat="1">
      <c r="A681" s="236" t="s">
        <v>1019</v>
      </c>
      <c r="B681" s="233" t="s">
        <v>26</v>
      </c>
      <c r="C681" s="234" t="s">
        <v>71</v>
      </c>
      <c r="D681" s="234" t="s">
        <v>53</v>
      </c>
      <c r="E681" s="234" t="s">
        <v>782</v>
      </c>
      <c r="F681" s="234" t="s">
        <v>1054</v>
      </c>
      <c r="G681" s="235"/>
      <c r="H681" s="222"/>
      <c r="I681" s="223"/>
    </row>
    <row r="682" spans="1:9" s="3" customFormat="1" ht="51">
      <c r="A682" s="232" t="s">
        <v>756</v>
      </c>
      <c r="B682" s="233" t="s">
        <v>26</v>
      </c>
      <c r="C682" s="234" t="s">
        <v>71</v>
      </c>
      <c r="D682" s="234" t="s">
        <v>53</v>
      </c>
      <c r="E682" s="234" t="s">
        <v>339</v>
      </c>
      <c r="F682" s="234" t="s">
        <v>58</v>
      </c>
      <c r="G682" s="235"/>
      <c r="H682" s="222"/>
      <c r="I682" s="223"/>
    </row>
    <row r="683" spans="1:9" s="3" customFormat="1" ht="25.5">
      <c r="A683" s="232" t="s">
        <v>136</v>
      </c>
      <c r="B683" s="233" t="s">
        <v>26</v>
      </c>
      <c r="C683" s="234" t="s">
        <v>71</v>
      </c>
      <c r="D683" s="234" t="s">
        <v>53</v>
      </c>
      <c r="E683" s="234" t="s">
        <v>340</v>
      </c>
      <c r="F683" s="234" t="s">
        <v>58</v>
      </c>
      <c r="G683" s="235"/>
      <c r="H683" s="222"/>
      <c r="I683" s="223"/>
    </row>
    <row r="684" spans="1:9" s="3" customFormat="1" ht="25.5">
      <c r="A684" s="232" t="s">
        <v>667</v>
      </c>
      <c r="B684" s="233" t="s">
        <v>26</v>
      </c>
      <c r="C684" s="234" t="s">
        <v>71</v>
      </c>
      <c r="D684" s="234" t="s">
        <v>53</v>
      </c>
      <c r="E684" s="234" t="s">
        <v>609</v>
      </c>
      <c r="F684" s="234" t="s">
        <v>58</v>
      </c>
      <c r="G684" s="235"/>
      <c r="H684" s="222"/>
      <c r="I684" s="223"/>
    </row>
    <row r="685" spans="1:9" s="3" customFormat="1" ht="25.5">
      <c r="A685" s="232" t="s">
        <v>177</v>
      </c>
      <c r="B685" s="233" t="s">
        <v>26</v>
      </c>
      <c r="C685" s="234" t="s">
        <v>71</v>
      </c>
      <c r="D685" s="234" t="s">
        <v>53</v>
      </c>
      <c r="E685" s="234" t="s">
        <v>610</v>
      </c>
      <c r="F685" s="234" t="s">
        <v>58</v>
      </c>
      <c r="G685" s="235"/>
      <c r="H685" s="222"/>
      <c r="I685" s="223"/>
    </row>
    <row r="686" spans="1:9" s="3" customFormat="1">
      <c r="A686" s="244" t="s">
        <v>92</v>
      </c>
      <c r="B686" s="233" t="s">
        <v>26</v>
      </c>
      <c r="C686" s="234" t="s">
        <v>71</v>
      </c>
      <c r="D686" s="234" t="s">
        <v>53</v>
      </c>
      <c r="E686" s="234" t="s">
        <v>610</v>
      </c>
      <c r="F686" s="234" t="s">
        <v>138</v>
      </c>
      <c r="G686" s="235"/>
      <c r="H686" s="222"/>
      <c r="I686" s="223"/>
    </row>
    <row r="687" spans="1:9" s="4" customFormat="1">
      <c r="A687" s="236" t="s">
        <v>1016</v>
      </c>
      <c r="B687" s="233" t="s">
        <v>26</v>
      </c>
      <c r="C687" s="234" t="s">
        <v>71</v>
      </c>
      <c r="D687" s="234" t="s">
        <v>53</v>
      </c>
      <c r="E687" s="234" t="s">
        <v>610</v>
      </c>
      <c r="F687" s="234" t="s">
        <v>1046</v>
      </c>
      <c r="G687" s="235"/>
      <c r="H687" s="222"/>
      <c r="I687" s="223"/>
    </row>
    <row r="688" spans="1:9" s="30" customFormat="1">
      <c r="A688" s="244" t="s">
        <v>93</v>
      </c>
      <c r="B688" s="233" t="s">
        <v>26</v>
      </c>
      <c r="C688" s="234" t="s">
        <v>71</v>
      </c>
      <c r="D688" s="234" t="s">
        <v>53</v>
      </c>
      <c r="E688" s="234" t="s">
        <v>610</v>
      </c>
      <c r="F688" s="234" t="s">
        <v>20</v>
      </c>
      <c r="G688" s="235"/>
      <c r="H688" s="222"/>
      <c r="I688" s="223"/>
    </row>
    <row r="689" spans="1:9" s="83" customFormat="1">
      <c r="A689" s="236" t="s">
        <v>1019</v>
      </c>
      <c r="B689" s="233" t="s">
        <v>26</v>
      </c>
      <c r="C689" s="234" t="s">
        <v>71</v>
      </c>
      <c r="D689" s="234" t="s">
        <v>53</v>
      </c>
      <c r="E689" s="234" t="s">
        <v>610</v>
      </c>
      <c r="F689" s="234" t="s">
        <v>1054</v>
      </c>
      <c r="G689" s="235"/>
      <c r="H689" s="222"/>
      <c r="I689" s="223"/>
    </row>
    <row r="690" spans="1:9" s="30" customFormat="1" ht="25.5">
      <c r="A690" s="232" t="s">
        <v>757</v>
      </c>
      <c r="B690" s="233" t="s">
        <v>26</v>
      </c>
      <c r="C690" s="234" t="s">
        <v>71</v>
      </c>
      <c r="D690" s="234" t="s">
        <v>53</v>
      </c>
      <c r="E690" s="234" t="s">
        <v>342</v>
      </c>
      <c r="F690" s="234" t="s">
        <v>58</v>
      </c>
      <c r="G690" s="235"/>
      <c r="H690" s="222"/>
      <c r="I690" s="223"/>
    </row>
    <row r="691" spans="1:9" s="30" customFormat="1" ht="25.5">
      <c r="A691" s="237" t="s">
        <v>758</v>
      </c>
      <c r="B691" s="233" t="s">
        <v>26</v>
      </c>
      <c r="C691" s="234" t="s">
        <v>71</v>
      </c>
      <c r="D691" s="234" t="s">
        <v>53</v>
      </c>
      <c r="E691" s="234" t="s">
        <v>343</v>
      </c>
      <c r="F691" s="234" t="s">
        <v>58</v>
      </c>
      <c r="G691" s="235"/>
      <c r="H691" s="222"/>
      <c r="I691" s="223"/>
    </row>
    <row r="692" spans="1:9" s="30" customFormat="1" ht="25.5">
      <c r="A692" s="232" t="s">
        <v>344</v>
      </c>
      <c r="B692" s="233" t="s">
        <v>26</v>
      </c>
      <c r="C692" s="234" t="s">
        <v>71</v>
      </c>
      <c r="D692" s="234" t="s">
        <v>53</v>
      </c>
      <c r="E692" s="234" t="s">
        <v>345</v>
      </c>
      <c r="F692" s="234" t="s">
        <v>58</v>
      </c>
      <c r="G692" s="235"/>
      <c r="H692" s="222"/>
      <c r="I692" s="223"/>
    </row>
    <row r="693" spans="1:9" s="30" customFormat="1" ht="25.5">
      <c r="A693" s="232" t="s">
        <v>174</v>
      </c>
      <c r="B693" s="233" t="s">
        <v>26</v>
      </c>
      <c r="C693" s="234" t="s">
        <v>71</v>
      </c>
      <c r="D693" s="234" t="s">
        <v>53</v>
      </c>
      <c r="E693" s="234" t="s">
        <v>346</v>
      </c>
      <c r="F693" s="234" t="s">
        <v>58</v>
      </c>
      <c r="G693" s="235"/>
      <c r="H693" s="222"/>
      <c r="I693" s="223"/>
    </row>
    <row r="694" spans="1:9" s="30" customFormat="1">
      <c r="A694" s="244" t="s">
        <v>93</v>
      </c>
      <c r="B694" s="233" t="s">
        <v>26</v>
      </c>
      <c r="C694" s="234" t="s">
        <v>71</v>
      </c>
      <c r="D694" s="234" t="s">
        <v>53</v>
      </c>
      <c r="E694" s="234" t="s">
        <v>346</v>
      </c>
      <c r="F694" s="234" t="s">
        <v>20</v>
      </c>
      <c r="G694" s="235"/>
      <c r="H694" s="222"/>
      <c r="I694" s="223"/>
    </row>
    <row r="695" spans="1:9" s="83" customFormat="1">
      <c r="A695" s="236" t="s">
        <v>1019</v>
      </c>
      <c r="B695" s="233" t="s">
        <v>26</v>
      </c>
      <c r="C695" s="234" t="s">
        <v>71</v>
      </c>
      <c r="D695" s="234" t="s">
        <v>53</v>
      </c>
      <c r="E695" s="234" t="s">
        <v>346</v>
      </c>
      <c r="F695" s="234" t="s">
        <v>1054</v>
      </c>
      <c r="G695" s="235"/>
      <c r="H695" s="222"/>
      <c r="I695" s="223"/>
    </row>
    <row r="696" spans="1:9" s="30" customFormat="1">
      <c r="A696" s="228" t="s">
        <v>783</v>
      </c>
      <c r="B696" s="229" t="s">
        <v>26</v>
      </c>
      <c r="C696" s="230" t="s">
        <v>71</v>
      </c>
      <c r="D696" s="230" t="s">
        <v>71</v>
      </c>
      <c r="E696" s="230" t="s">
        <v>196</v>
      </c>
      <c r="F696" s="230" t="s">
        <v>58</v>
      </c>
      <c r="G696" s="231"/>
      <c r="H696" s="222"/>
      <c r="I696" s="223"/>
    </row>
    <row r="697" spans="1:9" s="30" customFormat="1" ht="38.25">
      <c r="A697" s="236" t="s">
        <v>722</v>
      </c>
      <c r="B697" s="233" t="s">
        <v>26</v>
      </c>
      <c r="C697" s="234" t="s">
        <v>71</v>
      </c>
      <c r="D697" s="234" t="s">
        <v>71</v>
      </c>
      <c r="E697" s="234" t="s">
        <v>300</v>
      </c>
      <c r="F697" s="234" t="s">
        <v>58</v>
      </c>
      <c r="G697" s="235"/>
      <c r="H697" s="222"/>
      <c r="I697" s="223"/>
    </row>
    <row r="698" spans="1:9" s="30" customFormat="1">
      <c r="A698" s="236" t="s">
        <v>142</v>
      </c>
      <c r="B698" s="233" t="s">
        <v>26</v>
      </c>
      <c r="C698" s="234" t="s">
        <v>71</v>
      </c>
      <c r="D698" s="234" t="s">
        <v>71</v>
      </c>
      <c r="E698" s="234" t="s">
        <v>453</v>
      </c>
      <c r="F698" s="234" t="s">
        <v>58</v>
      </c>
      <c r="G698" s="235"/>
      <c r="H698" s="222"/>
      <c r="I698" s="223"/>
    </row>
    <row r="699" spans="1:9" s="30" customFormat="1">
      <c r="A699" s="236" t="s">
        <v>454</v>
      </c>
      <c r="B699" s="233" t="s">
        <v>26</v>
      </c>
      <c r="C699" s="234" t="s">
        <v>71</v>
      </c>
      <c r="D699" s="234" t="s">
        <v>71</v>
      </c>
      <c r="E699" s="234" t="s">
        <v>645</v>
      </c>
      <c r="F699" s="234" t="s">
        <v>58</v>
      </c>
      <c r="G699" s="235"/>
      <c r="H699" s="222"/>
      <c r="I699" s="223"/>
    </row>
    <row r="700" spans="1:9" s="30" customFormat="1">
      <c r="A700" s="236" t="s">
        <v>158</v>
      </c>
      <c r="B700" s="233" t="s">
        <v>26</v>
      </c>
      <c r="C700" s="234" t="s">
        <v>71</v>
      </c>
      <c r="D700" s="234" t="s">
        <v>71</v>
      </c>
      <c r="E700" s="234" t="s">
        <v>646</v>
      </c>
      <c r="F700" s="234" t="s">
        <v>58</v>
      </c>
      <c r="G700" s="235"/>
      <c r="H700" s="222"/>
      <c r="I700" s="223"/>
    </row>
    <row r="701" spans="1:9" s="30" customFormat="1" ht="25.5">
      <c r="A701" s="232" t="s">
        <v>108</v>
      </c>
      <c r="B701" s="233" t="s">
        <v>26</v>
      </c>
      <c r="C701" s="234" t="s">
        <v>71</v>
      </c>
      <c r="D701" s="234" t="s">
        <v>71</v>
      </c>
      <c r="E701" s="234" t="s">
        <v>646</v>
      </c>
      <c r="F701" s="234" t="s">
        <v>116</v>
      </c>
      <c r="G701" s="235"/>
      <c r="H701" s="222"/>
      <c r="I701" s="223"/>
    </row>
    <row r="702" spans="1:9" s="83" customFormat="1" ht="25.5">
      <c r="A702" s="236" t="s">
        <v>973</v>
      </c>
      <c r="B702" s="233" t="s">
        <v>26</v>
      </c>
      <c r="C702" s="234" t="s">
        <v>71</v>
      </c>
      <c r="D702" s="234" t="s">
        <v>71</v>
      </c>
      <c r="E702" s="234" t="s">
        <v>646</v>
      </c>
      <c r="F702" s="234" t="s">
        <v>1043</v>
      </c>
      <c r="G702" s="235"/>
      <c r="H702" s="222"/>
      <c r="I702" s="223"/>
    </row>
    <row r="703" spans="1:9" s="30" customFormat="1">
      <c r="A703" s="255" t="s">
        <v>741</v>
      </c>
      <c r="B703" s="233" t="s">
        <v>26</v>
      </c>
      <c r="C703" s="234" t="s">
        <v>71</v>
      </c>
      <c r="D703" s="234" t="s">
        <v>71</v>
      </c>
      <c r="E703" s="234" t="s">
        <v>456</v>
      </c>
      <c r="F703" s="234" t="s">
        <v>58</v>
      </c>
      <c r="G703" s="235"/>
      <c r="H703" s="222"/>
      <c r="I703" s="223"/>
    </row>
    <row r="704" spans="1:9" s="30" customFormat="1" ht="25.5">
      <c r="A704" s="255" t="s">
        <v>742</v>
      </c>
      <c r="B704" s="233" t="s">
        <v>26</v>
      </c>
      <c r="C704" s="234" t="s">
        <v>71</v>
      </c>
      <c r="D704" s="234" t="s">
        <v>71</v>
      </c>
      <c r="E704" s="234" t="s">
        <v>457</v>
      </c>
      <c r="F704" s="234" t="s">
        <v>58</v>
      </c>
      <c r="G704" s="235"/>
      <c r="H704" s="222"/>
      <c r="I704" s="223"/>
    </row>
    <row r="705" spans="1:9" s="30" customFormat="1" ht="25.5">
      <c r="A705" s="236" t="s">
        <v>458</v>
      </c>
      <c r="B705" s="233" t="s">
        <v>26</v>
      </c>
      <c r="C705" s="234" t="s">
        <v>71</v>
      </c>
      <c r="D705" s="234" t="s">
        <v>71</v>
      </c>
      <c r="E705" s="234" t="s">
        <v>459</v>
      </c>
      <c r="F705" s="234" t="s">
        <v>58</v>
      </c>
      <c r="G705" s="235"/>
      <c r="H705" s="222"/>
      <c r="I705" s="223"/>
    </row>
    <row r="706" spans="1:9" s="30" customFormat="1" ht="38.25">
      <c r="A706" s="232" t="s">
        <v>164</v>
      </c>
      <c r="B706" s="233" t="s">
        <v>26</v>
      </c>
      <c r="C706" s="234" t="s">
        <v>71</v>
      </c>
      <c r="D706" s="234" t="s">
        <v>71</v>
      </c>
      <c r="E706" s="234" t="s">
        <v>460</v>
      </c>
      <c r="F706" s="234" t="s">
        <v>58</v>
      </c>
      <c r="G706" s="235"/>
      <c r="H706" s="222"/>
      <c r="I706" s="223"/>
    </row>
    <row r="707" spans="1:9" s="30" customFormat="1">
      <c r="A707" s="244" t="s">
        <v>92</v>
      </c>
      <c r="B707" s="233" t="s">
        <v>26</v>
      </c>
      <c r="C707" s="234" t="s">
        <v>71</v>
      </c>
      <c r="D707" s="234" t="s">
        <v>71</v>
      </c>
      <c r="E707" s="234" t="s">
        <v>460</v>
      </c>
      <c r="F707" s="234" t="s">
        <v>138</v>
      </c>
      <c r="G707" s="235"/>
      <c r="H707" s="222"/>
      <c r="I707" s="223"/>
    </row>
    <row r="708" spans="1:9" s="83" customFormat="1" ht="38.25">
      <c r="A708" s="236" t="s">
        <v>1015</v>
      </c>
      <c r="B708" s="233" t="s">
        <v>26</v>
      </c>
      <c r="C708" s="234" t="s">
        <v>71</v>
      </c>
      <c r="D708" s="234" t="s">
        <v>71</v>
      </c>
      <c r="E708" s="234" t="s">
        <v>460</v>
      </c>
      <c r="F708" s="234" t="s">
        <v>67</v>
      </c>
      <c r="G708" s="235"/>
      <c r="H708" s="222"/>
      <c r="I708" s="223"/>
    </row>
    <row r="709" spans="1:9" s="30" customFormat="1" ht="25.5">
      <c r="A709" s="236" t="s">
        <v>461</v>
      </c>
      <c r="B709" s="233" t="s">
        <v>26</v>
      </c>
      <c r="C709" s="234" t="s">
        <v>71</v>
      </c>
      <c r="D709" s="234" t="s">
        <v>71</v>
      </c>
      <c r="E709" s="234" t="s">
        <v>567</v>
      </c>
      <c r="F709" s="234" t="s">
        <v>58</v>
      </c>
      <c r="G709" s="235"/>
      <c r="H709" s="222"/>
      <c r="I709" s="223"/>
    </row>
    <row r="710" spans="1:9" s="30" customFormat="1" ht="38.25">
      <c r="A710" s="232" t="s">
        <v>164</v>
      </c>
      <c r="B710" s="233" t="s">
        <v>26</v>
      </c>
      <c r="C710" s="234" t="s">
        <v>71</v>
      </c>
      <c r="D710" s="234" t="s">
        <v>71</v>
      </c>
      <c r="E710" s="234" t="s">
        <v>462</v>
      </c>
      <c r="F710" s="234" t="s">
        <v>58</v>
      </c>
      <c r="G710" s="235"/>
      <c r="H710" s="222"/>
      <c r="I710" s="223"/>
    </row>
    <row r="711" spans="1:9" s="30" customFormat="1" ht="25.5">
      <c r="A711" s="232" t="s">
        <v>108</v>
      </c>
      <c r="B711" s="233" t="s">
        <v>26</v>
      </c>
      <c r="C711" s="234" t="s">
        <v>71</v>
      </c>
      <c r="D711" s="234" t="s">
        <v>71</v>
      </c>
      <c r="E711" s="234" t="s">
        <v>462</v>
      </c>
      <c r="F711" s="234" t="s">
        <v>116</v>
      </c>
      <c r="G711" s="235"/>
      <c r="H711" s="222"/>
      <c r="I711" s="223"/>
    </row>
    <row r="712" spans="1:9" s="83" customFormat="1" ht="25.5">
      <c r="A712" s="236" t="s">
        <v>973</v>
      </c>
      <c r="B712" s="233" t="s">
        <v>26</v>
      </c>
      <c r="C712" s="234" t="s">
        <v>71</v>
      </c>
      <c r="D712" s="234" t="s">
        <v>71</v>
      </c>
      <c r="E712" s="234" t="s">
        <v>462</v>
      </c>
      <c r="F712" s="234" t="s">
        <v>1043</v>
      </c>
      <c r="G712" s="235"/>
      <c r="H712" s="222"/>
      <c r="I712" s="223"/>
    </row>
    <row r="713" spans="1:9" s="30" customFormat="1">
      <c r="A713" s="232" t="s">
        <v>89</v>
      </c>
      <c r="B713" s="233" t="s">
        <v>26</v>
      </c>
      <c r="C713" s="234" t="s">
        <v>71</v>
      </c>
      <c r="D713" s="234" t="s">
        <v>71</v>
      </c>
      <c r="E713" s="234" t="s">
        <v>462</v>
      </c>
      <c r="F713" s="234" t="s">
        <v>182</v>
      </c>
      <c r="G713" s="235"/>
      <c r="H713" s="222"/>
      <c r="I713" s="223"/>
    </row>
    <row r="714" spans="1:9" s="30" customFormat="1">
      <c r="A714" s="232" t="s">
        <v>90</v>
      </c>
      <c r="B714" s="233" t="s">
        <v>26</v>
      </c>
      <c r="C714" s="234" t="s">
        <v>71</v>
      </c>
      <c r="D714" s="234" t="s">
        <v>71</v>
      </c>
      <c r="E714" s="234" t="s">
        <v>462</v>
      </c>
      <c r="F714" s="234" t="s">
        <v>181</v>
      </c>
      <c r="G714" s="235"/>
      <c r="H714" s="222"/>
      <c r="I714" s="223"/>
    </row>
    <row r="715" spans="1:9" s="30" customFormat="1">
      <c r="A715" s="244" t="s">
        <v>92</v>
      </c>
      <c r="B715" s="233" t="s">
        <v>26</v>
      </c>
      <c r="C715" s="234" t="s">
        <v>71</v>
      </c>
      <c r="D715" s="234" t="s">
        <v>71</v>
      </c>
      <c r="E715" s="234" t="s">
        <v>462</v>
      </c>
      <c r="F715" s="234" t="s">
        <v>138</v>
      </c>
      <c r="G715" s="235"/>
      <c r="H715" s="222"/>
      <c r="I715" s="223"/>
    </row>
    <row r="716" spans="1:9" s="83" customFormat="1" ht="38.25">
      <c r="A716" s="236" t="s">
        <v>1015</v>
      </c>
      <c r="B716" s="233" t="s">
        <v>26</v>
      </c>
      <c r="C716" s="234" t="s">
        <v>71</v>
      </c>
      <c r="D716" s="234" t="s">
        <v>71</v>
      </c>
      <c r="E716" s="234" t="s">
        <v>462</v>
      </c>
      <c r="F716" s="234" t="s">
        <v>67</v>
      </c>
      <c r="G716" s="235"/>
      <c r="H716" s="222"/>
      <c r="I716" s="223"/>
    </row>
    <row r="717" spans="1:9" s="30" customFormat="1" ht="25.5">
      <c r="A717" s="236" t="s">
        <v>463</v>
      </c>
      <c r="B717" s="233" t="s">
        <v>26</v>
      </c>
      <c r="C717" s="234" t="s">
        <v>71</v>
      </c>
      <c r="D717" s="234" t="s">
        <v>71</v>
      </c>
      <c r="E717" s="234" t="s">
        <v>464</v>
      </c>
      <c r="F717" s="234" t="s">
        <v>58</v>
      </c>
      <c r="G717" s="235"/>
      <c r="H717" s="222"/>
      <c r="I717" s="223"/>
    </row>
    <row r="718" spans="1:9" s="30" customFormat="1" ht="38.25">
      <c r="A718" s="232" t="s">
        <v>164</v>
      </c>
      <c r="B718" s="233" t="s">
        <v>26</v>
      </c>
      <c r="C718" s="234" t="s">
        <v>71</v>
      </c>
      <c r="D718" s="234" t="s">
        <v>71</v>
      </c>
      <c r="E718" s="234" t="s">
        <v>465</v>
      </c>
      <c r="F718" s="234" t="s">
        <v>58</v>
      </c>
      <c r="G718" s="235"/>
      <c r="H718" s="222"/>
      <c r="I718" s="223"/>
    </row>
    <row r="719" spans="1:9" s="30" customFormat="1">
      <c r="A719" s="244" t="s">
        <v>92</v>
      </c>
      <c r="B719" s="233" t="s">
        <v>26</v>
      </c>
      <c r="C719" s="234" t="s">
        <v>71</v>
      </c>
      <c r="D719" s="234" t="s">
        <v>71</v>
      </c>
      <c r="E719" s="234" t="s">
        <v>465</v>
      </c>
      <c r="F719" s="234" t="s">
        <v>138</v>
      </c>
      <c r="G719" s="235"/>
      <c r="H719" s="222"/>
      <c r="I719" s="223"/>
    </row>
    <row r="720" spans="1:9" s="83" customFormat="1" ht="38.25">
      <c r="A720" s="236" t="s">
        <v>1015</v>
      </c>
      <c r="B720" s="233" t="s">
        <v>26</v>
      </c>
      <c r="C720" s="234" t="s">
        <v>71</v>
      </c>
      <c r="D720" s="234" t="s">
        <v>71</v>
      </c>
      <c r="E720" s="234" t="s">
        <v>465</v>
      </c>
      <c r="F720" s="234" t="s">
        <v>67</v>
      </c>
      <c r="G720" s="235"/>
      <c r="H720" s="222"/>
      <c r="I720" s="223"/>
    </row>
    <row r="721" spans="1:9" s="30" customFormat="1" ht="25.5">
      <c r="A721" s="236" t="s">
        <v>466</v>
      </c>
      <c r="B721" s="233" t="s">
        <v>26</v>
      </c>
      <c r="C721" s="234" t="s">
        <v>71</v>
      </c>
      <c r="D721" s="234" t="s">
        <v>71</v>
      </c>
      <c r="E721" s="234" t="s">
        <v>467</v>
      </c>
      <c r="F721" s="234" t="s">
        <v>58</v>
      </c>
      <c r="G721" s="235"/>
      <c r="H721" s="222"/>
      <c r="I721" s="223"/>
    </row>
    <row r="722" spans="1:9" s="30" customFormat="1" ht="38.25">
      <c r="A722" s="232" t="s">
        <v>164</v>
      </c>
      <c r="B722" s="233" t="s">
        <v>26</v>
      </c>
      <c r="C722" s="234" t="s">
        <v>71</v>
      </c>
      <c r="D722" s="234" t="s">
        <v>71</v>
      </c>
      <c r="E722" s="234" t="s">
        <v>468</v>
      </c>
      <c r="F722" s="234" t="s">
        <v>58</v>
      </c>
      <c r="G722" s="235"/>
      <c r="H722" s="222"/>
      <c r="I722" s="223"/>
    </row>
    <row r="723" spans="1:9" s="30" customFormat="1">
      <c r="A723" s="244" t="s">
        <v>92</v>
      </c>
      <c r="B723" s="233" t="s">
        <v>26</v>
      </c>
      <c r="C723" s="234" t="s">
        <v>71</v>
      </c>
      <c r="D723" s="234" t="s">
        <v>71</v>
      </c>
      <c r="E723" s="234" t="s">
        <v>468</v>
      </c>
      <c r="F723" s="234" t="s">
        <v>138</v>
      </c>
      <c r="G723" s="235"/>
      <c r="H723" s="222"/>
      <c r="I723" s="223"/>
    </row>
    <row r="724" spans="1:9" s="83" customFormat="1" ht="38.25">
      <c r="A724" s="236" t="s">
        <v>1015</v>
      </c>
      <c r="B724" s="233" t="s">
        <v>26</v>
      </c>
      <c r="C724" s="234" t="s">
        <v>71</v>
      </c>
      <c r="D724" s="234" t="s">
        <v>71</v>
      </c>
      <c r="E724" s="234" t="s">
        <v>468</v>
      </c>
      <c r="F724" s="234" t="s">
        <v>67</v>
      </c>
      <c r="G724" s="235"/>
      <c r="H724" s="222"/>
      <c r="I724" s="223"/>
    </row>
    <row r="725" spans="1:9" s="30" customFormat="1" ht="25.5">
      <c r="A725" s="236" t="s">
        <v>469</v>
      </c>
      <c r="B725" s="233" t="s">
        <v>26</v>
      </c>
      <c r="C725" s="234" t="s">
        <v>71</v>
      </c>
      <c r="D725" s="234" t="s">
        <v>71</v>
      </c>
      <c r="E725" s="234" t="s">
        <v>470</v>
      </c>
      <c r="F725" s="234" t="s">
        <v>58</v>
      </c>
      <c r="G725" s="235"/>
      <c r="H725" s="222"/>
      <c r="I725" s="223"/>
    </row>
    <row r="726" spans="1:9" s="30" customFormat="1" ht="38.25">
      <c r="A726" s="232" t="s">
        <v>164</v>
      </c>
      <c r="B726" s="233" t="s">
        <v>26</v>
      </c>
      <c r="C726" s="234" t="s">
        <v>71</v>
      </c>
      <c r="D726" s="234" t="s">
        <v>71</v>
      </c>
      <c r="E726" s="234" t="s">
        <v>471</v>
      </c>
      <c r="F726" s="234" t="s">
        <v>58</v>
      </c>
      <c r="G726" s="235"/>
      <c r="H726" s="222"/>
      <c r="I726" s="223"/>
    </row>
    <row r="727" spans="1:9" s="30" customFormat="1">
      <c r="A727" s="244" t="s">
        <v>92</v>
      </c>
      <c r="B727" s="233" t="s">
        <v>26</v>
      </c>
      <c r="C727" s="234" t="s">
        <v>71</v>
      </c>
      <c r="D727" s="234" t="s">
        <v>71</v>
      </c>
      <c r="E727" s="234" t="s">
        <v>471</v>
      </c>
      <c r="F727" s="234" t="s">
        <v>138</v>
      </c>
      <c r="G727" s="235"/>
      <c r="H727" s="222"/>
      <c r="I727" s="223"/>
    </row>
    <row r="728" spans="1:9" s="83" customFormat="1" ht="38.25">
      <c r="A728" s="236" t="s">
        <v>1015</v>
      </c>
      <c r="B728" s="233" t="s">
        <v>26</v>
      </c>
      <c r="C728" s="234" t="s">
        <v>71</v>
      </c>
      <c r="D728" s="234" t="s">
        <v>71</v>
      </c>
      <c r="E728" s="234" t="s">
        <v>471</v>
      </c>
      <c r="F728" s="234" t="s">
        <v>67</v>
      </c>
      <c r="G728" s="235"/>
      <c r="H728" s="222"/>
      <c r="I728" s="223"/>
    </row>
    <row r="729" spans="1:9" s="30" customFormat="1" ht="25.5">
      <c r="A729" s="236" t="s">
        <v>472</v>
      </c>
      <c r="B729" s="233" t="s">
        <v>26</v>
      </c>
      <c r="C729" s="234" t="s">
        <v>71</v>
      </c>
      <c r="D729" s="234" t="s">
        <v>71</v>
      </c>
      <c r="E729" s="234" t="s">
        <v>473</v>
      </c>
      <c r="F729" s="234" t="s">
        <v>58</v>
      </c>
      <c r="G729" s="235"/>
      <c r="H729" s="222"/>
      <c r="I729" s="223"/>
    </row>
    <row r="730" spans="1:9" s="30" customFormat="1">
      <c r="A730" s="236" t="s">
        <v>247</v>
      </c>
      <c r="B730" s="233" t="s">
        <v>26</v>
      </c>
      <c r="C730" s="234" t="s">
        <v>71</v>
      </c>
      <c r="D730" s="234" t="s">
        <v>71</v>
      </c>
      <c r="E730" s="234" t="s">
        <v>474</v>
      </c>
      <c r="F730" s="234" t="s">
        <v>58</v>
      </c>
      <c r="G730" s="235"/>
      <c r="H730" s="222"/>
      <c r="I730" s="223"/>
    </row>
    <row r="731" spans="1:9" s="30" customFormat="1">
      <c r="A731" s="244" t="s">
        <v>92</v>
      </c>
      <c r="B731" s="233" t="s">
        <v>26</v>
      </c>
      <c r="C731" s="234" t="s">
        <v>71</v>
      </c>
      <c r="D731" s="234" t="s">
        <v>71</v>
      </c>
      <c r="E731" s="234" t="s">
        <v>474</v>
      </c>
      <c r="F731" s="234" t="s">
        <v>138</v>
      </c>
      <c r="G731" s="235"/>
      <c r="H731" s="222"/>
      <c r="I731" s="223"/>
    </row>
    <row r="732" spans="1:9" s="83" customFormat="1" ht="38.25">
      <c r="A732" s="236" t="s">
        <v>1015</v>
      </c>
      <c r="B732" s="233" t="s">
        <v>26</v>
      </c>
      <c r="C732" s="234" t="s">
        <v>71</v>
      </c>
      <c r="D732" s="234" t="s">
        <v>71</v>
      </c>
      <c r="E732" s="234" t="s">
        <v>474</v>
      </c>
      <c r="F732" s="234" t="s">
        <v>67</v>
      </c>
      <c r="G732" s="235"/>
      <c r="H732" s="222"/>
      <c r="I732" s="223"/>
    </row>
    <row r="733" spans="1:9" s="3" customFormat="1">
      <c r="A733" s="224" t="s">
        <v>83</v>
      </c>
      <c r="B733" s="225" t="s">
        <v>26</v>
      </c>
      <c r="C733" s="226" t="s">
        <v>50</v>
      </c>
      <c r="D733" s="226" t="s">
        <v>51</v>
      </c>
      <c r="E733" s="226" t="s">
        <v>196</v>
      </c>
      <c r="F733" s="226" t="s">
        <v>58</v>
      </c>
      <c r="G733" s="227"/>
      <c r="H733" s="222"/>
      <c r="I733" s="223"/>
    </row>
    <row r="734" spans="1:9" s="3" customFormat="1">
      <c r="A734" s="228" t="s">
        <v>27</v>
      </c>
      <c r="B734" s="229" t="s">
        <v>26</v>
      </c>
      <c r="C734" s="230" t="s">
        <v>50</v>
      </c>
      <c r="D734" s="230" t="s">
        <v>65</v>
      </c>
      <c r="E734" s="230" t="s">
        <v>196</v>
      </c>
      <c r="F734" s="230" t="s">
        <v>58</v>
      </c>
      <c r="G734" s="231"/>
      <c r="H734" s="222"/>
      <c r="I734" s="223"/>
    </row>
    <row r="735" spans="1:9" s="3" customFormat="1">
      <c r="A735" s="232" t="s">
        <v>739</v>
      </c>
      <c r="B735" s="233" t="s">
        <v>26</v>
      </c>
      <c r="C735" s="234" t="s">
        <v>50</v>
      </c>
      <c r="D735" s="234" t="s">
        <v>65</v>
      </c>
      <c r="E735" s="234" t="s">
        <v>277</v>
      </c>
      <c r="F735" s="234" t="s">
        <v>58</v>
      </c>
      <c r="G735" s="235"/>
      <c r="H735" s="222"/>
      <c r="I735" s="223"/>
    </row>
    <row r="736" spans="1:9" s="3" customFormat="1" ht="38.25">
      <c r="A736" s="232" t="s">
        <v>191</v>
      </c>
      <c r="B736" s="233" t="s">
        <v>26</v>
      </c>
      <c r="C736" s="234" t="s">
        <v>50</v>
      </c>
      <c r="D736" s="234" t="s">
        <v>65</v>
      </c>
      <c r="E736" s="234" t="s">
        <v>278</v>
      </c>
      <c r="F736" s="234" t="s">
        <v>58</v>
      </c>
      <c r="G736" s="235"/>
      <c r="H736" s="222"/>
      <c r="I736" s="223"/>
    </row>
    <row r="737" spans="1:9" s="3" customFormat="1" ht="51">
      <c r="A737" s="232" t="s">
        <v>605</v>
      </c>
      <c r="B737" s="233" t="s">
        <v>26</v>
      </c>
      <c r="C737" s="234" t="s">
        <v>50</v>
      </c>
      <c r="D737" s="234" t="s">
        <v>65</v>
      </c>
      <c r="E737" s="234" t="s">
        <v>279</v>
      </c>
      <c r="F737" s="234" t="s">
        <v>58</v>
      </c>
      <c r="G737" s="235"/>
      <c r="H737" s="222"/>
      <c r="I737" s="223"/>
    </row>
    <row r="738" spans="1:9" s="3" customFormat="1">
      <c r="A738" s="232" t="s">
        <v>161</v>
      </c>
      <c r="B738" s="233" t="s">
        <v>26</v>
      </c>
      <c r="C738" s="234" t="s">
        <v>50</v>
      </c>
      <c r="D738" s="234" t="s">
        <v>65</v>
      </c>
      <c r="E738" s="234" t="s">
        <v>320</v>
      </c>
      <c r="F738" s="234" t="s">
        <v>58</v>
      </c>
      <c r="G738" s="235"/>
      <c r="H738" s="222"/>
      <c r="I738" s="223"/>
    </row>
    <row r="739" spans="1:9" s="3" customFormat="1">
      <c r="A739" s="244" t="s">
        <v>92</v>
      </c>
      <c r="B739" s="233" t="s">
        <v>26</v>
      </c>
      <c r="C739" s="234" t="s">
        <v>50</v>
      </c>
      <c r="D739" s="234" t="s">
        <v>65</v>
      </c>
      <c r="E739" s="234" t="s">
        <v>320</v>
      </c>
      <c r="F739" s="234" t="s">
        <v>138</v>
      </c>
      <c r="G739" s="235"/>
      <c r="H739" s="222"/>
      <c r="I739" s="223"/>
    </row>
    <row r="740" spans="1:9" s="4" customFormat="1" ht="38.25">
      <c r="A740" s="236" t="s">
        <v>1015</v>
      </c>
      <c r="B740" s="233" t="s">
        <v>26</v>
      </c>
      <c r="C740" s="234" t="s">
        <v>50</v>
      </c>
      <c r="D740" s="234" t="s">
        <v>65</v>
      </c>
      <c r="E740" s="234" t="s">
        <v>320</v>
      </c>
      <c r="F740" s="234" t="s">
        <v>67</v>
      </c>
      <c r="G740" s="235"/>
      <c r="H740" s="222"/>
      <c r="I740" s="223"/>
    </row>
    <row r="741" spans="1:9" s="3" customFormat="1">
      <c r="A741" s="244" t="s">
        <v>93</v>
      </c>
      <c r="B741" s="233" t="s">
        <v>26</v>
      </c>
      <c r="C741" s="234" t="s">
        <v>50</v>
      </c>
      <c r="D741" s="234" t="s">
        <v>65</v>
      </c>
      <c r="E741" s="234" t="s">
        <v>320</v>
      </c>
      <c r="F741" s="234" t="s">
        <v>20</v>
      </c>
      <c r="G741" s="235"/>
      <c r="H741" s="222"/>
      <c r="I741" s="223"/>
    </row>
    <row r="742" spans="1:9" s="4" customFormat="1" ht="38.25">
      <c r="A742" s="236" t="s">
        <v>1018</v>
      </c>
      <c r="B742" s="233" t="s">
        <v>26</v>
      </c>
      <c r="C742" s="234" t="s">
        <v>50</v>
      </c>
      <c r="D742" s="234" t="s">
        <v>65</v>
      </c>
      <c r="E742" s="234" t="s">
        <v>320</v>
      </c>
      <c r="F742" s="234" t="s">
        <v>16</v>
      </c>
      <c r="G742" s="235"/>
      <c r="H742" s="222"/>
      <c r="I742" s="223"/>
    </row>
    <row r="743" spans="1:9" s="3" customFormat="1">
      <c r="A743" s="232" t="s">
        <v>140</v>
      </c>
      <c r="B743" s="233" t="s">
        <v>26</v>
      </c>
      <c r="C743" s="234" t="s">
        <v>50</v>
      </c>
      <c r="D743" s="234" t="s">
        <v>65</v>
      </c>
      <c r="E743" s="234" t="s">
        <v>372</v>
      </c>
      <c r="F743" s="234" t="s">
        <v>58</v>
      </c>
      <c r="G743" s="235"/>
      <c r="H743" s="222"/>
      <c r="I743" s="223"/>
    </row>
    <row r="744" spans="1:9" s="3" customFormat="1" ht="25.5">
      <c r="A744" s="232" t="s">
        <v>377</v>
      </c>
      <c r="B744" s="233" t="s">
        <v>26</v>
      </c>
      <c r="C744" s="234" t="s">
        <v>50</v>
      </c>
      <c r="D744" s="234" t="s">
        <v>65</v>
      </c>
      <c r="E744" s="234" t="s">
        <v>378</v>
      </c>
      <c r="F744" s="234" t="s">
        <v>58</v>
      </c>
      <c r="G744" s="235"/>
      <c r="H744" s="222"/>
      <c r="I744" s="223"/>
    </row>
    <row r="745" spans="1:9" s="3" customFormat="1">
      <c r="A745" s="232" t="s">
        <v>247</v>
      </c>
      <c r="B745" s="233" t="s">
        <v>26</v>
      </c>
      <c r="C745" s="234" t="s">
        <v>50</v>
      </c>
      <c r="D745" s="234" t="s">
        <v>65</v>
      </c>
      <c r="E745" s="234" t="s">
        <v>379</v>
      </c>
      <c r="F745" s="234" t="s">
        <v>58</v>
      </c>
      <c r="G745" s="235"/>
      <c r="H745" s="222"/>
      <c r="I745" s="223"/>
    </row>
    <row r="746" spans="1:9" s="3" customFormat="1">
      <c r="A746" s="244" t="s">
        <v>92</v>
      </c>
      <c r="B746" s="233" t="s">
        <v>26</v>
      </c>
      <c r="C746" s="234" t="s">
        <v>50</v>
      </c>
      <c r="D746" s="234" t="s">
        <v>65</v>
      </c>
      <c r="E746" s="234" t="s">
        <v>379</v>
      </c>
      <c r="F746" s="234" t="s">
        <v>138</v>
      </c>
      <c r="G746" s="235"/>
      <c r="H746" s="222"/>
      <c r="I746" s="223"/>
    </row>
    <row r="747" spans="1:9" s="4" customFormat="1" ht="38.25">
      <c r="A747" s="236" t="s">
        <v>1015</v>
      </c>
      <c r="B747" s="233" t="s">
        <v>26</v>
      </c>
      <c r="C747" s="234" t="s">
        <v>50</v>
      </c>
      <c r="D747" s="234" t="s">
        <v>65</v>
      </c>
      <c r="E747" s="234" t="s">
        <v>379</v>
      </c>
      <c r="F747" s="234" t="s">
        <v>67</v>
      </c>
      <c r="G747" s="235"/>
      <c r="H747" s="222"/>
      <c r="I747" s="223"/>
    </row>
    <row r="748" spans="1:9" s="3" customFormat="1">
      <c r="A748" s="244" t="s">
        <v>93</v>
      </c>
      <c r="B748" s="233" t="s">
        <v>26</v>
      </c>
      <c r="C748" s="234" t="s">
        <v>50</v>
      </c>
      <c r="D748" s="234" t="s">
        <v>65</v>
      </c>
      <c r="E748" s="234" t="s">
        <v>379</v>
      </c>
      <c r="F748" s="234" t="s">
        <v>20</v>
      </c>
      <c r="G748" s="235"/>
      <c r="H748" s="222"/>
      <c r="I748" s="223"/>
    </row>
    <row r="749" spans="1:9" s="4" customFormat="1" ht="38.25">
      <c r="A749" s="236" t="s">
        <v>1018</v>
      </c>
      <c r="B749" s="233" t="s">
        <v>26</v>
      </c>
      <c r="C749" s="234" t="s">
        <v>50</v>
      </c>
      <c r="D749" s="234" t="s">
        <v>65</v>
      </c>
      <c r="E749" s="234" t="s">
        <v>379</v>
      </c>
      <c r="F749" s="234" t="s">
        <v>16</v>
      </c>
      <c r="G749" s="235"/>
      <c r="H749" s="222"/>
      <c r="I749" s="223"/>
    </row>
    <row r="750" spans="1:9" s="3" customFormat="1" ht="25.5">
      <c r="A750" s="232" t="s">
        <v>380</v>
      </c>
      <c r="B750" s="233" t="s">
        <v>26</v>
      </c>
      <c r="C750" s="234" t="s">
        <v>50</v>
      </c>
      <c r="D750" s="234" t="s">
        <v>65</v>
      </c>
      <c r="E750" s="234" t="s">
        <v>381</v>
      </c>
      <c r="F750" s="234" t="s">
        <v>58</v>
      </c>
      <c r="G750" s="235"/>
      <c r="H750" s="222"/>
      <c r="I750" s="223"/>
    </row>
    <row r="751" spans="1:9" s="3" customFormat="1">
      <c r="A751" s="232" t="s">
        <v>247</v>
      </c>
      <c r="B751" s="233" t="s">
        <v>26</v>
      </c>
      <c r="C751" s="234" t="s">
        <v>50</v>
      </c>
      <c r="D751" s="234" t="s">
        <v>65</v>
      </c>
      <c r="E751" s="234" t="s">
        <v>382</v>
      </c>
      <c r="F751" s="234" t="s">
        <v>58</v>
      </c>
      <c r="G751" s="235"/>
      <c r="H751" s="222"/>
      <c r="I751" s="223"/>
    </row>
    <row r="752" spans="1:9" s="3" customFormat="1">
      <c r="A752" s="244" t="s">
        <v>92</v>
      </c>
      <c r="B752" s="233" t="s">
        <v>26</v>
      </c>
      <c r="C752" s="234" t="s">
        <v>50</v>
      </c>
      <c r="D752" s="234" t="s">
        <v>65</v>
      </c>
      <c r="E752" s="234" t="s">
        <v>382</v>
      </c>
      <c r="F752" s="234" t="s">
        <v>138</v>
      </c>
      <c r="G752" s="235"/>
      <c r="H752" s="222"/>
      <c r="I752" s="223"/>
    </row>
    <row r="753" spans="1:9" s="4" customFormat="1" ht="38.25">
      <c r="A753" s="236" t="s">
        <v>1015</v>
      </c>
      <c r="B753" s="233" t="s">
        <v>26</v>
      </c>
      <c r="C753" s="234" t="s">
        <v>50</v>
      </c>
      <c r="D753" s="234" t="s">
        <v>65</v>
      </c>
      <c r="E753" s="234" t="s">
        <v>382</v>
      </c>
      <c r="F753" s="234" t="s">
        <v>67</v>
      </c>
      <c r="G753" s="235"/>
      <c r="H753" s="222"/>
      <c r="I753" s="223"/>
    </row>
    <row r="754" spans="1:9" s="3" customFormat="1" ht="25.5">
      <c r="A754" s="232" t="s">
        <v>383</v>
      </c>
      <c r="B754" s="233" t="s">
        <v>26</v>
      </c>
      <c r="C754" s="234" t="s">
        <v>50</v>
      </c>
      <c r="D754" s="234" t="s">
        <v>65</v>
      </c>
      <c r="E754" s="234" t="s">
        <v>384</v>
      </c>
      <c r="F754" s="234" t="s">
        <v>58</v>
      </c>
      <c r="G754" s="235"/>
      <c r="H754" s="222"/>
      <c r="I754" s="223"/>
    </row>
    <row r="755" spans="1:9" s="3" customFormat="1">
      <c r="A755" s="232" t="s">
        <v>247</v>
      </c>
      <c r="B755" s="233" t="s">
        <v>26</v>
      </c>
      <c r="C755" s="234" t="s">
        <v>50</v>
      </c>
      <c r="D755" s="234" t="s">
        <v>65</v>
      </c>
      <c r="E755" s="234" t="s">
        <v>385</v>
      </c>
      <c r="F755" s="234" t="s">
        <v>58</v>
      </c>
      <c r="G755" s="235"/>
      <c r="H755" s="222"/>
      <c r="I755" s="223"/>
    </row>
    <row r="756" spans="1:9" s="3" customFormat="1">
      <c r="A756" s="244" t="s">
        <v>92</v>
      </c>
      <c r="B756" s="233" t="s">
        <v>26</v>
      </c>
      <c r="C756" s="234" t="s">
        <v>50</v>
      </c>
      <c r="D756" s="234" t="s">
        <v>65</v>
      </c>
      <c r="E756" s="234" t="s">
        <v>385</v>
      </c>
      <c r="F756" s="234" t="s">
        <v>138</v>
      </c>
      <c r="G756" s="235"/>
      <c r="H756" s="222"/>
      <c r="I756" s="223"/>
    </row>
    <row r="757" spans="1:9" s="4" customFormat="1" ht="38.25">
      <c r="A757" s="236" t="s">
        <v>1015</v>
      </c>
      <c r="B757" s="233" t="s">
        <v>26</v>
      </c>
      <c r="C757" s="234" t="s">
        <v>50</v>
      </c>
      <c r="D757" s="234" t="s">
        <v>65</v>
      </c>
      <c r="E757" s="234" t="s">
        <v>385</v>
      </c>
      <c r="F757" s="234" t="s">
        <v>67</v>
      </c>
      <c r="G757" s="235"/>
      <c r="H757" s="222"/>
      <c r="I757" s="223"/>
    </row>
    <row r="758" spans="1:9" s="3" customFormat="1" ht="25.5">
      <c r="A758" s="244" t="s">
        <v>919</v>
      </c>
      <c r="B758" s="233" t="s">
        <v>26</v>
      </c>
      <c r="C758" s="234" t="s">
        <v>50</v>
      </c>
      <c r="D758" s="234" t="s">
        <v>65</v>
      </c>
      <c r="E758" s="234" t="s">
        <v>918</v>
      </c>
      <c r="F758" s="234" t="s">
        <v>58</v>
      </c>
      <c r="G758" s="235"/>
      <c r="H758" s="222"/>
      <c r="I758" s="223"/>
    </row>
    <row r="759" spans="1:9" s="3" customFormat="1">
      <c r="A759" s="244" t="s">
        <v>92</v>
      </c>
      <c r="B759" s="233" t="s">
        <v>26</v>
      </c>
      <c r="C759" s="234" t="s">
        <v>50</v>
      </c>
      <c r="D759" s="234" t="s">
        <v>65</v>
      </c>
      <c r="E759" s="234" t="s">
        <v>918</v>
      </c>
      <c r="F759" s="234" t="s">
        <v>138</v>
      </c>
      <c r="G759" s="235"/>
      <c r="H759" s="222"/>
      <c r="I759" s="223"/>
    </row>
    <row r="760" spans="1:9" s="4" customFormat="1" ht="38.25">
      <c r="A760" s="236" t="s">
        <v>1015</v>
      </c>
      <c r="B760" s="233" t="s">
        <v>26</v>
      </c>
      <c r="C760" s="234" t="s">
        <v>50</v>
      </c>
      <c r="D760" s="234" t="s">
        <v>65</v>
      </c>
      <c r="E760" s="234" t="s">
        <v>918</v>
      </c>
      <c r="F760" s="234" t="s">
        <v>67</v>
      </c>
      <c r="G760" s="235"/>
      <c r="H760" s="222"/>
      <c r="I760" s="223"/>
    </row>
    <row r="761" spans="1:9" s="3" customFormat="1" ht="25.5">
      <c r="A761" s="232" t="s">
        <v>386</v>
      </c>
      <c r="B761" s="233" t="s">
        <v>26</v>
      </c>
      <c r="C761" s="234" t="s">
        <v>50</v>
      </c>
      <c r="D761" s="234" t="s">
        <v>65</v>
      </c>
      <c r="E761" s="234" t="s">
        <v>387</v>
      </c>
      <c r="F761" s="234" t="s">
        <v>58</v>
      </c>
      <c r="G761" s="235"/>
      <c r="H761" s="222"/>
      <c r="I761" s="223"/>
    </row>
    <row r="762" spans="1:9" s="3" customFormat="1">
      <c r="A762" s="232" t="s">
        <v>247</v>
      </c>
      <c r="B762" s="233" t="s">
        <v>26</v>
      </c>
      <c r="C762" s="234" t="s">
        <v>50</v>
      </c>
      <c r="D762" s="234" t="s">
        <v>65</v>
      </c>
      <c r="E762" s="234" t="s">
        <v>388</v>
      </c>
      <c r="F762" s="234" t="s">
        <v>58</v>
      </c>
      <c r="G762" s="235"/>
      <c r="H762" s="222"/>
      <c r="I762" s="223"/>
    </row>
    <row r="763" spans="1:9" s="3" customFormat="1">
      <c r="A763" s="244" t="s">
        <v>92</v>
      </c>
      <c r="B763" s="233" t="s">
        <v>26</v>
      </c>
      <c r="C763" s="234" t="s">
        <v>50</v>
      </c>
      <c r="D763" s="234" t="s">
        <v>65</v>
      </c>
      <c r="E763" s="234" t="s">
        <v>388</v>
      </c>
      <c r="F763" s="234" t="s">
        <v>138</v>
      </c>
      <c r="G763" s="235"/>
      <c r="H763" s="222"/>
      <c r="I763" s="223"/>
    </row>
    <row r="764" spans="1:9" s="4" customFormat="1" ht="38.25">
      <c r="A764" s="236" t="s">
        <v>1015</v>
      </c>
      <c r="B764" s="233" t="s">
        <v>26</v>
      </c>
      <c r="C764" s="234" t="s">
        <v>50</v>
      </c>
      <c r="D764" s="234" t="s">
        <v>65</v>
      </c>
      <c r="E764" s="234" t="s">
        <v>388</v>
      </c>
      <c r="F764" s="234" t="s">
        <v>67</v>
      </c>
      <c r="G764" s="235"/>
      <c r="H764" s="222"/>
      <c r="I764" s="223"/>
    </row>
    <row r="765" spans="1:9" s="3" customFormat="1">
      <c r="A765" s="244" t="s">
        <v>93</v>
      </c>
      <c r="B765" s="233" t="s">
        <v>26</v>
      </c>
      <c r="C765" s="234" t="s">
        <v>50</v>
      </c>
      <c r="D765" s="234" t="s">
        <v>65</v>
      </c>
      <c r="E765" s="234" t="s">
        <v>388</v>
      </c>
      <c r="F765" s="234" t="s">
        <v>20</v>
      </c>
      <c r="G765" s="235"/>
      <c r="H765" s="222"/>
      <c r="I765" s="223"/>
    </row>
    <row r="766" spans="1:9" s="4" customFormat="1" ht="38.25">
      <c r="A766" s="236" t="s">
        <v>1018</v>
      </c>
      <c r="B766" s="233" t="s">
        <v>26</v>
      </c>
      <c r="C766" s="234" t="s">
        <v>50</v>
      </c>
      <c r="D766" s="234" t="s">
        <v>65</v>
      </c>
      <c r="E766" s="234" t="s">
        <v>388</v>
      </c>
      <c r="F766" s="234" t="s">
        <v>16</v>
      </c>
      <c r="G766" s="235"/>
      <c r="H766" s="222"/>
      <c r="I766" s="223"/>
    </row>
    <row r="767" spans="1:9" s="3" customFormat="1" ht="63.75">
      <c r="A767" s="244" t="s">
        <v>850</v>
      </c>
      <c r="B767" s="233" t="s">
        <v>26</v>
      </c>
      <c r="C767" s="234" t="s">
        <v>50</v>
      </c>
      <c r="D767" s="234" t="s">
        <v>65</v>
      </c>
      <c r="E767" s="234" t="s">
        <v>622</v>
      </c>
      <c r="F767" s="234" t="s">
        <v>58</v>
      </c>
      <c r="G767" s="235"/>
      <c r="H767" s="222"/>
      <c r="I767" s="223"/>
    </row>
    <row r="768" spans="1:9" s="3" customFormat="1" ht="63.75">
      <c r="A768" s="232" t="s">
        <v>853</v>
      </c>
      <c r="B768" s="233" t="s">
        <v>26</v>
      </c>
      <c r="C768" s="234" t="s">
        <v>50</v>
      </c>
      <c r="D768" s="234" t="s">
        <v>65</v>
      </c>
      <c r="E768" s="234" t="s">
        <v>623</v>
      </c>
      <c r="F768" s="234" t="s">
        <v>58</v>
      </c>
      <c r="G768" s="235"/>
      <c r="H768" s="222"/>
      <c r="I768" s="223"/>
    </row>
    <row r="769" spans="1:9" s="3" customFormat="1">
      <c r="A769" s="244" t="s">
        <v>92</v>
      </c>
      <c r="B769" s="233" t="s">
        <v>26</v>
      </c>
      <c r="C769" s="234" t="s">
        <v>50</v>
      </c>
      <c r="D769" s="234" t="s">
        <v>65</v>
      </c>
      <c r="E769" s="234" t="s">
        <v>623</v>
      </c>
      <c r="F769" s="234" t="s">
        <v>138</v>
      </c>
      <c r="G769" s="235"/>
      <c r="H769" s="222"/>
      <c r="I769" s="223"/>
    </row>
    <row r="770" spans="1:9" s="4" customFormat="1">
      <c r="A770" s="236" t="s">
        <v>1016</v>
      </c>
      <c r="B770" s="233" t="s">
        <v>26</v>
      </c>
      <c r="C770" s="234" t="s">
        <v>50</v>
      </c>
      <c r="D770" s="234" t="s">
        <v>65</v>
      </c>
      <c r="E770" s="234" t="s">
        <v>623</v>
      </c>
      <c r="F770" s="234" t="s">
        <v>1046</v>
      </c>
      <c r="G770" s="235"/>
      <c r="H770" s="222"/>
      <c r="I770" s="223"/>
    </row>
    <row r="771" spans="1:9" s="3" customFormat="1" ht="25.5">
      <c r="A771" s="244" t="s">
        <v>854</v>
      </c>
      <c r="B771" s="233" t="s">
        <v>26</v>
      </c>
      <c r="C771" s="234" t="s">
        <v>50</v>
      </c>
      <c r="D771" s="234" t="s">
        <v>65</v>
      </c>
      <c r="E771" s="234" t="s">
        <v>624</v>
      </c>
      <c r="F771" s="234" t="s">
        <v>58</v>
      </c>
      <c r="G771" s="235"/>
      <c r="H771" s="222"/>
      <c r="I771" s="223"/>
    </row>
    <row r="772" spans="1:9" s="3" customFormat="1" ht="25.5">
      <c r="A772" s="244" t="s">
        <v>855</v>
      </c>
      <c r="B772" s="233" t="s">
        <v>26</v>
      </c>
      <c r="C772" s="234" t="s">
        <v>50</v>
      </c>
      <c r="D772" s="234" t="s">
        <v>65</v>
      </c>
      <c r="E772" s="234" t="s">
        <v>690</v>
      </c>
      <c r="F772" s="234" t="s">
        <v>58</v>
      </c>
      <c r="G772" s="235"/>
      <c r="H772" s="222"/>
      <c r="I772" s="223"/>
    </row>
    <row r="773" spans="1:9" s="3" customFormat="1">
      <c r="A773" s="244" t="s">
        <v>92</v>
      </c>
      <c r="B773" s="233" t="s">
        <v>26</v>
      </c>
      <c r="C773" s="234" t="s">
        <v>50</v>
      </c>
      <c r="D773" s="234" t="s">
        <v>65</v>
      </c>
      <c r="E773" s="234" t="s">
        <v>690</v>
      </c>
      <c r="F773" s="234" t="s">
        <v>138</v>
      </c>
      <c r="G773" s="235"/>
      <c r="H773" s="222"/>
      <c r="I773" s="223"/>
    </row>
    <row r="774" spans="1:9" s="4" customFormat="1">
      <c r="A774" s="236" t="s">
        <v>1016</v>
      </c>
      <c r="B774" s="233" t="s">
        <v>26</v>
      </c>
      <c r="C774" s="234" t="s">
        <v>50</v>
      </c>
      <c r="D774" s="234" t="s">
        <v>65</v>
      </c>
      <c r="E774" s="234" t="s">
        <v>690</v>
      </c>
      <c r="F774" s="234" t="s">
        <v>1046</v>
      </c>
      <c r="G774" s="235"/>
      <c r="H774" s="222"/>
      <c r="I774" s="223"/>
    </row>
    <row r="775" spans="1:9" s="3" customFormat="1" ht="38.25">
      <c r="A775" s="244" t="s">
        <v>715</v>
      </c>
      <c r="B775" s="233" t="s">
        <v>26</v>
      </c>
      <c r="C775" s="234" t="s">
        <v>50</v>
      </c>
      <c r="D775" s="234" t="s">
        <v>65</v>
      </c>
      <c r="E775" s="234" t="s">
        <v>714</v>
      </c>
      <c r="F775" s="234" t="s">
        <v>58</v>
      </c>
      <c r="G775" s="235"/>
      <c r="H775" s="222"/>
      <c r="I775" s="223"/>
    </row>
    <row r="776" spans="1:9" s="3" customFormat="1" ht="38.25">
      <c r="A776" s="244" t="s">
        <v>717</v>
      </c>
      <c r="B776" s="233" t="s">
        <v>26</v>
      </c>
      <c r="C776" s="234" t="s">
        <v>50</v>
      </c>
      <c r="D776" s="234" t="s">
        <v>65</v>
      </c>
      <c r="E776" s="234" t="s">
        <v>716</v>
      </c>
      <c r="F776" s="234" t="s">
        <v>58</v>
      </c>
      <c r="G776" s="235"/>
      <c r="H776" s="222"/>
      <c r="I776" s="223"/>
    </row>
    <row r="777" spans="1:9" s="3" customFormat="1" ht="25.5">
      <c r="A777" s="244" t="s">
        <v>111</v>
      </c>
      <c r="B777" s="233" t="s">
        <v>26</v>
      </c>
      <c r="C777" s="234" t="s">
        <v>50</v>
      </c>
      <c r="D777" s="234" t="s">
        <v>65</v>
      </c>
      <c r="E777" s="234" t="s">
        <v>716</v>
      </c>
      <c r="F777" s="234" t="s">
        <v>104</v>
      </c>
      <c r="G777" s="235"/>
      <c r="H777" s="222"/>
      <c r="I777" s="223"/>
    </row>
    <row r="778" spans="1:9" s="4" customFormat="1" ht="63.75">
      <c r="A778" s="236" t="s">
        <v>1048</v>
      </c>
      <c r="B778" s="233" t="s">
        <v>26</v>
      </c>
      <c r="C778" s="234" t="s">
        <v>50</v>
      </c>
      <c r="D778" s="234" t="s">
        <v>65</v>
      </c>
      <c r="E778" s="234" t="s">
        <v>716</v>
      </c>
      <c r="F778" s="234" t="s">
        <v>1055</v>
      </c>
      <c r="G778" s="235"/>
      <c r="H778" s="222"/>
      <c r="I778" s="223"/>
    </row>
    <row r="779" spans="1:9" s="3" customFormat="1" ht="25.5">
      <c r="A779" s="236" t="s">
        <v>752</v>
      </c>
      <c r="B779" s="233" t="s">
        <v>26</v>
      </c>
      <c r="C779" s="234" t="s">
        <v>50</v>
      </c>
      <c r="D779" s="234" t="s">
        <v>65</v>
      </c>
      <c r="E779" s="241" t="s">
        <v>249</v>
      </c>
      <c r="F779" s="241" t="s">
        <v>58</v>
      </c>
      <c r="G779" s="247"/>
      <c r="H779" s="222"/>
      <c r="I779" s="223"/>
    </row>
    <row r="780" spans="1:9" s="3" customFormat="1">
      <c r="A780" s="232" t="s">
        <v>753</v>
      </c>
      <c r="B780" s="233" t="s">
        <v>26</v>
      </c>
      <c r="C780" s="234" t="s">
        <v>50</v>
      </c>
      <c r="D780" s="234" t="s">
        <v>65</v>
      </c>
      <c r="E780" s="241" t="s">
        <v>250</v>
      </c>
      <c r="F780" s="241" t="s">
        <v>58</v>
      </c>
      <c r="G780" s="247"/>
      <c r="H780" s="222"/>
      <c r="I780" s="223"/>
    </row>
    <row r="781" spans="1:9" s="3" customFormat="1" ht="38.25">
      <c r="A781" s="237" t="s">
        <v>880</v>
      </c>
      <c r="B781" s="233" t="s">
        <v>26</v>
      </c>
      <c r="C781" s="234" t="s">
        <v>50</v>
      </c>
      <c r="D781" s="234" t="s">
        <v>65</v>
      </c>
      <c r="E781" s="241" t="s">
        <v>538</v>
      </c>
      <c r="F781" s="241" t="s">
        <v>58</v>
      </c>
      <c r="G781" s="247"/>
      <c r="H781" s="222"/>
      <c r="I781" s="223"/>
    </row>
    <row r="782" spans="1:9" s="3" customFormat="1" ht="25.5">
      <c r="A782" s="237" t="s">
        <v>122</v>
      </c>
      <c r="B782" s="233" t="s">
        <v>26</v>
      </c>
      <c r="C782" s="234" t="s">
        <v>50</v>
      </c>
      <c r="D782" s="234" t="s">
        <v>65</v>
      </c>
      <c r="E782" s="241" t="s">
        <v>539</v>
      </c>
      <c r="F782" s="241" t="s">
        <v>58</v>
      </c>
      <c r="G782" s="247"/>
      <c r="H782" s="222"/>
      <c r="I782" s="223"/>
    </row>
    <row r="783" spans="1:9" s="3" customFormat="1">
      <c r="A783" s="244" t="s">
        <v>92</v>
      </c>
      <c r="B783" s="233" t="s">
        <v>26</v>
      </c>
      <c r="C783" s="234" t="s">
        <v>50</v>
      </c>
      <c r="D783" s="234" t="s">
        <v>65</v>
      </c>
      <c r="E783" s="241" t="s">
        <v>539</v>
      </c>
      <c r="F783" s="241" t="s">
        <v>138</v>
      </c>
      <c r="G783" s="235"/>
      <c r="H783" s="222"/>
      <c r="I783" s="223"/>
    </row>
    <row r="784" spans="1:9" s="4" customFormat="1">
      <c r="A784" s="236" t="s">
        <v>1016</v>
      </c>
      <c r="B784" s="233" t="s">
        <v>26</v>
      </c>
      <c r="C784" s="234" t="s">
        <v>50</v>
      </c>
      <c r="D784" s="234" t="s">
        <v>65</v>
      </c>
      <c r="E784" s="241" t="s">
        <v>539</v>
      </c>
      <c r="F784" s="241" t="s">
        <v>1046</v>
      </c>
      <c r="G784" s="235"/>
      <c r="H784" s="222"/>
      <c r="I784" s="223"/>
    </row>
    <row r="785" spans="1:9" s="3" customFormat="1" ht="51">
      <c r="A785" s="232" t="s">
        <v>756</v>
      </c>
      <c r="B785" s="233" t="s">
        <v>26</v>
      </c>
      <c r="C785" s="234" t="s">
        <v>50</v>
      </c>
      <c r="D785" s="234" t="s">
        <v>65</v>
      </c>
      <c r="E785" s="234" t="s">
        <v>339</v>
      </c>
      <c r="F785" s="234" t="s">
        <v>58</v>
      </c>
      <c r="G785" s="235"/>
      <c r="H785" s="222"/>
      <c r="I785" s="223"/>
    </row>
    <row r="786" spans="1:9" s="3" customFormat="1" ht="25.5">
      <c r="A786" s="232" t="s">
        <v>136</v>
      </c>
      <c r="B786" s="233" t="s">
        <v>26</v>
      </c>
      <c r="C786" s="234" t="s">
        <v>50</v>
      </c>
      <c r="D786" s="234" t="s">
        <v>65</v>
      </c>
      <c r="E786" s="234" t="s">
        <v>340</v>
      </c>
      <c r="F786" s="234" t="s">
        <v>58</v>
      </c>
      <c r="G786" s="235"/>
      <c r="H786" s="222"/>
      <c r="I786" s="223"/>
    </row>
    <row r="787" spans="1:9" s="3" customFormat="1" ht="25.5">
      <c r="A787" s="232" t="s">
        <v>667</v>
      </c>
      <c r="B787" s="233" t="s">
        <v>26</v>
      </c>
      <c r="C787" s="234" t="s">
        <v>50</v>
      </c>
      <c r="D787" s="234" t="s">
        <v>65</v>
      </c>
      <c r="E787" s="234" t="s">
        <v>609</v>
      </c>
      <c r="F787" s="234" t="s">
        <v>58</v>
      </c>
      <c r="G787" s="235"/>
      <c r="H787" s="222"/>
      <c r="I787" s="223"/>
    </row>
    <row r="788" spans="1:9" s="3" customFormat="1" ht="25.5">
      <c r="A788" s="232" t="s">
        <v>177</v>
      </c>
      <c r="B788" s="233" t="s">
        <v>26</v>
      </c>
      <c r="C788" s="234" t="s">
        <v>50</v>
      </c>
      <c r="D788" s="234" t="s">
        <v>65</v>
      </c>
      <c r="E788" s="234" t="s">
        <v>610</v>
      </c>
      <c r="F788" s="234" t="s">
        <v>58</v>
      </c>
      <c r="G788" s="235"/>
      <c r="H788" s="222"/>
      <c r="I788" s="223"/>
    </row>
    <row r="789" spans="1:9" s="3" customFormat="1">
      <c r="A789" s="244" t="s">
        <v>92</v>
      </c>
      <c r="B789" s="233" t="s">
        <v>26</v>
      </c>
      <c r="C789" s="234" t="s">
        <v>50</v>
      </c>
      <c r="D789" s="234" t="s">
        <v>65</v>
      </c>
      <c r="E789" s="234" t="s">
        <v>610</v>
      </c>
      <c r="F789" s="234" t="s">
        <v>138</v>
      </c>
      <c r="G789" s="235"/>
      <c r="H789" s="222"/>
      <c r="I789" s="223"/>
    </row>
    <row r="790" spans="1:9" s="4" customFormat="1">
      <c r="A790" s="236" t="s">
        <v>1016</v>
      </c>
      <c r="B790" s="233" t="s">
        <v>26</v>
      </c>
      <c r="C790" s="234" t="s">
        <v>50</v>
      </c>
      <c r="D790" s="234" t="s">
        <v>65</v>
      </c>
      <c r="E790" s="234" t="s">
        <v>610</v>
      </c>
      <c r="F790" s="234" t="s">
        <v>1046</v>
      </c>
      <c r="G790" s="235"/>
      <c r="H790" s="222"/>
      <c r="I790" s="223"/>
    </row>
    <row r="791" spans="1:9" s="3" customFormat="1">
      <c r="A791" s="228" t="s">
        <v>676</v>
      </c>
      <c r="B791" s="229" t="s">
        <v>26</v>
      </c>
      <c r="C791" s="230" t="s">
        <v>50</v>
      </c>
      <c r="D791" s="230" t="s">
        <v>37</v>
      </c>
      <c r="E791" s="230" t="s">
        <v>196</v>
      </c>
      <c r="F791" s="230" t="s">
        <v>58</v>
      </c>
      <c r="G791" s="231"/>
      <c r="H791" s="222"/>
      <c r="I791" s="223"/>
    </row>
    <row r="792" spans="1:9" s="3" customFormat="1" ht="25.5">
      <c r="A792" s="232" t="s">
        <v>695</v>
      </c>
      <c r="B792" s="233" t="s">
        <v>26</v>
      </c>
      <c r="C792" s="234" t="s">
        <v>50</v>
      </c>
      <c r="D792" s="234" t="s">
        <v>37</v>
      </c>
      <c r="E792" s="234" t="s">
        <v>370</v>
      </c>
      <c r="F792" s="234" t="s">
        <v>58</v>
      </c>
      <c r="G792" s="235"/>
      <c r="H792" s="222"/>
      <c r="I792" s="223"/>
    </row>
    <row r="793" spans="1:9" s="3" customFormat="1" ht="25.5">
      <c r="A793" s="232" t="s">
        <v>696</v>
      </c>
      <c r="B793" s="233" t="s">
        <v>26</v>
      </c>
      <c r="C793" s="234" t="s">
        <v>50</v>
      </c>
      <c r="D793" s="234" t="s">
        <v>37</v>
      </c>
      <c r="E793" s="234" t="s">
        <v>389</v>
      </c>
      <c r="F793" s="234" t="s">
        <v>58</v>
      </c>
      <c r="G793" s="235"/>
      <c r="H793" s="222"/>
      <c r="I793" s="223"/>
    </row>
    <row r="794" spans="1:9" s="3" customFormat="1" ht="25.5">
      <c r="A794" s="232" t="s">
        <v>114</v>
      </c>
      <c r="B794" s="233" t="s">
        <v>26</v>
      </c>
      <c r="C794" s="234" t="s">
        <v>50</v>
      </c>
      <c r="D794" s="234" t="s">
        <v>37</v>
      </c>
      <c r="E794" s="234" t="s">
        <v>390</v>
      </c>
      <c r="F794" s="234" t="s">
        <v>58</v>
      </c>
      <c r="G794" s="235"/>
      <c r="H794" s="222"/>
      <c r="I794" s="223"/>
    </row>
    <row r="795" spans="1:9" s="3" customFormat="1">
      <c r="A795" s="236" t="s">
        <v>107</v>
      </c>
      <c r="B795" s="233" t="s">
        <v>26</v>
      </c>
      <c r="C795" s="234" t="s">
        <v>50</v>
      </c>
      <c r="D795" s="234" t="s">
        <v>37</v>
      </c>
      <c r="E795" s="234" t="s">
        <v>390</v>
      </c>
      <c r="F795" s="234" t="s">
        <v>115</v>
      </c>
      <c r="G795" s="235"/>
      <c r="H795" s="222"/>
      <c r="I795" s="223"/>
    </row>
    <row r="796" spans="1:9" s="4" customFormat="1" ht="25.5">
      <c r="A796" s="236" t="s">
        <v>937</v>
      </c>
      <c r="B796" s="233" t="s">
        <v>26</v>
      </c>
      <c r="C796" s="234" t="s">
        <v>50</v>
      </c>
      <c r="D796" s="234" t="s">
        <v>37</v>
      </c>
      <c r="E796" s="234" t="s">
        <v>390</v>
      </c>
      <c r="F796" s="234" t="s">
        <v>1059</v>
      </c>
      <c r="G796" s="235"/>
      <c r="H796" s="222"/>
      <c r="I796" s="223"/>
    </row>
    <row r="797" spans="1:9" s="4" customFormat="1" ht="38.25">
      <c r="A797" s="236" t="s">
        <v>939</v>
      </c>
      <c r="B797" s="233" t="s">
        <v>26</v>
      </c>
      <c r="C797" s="234" t="s">
        <v>50</v>
      </c>
      <c r="D797" s="234" t="s">
        <v>37</v>
      </c>
      <c r="E797" s="234" t="s">
        <v>390</v>
      </c>
      <c r="F797" s="234" t="s">
        <v>1060</v>
      </c>
      <c r="G797" s="235"/>
      <c r="H797" s="222"/>
      <c r="I797" s="223"/>
    </row>
    <row r="798" spans="1:9" s="3" customFormat="1" ht="25.5">
      <c r="A798" s="232" t="s">
        <v>108</v>
      </c>
      <c r="B798" s="233" t="s">
        <v>26</v>
      </c>
      <c r="C798" s="234" t="s">
        <v>50</v>
      </c>
      <c r="D798" s="234" t="s">
        <v>37</v>
      </c>
      <c r="E798" s="234" t="s">
        <v>390</v>
      </c>
      <c r="F798" s="234" t="s">
        <v>116</v>
      </c>
      <c r="G798" s="235"/>
      <c r="H798" s="222"/>
      <c r="I798" s="223"/>
    </row>
    <row r="799" spans="1:9" s="4" customFormat="1" ht="25.5">
      <c r="A799" s="236" t="s">
        <v>973</v>
      </c>
      <c r="B799" s="233" t="s">
        <v>26</v>
      </c>
      <c r="C799" s="234" t="s">
        <v>50</v>
      </c>
      <c r="D799" s="234" t="s">
        <v>37</v>
      </c>
      <c r="E799" s="234" t="s">
        <v>390</v>
      </c>
      <c r="F799" s="234" t="s">
        <v>1043</v>
      </c>
      <c r="G799" s="235"/>
      <c r="H799" s="222"/>
      <c r="I799" s="223"/>
    </row>
    <row r="800" spans="1:9" s="3" customFormat="1">
      <c r="A800" s="232" t="s">
        <v>97</v>
      </c>
      <c r="B800" s="233" t="s">
        <v>26</v>
      </c>
      <c r="C800" s="234" t="s">
        <v>50</v>
      </c>
      <c r="D800" s="234" t="s">
        <v>37</v>
      </c>
      <c r="E800" s="234" t="s">
        <v>390</v>
      </c>
      <c r="F800" s="234" t="s">
        <v>118</v>
      </c>
      <c r="G800" s="235"/>
      <c r="H800" s="222"/>
      <c r="I800" s="223"/>
    </row>
    <row r="801" spans="1:9" s="4" customFormat="1">
      <c r="A801" s="236" t="s">
        <v>1036</v>
      </c>
      <c r="B801" s="233" t="s">
        <v>26</v>
      </c>
      <c r="C801" s="234" t="s">
        <v>50</v>
      </c>
      <c r="D801" s="234" t="s">
        <v>37</v>
      </c>
      <c r="E801" s="234" t="s">
        <v>390</v>
      </c>
      <c r="F801" s="234" t="s">
        <v>1061</v>
      </c>
      <c r="G801" s="235"/>
      <c r="H801" s="222"/>
      <c r="I801" s="223"/>
    </row>
    <row r="802" spans="1:9" s="4" customFormat="1">
      <c r="A802" s="236" t="s">
        <v>1037</v>
      </c>
      <c r="B802" s="233" t="s">
        <v>26</v>
      </c>
      <c r="C802" s="234" t="s">
        <v>50</v>
      </c>
      <c r="D802" s="234" t="s">
        <v>37</v>
      </c>
      <c r="E802" s="234" t="s">
        <v>390</v>
      </c>
      <c r="F802" s="234" t="s">
        <v>1062</v>
      </c>
      <c r="G802" s="235"/>
      <c r="H802" s="222"/>
      <c r="I802" s="223"/>
    </row>
    <row r="803" spans="1:9" s="3" customFormat="1" ht="25.5">
      <c r="A803" s="232" t="s">
        <v>126</v>
      </c>
      <c r="B803" s="233" t="s">
        <v>26</v>
      </c>
      <c r="C803" s="234" t="s">
        <v>50</v>
      </c>
      <c r="D803" s="234" t="s">
        <v>37</v>
      </c>
      <c r="E803" s="234" t="s">
        <v>391</v>
      </c>
      <c r="F803" s="234" t="s">
        <v>58</v>
      </c>
      <c r="G803" s="235"/>
      <c r="H803" s="222"/>
      <c r="I803" s="223"/>
    </row>
    <row r="804" spans="1:9" s="3" customFormat="1">
      <c r="A804" s="236" t="s">
        <v>107</v>
      </c>
      <c r="B804" s="233" t="s">
        <v>26</v>
      </c>
      <c r="C804" s="234" t="s">
        <v>50</v>
      </c>
      <c r="D804" s="234" t="s">
        <v>37</v>
      </c>
      <c r="E804" s="234" t="s">
        <v>391</v>
      </c>
      <c r="F804" s="234" t="s">
        <v>115</v>
      </c>
      <c r="G804" s="235"/>
      <c r="H804" s="222"/>
      <c r="I804" s="223"/>
    </row>
    <row r="805" spans="1:9" s="4" customFormat="1">
      <c r="A805" s="236" t="s">
        <v>936</v>
      </c>
      <c r="B805" s="233" t="s">
        <v>26</v>
      </c>
      <c r="C805" s="234" t="s">
        <v>50</v>
      </c>
      <c r="D805" s="234" t="s">
        <v>37</v>
      </c>
      <c r="E805" s="234" t="s">
        <v>391</v>
      </c>
      <c r="F805" s="234" t="s">
        <v>1063</v>
      </c>
      <c r="G805" s="235"/>
      <c r="H805" s="222"/>
      <c r="I805" s="223"/>
    </row>
    <row r="806" spans="1:9" s="4" customFormat="1" ht="38.25">
      <c r="A806" s="236" t="s">
        <v>939</v>
      </c>
      <c r="B806" s="233" t="s">
        <v>26</v>
      </c>
      <c r="C806" s="234" t="s">
        <v>50</v>
      </c>
      <c r="D806" s="234" t="s">
        <v>37</v>
      </c>
      <c r="E806" s="234" t="s">
        <v>391</v>
      </c>
      <c r="F806" s="234" t="s">
        <v>1060</v>
      </c>
      <c r="G806" s="235"/>
      <c r="H806" s="222"/>
      <c r="I806" s="223"/>
    </row>
    <row r="807" spans="1:9" s="3" customFormat="1">
      <c r="A807" s="236" t="s">
        <v>175</v>
      </c>
      <c r="B807" s="233" t="s">
        <v>26</v>
      </c>
      <c r="C807" s="234" t="s">
        <v>50</v>
      </c>
      <c r="D807" s="234" t="s">
        <v>37</v>
      </c>
      <c r="E807" s="234" t="s">
        <v>371</v>
      </c>
      <c r="F807" s="234" t="s">
        <v>58</v>
      </c>
      <c r="G807" s="235"/>
      <c r="H807" s="222"/>
      <c r="I807" s="223"/>
    </row>
    <row r="808" spans="1:9" s="3" customFormat="1" ht="25.5">
      <c r="A808" s="232" t="s">
        <v>697</v>
      </c>
      <c r="B808" s="233" t="s">
        <v>26</v>
      </c>
      <c r="C808" s="234" t="s">
        <v>50</v>
      </c>
      <c r="D808" s="234" t="s">
        <v>37</v>
      </c>
      <c r="E808" s="234" t="s">
        <v>689</v>
      </c>
      <c r="F808" s="234" t="s">
        <v>58</v>
      </c>
      <c r="G808" s="235"/>
      <c r="H808" s="222"/>
      <c r="I808" s="223"/>
    </row>
    <row r="809" spans="1:9" s="3" customFormat="1" ht="25.5">
      <c r="A809" s="232" t="s">
        <v>108</v>
      </c>
      <c r="B809" s="233" t="s">
        <v>26</v>
      </c>
      <c r="C809" s="234" t="s">
        <v>50</v>
      </c>
      <c r="D809" s="234" t="s">
        <v>37</v>
      </c>
      <c r="E809" s="234" t="s">
        <v>689</v>
      </c>
      <c r="F809" s="234" t="s">
        <v>116</v>
      </c>
      <c r="G809" s="235"/>
      <c r="H809" s="222"/>
      <c r="I809" s="223"/>
    </row>
    <row r="810" spans="1:9" s="4" customFormat="1" ht="25.5">
      <c r="A810" s="236" t="s">
        <v>973</v>
      </c>
      <c r="B810" s="233" t="s">
        <v>26</v>
      </c>
      <c r="C810" s="234" t="s">
        <v>50</v>
      </c>
      <c r="D810" s="234" t="s">
        <v>37</v>
      </c>
      <c r="E810" s="234" t="s">
        <v>689</v>
      </c>
      <c r="F810" s="234" t="s">
        <v>1043</v>
      </c>
      <c r="G810" s="235"/>
      <c r="H810" s="222"/>
      <c r="I810" s="223"/>
    </row>
    <row r="811" spans="1:9" s="3" customFormat="1">
      <c r="A811" s="232"/>
      <c r="B811" s="233"/>
      <c r="C811" s="234"/>
      <c r="D811" s="234"/>
      <c r="E811" s="234"/>
      <c r="F811" s="234"/>
      <c r="G811" s="235"/>
      <c r="H811" s="222"/>
      <c r="I811" s="223"/>
    </row>
    <row r="812" spans="1:9" s="259" customFormat="1">
      <c r="A812" s="219" t="s">
        <v>178</v>
      </c>
      <c r="B812" s="220" t="s">
        <v>62</v>
      </c>
      <c r="C812" s="221" t="s">
        <v>51</v>
      </c>
      <c r="D812" s="221" t="s">
        <v>51</v>
      </c>
      <c r="E812" s="221" t="s">
        <v>196</v>
      </c>
      <c r="F812" s="221" t="s">
        <v>58</v>
      </c>
      <c r="G812" s="258"/>
      <c r="H812" s="222"/>
      <c r="I812" s="223"/>
    </row>
    <row r="813" spans="1:9" s="109" customFormat="1" ht="12.75">
      <c r="A813" s="224" t="s">
        <v>64</v>
      </c>
      <c r="B813" s="225" t="s">
        <v>62</v>
      </c>
      <c r="C813" s="226" t="s">
        <v>65</v>
      </c>
      <c r="D813" s="226" t="s">
        <v>51</v>
      </c>
      <c r="E813" s="226" t="s">
        <v>196</v>
      </c>
      <c r="F813" s="226" t="s">
        <v>58</v>
      </c>
      <c r="G813" s="227"/>
      <c r="H813" s="222"/>
      <c r="I813" s="223"/>
    </row>
    <row r="814" spans="1:9" s="109" customFormat="1" ht="12.75">
      <c r="A814" s="228" t="s">
        <v>38</v>
      </c>
      <c r="B814" s="229" t="s">
        <v>62</v>
      </c>
      <c r="C814" s="230" t="s">
        <v>65</v>
      </c>
      <c r="D814" s="230" t="s">
        <v>84</v>
      </c>
      <c r="E814" s="230" t="s">
        <v>196</v>
      </c>
      <c r="F814" s="230" t="s">
        <v>58</v>
      </c>
      <c r="G814" s="231"/>
      <c r="H814" s="222"/>
      <c r="I814" s="223"/>
    </row>
    <row r="815" spans="1:9" s="109" customFormat="1" ht="38.25">
      <c r="A815" s="244" t="s">
        <v>745</v>
      </c>
      <c r="B815" s="233" t="s">
        <v>62</v>
      </c>
      <c r="C815" s="234" t="s">
        <v>65</v>
      </c>
      <c r="D815" s="234" t="s">
        <v>84</v>
      </c>
      <c r="E815" s="234" t="s">
        <v>280</v>
      </c>
      <c r="F815" s="234" t="s">
        <v>58</v>
      </c>
      <c r="G815" s="235"/>
      <c r="H815" s="222"/>
      <c r="I815" s="223"/>
    </row>
    <row r="816" spans="1:9" s="109" customFormat="1" ht="38.25">
      <c r="A816" s="244" t="s">
        <v>746</v>
      </c>
      <c r="B816" s="233" t="s">
        <v>62</v>
      </c>
      <c r="C816" s="234" t="s">
        <v>65</v>
      </c>
      <c r="D816" s="234" t="s">
        <v>84</v>
      </c>
      <c r="E816" s="234" t="s">
        <v>281</v>
      </c>
      <c r="F816" s="234" t="s">
        <v>58</v>
      </c>
      <c r="G816" s="235"/>
      <c r="H816" s="222"/>
      <c r="I816" s="223"/>
    </row>
    <row r="817" spans="1:9" s="109" customFormat="1" ht="25.5">
      <c r="A817" s="232" t="s">
        <v>282</v>
      </c>
      <c r="B817" s="233" t="s">
        <v>62</v>
      </c>
      <c r="C817" s="234" t="s">
        <v>65</v>
      </c>
      <c r="D817" s="234" t="s">
        <v>84</v>
      </c>
      <c r="E817" s="234" t="s">
        <v>283</v>
      </c>
      <c r="F817" s="234" t="s">
        <v>58</v>
      </c>
      <c r="G817" s="235"/>
      <c r="H817" s="222"/>
      <c r="I817" s="223"/>
    </row>
    <row r="818" spans="1:9" s="259" customFormat="1" ht="25.5">
      <c r="A818" s="232" t="s">
        <v>859</v>
      </c>
      <c r="B818" s="233" t="s">
        <v>62</v>
      </c>
      <c r="C818" s="234" t="s">
        <v>65</v>
      </c>
      <c r="D818" s="234" t="s">
        <v>84</v>
      </c>
      <c r="E818" s="234" t="s">
        <v>858</v>
      </c>
      <c r="F818" s="234" t="s">
        <v>58</v>
      </c>
      <c r="G818" s="235"/>
      <c r="H818" s="222"/>
      <c r="I818" s="223"/>
    </row>
    <row r="819" spans="1:9" s="259" customFormat="1" ht="25.5">
      <c r="A819" s="232" t="s">
        <v>108</v>
      </c>
      <c r="B819" s="233" t="s">
        <v>62</v>
      </c>
      <c r="C819" s="234" t="s">
        <v>65</v>
      </c>
      <c r="D819" s="234" t="s">
        <v>84</v>
      </c>
      <c r="E819" s="234" t="s">
        <v>858</v>
      </c>
      <c r="F819" s="234" t="s">
        <v>116</v>
      </c>
      <c r="G819" s="235"/>
      <c r="H819" s="222"/>
      <c r="I819" s="223"/>
    </row>
    <row r="820" spans="1:9" s="260" customFormat="1" ht="25.5">
      <c r="A820" s="236" t="s">
        <v>973</v>
      </c>
      <c r="B820" s="233" t="s">
        <v>62</v>
      </c>
      <c r="C820" s="234" t="s">
        <v>65</v>
      </c>
      <c r="D820" s="234" t="s">
        <v>84</v>
      </c>
      <c r="E820" s="234" t="s">
        <v>858</v>
      </c>
      <c r="F820" s="234" t="s">
        <v>1043</v>
      </c>
      <c r="G820" s="235"/>
      <c r="H820" s="222"/>
      <c r="I820" s="223"/>
    </row>
    <row r="821" spans="1:9" s="30" customFormat="1">
      <c r="A821" s="224" t="s">
        <v>49</v>
      </c>
      <c r="B821" s="225" t="s">
        <v>62</v>
      </c>
      <c r="C821" s="226" t="s">
        <v>14</v>
      </c>
      <c r="D821" s="226" t="s">
        <v>51</v>
      </c>
      <c r="E821" s="226" t="s">
        <v>196</v>
      </c>
      <c r="F821" s="226" t="s">
        <v>58</v>
      </c>
      <c r="G821" s="227"/>
      <c r="H821" s="222"/>
      <c r="I821" s="223"/>
    </row>
    <row r="822" spans="1:9" s="30" customFormat="1">
      <c r="A822" s="228" t="s">
        <v>63</v>
      </c>
      <c r="B822" s="229" t="s">
        <v>62</v>
      </c>
      <c r="C822" s="230" t="s">
        <v>14</v>
      </c>
      <c r="D822" s="230" t="s">
        <v>53</v>
      </c>
      <c r="E822" s="230" t="s">
        <v>196</v>
      </c>
      <c r="F822" s="230" t="s">
        <v>58</v>
      </c>
      <c r="G822" s="231"/>
      <c r="H822" s="222"/>
      <c r="I822" s="223"/>
    </row>
    <row r="823" spans="1:9" s="30" customFormat="1">
      <c r="A823" s="248" t="s">
        <v>727</v>
      </c>
      <c r="B823" s="233" t="s">
        <v>62</v>
      </c>
      <c r="C823" s="234" t="s">
        <v>14</v>
      </c>
      <c r="D823" s="234" t="s">
        <v>53</v>
      </c>
      <c r="E823" s="234" t="s">
        <v>327</v>
      </c>
      <c r="F823" s="234" t="s">
        <v>58</v>
      </c>
      <c r="G823" s="261"/>
      <c r="H823" s="222"/>
      <c r="I823" s="223"/>
    </row>
    <row r="824" spans="1:9" s="30" customFormat="1" ht="25.5">
      <c r="A824" s="262" t="s">
        <v>728</v>
      </c>
      <c r="B824" s="233" t="s">
        <v>62</v>
      </c>
      <c r="C824" s="234" t="s">
        <v>14</v>
      </c>
      <c r="D824" s="234" t="s">
        <v>53</v>
      </c>
      <c r="E824" s="234" t="s">
        <v>392</v>
      </c>
      <c r="F824" s="234" t="s">
        <v>58</v>
      </c>
      <c r="G824" s="261"/>
      <c r="H824" s="222"/>
      <c r="I824" s="223"/>
    </row>
    <row r="825" spans="1:9" s="30" customFormat="1" ht="25.5">
      <c r="A825" s="263" t="s">
        <v>393</v>
      </c>
      <c r="B825" s="233" t="s">
        <v>62</v>
      </c>
      <c r="C825" s="234" t="s">
        <v>14</v>
      </c>
      <c r="D825" s="234" t="s">
        <v>53</v>
      </c>
      <c r="E825" s="234" t="s">
        <v>394</v>
      </c>
      <c r="F825" s="234" t="s">
        <v>58</v>
      </c>
      <c r="G825" s="264"/>
      <c r="H825" s="222"/>
      <c r="I825" s="223"/>
    </row>
    <row r="826" spans="1:9" s="30" customFormat="1" ht="25.5">
      <c r="A826" s="248" t="s">
        <v>593</v>
      </c>
      <c r="B826" s="233" t="s">
        <v>62</v>
      </c>
      <c r="C826" s="234" t="s">
        <v>14</v>
      </c>
      <c r="D826" s="234" t="s">
        <v>53</v>
      </c>
      <c r="E826" s="234" t="s">
        <v>395</v>
      </c>
      <c r="F826" s="234" t="s">
        <v>58</v>
      </c>
      <c r="G826" s="264"/>
      <c r="H826" s="222"/>
      <c r="I826" s="223"/>
    </row>
    <row r="827" spans="1:9" s="30" customFormat="1" ht="25.5">
      <c r="A827" s="232" t="s">
        <v>108</v>
      </c>
      <c r="B827" s="233" t="s">
        <v>62</v>
      </c>
      <c r="C827" s="234" t="s">
        <v>14</v>
      </c>
      <c r="D827" s="234" t="s">
        <v>53</v>
      </c>
      <c r="E827" s="234" t="s">
        <v>395</v>
      </c>
      <c r="F827" s="234" t="s">
        <v>116</v>
      </c>
      <c r="G827" s="264"/>
      <c r="H827" s="222"/>
      <c r="I827" s="223"/>
    </row>
    <row r="828" spans="1:9" s="83" customFormat="1" ht="25.5">
      <c r="A828" s="236" t="s">
        <v>973</v>
      </c>
      <c r="B828" s="233" t="s">
        <v>62</v>
      </c>
      <c r="C828" s="234" t="s">
        <v>14</v>
      </c>
      <c r="D828" s="234" t="s">
        <v>53</v>
      </c>
      <c r="E828" s="234" t="s">
        <v>395</v>
      </c>
      <c r="F828" s="234" t="s">
        <v>1043</v>
      </c>
      <c r="G828" s="235"/>
      <c r="H828" s="222"/>
      <c r="I828" s="223"/>
    </row>
    <row r="829" spans="1:9" s="30" customFormat="1">
      <c r="A829" s="244" t="s">
        <v>109</v>
      </c>
      <c r="B829" s="233" t="s">
        <v>62</v>
      </c>
      <c r="C829" s="234" t="s">
        <v>14</v>
      </c>
      <c r="D829" s="234" t="s">
        <v>53</v>
      </c>
      <c r="E829" s="234" t="s">
        <v>395</v>
      </c>
      <c r="F829" s="234" t="s">
        <v>134</v>
      </c>
      <c r="G829" s="264"/>
      <c r="H829" s="222"/>
      <c r="I829" s="223"/>
    </row>
    <row r="830" spans="1:9" s="83" customFormat="1" ht="25.5">
      <c r="A830" s="236" t="s">
        <v>978</v>
      </c>
      <c r="B830" s="233" t="s">
        <v>62</v>
      </c>
      <c r="C830" s="234" t="s">
        <v>14</v>
      </c>
      <c r="D830" s="234" t="s">
        <v>53</v>
      </c>
      <c r="E830" s="234" t="s">
        <v>395</v>
      </c>
      <c r="F830" s="234" t="s">
        <v>1064</v>
      </c>
      <c r="G830" s="235"/>
      <c r="H830" s="222"/>
      <c r="I830" s="223"/>
    </row>
    <row r="831" spans="1:9" s="30" customFormat="1" ht="25.5">
      <c r="A831" s="248" t="s">
        <v>396</v>
      </c>
      <c r="B831" s="233" t="s">
        <v>62</v>
      </c>
      <c r="C831" s="234" t="s">
        <v>14</v>
      </c>
      <c r="D831" s="234" t="s">
        <v>53</v>
      </c>
      <c r="E831" s="234" t="s">
        <v>397</v>
      </c>
      <c r="F831" s="234" t="s">
        <v>58</v>
      </c>
      <c r="G831" s="264"/>
      <c r="H831" s="222"/>
      <c r="I831" s="223"/>
    </row>
    <row r="832" spans="1:9" s="30" customFormat="1">
      <c r="A832" s="236" t="s">
        <v>107</v>
      </c>
      <c r="B832" s="233" t="s">
        <v>62</v>
      </c>
      <c r="C832" s="234" t="s">
        <v>14</v>
      </c>
      <c r="D832" s="234" t="s">
        <v>53</v>
      </c>
      <c r="E832" s="234" t="s">
        <v>397</v>
      </c>
      <c r="F832" s="234" t="s">
        <v>115</v>
      </c>
      <c r="G832" s="264"/>
      <c r="H832" s="222"/>
      <c r="I832" s="223"/>
    </row>
    <row r="833" spans="1:9" s="83" customFormat="1">
      <c r="A833" s="236" t="s">
        <v>936</v>
      </c>
      <c r="B833" s="233" t="s">
        <v>62</v>
      </c>
      <c r="C833" s="234" t="s">
        <v>14</v>
      </c>
      <c r="D833" s="234" t="s">
        <v>53</v>
      </c>
      <c r="E833" s="234" t="s">
        <v>397</v>
      </c>
      <c r="F833" s="234" t="s">
        <v>1063</v>
      </c>
      <c r="G833" s="235"/>
      <c r="H833" s="222"/>
      <c r="I833" s="223"/>
    </row>
    <row r="834" spans="1:9" s="83" customFormat="1" ht="38.25">
      <c r="A834" s="236" t="s">
        <v>939</v>
      </c>
      <c r="B834" s="233" t="s">
        <v>62</v>
      </c>
      <c r="C834" s="234" t="s">
        <v>14</v>
      </c>
      <c r="D834" s="234" t="s">
        <v>53</v>
      </c>
      <c r="E834" s="234" t="s">
        <v>397</v>
      </c>
      <c r="F834" s="234" t="s">
        <v>1060</v>
      </c>
      <c r="G834" s="235"/>
      <c r="H834" s="222"/>
      <c r="I834" s="223"/>
    </row>
    <row r="835" spans="1:9" s="30" customFormat="1" ht="25.5">
      <c r="A835" s="232" t="s">
        <v>108</v>
      </c>
      <c r="B835" s="233" t="s">
        <v>62</v>
      </c>
      <c r="C835" s="234" t="s">
        <v>14</v>
      </c>
      <c r="D835" s="234" t="s">
        <v>53</v>
      </c>
      <c r="E835" s="234" t="s">
        <v>397</v>
      </c>
      <c r="F835" s="234" t="s">
        <v>116</v>
      </c>
      <c r="G835" s="264"/>
      <c r="H835" s="222"/>
      <c r="I835" s="223"/>
    </row>
    <row r="836" spans="1:9" s="83" customFormat="1" ht="25.5">
      <c r="A836" s="236" t="s">
        <v>973</v>
      </c>
      <c r="B836" s="233" t="s">
        <v>62</v>
      </c>
      <c r="C836" s="234" t="s">
        <v>14</v>
      </c>
      <c r="D836" s="234" t="s">
        <v>53</v>
      </c>
      <c r="E836" s="234" t="s">
        <v>397</v>
      </c>
      <c r="F836" s="234" t="s">
        <v>1043</v>
      </c>
      <c r="G836" s="235"/>
      <c r="H836" s="222"/>
      <c r="I836" s="223"/>
    </row>
    <row r="837" spans="1:9" s="30" customFormat="1">
      <c r="A837" s="244" t="s">
        <v>109</v>
      </c>
      <c r="B837" s="233" t="s">
        <v>62</v>
      </c>
      <c r="C837" s="234" t="s">
        <v>14</v>
      </c>
      <c r="D837" s="234" t="s">
        <v>53</v>
      </c>
      <c r="E837" s="234" t="s">
        <v>397</v>
      </c>
      <c r="F837" s="234" t="s">
        <v>134</v>
      </c>
      <c r="G837" s="264"/>
      <c r="H837" s="222"/>
      <c r="I837" s="223"/>
    </row>
    <row r="838" spans="1:9" s="83" customFormat="1" ht="25.5">
      <c r="A838" s="236" t="s">
        <v>978</v>
      </c>
      <c r="B838" s="233" t="s">
        <v>62</v>
      </c>
      <c r="C838" s="234" t="s">
        <v>14</v>
      </c>
      <c r="D838" s="234" t="s">
        <v>53</v>
      </c>
      <c r="E838" s="234" t="s">
        <v>397</v>
      </c>
      <c r="F838" s="234" t="s">
        <v>1064</v>
      </c>
      <c r="G838" s="235"/>
      <c r="H838" s="222"/>
      <c r="I838" s="223"/>
    </row>
    <row r="839" spans="1:9" s="30" customFormat="1" ht="89.25">
      <c r="A839" s="265" t="s">
        <v>887</v>
      </c>
      <c r="B839" s="233" t="s">
        <v>62</v>
      </c>
      <c r="C839" s="234" t="s">
        <v>14</v>
      </c>
      <c r="D839" s="234" t="s">
        <v>53</v>
      </c>
      <c r="E839" s="234" t="s">
        <v>398</v>
      </c>
      <c r="F839" s="234" t="s">
        <v>58</v>
      </c>
      <c r="G839" s="264"/>
      <c r="H839" s="222"/>
      <c r="I839" s="223"/>
    </row>
    <row r="840" spans="1:9" s="30" customFormat="1" ht="25.5">
      <c r="A840" s="232" t="s">
        <v>108</v>
      </c>
      <c r="B840" s="233" t="s">
        <v>62</v>
      </c>
      <c r="C840" s="234" t="s">
        <v>14</v>
      </c>
      <c r="D840" s="234" t="s">
        <v>53</v>
      </c>
      <c r="E840" s="234" t="s">
        <v>398</v>
      </c>
      <c r="F840" s="234" t="s">
        <v>116</v>
      </c>
      <c r="G840" s="264"/>
      <c r="H840" s="222"/>
      <c r="I840" s="223"/>
    </row>
    <row r="841" spans="1:9" s="83" customFormat="1" ht="25.5">
      <c r="A841" s="236" t="s">
        <v>973</v>
      </c>
      <c r="B841" s="233" t="s">
        <v>62</v>
      </c>
      <c r="C841" s="234" t="s">
        <v>14</v>
      </c>
      <c r="D841" s="234" t="s">
        <v>53</v>
      </c>
      <c r="E841" s="234" t="s">
        <v>398</v>
      </c>
      <c r="F841" s="234" t="s">
        <v>1043</v>
      </c>
      <c r="G841" s="235"/>
      <c r="H841" s="222"/>
      <c r="I841" s="223"/>
    </row>
    <row r="842" spans="1:9" s="30" customFormat="1">
      <c r="A842" s="244" t="s">
        <v>109</v>
      </c>
      <c r="B842" s="233" t="s">
        <v>62</v>
      </c>
      <c r="C842" s="234" t="s">
        <v>14</v>
      </c>
      <c r="D842" s="234" t="s">
        <v>53</v>
      </c>
      <c r="E842" s="234" t="s">
        <v>398</v>
      </c>
      <c r="F842" s="234" t="s">
        <v>134</v>
      </c>
      <c r="G842" s="264"/>
      <c r="H842" s="222"/>
      <c r="I842" s="223"/>
    </row>
    <row r="843" spans="1:9" s="83" customFormat="1" ht="25.5">
      <c r="A843" s="236" t="s">
        <v>978</v>
      </c>
      <c r="B843" s="233" t="s">
        <v>62</v>
      </c>
      <c r="C843" s="234" t="s">
        <v>14</v>
      </c>
      <c r="D843" s="234" t="s">
        <v>53</v>
      </c>
      <c r="E843" s="234" t="s">
        <v>398</v>
      </c>
      <c r="F843" s="234" t="s">
        <v>1064</v>
      </c>
      <c r="G843" s="235"/>
      <c r="H843" s="222"/>
      <c r="I843" s="223"/>
    </row>
    <row r="844" spans="1:9" s="30" customFormat="1" ht="25.5">
      <c r="A844" s="266" t="s">
        <v>401</v>
      </c>
      <c r="B844" s="233" t="s">
        <v>62</v>
      </c>
      <c r="C844" s="234" t="s">
        <v>14</v>
      </c>
      <c r="D844" s="234" t="s">
        <v>53</v>
      </c>
      <c r="E844" s="234" t="s">
        <v>402</v>
      </c>
      <c r="F844" s="234" t="s">
        <v>58</v>
      </c>
      <c r="G844" s="264"/>
      <c r="H844" s="222"/>
      <c r="I844" s="223"/>
    </row>
    <row r="845" spans="1:9" s="30" customFormat="1">
      <c r="A845" s="244" t="s">
        <v>109</v>
      </c>
      <c r="B845" s="233" t="s">
        <v>62</v>
      </c>
      <c r="C845" s="234" t="s">
        <v>14</v>
      </c>
      <c r="D845" s="234" t="s">
        <v>53</v>
      </c>
      <c r="E845" s="234" t="s">
        <v>402</v>
      </c>
      <c r="F845" s="234" t="s">
        <v>134</v>
      </c>
      <c r="G845" s="264"/>
      <c r="H845" s="222"/>
      <c r="I845" s="223"/>
    </row>
    <row r="846" spans="1:9" s="83" customFormat="1" ht="25.5">
      <c r="A846" s="236" t="s">
        <v>978</v>
      </c>
      <c r="B846" s="233" t="s">
        <v>62</v>
      </c>
      <c r="C846" s="234" t="s">
        <v>14</v>
      </c>
      <c r="D846" s="234" t="s">
        <v>53</v>
      </c>
      <c r="E846" s="234" t="s">
        <v>402</v>
      </c>
      <c r="F846" s="234" t="s">
        <v>1064</v>
      </c>
      <c r="G846" s="235"/>
      <c r="H846" s="222"/>
      <c r="I846" s="223"/>
    </row>
    <row r="847" spans="1:9" s="30" customFormat="1" ht="63.75">
      <c r="A847" s="266" t="s">
        <v>668</v>
      </c>
      <c r="B847" s="233" t="s">
        <v>62</v>
      </c>
      <c r="C847" s="234" t="s">
        <v>14</v>
      </c>
      <c r="D847" s="234" t="s">
        <v>53</v>
      </c>
      <c r="E847" s="234" t="s">
        <v>792</v>
      </c>
      <c r="F847" s="234" t="s">
        <v>58</v>
      </c>
      <c r="G847" s="264"/>
      <c r="H847" s="222"/>
      <c r="I847" s="223"/>
    </row>
    <row r="848" spans="1:9" s="30" customFormat="1" ht="25.5">
      <c r="A848" s="232" t="s">
        <v>108</v>
      </c>
      <c r="B848" s="233" t="s">
        <v>62</v>
      </c>
      <c r="C848" s="234" t="s">
        <v>14</v>
      </c>
      <c r="D848" s="234" t="s">
        <v>53</v>
      </c>
      <c r="E848" s="234" t="s">
        <v>792</v>
      </c>
      <c r="F848" s="234" t="s">
        <v>116</v>
      </c>
      <c r="G848" s="264"/>
      <c r="H848" s="222"/>
      <c r="I848" s="223"/>
    </row>
    <row r="849" spans="1:9" s="83" customFormat="1" ht="25.5">
      <c r="A849" s="236" t="s">
        <v>973</v>
      </c>
      <c r="B849" s="233" t="s">
        <v>62</v>
      </c>
      <c r="C849" s="234" t="s">
        <v>14</v>
      </c>
      <c r="D849" s="234" t="s">
        <v>53</v>
      </c>
      <c r="E849" s="234" t="s">
        <v>792</v>
      </c>
      <c r="F849" s="234" t="s">
        <v>1043</v>
      </c>
      <c r="G849" s="235"/>
      <c r="H849" s="222"/>
      <c r="I849" s="223"/>
    </row>
    <row r="850" spans="1:9" s="30" customFormat="1">
      <c r="A850" s="244" t="s">
        <v>109</v>
      </c>
      <c r="B850" s="233" t="s">
        <v>62</v>
      </c>
      <c r="C850" s="234" t="s">
        <v>14</v>
      </c>
      <c r="D850" s="234" t="s">
        <v>53</v>
      </c>
      <c r="E850" s="234" t="s">
        <v>792</v>
      </c>
      <c r="F850" s="234" t="s">
        <v>134</v>
      </c>
      <c r="G850" s="264"/>
      <c r="H850" s="222"/>
      <c r="I850" s="223"/>
    </row>
    <row r="851" spans="1:9" s="83" customFormat="1" ht="25.5">
      <c r="A851" s="236" t="s">
        <v>978</v>
      </c>
      <c r="B851" s="233" t="s">
        <v>62</v>
      </c>
      <c r="C851" s="234" t="s">
        <v>14</v>
      </c>
      <c r="D851" s="234" t="s">
        <v>53</v>
      </c>
      <c r="E851" s="234" t="s">
        <v>792</v>
      </c>
      <c r="F851" s="234" t="s">
        <v>1064</v>
      </c>
      <c r="G851" s="235"/>
      <c r="H851" s="222"/>
      <c r="I851" s="223"/>
    </row>
    <row r="852" spans="1:9" s="30" customFormat="1" ht="25.5">
      <c r="A852" s="244" t="s">
        <v>399</v>
      </c>
      <c r="B852" s="233" t="s">
        <v>62</v>
      </c>
      <c r="C852" s="234" t="s">
        <v>14</v>
      </c>
      <c r="D852" s="234" t="s">
        <v>53</v>
      </c>
      <c r="E852" s="234" t="s">
        <v>793</v>
      </c>
      <c r="F852" s="234" t="s">
        <v>58</v>
      </c>
      <c r="G852" s="264"/>
      <c r="H852" s="222"/>
      <c r="I852" s="223"/>
    </row>
    <row r="853" spans="1:9" s="30" customFormat="1" ht="25.5">
      <c r="A853" s="244" t="s">
        <v>108</v>
      </c>
      <c r="B853" s="233" t="s">
        <v>62</v>
      </c>
      <c r="C853" s="234" t="s">
        <v>14</v>
      </c>
      <c r="D853" s="234" t="s">
        <v>53</v>
      </c>
      <c r="E853" s="234" t="s">
        <v>793</v>
      </c>
      <c r="F853" s="234" t="s">
        <v>116</v>
      </c>
      <c r="G853" s="264"/>
      <c r="H853" s="222"/>
      <c r="I853" s="223"/>
    </row>
    <row r="854" spans="1:9" s="83" customFormat="1" ht="25.5">
      <c r="A854" s="236" t="s">
        <v>973</v>
      </c>
      <c r="B854" s="233" t="s">
        <v>62</v>
      </c>
      <c r="C854" s="234" t="s">
        <v>14</v>
      </c>
      <c r="D854" s="234" t="s">
        <v>53</v>
      </c>
      <c r="E854" s="234" t="s">
        <v>793</v>
      </c>
      <c r="F854" s="234" t="s">
        <v>1043</v>
      </c>
      <c r="G854" s="235"/>
      <c r="H854" s="222"/>
      <c r="I854" s="223"/>
    </row>
    <row r="855" spans="1:9" s="30" customFormat="1">
      <c r="A855" s="244" t="s">
        <v>109</v>
      </c>
      <c r="B855" s="233" t="s">
        <v>62</v>
      </c>
      <c r="C855" s="234" t="s">
        <v>14</v>
      </c>
      <c r="D855" s="234" t="s">
        <v>53</v>
      </c>
      <c r="E855" s="234" t="s">
        <v>793</v>
      </c>
      <c r="F855" s="234" t="s">
        <v>134</v>
      </c>
      <c r="G855" s="264"/>
      <c r="H855" s="222"/>
      <c r="I855" s="223"/>
    </row>
    <row r="856" spans="1:9" s="103" customFormat="1" ht="25.5">
      <c r="A856" s="236" t="s">
        <v>978</v>
      </c>
      <c r="B856" s="233" t="s">
        <v>62</v>
      </c>
      <c r="C856" s="234" t="s">
        <v>14</v>
      </c>
      <c r="D856" s="234" t="s">
        <v>53</v>
      </c>
      <c r="E856" s="234" t="s">
        <v>793</v>
      </c>
      <c r="F856" s="234" t="s">
        <v>1064</v>
      </c>
      <c r="G856" s="235"/>
      <c r="H856" s="222"/>
      <c r="I856" s="223"/>
    </row>
    <row r="857" spans="1:9" s="30" customFormat="1" ht="25.5">
      <c r="A857" s="266" t="s">
        <v>400</v>
      </c>
      <c r="B857" s="233" t="s">
        <v>62</v>
      </c>
      <c r="C857" s="234" t="s">
        <v>14</v>
      </c>
      <c r="D857" s="234" t="s">
        <v>53</v>
      </c>
      <c r="E857" s="234" t="s">
        <v>794</v>
      </c>
      <c r="F857" s="234" t="s">
        <v>58</v>
      </c>
      <c r="G857" s="264"/>
      <c r="H857" s="222"/>
      <c r="I857" s="223"/>
    </row>
    <row r="858" spans="1:9" s="30" customFormat="1" ht="25.5">
      <c r="A858" s="232" t="s">
        <v>108</v>
      </c>
      <c r="B858" s="233" t="s">
        <v>62</v>
      </c>
      <c r="C858" s="234" t="s">
        <v>14</v>
      </c>
      <c r="D858" s="234" t="s">
        <v>53</v>
      </c>
      <c r="E858" s="234" t="s">
        <v>794</v>
      </c>
      <c r="F858" s="234" t="s">
        <v>116</v>
      </c>
      <c r="G858" s="264"/>
      <c r="H858" s="222"/>
      <c r="I858" s="223"/>
    </row>
    <row r="859" spans="1:9" s="83" customFormat="1" ht="25.5">
      <c r="A859" s="236" t="s">
        <v>973</v>
      </c>
      <c r="B859" s="233" t="s">
        <v>62</v>
      </c>
      <c r="C859" s="234" t="s">
        <v>14</v>
      </c>
      <c r="D859" s="234" t="s">
        <v>53</v>
      </c>
      <c r="E859" s="234" t="s">
        <v>794</v>
      </c>
      <c r="F859" s="234" t="s">
        <v>1043</v>
      </c>
      <c r="G859" s="235"/>
      <c r="H859" s="222"/>
      <c r="I859" s="223"/>
    </row>
    <row r="860" spans="1:9" s="30" customFormat="1">
      <c r="A860" s="244" t="s">
        <v>109</v>
      </c>
      <c r="B860" s="233" t="s">
        <v>62</v>
      </c>
      <c r="C860" s="234" t="s">
        <v>14</v>
      </c>
      <c r="D860" s="234" t="s">
        <v>53</v>
      </c>
      <c r="E860" s="234" t="s">
        <v>794</v>
      </c>
      <c r="F860" s="234" t="s">
        <v>134</v>
      </c>
      <c r="G860" s="264"/>
      <c r="H860" s="222"/>
      <c r="I860" s="223"/>
    </row>
    <row r="861" spans="1:9" s="83" customFormat="1" ht="25.5">
      <c r="A861" s="236" t="s">
        <v>978</v>
      </c>
      <c r="B861" s="233" t="s">
        <v>62</v>
      </c>
      <c r="C861" s="234" t="s">
        <v>14</v>
      </c>
      <c r="D861" s="234" t="s">
        <v>53</v>
      </c>
      <c r="E861" s="234" t="s">
        <v>794</v>
      </c>
      <c r="F861" s="234" t="s">
        <v>1064</v>
      </c>
      <c r="G861" s="235"/>
      <c r="H861" s="222"/>
      <c r="I861" s="223"/>
    </row>
    <row r="862" spans="1:9" s="30" customFormat="1" ht="25.5">
      <c r="A862" s="266" t="s">
        <v>404</v>
      </c>
      <c r="B862" s="233" t="s">
        <v>62</v>
      </c>
      <c r="C862" s="234" t="s">
        <v>14</v>
      </c>
      <c r="D862" s="234" t="s">
        <v>53</v>
      </c>
      <c r="E862" s="234" t="s">
        <v>795</v>
      </c>
      <c r="F862" s="234" t="s">
        <v>58</v>
      </c>
      <c r="G862" s="264"/>
      <c r="H862" s="222"/>
      <c r="I862" s="223"/>
    </row>
    <row r="863" spans="1:9" s="30" customFormat="1" ht="25.5">
      <c r="A863" s="232" t="s">
        <v>108</v>
      </c>
      <c r="B863" s="233" t="s">
        <v>62</v>
      </c>
      <c r="C863" s="234" t="s">
        <v>14</v>
      </c>
      <c r="D863" s="234" t="s">
        <v>53</v>
      </c>
      <c r="E863" s="234" t="s">
        <v>795</v>
      </c>
      <c r="F863" s="234" t="s">
        <v>116</v>
      </c>
      <c r="G863" s="264"/>
      <c r="H863" s="222"/>
      <c r="I863" s="223"/>
    </row>
    <row r="864" spans="1:9" s="83" customFormat="1" ht="25.5">
      <c r="A864" s="236" t="s">
        <v>973</v>
      </c>
      <c r="B864" s="233" t="s">
        <v>62</v>
      </c>
      <c r="C864" s="234" t="s">
        <v>14</v>
      </c>
      <c r="D864" s="234" t="s">
        <v>53</v>
      </c>
      <c r="E864" s="234" t="s">
        <v>795</v>
      </c>
      <c r="F864" s="234" t="s">
        <v>1043</v>
      </c>
      <c r="G864" s="235"/>
      <c r="H864" s="222"/>
      <c r="I864" s="223"/>
    </row>
    <row r="865" spans="1:9" s="30" customFormat="1">
      <c r="A865" s="244" t="s">
        <v>109</v>
      </c>
      <c r="B865" s="233" t="s">
        <v>62</v>
      </c>
      <c r="C865" s="234" t="s">
        <v>14</v>
      </c>
      <c r="D865" s="234" t="s">
        <v>53</v>
      </c>
      <c r="E865" s="234" t="s">
        <v>795</v>
      </c>
      <c r="F865" s="234" t="s">
        <v>134</v>
      </c>
      <c r="G865" s="264"/>
      <c r="H865" s="222"/>
      <c r="I865" s="223"/>
    </row>
    <row r="866" spans="1:9" s="83" customFormat="1" ht="25.5">
      <c r="A866" s="236" t="s">
        <v>978</v>
      </c>
      <c r="B866" s="233" t="s">
        <v>62</v>
      </c>
      <c r="C866" s="234" t="s">
        <v>14</v>
      </c>
      <c r="D866" s="234" t="s">
        <v>53</v>
      </c>
      <c r="E866" s="234" t="s">
        <v>795</v>
      </c>
      <c r="F866" s="234" t="s">
        <v>1064</v>
      </c>
      <c r="G866" s="235"/>
      <c r="H866" s="222"/>
      <c r="I866" s="223"/>
    </row>
    <row r="867" spans="1:9" s="30" customFormat="1">
      <c r="A867" s="266" t="s">
        <v>405</v>
      </c>
      <c r="B867" s="233" t="s">
        <v>62</v>
      </c>
      <c r="C867" s="234" t="s">
        <v>14</v>
      </c>
      <c r="D867" s="234" t="s">
        <v>53</v>
      </c>
      <c r="E867" s="234" t="s">
        <v>796</v>
      </c>
      <c r="F867" s="234" t="s">
        <v>58</v>
      </c>
      <c r="G867" s="264"/>
      <c r="H867" s="222"/>
      <c r="I867" s="223"/>
    </row>
    <row r="868" spans="1:9" s="30" customFormat="1" ht="25.5">
      <c r="A868" s="232" t="s">
        <v>108</v>
      </c>
      <c r="B868" s="233" t="s">
        <v>62</v>
      </c>
      <c r="C868" s="234" t="s">
        <v>14</v>
      </c>
      <c r="D868" s="234" t="s">
        <v>53</v>
      </c>
      <c r="E868" s="234" t="s">
        <v>796</v>
      </c>
      <c r="F868" s="234" t="s">
        <v>116</v>
      </c>
      <c r="G868" s="264"/>
      <c r="H868" s="222"/>
      <c r="I868" s="223"/>
    </row>
    <row r="869" spans="1:9" s="83" customFormat="1" ht="25.5">
      <c r="A869" s="236" t="s">
        <v>973</v>
      </c>
      <c r="B869" s="233" t="s">
        <v>62</v>
      </c>
      <c r="C869" s="234" t="s">
        <v>14</v>
      </c>
      <c r="D869" s="234" t="s">
        <v>53</v>
      </c>
      <c r="E869" s="234" t="s">
        <v>796</v>
      </c>
      <c r="F869" s="234" t="s">
        <v>1043</v>
      </c>
      <c r="G869" s="235"/>
      <c r="H869" s="222"/>
      <c r="I869" s="223"/>
    </row>
    <row r="870" spans="1:9" s="30" customFormat="1">
      <c r="A870" s="244" t="s">
        <v>109</v>
      </c>
      <c r="B870" s="233" t="s">
        <v>62</v>
      </c>
      <c r="C870" s="234" t="s">
        <v>14</v>
      </c>
      <c r="D870" s="234" t="s">
        <v>53</v>
      </c>
      <c r="E870" s="234" t="s">
        <v>796</v>
      </c>
      <c r="F870" s="234" t="s">
        <v>134</v>
      </c>
      <c r="G870" s="264"/>
      <c r="H870" s="222"/>
      <c r="I870" s="223"/>
    </row>
    <row r="871" spans="1:9" s="83" customFormat="1" ht="25.5">
      <c r="A871" s="236" t="s">
        <v>978</v>
      </c>
      <c r="B871" s="233" t="s">
        <v>62</v>
      </c>
      <c r="C871" s="234" t="s">
        <v>14</v>
      </c>
      <c r="D871" s="234" t="s">
        <v>53</v>
      </c>
      <c r="E871" s="234" t="s">
        <v>796</v>
      </c>
      <c r="F871" s="234" t="s">
        <v>1064</v>
      </c>
      <c r="G871" s="235"/>
      <c r="H871" s="222"/>
      <c r="I871" s="223"/>
    </row>
    <row r="872" spans="1:9" s="30" customFormat="1" ht="25.5">
      <c r="A872" s="266" t="s">
        <v>403</v>
      </c>
      <c r="B872" s="233" t="s">
        <v>62</v>
      </c>
      <c r="C872" s="234" t="s">
        <v>14</v>
      </c>
      <c r="D872" s="234" t="s">
        <v>53</v>
      </c>
      <c r="E872" s="234" t="s">
        <v>797</v>
      </c>
      <c r="F872" s="234" t="s">
        <v>58</v>
      </c>
      <c r="G872" s="264"/>
      <c r="H872" s="222"/>
      <c r="I872" s="223"/>
    </row>
    <row r="873" spans="1:9" s="30" customFormat="1" ht="25.5">
      <c r="A873" s="232" t="s">
        <v>108</v>
      </c>
      <c r="B873" s="233" t="s">
        <v>62</v>
      </c>
      <c r="C873" s="234" t="s">
        <v>14</v>
      </c>
      <c r="D873" s="234" t="s">
        <v>53</v>
      </c>
      <c r="E873" s="234" t="s">
        <v>797</v>
      </c>
      <c r="F873" s="234" t="s">
        <v>116</v>
      </c>
      <c r="G873" s="264"/>
      <c r="H873" s="222"/>
      <c r="I873" s="223"/>
    </row>
    <row r="874" spans="1:9" s="83" customFormat="1" ht="25.5">
      <c r="A874" s="236" t="s">
        <v>973</v>
      </c>
      <c r="B874" s="233" t="s">
        <v>62</v>
      </c>
      <c r="C874" s="234" t="s">
        <v>14</v>
      </c>
      <c r="D874" s="234" t="s">
        <v>53</v>
      </c>
      <c r="E874" s="234" t="s">
        <v>797</v>
      </c>
      <c r="F874" s="234" t="s">
        <v>1043</v>
      </c>
      <c r="G874" s="235"/>
      <c r="H874" s="222"/>
      <c r="I874" s="223"/>
    </row>
    <row r="875" spans="1:9" s="30" customFormat="1">
      <c r="A875" s="244" t="s">
        <v>109</v>
      </c>
      <c r="B875" s="233" t="s">
        <v>62</v>
      </c>
      <c r="C875" s="234" t="s">
        <v>14</v>
      </c>
      <c r="D875" s="234" t="s">
        <v>53</v>
      </c>
      <c r="E875" s="234" t="s">
        <v>797</v>
      </c>
      <c r="F875" s="234" t="s">
        <v>134</v>
      </c>
      <c r="G875" s="264"/>
      <c r="H875" s="222"/>
      <c r="I875" s="223"/>
    </row>
    <row r="876" spans="1:9" s="83" customFormat="1" ht="25.5">
      <c r="A876" s="236" t="s">
        <v>978</v>
      </c>
      <c r="B876" s="233" t="s">
        <v>62</v>
      </c>
      <c r="C876" s="234" t="s">
        <v>14</v>
      </c>
      <c r="D876" s="234" t="s">
        <v>53</v>
      </c>
      <c r="E876" s="234" t="s">
        <v>797</v>
      </c>
      <c r="F876" s="234" t="s">
        <v>1064</v>
      </c>
      <c r="G876" s="235"/>
      <c r="H876" s="222"/>
      <c r="I876" s="223"/>
    </row>
    <row r="877" spans="1:9" s="30" customFormat="1" ht="25.5">
      <c r="A877" s="266" t="s">
        <v>693</v>
      </c>
      <c r="B877" s="233" t="s">
        <v>62</v>
      </c>
      <c r="C877" s="234" t="s">
        <v>14</v>
      </c>
      <c r="D877" s="234" t="s">
        <v>53</v>
      </c>
      <c r="E877" s="234" t="s">
        <v>798</v>
      </c>
      <c r="F877" s="234" t="s">
        <v>58</v>
      </c>
      <c r="G877" s="264"/>
      <c r="H877" s="222"/>
      <c r="I877" s="223"/>
    </row>
    <row r="878" spans="1:9" s="30" customFormat="1" ht="25.5">
      <c r="A878" s="232" t="s">
        <v>108</v>
      </c>
      <c r="B878" s="233" t="s">
        <v>62</v>
      </c>
      <c r="C878" s="234" t="s">
        <v>14</v>
      </c>
      <c r="D878" s="234" t="s">
        <v>53</v>
      </c>
      <c r="E878" s="234" t="s">
        <v>798</v>
      </c>
      <c r="F878" s="234" t="s">
        <v>116</v>
      </c>
      <c r="G878" s="264"/>
      <c r="H878" s="222"/>
      <c r="I878" s="223"/>
    </row>
    <row r="879" spans="1:9" s="83" customFormat="1" ht="25.5">
      <c r="A879" s="236" t="s">
        <v>973</v>
      </c>
      <c r="B879" s="233" t="s">
        <v>62</v>
      </c>
      <c r="C879" s="234" t="s">
        <v>14</v>
      </c>
      <c r="D879" s="234" t="s">
        <v>53</v>
      </c>
      <c r="E879" s="234" t="s">
        <v>798</v>
      </c>
      <c r="F879" s="234" t="s">
        <v>1043</v>
      </c>
      <c r="G879" s="235"/>
      <c r="H879" s="222"/>
      <c r="I879" s="223"/>
    </row>
    <row r="880" spans="1:9" s="30" customFormat="1">
      <c r="A880" s="244" t="s">
        <v>109</v>
      </c>
      <c r="B880" s="233" t="s">
        <v>62</v>
      </c>
      <c r="C880" s="234" t="s">
        <v>14</v>
      </c>
      <c r="D880" s="234" t="s">
        <v>53</v>
      </c>
      <c r="E880" s="234" t="s">
        <v>798</v>
      </c>
      <c r="F880" s="234" t="s">
        <v>134</v>
      </c>
      <c r="G880" s="264"/>
      <c r="H880" s="222"/>
      <c r="I880" s="223"/>
    </row>
    <row r="881" spans="1:9" s="83" customFormat="1" ht="25.5">
      <c r="A881" s="236" t="s">
        <v>978</v>
      </c>
      <c r="B881" s="233" t="s">
        <v>62</v>
      </c>
      <c r="C881" s="234" t="s">
        <v>14</v>
      </c>
      <c r="D881" s="234" t="s">
        <v>53</v>
      </c>
      <c r="E881" s="234" t="s">
        <v>798</v>
      </c>
      <c r="F881" s="234" t="s">
        <v>1064</v>
      </c>
      <c r="G881" s="235"/>
      <c r="H881" s="222"/>
      <c r="I881" s="223"/>
    </row>
    <row r="882" spans="1:9" s="30" customFormat="1" ht="25.5">
      <c r="A882" s="263" t="s">
        <v>406</v>
      </c>
      <c r="B882" s="233" t="s">
        <v>62</v>
      </c>
      <c r="C882" s="234" t="s">
        <v>14</v>
      </c>
      <c r="D882" s="234" t="s">
        <v>53</v>
      </c>
      <c r="E882" s="234" t="s">
        <v>407</v>
      </c>
      <c r="F882" s="234" t="s">
        <v>58</v>
      </c>
      <c r="G882" s="261"/>
      <c r="H882" s="222"/>
      <c r="I882" s="223"/>
    </row>
    <row r="883" spans="1:9" s="30" customFormat="1" ht="51">
      <c r="A883" s="266" t="s">
        <v>408</v>
      </c>
      <c r="B883" s="233" t="s">
        <v>62</v>
      </c>
      <c r="C883" s="234" t="s">
        <v>14</v>
      </c>
      <c r="D883" s="234" t="s">
        <v>53</v>
      </c>
      <c r="E883" s="234" t="s">
        <v>409</v>
      </c>
      <c r="F883" s="234" t="s">
        <v>58</v>
      </c>
      <c r="G883" s="264"/>
      <c r="H883" s="222"/>
      <c r="I883" s="223"/>
    </row>
    <row r="884" spans="1:9" s="30" customFormat="1">
      <c r="A884" s="244" t="s">
        <v>109</v>
      </c>
      <c r="B884" s="233" t="s">
        <v>62</v>
      </c>
      <c r="C884" s="234" t="s">
        <v>14</v>
      </c>
      <c r="D884" s="234" t="s">
        <v>53</v>
      </c>
      <c r="E884" s="234" t="s">
        <v>409</v>
      </c>
      <c r="F884" s="234" t="s">
        <v>134</v>
      </c>
      <c r="G884" s="264"/>
      <c r="H884" s="222"/>
      <c r="I884" s="223"/>
    </row>
    <row r="885" spans="1:9" s="83" customFormat="1" ht="25.5">
      <c r="A885" s="236" t="s">
        <v>978</v>
      </c>
      <c r="B885" s="233" t="s">
        <v>62</v>
      </c>
      <c r="C885" s="234" t="s">
        <v>14</v>
      </c>
      <c r="D885" s="234" t="s">
        <v>53</v>
      </c>
      <c r="E885" s="234" t="s">
        <v>409</v>
      </c>
      <c r="F885" s="234" t="s">
        <v>1064</v>
      </c>
      <c r="G885" s="235"/>
      <c r="H885" s="222"/>
      <c r="I885" s="223"/>
    </row>
    <row r="886" spans="1:9" s="30" customFormat="1">
      <c r="A886" s="266" t="s">
        <v>410</v>
      </c>
      <c r="B886" s="233" t="s">
        <v>62</v>
      </c>
      <c r="C886" s="234" t="s">
        <v>14</v>
      </c>
      <c r="D886" s="234" t="s">
        <v>53</v>
      </c>
      <c r="E886" s="234" t="s">
        <v>411</v>
      </c>
      <c r="F886" s="234" t="s">
        <v>58</v>
      </c>
      <c r="G886" s="264"/>
      <c r="H886" s="222"/>
      <c r="I886" s="223"/>
    </row>
    <row r="887" spans="1:9" s="30" customFormat="1" ht="25.5">
      <c r="A887" s="232" t="s">
        <v>108</v>
      </c>
      <c r="B887" s="233" t="s">
        <v>62</v>
      </c>
      <c r="C887" s="234" t="s">
        <v>14</v>
      </c>
      <c r="D887" s="234" t="s">
        <v>53</v>
      </c>
      <c r="E887" s="234" t="s">
        <v>411</v>
      </c>
      <c r="F887" s="234" t="s">
        <v>116</v>
      </c>
      <c r="G887" s="264"/>
      <c r="H887" s="222"/>
      <c r="I887" s="223"/>
    </row>
    <row r="888" spans="1:9" s="83" customFormat="1" ht="25.5">
      <c r="A888" s="236" t="s">
        <v>973</v>
      </c>
      <c r="B888" s="233" t="s">
        <v>62</v>
      </c>
      <c r="C888" s="234" t="s">
        <v>14</v>
      </c>
      <c r="D888" s="234" t="s">
        <v>53</v>
      </c>
      <c r="E888" s="234" t="s">
        <v>411</v>
      </c>
      <c r="F888" s="234" t="s">
        <v>1043</v>
      </c>
      <c r="G888" s="235"/>
      <c r="H888" s="222"/>
      <c r="I888" s="223"/>
    </row>
    <row r="889" spans="1:9" s="30" customFormat="1">
      <c r="A889" s="244" t="s">
        <v>109</v>
      </c>
      <c r="B889" s="233" t="s">
        <v>62</v>
      </c>
      <c r="C889" s="234" t="s">
        <v>14</v>
      </c>
      <c r="D889" s="234" t="s">
        <v>53</v>
      </c>
      <c r="E889" s="234" t="s">
        <v>411</v>
      </c>
      <c r="F889" s="234" t="s">
        <v>134</v>
      </c>
      <c r="G889" s="264"/>
      <c r="H889" s="222"/>
      <c r="I889" s="223"/>
    </row>
    <row r="890" spans="1:9" s="83" customFormat="1" ht="25.5">
      <c r="A890" s="236" t="s">
        <v>978</v>
      </c>
      <c r="B890" s="233" t="s">
        <v>62</v>
      </c>
      <c r="C890" s="234" t="s">
        <v>14</v>
      </c>
      <c r="D890" s="234" t="s">
        <v>53</v>
      </c>
      <c r="E890" s="234" t="s">
        <v>411</v>
      </c>
      <c r="F890" s="234" t="s">
        <v>1064</v>
      </c>
      <c r="G890" s="235"/>
      <c r="H890" s="222"/>
      <c r="I890" s="223"/>
    </row>
    <row r="891" spans="1:9" s="30" customFormat="1">
      <c r="A891" s="266" t="s">
        <v>412</v>
      </c>
      <c r="B891" s="233" t="s">
        <v>62</v>
      </c>
      <c r="C891" s="234" t="s">
        <v>14</v>
      </c>
      <c r="D891" s="234" t="s">
        <v>53</v>
      </c>
      <c r="E891" s="234" t="s">
        <v>413</v>
      </c>
      <c r="F891" s="234" t="s">
        <v>58</v>
      </c>
      <c r="G891" s="264"/>
      <c r="H891" s="222"/>
      <c r="I891" s="223"/>
    </row>
    <row r="892" spans="1:9" s="30" customFormat="1">
      <c r="A892" s="244" t="s">
        <v>109</v>
      </c>
      <c r="B892" s="233" t="s">
        <v>62</v>
      </c>
      <c r="C892" s="234" t="s">
        <v>14</v>
      </c>
      <c r="D892" s="234" t="s">
        <v>53</v>
      </c>
      <c r="E892" s="234" t="s">
        <v>413</v>
      </c>
      <c r="F892" s="234" t="s">
        <v>134</v>
      </c>
      <c r="G892" s="264"/>
      <c r="H892" s="222"/>
      <c r="I892" s="223"/>
    </row>
    <row r="893" spans="1:9" s="83" customFormat="1" ht="25.5">
      <c r="A893" s="236" t="s">
        <v>978</v>
      </c>
      <c r="B893" s="233" t="s">
        <v>62</v>
      </c>
      <c r="C893" s="234" t="s">
        <v>14</v>
      </c>
      <c r="D893" s="234" t="s">
        <v>53</v>
      </c>
      <c r="E893" s="234" t="s">
        <v>413</v>
      </c>
      <c r="F893" s="234" t="s">
        <v>1064</v>
      </c>
      <c r="G893" s="235"/>
      <c r="H893" s="222"/>
      <c r="I893" s="223"/>
    </row>
    <row r="894" spans="1:9" s="30" customFormat="1" ht="51">
      <c r="A894" s="267" t="s">
        <v>673</v>
      </c>
      <c r="B894" s="241" t="s">
        <v>62</v>
      </c>
      <c r="C894" s="242" t="s">
        <v>14</v>
      </c>
      <c r="D894" s="242" t="s">
        <v>53</v>
      </c>
      <c r="E894" s="242" t="s">
        <v>672</v>
      </c>
      <c r="F894" s="242" t="s">
        <v>58</v>
      </c>
      <c r="G894" s="261"/>
      <c r="H894" s="222"/>
      <c r="I894" s="223"/>
    </row>
    <row r="895" spans="1:9" s="30" customFormat="1" ht="25.5">
      <c r="A895" s="232" t="s">
        <v>108</v>
      </c>
      <c r="B895" s="241" t="s">
        <v>62</v>
      </c>
      <c r="C895" s="242" t="s">
        <v>14</v>
      </c>
      <c r="D895" s="242" t="s">
        <v>53</v>
      </c>
      <c r="E895" s="242" t="s">
        <v>672</v>
      </c>
      <c r="F895" s="242" t="s">
        <v>116</v>
      </c>
      <c r="G895" s="264"/>
      <c r="H895" s="222"/>
      <c r="I895" s="223"/>
    </row>
    <row r="896" spans="1:9" s="83" customFormat="1" ht="25.5">
      <c r="A896" s="236" t="s">
        <v>973</v>
      </c>
      <c r="B896" s="241" t="s">
        <v>62</v>
      </c>
      <c r="C896" s="242" t="s">
        <v>14</v>
      </c>
      <c r="D896" s="242" t="s">
        <v>53</v>
      </c>
      <c r="E896" s="242" t="s">
        <v>672</v>
      </c>
      <c r="F896" s="242" t="s">
        <v>1043</v>
      </c>
      <c r="G896" s="235"/>
      <c r="H896" s="222"/>
      <c r="I896" s="223"/>
    </row>
    <row r="897" spans="1:9" s="30" customFormat="1">
      <c r="A897" s="252" t="s">
        <v>109</v>
      </c>
      <c r="B897" s="241" t="s">
        <v>62</v>
      </c>
      <c r="C897" s="242" t="s">
        <v>14</v>
      </c>
      <c r="D897" s="242" t="s">
        <v>53</v>
      </c>
      <c r="E897" s="242" t="s">
        <v>672</v>
      </c>
      <c r="F897" s="242" t="s">
        <v>134</v>
      </c>
      <c r="G897" s="264"/>
      <c r="H897" s="222"/>
      <c r="I897" s="223"/>
    </row>
    <row r="898" spans="1:9" s="83" customFormat="1" ht="25.5">
      <c r="A898" s="236" t="s">
        <v>978</v>
      </c>
      <c r="B898" s="241" t="s">
        <v>62</v>
      </c>
      <c r="C898" s="242" t="s">
        <v>14</v>
      </c>
      <c r="D898" s="242" t="s">
        <v>53</v>
      </c>
      <c r="E898" s="242" t="s">
        <v>672</v>
      </c>
      <c r="F898" s="242" t="s">
        <v>1064</v>
      </c>
      <c r="G898" s="235"/>
      <c r="H898" s="222"/>
      <c r="I898" s="223"/>
    </row>
    <row r="899" spans="1:9" s="30" customFormat="1" ht="25.5">
      <c r="A899" s="267" t="s">
        <v>675</v>
      </c>
      <c r="B899" s="233" t="s">
        <v>62</v>
      </c>
      <c r="C899" s="234" t="s">
        <v>14</v>
      </c>
      <c r="D899" s="234" t="s">
        <v>53</v>
      </c>
      <c r="E899" s="234" t="s">
        <v>799</v>
      </c>
      <c r="F899" s="234" t="s">
        <v>58</v>
      </c>
      <c r="G899" s="264"/>
      <c r="H899" s="222"/>
      <c r="I899" s="223"/>
    </row>
    <row r="900" spans="1:9" s="30" customFormat="1" ht="25.5">
      <c r="A900" s="232" t="s">
        <v>108</v>
      </c>
      <c r="B900" s="233" t="s">
        <v>62</v>
      </c>
      <c r="C900" s="234" t="s">
        <v>14</v>
      </c>
      <c r="D900" s="234" t="s">
        <v>53</v>
      </c>
      <c r="E900" s="234" t="s">
        <v>799</v>
      </c>
      <c r="F900" s="234" t="s">
        <v>116</v>
      </c>
      <c r="G900" s="264"/>
      <c r="H900" s="222"/>
      <c r="I900" s="223"/>
    </row>
    <row r="901" spans="1:9" s="83" customFormat="1" ht="25.5">
      <c r="A901" s="236" t="s">
        <v>973</v>
      </c>
      <c r="B901" s="233" t="s">
        <v>62</v>
      </c>
      <c r="C901" s="234" t="s">
        <v>14</v>
      </c>
      <c r="D901" s="234" t="s">
        <v>53</v>
      </c>
      <c r="E901" s="234" t="s">
        <v>799</v>
      </c>
      <c r="F901" s="234" t="s">
        <v>1043</v>
      </c>
      <c r="G901" s="235"/>
      <c r="H901" s="222"/>
      <c r="I901" s="223"/>
    </row>
    <row r="902" spans="1:9" s="30" customFormat="1">
      <c r="A902" s="244" t="s">
        <v>109</v>
      </c>
      <c r="B902" s="233" t="s">
        <v>62</v>
      </c>
      <c r="C902" s="234" t="s">
        <v>14</v>
      </c>
      <c r="D902" s="234" t="s">
        <v>53</v>
      </c>
      <c r="E902" s="234" t="s">
        <v>799</v>
      </c>
      <c r="F902" s="234" t="s">
        <v>134</v>
      </c>
      <c r="G902" s="264"/>
      <c r="H902" s="222"/>
      <c r="I902" s="223"/>
    </row>
    <row r="903" spans="1:9" s="83" customFormat="1" ht="25.5">
      <c r="A903" s="236" t="s">
        <v>978</v>
      </c>
      <c r="B903" s="233" t="s">
        <v>62</v>
      </c>
      <c r="C903" s="234" t="s">
        <v>14</v>
      </c>
      <c r="D903" s="234" t="s">
        <v>53</v>
      </c>
      <c r="E903" s="234" t="s">
        <v>799</v>
      </c>
      <c r="F903" s="234" t="s">
        <v>1064</v>
      </c>
      <c r="G903" s="235"/>
      <c r="H903" s="222"/>
      <c r="I903" s="223"/>
    </row>
    <row r="904" spans="1:9" s="30" customFormat="1" ht="38.25">
      <c r="A904" s="244" t="s">
        <v>842</v>
      </c>
      <c r="B904" s="233" t="s">
        <v>62</v>
      </c>
      <c r="C904" s="234" t="s">
        <v>14</v>
      </c>
      <c r="D904" s="234" t="s">
        <v>53</v>
      </c>
      <c r="E904" s="234" t="s">
        <v>414</v>
      </c>
      <c r="F904" s="234" t="s">
        <v>58</v>
      </c>
      <c r="G904" s="264"/>
      <c r="H904" s="222"/>
      <c r="I904" s="223"/>
    </row>
    <row r="905" spans="1:9" s="30" customFormat="1" ht="25.5">
      <c r="A905" s="263" t="s">
        <v>636</v>
      </c>
      <c r="B905" s="233" t="s">
        <v>62</v>
      </c>
      <c r="C905" s="234" t="s">
        <v>14</v>
      </c>
      <c r="D905" s="234" t="s">
        <v>53</v>
      </c>
      <c r="E905" s="234" t="s">
        <v>415</v>
      </c>
      <c r="F905" s="234" t="s">
        <v>58</v>
      </c>
      <c r="G905" s="264"/>
      <c r="H905" s="222"/>
      <c r="I905" s="223"/>
    </row>
    <row r="906" spans="1:9" s="30" customFormat="1" ht="38.25">
      <c r="A906" s="266" t="s">
        <v>416</v>
      </c>
      <c r="B906" s="233" t="s">
        <v>62</v>
      </c>
      <c r="C906" s="234" t="s">
        <v>14</v>
      </c>
      <c r="D906" s="234" t="s">
        <v>53</v>
      </c>
      <c r="E906" s="234" t="s">
        <v>417</v>
      </c>
      <c r="F906" s="234" t="s">
        <v>58</v>
      </c>
      <c r="G906" s="264"/>
      <c r="H906" s="222"/>
      <c r="I906" s="223"/>
    </row>
    <row r="907" spans="1:9" s="30" customFormat="1">
      <c r="A907" s="244" t="s">
        <v>109</v>
      </c>
      <c r="B907" s="233" t="s">
        <v>62</v>
      </c>
      <c r="C907" s="234" t="s">
        <v>14</v>
      </c>
      <c r="D907" s="234" t="s">
        <v>53</v>
      </c>
      <c r="E907" s="234" t="s">
        <v>417</v>
      </c>
      <c r="F907" s="234" t="s">
        <v>134</v>
      </c>
      <c r="G907" s="264"/>
      <c r="H907" s="222"/>
      <c r="I907" s="223"/>
    </row>
    <row r="908" spans="1:9" s="83" customFormat="1" ht="25.5">
      <c r="A908" s="236" t="s">
        <v>978</v>
      </c>
      <c r="B908" s="233" t="s">
        <v>62</v>
      </c>
      <c r="C908" s="234" t="s">
        <v>14</v>
      </c>
      <c r="D908" s="234" t="s">
        <v>53</v>
      </c>
      <c r="E908" s="234" t="s">
        <v>417</v>
      </c>
      <c r="F908" s="234" t="s">
        <v>1064</v>
      </c>
      <c r="G908" s="235"/>
      <c r="H908" s="222"/>
      <c r="I908" s="223"/>
    </row>
    <row r="909" spans="1:9" s="30" customFormat="1" ht="38.25">
      <c r="A909" s="266" t="s">
        <v>418</v>
      </c>
      <c r="B909" s="233" t="s">
        <v>62</v>
      </c>
      <c r="C909" s="234" t="s">
        <v>14</v>
      </c>
      <c r="D909" s="234" t="s">
        <v>53</v>
      </c>
      <c r="E909" s="234" t="s">
        <v>419</v>
      </c>
      <c r="F909" s="234" t="s">
        <v>58</v>
      </c>
      <c r="G909" s="264"/>
      <c r="H909" s="222"/>
      <c r="I909" s="223"/>
    </row>
    <row r="910" spans="1:9" s="30" customFormat="1">
      <c r="A910" s="244" t="s">
        <v>109</v>
      </c>
      <c r="B910" s="233" t="s">
        <v>62</v>
      </c>
      <c r="C910" s="234" t="s">
        <v>14</v>
      </c>
      <c r="D910" s="234" t="s">
        <v>53</v>
      </c>
      <c r="E910" s="234" t="s">
        <v>419</v>
      </c>
      <c r="F910" s="234" t="s">
        <v>134</v>
      </c>
      <c r="G910" s="264"/>
      <c r="H910" s="222"/>
      <c r="I910" s="223"/>
    </row>
    <row r="911" spans="1:9" s="83" customFormat="1" ht="25.5">
      <c r="A911" s="236" t="s">
        <v>978</v>
      </c>
      <c r="B911" s="233" t="s">
        <v>62</v>
      </c>
      <c r="C911" s="234" t="s">
        <v>14</v>
      </c>
      <c r="D911" s="234" t="s">
        <v>53</v>
      </c>
      <c r="E911" s="234" t="s">
        <v>419</v>
      </c>
      <c r="F911" s="234" t="s">
        <v>1064</v>
      </c>
      <c r="G911" s="235"/>
      <c r="H911" s="222"/>
      <c r="I911" s="223"/>
    </row>
    <row r="912" spans="1:9" s="30" customFormat="1" ht="25.5">
      <c r="A912" s="266" t="s">
        <v>420</v>
      </c>
      <c r="B912" s="233" t="s">
        <v>62</v>
      </c>
      <c r="C912" s="234" t="s">
        <v>14</v>
      </c>
      <c r="D912" s="234" t="s">
        <v>53</v>
      </c>
      <c r="E912" s="234" t="s">
        <v>421</v>
      </c>
      <c r="F912" s="234" t="s">
        <v>58</v>
      </c>
      <c r="G912" s="264"/>
      <c r="H912" s="222"/>
      <c r="I912" s="223"/>
    </row>
    <row r="913" spans="1:9" s="30" customFormat="1">
      <c r="A913" s="244" t="s">
        <v>109</v>
      </c>
      <c r="B913" s="233" t="s">
        <v>62</v>
      </c>
      <c r="C913" s="234" t="s">
        <v>14</v>
      </c>
      <c r="D913" s="234" t="s">
        <v>53</v>
      </c>
      <c r="E913" s="234" t="s">
        <v>421</v>
      </c>
      <c r="F913" s="234" t="s">
        <v>134</v>
      </c>
      <c r="G913" s="264"/>
      <c r="H913" s="222"/>
      <c r="I913" s="223"/>
    </row>
    <row r="914" spans="1:9" s="83" customFormat="1" ht="25.5">
      <c r="A914" s="236" t="s">
        <v>978</v>
      </c>
      <c r="B914" s="233" t="s">
        <v>62</v>
      </c>
      <c r="C914" s="234" t="s">
        <v>14</v>
      </c>
      <c r="D914" s="234" t="s">
        <v>53</v>
      </c>
      <c r="E914" s="234" t="s">
        <v>421</v>
      </c>
      <c r="F914" s="234" t="s">
        <v>1064</v>
      </c>
      <c r="G914" s="235"/>
      <c r="H914" s="222"/>
      <c r="I914" s="223"/>
    </row>
    <row r="915" spans="1:9" s="30" customFormat="1" ht="25.5">
      <c r="A915" s="266" t="s">
        <v>422</v>
      </c>
      <c r="B915" s="233" t="s">
        <v>62</v>
      </c>
      <c r="C915" s="234" t="s">
        <v>14</v>
      </c>
      <c r="D915" s="234" t="s">
        <v>53</v>
      </c>
      <c r="E915" s="234" t="s">
        <v>423</v>
      </c>
      <c r="F915" s="234" t="s">
        <v>58</v>
      </c>
      <c r="G915" s="264"/>
      <c r="H915" s="222"/>
      <c r="I915" s="223"/>
    </row>
    <row r="916" spans="1:9" s="30" customFormat="1">
      <c r="A916" s="244" t="s">
        <v>109</v>
      </c>
      <c r="B916" s="233" t="s">
        <v>62</v>
      </c>
      <c r="C916" s="234" t="s">
        <v>14</v>
      </c>
      <c r="D916" s="234" t="s">
        <v>53</v>
      </c>
      <c r="E916" s="234" t="s">
        <v>423</v>
      </c>
      <c r="F916" s="234" t="s">
        <v>134</v>
      </c>
      <c r="G916" s="264"/>
      <c r="H916" s="222"/>
      <c r="I916" s="223"/>
    </row>
    <row r="917" spans="1:9" s="83" customFormat="1" ht="25.5">
      <c r="A917" s="236" t="s">
        <v>978</v>
      </c>
      <c r="B917" s="233" t="s">
        <v>62</v>
      </c>
      <c r="C917" s="234" t="s">
        <v>14</v>
      </c>
      <c r="D917" s="234" t="s">
        <v>53</v>
      </c>
      <c r="E917" s="234" t="s">
        <v>423</v>
      </c>
      <c r="F917" s="234" t="s">
        <v>1064</v>
      </c>
      <c r="G917" s="235"/>
      <c r="H917" s="222"/>
      <c r="I917" s="223"/>
    </row>
    <row r="918" spans="1:9" s="30" customFormat="1" ht="89.25">
      <c r="A918" s="266" t="s">
        <v>424</v>
      </c>
      <c r="B918" s="233" t="s">
        <v>62</v>
      </c>
      <c r="C918" s="234" t="s">
        <v>14</v>
      </c>
      <c r="D918" s="234" t="s">
        <v>53</v>
      </c>
      <c r="E918" s="234" t="s">
        <v>425</v>
      </c>
      <c r="F918" s="234" t="s">
        <v>58</v>
      </c>
      <c r="G918" s="264"/>
      <c r="H918" s="222"/>
      <c r="I918" s="223"/>
    </row>
    <row r="919" spans="1:9" s="30" customFormat="1">
      <c r="A919" s="244" t="s">
        <v>109</v>
      </c>
      <c r="B919" s="233" t="s">
        <v>62</v>
      </c>
      <c r="C919" s="234" t="s">
        <v>14</v>
      </c>
      <c r="D919" s="234" t="s">
        <v>53</v>
      </c>
      <c r="E919" s="234" t="s">
        <v>425</v>
      </c>
      <c r="F919" s="234" t="s">
        <v>134</v>
      </c>
      <c r="G919" s="264"/>
      <c r="H919" s="222"/>
      <c r="I919" s="223"/>
    </row>
    <row r="920" spans="1:9" s="103" customFormat="1" ht="25.5">
      <c r="A920" s="236" t="s">
        <v>978</v>
      </c>
      <c r="B920" s="233" t="s">
        <v>62</v>
      </c>
      <c r="C920" s="234" t="s">
        <v>14</v>
      </c>
      <c r="D920" s="234" t="s">
        <v>53</v>
      </c>
      <c r="E920" s="234" t="s">
        <v>425</v>
      </c>
      <c r="F920" s="234" t="s">
        <v>1064</v>
      </c>
      <c r="G920" s="235"/>
      <c r="H920" s="222"/>
      <c r="I920" s="223"/>
    </row>
    <row r="921" spans="1:9" s="30" customFormat="1" ht="25.5">
      <c r="A921" s="266" t="s">
        <v>426</v>
      </c>
      <c r="B921" s="233" t="s">
        <v>62</v>
      </c>
      <c r="C921" s="234" t="s">
        <v>14</v>
      </c>
      <c r="D921" s="234" t="s">
        <v>53</v>
      </c>
      <c r="E921" s="234" t="s">
        <v>427</v>
      </c>
      <c r="F921" s="234" t="s">
        <v>58</v>
      </c>
      <c r="G921" s="264"/>
      <c r="H921" s="222"/>
      <c r="I921" s="223"/>
    </row>
    <row r="922" spans="1:9" s="30" customFormat="1">
      <c r="A922" s="244" t="s">
        <v>109</v>
      </c>
      <c r="B922" s="233" t="s">
        <v>62</v>
      </c>
      <c r="C922" s="234" t="s">
        <v>14</v>
      </c>
      <c r="D922" s="234" t="s">
        <v>53</v>
      </c>
      <c r="E922" s="234" t="s">
        <v>427</v>
      </c>
      <c r="F922" s="234" t="s">
        <v>134</v>
      </c>
      <c r="G922" s="264"/>
      <c r="H922" s="222"/>
      <c r="I922" s="223"/>
    </row>
    <row r="923" spans="1:9" s="83" customFormat="1" ht="25.5">
      <c r="A923" s="236" t="s">
        <v>978</v>
      </c>
      <c r="B923" s="233" t="s">
        <v>62</v>
      </c>
      <c r="C923" s="234" t="s">
        <v>14</v>
      </c>
      <c r="D923" s="234" t="s">
        <v>53</v>
      </c>
      <c r="E923" s="234" t="s">
        <v>427</v>
      </c>
      <c r="F923" s="234" t="s">
        <v>1064</v>
      </c>
      <c r="G923" s="235"/>
      <c r="H923" s="222"/>
      <c r="I923" s="223"/>
    </row>
    <row r="924" spans="1:9" s="30" customFormat="1" ht="51">
      <c r="A924" s="266" t="s">
        <v>428</v>
      </c>
      <c r="B924" s="233" t="s">
        <v>62</v>
      </c>
      <c r="C924" s="234" t="s">
        <v>14</v>
      </c>
      <c r="D924" s="234" t="s">
        <v>53</v>
      </c>
      <c r="E924" s="234" t="s">
        <v>429</v>
      </c>
      <c r="F924" s="234" t="s">
        <v>58</v>
      </c>
      <c r="G924" s="264"/>
      <c r="H924" s="222"/>
      <c r="I924" s="223"/>
    </row>
    <row r="925" spans="1:9" s="30" customFormat="1">
      <c r="A925" s="244" t="s">
        <v>109</v>
      </c>
      <c r="B925" s="233" t="s">
        <v>62</v>
      </c>
      <c r="C925" s="234" t="s">
        <v>14</v>
      </c>
      <c r="D925" s="234" t="s">
        <v>53</v>
      </c>
      <c r="E925" s="234" t="s">
        <v>429</v>
      </c>
      <c r="F925" s="234" t="s">
        <v>134</v>
      </c>
      <c r="G925" s="264"/>
      <c r="H925" s="222"/>
      <c r="I925" s="223"/>
    </row>
    <row r="926" spans="1:9" s="83" customFormat="1" ht="25.5">
      <c r="A926" s="236" t="s">
        <v>978</v>
      </c>
      <c r="B926" s="233" t="s">
        <v>62</v>
      </c>
      <c r="C926" s="234" t="s">
        <v>14</v>
      </c>
      <c r="D926" s="234" t="s">
        <v>53</v>
      </c>
      <c r="E926" s="234" t="s">
        <v>429</v>
      </c>
      <c r="F926" s="234" t="s">
        <v>1064</v>
      </c>
      <c r="G926" s="235"/>
      <c r="H926" s="222"/>
      <c r="I926" s="223"/>
    </row>
    <row r="927" spans="1:9" s="30" customFormat="1" ht="25.5">
      <c r="A927" s="266" t="s">
        <v>430</v>
      </c>
      <c r="B927" s="233" t="s">
        <v>62</v>
      </c>
      <c r="C927" s="234" t="s">
        <v>14</v>
      </c>
      <c r="D927" s="234" t="s">
        <v>53</v>
      </c>
      <c r="E927" s="234" t="s">
        <v>431</v>
      </c>
      <c r="F927" s="234" t="s">
        <v>58</v>
      </c>
      <c r="G927" s="264"/>
      <c r="H927" s="222"/>
      <c r="I927" s="223"/>
    </row>
    <row r="928" spans="1:9" s="30" customFormat="1">
      <c r="A928" s="244" t="s">
        <v>109</v>
      </c>
      <c r="B928" s="233" t="s">
        <v>62</v>
      </c>
      <c r="C928" s="234" t="s">
        <v>14</v>
      </c>
      <c r="D928" s="234" t="s">
        <v>53</v>
      </c>
      <c r="E928" s="234" t="s">
        <v>431</v>
      </c>
      <c r="F928" s="234" t="s">
        <v>134</v>
      </c>
      <c r="G928" s="264"/>
      <c r="H928" s="222"/>
      <c r="I928" s="223"/>
    </row>
    <row r="929" spans="1:9" s="83" customFormat="1" ht="25.5">
      <c r="A929" s="236" t="s">
        <v>978</v>
      </c>
      <c r="B929" s="233" t="s">
        <v>62</v>
      </c>
      <c r="C929" s="234" t="s">
        <v>14</v>
      </c>
      <c r="D929" s="234" t="s">
        <v>53</v>
      </c>
      <c r="E929" s="234" t="s">
        <v>431</v>
      </c>
      <c r="F929" s="234" t="s">
        <v>1064</v>
      </c>
      <c r="G929" s="235"/>
      <c r="H929" s="222"/>
      <c r="I929" s="223"/>
    </row>
    <row r="930" spans="1:9" s="30" customFormat="1">
      <c r="A930" s="266" t="s">
        <v>432</v>
      </c>
      <c r="B930" s="233" t="s">
        <v>62</v>
      </c>
      <c r="C930" s="234" t="s">
        <v>14</v>
      </c>
      <c r="D930" s="234" t="s">
        <v>53</v>
      </c>
      <c r="E930" s="234" t="s">
        <v>433</v>
      </c>
      <c r="F930" s="234" t="s">
        <v>58</v>
      </c>
      <c r="G930" s="264"/>
      <c r="H930" s="222"/>
      <c r="I930" s="223"/>
    </row>
    <row r="931" spans="1:9" s="30" customFormat="1">
      <c r="A931" s="244" t="s">
        <v>109</v>
      </c>
      <c r="B931" s="233" t="s">
        <v>62</v>
      </c>
      <c r="C931" s="234" t="s">
        <v>14</v>
      </c>
      <c r="D931" s="234" t="s">
        <v>53</v>
      </c>
      <c r="E931" s="234" t="s">
        <v>433</v>
      </c>
      <c r="F931" s="234" t="s">
        <v>134</v>
      </c>
      <c r="G931" s="264"/>
      <c r="H931" s="222"/>
      <c r="I931" s="223"/>
    </row>
    <row r="932" spans="1:9" s="83" customFormat="1" ht="25.5">
      <c r="A932" s="236" t="s">
        <v>978</v>
      </c>
      <c r="B932" s="233" t="s">
        <v>62</v>
      </c>
      <c r="C932" s="234" t="s">
        <v>14</v>
      </c>
      <c r="D932" s="234" t="s">
        <v>53</v>
      </c>
      <c r="E932" s="234" t="s">
        <v>433</v>
      </c>
      <c r="F932" s="234" t="s">
        <v>1064</v>
      </c>
      <c r="G932" s="235"/>
      <c r="H932" s="222"/>
      <c r="I932" s="223"/>
    </row>
    <row r="933" spans="1:9" s="30" customFormat="1" ht="25.5">
      <c r="A933" s="266" t="s">
        <v>434</v>
      </c>
      <c r="B933" s="233" t="s">
        <v>62</v>
      </c>
      <c r="C933" s="234" t="s">
        <v>14</v>
      </c>
      <c r="D933" s="234" t="s">
        <v>53</v>
      </c>
      <c r="E933" s="234" t="s">
        <v>435</v>
      </c>
      <c r="F933" s="234" t="s">
        <v>58</v>
      </c>
      <c r="G933" s="264"/>
      <c r="H933" s="222"/>
      <c r="I933" s="223"/>
    </row>
    <row r="934" spans="1:9" s="30" customFormat="1">
      <c r="A934" s="244" t="s">
        <v>109</v>
      </c>
      <c r="B934" s="233" t="s">
        <v>62</v>
      </c>
      <c r="C934" s="234" t="s">
        <v>14</v>
      </c>
      <c r="D934" s="234" t="s">
        <v>53</v>
      </c>
      <c r="E934" s="234" t="s">
        <v>435</v>
      </c>
      <c r="F934" s="234" t="s">
        <v>134</v>
      </c>
      <c r="G934" s="264"/>
      <c r="H934" s="222"/>
      <c r="I934" s="223"/>
    </row>
    <row r="935" spans="1:9" s="83" customFormat="1" ht="25.5">
      <c r="A935" s="236" t="s">
        <v>978</v>
      </c>
      <c r="B935" s="233" t="s">
        <v>62</v>
      </c>
      <c r="C935" s="234" t="s">
        <v>14</v>
      </c>
      <c r="D935" s="234" t="s">
        <v>53</v>
      </c>
      <c r="E935" s="234" t="s">
        <v>435</v>
      </c>
      <c r="F935" s="234" t="s">
        <v>1064</v>
      </c>
      <c r="G935" s="235"/>
      <c r="H935" s="222"/>
      <c r="I935" s="223"/>
    </row>
    <row r="936" spans="1:9" s="30" customFormat="1" ht="38.25">
      <c r="A936" s="266" t="s">
        <v>804</v>
      </c>
      <c r="B936" s="233" t="s">
        <v>62</v>
      </c>
      <c r="C936" s="234" t="s">
        <v>14</v>
      </c>
      <c r="D936" s="234" t="s">
        <v>53</v>
      </c>
      <c r="E936" s="234" t="s">
        <v>436</v>
      </c>
      <c r="F936" s="234" t="s">
        <v>58</v>
      </c>
      <c r="G936" s="268"/>
      <c r="H936" s="222"/>
      <c r="I936" s="223"/>
    </row>
    <row r="937" spans="1:9" s="30" customFormat="1">
      <c r="A937" s="244" t="s">
        <v>109</v>
      </c>
      <c r="B937" s="233" t="s">
        <v>62</v>
      </c>
      <c r="C937" s="234" t="s">
        <v>14</v>
      </c>
      <c r="D937" s="234" t="s">
        <v>53</v>
      </c>
      <c r="E937" s="234" t="s">
        <v>436</v>
      </c>
      <c r="F937" s="234" t="s">
        <v>134</v>
      </c>
      <c r="G937" s="264"/>
      <c r="H937" s="222"/>
      <c r="I937" s="223"/>
    </row>
    <row r="938" spans="1:9" s="83" customFormat="1" ht="25.5">
      <c r="A938" s="236" t="s">
        <v>978</v>
      </c>
      <c r="B938" s="233" t="s">
        <v>62</v>
      </c>
      <c r="C938" s="234" t="s">
        <v>14</v>
      </c>
      <c r="D938" s="234" t="s">
        <v>53</v>
      </c>
      <c r="E938" s="234" t="s">
        <v>436</v>
      </c>
      <c r="F938" s="234" t="s">
        <v>1064</v>
      </c>
      <c r="G938" s="235"/>
      <c r="H938" s="222"/>
      <c r="I938" s="223"/>
    </row>
    <row r="939" spans="1:9" s="30" customFormat="1">
      <c r="A939" s="266" t="s">
        <v>800</v>
      </c>
      <c r="B939" s="233" t="s">
        <v>62</v>
      </c>
      <c r="C939" s="234" t="s">
        <v>14</v>
      </c>
      <c r="D939" s="234" t="s">
        <v>53</v>
      </c>
      <c r="E939" s="234" t="s">
        <v>801</v>
      </c>
      <c r="F939" s="234" t="s">
        <v>58</v>
      </c>
      <c r="G939" s="268"/>
      <c r="H939" s="222"/>
      <c r="I939" s="223"/>
    </row>
    <row r="940" spans="1:9" s="30" customFormat="1" ht="25.5">
      <c r="A940" s="248" t="s">
        <v>192</v>
      </c>
      <c r="B940" s="233" t="s">
        <v>62</v>
      </c>
      <c r="C940" s="234" t="s">
        <v>14</v>
      </c>
      <c r="D940" s="234" t="s">
        <v>53</v>
      </c>
      <c r="E940" s="234" t="s">
        <v>802</v>
      </c>
      <c r="F940" s="234" t="s">
        <v>58</v>
      </c>
      <c r="G940" s="268"/>
      <c r="H940" s="222"/>
      <c r="I940" s="223"/>
    </row>
    <row r="941" spans="1:9" s="30" customFormat="1" ht="25.5">
      <c r="A941" s="232" t="s">
        <v>108</v>
      </c>
      <c r="B941" s="233" t="s">
        <v>62</v>
      </c>
      <c r="C941" s="234" t="s">
        <v>14</v>
      </c>
      <c r="D941" s="234" t="s">
        <v>53</v>
      </c>
      <c r="E941" s="234" t="s">
        <v>802</v>
      </c>
      <c r="F941" s="234" t="s">
        <v>116</v>
      </c>
      <c r="G941" s="264"/>
      <c r="H941" s="222"/>
      <c r="I941" s="223"/>
    </row>
    <row r="942" spans="1:9" s="83" customFormat="1" ht="25.5">
      <c r="A942" s="236" t="s">
        <v>973</v>
      </c>
      <c r="B942" s="233" t="s">
        <v>62</v>
      </c>
      <c r="C942" s="234" t="s">
        <v>14</v>
      </c>
      <c r="D942" s="234" t="s">
        <v>53</v>
      </c>
      <c r="E942" s="234" t="s">
        <v>802</v>
      </c>
      <c r="F942" s="234" t="s">
        <v>1043</v>
      </c>
      <c r="G942" s="235"/>
      <c r="H942" s="222"/>
      <c r="I942" s="223"/>
    </row>
    <row r="943" spans="1:9" s="30" customFormat="1" ht="25.5">
      <c r="A943" s="244" t="s">
        <v>110</v>
      </c>
      <c r="B943" s="233" t="s">
        <v>62</v>
      </c>
      <c r="C943" s="234" t="s">
        <v>14</v>
      </c>
      <c r="D943" s="234" t="s">
        <v>53</v>
      </c>
      <c r="E943" s="234" t="s">
        <v>802</v>
      </c>
      <c r="F943" s="234" t="s">
        <v>117</v>
      </c>
      <c r="G943" s="264"/>
      <c r="H943" s="222"/>
      <c r="I943" s="223"/>
    </row>
    <row r="944" spans="1:9" s="83" customFormat="1" ht="25.5">
      <c r="A944" s="236" t="s">
        <v>981</v>
      </c>
      <c r="B944" s="233" t="s">
        <v>62</v>
      </c>
      <c r="C944" s="234" t="s">
        <v>14</v>
      </c>
      <c r="D944" s="234" t="s">
        <v>53</v>
      </c>
      <c r="E944" s="234" t="s">
        <v>802</v>
      </c>
      <c r="F944" s="234" t="s">
        <v>1065</v>
      </c>
      <c r="G944" s="235"/>
      <c r="H944" s="222"/>
      <c r="I944" s="223"/>
    </row>
    <row r="945" spans="1:9" s="30" customFormat="1" ht="25.5">
      <c r="A945" s="266" t="s">
        <v>803</v>
      </c>
      <c r="B945" s="233" t="s">
        <v>62</v>
      </c>
      <c r="C945" s="234" t="s">
        <v>14</v>
      </c>
      <c r="D945" s="234" t="s">
        <v>53</v>
      </c>
      <c r="E945" s="234" t="s">
        <v>805</v>
      </c>
      <c r="F945" s="234" t="s">
        <v>58</v>
      </c>
      <c r="G945" s="268"/>
      <c r="H945" s="222"/>
      <c r="I945" s="223"/>
    </row>
    <row r="946" spans="1:9" s="30" customFormat="1" ht="38.25">
      <c r="A946" s="248" t="s">
        <v>881</v>
      </c>
      <c r="B946" s="233" t="s">
        <v>62</v>
      </c>
      <c r="C946" s="234" t="s">
        <v>14</v>
      </c>
      <c r="D946" s="234" t="s">
        <v>53</v>
      </c>
      <c r="E946" s="234" t="s">
        <v>806</v>
      </c>
      <c r="F946" s="234" t="s">
        <v>58</v>
      </c>
      <c r="G946" s="268"/>
      <c r="H946" s="222"/>
      <c r="I946" s="223"/>
    </row>
    <row r="947" spans="1:9" s="30" customFormat="1" ht="25.5">
      <c r="A947" s="232" t="s">
        <v>108</v>
      </c>
      <c r="B947" s="233" t="s">
        <v>62</v>
      </c>
      <c r="C947" s="234" t="s">
        <v>14</v>
      </c>
      <c r="D947" s="234" t="s">
        <v>53</v>
      </c>
      <c r="E947" s="234" t="s">
        <v>806</v>
      </c>
      <c r="F947" s="234" t="s">
        <v>116</v>
      </c>
      <c r="G947" s="264"/>
      <c r="H947" s="222"/>
      <c r="I947" s="223"/>
    </row>
    <row r="948" spans="1:9" s="83" customFormat="1" ht="25.5">
      <c r="A948" s="236" t="s">
        <v>973</v>
      </c>
      <c r="B948" s="233" t="s">
        <v>62</v>
      </c>
      <c r="C948" s="234" t="s">
        <v>14</v>
      </c>
      <c r="D948" s="234" t="s">
        <v>53</v>
      </c>
      <c r="E948" s="234" t="s">
        <v>806</v>
      </c>
      <c r="F948" s="234" t="s">
        <v>1043</v>
      </c>
      <c r="G948" s="235"/>
      <c r="H948" s="222"/>
      <c r="I948" s="223"/>
    </row>
    <row r="949" spans="1:9" s="30" customFormat="1" ht="25.5">
      <c r="A949" s="232" t="s">
        <v>843</v>
      </c>
      <c r="B949" s="233" t="s">
        <v>62</v>
      </c>
      <c r="C949" s="234" t="s">
        <v>14</v>
      </c>
      <c r="D949" s="234" t="s">
        <v>53</v>
      </c>
      <c r="E949" s="234" t="s">
        <v>807</v>
      </c>
      <c r="F949" s="234" t="s">
        <v>58</v>
      </c>
      <c r="G949" s="264"/>
      <c r="H949" s="222"/>
      <c r="I949" s="223"/>
    </row>
    <row r="950" spans="1:9" s="30" customFormat="1">
      <c r="A950" s="248" t="s">
        <v>882</v>
      </c>
      <c r="B950" s="233" t="s">
        <v>62</v>
      </c>
      <c r="C950" s="234" t="s">
        <v>14</v>
      </c>
      <c r="D950" s="234" t="s">
        <v>53</v>
      </c>
      <c r="E950" s="234" t="s">
        <v>808</v>
      </c>
      <c r="F950" s="234" t="s">
        <v>58</v>
      </c>
      <c r="G950" s="268"/>
      <c r="H950" s="222"/>
      <c r="I950" s="223"/>
    </row>
    <row r="951" spans="1:9" s="30" customFormat="1" ht="25.5">
      <c r="A951" s="232" t="s">
        <v>108</v>
      </c>
      <c r="B951" s="233" t="s">
        <v>62</v>
      </c>
      <c r="C951" s="234" t="s">
        <v>14</v>
      </c>
      <c r="D951" s="234" t="s">
        <v>53</v>
      </c>
      <c r="E951" s="234" t="s">
        <v>808</v>
      </c>
      <c r="F951" s="234" t="s">
        <v>116</v>
      </c>
      <c r="G951" s="264"/>
      <c r="H951" s="222"/>
      <c r="I951" s="223"/>
    </row>
    <row r="952" spans="1:9" s="83" customFormat="1" ht="25.5">
      <c r="A952" s="236" t="s">
        <v>973</v>
      </c>
      <c r="B952" s="233" t="s">
        <v>62</v>
      </c>
      <c r="C952" s="234" t="s">
        <v>14</v>
      </c>
      <c r="D952" s="234" t="s">
        <v>53</v>
      </c>
      <c r="E952" s="234" t="s">
        <v>808</v>
      </c>
      <c r="F952" s="234" t="s">
        <v>1043</v>
      </c>
      <c r="G952" s="235"/>
      <c r="H952" s="222"/>
      <c r="I952" s="223"/>
    </row>
    <row r="953" spans="1:9" s="30" customFormat="1">
      <c r="A953" s="248" t="s">
        <v>145</v>
      </c>
      <c r="B953" s="233" t="s">
        <v>62</v>
      </c>
      <c r="C953" s="234" t="s">
        <v>14</v>
      </c>
      <c r="D953" s="234" t="s">
        <v>53</v>
      </c>
      <c r="E953" s="234" t="s">
        <v>437</v>
      </c>
      <c r="F953" s="234" t="s">
        <v>58</v>
      </c>
      <c r="G953" s="268"/>
      <c r="H953" s="222"/>
      <c r="I953" s="223"/>
    </row>
    <row r="954" spans="1:9" s="30" customFormat="1" ht="25.5">
      <c r="A954" s="262" t="s">
        <v>439</v>
      </c>
      <c r="B954" s="233" t="s">
        <v>62</v>
      </c>
      <c r="C954" s="234" t="s">
        <v>14</v>
      </c>
      <c r="D954" s="234" t="s">
        <v>53</v>
      </c>
      <c r="E954" s="234" t="s">
        <v>438</v>
      </c>
      <c r="F954" s="234" t="s">
        <v>58</v>
      </c>
      <c r="G954" s="268"/>
      <c r="H954" s="222"/>
      <c r="I954" s="223"/>
    </row>
    <row r="955" spans="1:9" s="30" customFormat="1" ht="25.5">
      <c r="A955" s="248" t="s">
        <v>157</v>
      </c>
      <c r="B955" s="233" t="s">
        <v>62</v>
      </c>
      <c r="C955" s="234" t="s">
        <v>14</v>
      </c>
      <c r="D955" s="234" t="s">
        <v>53</v>
      </c>
      <c r="E955" s="234" t="s">
        <v>767</v>
      </c>
      <c r="F955" s="234" t="s">
        <v>58</v>
      </c>
      <c r="G955" s="268"/>
      <c r="H955" s="222"/>
      <c r="I955" s="223"/>
    </row>
    <row r="956" spans="1:9" s="30" customFormat="1" ht="25.5">
      <c r="A956" s="244" t="s">
        <v>110</v>
      </c>
      <c r="B956" s="233" t="s">
        <v>62</v>
      </c>
      <c r="C956" s="234" t="s">
        <v>14</v>
      </c>
      <c r="D956" s="234" t="s">
        <v>53</v>
      </c>
      <c r="E956" s="234" t="s">
        <v>767</v>
      </c>
      <c r="F956" s="234" t="s">
        <v>117</v>
      </c>
      <c r="G956" s="264"/>
      <c r="H956" s="222"/>
      <c r="I956" s="223"/>
    </row>
    <row r="957" spans="1:9" s="83" customFormat="1" ht="25.5">
      <c r="A957" s="236" t="s">
        <v>981</v>
      </c>
      <c r="B957" s="233" t="s">
        <v>62</v>
      </c>
      <c r="C957" s="234" t="s">
        <v>14</v>
      </c>
      <c r="D957" s="234" t="s">
        <v>53</v>
      </c>
      <c r="E957" s="234" t="s">
        <v>767</v>
      </c>
      <c r="F957" s="234" t="s">
        <v>1065</v>
      </c>
      <c r="G957" s="235"/>
      <c r="H957" s="222"/>
      <c r="I957" s="223"/>
    </row>
    <row r="958" spans="1:9" s="269" customFormat="1">
      <c r="A958" s="228" t="s">
        <v>22</v>
      </c>
      <c r="B958" s="229" t="s">
        <v>62</v>
      </c>
      <c r="C958" s="230" t="s">
        <v>14</v>
      </c>
      <c r="D958" s="230" t="s">
        <v>37</v>
      </c>
      <c r="E958" s="230" t="s">
        <v>196</v>
      </c>
      <c r="F958" s="230" t="s">
        <v>58</v>
      </c>
      <c r="G958" s="231"/>
      <c r="H958" s="222"/>
      <c r="I958" s="223"/>
    </row>
    <row r="959" spans="1:9" s="269" customFormat="1">
      <c r="A959" s="248" t="s">
        <v>727</v>
      </c>
      <c r="B959" s="233" t="s">
        <v>62</v>
      </c>
      <c r="C959" s="234" t="s">
        <v>14</v>
      </c>
      <c r="D959" s="234" t="s">
        <v>37</v>
      </c>
      <c r="E959" s="234" t="s">
        <v>327</v>
      </c>
      <c r="F959" s="234" t="s">
        <v>58</v>
      </c>
      <c r="G959" s="268"/>
      <c r="H959" s="222"/>
      <c r="I959" s="223"/>
    </row>
    <row r="960" spans="1:9" s="269" customFormat="1" ht="25.5">
      <c r="A960" s="262" t="s">
        <v>728</v>
      </c>
      <c r="B960" s="233" t="s">
        <v>62</v>
      </c>
      <c r="C960" s="234" t="s">
        <v>14</v>
      </c>
      <c r="D960" s="234" t="s">
        <v>37</v>
      </c>
      <c r="E960" s="234" t="s">
        <v>392</v>
      </c>
      <c r="F960" s="234" t="s">
        <v>58</v>
      </c>
      <c r="G960" s="268"/>
      <c r="H960" s="222"/>
      <c r="I960" s="223"/>
    </row>
    <row r="961" spans="1:9" s="30" customFormat="1" ht="25.5">
      <c r="A961" s="263" t="s">
        <v>406</v>
      </c>
      <c r="B961" s="233" t="s">
        <v>62</v>
      </c>
      <c r="C961" s="234" t="s">
        <v>14</v>
      </c>
      <c r="D961" s="234" t="s">
        <v>37</v>
      </c>
      <c r="E961" s="234" t="s">
        <v>407</v>
      </c>
      <c r="F961" s="234" t="s">
        <v>58</v>
      </c>
      <c r="G961" s="264"/>
      <c r="H961" s="222"/>
      <c r="I961" s="223"/>
    </row>
    <row r="962" spans="1:9" s="30" customFormat="1" ht="38.25">
      <c r="A962" s="266" t="s">
        <v>920</v>
      </c>
      <c r="B962" s="233" t="s">
        <v>62</v>
      </c>
      <c r="C962" s="234" t="s">
        <v>14</v>
      </c>
      <c r="D962" s="234" t="s">
        <v>37</v>
      </c>
      <c r="E962" s="234" t="s">
        <v>440</v>
      </c>
      <c r="F962" s="234" t="s">
        <v>58</v>
      </c>
      <c r="G962" s="264"/>
      <c r="H962" s="222"/>
      <c r="I962" s="223"/>
    </row>
    <row r="963" spans="1:9" s="30" customFormat="1">
      <c r="A963" s="244" t="s">
        <v>109</v>
      </c>
      <c r="B963" s="233" t="s">
        <v>62</v>
      </c>
      <c r="C963" s="234" t="s">
        <v>14</v>
      </c>
      <c r="D963" s="234" t="s">
        <v>37</v>
      </c>
      <c r="E963" s="234" t="s">
        <v>440</v>
      </c>
      <c r="F963" s="234" t="s">
        <v>134</v>
      </c>
      <c r="G963" s="264"/>
      <c r="H963" s="222"/>
      <c r="I963" s="223"/>
    </row>
    <row r="964" spans="1:9" s="83" customFormat="1" ht="25.5">
      <c r="A964" s="236" t="s">
        <v>978</v>
      </c>
      <c r="B964" s="233" t="s">
        <v>62</v>
      </c>
      <c r="C964" s="234" t="s">
        <v>14</v>
      </c>
      <c r="D964" s="234" t="s">
        <v>37</v>
      </c>
      <c r="E964" s="234" t="s">
        <v>440</v>
      </c>
      <c r="F964" s="234" t="s">
        <v>1064</v>
      </c>
      <c r="G964" s="235"/>
      <c r="H964" s="222"/>
      <c r="I964" s="223"/>
    </row>
    <row r="965" spans="1:9" s="30" customFormat="1" ht="38.25">
      <c r="A965" s="266" t="s">
        <v>441</v>
      </c>
      <c r="B965" s="233" t="s">
        <v>62</v>
      </c>
      <c r="C965" s="234" t="s">
        <v>14</v>
      </c>
      <c r="D965" s="234" t="s">
        <v>37</v>
      </c>
      <c r="E965" s="234" t="s">
        <v>442</v>
      </c>
      <c r="F965" s="234" t="s">
        <v>58</v>
      </c>
      <c r="G965" s="264"/>
      <c r="H965" s="222"/>
      <c r="I965" s="223"/>
    </row>
    <row r="966" spans="1:9" s="30" customFormat="1">
      <c r="A966" s="244" t="s">
        <v>109</v>
      </c>
      <c r="B966" s="233" t="s">
        <v>62</v>
      </c>
      <c r="C966" s="234" t="s">
        <v>14</v>
      </c>
      <c r="D966" s="234" t="s">
        <v>37</v>
      </c>
      <c r="E966" s="234" t="s">
        <v>442</v>
      </c>
      <c r="F966" s="234" t="s">
        <v>134</v>
      </c>
      <c r="G966" s="264"/>
      <c r="H966" s="222"/>
      <c r="I966" s="223"/>
    </row>
    <row r="967" spans="1:9" s="83" customFormat="1" ht="25.5">
      <c r="A967" s="236" t="s">
        <v>978</v>
      </c>
      <c r="B967" s="233" t="s">
        <v>62</v>
      </c>
      <c r="C967" s="234" t="s">
        <v>14</v>
      </c>
      <c r="D967" s="234" t="s">
        <v>37</v>
      </c>
      <c r="E967" s="234" t="s">
        <v>442</v>
      </c>
      <c r="F967" s="234" t="s">
        <v>1064</v>
      </c>
      <c r="G967" s="235"/>
      <c r="H967" s="222"/>
      <c r="I967" s="223"/>
    </row>
    <row r="968" spans="1:9" s="270" customFormat="1" ht="12.75">
      <c r="A968" s="228" t="s">
        <v>36</v>
      </c>
      <c r="B968" s="229" t="s">
        <v>62</v>
      </c>
      <c r="C968" s="230" t="s">
        <v>14</v>
      </c>
      <c r="D968" s="230" t="s">
        <v>2</v>
      </c>
      <c r="E968" s="230" t="s">
        <v>196</v>
      </c>
      <c r="F968" s="230" t="s">
        <v>58</v>
      </c>
      <c r="G968" s="231"/>
      <c r="H968" s="222"/>
      <c r="I968" s="223"/>
    </row>
    <row r="969" spans="1:9" s="30" customFormat="1">
      <c r="A969" s="248" t="s">
        <v>727</v>
      </c>
      <c r="B969" s="233" t="s">
        <v>62</v>
      </c>
      <c r="C969" s="234" t="s">
        <v>14</v>
      </c>
      <c r="D969" s="234" t="s">
        <v>2</v>
      </c>
      <c r="E969" s="234" t="s">
        <v>327</v>
      </c>
      <c r="F969" s="234" t="s">
        <v>58</v>
      </c>
      <c r="G969" s="264"/>
      <c r="H969" s="222"/>
      <c r="I969" s="223"/>
    </row>
    <row r="970" spans="1:9" s="30" customFormat="1" ht="38.25">
      <c r="A970" s="248" t="s">
        <v>842</v>
      </c>
      <c r="B970" s="233" t="s">
        <v>62</v>
      </c>
      <c r="C970" s="234" t="s">
        <v>14</v>
      </c>
      <c r="D970" s="234" t="s">
        <v>2</v>
      </c>
      <c r="E970" s="234" t="s">
        <v>328</v>
      </c>
      <c r="F970" s="234" t="s">
        <v>58</v>
      </c>
      <c r="G970" s="268"/>
      <c r="H970" s="222"/>
      <c r="I970" s="223"/>
    </row>
    <row r="971" spans="1:9" s="30" customFormat="1" ht="25.5">
      <c r="A971" s="248" t="s">
        <v>811</v>
      </c>
      <c r="B971" s="233" t="s">
        <v>62</v>
      </c>
      <c r="C971" s="234" t="s">
        <v>14</v>
      </c>
      <c r="D971" s="234" t="s">
        <v>2</v>
      </c>
      <c r="E971" s="234" t="s">
        <v>809</v>
      </c>
      <c r="F971" s="234" t="s">
        <v>58</v>
      </c>
      <c r="G971" s="268"/>
      <c r="H971" s="222"/>
      <c r="I971" s="223"/>
    </row>
    <row r="972" spans="1:9" s="30" customFormat="1">
      <c r="A972" s="248" t="s">
        <v>595</v>
      </c>
      <c r="B972" s="233" t="s">
        <v>62</v>
      </c>
      <c r="C972" s="234" t="s">
        <v>14</v>
      </c>
      <c r="D972" s="234" t="s">
        <v>2</v>
      </c>
      <c r="E972" s="234" t="s">
        <v>810</v>
      </c>
      <c r="F972" s="234" t="s">
        <v>58</v>
      </c>
      <c r="G972" s="268"/>
      <c r="H972" s="222"/>
      <c r="I972" s="223"/>
    </row>
    <row r="973" spans="1:9" s="30" customFormat="1" ht="25.5">
      <c r="A973" s="248" t="s">
        <v>111</v>
      </c>
      <c r="B973" s="233" t="s">
        <v>62</v>
      </c>
      <c r="C973" s="234" t="s">
        <v>14</v>
      </c>
      <c r="D973" s="234" t="s">
        <v>2</v>
      </c>
      <c r="E973" s="234" t="s">
        <v>810</v>
      </c>
      <c r="F973" s="234" t="s">
        <v>104</v>
      </c>
      <c r="G973" s="264"/>
      <c r="H973" s="222"/>
      <c r="I973" s="223"/>
    </row>
    <row r="974" spans="1:9" s="83" customFormat="1" ht="63.75">
      <c r="A974" s="236" t="s">
        <v>1048</v>
      </c>
      <c r="B974" s="233" t="s">
        <v>62</v>
      </c>
      <c r="C974" s="234" t="s">
        <v>14</v>
      </c>
      <c r="D974" s="234" t="s">
        <v>2</v>
      </c>
      <c r="E974" s="234" t="s">
        <v>810</v>
      </c>
      <c r="F974" s="234" t="s">
        <v>1055</v>
      </c>
      <c r="G974" s="235"/>
      <c r="H974" s="222"/>
      <c r="I974" s="223"/>
    </row>
    <row r="975" spans="1:9" s="30" customFormat="1">
      <c r="A975" s="248" t="s">
        <v>145</v>
      </c>
      <c r="B975" s="233" t="s">
        <v>62</v>
      </c>
      <c r="C975" s="234" t="s">
        <v>14</v>
      </c>
      <c r="D975" s="234" t="s">
        <v>2</v>
      </c>
      <c r="E975" s="234" t="s">
        <v>437</v>
      </c>
      <c r="F975" s="234" t="s">
        <v>58</v>
      </c>
      <c r="G975" s="264"/>
      <c r="H975" s="222"/>
      <c r="I975" s="223"/>
    </row>
    <row r="976" spans="1:9" s="30" customFormat="1" ht="25.5">
      <c r="A976" s="248" t="s">
        <v>439</v>
      </c>
      <c r="B976" s="233" t="s">
        <v>62</v>
      </c>
      <c r="C976" s="234" t="s">
        <v>14</v>
      </c>
      <c r="D976" s="234" t="s">
        <v>2</v>
      </c>
      <c r="E976" s="234" t="s">
        <v>438</v>
      </c>
      <c r="F976" s="234" t="s">
        <v>58</v>
      </c>
      <c r="G976" s="264"/>
      <c r="H976" s="222"/>
      <c r="I976" s="223"/>
    </row>
    <row r="977" spans="1:9" s="30" customFormat="1" ht="25.5">
      <c r="A977" s="248" t="s">
        <v>157</v>
      </c>
      <c r="B977" s="233" t="s">
        <v>62</v>
      </c>
      <c r="C977" s="234" t="s">
        <v>14</v>
      </c>
      <c r="D977" s="234" t="s">
        <v>2</v>
      </c>
      <c r="E977" s="234" t="s">
        <v>767</v>
      </c>
      <c r="F977" s="234" t="s">
        <v>58</v>
      </c>
      <c r="G977" s="264"/>
      <c r="H977" s="222"/>
      <c r="I977" s="223"/>
    </row>
    <row r="978" spans="1:9" s="30" customFormat="1" ht="25.5">
      <c r="A978" s="232" t="s">
        <v>108</v>
      </c>
      <c r="B978" s="233" t="s">
        <v>62</v>
      </c>
      <c r="C978" s="234" t="s">
        <v>14</v>
      </c>
      <c r="D978" s="234" t="s">
        <v>2</v>
      </c>
      <c r="E978" s="234" t="s">
        <v>767</v>
      </c>
      <c r="F978" s="234" t="s">
        <v>116</v>
      </c>
      <c r="G978" s="264"/>
      <c r="H978" s="222"/>
      <c r="I978" s="223"/>
    </row>
    <row r="979" spans="1:9" s="83" customFormat="1" ht="25.5">
      <c r="A979" s="236" t="s">
        <v>973</v>
      </c>
      <c r="B979" s="233" t="s">
        <v>62</v>
      </c>
      <c r="C979" s="234" t="s">
        <v>14</v>
      </c>
      <c r="D979" s="234" t="s">
        <v>2</v>
      </c>
      <c r="E979" s="234" t="s">
        <v>767</v>
      </c>
      <c r="F979" s="234" t="s">
        <v>1043</v>
      </c>
      <c r="G979" s="235"/>
      <c r="H979" s="222"/>
      <c r="I979" s="223"/>
    </row>
    <row r="980" spans="1:9" s="30" customFormat="1">
      <c r="A980" s="232" t="s">
        <v>97</v>
      </c>
      <c r="B980" s="233" t="s">
        <v>62</v>
      </c>
      <c r="C980" s="234" t="s">
        <v>14</v>
      </c>
      <c r="D980" s="234" t="s">
        <v>2</v>
      </c>
      <c r="E980" s="234" t="s">
        <v>767</v>
      </c>
      <c r="F980" s="234" t="s">
        <v>118</v>
      </c>
      <c r="G980" s="264"/>
      <c r="H980" s="222"/>
      <c r="I980" s="223"/>
    </row>
    <row r="981" spans="1:9" s="83" customFormat="1">
      <c r="A981" s="236" t="s">
        <v>1036</v>
      </c>
      <c r="B981" s="233" t="s">
        <v>62</v>
      </c>
      <c r="C981" s="234" t="s">
        <v>14</v>
      </c>
      <c r="D981" s="234" t="s">
        <v>2</v>
      </c>
      <c r="E981" s="234" t="s">
        <v>767</v>
      </c>
      <c r="F981" s="234" t="s">
        <v>1061</v>
      </c>
      <c r="G981" s="235"/>
      <c r="H981" s="222"/>
      <c r="I981" s="223"/>
    </row>
    <row r="982" spans="1:9" s="83" customFormat="1">
      <c r="A982" s="236" t="s">
        <v>1037</v>
      </c>
      <c r="B982" s="233" t="s">
        <v>62</v>
      </c>
      <c r="C982" s="234" t="s">
        <v>14</v>
      </c>
      <c r="D982" s="234" t="s">
        <v>2</v>
      </c>
      <c r="E982" s="234" t="s">
        <v>767</v>
      </c>
      <c r="F982" s="234" t="s">
        <v>1062</v>
      </c>
      <c r="G982" s="235"/>
      <c r="H982" s="222"/>
      <c r="I982" s="223"/>
    </row>
    <row r="983" spans="1:9" s="30" customFormat="1" ht="25.5">
      <c r="A983" s="248" t="s">
        <v>706</v>
      </c>
      <c r="B983" s="233" t="s">
        <v>62</v>
      </c>
      <c r="C983" s="234" t="s">
        <v>14</v>
      </c>
      <c r="D983" s="234" t="s">
        <v>2</v>
      </c>
      <c r="E983" s="234" t="s">
        <v>766</v>
      </c>
      <c r="F983" s="234" t="s">
        <v>58</v>
      </c>
      <c r="G983" s="264"/>
      <c r="H983" s="222"/>
      <c r="I983" s="223"/>
    </row>
    <row r="984" spans="1:9" s="30" customFormat="1" ht="25.5">
      <c r="A984" s="248" t="s">
        <v>108</v>
      </c>
      <c r="B984" s="233" t="s">
        <v>62</v>
      </c>
      <c r="C984" s="234" t="s">
        <v>14</v>
      </c>
      <c r="D984" s="234" t="s">
        <v>2</v>
      </c>
      <c r="E984" s="234" t="s">
        <v>766</v>
      </c>
      <c r="F984" s="234" t="s">
        <v>116</v>
      </c>
      <c r="G984" s="264"/>
      <c r="H984" s="222"/>
      <c r="I984" s="223"/>
    </row>
    <row r="985" spans="1:9" s="83" customFormat="1" ht="25.5">
      <c r="A985" s="236" t="s">
        <v>973</v>
      </c>
      <c r="B985" s="233" t="s">
        <v>62</v>
      </c>
      <c r="C985" s="234" t="s">
        <v>14</v>
      </c>
      <c r="D985" s="234" t="s">
        <v>2</v>
      </c>
      <c r="E985" s="234" t="s">
        <v>766</v>
      </c>
      <c r="F985" s="234" t="s">
        <v>1043</v>
      </c>
      <c r="G985" s="235"/>
      <c r="H985" s="222"/>
      <c r="I985" s="223"/>
    </row>
    <row r="986" spans="1:9" s="30" customFormat="1" ht="25.5">
      <c r="A986" s="262" t="s">
        <v>186</v>
      </c>
      <c r="B986" s="233" t="s">
        <v>62</v>
      </c>
      <c r="C986" s="234" t="s">
        <v>14</v>
      </c>
      <c r="D986" s="234" t="s">
        <v>2</v>
      </c>
      <c r="E986" s="233" t="s">
        <v>443</v>
      </c>
      <c r="F986" s="234" t="s">
        <v>58</v>
      </c>
      <c r="G986" s="268"/>
      <c r="H986" s="222"/>
      <c r="I986" s="223"/>
    </row>
    <row r="987" spans="1:9" s="30" customFormat="1" ht="25.5">
      <c r="A987" s="262" t="s">
        <v>189</v>
      </c>
      <c r="B987" s="233" t="s">
        <v>62</v>
      </c>
      <c r="C987" s="234" t="s">
        <v>14</v>
      </c>
      <c r="D987" s="234" t="s">
        <v>2</v>
      </c>
      <c r="E987" s="233" t="s">
        <v>444</v>
      </c>
      <c r="F987" s="234" t="s">
        <v>58</v>
      </c>
      <c r="G987" s="268"/>
      <c r="H987" s="222"/>
      <c r="I987" s="223"/>
    </row>
    <row r="988" spans="1:9" s="30" customFormat="1" ht="25.5">
      <c r="A988" s="271" t="s">
        <v>114</v>
      </c>
      <c r="B988" s="233" t="s">
        <v>62</v>
      </c>
      <c r="C988" s="234" t="s">
        <v>14</v>
      </c>
      <c r="D988" s="234" t="s">
        <v>2</v>
      </c>
      <c r="E988" s="272" t="s">
        <v>445</v>
      </c>
      <c r="F988" s="234" t="s">
        <v>58</v>
      </c>
      <c r="G988" s="268"/>
      <c r="H988" s="222"/>
      <c r="I988" s="223"/>
    </row>
    <row r="989" spans="1:9" s="30" customFormat="1">
      <c r="A989" s="232" t="s">
        <v>107</v>
      </c>
      <c r="B989" s="233" t="s">
        <v>62</v>
      </c>
      <c r="C989" s="234" t="s">
        <v>14</v>
      </c>
      <c r="D989" s="234" t="s">
        <v>2</v>
      </c>
      <c r="E989" s="272" t="s">
        <v>445</v>
      </c>
      <c r="F989" s="234" t="s">
        <v>115</v>
      </c>
      <c r="G989" s="264"/>
      <c r="H989" s="222"/>
      <c r="I989" s="223"/>
    </row>
    <row r="990" spans="1:9" s="30" customFormat="1" ht="25.5">
      <c r="A990" s="232" t="s">
        <v>937</v>
      </c>
      <c r="B990" s="233" t="s">
        <v>62</v>
      </c>
      <c r="C990" s="234" t="s">
        <v>14</v>
      </c>
      <c r="D990" s="234" t="s">
        <v>2</v>
      </c>
      <c r="E990" s="272" t="s">
        <v>445</v>
      </c>
      <c r="F990" s="234" t="s">
        <v>1059</v>
      </c>
      <c r="G990" s="235"/>
      <c r="H990" s="222"/>
      <c r="I990" s="223"/>
    </row>
    <row r="991" spans="1:9" s="30" customFormat="1" ht="38.25">
      <c r="A991" s="232" t="s">
        <v>939</v>
      </c>
      <c r="B991" s="233" t="s">
        <v>62</v>
      </c>
      <c r="C991" s="234" t="s">
        <v>14</v>
      </c>
      <c r="D991" s="234" t="s">
        <v>2</v>
      </c>
      <c r="E991" s="272" t="s">
        <v>445</v>
      </c>
      <c r="F991" s="234" t="s">
        <v>1060</v>
      </c>
      <c r="G991" s="235"/>
      <c r="H991" s="222"/>
      <c r="I991" s="223"/>
    </row>
    <row r="992" spans="1:9" s="30" customFormat="1" ht="25.5">
      <c r="A992" s="232" t="s">
        <v>108</v>
      </c>
      <c r="B992" s="233" t="s">
        <v>62</v>
      </c>
      <c r="C992" s="234" t="s">
        <v>14</v>
      </c>
      <c r="D992" s="234" t="s">
        <v>2</v>
      </c>
      <c r="E992" s="272" t="s">
        <v>445</v>
      </c>
      <c r="F992" s="234" t="s">
        <v>116</v>
      </c>
      <c r="G992" s="264"/>
      <c r="H992" s="222"/>
      <c r="I992" s="223"/>
    </row>
    <row r="993" spans="1:9" s="103" customFormat="1" ht="25.5">
      <c r="A993" s="236" t="s">
        <v>973</v>
      </c>
      <c r="B993" s="233" t="s">
        <v>62</v>
      </c>
      <c r="C993" s="234" t="s">
        <v>14</v>
      </c>
      <c r="D993" s="234" t="s">
        <v>2</v>
      </c>
      <c r="E993" s="272" t="s">
        <v>445</v>
      </c>
      <c r="F993" s="234" t="s">
        <v>1043</v>
      </c>
      <c r="G993" s="235"/>
      <c r="H993" s="222"/>
      <c r="I993" s="223"/>
    </row>
    <row r="994" spans="1:9" s="30" customFormat="1">
      <c r="A994" s="232" t="s">
        <v>97</v>
      </c>
      <c r="B994" s="233" t="s">
        <v>62</v>
      </c>
      <c r="C994" s="234" t="s">
        <v>14</v>
      </c>
      <c r="D994" s="234" t="s">
        <v>2</v>
      </c>
      <c r="E994" s="272" t="s">
        <v>445</v>
      </c>
      <c r="F994" s="234" t="s">
        <v>118</v>
      </c>
      <c r="G994" s="264"/>
      <c r="H994" s="222"/>
      <c r="I994" s="223"/>
    </row>
    <row r="995" spans="1:9" s="30" customFormat="1">
      <c r="A995" s="232" t="s">
        <v>1037</v>
      </c>
      <c r="B995" s="233" t="s">
        <v>62</v>
      </c>
      <c r="C995" s="234" t="s">
        <v>14</v>
      </c>
      <c r="D995" s="234" t="s">
        <v>2</v>
      </c>
      <c r="E995" s="272" t="s">
        <v>445</v>
      </c>
      <c r="F995" s="234" t="s">
        <v>1062</v>
      </c>
      <c r="G995" s="235"/>
      <c r="H995" s="222"/>
      <c r="I995" s="223"/>
    </row>
    <row r="996" spans="1:9" s="30" customFormat="1" ht="25.5">
      <c r="A996" s="271" t="s">
        <v>126</v>
      </c>
      <c r="B996" s="233" t="s">
        <v>62</v>
      </c>
      <c r="C996" s="234" t="s">
        <v>14</v>
      </c>
      <c r="D996" s="234" t="s">
        <v>2</v>
      </c>
      <c r="E996" s="272" t="s">
        <v>446</v>
      </c>
      <c r="F996" s="234" t="s">
        <v>58</v>
      </c>
      <c r="G996" s="268"/>
      <c r="H996" s="222"/>
      <c r="I996" s="223"/>
    </row>
    <row r="997" spans="1:9" s="30" customFormat="1">
      <c r="A997" s="232" t="s">
        <v>107</v>
      </c>
      <c r="B997" s="233" t="s">
        <v>62</v>
      </c>
      <c r="C997" s="234" t="s">
        <v>14</v>
      </c>
      <c r="D997" s="234" t="s">
        <v>2</v>
      </c>
      <c r="E997" s="272" t="s">
        <v>446</v>
      </c>
      <c r="F997" s="234" t="s">
        <v>115</v>
      </c>
      <c r="G997" s="264"/>
      <c r="H997" s="222"/>
      <c r="I997" s="223"/>
    </row>
    <row r="998" spans="1:9" s="30" customFormat="1">
      <c r="A998" s="232" t="s">
        <v>936</v>
      </c>
      <c r="B998" s="233" t="s">
        <v>62</v>
      </c>
      <c r="C998" s="234" t="s">
        <v>14</v>
      </c>
      <c r="D998" s="234" t="s">
        <v>2</v>
      </c>
      <c r="E998" s="272" t="s">
        <v>446</v>
      </c>
      <c r="F998" s="234" t="s">
        <v>1063</v>
      </c>
      <c r="G998" s="235"/>
      <c r="H998" s="222"/>
      <c r="I998" s="223"/>
    </row>
    <row r="999" spans="1:9" s="30" customFormat="1" ht="38.25">
      <c r="A999" s="232" t="s">
        <v>939</v>
      </c>
      <c r="B999" s="233" t="s">
        <v>62</v>
      </c>
      <c r="C999" s="234" t="s">
        <v>14</v>
      </c>
      <c r="D999" s="234" t="s">
        <v>2</v>
      </c>
      <c r="E999" s="272" t="s">
        <v>446</v>
      </c>
      <c r="F999" s="234" t="s">
        <v>1060</v>
      </c>
      <c r="G999" s="235"/>
      <c r="H999" s="222"/>
      <c r="I999" s="223"/>
    </row>
    <row r="1000" spans="1:9" s="30" customFormat="1" ht="38.25">
      <c r="A1000" s="271" t="s">
        <v>599</v>
      </c>
      <c r="B1000" s="233" t="s">
        <v>62</v>
      </c>
      <c r="C1000" s="234" t="s">
        <v>14</v>
      </c>
      <c r="D1000" s="234" t="s">
        <v>2</v>
      </c>
      <c r="E1000" s="272" t="s">
        <v>447</v>
      </c>
      <c r="F1000" s="234" t="s">
        <v>58</v>
      </c>
      <c r="G1000" s="268"/>
      <c r="H1000" s="222"/>
      <c r="I1000" s="223"/>
    </row>
    <row r="1001" spans="1:9" s="30" customFormat="1">
      <c r="A1001" s="232" t="s">
        <v>107</v>
      </c>
      <c r="B1001" s="233" t="s">
        <v>62</v>
      </c>
      <c r="C1001" s="234" t="s">
        <v>14</v>
      </c>
      <c r="D1001" s="234" t="s">
        <v>2</v>
      </c>
      <c r="E1001" s="272" t="s">
        <v>447</v>
      </c>
      <c r="F1001" s="234" t="s">
        <v>115</v>
      </c>
      <c r="G1001" s="264"/>
      <c r="H1001" s="222"/>
      <c r="I1001" s="223"/>
    </row>
    <row r="1002" spans="1:9" s="30" customFormat="1">
      <c r="A1002" s="232" t="s">
        <v>936</v>
      </c>
      <c r="B1002" s="233" t="s">
        <v>62</v>
      </c>
      <c r="C1002" s="234" t="s">
        <v>14</v>
      </c>
      <c r="D1002" s="234" t="s">
        <v>2</v>
      </c>
      <c r="E1002" s="272" t="s">
        <v>447</v>
      </c>
      <c r="F1002" s="234" t="s">
        <v>1063</v>
      </c>
      <c r="G1002" s="235"/>
      <c r="H1002" s="222"/>
      <c r="I1002" s="223"/>
    </row>
    <row r="1003" spans="1:9" s="30" customFormat="1" ht="25.5">
      <c r="A1003" s="232" t="s">
        <v>937</v>
      </c>
      <c r="B1003" s="233" t="s">
        <v>62</v>
      </c>
      <c r="C1003" s="234" t="s">
        <v>14</v>
      </c>
      <c r="D1003" s="234" t="s">
        <v>2</v>
      </c>
      <c r="E1003" s="272" t="s">
        <v>447</v>
      </c>
      <c r="F1003" s="234" t="s">
        <v>1059</v>
      </c>
      <c r="G1003" s="235"/>
      <c r="H1003" s="222"/>
      <c r="I1003" s="223"/>
    </row>
    <row r="1004" spans="1:9" s="30" customFormat="1" ht="38.25">
      <c r="A1004" s="232" t="s">
        <v>939</v>
      </c>
      <c r="B1004" s="233" t="s">
        <v>62</v>
      </c>
      <c r="C1004" s="234" t="s">
        <v>14</v>
      </c>
      <c r="D1004" s="234" t="s">
        <v>2</v>
      </c>
      <c r="E1004" s="272" t="s">
        <v>447</v>
      </c>
      <c r="F1004" s="234" t="s">
        <v>1060</v>
      </c>
      <c r="G1004" s="235"/>
      <c r="H1004" s="222"/>
      <c r="I1004" s="223"/>
    </row>
    <row r="1005" spans="1:9" s="30" customFormat="1" ht="38.25">
      <c r="A1005" s="271" t="s">
        <v>600</v>
      </c>
      <c r="B1005" s="233" t="s">
        <v>62</v>
      </c>
      <c r="C1005" s="234" t="s">
        <v>14</v>
      </c>
      <c r="D1005" s="234" t="s">
        <v>2</v>
      </c>
      <c r="E1005" s="272" t="s">
        <v>448</v>
      </c>
      <c r="F1005" s="234" t="s">
        <v>58</v>
      </c>
      <c r="G1005" s="268"/>
      <c r="H1005" s="222"/>
      <c r="I1005" s="223"/>
    </row>
    <row r="1006" spans="1:9" s="30" customFormat="1">
      <c r="A1006" s="232" t="s">
        <v>107</v>
      </c>
      <c r="B1006" s="233" t="s">
        <v>62</v>
      </c>
      <c r="C1006" s="234" t="s">
        <v>14</v>
      </c>
      <c r="D1006" s="234" t="s">
        <v>2</v>
      </c>
      <c r="E1006" s="272" t="s">
        <v>448</v>
      </c>
      <c r="F1006" s="234" t="s">
        <v>115</v>
      </c>
      <c r="G1006" s="264"/>
      <c r="H1006" s="222"/>
      <c r="I1006" s="223"/>
    </row>
    <row r="1007" spans="1:9" s="30" customFormat="1">
      <c r="A1007" s="232" t="s">
        <v>936</v>
      </c>
      <c r="B1007" s="233" t="s">
        <v>62</v>
      </c>
      <c r="C1007" s="234" t="s">
        <v>14</v>
      </c>
      <c r="D1007" s="234" t="s">
        <v>2</v>
      </c>
      <c r="E1007" s="272" t="s">
        <v>448</v>
      </c>
      <c r="F1007" s="234" t="s">
        <v>1063</v>
      </c>
      <c r="G1007" s="235"/>
      <c r="H1007" s="222"/>
      <c r="I1007" s="223"/>
    </row>
    <row r="1008" spans="1:9" s="30" customFormat="1" ht="25.5">
      <c r="A1008" s="232" t="s">
        <v>937</v>
      </c>
      <c r="B1008" s="233" t="s">
        <v>62</v>
      </c>
      <c r="C1008" s="234" t="s">
        <v>14</v>
      </c>
      <c r="D1008" s="234" t="s">
        <v>2</v>
      </c>
      <c r="E1008" s="272" t="s">
        <v>448</v>
      </c>
      <c r="F1008" s="234" t="s">
        <v>1059</v>
      </c>
      <c r="G1008" s="235"/>
      <c r="H1008" s="222"/>
      <c r="I1008" s="223"/>
    </row>
    <row r="1009" spans="1:9" s="30" customFormat="1" ht="38.25">
      <c r="A1009" s="232" t="s">
        <v>939</v>
      </c>
      <c r="B1009" s="233" t="s">
        <v>62</v>
      </c>
      <c r="C1009" s="234" t="s">
        <v>14</v>
      </c>
      <c r="D1009" s="234" t="s">
        <v>2</v>
      </c>
      <c r="E1009" s="272" t="s">
        <v>448</v>
      </c>
      <c r="F1009" s="234" t="s">
        <v>1060</v>
      </c>
      <c r="G1009" s="235"/>
      <c r="H1009" s="222"/>
      <c r="I1009" s="223"/>
    </row>
    <row r="1010" spans="1:9" s="30" customFormat="1" ht="25.5">
      <c r="A1010" s="232" t="s">
        <v>108</v>
      </c>
      <c r="B1010" s="233" t="s">
        <v>62</v>
      </c>
      <c r="C1010" s="234" t="s">
        <v>14</v>
      </c>
      <c r="D1010" s="234" t="s">
        <v>2</v>
      </c>
      <c r="E1010" s="272" t="s">
        <v>448</v>
      </c>
      <c r="F1010" s="234" t="s">
        <v>116</v>
      </c>
      <c r="G1010" s="264"/>
      <c r="H1010" s="222"/>
      <c r="I1010" s="223"/>
    </row>
    <row r="1011" spans="1:9" s="103" customFormat="1" ht="25.5">
      <c r="A1011" s="236" t="s">
        <v>973</v>
      </c>
      <c r="B1011" s="233" t="s">
        <v>62</v>
      </c>
      <c r="C1011" s="234" t="s">
        <v>14</v>
      </c>
      <c r="D1011" s="234" t="s">
        <v>2</v>
      </c>
      <c r="E1011" s="272" t="s">
        <v>448</v>
      </c>
      <c r="F1011" s="234" t="s">
        <v>1043</v>
      </c>
      <c r="G1011" s="235"/>
      <c r="H1011" s="222"/>
      <c r="I1011" s="223"/>
    </row>
    <row r="1012" spans="1:9" s="30" customFormat="1">
      <c r="A1012" s="232" t="s">
        <v>97</v>
      </c>
      <c r="B1012" s="233" t="s">
        <v>62</v>
      </c>
      <c r="C1012" s="234" t="s">
        <v>14</v>
      </c>
      <c r="D1012" s="234" t="s">
        <v>2</v>
      </c>
      <c r="E1012" s="272" t="s">
        <v>448</v>
      </c>
      <c r="F1012" s="234" t="s">
        <v>118</v>
      </c>
      <c r="G1012" s="264"/>
      <c r="H1012" s="222"/>
      <c r="I1012" s="223"/>
    </row>
    <row r="1013" spans="1:9" s="30" customFormat="1">
      <c r="A1013" s="232" t="s">
        <v>1036</v>
      </c>
      <c r="B1013" s="233" t="s">
        <v>62</v>
      </c>
      <c r="C1013" s="234" t="s">
        <v>14</v>
      </c>
      <c r="D1013" s="234" t="s">
        <v>2</v>
      </c>
      <c r="E1013" s="272" t="s">
        <v>448</v>
      </c>
      <c r="F1013" s="234" t="s">
        <v>1061</v>
      </c>
      <c r="G1013" s="235"/>
      <c r="H1013" s="222"/>
      <c r="I1013" s="223"/>
    </row>
    <row r="1014" spans="1:9" s="30" customFormat="1">
      <c r="A1014" s="232" t="s">
        <v>1037</v>
      </c>
      <c r="B1014" s="233" t="s">
        <v>62</v>
      </c>
      <c r="C1014" s="234" t="s">
        <v>14</v>
      </c>
      <c r="D1014" s="234" t="s">
        <v>2</v>
      </c>
      <c r="E1014" s="272" t="s">
        <v>448</v>
      </c>
      <c r="F1014" s="234" t="s">
        <v>1062</v>
      </c>
      <c r="G1014" s="235"/>
      <c r="H1014" s="222"/>
      <c r="I1014" s="223"/>
    </row>
    <row r="1015" spans="1:9" s="181" customFormat="1">
      <c r="A1015" s="238"/>
      <c r="B1015" s="239"/>
      <c r="C1015" s="240"/>
      <c r="D1015" s="240"/>
      <c r="E1015" s="273"/>
      <c r="F1015" s="240"/>
      <c r="G1015" s="235"/>
      <c r="H1015" s="222"/>
      <c r="I1015" s="223"/>
    </row>
    <row r="1016" spans="1:9" s="3" customFormat="1">
      <c r="A1016" s="219" t="s">
        <v>694</v>
      </c>
      <c r="B1016" s="220" t="s">
        <v>67</v>
      </c>
      <c r="C1016" s="221" t="s">
        <v>51</v>
      </c>
      <c r="D1016" s="221" t="s">
        <v>51</v>
      </c>
      <c r="E1016" s="221" t="s">
        <v>196</v>
      </c>
      <c r="F1016" s="221" t="s">
        <v>58</v>
      </c>
      <c r="G1016" s="222"/>
      <c r="H1016" s="222"/>
      <c r="I1016" s="223"/>
    </row>
    <row r="1017" spans="1:9" s="3" customFormat="1">
      <c r="A1017" s="224" t="s">
        <v>70</v>
      </c>
      <c r="B1017" s="225" t="s">
        <v>67</v>
      </c>
      <c r="C1017" s="226" t="s">
        <v>71</v>
      </c>
      <c r="D1017" s="226" t="s">
        <v>51</v>
      </c>
      <c r="E1017" s="226" t="s">
        <v>196</v>
      </c>
      <c r="F1017" s="226" t="s">
        <v>58</v>
      </c>
      <c r="G1017" s="227"/>
      <c r="H1017" s="222"/>
      <c r="I1017" s="223"/>
    </row>
    <row r="1018" spans="1:9" s="3" customFormat="1">
      <c r="A1018" s="228" t="s">
        <v>779</v>
      </c>
      <c r="B1018" s="229" t="s">
        <v>67</v>
      </c>
      <c r="C1018" s="230" t="s">
        <v>71</v>
      </c>
      <c r="D1018" s="230" t="s">
        <v>53</v>
      </c>
      <c r="E1018" s="230" t="s">
        <v>196</v>
      </c>
      <c r="F1018" s="230" t="s">
        <v>58</v>
      </c>
      <c r="G1018" s="231"/>
      <c r="H1018" s="222"/>
      <c r="I1018" s="223"/>
    </row>
    <row r="1019" spans="1:9" s="3" customFormat="1" ht="25.5">
      <c r="A1019" s="232" t="s">
        <v>740</v>
      </c>
      <c r="B1019" s="233" t="s">
        <v>67</v>
      </c>
      <c r="C1019" s="234" t="s">
        <v>71</v>
      </c>
      <c r="D1019" s="234" t="s">
        <v>53</v>
      </c>
      <c r="E1019" s="234" t="s">
        <v>449</v>
      </c>
      <c r="F1019" s="234" t="s">
        <v>58</v>
      </c>
      <c r="G1019" s="235"/>
      <c r="H1019" s="222"/>
      <c r="I1019" s="223"/>
    </row>
    <row r="1020" spans="1:9" s="3" customFormat="1" ht="38.25">
      <c r="A1020" s="232" t="s">
        <v>141</v>
      </c>
      <c r="B1020" s="233" t="s">
        <v>67</v>
      </c>
      <c r="C1020" s="234" t="s">
        <v>71</v>
      </c>
      <c r="D1020" s="234" t="s">
        <v>53</v>
      </c>
      <c r="E1020" s="234" t="s">
        <v>450</v>
      </c>
      <c r="F1020" s="234" t="s">
        <v>58</v>
      </c>
      <c r="G1020" s="235"/>
      <c r="H1020" s="222"/>
      <c r="I1020" s="223"/>
    </row>
    <row r="1021" spans="1:9" s="3" customFormat="1" ht="38.25">
      <c r="A1021" s="232" t="s">
        <v>587</v>
      </c>
      <c r="B1021" s="233" t="s">
        <v>67</v>
      </c>
      <c r="C1021" s="234" t="s">
        <v>71</v>
      </c>
      <c r="D1021" s="234" t="s">
        <v>53</v>
      </c>
      <c r="E1021" s="234" t="s">
        <v>451</v>
      </c>
      <c r="F1021" s="234" t="s">
        <v>58</v>
      </c>
      <c r="G1021" s="235"/>
      <c r="H1021" s="222"/>
      <c r="I1021" s="223"/>
    </row>
    <row r="1022" spans="1:9" s="3" customFormat="1">
      <c r="A1022" s="236" t="s">
        <v>247</v>
      </c>
      <c r="B1022" s="233" t="s">
        <v>67</v>
      </c>
      <c r="C1022" s="234" t="s">
        <v>71</v>
      </c>
      <c r="D1022" s="234" t="s">
        <v>53</v>
      </c>
      <c r="E1022" s="234" t="s">
        <v>452</v>
      </c>
      <c r="F1022" s="234" t="s">
        <v>58</v>
      </c>
      <c r="G1022" s="235"/>
      <c r="H1022" s="222"/>
      <c r="I1022" s="223"/>
    </row>
    <row r="1023" spans="1:9" s="3" customFormat="1">
      <c r="A1023" s="244" t="s">
        <v>92</v>
      </c>
      <c r="B1023" s="233" t="s">
        <v>67</v>
      </c>
      <c r="C1023" s="234" t="s">
        <v>71</v>
      </c>
      <c r="D1023" s="234" t="s">
        <v>53</v>
      </c>
      <c r="E1023" s="234" t="s">
        <v>452</v>
      </c>
      <c r="F1023" s="234" t="s">
        <v>138</v>
      </c>
      <c r="G1023" s="235"/>
      <c r="H1023" s="222"/>
      <c r="I1023" s="223"/>
    </row>
    <row r="1024" spans="1:9" s="4" customFormat="1" ht="38.25">
      <c r="A1024" s="236" t="s">
        <v>1015</v>
      </c>
      <c r="B1024" s="233" t="s">
        <v>67</v>
      </c>
      <c r="C1024" s="234" t="s">
        <v>71</v>
      </c>
      <c r="D1024" s="234" t="s">
        <v>53</v>
      </c>
      <c r="E1024" s="234" t="s">
        <v>452</v>
      </c>
      <c r="F1024" s="234" t="s">
        <v>67</v>
      </c>
      <c r="G1024" s="235"/>
      <c r="H1024" s="222"/>
      <c r="I1024" s="223"/>
    </row>
    <row r="1025" spans="1:9" s="3" customFormat="1" ht="51">
      <c r="A1025" s="232" t="s">
        <v>756</v>
      </c>
      <c r="B1025" s="233" t="s">
        <v>67</v>
      </c>
      <c r="C1025" s="234" t="s">
        <v>71</v>
      </c>
      <c r="D1025" s="234" t="s">
        <v>53</v>
      </c>
      <c r="E1025" s="234" t="s">
        <v>339</v>
      </c>
      <c r="F1025" s="234" t="s">
        <v>58</v>
      </c>
      <c r="G1025" s="235"/>
      <c r="H1025" s="222"/>
      <c r="I1025" s="223"/>
    </row>
    <row r="1026" spans="1:9" s="3" customFormat="1" ht="25.5">
      <c r="A1026" s="232" t="s">
        <v>136</v>
      </c>
      <c r="B1026" s="233" t="s">
        <v>67</v>
      </c>
      <c r="C1026" s="234" t="s">
        <v>71</v>
      </c>
      <c r="D1026" s="234" t="s">
        <v>53</v>
      </c>
      <c r="E1026" s="234" t="s">
        <v>340</v>
      </c>
      <c r="F1026" s="234" t="s">
        <v>58</v>
      </c>
      <c r="G1026" s="235"/>
      <c r="H1026" s="222"/>
      <c r="I1026" s="223"/>
    </row>
    <row r="1027" spans="1:9" s="3" customFormat="1" ht="25.5">
      <c r="A1027" s="232" t="s">
        <v>667</v>
      </c>
      <c r="B1027" s="233" t="s">
        <v>67</v>
      </c>
      <c r="C1027" s="234" t="s">
        <v>71</v>
      </c>
      <c r="D1027" s="234" t="s">
        <v>53</v>
      </c>
      <c r="E1027" s="234" t="s">
        <v>609</v>
      </c>
      <c r="F1027" s="234" t="s">
        <v>58</v>
      </c>
      <c r="G1027" s="235"/>
      <c r="H1027" s="222"/>
      <c r="I1027" s="223"/>
    </row>
    <row r="1028" spans="1:9" s="3" customFormat="1" ht="25.5">
      <c r="A1028" s="232" t="s">
        <v>177</v>
      </c>
      <c r="B1028" s="233" t="s">
        <v>67</v>
      </c>
      <c r="C1028" s="234" t="s">
        <v>71</v>
      </c>
      <c r="D1028" s="234" t="s">
        <v>53</v>
      </c>
      <c r="E1028" s="234" t="s">
        <v>610</v>
      </c>
      <c r="F1028" s="234" t="s">
        <v>58</v>
      </c>
      <c r="G1028" s="235"/>
      <c r="H1028" s="222"/>
      <c r="I1028" s="223"/>
    </row>
    <row r="1029" spans="1:9" s="3" customFormat="1">
      <c r="A1029" s="244" t="s">
        <v>92</v>
      </c>
      <c r="B1029" s="233" t="s">
        <v>67</v>
      </c>
      <c r="C1029" s="234" t="s">
        <v>71</v>
      </c>
      <c r="D1029" s="234" t="s">
        <v>53</v>
      </c>
      <c r="E1029" s="234" t="s">
        <v>610</v>
      </c>
      <c r="F1029" s="234" t="s">
        <v>138</v>
      </c>
      <c r="G1029" s="235"/>
      <c r="H1029" s="222"/>
      <c r="I1029" s="223"/>
    </row>
    <row r="1030" spans="1:9" s="4" customFormat="1">
      <c r="A1030" s="236" t="s">
        <v>1016</v>
      </c>
      <c r="B1030" s="233" t="s">
        <v>67</v>
      </c>
      <c r="C1030" s="234" t="s">
        <v>71</v>
      </c>
      <c r="D1030" s="234" t="s">
        <v>53</v>
      </c>
      <c r="E1030" s="234" t="s">
        <v>610</v>
      </c>
      <c r="F1030" s="234" t="s">
        <v>1046</v>
      </c>
      <c r="G1030" s="235"/>
      <c r="H1030" s="222"/>
      <c r="I1030" s="223"/>
    </row>
    <row r="1031" spans="1:9" s="3" customFormat="1" ht="25.5">
      <c r="A1031" s="232" t="s">
        <v>757</v>
      </c>
      <c r="B1031" s="233" t="s">
        <v>67</v>
      </c>
      <c r="C1031" s="234" t="s">
        <v>71</v>
      </c>
      <c r="D1031" s="234" t="s">
        <v>53</v>
      </c>
      <c r="E1031" s="234" t="s">
        <v>342</v>
      </c>
      <c r="F1031" s="234" t="s">
        <v>58</v>
      </c>
      <c r="G1031" s="235"/>
      <c r="H1031" s="222"/>
      <c r="I1031" s="223"/>
    </row>
    <row r="1032" spans="1:9" s="3" customFormat="1" ht="25.5">
      <c r="A1032" s="237" t="s">
        <v>758</v>
      </c>
      <c r="B1032" s="233" t="s">
        <v>67</v>
      </c>
      <c r="C1032" s="234" t="s">
        <v>71</v>
      </c>
      <c r="D1032" s="234" t="s">
        <v>53</v>
      </c>
      <c r="E1032" s="234" t="s">
        <v>343</v>
      </c>
      <c r="F1032" s="234" t="s">
        <v>58</v>
      </c>
      <c r="G1032" s="235"/>
      <c r="H1032" s="222"/>
      <c r="I1032" s="223"/>
    </row>
    <row r="1033" spans="1:9" s="3" customFormat="1" ht="25.5">
      <c r="A1033" s="232" t="s">
        <v>344</v>
      </c>
      <c r="B1033" s="233" t="s">
        <v>67</v>
      </c>
      <c r="C1033" s="234" t="s">
        <v>71</v>
      </c>
      <c r="D1033" s="234" t="s">
        <v>53</v>
      </c>
      <c r="E1033" s="234" t="s">
        <v>345</v>
      </c>
      <c r="F1033" s="234" t="s">
        <v>58</v>
      </c>
      <c r="G1033" s="235"/>
      <c r="H1033" s="222"/>
      <c r="I1033" s="223"/>
    </row>
    <row r="1034" spans="1:9" s="3" customFormat="1" ht="25.5">
      <c r="A1034" s="244" t="s">
        <v>174</v>
      </c>
      <c r="B1034" s="233" t="s">
        <v>67</v>
      </c>
      <c r="C1034" s="234" t="s">
        <v>71</v>
      </c>
      <c r="D1034" s="234" t="s">
        <v>53</v>
      </c>
      <c r="E1034" s="234" t="s">
        <v>346</v>
      </c>
      <c r="F1034" s="234" t="s">
        <v>58</v>
      </c>
      <c r="G1034" s="235"/>
      <c r="H1034" s="222"/>
      <c r="I1034" s="223"/>
    </row>
    <row r="1035" spans="1:9" s="3" customFormat="1">
      <c r="A1035" s="244" t="s">
        <v>92</v>
      </c>
      <c r="B1035" s="233" t="s">
        <v>67</v>
      </c>
      <c r="C1035" s="234" t="s">
        <v>71</v>
      </c>
      <c r="D1035" s="234" t="s">
        <v>53</v>
      </c>
      <c r="E1035" s="234" t="s">
        <v>346</v>
      </c>
      <c r="F1035" s="234" t="s">
        <v>138</v>
      </c>
      <c r="G1035" s="235"/>
      <c r="H1035" s="222"/>
      <c r="I1035" s="223"/>
    </row>
    <row r="1036" spans="1:9" s="4" customFormat="1">
      <c r="A1036" s="236" t="s">
        <v>1016</v>
      </c>
      <c r="B1036" s="233" t="s">
        <v>67</v>
      </c>
      <c r="C1036" s="234" t="s">
        <v>71</v>
      </c>
      <c r="D1036" s="234" t="s">
        <v>53</v>
      </c>
      <c r="E1036" s="234" t="s">
        <v>346</v>
      </c>
      <c r="F1036" s="234" t="s">
        <v>1046</v>
      </c>
      <c r="G1036" s="235"/>
      <c r="H1036" s="222"/>
      <c r="I1036" s="223"/>
    </row>
    <row r="1037" spans="1:9" s="3" customFormat="1">
      <c r="A1037" s="224" t="s">
        <v>39</v>
      </c>
      <c r="B1037" s="225" t="s">
        <v>67</v>
      </c>
      <c r="C1037" s="226" t="s">
        <v>78</v>
      </c>
      <c r="D1037" s="226" t="s">
        <v>51</v>
      </c>
      <c r="E1037" s="226" t="s">
        <v>196</v>
      </c>
      <c r="F1037" s="226" t="s">
        <v>58</v>
      </c>
      <c r="G1037" s="227"/>
      <c r="H1037" s="222"/>
      <c r="I1037" s="223"/>
    </row>
    <row r="1038" spans="1:9" s="3" customFormat="1">
      <c r="A1038" s="228" t="s">
        <v>79</v>
      </c>
      <c r="B1038" s="229" t="s">
        <v>67</v>
      </c>
      <c r="C1038" s="230" t="s">
        <v>78</v>
      </c>
      <c r="D1038" s="230" t="s">
        <v>65</v>
      </c>
      <c r="E1038" s="230" t="s">
        <v>196</v>
      </c>
      <c r="F1038" s="230" t="s">
        <v>58</v>
      </c>
      <c r="G1038" s="231"/>
      <c r="H1038" s="222"/>
      <c r="I1038" s="223"/>
    </row>
    <row r="1039" spans="1:9" s="3" customFormat="1" ht="25.5">
      <c r="A1039" s="232" t="s">
        <v>740</v>
      </c>
      <c r="B1039" s="233" t="s">
        <v>67</v>
      </c>
      <c r="C1039" s="234" t="s">
        <v>78</v>
      </c>
      <c r="D1039" s="234" t="s">
        <v>65</v>
      </c>
      <c r="E1039" s="234" t="s">
        <v>449</v>
      </c>
      <c r="F1039" s="234" t="s">
        <v>58</v>
      </c>
      <c r="G1039" s="235"/>
      <c r="H1039" s="222"/>
      <c r="I1039" s="223"/>
    </row>
    <row r="1040" spans="1:9" s="3" customFormat="1" ht="38.25">
      <c r="A1040" s="232" t="s">
        <v>141</v>
      </c>
      <c r="B1040" s="233" t="s">
        <v>67</v>
      </c>
      <c r="C1040" s="234" t="s">
        <v>78</v>
      </c>
      <c r="D1040" s="234" t="s">
        <v>65</v>
      </c>
      <c r="E1040" s="234" t="s">
        <v>450</v>
      </c>
      <c r="F1040" s="234" t="s">
        <v>58</v>
      </c>
      <c r="G1040" s="235"/>
      <c r="H1040" s="222"/>
      <c r="I1040" s="223"/>
    </row>
    <row r="1041" spans="1:9" s="3" customFormat="1" ht="25.5">
      <c r="A1041" s="237" t="s">
        <v>475</v>
      </c>
      <c r="B1041" s="241" t="s">
        <v>67</v>
      </c>
      <c r="C1041" s="242" t="s">
        <v>78</v>
      </c>
      <c r="D1041" s="242" t="s">
        <v>65</v>
      </c>
      <c r="E1041" s="242" t="s">
        <v>476</v>
      </c>
      <c r="F1041" s="242" t="s">
        <v>58</v>
      </c>
      <c r="G1041" s="243"/>
      <c r="H1041" s="222"/>
      <c r="I1041" s="223"/>
    </row>
    <row r="1042" spans="1:9" s="3" customFormat="1">
      <c r="A1042" s="236" t="s">
        <v>247</v>
      </c>
      <c r="B1042" s="241" t="s">
        <v>67</v>
      </c>
      <c r="C1042" s="242" t="s">
        <v>78</v>
      </c>
      <c r="D1042" s="242" t="s">
        <v>65</v>
      </c>
      <c r="E1042" s="242" t="s">
        <v>477</v>
      </c>
      <c r="F1042" s="242" t="s">
        <v>58</v>
      </c>
      <c r="G1042" s="243"/>
      <c r="H1042" s="222"/>
      <c r="I1042" s="223"/>
    </row>
    <row r="1043" spans="1:9" s="3" customFormat="1">
      <c r="A1043" s="244" t="s">
        <v>92</v>
      </c>
      <c r="B1043" s="241" t="s">
        <v>67</v>
      </c>
      <c r="C1043" s="242" t="s">
        <v>78</v>
      </c>
      <c r="D1043" s="242" t="s">
        <v>65</v>
      </c>
      <c r="E1043" s="242" t="s">
        <v>477</v>
      </c>
      <c r="F1043" s="242" t="s">
        <v>138</v>
      </c>
      <c r="G1043" s="235"/>
      <c r="H1043" s="222"/>
      <c r="I1043" s="223"/>
    </row>
    <row r="1044" spans="1:9" s="4" customFormat="1" ht="38.25">
      <c r="A1044" s="236" t="s">
        <v>1015</v>
      </c>
      <c r="B1044" s="241" t="s">
        <v>67</v>
      </c>
      <c r="C1044" s="242" t="s">
        <v>78</v>
      </c>
      <c r="D1044" s="242" t="s">
        <v>65</v>
      </c>
      <c r="E1044" s="242" t="s">
        <v>477</v>
      </c>
      <c r="F1044" s="242" t="s">
        <v>67</v>
      </c>
      <c r="G1044" s="235"/>
      <c r="H1044" s="222"/>
      <c r="I1044" s="223"/>
    </row>
    <row r="1045" spans="1:9" s="3" customFormat="1">
      <c r="A1045" s="228" t="s">
        <v>80</v>
      </c>
      <c r="B1045" s="229" t="s">
        <v>67</v>
      </c>
      <c r="C1045" s="230" t="s">
        <v>78</v>
      </c>
      <c r="D1045" s="230" t="s">
        <v>66</v>
      </c>
      <c r="E1045" s="230" t="s">
        <v>196</v>
      </c>
      <c r="F1045" s="230" t="s">
        <v>58</v>
      </c>
      <c r="G1045" s="231"/>
      <c r="H1045" s="222"/>
      <c r="I1045" s="223"/>
    </row>
    <row r="1046" spans="1:9" s="3" customFormat="1" ht="25.5">
      <c r="A1046" s="232" t="s">
        <v>740</v>
      </c>
      <c r="B1046" s="233" t="s">
        <v>67</v>
      </c>
      <c r="C1046" s="234" t="s">
        <v>78</v>
      </c>
      <c r="D1046" s="234" t="s">
        <v>66</v>
      </c>
      <c r="E1046" s="234" t="s">
        <v>449</v>
      </c>
      <c r="F1046" s="234" t="s">
        <v>58</v>
      </c>
      <c r="G1046" s="235"/>
      <c r="H1046" s="222"/>
      <c r="I1046" s="223"/>
    </row>
    <row r="1047" spans="1:9" s="3" customFormat="1" ht="38.25">
      <c r="A1047" s="232" t="s">
        <v>141</v>
      </c>
      <c r="B1047" s="233" t="s">
        <v>67</v>
      </c>
      <c r="C1047" s="234" t="s">
        <v>78</v>
      </c>
      <c r="D1047" s="234" t="s">
        <v>66</v>
      </c>
      <c r="E1047" s="234" t="s">
        <v>450</v>
      </c>
      <c r="F1047" s="234" t="s">
        <v>58</v>
      </c>
      <c r="G1047" s="235"/>
      <c r="H1047" s="222"/>
      <c r="I1047" s="223"/>
    </row>
    <row r="1048" spans="1:9" s="3" customFormat="1" ht="51">
      <c r="A1048" s="232" t="s">
        <v>884</v>
      </c>
      <c r="B1048" s="233" t="s">
        <v>67</v>
      </c>
      <c r="C1048" s="234" t="s">
        <v>78</v>
      </c>
      <c r="D1048" s="234" t="s">
        <v>66</v>
      </c>
      <c r="E1048" s="234" t="s">
        <v>812</v>
      </c>
      <c r="F1048" s="234" t="s">
        <v>58</v>
      </c>
      <c r="G1048" s="235"/>
      <c r="H1048" s="222"/>
      <c r="I1048" s="223"/>
    </row>
    <row r="1049" spans="1:9" s="3" customFormat="1">
      <c r="A1049" s="236" t="s">
        <v>247</v>
      </c>
      <c r="B1049" s="241" t="s">
        <v>67</v>
      </c>
      <c r="C1049" s="234" t="s">
        <v>78</v>
      </c>
      <c r="D1049" s="234" t="s">
        <v>66</v>
      </c>
      <c r="E1049" s="242" t="s">
        <v>813</v>
      </c>
      <c r="F1049" s="242" t="s">
        <v>58</v>
      </c>
      <c r="G1049" s="243"/>
      <c r="H1049" s="222"/>
      <c r="I1049" s="223"/>
    </row>
    <row r="1050" spans="1:9" s="3" customFormat="1">
      <c r="A1050" s="244" t="s">
        <v>92</v>
      </c>
      <c r="B1050" s="241" t="s">
        <v>67</v>
      </c>
      <c r="C1050" s="234" t="s">
        <v>78</v>
      </c>
      <c r="D1050" s="234" t="s">
        <v>66</v>
      </c>
      <c r="E1050" s="242" t="s">
        <v>813</v>
      </c>
      <c r="F1050" s="242" t="s">
        <v>138</v>
      </c>
      <c r="G1050" s="235"/>
      <c r="H1050" s="222"/>
      <c r="I1050" s="223"/>
    </row>
    <row r="1051" spans="1:9" s="4" customFormat="1" ht="38.25">
      <c r="A1051" s="236" t="s">
        <v>1015</v>
      </c>
      <c r="B1051" s="241" t="s">
        <v>67</v>
      </c>
      <c r="C1051" s="234" t="s">
        <v>78</v>
      </c>
      <c r="D1051" s="234" t="s">
        <v>66</v>
      </c>
      <c r="E1051" s="242" t="s">
        <v>813</v>
      </c>
      <c r="F1051" s="242" t="s">
        <v>67</v>
      </c>
      <c r="G1051" s="235"/>
      <c r="H1051" s="222"/>
      <c r="I1051" s="223"/>
    </row>
    <row r="1052" spans="1:9" s="3" customFormat="1" ht="25.5">
      <c r="A1052" s="232" t="s">
        <v>883</v>
      </c>
      <c r="B1052" s="233" t="s">
        <v>67</v>
      </c>
      <c r="C1052" s="234" t="s">
        <v>78</v>
      </c>
      <c r="D1052" s="234" t="s">
        <v>66</v>
      </c>
      <c r="E1052" s="234" t="s">
        <v>478</v>
      </c>
      <c r="F1052" s="234" t="s">
        <v>58</v>
      </c>
      <c r="G1052" s="235"/>
      <c r="H1052" s="222"/>
      <c r="I1052" s="223"/>
    </row>
    <row r="1053" spans="1:9" s="3" customFormat="1" ht="25.5">
      <c r="A1053" s="232" t="s">
        <v>619</v>
      </c>
      <c r="B1053" s="233" t="s">
        <v>67</v>
      </c>
      <c r="C1053" s="234" t="s">
        <v>78</v>
      </c>
      <c r="D1053" s="234" t="s">
        <v>66</v>
      </c>
      <c r="E1053" s="234" t="s">
        <v>479</v>
      </c>
      <c r="F1053" s="234" t="s">
        <v>58</v>
      </c>
      <c r="G1053" s="235"/>
      <c r="H1053" s="222"/>
      <c r="I1053" s="223"/>
    </row>
    <row r="1054" spans="1:9" s="3" customFormat="1" ht="25.5">
      <c r="A1054" s="232" t="s">
        <v>163</v>
      </c>
      <c r="B1054" s="233" t="s">
        <v>67</v>
      </c>
      <c r="C1054" s="234" t="s">
        <v>78</v>
      </c>
      <c r="D1054" s="234" t="s">
        <v>66</v>
      </c>
      <c r="E1054" s="234" t="s">
        <v>480</v>
      </c>
      <c r="F1054" s="234" t="s">
        <v>58</v>
      </c>
      <c r="G1054" s="235"/>
      <c r="H1054" s="222"/>
      <c r="I1054" s="223"/>
    </row>
    <row r="1055" spans="1:9" s="3" customFormat="1">
      <c r="A1055" s="232" t="s">
        <v>106</v>
      </c>
      <c r="B1055" s="233" t="s">
        <v>67</v>
      </c>
      <c r="C1055" s="234" t="s">
        <v>78</v>
      </c>
      <c r="D1055" s="234" t="s">
        <v>66</v>
      </c>
      <c r="E1055" s="234" t="s">
        <v>480</v>
      </c>
      <c r="F1055" s="234" t="s">
        <v>121</v>
      </c>
      <c r="G1055" s="235"/>
      <c r="H1055" s="222"/>
      <c r="I1055" s="223"/>
    </row>
    <row r="1056" spans="1:9" s="4" customFormat="1" ht="25.5">
      <c r="A1056" s="236" t="s">
        <v>934</v>
      </c>
      <c r="B1056" s="233" t="s">
        <v>67</v>
      </c>
      <c r="C1056" s="234" t="s">
        <v>78</v>
      </c>
      <c r="D1056" s="234" t="s">
        <v>66</v>
      </c>
      <c r="E1056" s="234" t="s">
        <v>480</v>
      </c>
      <c r="F1056" s="234" t="s">
        <v>1071</v>
      </c>
      <c r="G1056" s="235"/>
      <c r="H1056" s="222"/>
      <c r="I1056" s="223"/>
    </row>
    <row r="1057" spans="1:9" s="3" customFormat="1" ht="25.5">
      <c r="A1057" s="232" t="s">
        <v>108</v>
      </c>
      <c r="B1057" s="233" t="s">
        <v>67</v>
      </c>
      <c r="C1057" s="234" t="s">
        <v>78</v>
      </c>
      <c r="D1057" s="234" t="s">
        <v>66</v>
      </c>
      <c r="E1057" s="234" t="s">
        <v>480</v>
      </c>
      <c r="F1057" s="234" t="s">
        <v>116</v>
      </c>
      <c r="G1057" s="235"/>
      <c r="H1057" s="222"/>
      <c r="I1057" s="223"/>
    </row>
    <row r="1058" spans="1:9" s="4" customFormat="1" ht="25.5">
      <c r="A1058" s="236" t="s">
        <v>973</v>
      </c>
      <c r="B1058" s="233" t="s">
        <v>67</v>
      </c>
      <c r="C1058" s="234" t="s">
        <v>78</v>
      </c>
      <c r="D1058" s="234" t="s">
        <v>66</v>
      </c>
      <c r="E1058" s="234" t="s">
        <v>480</v>
      </c>
      <c r="F1058" s="234" t="s">
        <v>1043</v>
      </c>
      <c r="G1058" s="235"/>
      <c r="H1058" s="222"/>
      <c r="I1058" s="223"/>
    </row>
    <row r="1059" spans="1:9" s="3" customFormat="1" ht="25.5">
      <c r="A1059" s="252" t="s">
        <v>814</v>
      </c>
      <c r="B1059" s="233" t="s">
        <v>67</v>
      </c>
      <c r="C1059" s="234" t="s">
        <v>78</v>
      </c>
      <c r="D1059" s="234" t="s">
        <v>66</v>
      </c>
      <c r="E1059" s="234" t="s">
        <v>815</v>
      </c>
      <c r="F1059" s="234" t="s">
        <v>58</v>
      </c>
      <c r="G1059" s="235"/>
      <c r="H1059" s="222"/>
      <c r="I1059" s="223"/>
    </row>
    <row r="1060" spans="1:9" s="3" customFormat="1">
      <c r="A1060" s="236" t="s">
        <v>885</v>
      </c>
      <c r="B1060" s="233" t="s">
        <v>67</v>
      </c>
      <c r="C1060" s="234" t="s">
        <v>78</v>
      </c>
      <c r="D1060" s="234" t="s">
        <v>66</v>
      </c>
      <c r="E1060" s="234" t="s">
        <v>816</v>
      </c>
      <c r="F1060" s="234" t="s">
        <v>58</v>
      </c>
      <c r="G1060" s="235"/>
      <c r="H1060" s="222"/>
      <c r="I1060" s="223"/>
    </row>
    <row r="1061" spans="1:9" s="3" customFormat="1" ht="25.5">
      <c r="A1061" s="232" t="s">
        <v>108</v>
      </c>
      <c r="B1061" s="233" t="s">
        <v>67</v>
      </c>
      <c r="C1061" s="234" t="s">
        <v>78</v>
      </c>
      <c r="D1061" s="234" t="s">
        <v>66</v>
      </c>
      <c r="E1061" s="234" t="s">
        <v>816</v>
      </c>
      <c r="F1061" s="234" t="s">
        <v>116</v>
      </c>
      <c r="G1061" s="235"/>
      <c r="H1061" s="222"/>
      <c r="I1061" s="223"/>
    </row>
    <row r="1062" spans="1:9" s="4" customFormat="1" ht="25.5">
      <c r="A1062" s="236" t="s">
        <v>973</v>
      </c>
      <c r="B1062" s="233" t="s">
        <v>67</v>
      </c>
      <c r="C1062" s="234" t="s">
        <v>78</v>
      </c>
      <c r="D1062" s="234" t="s">
        <v>66</v>
      </c>
      <c r="E1062" s="234" t="s">
        <v>816</v>
      </c>
      <c r="F1062" s="234" t="s">
        <v>1043</v>
      </c>
      <c r="G1062" s="235"/>
      <c r="H1062" s="222"/>
      <c r="I1062" s="223"/>
    </row>
    <row r="1063" spans="1:9" s="3" customFormat="1" ht="25.5">
      <c r="A1063" s="252" t="s">
        <v>817</v>
      </c>
      <c r="B1063" s="233" t="s">
        <v>67</v>
      </c>
      <c r="C1063" s="234" t="s">
        <v>78</v>
      </c>
      <c r="D1063" s="234" t="s">
        <v>66</v>
      </c>
      <c r="E1063" s="234" t="s">
        <v>818</v>
      </c>
      <c r="F1063" s="234" t="s">
        <v>58</v>
      </c>
      <c r="G1063" s="235"/>
      <c r="H1063" s="222"/>
      <c r="I1063" s="223"/>
    </row>
    <row r="1064" spans="1:9" s="3" customFormat="1" ht="25.5">
      <c r="A1064" s="236" t="s">
        <v>886</v>
      </c>
      <c r="B1064" s="233" t="s">
        <v>67</v>
      </c>
      <c r="C1064" s="234" t="s">
        <v>78</v>
      </c>
      <c r="D1064" s="234" t="s">
        <v>66</v>
      </c>
      <c r="E1064" s="234" t="s">
        <v>908</v>
      </c>
      <c r="F1064" s="234" t="s">
        <v>58</v>
      </c>
      <c r="G1064" s="235"/>
      <c r="H1064" s="222"/>
      <c r="I1064" s="223"/>
    </row>
    <row r="1065" spans="1:9" s="3" customFormat="1" ht="25.5">
      <c r="A1065" s="232" t="s">
        <v>108</v>
      </c>
      <c r="B1065" s="233" t="s">
        <v>67</v>
      </c>
      <c r="C1065" s="234" t="s">
        <v>78</v>
      </c>
      <c r="D1065" s="234" t="s">
        <v>66</v>
      </c>
      <c r="E1065" s="234" t="s">
        <v>908</v>
      </c>
      <c r="F1065" s="234" t="s">
        <v>116</v>
      </c>
      <c r="G1065" s="235"/>
      <c r="H1065" s="222"/>
      <c r="I1065" s="223"/>
    </row>
    <row r="1066" spans="1:9" s="4" customFormat="1" ht="25.5">
      <c r="A1066" s="236" t="s">
        <v>973</v>
      </c>
      <c r="B1066" s="233" t="s">
        <v>67</v>
      </c>
      <c r="C1066" s="234" t="s">
        <v>78</v>
      </c>
      <c r="D1066" s="234" t="s">
        <v>66</v>
      </c>
      <c r="E1066" s="234" t="s">
        <v>908</v>
      </c>
      <c r="F1066" s="234" t="s">
        <v>1043</v>
      </c>
      <c r="G1066" s="235"/>
      <c r="H1066" s="222"/>
      <c r="I1066" s="223"/>
    </row>
    <row r="1067" spans="1:9" s="3" customFormat="1">
      <c r="A1067" s="228" t="s">
        <v>81</v>
      </c>
      <c r="B1067" s="229" t="s">
        <v>67</v>
      </c>
      <c r="C1067" s="230" t="s">
        <v>78</v>
      </c>
      <c r="D1067" s="230" t="s">
        <v>53</v>
      </c>
      <c r="E1067" s="230" t="s">
        <v>196</v>
      </c>
      <c r="F1067" s="230" t="s">
        <v>58</v>
      </c>
      <c r="G1067" s="231"/>
      <c r="H1067" s="222"/>
      <c r="I1067" s="223"/>
    </row>
    <row r="1068" spans="1:9" s="3" customFormat="1" ht="25.5">
      <c r="A1068" s="232" t="s">
        <v>740</v>
      </c>
      <c r="B1068" s="233" t="s">
        <v>67</v>
      </c>
      <c r="C1068" s="234" t="s">
        <v>78</v>
      </c>
      <c r="D1068" s="234" t="s">
        <v>53</v>
      </c>
      <c r="E1068" s="234" t="s">
        <v>449</v>
      </c>
      <c r="F1068" s="234" t="s">
        <v>58</v>
      </c>
      <c r="G1068" s="235"/>
      <c r="H1068" s="222"/>
      <c r="I1068" s="223"/>
    </row>
    <row r="1069" spans="1:9" s="3" customFormat="1" ht="25.5">
      <c r="A1069" s="232" t="s">
        <v>883</v>
      </c>
      <c r="B1069" s="233" t="s">
        <v>67</v>
      </c>
      <c r="C1069" s="234" t="s">
        <v>78</v>
      </c>
      <c r="D1069" s="234" t="s">
        <v>53</v>
      </c>
      <c r="E1069" s="234" t="s">
        <v>478</v>
      </c>
      <c r="F1069" s="234" t="s">
        <v>58</v>
      </c>
      <c r="G1069" s="235"/>
      <c r="H1069" s="222"/>
      <c r="I1069" s="223"/>
    </row>
    <row r="1070" spans="1:9" s="3" customFormat="1" ht="38.25">
      <c r="A1070" s="232" t="s">
        <v>925</v>
      </c>
      <c r="B1070" s="233" t="s">
        <v>67</v>
      </c>
      <c r="C1070" s="234" t="s">
        <v>78</v>
      </c>
      <c r="D1070" s="234" t="s">
        <v>53</v>
      </c>
      <c r="E1070" s="234" t="s">
        <v>613</v>
      </c>
      <c r="F1070" s="234" t="s">
        <v>58</v>
      </c>
      <c r="G1070" s="235"/>
      <c r="H1070" s="222"/>
      <c r="I1070" s="223"/>
    </row>
    <row r="1071" spans="1:9" s="3" customFormat="1" ht="51">
      <c r="A1071" s="232" t="s">
        <v>904</v>
      </c>
      <c r="B1071" s="233" t="s">
        <v>67</v>
      </c>
      <c r="C1071" s="234" t="s">
        <v>78</v>
      </c>
      <c r="D1071" s="234" t="s">
        <v>53</v>
      </c>
      <c r="E1071" s="234" t="s">
        <v>614</v>
      </c>
      <c r="F1071" s="234" t="s">
        <v>58</v>
      </c>
      <c r="G1071" s="235"/>
      <c r="H1071" s="222"/>
      <c r="I1071" s="223"/>
    </row>
    <row r="1072" spans="1:9" s="3" customFormat="1" ht="25.5">
      <c r="A1072" s="232" t="s">
        <v>111</v>
      </c>
      <c r="B1072" s="233" t="s">
        <v>67</v>
      </c>
      <c r="C1072" s="234" t="s">
        <v>78</v>
      </c>
      <c r="D1072" s="234" t="s">
        <v>53</v>
      </c>
      <c r="E1072" s="234" t="s">
        <v>614</v>
      </c>
      <c r="F1072" s="234" t="s">
        <v>104</v>
      </c>
      <c r="G1072" s="235"/>
      <c r="H1072" s="222"/>
      <c r="I1072" s="223"/>
    </row>
    <row r="1073" spans="1:9" s="94" customFormat="1" ht="63.75">
      <c r="A1073" s="236" t="s">
        <v>1048</v>
      </c>
      <c r="B1073" s="233" t="s">
        <v>67</v>
      </c>
      <c r="C1073" s="234" t="s">
        <v>78</v>
      </c>
      <c r="D1073" s="234" t="s">
        <v>53</v>
      </c>
      <c r="E1073" s="234" t="s">
        <v>614</v>
      </c>
      <c r="F1073" s="234" t="s">
        <v>1055</v>
      </c>
      <c r="G1073" s="235"/>
      <c r="H1073" s="222"/>
      <c r="I1073" s="223"/>
    </row>
    <row r="1074" spans="1:9" s="3" customFormat="1" ht="38.25">
      <c r="A1074" s="232" t="s">
        <v>927</v>
      </c>
      <c r="B1074" s="233" t="s">
        <v>67</v>
      </c>
      <c r="C1074" s="234" t="s">
        <v>78</v>
      </c>
      <c r="D1074" s="234" t="s">
        <v>53</v>
      </c>
      <c r="E1074" s="234" t="s">
        <v>926</v>
      </c>
      <c r="F1074" s="234" t="s">
        <v>58</v>
      </c>
      <c r="G1074" s="235"/>
      <c r="H1074" s="222"/>
      <c r="I1074" s="223"/>
    </row>
    <row r="1075" spans="1:9" s="3" customFormat="1" ht="25.5">
      <c r="A1075" s="232" t="s">
        <v>111</v>
      </c>
      <c r="B1075" s="233" t="s">
        <v>67</v>
      </c>
      <c r="C1075" s="234" t="s">
        <v>78</v>
      </c>
      <c r="D1075" s="234" t="s">
        <v>53</v>
      </c>
      <c r="E1075" s="234" t="s">
        <v>926</v>
      </c>
      <c r="F1075" s="234" t="s">
        <v>104</v>
      </c>
      <c r="G1075" s="235"/>
      <c r="H1075" s="222"/>
      <c r="I1075" s="223"/>
    </row>
    <row r="1076" spans="1:9" s="4" customFormat="1" ht="63.75">
      <c r="A1076" s="236" t="s">
        <v>1048</v>
      </c>
      <c r="B1076" s="233" t="s">
        <v>67</v>
      </c>
      <c r="C1076" s="234" t="s">
        <v>78</v>
      </c>
      <c r="D1076" s="234" t="s">
        <v>53</v>
      </c>
      <c r="E1076" s="234" t="s">
        <v>926</v>
      </c>
      <c r="F1076" s="234" t="s">
        <v>1055</v>
      </c>
      <c r="G1076" s="235"/>
      <c r="H1076" s="222"/>
      <c r="I1076" s="223"/>
    </row>
    <row r="1077" spans="1:9" s="3" customFormat="1">
      <c r="A1077" s="228" t="s">
        <v>82</v>
      </c>
      <c r="B1077" s="229" t="s">
        <v>67</v>
      </c>
      <c r="C1077" s="230" t="s">
        <v>78</v>
      </c>
      <c r="D1077" s="230" t="s">
        <v>8</v>
      </c>
      <c r="E1077" s="230" t="s">
        <v>196</v>
      </c>
      <c r="F1077" s="230" t="s">
        <v>58</v>
      </c>
      <c r="G1077" s="231"/>
      <c r="H1077" s="222"/>
      <c r="I1077" s="223"/>
    </row>
    <row r="1078" spans="1:9" s="3" customFormat="1" ht="25.5">
      <c r="A1078" s="232" t="s">
        <v>698</v>
      </c>
      <c r="B1078" s="233" t="s">
        <v>67</v>
      </c>
      <c r="C1078" s="234" t="s">
        <v>78</v>
      </c>
      <c r="D1078" s="234" t="s">
        <v>8</v>
      </c>
      <c r="E1078" s="234" t="s">
        <v>481</v>
      </c>
      <c r="F1078" s="234" t="s">
        <v>58</v>
      </c>
      <c r="G1078" s="235"/>
      <c r="H1078" s="222"/>
      <c r="I1078" s="223"/>
    </row>
    <row r="1079" spans="1:9" s="3" customFormat="1" ht="25.5">
      <c r="A1079" s="232" t="s">
        <v>699</v>
      </c>
      <c r="B1079" s="233" t="s">
        <v>67</v>
      </c>
      <c r="C1079" s="234" t="s">
        <v>78</v>
      </c>
      <c r="D1079" s="234" t="s">
        <v>8</v>
      </c>
      <c r="E1079" s="234" t="s">
        <v>482</v>
      </c>
      <c r="F1079" s="234" t="s">
        <v>58</v>
      </c>
      <c r="G1079" s="235"/>
      <c r="H1079" s="222"/>
      <c r="I1079" s="223"/>
    </row>
    <row r="1080" spans="1:9" s="3" customFormat="1" ht="25.5">
      <c r="A1080" s="232" t="s">
        <v>114</v>
      </c>
      <c r="B1080" s="233" t="s">
        <v>67</v>
      </c>
      <c r="C1080" s="234" t="s">
        <v>78</v>
      </c>
      <c r="D1080" s="234" t="s">
        <v>8</v>
      </c>
      <c r="E1080" s="234" t="s">
        <v>483</v>
      </c>
      <c r="F1080" s="234" t="s">
        <v>58</v>
      </c>
      <c r="G1080" s="235"/>
      <c r="H1080" s="222"/>
      <c r="I1080" s="223"/>
    </row>
    <row r="1081" spans="1:9" s="3" customFormat="1">
      <c r="A1081" s="236" t="s">
        <v>107</v>
      </c>
      <c r="B1081" s="233" t="s">
        <v>67</v>
      </c>
      <c r="C1081" s="234" t="s">
        <v>78</v>
      </c>
      <c r="D1081" s="234" t="s">
        <v>8</v>
      </c>
      <c r="E1081" s="234" t="s">
        <v>483</v>
      </c>
      <c r="F1081" s="234" t="s">
        <v>115</v>
      </c>
      <c r="G1081" s="235"/>
      <c r="H1081" s="222"/>
      <c r="I1081" s="223"/>
    </row>
    <row r="1082" spans="1:9" s="3" customFormat="1" ht="25.5">
      <c r="A1082" s="232" t="s">
        <v>937</v>
      </c>
      <c r="B1082" s="233" t="s">
        <v>67</v>
      </c>
      <c r="C1082" s="234" t="s">
        <v>78</v>
      </c>
      <c r="D1082" s="234" t="s">
        <v>8</v>
      </c>
      <c r="E1082" s="234" t="s">
        <v>483</v>
      </c>
      <c r="F1082" s="234" t="s">
        <v>1059</v>
      </c>
      <c r="G1082" s="235"/>
      <c r="H1082" s="222"/>
      <c r="I1082" s="223"/>
    </row>
    <row r="1083" spans="1:9" s="3" customFormat="1" ht="38.25">
      <c r="A1083" s="232" t="s">
        <v>939</v>
      </c>
      <c r="B1083" s="233" t="s">
        <v>67</v>
      </c>
      <c r="C1083" s="234" t="s">
        <v>78</v>
      </c>
      <c r="D1083" s="234" t="s">
        <v>8</v>
      </c>
      <c r="E1083" s="234" t="s">
        <v>483</v>
      </c>
      <c r="F1083" s="234" t="s">
        <v>1060</v>
      </c>
      <c r="G1083" s="235"/>
      <c r="H1083" s="222"/>
      <c r="I1083" s="223"/>
    </row>
    <row r="1084" spans="1:9" s="3" customFormat="1" ht="25.5">
      <c r="A1084" s="232" t="s">
        <v>108</v>
      </c>
      <c r="B1084" s="233" t="s">
        <v>67</v>
      </c>
      <c r="C1084" s="234" t="s">
        <v>78</v>
      </c>
      <c r="D1084" s="234" t="s">
        <v>8</v>
      </c>
      <c r="E1084" s="234" t="s">
        <v>483</v>
      </c>
      <c r="F1084" s="234" t="s">
        <v>116</v>
      </c>
      <c r="G1084" s="235"/>
      <c r="H1084" s="222"/>
      <c r="I1084" s="223"/>
    </row>
    <row r="1085" spans="1:9" s="94" customFormat="1" ht="25.5">
      <c r="A1085" s="236" t="s">
        <v>973</v>
      </c>
      <c r="B1085" s="233" t="s">
        <v>67</v>
      </c>
      <c r="C1085" s="234" t="s">
        <v>78</v>
      </c>
      <c r="D1085" s="234" t="s">
        <v>8</v>
      </c>
      <c r="E1085" s="234" t="s">
        <v>483</v>
      </c>
      <c r="F1085" s="234" t="s">
        <v>1043</v>
      </c>
      <c r="G1085" s="235"/>
      <c r="H1085" s="222"/>
      <c r="I1085" s="223"/>
    </row>
    <row r="1086" spans="1:9" s="3" customFormat="1">
      <c r="A1086" s="232" t="s">
        <v>97</v>
      </c>
      <c r="B1086" s="233" t="s">
        <v>67</v>
      </c>
      <c r="C1086" s="234" t="s">
        <v>78</v>
      </c>
      <c r="D1086" s="234" t="s">
        <v>8</v>
      </c>
      <c r="E1086" s="234" t="s">
        <v>483</v>
      </c>
      <c r="F1086" s="234" t="s">
        <v>118</v>
      </c>
      <c r="G1086" s="235"/>
      <c r="H1086" s="222"/>
      <c r="I1086" s="223"/>
    </row>
    <row r="1087" spans="1:9" s="3" customFormat="1">
      <c r="A1087" s="232" t="s">
        <v>1036</v>
      </c>
      <c r="B1087" s="233" t="s">
        <v>67</v>
      </c>
      <c r="C1087" s="234" t="s">
        <v>78</v>
      </c>
      <c r="D1087" s="234" t="s">
        <v>8</v>
      </c>
      <c r="E1087" s="234" t="s">
        <v>483</v>
      </c>
      <c r="F1087" s="234" t="s">
        <v>1061</v>
      </c>
      <c r="G1087" s="235"/>
      <c r="H1087" s="222"/>
      <c r="I1087" s="223"/>
    </row>
    <row r="1088" spans="1:9" s="3" customFormat="1">
      <c r="A1088" s="232" t="s">
        <v>1037</v>
      </c>
      <c r="B1088" s="233" t="s">
        <v>67</v>
      </c>
      <c r="C1088" s="234" t="s">
        <v>78</v>
      </c>
      <c r="D1088" s="234" t="s">
        <v>8</v>
      </c>
      <c r="E1088" s="234" t="s">
        <v>483</v>
      </c>
      <c r="F1088" s="234" t="s">
        <v>1062</v>
      </c>
      <c r="G1088" s="235"/>
      <c r="H1088" s="222"/>
      <c r="I1088" s="223"/>
    </row>
    <row r="1089" spans="1:9" s="3" customFormat="1" ht="25.5">
      <c r="A1089" s="232" t="s">
        <v>126</v>
      </c>
      <c r="B1089" s="233" t="s">
        <v>67</v>
      </c>
      <c r="C1089" s="234" t="s">
        <v>78</v>
      </c>
      <c r="D1089" s="234" t="s">
        <v>8</v>
      </c>
      <c r="E1089" s="234" t="s">
        <v>484</v>
      </c>
      <c r="F1089" s="234" t="s">
        <v>58</v>
      </c>
      <c r="G1089" s="235"/>
      <c r="H1089" s="222"/>
      <c r="I1089" s="223"/>
    </row>
    <row r="1090" spans="1:9" s="3" customFormat="1">
      <c r="A1090" s="232" t="s">
        <v>107</v>
      </c>
      <c r="B1090" s="233" t="s">
        <v>67</v>
      </c>
      <c r="C1090" s="234" t="s">
        <v>78</v>
      </c>
      <c r="D1090" s="234" t="s">
        <v>8</v>
      </c>
      <c r="E1090" s="234" t="s">
        <v>484</v>
      </c>
      <c r="F1090" s="234" t="s">
        <v>115</v>
      </c>
      <c r="G1090" s="235"/>
      <c r="H1090" s="222"/>
      <c r="I1090" s="223"/>
    </row>
    <row r="1091" spans="1:9" s="3" customFormat="1">
      <c r="A1091" s="232" t="s">
        <v>936</v>
      </c>
      <c r="B1091" s="233" t="s">
        <v>67</v>
      </c>
      <c r="C1091" s="234" t="s">
        <v>78</v>
      </c>
      <c r="D1091" s="234" t="s">
        <v>8</v>
      </c>
      <c r="E1091" s="234" t="s">
        <v>484</v>
      </c>
      <c r="F1091" s="234" t="s">
        <v>1063</v>
      </c>
      <c r="G1091" s="235"/>
      <c r="H1091" s="222"/>
      <c r="I1091" s="223"/>
    </row>
    <row r="1092" spans="1:9" s="3" customFormat="1" ht="38.25">
      <c r="A1092" s="232" t="s">
        <v>939</v>
      </c>
      <c r="B1092" s="233" t="s">
        <v>67</v>
      </c>
      <c r="C1092" s="234" t="s">
        <v>78</v>
      </c>
      <c r="D1092" s="234" t="s">
        <v>8</v>
      </c>
      <c r="E1092" s="234" t="s">
        <v>484</v>
      </c>
      <c r="F1092" s="234" t="s">
        <v>1060</v>
      </c>
      <c r="G1092" s="235"/>
      <c r="H1092" s="222"/>
      <c r="I1092" s="223"/>
    </row>
    <row r="1093" spans="1:9" s="71" customFormat="1">
      <c r="A1093" s="257"/>
      <c r="B1093" s="239"/>
      <c r="C1093" s="240"/>
      <c r="D1093" s="240"/>
      <c r="E1093" s="240"/>
      <c r="F1093" s="240"/>
      <c r="G1093" s="235"/>
      <c r="H1093" s="222"/>
      <c r="I1093" s="223"/>
    </row>
    <row r="1094" spans="1:9" s="3" customFormat="1">
      <c r="A1094" s="219" t="s">
        <v>4</v>
      </c>
      <c r="B1094" s="220" t="s">
        <v>5</v>
      </c>
      <c r="C1094" s="221" t="s">
        <v>51</v>
      </c>
      <c r="D1094" s="221" t="s">
        <v>51</v>
      </c>
      <c r="E1094" s="221" t="s">
        <v>196</v>
      </c>
      <c r="F1094" s="221" t="s">
        <v>58</v>
      </c>
      <c r="G1094" s="222"/>
      <c r="H1094" s="222"/>
      <c r="I1094" s="223"/>
    </row>
    <row r="1095" spans="1:9" s="3" customFormat="1">
      <c r="A1095" s="224" t="s">
        <v>64</v>
      </c>
      <c r="B1095" s="225" t="s">
        <v>5</v>
      </c>
      <c r="C1095" s="226" t="s">
        <v>65</v>
      </c>
      <c r="D1095" s="226" t="s">
        <v>51</v>
      </c>
      <c r="E1095" s="226" t="s">
        <v>196</v>
      </c>
      <c r="F1095" s="226" t="s">
        <v>58</v>
      </c>
      <c r="G1095" s="227"/>
      <c r="H1095" s="222"/>
      <c r="I1095" s="223"/>
    </row>
    <row r="1096" spans="1:9" s="3" customFormat="1" ht="38.25">
      <c r="A1096" s="228" t="s">
        <v>31</v>
      </c>
      <c r="B1096" s="229" t="s">
        <v>5</v>
      </c>
      <c r="C1096" s="230" t="s">
        <v>65</v>
      </c>
      <c r="D1096" s="230" t="s">
        <v>37</v>
      </c>
      <c r="E1096" s="230" t="s">
        <v>196</v>
      </c>
      <c r="F1096" s="230" t="s">
        <v>58</v>
      </c>
      <c r="G1096" s="231"/>
      <c r="H1096" s="222"/>
      <c r="I1096" s="223"/>
    </row>
    <row r="1097" spans="1:9" s="3" customFormat="1">
      <c r="A1097" s="252" t="s">
        <v>146</v>
      </c>
      <c r="B1097" s="241" t="s">
        <v>5</v>
      </c>
      <c r="C1097" s="242" t="s">
        <v>65</v>
      </c>
      <c r="D1097" s="242" t="s">
        <v>37</v>
      </c>
      <c r="E1097" s="242" t="s">
        <v>485</v>
      </c>
      <c r="F1097" s="242" t="s">
        <v>58</v>
      </c>
      <c r="G1097" s="243"/>
      <c r="H1097" s="222"/>
      <c r="I1097" s="223"/>
    </row>
    <row r="1098" spans="1:9" s="3" customFormat="1" ht="25.5">
      <c r="A1098" s="252" t="s">
        <v>147</v>
      </c>
      <c r="B1098" s="241" t="s">
        <v>5</v>
      </c>
      <c r="C1098" s="242" t="s">
        <v>65</v>
      </c>
      <c r="D1098" s="242" t="s">
        <v>37</v>
      </c>
      <c r="E1098" s="242" t="s">
        <v>486</v>
      </c>
      <c r="F1098" s="242" t="s">
        <v>58</v>
      </c>
      <c r="G1098" s="243"/>
      <c r="H1098" s="222"/>
      <c r="I1098" s="223"/>
    </row>
    <row r="1099" spans="1:9" s="3" customFormat="1" ht="25.5">
      <c r="A1099" s="232" t="s">
        <v>114</v>
      </c>
      <c r="B1099" s="241" t="s">
        <v>5</v>
      </c>
      <c r="C1099" s="242" t="s">
        <v>65</v>
      </c>
      <c r="D1099" s="242" t="s">
        <v>37</v>
      </c>
      <c r="E1099" s="242" t="s">
        <v>487</v>
      </c>
      <c r="F1099" s="242" t="s">
        <v>58</v>
      </c>
      <c r="G1099" s="243"/>
      <c r="H1099" s="222"/>
      <c r="I1099" s="223"/>
    </row>
    <row r="1100" spans="1:9" s="3" customFormat="1">
      <c r="A1100" s="236" t="s">
        <v>107</v>
      </c>
      <c r="B1100" s="241" t="s">
        <v>5</v>
      </c>
      <c r="C1100" s="242" t="s">
        <v>65</v>
      </c>
      <c r="D1100" s="242" t="s">
        <v>37</v>
      </c>
      <c r="E1100" s="242" t="s">
        <v>487</v>
      </c>
      <c r="F1100" s="242" t="s">
        <v>115</v>
      </c>
      <c r="G1100" s="243"/>
      <c r="H1100" s="222"/>
      <c r="I1100" s="223"/>
    </row>
    <row r="1101" spans="1:9" s="71" customFormat="1" ht="25.5">
      <c r="A1101" s="232" t="s">
        <v>937</v>
      </c>
      <c r="B1101" s="233" t="s">
        <v>5</v>
      </c>
      <c r="C1101" s="234" t="s">
        <v>65</v>
      </c>
      <c r="D1101" s="234" t="s">
        <v>37</v>
      </c>
      <c r="E1101" s="234" t="s">
        <v>487</v>
      </c>
      <c r="F1101" s="234" t="s">
        <v>1059</v>
      </c>
      <c r="G1101" s="235"/>
      <c r="H1101" s="222"/>
      <c r="I1101" s="223"/>
    </row>
    <row r="1102" spans="1:9" s="71" customFormat="1" ht="38.25">
      <c r="A1102" s="232" t="s">
        <v>939</v>
      </c>
      <c r="B1102" s="233" t="s">
        <v>5</v>
      </c>
      <c r="C1102" s="234" t="s">
        <v>65</v>
      </c>
      <c r="D1102" s="234" t="s">
        <v>37</v>
      </c>
      <c r="E1102" s="234" t="s">
        <v>487</v>
      </c>
      <c r="F1102" s="234" t="s">
        <v>1060</v>
      </c>
      <c r="G1102" s="235"/>
      <c r="H1102" s="222"/>
      <c r="I1102" s="223"/>
    </row>
    <row r="1103" spans="1:9" s="3" customFormat="1" ht="25.5">
      <c r="A1103" s="232" t="s">
        <v>108</v>
      </c>
      <c r="B1103" s="241" t="s">
        <v>5</v>
      </c>
      <c r="C1103" s="242" t="s">
        <v>65</v>
      </c>
      <c r="D1103" s="242" t="s">
        <v>37</v>
      </c>
      <c r="E1103" s="242" t="s">
        <v>487</v>
      </c>
      <c r="F1103" s="242" t="s">
        <v>116</v>
      </c>
      <c r="G1103" s="243"/>
      <c r="H1103" s="222"/>
      <c r="I1103" s="223"/>
    </row>
    <row r="1104" spans="1:9" s="4" customFormat="1" ht="25.5">
      <c r="A1104" s="236" t="s">
        <v>973</v>
      </c>
      <c r="B1104" s="241" t="s">
        <v>5</v>
      </c>
      <c r="C1104" s="242" t="s">
        <v>65</v>
      </c>
      <c r="D1104" s="242" t="s">
        <v>37</v>
      </c>
      <c r="E1104" s="242" t="s">
        <v>487</v>
      </c>
      <c r="F1104" s="242" t="s">
        <v>1043</v>
      </c>
      <c r="G1104" s="235"/>
      <c r="H1104" s="222"/>
      <c r="I1104" s="223"/>
    </row>
    <row r="1105" spans="1:9" s="3" customFormat="1">
      <c r="A1105" s="232" t="s">
        <v>97</v>
      </c>
      <c r="B1105" s="233" t="s">
        <v>5</v>
      </c>
      <c r="C1105" s="234" t="s">
        <v>65</v>
      </c>
      <c r="D1105" s="234" t="s">
        <v>37</v>
      </c>
      <c r="E1105" s="234" t="s">
        <v>487</v>
      </c>
      <c r="F1105" s="234" t="s">
        <v>118</v>
      </c>
      <c r="G1105" s="235"/>
      <c r="H1105" s="222"/>
      <c r="I1105" s="223"/>
    </row>
    <row r="1106" spans="1:9" s="3" customFormat="1">
      <c r="A1106" s="232" t="s">
        <v>1036</v>
      </c>
      <c r="B1106" s="233" t="s">
        <v>5</v>
      </c>
      <c r="C1106" s="234" t="s">
        <v>65</v>
      </c>
      <c r="D1106" s="234" t="s">
        <v>37</v>
      </c>
      <c r="E1106" s="234" t="s">
        <v>487</v>
      </c>
      <c r="F1106" s="234" t="s">
        <v>1061</v>
      </c>
      <c r="G1106" s="235"/>
      <c r="H1106" s="222"/>
      <c r="I1106" s="223"/>
    </row>
    <row r="1107" spans="1:9" s="3" customFormat="1">
      <c r="A1107" s="232" t="s">
        <v>1037</v>
      </c>
      <c r="B1107" s="233" t="s">
        <v>5</v>
      </c>
      <c r="C1107" s="234" t="s">
        <v>65</v>
      </c>
      <c r="D1107" s="234" t="s">
        <v>37</v>
      </c>
      <c r="E1107" s="234" t="s">
        <v>487</v>
      </c>
      <c r="F1107" s="234" t="s">
        <v>1062</v>
      </c>
      <c r="G1107" s="235"/>
      <c r="H1107" s="222"/>
      <c r="I1107" s="223"/>
    </row>
    <row r="1108" spans="1:9" s="3" customFormat="1" ht="25.5">
      <c r="A1108" s="232" t="s">
        <v>126</v>
      </c>
      <c r="B1108" s="233" t="s">
        <v>5</v>
      </c>
      <c r="C1108" s="234" t="s">
        <v>65</v>
      </c>
      <c r="D1108" s="234" t="s">
        <v>37</v>
      </c>
      <c r="E1108" s="234" t="s">
        <v>488</v>
      </c>
      <c r="F1108" s="234" t="s">
        <v>58</v>
      </c>
      <c r="G1108" s="235"/>
      <c r="H1108" s="222"/>
      <c r="I1108" s="223"/>
    </row>
    <row r="1109" spans="1:9" s="3" customFormat="1">
      <c r="A1109" s="232" t="s">
        <v>107</v>
      </c>
      <c r="B1109" s="233" t="s">
        <v>5</v>
      </c>
      <c r="C1109" s="234" t="s">
        <v>65</v>
      </c>
      <c r="D1109" s="234" t="s">
        <v>37</v>
      </c>
      <c r="E1109" s="234" t="s">
        <v>488</v>
      </c>
      <c r="F1109" s="234" t="s">
        <v>115</v>
      </c>
      <c r="G1109" s="235"/>
      <c r="H1109" s="222"/>
      <c r="I1109" s="223"/>
    </row>
    <row r="1110" spans="1:9" s="3" customFormat="1">
      <c r="A1110" s="232" t="s">
        <v>936</v>
      </c>
      <c r="B1110" s="233" t="s">
        <v>5</v>
      </c>
      <c r="C1110" s="234" t="s">
        <v>65</v>
      </c>
      <c r="D1110" s="234" t="s">
        <v>37</v>
      </c>
      <c r="E1110" s="234" t="s">
        <v>488</v>
      </c>
      <c r="F1110" s="234" t="s">
        <v>1063</v>
      </c>
      <c r="G1110" s="235"/>
      <c r="H1110" s="222"/>
      <c r="I1110" s="223"/>
    </row>
    <row r="1111" spans="1:9" s="3" customFormat="1" ht="38.25">
      <c r="A1111" s="232" t="s">
        <v>939</v>
      </c>
      <c r="B1111" s="233" t="s">
        <v>5</v>
      </c>
      <c r="C1111" s="234" t="s">
        <v>65</v>
      </c>
      <c r="D1111" s="234" t="s">
        <v>37</v>
      </c>
      <c r="E1111" s="234" t="s">
        <v>488</v>
      </c>
      <c r="F1111" s="234" t="s">
        <v>1060</v>
      </c>
      <c r="G1111" s="235"/>
      <c r="H1111" s="222"/>
      <c r="I1111" s="223"/>
    </row>
    <row r="1112" spans="1:9" s="3" customFormat="1" ht="38.25">
      <c r="A1112" s="266" t="s">
        <v>598</v>
      </c>
      <c r="B1112" s="233" t="s">
        <v>5</v>
      </c>
      <c r="C1112" s="234" t="s">
        <v>65</v>
      </c>
      <c r="D1112" s="234" t="s">
        <v>37</v>
      </c>
      <c r="E1112" s="234" t="s">
        <v>489</v>
      </c>
      <c r="F1112" s="234" t="s">
        <v>58</v>
      </c>
      <c r="G1112" s="235"/>
      <c r="H1112" s="222"/>
      <c r="I1112" s="223"/>
    </row>
    <row r="1113" spans="1:9" s="3" customFormat="1">
      <c r="A1113" s="232" t="s">
        <v>107</v>
      </c>
      <c r="B1113" s="233" t="s">
        <v>5</v>
      </c>
      <c r="C1113" s="234" t="s">
        <v>65</v>
      </c>
      <c r="D1113" s="234" t="s">
        <v>37</v>
      </c>
      <c r="E1113" s="234" t="s">
        <v>489</v>
      </c>
      <c r="F1113" s="234" t="s">
        <v>115</v>
      </c>
      <c r="G1113" s="235"/>
      <c r="H1113" s="222"/>
      <c r="I1113" s="223"/>
    </row>
    <row r="1114" spans="1:9" s="3" customFormat="1">
      <c r="A1114" s="232" t="s">
        <v>936</v>
      </c>
      <c r="B1114" s="233" t="s">
        <v>5</v>
      </c>
      <c r="C1114" s="234" t="s">
        <v>65</v>
      </c>
      <c r="D1114" s="234" t="s">
        <v>37</v>
      </c>
      <c r="E1114" s="234" t="s">
        <v>489</v>
      </c>
      <c r="F1114" s="234" t="s">
        <v>1063</v>
      </c>
      <c r="G1114" s="235"/>
      <c r="H1114" s="222"/>
      <c r="I1114" s="223"/>
    </row>
    <row r="1115" spans="1:9" s="3" customFormat="1" ht="25.5">
      <c r="A1115" s="236" t="s">
        <v>937</v>
      </c>
      <c r="B1115" s="233" t="s">
        <v>5</v>
      </c>
      <c r="C1115" s="234" t="s">
        <v>65</v>
      </c>
      <c r="D1115" s="234" t="s">
        <v>37</v>
      </c>
      <c r="E1115" s="234" t="s">
        <v>489</v>
      </c>
      <c r="F1115" s="234" t="s">
        <v>1059</v>
      </c>
      <c r="G1115" s="235"/>
      <c r="H1115" s="222"/>
      <c r="I1115" s="223"/>
    </row>
    <row r="1116" spans="1:9" s="3" customFormat="1" ht="38.25">
      <c r="A1116" s="232" t="s">
        <v>939</v>
      </c>
      <c r="B1116" s="233" t="s">
        <v>5</v>
      </c>
      <c r="C1116" s="234" t="s">
        <v>65</v>
      </c>
      <c r="D1116" s="234" t="s">
        <v>37</v>
      </c>
      <c r="E1116" s="234" t="s">
        <v>489</v>
      </c>
      <c r="F1116" s="234" t="s">
        <v>1060</v>
      </c>
      <c r="G1116" s="235"/>
      <c r="H1116" s="222"/>
      <c r="I1116" s="223"/>
    </row>
    <row r="1117" spans="1:9" s="3" customFormat="1" ht="25.5">
      <c r="A1117" s="232" t="s">
        <v>108</v>
      </c>
      <c r="B1117" s="233" t="s">
        <v>5</v>
      </c>
      <c r="C1117" s="234" t="s">
        <v>65</v>
      </c>
      <c r="D1117" s="234" t="s">
        <v>37</v>
      </c>
      <c r="E1117" s="234" t="s">
        <v>489</v>
      </c>
      <c r="F1117" s="234" t="s">
        <v>116</v>
      </c>
      <c r="G1117" s="235"/>
      <c r="H1117" s="222"/>
      <c r="I1117" s="223"/>
    </row>
    <row r="1118" spans="1:9" s="94" customFormat="1" ht="25.5">
      <c r="A1118" s="236" t="s">
        <v>973</v>
      </c>
      <c r="B1118" s="233" t="s">
        <v>5</v>
      </c>
      <c r="C1118" s="234" t="s">
        <v>65</v>
      </c>
      <c r="D1118" s="234" t="s">
        <v>37</v>
      </c>
      <c r="E1118" s="234" t="s">
        <v>489</v>
      </c>
      <c r="F1118" s="234" t="s">
        <v>1043</v>
      </c>
      <c r="G1118" s="235"/>
      <c r="H1118" s="222"/>
      <c r="I1118" s="223"/>
    </row>
    <row r="1119" spans="1:9" s="3" customFormat="1" ht="38.25">
      <c r="A1119" s="237" t="s">
        <v>870</v>
      </c>
      <c r="B1119" s="241" t="s">
        <v>5</v>
      </c>
      <c r="C1119" s="242" t="s">
        <v>65</v>
      </c>
      <c r="D1119" s="242" t="s">
        <v>37</v>
      </c>
      <c r="E1119" s="242" t="s">
        <v>490</v>
      </c>
      <c r="F1119" s="242" t="s">
        <v>58</v>
      </c>
      <c r="G1119" s="243"/>
      <c r="H1119" s="222"/>
      <c r="I1119" s="223"/>
    </row>
    <row r="1120" spans="1:9" s="3" customFormat="1" ht="25.5">
      <c r="A1120" s="232" t="s">
        <v>108</v>
      </c>
      <c r="B1120" s="241" t="s">
        <v>5</v>
      </c>
      <c r="C1120" s="242" t="s">
        <v>65</v>
      </c>
      <c r="D1120" s="242" t="s">
        <v>37</v>
      </c>
      <c r="E1120" s="242" t="s">
        <v>490</v>
      </c>
      <c r="F1120" s="242" t="s">
        <v>116</v>
      </c>
      <c r="G1120" s="243"/>
      <c r="H1120" s="222"/>
      <c r="I1120" s="223"/>
    </row>
    <row r="1121" spans="1:9" s="4" customFormat="1" ht="25.5">
      <c r="A1121" s="236" t="s">
        <v>973</v>
      </c>
      <c r="B1121" s="241" t="s">
        <v>5</v>
      </c>
      <c r="C1121" s="242" t="s">
        <v>65</v>
      </c>
      <c r="D1121" s="242" t="s">
        <v>37</v>
      </c>
      <c r="E1121" s="242" t="s">
        <v>490</v>
      </c>
      <c r="F1121" s="242" t="s">
        <v>1043</v>
      </c>
      <c r="G1121" s="235"/>
      <c r="H1121" s="222"/>
      <c r="I1121" s="223"/>
    </row>
    <row r="1122" spans="1:9" s="3" customFormat="1">
      <c r="A1122" s="228" t="s">
        <v>38</v>
      </c>
      <c r="B1122" s="229" t="s">
        <v>5</v>
      </c>
      <c r="C1122" s="230" t="s">
        <v>65</v>
      </c>
      <c r="D1122" s="230" t="s">
        <v>84</v>
      </c>
      <c r="E1122" s="230" t="s">
        <v>196</v>
      </c>
      <c r="F1122" s="230" t="s">
        <v>58</v>
      </c>
      <c r="G1122" s="231"/>
      <c r="H1122" s="222"/>
      <c r="I1122" s="223"/>
    </row>
    <row r="1123" spans="1:9" s="3" customFormat="1" ht="38.25">
      <c r="A1123" s="244" t="s">
        <v>745</v>
      </c>
      <c r="B1123" s="241" t="s">
        <v>5</v>
      </c>
      <c r="C1123" s="242" t="s">
        <v>65</v>
      </c>
      <c r="D1123" s="242" t="s">
        <v>84</v>
      </c>
      <c r="E1123" s="242" t="s">
        <v>280</v>
      </c>
      <c r="F1123" s="242" t="s">
        <v>58</v>
      </c>
      <c r="G1123" s="243"/>
      <c r="H1123" s="222"/>
      <c r="I1123" s="223"/>
    </row>
    <row r="1124" spans="1:9" s="3" customFormat="1" ht="38.25">
      <c r="A1124" s="244" t="s">
        <v>746</v>
      </c>
      <c r="B1124" s="233" t="s">
        <v>5</v>
      </c>
      <c r="C1124" s="242" t="s">
        <v>65</v>
      </c>
      <c r="D1124" s="242" t="s">
        <v>84</v>
      </c>
      <c r="E1124" s="242" t="s">
        <v>281</v>
      </c>
      <c r="F1124" s="242" t="s">
        <v>58</v>
      </c>
      <c r="G1124" s="243"/>
      <c r="H1124" s="222"/>
      <c r="I1124" s="223"/>
    </row>
    <row r="1125" spans="1:9" s="3" customFormat="1" ht="25.5">
      <c r="A1125" s="232" t="s">
        <v>282</v>
      </c>
      <c r="B1125" s="233" t="s">
        <v>5</v>
      </c>
      <c r="C1125" s="242" t="s">
        <v>65</v>
      </c>
      <c r="D1125" s="242" t="s">
        <v>84</v>
      </c>
      <c r="E1125" s="242" t="s">
        <v>283</v>
      </c>
      <c r="F1125" s="242" t="s">
        <v>58</v>
      </c>
      <c r="G1125" s="243"/>
      <c r="H1125" s="222"/>
      <c r="I1125" s="223"/>
    </row>
    <row r="1126" spans="1:9" s="3" customFormat="1" ht="25.5">
      <c r="A1126" s="232" t="s">
        <v>167</v>
      </c>
      <c r="B1126" s="233" t="s">
        <v>5</v>
      </c>
      <c r="C1126" s="242" t="s">
        <v>65</v>
      </c>
      <c r="D1126" s="242" t="s">
        <v>84</v>
      </c>
      <c r="E1126" s="242" t="s">
        <v>491</v>
      </c>
      <c r="F1126" s="242" t="s">
        <v>58</v>
      </c>
      <c r="G1126" s="243"/>
      <c r="H1126" s="222"/>
      <c r="I1126" s="223"/>
    </row>
    <row r="1127" spans="1:9" s="3" customFormat="1" ht="25.5">
      <c r="A1127" s="232" t="s">
        <v>108</v>
      </c>
      <c r="B1127" s="233" t="s">
        <v>5</v>
      </c>
      <c r="C1127" s="242" t="s">
        <v>65</v>
      </c>
      <c r="D1127" s="242" t="s">
        <v>84</v>
      </c>
      <c r="E1127" s="242" t="s">
        <v>491</v>
      </c>
      <c r="F1127" s="242" t="s">
        <v>116</v>
      </c>
      <c r="G1127" s="243"/>
      <c r="H1127" s="222"/>
      <c r="I1127" s="223"/>
    </row>
    <row r="1128" spans="1:9" s="4" customFormat="1" ht="25.5">
      <c r="A1128" s="236" t="s">
        <v>973</v>
      </c>
      <c r="B1128" s="233" t="s">
        <v>5</v>
      </c>
      <c r="C1128" s="242" t="s">
        <v>65</v>
      </c>
      <c r="D1128" s="242" t="s">
        <v>84</v>
      </c>
      <c r="E1128" s="242" t="s">
        <v>491</v>
      </c>
      <c r="F1128" s="242" t="s">
        <v>1043</v>
      </c>
      <c r="G1128" s="235"/>
      <c r="H1128" s="222"/>
      <c r="I1128" s="223"/>
    </row>
    <row r="1129" spans="1:9" s="3" customFormat="1" ht="25.5">
      <c r="A1129" s="232" t="s">
        <v>859</v>
      </c>
      <c r="B1129" s="233" t="s">
        <v>5</v>
      </c>
      <c r="C1129" s="242" t="s">
        <v>65</v>
      </c>
      <c r="D1129" s="242" t="s">
        <v>84</v>
      </c>
      <c r="E1129" s="274" t="s">
        <v>858</v>
      </c>
      <c r="F1129" s="234" t="s">
        <v>58</v>
      </c>
      <c r="G1129" s="235"/>
      <c r="H1129" s="222"/>
      <c r="I1129" s="223"/>
    </row>
    <row r="1130" spans="1:9" s="3" customFormat="1" ht="25.5">
      <c r="A1130" s="232" t="s">
        <v>108</v>
      </c>
      <c r="B1130" s="233" t="s">
        <v>5</v>
      </c>
      <c r="C1130" s="242" t="s">
        <v>65</v>
      </c>
      <c r="D1130" s="242" t="s">
        <v>84</v>
      </c>
      <c r="E1130" s="274" t="s">
        <v>858</v>
      </c>
      <c r="F1130" s="234" t="s">
        <v>116</v>
      </c>
      <c r="G1130" s="235"/>
      <c r="H1130" s="222"/>
      <c r="I1130" s="223"/>
    </row>
    <row r="1131" spans="1:9" s="4" customFormat="1" ht="25.5">
      <c r="A1131" s="236" t="s">
        <v>973</v>
      </c>
      <c r="B1131" s="233" t="s">
        <v>5</v>
      </c>
      <c r="C1131" s="242" t="s">
        <v>65</v>
      </c>
      <c r="D1131" s="242" t="s">
        <v>84</v>
      </c>
      <c r="E1131" s="274" t="s">
        <v>858</v>
      </c>
      <c r="F1131" s="234" t="s">
        <v>1043</v>
      </c>
      <c r="G1131" s="235"/>
      <c r="H1131" s="222"/>
      <c r="I1131" s="223"/>
    </row>
    <row r="1132" spans="1:9" s="3" customFormat="1">
      <c r="A1132" s="224" t="s">
        <v>35</v>
      </c>
      <c r="B1132" s="225" t="s">
        <v>5</v>
      </c>
      <c r="C1132" s="226" t="s">
        <v>37</v>
      </c>
      <c r="D1132" s="226" t="s">
        <v>51</v>
      </c>
      <c r="E1132" s="226" t="s">
        <v>196</v>
      </c>
      <c r="F1132" s="226" t="s">
        <v>58</v>
      </c>
      <c r="G1132" s="227"/>
      <c r="H1132" s="222"/>
      <c r="I1132" s="223"/>
    </row>
    <row r="1133" spans="1:9" s="3" customFormat="1">
      <c r="A1133" s="228" t="s">
        <v>88</v>
      </c>
      <c r="B1133" s="229" t="s">
        <v>5</v>
      </c>
      <c r="C1133" s="230" t="s">
        <v>37</v>
      </c>
      <c r="D1133" s="230" t="s">
        <v>25</v>
      </c>
      <c r="E1133" s="230" t="s">
        <v>196</v>
      </c>
      <c r="F1133" s="230" t="s">
        <v>58</v>
      </c>
      <c r="G1133" s="231"/>
      <c r="H1133" s="222"/>
      <c r="I1133" s="223"/>
    </row>
    <row r="1134" spans="1:9" s="3" customFormat="1" ht="38.25">
      <c r="A1134" s="236" t="s">
        <v>722</v>
      </c>
      <c r="B1134" s="241" t="s">
        <v>5</v>
      </c>
      <c r="C1134" s="242" t="s">
        <v>37</v>
      </c>
      <c r="D1134" s="242" t="s">
        <v>25</v>
      </c>
      <c r="E1134" s="242" t="s">
        <v>300</v>
      </c>
      <c r="F1134" s="242" t="s">
        <v>58</v>
      </c>
      <c r="G1134" s="243"/>
      <c r="H1134" s="222"/>
      <c r="I1134" s="223"/>
    </row>
    <row r="1135" spans="1:9" s="3" customFormat="1" ht="38.25">
      <c r="A1135" s="252" t="s">
        <v>729</v>
      </c>
      <c r="B1135" s="241" t="s">
        <v>5</v>
      </c>
      <c r="C1135" s="242" t="s">
        <v>37</v>
      </c>
      <c r="D1135" s="242" t="s">
        <v>25</v>
      </c>
      <c r="E1135" s="242" t="s">
        <v>301</v>
      </c>
      <c r="F1135" s="242" t="s">
        <v>58</v>
      </c>
      <c r="G1135" s="243"/>
      <c r="H1135" s="222"/>
      <c r="I1135" s="223"/>
    </row>
    <row r="1136" spans="1:9" s="3" customFormat="1" ht="38.25">
      <c r="A1136" s="252" t="s">
        <v>644</v>
      </c>
      <c r="B1136" s="241" t="s">
        <v>5</v>
      </c>
      <c r="C1136" s="242" t="s">
        <v>37</v>
      </c>
      <c r="D1136" s="242" t="s">
        <v>25</v>
      </c>
      <c r="E1136" s="242" t="s">
        <v>302</v>
      </c>
      <c r="F1136" s="242" t="s">
        <v>58</v>
      </c>
      <c r="G1136" s="243"/>
      <c r="H1136" s="222"/>
      <c r="I1136" s="223"/>
    </row>
    <row r="1137" spans="1:9" s="127" customFormat="1" ht="25.5">
      <c r="A1137" s="232" t="s">
        <v>493</v>
      </c>
      <c r="B1137" s="233" t="s">
        <v>5</v>
      </c>
      <c r="C1137" s="234" t="s">
        <v>37</v>
      </c>
      <c r="D1137" s="234" t="s">
        <v>25</v>
      </c>
      <c r="E1137" s="234" t="s">
        <v>494</v>
      </c>
      <c r="F1137" s="234" t="s">
        <v>58</v>
      </c>
      <c r="G1137" s="235"/>
      <c r="H1137" s="222"/>
      <c r="I1137" s="223"/>
    </row>
    <row r="1138" spans="1:9" s="127" customFormat="1" ht="25.5">
      <c r="A1138" s="232" t="s">
        <v>108</v>
      </c>
      <c r="B1138" s="233" t="s">
        <v>5</v>
      </c>
      <c r="C1138" s="234" t="s">
        <v>37</v>
      </c>
      <c r="D1138" s="234" t="s">
        <v>25</v>
      </c>
      <c r="E1138" s="234" t="s">
        <v>494</v>
      </c>
      <c r="F1138" s="234" t="s">
        <v>116</v>
      </c>
      <c r="G1138" s="235"/>
      <c r="H1138" s="222"/>
      <c r="I1138" s="223"/>
    </row>
    <row r="1139" spans="1:9" s="4" customFormat="1" ht="25.5">
      <c r="A1139" s="236" t="s">
        <v>973</v>
      </c>
      <c r="B1139" s="233" t="s">
        <v>5</v>
      </c>
      <c r="C1139" s="234" t="s">
        <v>37</v>
      </c>
      <c r="D1139" s="234" t="s">
        <v>25</v>
      </c>
      <c r="E1139" s="234" t="s">
        <v>494</v>
      </c>
      <c r="F1139" s="234" t="s">
        <v>1043</v>
      </c>
      <c r="G1139" s="235"/>
      <c r="H1139" s="222"/>
      <c r="I1139" s="223"/>
    </row>
    <row r="1140" spans="1:9" s="127" customFormat="1" ht="51">
      <c r="A1140" s="232" t="s">
        <v>889</v>
      </c>
      <c r="B1140" s="233" t="s">
        <v>5</v>
      </c>
      <c r="C1140" s="234" t="s">
        <v>37</v>
      </c>
      <c r="D1140" s="234" t="s">
        <v>25</v>
      </c>
      <c r="E1140" s="234" t="s">
        <v>834</v>
      </c>
      <c r="F1140" s="234" t="s">
        <v>58</v>
      </c>
      <c r="G1140" s="235"/>
      <c r="H1140" s="222"/>
      <c r="I1140" s="223"/>
    </row>
    <row r="1141" spans="1:9" s="127" customFormat="1" ht="25.5">
      <c r="A1141" s="232" t="s">
        <v>108</v>
      </c>
      <c r="B1141" s="233" t="s">
        <v>5</v>
      </c>
      <c r="C1141" s="234" t="s">
        <v>37</v>
      </c>
      <c r="D1141" s="234" t="s">
        <v>25</v>
      </c>
      <c r="E1141" s="234" t="s">
        <v>834</v>
      </c>
      <c r="F1141" s="234" t="s">
        <v>116</v>
      </c>
      <c r="G1141" s="235"/>
      <c r="H1141" s="222"/>
      <c r="I1141" s="223"/>
    </row>
    <row r="1142" spans="1:9" s="4" customFormat="1" ht="25.5">
      <c r="A1142" s="236" t="s">
        <v>973</v>
      </c>
      <c r="B1142" s="233" t="s">
        <v>5</v>
      </c>
      <c r="C1142" s="234" t="s">
        <v>37</v>
      </c>
      <c r="D1142" s="234" t="s">
        <v>25</v>
      </c>
      <c r="E1142" s="234" t="s">
        <v>834</v>
      </c>
      <c r="F1142" s="234" t="s">
        <v>1043</v>
      </c>
      <c r="G1142" s="235"/>
      <c r="H1142" s="222"/>
      <c r="I1142" s="223"/>
    </row>
    <row r="1143" spans="1:9" s="3" customFormat="1" ht="25.5">
      <c r="A1143" s="232" t="s">
        <v>902</v>
      </c>
      <c r="B1143" s="233" t="s">
        <v>5</v>
      </c>
      <c r="C1143" s="234" t="s">
        <v>37</v>
      </c>
      <c r="D1143" s="234" t="s">
        <v>25</v>
      </c>
      <c r="E1143" s="234" t="s">
        <v>909</v>
      </c>
      <c r="F1143" s="234" t="s">
        <v>58</v>
      </c>
      <c r="G1143" s="235"/>
      <c r="H1143" s="222"/>
      <c r="I1143" s="223"/>
    </row>
    <row r="1144" spans="1:9" s="3" customFormat="1" ht="25.5">
      <c r="A1144" s="232" t="s">
        <v>108</v>
      </c>
      <c r="B1144" s="233" t="s">
        <v>5</v>
      </c>
      <c r="C1144" s="234" t="s">
        <v>37</v>
      </c>
      <c r="D1144" s="234" t="s">
        <v>25</v>
      </c>
      <c r="E1144" s="234" t="s">
        <v>909</v>
      </c>
      <c r="F1144" s="234" t="s">
        <v>116</v>
      </c>
      <c r="G1144" s="235"/>
      <c r="H1144" s="222"/>
      <c r="I1144" s="223"/>
    </row>
    <row r="1145" spans="1:9" s="4" customFormat="1" ht="25.5">
      <c r="A1145" s="236" t="s">
        <v>973</v>
      </c>
      <c r="B1145" s="233" t="s">
        <v>5</v>
      </c>
      <c r="C1145" s="234" t="s">
        <v>37</v>
      </c>
      <c r="D1145" s="234" t="s">
        <v>25</v>
      </c>
      <c r="E1145" s="234" t="s">
        <v>909</v>
      </c>
      <c r="F1145" s="234" t="s">
        <v>1043</v>
      </c>
      <c r="G1145" s="235"/>
      <c r="H1145" s="222"/>
      <c r="I1145" s="223"/>
    </row>
    <row r="1146" spans="1:9" s="130" customFormat="1">
      <c r="A1146" s="224" t="s">
        <v>7</v>
      </c>
      <c r="B1146" s="225" t="s">
        <v>5</v>
      </c>
      <c r="C1146" s="226" t="s">
        <v>8</v>
      </c>
      <c r="D1146" s="226" t="s">
        <v>51</v>
      </c>
      <c r="E1146" s="226" t="s">
        <v>196</v>
      </c>
      <c r="F1146" s="226" t="s">
        <v>58</v>
      </c>
      <c r="G1146" s="227"/>
      <c r="H1146" s="222"/>
      <c r="I1146" s="275"/>
    </row>
    <row r="1147" spans="1:9" s="3" customFormat="1">
      <c r="A1147" s="228" t="s">
        <v>9</v>
      </c>
      <c r="B1147" s="229" t="s">
        <v>5</v>
      </c>
      <c r="C1147" s="230" t="s">
        <v>8</v>
      </c>
      <c r="D1147" s="230" t="s">
        <v>65</v>
      </c>
      <c r="E1147" s="230" t="s">
        <v>196</v>
      </c>
      <c r="F1147" s="230" t="s">
        <v>58</v>
      </c>
      <c r="G1147" s="231"/>
      <c r="H1147" s="222"/>
      <c r="I1147" s="223"/>
    </row>
    <row r="1148" spans="1:9" s="3" customFormat="1" ht="38.25">
      <c r="A1148" s="232" t="s">
        <v>722</v>
      </c>
      <c r="B1148" s="233" t="s">
        <v>5</v>
      </c>
      <c r="C1148" s="234" t="s">
        <v>8</v>
      </c>
      <c r="D1148" s="234" t="s">
        <v>65</v>
      </c>
      <c r="E1148" s="234" t="s">
        <v>300</v>
      </c>
      <c r="F1148" s="234" t="s">
        <v>58</v>
      </c>
      <c r="G1148" s="235"/>
      <c r="H1148" s="222"/>
      <c r="I1148" s="223"/>
    </row>
    <row r="1149" spans="1:9" s="3" customFormat="1" ht="25.5">
      <c r="A1149" s="244" t="s">
        <v>155</v>
      </c>
      <c r="B1149" s="233" t="s">
        <v>5</v>
      </c>
      <c r="C1149" s="234" t="s">
        <v>8</v>
      </c>
      <c r="D1149" s="234" t="s">
        <v>65</v>
      </c>
      <c r="E1149" s="234" t="s">
        <v>495</v>
      </c>
      <c r="F1149" s="234" t="s">
        <v>58</v>
      </c>
      <c r="G1149" s="235"/>
      <c r="H1149" s="222"/>
      <c r="I1149" s="223"/>
    </row>
    <row r="1150" spans="1:9" s="3" customFormat="1" ht="25.5">
      <c r="A1150" s="244" t="s">
        <v>496</v>
      </c>
      <c r="B1150" s="233" t="s">
        <v>5</v>
      </c>
      <c r="C1150" s="234" t="s">
        <v>8</v>
      </c>
      <c r="D1150" s="234" t="s">
        <v>65</v>
      </c>
      <c r="E1150" s="234" t="s">
        <v>497</v>
      </c>
      <c r="F1150" s="234" t="s">
        <v>58</v>
      </c>
      <c r="G1150" s="235"/>
      <c r="H1150" s="222"/>
      <c r="I1150" s="223"/>
    </row>
    <row r="1151" spans="1:9" s="3" customFormat="1">
      <c r="A1151" s="232" t="s">
        <v>148</v>
      </c>
      <c r="B1151" s="233" t="s">
        <v>5</v>
      </c>
      <c r="C1151" s="234" t="s">
        <v>8</v>
      </c>
      <c r="D1151" s="234" t="s">
        <v>65</v>
      </c>
      <c r="E1151" s="234" t="s">
        <v>498</v>
      </c>
      <c r="F1151" s="234" t="s">
        <v>58</v>
      </c>
      <c r="G1151" s="235"/>
      <c r="H1151" s="222"/>
      <c r="I1151" s="223"/>
    </row>
    <row r="1152" spans="1:9" s="3" customFormat="1" ht="25.5">
      <c r="A1152" s="232" t="s">
        <v>108</v>
      </c>
      <c r="B1152" s="233" t="s">
        <v>5</v>
      </c>
      <c r="C1152" s="234" t="s">
        <v>8</v>
      </c>
      <c r="D1152" s="234" t="s">
        <v>65</v>
      </c>
      <c r="E1152" s="234" t="s">
        <v>498</v>
      </c>
      <c r="F1152" s="234" t="s">
        <v>116</v>
      </c>
      <c r="G1152" s="235"/>
      <c r="H1152" s="222"/>
      <c r="I1152" s="223"/>
    </row>
    <row r="1153" spans="1:9" s="3" customFormat="1">
      <c r="A1153" s="232"/>
      <c r="B1153" s="233" t="s">
        <v>5</v>
      </c>
      <c r="C1153" s="234" t="s">
        <v>8</v>
      </c>
      <c r="D1153" s="234" t="s">
        <v>65</v>
      </c>
      <c r="E1153" s="234" t="s">
        <v>498</v>
      </c>
      <c r="F1153" s="234" t="s">
        <v>1070</v>
      </c>
      <c r="G1153" s="235"/>
      <c r="H1153" s="222"/>
      <c r="I1153" s="223"/>
    </row>
    <row r="1154" spans="1:9" s="3" customFormat="1" ht="25.5">
      <c r="A1154" s="236" t="s">
        <v>973</v>
      </c>
      <c r="B1154" s="233" t="s">
        <v>5</v>
      </c>
      <c r="C1154" s="234" t="s">
        <v>8</v>
      </c>
      <c r="D1154" s="234" t="s">
        <v>65</v>
      </c>
      <c r="E1154" s="234" t="s">
        <v>498</v>
      </c>
      <c r="F1154" s="234" t="s">
        <v>1043</v>
      </c>
      <c r="G1154" s="235"/>
      <c r="H1154" s="222"/>
      <c r="I1154" s="223"/>
    </row>
    <row r="1155" spans="1:9" s="3" customFormat="1">
      <c r="A1155" s="228" t="s">
        <v>1</v>
      </c>
      <c r="B1155" s="229" t="s">
        <v>5</v>
      </c>
      <c r="C1155" s="230" t="s">
        <v>8</v>
      </c>
      <c r="D1155" s="230" t="s">
        <v>53</v>
      </c>
      <c r="E1155" s="230" t="s">
        <v>196</v>
      </c>
      <c r="F1155" s="230" t="s">
        <v>58</v>
      </c>
      <c r="G1155" s="231"/>
      <c r="H1155" s="222"/>
      <c r="I1155" s="223"/>
    </row>
    <row r="1156" spans="1:9" s="3" customFormat="1" ht="38.25">
      <c r="A1156" s="236" t="s">
        <v>722</v>
      </c>
      <c r="B1156" s="241" t="s">
        <v>5</v>
      </c>
      <c r="C1156" s="242" t="s">
        <v>8</v>
      </c>
      <c r="D1156" s="242" t="s">
        <v>53</v>
      </c>
      <c r="E1156" s="242" t="s">
        <v>300</v>
      </c>
      <c r="F1156" s="242" t="s">
        <v>58</v>
      </c>
      <c r="G1156" s="243"/>
      <c r="H1156" s="222"/>
      <c r="I1156" s="223"/>
    </row>
    <row r="1157" spans="1:9" s="3" customFormat="1">
      <c r="A1157" s="252" t="s">
        <v>142</v>
      </c>
      <c r="B1157" s="241" t="s">
        <v>5</v>
      </c>
      <c r="C1157" s="242" t="s">
        <v>8</v>
      </c>
      <c r="D1157" s="242" t="s">
        <v>53</v>
      </c>
      <c r="E1157" s="242" t="s">
        <v>453</v>
      </c>
      <c r="F1157" s="242" t="s">
        <v>58</v>
      </c>
      <c r="G1157" s="243"/>
      <c r="H1157" s="222"/>
      <c r="I1157" s="223"/>
    </row>
    <row r="1158" spans="1:9" s="3" customFormat="1">
      <c r="A1158" s="252" t="s">
        <v>454</v>
      </c>
      <c r="B1158" s="241" t="s">
        <v>5</v>
      </c>
      <c r="C1158" s="242" t="s">
        <v>8</v>
      </c>
      <c r="D1158" s="242" t="s">
        <v>53</v>
      </c>
      <c r="E1158" s="234" t="s">
        <v>645</v>
      </c>
      <c r="F1158" s="242" t="s">
        <v>58</v>
      </c>
      <c r="G1158" s="243"/>
      <c r="H1158" s="222"/>
      <c r="I1158" s="223"/>
    </row>
    <row r="1159" spans="1:9" s="3" customFormat="1">
      <c r="A1159" s="232" t="s">
        <v>158</v>
      </c>
      <c r="B1159" s="241" t="s">
        <v>5</v>
      </c>
      <c r="C1159" s="242" t="s">
        <v>8</v>
      </c>
      <c r="D1159" s="242" t="s">
        <v>53</v>
      </c>
      <c r="E1159" s="242" t="s">
        <v>646</v>
      </c>
      <c r="F1159" s="242" t="s">
        <v>58</v>
      </c>
      <c r="G1159" s="243"/>
      <c r="H1159" s="222"/>
      <c r="I1159" s="223"/>
    </row>
    <row r="1160" spans="1:9" s="3" customFormat="1" ht="25.5">
      <c r="A1160" s="232" t="s">
        <v>108</v>
      </c>
      <c r="B1160" s="241" t="s">
        <v>5</v>
      </c>
      <c r="C1160" s="242" t="s">
        <v>8</v>
      </c>
      <c r="D1160" s="242" t="s">
        <v>53</v>
      </c>
      <c r="E1160" s="242" t="s">
        <v>646</v>
      </c>
      <c r="F1160" s="242" t="s">
        <v>116</v>
      </c>
      <c r="G1160" s="243"/>
      <c r="H1160" s="222"/>
      <c r="I1160" s="223"/>
    </row>
    <row r="1161" spans="1:9" s="4" customFormat="1" ht="25.5">
      <c r="A1161" s="236" t="s">
        <v>973</v>
      </c>
      <c r="B1161" s="241" t="s">
        <v>5</v>
      </c>
      <c r="C1161" s="242" t="s">
        <v>8</v>
      </c>
      <c r="D1161" s="242" t="s">
        <v>53</v>
      </c>
      <c r="E1161" s="242" t="s">
        <v>646</v>
      </c>
      <c r="F1161" s="242" t="s">
        <v>1043</v>
      </c>
      <c r="G1161" s="235"/>
      <c r="H1161" s="222"/>
      <c r="I1161" s="223"/>
    </row>
    <row r="1162" spans="1:9" s="3" customFormat="1">
      <c r="A1162" s="236" t="s">
        <v>890</v>
      </c>
      <c r="B1162" s="241" t="s">
        <v>5</v>
      </c>
      <c r="C1162" s="242" t="s">
        <v>8</v>
      </c>
      <c r="D1162" s="242" t="s">
        <v>53</v>
      </c>
      <c r="E1162" s="242" t="s">
        <v>910</v>
      </c>
      <c r="F1162" s="242" t="s">
        <v>58</v>
      </c>
      <c r="G1162" s="243"/>
      <c r="H1162" s="222"/>
      <c r="I1162" s="223"/>
    </row>
    <row r="1163" spans="1:9" s="3" customFormat="1" ht="25.5">
      <c r="A1163" s="232" t="s">
        <v>108</v>
      </c>
      <c r="B1163" s="241" t="s">
        <v>5</v>
      </c>
      <c r="C1163" s="242" t="s">
        <v>8</v>
      </c>
      <c r="D1163" s="242" t="s">
        <v>53</v>
      </c>
      <c r="E1163" s="242" t="s">
        <v>910</v>
      </c>
      <c r="F1163" s="242" t="s">
        <v>116</v>
      </c>
      <c r="G1163" s="243"/>
      <c r="H1163" s="222"/>
      <c r="I1163" s="223"/>
    </row>
    <row r="1164" spans="1:9" s="4" customFormat="1" ht="25.5">
      <c r="A1164" s="236" t="s">
        <v>973</v>
      </c>
      <c r="B1164" s="241" t="s">
        <v>5</v>
      </c>
      <c r="C1164" s="242" t="s">
        <v>8</v>
      </c>
      <c r="D1164" s="242" t="s">
        <v>53</v>
      </c>
      <c r="E1164" s="242" t="s">
        <v>910</v>
      </c>
      <c r="F1164" s="242" t="s">
        <v>1043</v>
      </c>
      <c r="G1164" s="235"/>
      <c r="H1164" s="222"/>
      <c r="I1164" s="223"/>
    </row>
    <row r="1165" spans="1:9" s="3" customFormat="1" ht="38.25">
      <c r="A1165" s="236" t="s">
        <v>891</v>
      </c>
      <c r="B1165" s="241" t="s">
        <v>5</v>
      </c>
      <c r="C1165" s="242" t="s">
        <v>8</v>
      </c>
      <c r="D1165" s="242" t="s">
        <v>53</v>
      </c>
      <c r="E1165" s="242" t="s">
        <v>911</v>
      </c>
      <c r="F1165" s="242" t="s">
        <v>58</v>
      </c>
      <c r="G1165" s="243"/>
      <c r="H1165" s="222"/>
      <c r="I1165" s="223"/>
    </row>
    <row r="1166" spans="1:9" s="3" customFormat="1" ht="25.5">
      <c r="A1166" s="232" t="s">
        <v>108</v>
      </c>
      <c r="B1166" s="241" t="s">
        <v>5</v>
      </c>
      <c r="C1166" s="242" t="s">
        <v>8</v>
      </c>
      <c r="D1166" s="242" t="s">
        <v>53</v>
      </c>
      <c r="E1166" s="242" t="s">
        <v>911</v>
      </c>
      <c r="F1166" s="242" t="s">
        <v>116</v>
      </c>
      <c r="G1166" s="243"/>
      <c r="H1166" s="222"/>
      <c r="I1166" s="223"/>
    </row>
    <row r="1167" spans="1:9" s="4" customFormat="1" ht="25.5">
      <c r="A1167" s="236" t="s">
        <v>973</v>
      </c>
      <c r="B1167" s="241" t="s">
        <v>5</v>
      </c>
      <c r="C1167" s="242" t="s">
        <v>8</v>
      </c>
      <c r="D1167" s="242" t="s">
        <v>53</v>
      </c>
      <c r="E1167" s="242" t="s">
        <v>911</v>
      </c>
      <c r="F1167" s="242" t="s">
        <v>1043</v>
      </c>
      <c r="G1167" s="235"/>
      <c r="H1167" s="222"/>
      <c r="I1167" s="223"/>
    </row>
    <row r="1168" spans="1:9" s="3" customFormat="1">
      <c r="A1168" s="224" t="s">
        <v>499</v>
      </c>
      <c r="B1168" s="225" t="s">
        <v>5</v>
      </c>
      <c r="C1168" s="226" t="s">
        <v>50</v>
      </c>
      <c r="D1168" s="226" t="s">
        <v>51</v>
      </c>
      <c r="E1168" s="226" t="s">
        <v>196</v>
      </c>
      <c r="F1168" s="226" t="s">
        <v>58</v>
      </c>
      <c r="G1168" s="227"/>
      <c r="H1168" s="222"/>
      <c r="I1168" s="223"/>
    </row>
    <row r="1169" spans="1:9" s="3" customFormat="1">
      <c r="A1169" s="228" t="s">
        <v>27</v>
      </c>
      <c r="B1169" s="229" t="s">
        <v>5</v>
      </c>
      <c r="C1169" s="230" t="s">
        <v>50</v>
      </c>
      <c r="D1169" s="230" t="s">
        <v>65</v>
      </c>
      <c r="E1169" s="230" t="s">
        <v>196</v>
      </c>
      <c r="F1169" s="230" t="s">
        <v>58</v>
      </c>
      <c r="G1169" s="231"/>
      <c r="H1169" s="222"/>
      <c r="I1169" s="223"/>
    </row>
    <row r="1170" spans="1:9" s="3" customFormat="1">
      <c r="A1170" s="232" t="s">
        <v>739</v>
      </c>
      <c r="B1170" s="241" t="s">
        <v>5</v>
      </c>
      <c r="C1170" s="242" t="s">
        <v>50</v>
      </c>
      <c r="D1170" s="242" t="s">
        <v>65</v>
      </c>
      <c r="E1170" s="242" t="s">
        <v>277</v>
      </c>
      <c r="F1170" s="242" t="s">
        <v>58</v>
      </c>
      <c r="G1170" s="243"/>
      <c r="H1170" s="222"/>
      <c r="I1170" s="223"/>
    </row>
    <row r="1171" spans="1:9" s="3" customFormat="1" ht="38.25">
      <c r="A1171" s="252" t="s">
        <v>191</v>
      </c>
      <c r="B1171" s="241" t="s">
        <v>5</v>
      </c>
      <c r="C1171" s="242" t="s">
        <v>50</v>
      </c>
      <c r="D1171" s="242" t="s">
        <v>65</v>
      </c>
      <c r="E1171" s="242" t="s">
        <v>278</v>
      </c>
      <c r="F1171" s="242" t="s">
        <v>58</v>
      </c>
      <c r="G1171" s="243"/>
      <c r="H1171" s="222"/>
      <c r="I1171" s="223"/>
    </row>
    <row r="1172" spans="1:9" s="3" customFormat="1" ht="51">
      <c r="A1172" s="252" t="s">
        <v>605</v>
      </c>
      <c r="B1172" s="241" t="s">
        <v>5</v>
      </c>
      <c r="C1172" s="242" t="s">
        <v>50</v>
      </c>
      <c r="D1172" s="242" t="s">
        <v>65</v>
      </c>
      <c r="E1172" s="242" t="s">
        <v>279</v>
      </c>
      <c r="F1172" s="242" t="s">
        <v>58</v>
      </c>
      <c r="G1172" s="243"/>
      <c r="H1172" s="222"/>
      <c r="I1172" s="223"/>
    </row>
    <row r="1173" spans="1:9" s="3" customFormat="1">
      <c r="A1173" s="232" t="s">
        <v>161</v>
      </c>
      <c r="B1173" s="241" t="s">
        <v>5</v>
      </c>
      <c r="C1173" s="242" t="s">
        <v>50</v>
      </c>
      <c r="D1173" s="242" t="s">
        <v>65</v>
      </c>
      <c r="E1173" s="242" t="s">
        <v>320</v>
      </c>
      <c r="F1173" s="242" t="s">
        <v>58</v>
      </c>
      <c r="G1173" s="243"/>
      <c r="H1173" s="222"/>
      <c r="I1173" s="223"/>
    </row>
    <row r="1174" spans="1:9" s="3" customFormat="1" ht="25.5">
      <c r="A1174" s="232" t="s">
        <v>108</v>
      </c>
      <c r="B1174" s="241" t="s">
        <v>5</v>
      </c>
      <c r="C1174" s="242" t="s">
        <v>50</v>
      </c>
      <c r="D1174" s="242" t="s">
        <v>65</v>
      </c>
      <c r="E1174" s="242" t="s">
        <v>320</v>
      </c>
      <c r="F1174" s="242" t="s">
        <v>116</v>
      </c>
      <c r="G1174" s="243"/>
      <c r="H1174" s="222"/>
      <c r="I1174" s="223"/>
    </row>
    <row r="1175" spans="1:9" s="4" customFormat="1" ht="25.5">
      <c r="A1175" s="236" t="s">
        <v>973</v>
      </c>
      <c r="B1175" s="241" t="s">
        <v>5</v>
      </c>
      <c r="C1175" s="242" t="s">
        <v>50</v>
      </c>
      <c r="D1175" s="242" t="s">
        <v>65</v>
      </c>
      <c r="E1175" s="242" t="s">
        <v>320</v>
      </c>
      <c r="F1175" s="242" t="s">
        <v>1043</v>
      </c>
      <c r="G1175" s="235"/>
      <c r="H1175" s="222"/>
      <c r="I1175" s="223"/>
    </row>
    <row r="1176" spans="1:9" s="3" customFormat="1" ht="25.5">
      <c r="A1176" s="236" t="s">
        <v>892</v>
      </c>
      <c r="B1176" s="241" t="s">
        <v>5</v>
      </c>
      <c r="C1176" s="242" t="s">
        <v>50</v>
      </c>
      <c r="D1176" s="242" t="s">
        <v>65</v>
      </c>
      <c r="E1176" s="242" t="s">
        <v>500</v>
      </c>
      <c r="F1176" s="242" t="s">
        <v>58</v>
      </c>
      <c r="G1176" s="243"/>
      <c r="H1176" s="222"/>
      <c r="I1176" s="223"/>
    </row>
    <row r="1177" spans="1:9" s="4" customFormat="1" ht="25.5">
      <c r="A1177" s="232" t="s">
        <v>108</v>
      </c>
      <c r="B1177" s="241" t="s">
        <v>5</v>
      </c>
      <c r="C1177" s="242" t="s">
        <v>50</v>
      </c>
      <c r="D1177" s="242" t="s">
        <v>65</v>
      </c>
      <c r="E1177" s="242" t="s">
        <v>500</v>
      </c>
      <c r="F1177" s="242" t="s">
        <v>116</v>
      </c>
      <c r="G1177" s="243"/>
      <c r="H1177" s="222"/>
      <c r="I1177" s="223"/>
    </row>
    <row r="1178" spans="1:9" s="94" customFormat="1" ht="25.5">
      <c r="A1178" s="236" t="s">
        <v>973</v>
      </c>
      <c r="B1178" s="241" t="s">
        <v>5</v>
      </c>
      <c r="C1178" s="242" t="s">
        <v>50</v>
      </c>
      <c r="D1178" s="242" t="s">
        <v>65</v>
      </c>
      <c r="E1178" s="242" t="s">
        <v>500</v>
      </c>
      <c r="F1178" s="242" t="s">
        <v>1043</v>
      </c>
      <c r="G1178" s="235"/>
      <c r="H1178" s="222"/>
      <c r="I1178" s="223"/>
    </row>
    <row r="1179" spans="1:9" s="94" customFormat="1">
      <c r="A1179" s="238"/>
      <c r="B1179" s="276"/>
      <c r="C1179" s="277"/>
      <c r="D1179" s="277"/>
      <c r="E1179" s="277"/>
      <c r="F1179" s="277"/>
      <c r="G1179" s="235"/>
      <c r="H1179" s="222"/>
      <c r="I1179" s="223"/>
    </row>
    <row r="1180" spans="1:9" s="3" customFormat="1">
      <c r="A1180" s="219" t="s">
        <v>11</v>
      </c>
      <c r="B1180" s="220" t="s">
        <v>12</v>
      </c>
      <c r="C1180" s="221" t="s">
        <v>51</v>
      </c>
      <c r="D1180" s="221" t="s">
        <v>51</v>
      </c>
      <c r="E1180" s="221" t="s">
        <v>196</v>
      </c>
      <c r="F1180" s="221" t="s">
        <v>58</v>
      </c>
      <c r="G1180" s="222"/>
      <c r="H1180" s="222"/>
      <c r="I1180" s="223"/>
    </row>
    <row r="1181" spans="1:9" s="3" customFormat="1">
      <c r="A1181" s="224" t="s">
        <v>64</v>
      </c>
      <c r="B1181" s="225" t="s">
        <v>12</v>
      </c>
      <c r="C1181" s="226" t="s">
        <v>65</v>
      </c>
      <c r="D1181" s="226" t="s">
        <v>51</v>
      </c>
      <c r="E1181" s="226" t="s">
        <v>196</v>
      </c>
      <c r="F1181" s="226" t="s">
        <v>58</v>
      </c>
      <c r="G1181" s="227"/>
      <c r="H1181" s="222"/>
      <c r="I1181" s="223"/>
    </row>
    <row r="1182" spans="1:9" s="3" customFormat="1" ht="38.25">
      <c r="A1182" s="228" t="s">
        <v>31</v>
      </c>
      <c r="B1182" s="229" t="s">
        <v>12</v>
      </c>
      <c r="C1182" s="230" t="s">
        <v>65</v>
      </c>
      <c r="D1182" s="230" t="s">
        <v>37</v>
      </c>
      <c r="E1182" s="230" t="s">
        <v>196</v>
      </c>
      <c r="F1182" s="230" t="s">
        <v>58</v>
      </c>
      <c r="G1182" s="231"/>
      <c r="H1182" s="222"/>
      <c r="I1182" s="223"/>
    </row>
    <row r="1183" spans="1:9" s="3" customFormat="1">
      <c r="A1183" s="232" t="s">
        <v>149</v>
      </c>
      <c r="B1183" s="233" t="s">
        <v>12</v>
      </c>
      <c r="C1183" s="234" t="s">
        <v>65</v>
      </c>
      <c r="D1183" s="234" t="s">
        <v>37</v>
      </c>
      <c r="E1183" s="234" t="s">
        <v>501</v>
      </c>
      <c r="F1183" s="234" t="s">
        <v>58</v>
      </c>
      <c r="G1183" s="235"/>
      <c r="H1183" s="222"/>
      <c r="I1183" s="223"/>
    </row>
    <row r="1184" spans="1:9" s="3" customFormat="1" ht="25.5">
      <c r="A1184" s="232" t="s">
        <v>150</v>
      </c>
      <c r="B1184" s="233" t="s">
        <v>12</v>
      </c>
      <c r="C1184" s="234" t="s">
        <v>65</v>
      </c>
      <c r="D1184" s="234" t="s">
        <v>37</v>
      </c>
      <c r="E1184" s="234" t="s">
        <v>502</v>
      </c>
      <c r="F1184" s="234" t="s">
        <v>58</v>
      </c>
      <c r="G1184" s="235"/>
      <c r="H1184" s="222"/>
      <c r="I1184" s="223"/>
    </row>
    <row r="1185" spans="1:9" s="3" customFormat="1" ht="25.5">
      <c r="A1185" s="232" t="s">
        <v>114</v>
      </c>
      <c r="B1185" s="233" t="s">
        <v>12</v>
      </c>
      <c r="C1185" s="234" t="s">
        <v>65</v>
      </c>
      <c r="D1185" s="234" t="s">
        <v>37</v>
      </c>
      <c r="E1185" s="234" t="s">
        <v>503</v>
      </c>
      <c r="F1185" s="234" t="s">
        <v>58</v>
      </c>
      <c r="G1185" s="235"/>
      <c r="H1185" s="222"/>
      <c r="I1185" s="223"/>
    </row>
    <row r="1186" spans="1:9" s="3" customFormat="1">
      <c r="A1186" s="237" t="s">
        <v>107</v>
      </c>
      <c r="B1186" s="233" t="s">
        <v>12</v>
      </c>
      <c r="C1186" s="234" t="s">
        <v>65</v>
      </c>
      <c r="D1186" s="234" t="s">
        <v>37</v>
      </c>
      <c r="E1186" s="234" t="s">
        <v>503</v>
      </c>
      <c r="F1186" s="234" t="s">
        <v>115</v>
      </c>
      <c r="G1186" s="235"/>
      <c r="H1186" s="222"/>
      <c r="I1186" s="223"/>
    </row>
    <row r="1187" spans="1:9" s="71" customFormat="1" ht="25.5">
      <c r="A1187" s="236" t="s">
        <v>937</v>
      </c>
      <c r="B1187" s="233" t="s">
        <v>12</v>
      </c>
      <c r="C1187" s="234" t="s">
        <v>65</v>
      </c>
      <c r="D1187" s="234" t="s">
        <v>37</v>
      </c>
      <c r="E1187" s="234" t="s">
        <v>503</v>
      </c>
      <c r="F1187" s="234" t="s">
        <v>1059</v>
      </c>
      <c r="G1187" s="235"/>
      <c r="H1187" s="222"/>
      <c r="I1187" s="223"/>
    </row>
    <row r="1188" spans="1:9" s="71" customFormat="1" ht="38.25">
      <c r="A1188" s="236" t="s">
        <v>939</v>
      </c>
      <c r="B1188" s="233" t="s">
        <v>12</v>
      </c>
      <c r="C1188" s="234" t="s">
        <v>65</v>
      </c>
      <c r="D1188" s="234" t="s">
        <v>37</v>
      </c>
      <c r="E1188" s="234" t="s">
        <v>503</v>
      </c>
      <c r="F1188" s="234" t="s">
        <v>1060</v>
      </c>
      <c r="G1188" s="235"/>
      <c r="H1188" s="222"/>
      <c r="I1188" s="223"/>
    </row>
    <row r="1189" spans="1:9" s="3" customFormat="1" ht="25.5">
      <c r="A1189" s="232" t="s">
        <v>108</v>
      </c>
      <c r="B1189" s="233" t="s">
        <v>12</v>
      </c>
      <c r="C1189" s="234" t="s">
        <v>65</v>
      </c>
      <c r="D1189" s="234" t="s">
        <v>37</v>
      </c>
      <c r="E1189" s="234" t="s">
        <v>503</v>
      </c>
      <c r="F1189" s="234" t="s">
        <v>116</v>
      </c>
      <c r="G1189" s="235"/>
      <c r="H1189" s="222"/>
      <c r="I1189" s="223"/>
    </row>
    <row r="1190" spans="1:9" s="4" customFormat="1" ht="25.5">
      <c r="A1190" s="236" t="s">
        <v>973</v>
      </c>
      <c r="B1190" s="233" t="s">
        <v>12</v>
      </c>
      <c r="C1190" s="234" t="s">
        <v>65</v>
      </c>
      <c r="D1190" s="234" t="s">
        <v>37</v>
      </c>
      <c r="E1190" s="234" t="s">
        <v>503</v>
      </c>
      <c r="F1190" s="234" t="s">
        <v>1043</v>
      </c>
      <c r="G1190" s="235"/>
      <c r="H1190" s="222"/>
      <c r="I1190" s="223"/>
    </row>
    <row r="1191" spans="1:9" s="3" customFormat="1">
      <c r="A1191" s="232" t="s">
        <v>97</v>
      </c>
      <c r="B1191" s="233" t="s">
        <v>12</v>
      </c>
      <c r="C1191" s="234" t="s">
        <v>65</v>
      </c>
      <c r="D1191" s="234" t="s">
        <v>37</v>
      </c>
      <c r="E1191" s="234" t="s">
        <v>503</v>
      </c>
      <c r="F1191" s="234" t="s">
        <v>118</v>
      </c>
      <c r="G1191" s="235"/>
      <c r="H1191" s="222"/>
      <c r="I1191" s="223"/>
    </row>
    <row r="1192" spans="1:9" s="3" customFormat="1">
      <c r="A1192" s="232" t="s">
        <v>1036</v>
      </c>
      <c r="B1192" s="233" t="s">
        <v>12</v>
      </c>
      <c r="C1192" s="234" t="s">
        <v>65</v>
      </c>
      <c r="D1192" s="234" t="s">
        <v>37</v>
      </c>
      <c r="E1192" s="234" t="s">
        <v>503</v>
      </c>
      <c r="F1192" s="234" t="s">
        <v>1061</v>
      </c>
      <c r="G1192" s="235"/>
      <c r="H1192" s="222"/>
      <c r="I1192" s="223"/>
    </row>
    <row r="1193" spans="1:9" s="3" customFormat="1">
      <c r="A1193" s="232" t="s">
        <v>1037</v>
      </c>
      <c r="B1193" s="233" t="s">
        <v>12</v>
      </c>
      <c r="C1193" s="234" t="s">
        <v>65</v>
      </c>
      <c r="D1193" s="234" t="s">
        <v>37</v>
      </c>
      <c r="E1193" s="234" t="s">
        <v>503</v>
      </c>
      <c r="F1193" s="234" t="s">
        <v>1062</v>
      </c>
      <c r="G1193" s="235"/>
      <c r="H1193" s="222"/>
      <c r="I1193" s="223"/>
    </row>
    <row r="1194" spans="1:9" s="3" customFormat="1" ht="25.5">
      <c r="A1194" s="237" t="s">
        <v>504</v>
      </c>
      <c r="B1194" s="233" t="s">
        <v>12</v>
      </c>
      <c r="C1194" s="234" t="s">
        <v>65</v>
      </c>
      <c r="D1194" s="234" t="s">
        <v>37</v>
      </c>
      <c r="E1194" s="234" t="s">
        <v>505</v>
      </c>
      <c r="F1194" s="234" t="s">
        <v>58</v>
      </c>
      <c r="G1194" s="235"/>
      <c r="H1194" s="222"/>
      <c r="I1194" s="223"/>
    </row>
    <row r="1195" spans="1:9" s="3" customFormat="1">
      <c r="A1195" s="237" t="s">
        <v>107</v>
      </c>
      <c r="B1195" s="233" t="s">
        <v>12</v>
      </c>
      <c r="C1195" s="234" t="s">
        <v>65</v>
      </c>
      <c r="D1195" s="234" t="s">
        <v>37</v>
      </c>
      <c r="E1195" s="234" t="s">
        <v>505</v>
      </c>
      <c r="F1195" s="234" t="s">
        <v>115</v>
      </c>
      <c r="G1195" s="235"/>
      <c r="H1195" s="222"/>
      <c r="I1195" s="223"/>
    </row>
    <row r="1196" spans="1:9" s="94" customFormat="1">
      <c r="A1196" s="236" t="s">
        <v>936</v>
      </c>
      <c r="B1196" s="233" t="s">
        <v>12</v>
      </c>
      <c r="C1196" s="234" t="s">
        <v>65</v>
      </c>
      <c r="D1196" s="234" t="s">
        <v>37</v>
      </c>
      <c r="E1196" s="234" t="s">
        <v>505</v>
      </c>
      <c r="F1196" s="234" t="s">
        <v>1063</v>
      </c>
      <c r="G1196" s="235"/>
      <c r="H1196" s="222"/>
      <c r="I1196" s="223"/>
    </row>
    <row r="1197" spans="1:9" s="94" customFormat="1" ht="38.25">
      <c r="A1197" s="236" t="s">
        <v>939</v>
      </c>
      <c r="B1197" s="233" t="s">
        <v>12</v>
      </c>
      <c r="C1197" s="234" t="s">
        <v>65</v>
      </c>
      <c r="D1197" s="234" t="s">
        <v>37</v>
      </c>
      <c r="E1197" s="234" t="s">
        <v>505</v>
      </c>
      <c r="F1197" s="234" t="s">
        <v>1060</v>
      </c>
      <c r="G1197" s="235"/>
      <c r="H1197" s="222"/>
      <c r="I1197" s="223"/>
    </row>
    <row r="1198" spans="1:9" s="3" customFormat="1" ht="38.25">
      <c r="A1198" s="267" t="s">
        <v>598</v>
      </c>
      <c r="B1198" s="233" t="s">
        <v>12</v>
      </c>
      <c r="C1198" s="234" t="s">
        <v>65</v>
      </c>
      <c r="D1198" s="234" t="s">
        <v>37</v>
      </c>
      <c r="E1198" s="234" t="s">
        <v>506</v>
      </c>
      <c r="F1198" s="234" t="s">
        <v>58</v>
      </c>
      <c r="G1198" s="235"/>
      <c r="H1198" s="222"/>
      <c r="I1198" s="223"/>
    </row>
    <row r="1199" spans="1:9" s="3" customFormat="1">
      <c r="A1199" s="237" t="s">
        <v>107</v>
      </c>
      <c r="B1199" s="233" t="s">
        <v>12</v>
      </c>
      <c r="C1199" s="234" t="s">
        <v>65</v>
      </c>
      <c r="D1199" s="234" t="s">
        <v>37</v>
      </c>
      <c r="E1199" s="234" t="s">
        <v>506</v>
      </c>
      <c r="F1199" s="234" t="s">
        <v>115</v>
      </c>
      <c r="G1199" s="235"/>
      <c r="H1199" s="222"/>
      <c r="I1199" s="223"/>
    </row>
    <row r="1200" spans="1:9" s="4" customFormat="1">
      <c r="A1200" s="232" t="s">
        <v>936</v>
      </c>
      <c r="B1200" s="233" t="s">
        <v>12</v>
      </c>
      <c r="C1200" s="234" t="s">
        <v>65</v>
      </c>
      <c r="D1200" s="234" t="s">
        <v>37</v>
      </c>
      <c r="E1200" s="234" t="s">
        <v>506</v>
      </c>
      <c r="F1200" s="234" t="s">
        <v>1063</v>
      </c>
      <c r="G1200" s="235"/>
      <c r="H1200" s="222"/>
      <c r="I1200" s="223"/>
    </row>
    <row r="1201" spans="1:9" s="4" customFormat="1" ht="25.5">
      <c r="A1201" s="236" t="s">
        <v>937</v>
      </c>
      <c r="B1201" s="233" t="s">
        <v>12</v>
      </c>
      <c r="C1201" s="234" t="s">
        <v>65</v>
      </c>
      <c r="D1201" s="234" t="s">
        <v>37</v>
      </c>
      <c r="E1201" s="234" t="s">
        <v>506</v>
      </c>
      <c r="F1201" s="234" t="s">
        <v>1059</v>
      </c>
      <c r="G1201" s="235"/>
      <c r="H1201" s="222"/>
      <c r="I1201" s="223"/>
    </row>
    <row r="1202" spans="1:9" s="4" customFormat="1" ht="38.25">
      <c r="A1202" s="232" t="s">
        <v>939</v>
      </c>
      <c r="B1202" s="233" t="s">
        <v>12</v>
      </c>
      <c r="C1202" s="234" t="s">
        <v>65</v>
      </c>
      <c r="D1202" s="234" t="s">
        <v>37</v>
      </c>
      <c r="E1202" s="234" t="s">
        <v>506</v>
      </c>
      <c r="F1202" s="234" t="s">
        <v>1060</v>
      </c>
      <c r="G1202" s="235"/>
      <c r="H1202" s="222"/>
      <c r="I1202" s="223"/>
    </row>
    <row r="1203" spans="1:9" s="3" customFormat="1" ht="25.5">
      <c r="A1203" s="232" t="s">
        <v>108</v>
      </c>
      <c r="B1203" s="233" t="s">
        <v>12</v>
      </c>
      <c r="C1203" s="234" t="s">
        <v>65</v>
      </c>
      <c r="D1203" s="234" t="s">
        <v>37</v>
      </c>
      <c r="E1203" s="234" t="s">
        <v>506</v>
      </c>
      <c r="F1203" s="234" t="s">
        <v>116</v>
      </c>
      <c r="G1203" s="235"/>
      <c r="H1203" s="222"/>
      <c r="I1203" s="223"/>
    </row>
    <row r="1204" spans="1:9" s="4" customFormat="1" ht="25.5">
      <c r="A1204" s="236" t="s">
        <v>973</v>
      </c>
      <c r="B1204" s="233" t="s">
        <v>12</v>
      </c>
      <c r="C1204" s="234" t="s">
        <v>65</v>
      </c>
      <c r="D1204" s="234" t="s">
        <v>37</v>
      </c>
      <c r="E1204" s="234" t="s">
        <v>506</v>
      </c>
      <c r="F1204" s="234" t="s">
        <v>1043</v>
      </c>
      <c r="G1204" s="235"/>
      <c r="H1204" s="222"/>
      <c r="I1204" s="223"/>
    </row>
    <row r="1205" spans="1:9" s="3" customFormat="1" ht="38.25">
      <c r="A1205" s="237" t="s">
        <v>870</v>
      </c>
      <c r="B1205" s="233" t="str">
        <f t="shared" ref="B1205:D1207" si="0">B1194</f>
        <v>618</v>
      </c>
      <c r="C1205" s="234" t="str">
        <f t="shared" si="0"/>
        <v>01</v>
      </c>
      <c r="D1205" s="234" t="str">
        <f t="shared" si="0"/>
        <v>04</v>
      </c>
      <c r="E1205" s="234" t="s">
        <v>507</v>
      </c>
      <c r="F1205" s="234" t="s">
        <v>58</v>
      </c>
      <c r="G1205" s="235"/>
      <c r="H1205" s="222"/>
      <c r="I1205" s="223"/>
    </row>
    <row r="1206" spans="1:9" s="3" customFormat="1" ht="25.5">
      <c r="A1206" s="232" t="s">
        <v>108</v>
      </c>
      <c r="B1206" s="233" t="str">
        <f t="shared" si="0"/>
        <v>618</v>
      </c>
      <c r="C1206" s="234" t="str">
        <f t="shared" si="0"/>
        <v>01</v>
      </c>
      <c r="D1206" s="234" t="str">
        <f t="shared" si="0"/>
        <v>04</v>
      </c>
      <c r="E1206" s="234" t="s">
        <v>507</v>
      </c>
      <c r="F1206" s="234" t="s">
        <v>116</v>
      </c>
      <c r="G1206" s="235"/>
      <c r="H1206" s="222"/>
      <c r="I1206" s="223"/>
    </row>
    <row r="1207" spans="1:9" s="4" customFormat="1" ht="25.5">
      <c r="A1207" s="236" t="s">
        <v>973</v>
      </c>
      <c r="B1207" s="233" t="str">
        <f t="shared" si="0"/>
        <v>618</v>
      </c>
      <c r="C1207" s="234" t="str">
        <f t="shared" si="0"/>
        <v>01</v>
      </c>
      <c r="D1207" s="234" t="str">
        <f t="shared" si="0"/>
        <v>04</v>
      </c>
      <c r="E1207" s="234" t="s">
        <v>507</v>
      </c>
      <c r="F1207" s="234" t="s">
        <v>1043</v>
      </c>
      <c r="G1207" s="235"/>
      <c r="H1207" s="222"/>
      <c r="I1207" s="223"/>
    </row>
    <row r="1208" spans="1:9" s="3" customFormat="1">
      <c r="A1208" s="228" t="s">
        <v>38</v>
      </c>
      <c r="B1208" s="229" t="s">
        <v>12</v>
      </c>
      <c r="C1208" s="230" t="s">
        <v>65</v>
      </c>
      <c r="D1208" s="230" t="s">
        <v>84</v>
      </c>
      <c r="E1208" s="230" t="s">
        <v>196</v>
      </c>
      <c r="F1208" s="230" t="s">
        <v>58</v>
      </c>
      <c r="G1208" s="231"/>
      <c r="H1208" s="222"/>
      <c r="I1208" s="223"/>
    </row>
    <row r="1209" spans="1:9" s="3" customFormat="1" ht="38.25">
      <c r="A1209" s="244" t="s">
        <v>745</v>
      </c>
      <c r="B1209" s="233" t="s">
        <v>12</v>
      </c>
      <c r="C1209" s="234" t="s">
        <v>65</v>
      </c>
      <c r="D1209" s="234" t="s">
        <v>84</v>
      </c>
      <c r="E1209" s="234" t="s">
        <v>280</v>
      </c>
      <c r="F1209" s="234" t="s">
        <v>58</v>
      </c>
      <c r="G1209" s="235"/>
      <c r="H1209" s="222"/>
      <c r="I1209" s="223"/>
    </row>
    <row r="1210" spans="1:9" s="3" customFormat="1" ht="38.25">
      <c r="A1210" s="244" t="s">
        <v>746</v>
      </c>
      <c r="B1210" s="233" t="s">
        <v>12</v>
      </c>
      <c r="C1210" s="234" t="s">
        <v>65</v>
      </c>
      <c r="D1210" s="234" t="s">
        <v>84</v>
      </c>
      <c r="E1210" s="234" t="s">
        <v>281</v>
      </c>
      <c r="F1210" s="234" t="s">
        <v>58</v>
      </c>
      <c r="G1210" s="235"/>
      <c r="H1210" s="222"/>
      <c r="I1210" s="223"/>
    </row>
    <row r="1211" spans="1:9" s="3" customFormat="1" ht="25.5">
      <c r="A1211" s="278" t="s">
        <v>282</v>
      </c>
      <c r="B1211" s="234" t="s">
        <v>12</v>
      </c>
      <c r="C1211" s="234" t="s">
        <v>65</v>
      </c>
      <c r="D1211" s="234" t="s">
        <v>84</v>
      </c>
      <c r="E1211" s="234" t="s">
        <v>283</v>
      </c>
      <c r="F1211" s="234" t="s">
        <v>58</v>
      </c>
      <c r="G1211" s="235"/>
      <c r="H1211" s="222"/>
      <c r="I1211" s="223"/>
    </row>
    <row r="1212" spans="1:9" s="3" customFormat="1" ht="25.5">
      <c r="A1212" s="232" t="s">
        <v>167</v>
      </c>
      <c r="B1212" s="233" t="s">
        <v>12</v>
      </c>
      <c r="C1212" s="234" t="s">
        <v>65</v>
      </c>
      <c r="D1212" s="234" t="s">
        <v>84</v>
      </c>
      <c r="E1212" s="234" t="s">
        <v>491</v>
      </c>
      <c r="F1212" s="234" t="s">
        <v>58</v>
      </c>
      <c r="G1212" s="235"/>
      <c r="H1212" s="222"/>
      <c r="I1212" s="223"/>
    </row>
    <row r="1213" spans="1:9" s="3" customFormat="1" ht="25.5">
      <c r="A1213" s="232" t="s">
        <v>108</v>
      </c>
      <c r="B1213" s="233" t="s">
        <v>12</v>
      </c>
      <c r="C1213" s="234" t="s">
        <v>65</v>
      </c>
      <c r="D1213" s="234" t="s">
        <v>84</v>
      </c>
      <c r="E1213" s="234" t="s">
        <v>491</v>
      </c>
      <c r="F1213" s="234" t="s">
        <v>116</v>
      </c>
      <c r="G1213" s="235"/>
      <c r="H1213" s="222"/>
      <c r="I1213" s="223"/>
    </row>
    <row r="1214" spans="1:9" s="4" customFormat="1" ht="25.5">
      <c r="A1214" s="236" t="s">
        <v>973</v>
      </c>
      <c r="B1214" s="233" t="s">
        <v>12</v>
      </c>
      <c r="C1214" s="234" t="s">
        <v>65</v>
      </c>
      <c r="D1214" s="234" t="s">
        <v>84</v>
      </c>
      <c r="E1214" s="234" t="s">
        <v>491</v>
      </c>
      <c r="F1214" s="234" t="s">
        <v>1043</v>
      </c>
      <c r="G1214" s="235"/>
      <c r="H1214" s="222"/>
      <c r="I1214" s="223"/>
    </row>
    <row r="1215" spans="1:9" s="3" customFormat="1">
      <c r="A1215" s="224" t="s">
        <v>35</v>
      </c>
      <c r="B1215" s="225" t="s">
        <v>12</v>
      </c>
      <c r="C1215" s="226" t="s">
        <v>37</v>
      </c>
      <c r="D1215" s="226" t="s">
        <v>51</v>
      </c>
      <c r="E1215" s="226" t="s">
        <v>196</v>
      </c>
      <c r="F1215" s="226" t="s">
        <v>58</v>
      </c>
      <c r="G1215" s="227"/>
      <c r="H1215" s="222"/>
      <c r="I1215" s="223"/>
    </row>
    <row r="1216" spans="1:9" s="3" customFormat="1">
      <c r="A1216" s="228" t="s">
        <v>88</v>
      </c>
      <c r="B1216" s="229" t="s">
        <v>12</v>
      </c>
      <c r="C1216" s="230" t="s">
        <v>37</v>
      </c>
      <c r="D1216" s="230" t="s">
        <v>25</v>
      </c>
      <c r="E1216" s="230" t="s">
        <v>196</v>
      </c>
      <c r="F1216" s="230" t="s">
        <v>58</v>
      </c>
      <c r="G1216" s="231"/>
      <c r="H1216" s="222"/>
      <c r="I1216" s="223"/>
    </row>
    <row r="1217" spans="1:9" s="3" customFormat="1" ht="38.25">
      <c r="A1217" s="236" t="s">
        <v>722</v>
      </c>
      <c r="B1217" s="233" t="s">
        <v>12</v>
      </c>
      <c r="C1217" s="234" t="s">
        <v>37</v>
      </c>
      <c r="D1217" s="234" t="s">
        <v>25</v>
      </c>
      <c r="E1217" s="234" t="s">
        <v>300</v>
      </c>
      <c r="F1217" s="234" t="s">
        <v>58</v>
      </c>
      <c r="G1217" s="235"/>
      <c r="H1217" s="222"/>
      <c r="I1217" s="223"/>
    </row>
    <row r="1218" spans="1:9" s="3" customFormat="1" ht="38.25">
      <c r="A1218" s="252" t="s">
        <v>729</v>
      </c>
      <c r="B1218" s="233" t="s">
        <v>12</v>
      </c>
      <c r="C1218" s="234" t="s">
        <v>37</v>
      </c>
      <c r="D1218" s="234" t="s">
        <v>25</v>
      </c>
      <c r="E1218" s="234" t="s">
        <v>301</v>
      </c>
      <c r="F1218" s="234" t="s">
        <v>58</v>
      </c>
      <c r="G1218" s="235"/>
      <c r="H1218" s="222"/>
      <c r="I1218" s="223"/>
    </row>
    <row r="1219" spans="1:9" s="3" customFormat="1" ht="38.25">
      <c r="A1219" s="252" t="s">
        <v>644</v>
      </c>
      <c r="B1219" s="233" t="s">
        <v>12</v>
      </c>
      <c r="C1219" s="234" t="s">
        <v>37</v>
      </c>
      <c r="D1219" s="234" t="s">
        <v>25</v>
      </c>
      <c r="E1219" s="234" t="s">
        <v>302</v>
      </c>
      <c r="F1219" s="234" t="s">
        <v>58</v>
      </c>
      <c r="G1219" s="235"/>
      <c r="H1219" s="222"/>
      <c r="I1219" s="223"/>
    </row>
    <row r="1220" spans="1:9" s="3" customFormat="1" ht="25.5">
      <c r="A1220" s="236" t="s">
        <v>493</v>
      </c>
      <c r="B1220" s="233" t="s">
        <v>12</v>
      </c>
      <c r="C1220" s="234" t="s">
        <v>37</v>
      </c>
      <c r="D1220" s="234" t="s">
        <v>25</v>
      </c>
      <c r="E1220" s="234" t="s">
        <v>494</v>
      </c>
      <c r="F1220" s="234" t="s">
        <v>58</v>
      </c>
      <c r="G1220" s="235"/>
      <c r="H1220" s="222"/>
      <c r="I1220" s="223"/>
    </row>
    <row r="1221" spans="1:9" s="3" customFormat="1" ht="25.5">
      <c r="A1221" s="232" t="s">
        <v>108</v>
      </c>
      <c r="B1221" s="233" t="s">
        <v>12</v>
      </c>
      <c r="C1221" s="234" t="s">
        <v>37</v>
      </c>
      <c r="D1221" s="234" t="s">
        <v>25</v>
      </c>
      <c r="E1221" s="234" t="s">
        <v>494</v>
      </c>
      <c r="F1221" s="234" t="s">
        <v>116</v>
      </c>
      <c r="G1221" s="235"/>
      <c r="H1221" s="222"/>
      <c r="I1221" s="223"/>
    </row>
    <row r="1222" spans="1:9" s="4" customFormat="1" ht="25.5">
      <c r="A1222" s="236" t="s">
        <v>973</v>
      </c>
      <c r="B1222" s="233" t="s">
        <v>12</v>
      </c>
      <c r="C1222" s="234" t="s">
        <v>37</v>
      </c>
      <c r="D1222" s="234" t="s">
        <v>25</v>
      </c>
      <c r="E1222" s="234" t="s">
        <v>494</v>
      </c>
      <c r="F1222" s="234" t="s">
        <v>1043</v>
      </c>
      <c r="G1222" s="235"/>
      <c r="H1222" s="222"/>
      <c r="I1222" s="223"/>
    </row>
    <row r="1223" spans="1:9" s="3" customFormat="1" ht="51">
      <c r="A1223" s="232" t="s">
        <v>889</v>
      </c>
      <c r="B1223" s="233" t="s">
        <v>12</v>
      </c>
      <c r="C1223" s="234" t="s">
        <v>37</v>
      </c>
      <c r="D1223" s="234" t="s">
        <v>25</v>
      </c>
      <c r="E1223" s="234" t="s">
        <v>834</v>
      </c>
      <c r="F1223" s="234" t="s">
        <v>58</v>
      </c>
      <c r="G1223" s="235"/>
      <c r="H1223" s="222"/>
      <c r="I1223" s="223"/>
    </row>
    <row r="1224" spans="1:9" s="3" customFormat="1" ht="25.5">
      <c r="A1224" s="232" t="s">
        <v>108</v>
      </c>
      <c r="B1224" s="233" t="s">
        <v>12</v>
      </c>
      <c r="C1224" s="234" t="s">
        <v>37</v>
      </c>
      <c r="D1224" s="234" t="s">
        <v>25</v>
      </c>
      <c r="E1224" s="234" t="s">
        <v>834</v>
      </c>
      <c r="F1224" s="234" t="s">
        <v>116</v>
      </c>
      <c r="G1224" s="235"/>
      <c r="H1224" s="222"/>
      <c r="I1224" s="223"/>
    </row>
    <row r="1225" spans="1:9" s="4" customFormat="1" ht="25.5">
      <c r="A1225" s="236" t="s">
        <v>973</v>
      </c>
      <c r="B1225" s="233" t="s">
        <v>12</v>
      </c>
      <c r="C1225" s="234" t="s">
        <v>37</v>
      </c>
      <c r="D1225" s="234" t="s">
        <v>25</v>
      </c>
      <c r="E1225" s="234" t="s">
        <v>834</v>
      </c>
      <c r="F1225" s="234" t="s">
        <v>1043</v>
      </c>
      <c r="G1225" s="235"/>
      <c r="H1225" s="222"/>
      <c r="I1225" s="223"/>
    </row>
    <row r="1226" spans="1:9" s="3" customFormat="1" ht="25.5">
      <c r="A1226" s="232" t="s">
        <v>902</v>
      </c>
      <c r="B1226" s="233" t="s">
        <v>12</v>
      </c>
      <c r="C1226" s="234" t="s">
        <v>37</v>
      </c>
      <c r="D1226" s="234" t="s">
        <v>25</v>
      </c>
      <c r="E1226" s="234" t="s">
        <v>909</v>
      </c>
      <c r="F1226" s="234" t="s">
        <v>58</v>
      </c>
      <c r="G1226" s="235"/>
      <c r="H1226" s="222"/>
      <c r="I1226" s="223"/>
    </row>
    <row r="1227" spans="1:9" s="3" customFormat="1" ht="25.5">
      <c r="A1227" s="232" t="s">
        <v>108</v>
      </c>
      <c r="B1227" s="233" t="s">
        <v>12</v>
      </c>
      <c r="C1227" s="234" t="s">
        <v>37</v>
      </c>
      <c r="D1227" s="234" t="s">
        <v>25</v>
      </c>
      <c r="E1227" s="234" t="s">
        <v>909</v>
      </c>
      <c r="F1227" s="234" t="s">
        <v>116</v>
      </c>
      <c r="G1227" s="235"/>
      <c r="H1227" s="222"/>
      <c r="I1227" s="223"/>
    </row>
    <row r="1228" spans="1:9" s="4" customFormat="1" ht="25.5">
      <c r="A1228" s="236" t="s">
        <v>973</v>
      </c>
      <c r="B1228" s="233" t="s">
        <v>12</v>
      </c>
      <c r="C1228" s="234" t="s">
        <v>37</v>
      </c>
      <c r="D1228" s="234" t="s">
        <v>25</v>
      </c>
      <c r="E1228" s="234" t="s">
        <v>909</v>
      </c>
      <c r="F1228" s="234" t="s">
        <v>1043</v>
      </c>
      <c r="G1228" s="235"/>
      <c r="H1228" s="222"/>
      <c r="I1228" s="223"/>
    </row>
    <row r="1229" spans="1:9" s="3" customFormat="1">
      <c r="A1229" s="224" t="s">
        <v>7</v>
      </c>
      <c r="B1229" s="225" t="s">
        <v>12</v>
      </c>
      <c r="C1229" s="226" t="s">
        <v>8</v>
      </c>
      <c r="D1229" s="226" t="s">
        <v>51</v>
      </c>
      <c r="E1229" s="226" t="s">
        <v>196</v>
      </c>
      <c r="F1229" s="226" t="s">
        <v>58</v>
      </c>
      <c r="G1229" s="227"/>
      <c r="H1229" s="222"/>
      <c r="I1229" s="223"/>
    </row>
    <row r="1230" spans="1:9" s="3" customFormat="1">
      <c r="A1230" s="228" t="s">
        <v>9</v>
      </c>
      <c r="B1230" s="229" t="s">
        <v>12</v>
      </c>
      <c r="C1230" s="230" t="s">
        <v>8</v>
      </c>
      <c r="D1230" s="230" t="s">
        <v>65</v>
      </c>
      <c r="E1230" s="230" t="s">
        <v>196</v>
      </c>
      <c r="F1230" s="230" t="s">
        <v>58</v>
      </c>
      <c r="G1230" s="231"/>
      <c r="H1230" s="222"/>
      <c r="I1230" s="223"/>
    </row>
    <row r="1231" spans="1:9" s="3" customFormat="1" ht="38.25">
      <c r="A1231" s="236" t="s">
        <v>722</v>
      </c>
      <c r="B1231" s="233" t="s">
        <v>12</v>
      </c>
      <c r="C1231" s="234" t="s">
        <v>8</v>
      </c>
      <c r="D1231" s="234" t="s">
        <v>65</v>
      </c>
      <c r="E1231" s="234" t="s">
        <v>300</v>
      </c>
      <c r="F1231" s="234" t="s">
        <v>58</v>
      </c>
      <c r="G1231" s="235"/>
      <c r="H1231" s="222"/>
      <c r="I1231" s="223"/>
    </row>
    <row r="1232" spans="1:9" s="3" customFormat="1" ht="25.5">
      <c r="A1232" s="232" t="s">
        <v>155</v>
      </c>
      <c r="B1232" s="233" t="s">
        <v>12</v>
      </c>
      <c r="C1232" s="234" t="s">
        <v>8</v>
      </c>
      <c r="D1232" s="234" t="s">
        <v>65</v>
      </c>
      <c r="E1232" s="234" t="s">
        <v>495</v>
      </c>
      <c r="F1232" s="234" t="s">
        <v>58</v>
      </c>
      <c r="G1232" s="235"/>
      <c r="H1232" s="222"/>
      <c r="I1232" s="223"/>
    </row>
    <row r="1233" spans="1:9" s="3" customFormat="1" ht="25.5">
      <c r="A1233" s="252" t="s">
        <v>522</v>
      </c>
      <c r="B1233" s="241" t="s">
        <v>12</v>
      </c>
      <c r="C1233" s="242" t="s">
        <v>8</v>
      </c>
      <c r="D1233" s="242" t="s">
        <v>65</v>
      </c>
      <c r="E1233" s="242" t="s">
        <v>497</v>
      </c>
      <c r="F1233" s="242" t="s">
        <v>58</v>
      </c>
      <c r="G1233" s="243"/>
      <c r="H1233" s="222"/>
      <c r="I1233" s="223"/>
    </row>
    <row r="1234" spans="1:9" s="3" customFormat="1">
      <c r="A1234" s="236" t="s">
        <v>148</v>
      </c>
      <c r="B1234" s="233" t="s">
        <v>12</v>
      </c>
      <c r="C1234" s="234" t="s">
        <v>8</v>
      </c>
      <c r="D1234" s="234" t="s">
        <v>65</v>
      </c>
      <c r="E1234" s="234" t="s">
        <v>498</v>
      </c>
      <c r="F1234" s="234" t="s">
        <v>58</v>
      </c>
      <c r="G1234" s="235"/>
      <c r="H1234" s="222"/>
      <c r="I1234" s="223"/>
    </row>
    <row r="1235" spans="1:9" s="3" customFormat="1" ht="25.5">
      <c r="A1235" s="232" t="s">
        <v>108</v>
      </c>
      <c r="B1235" s="233" t="s">
        <v>12</v>
      </c>
      <c r="C1235" s="234" t="s">
        <v>8</v>
      </c>
      <c r="D1235" s="234" t="s">
        <v>65</v>
      </c>
      <c r="E1235" s="234" t="s">
        <v>498</v>
      </c>
      <c r="F1235" s="234" t="s">
        <v>116</v>
      </c>
      <c r="G1235" s="235"/>
      <c r="H1235" s="222"/>
      <c r="I1235" s="223"/>
    </row>
    <row r="1236" spans="1:9" s="3" customFormat="1">
      <c r="A1236" s="232"/>
      <c r="B1236" s="233" t="s">
        <v>12</v>
      </c>
      <c r="C1236" s="234" t="s">
        <v>8</v>
      </c>
      <c r="D1236" s="234" t="s">
        <v>65</v>
      </c>
      <c r="E1236" s="234" t="s">
        <v>498</v>
      </c>
      <c r="F1236" s="234" t="s">
        <v>1070</v>
      </c>
      <c r="G1236" s="235"/>
      <c r="H1236" s="222"/>
      <c r="I1236" s="223"/>
    </row>
    <row r="1237" spans="1:9" s="3" customFormat="1" ht="25.5">
      <c r="A1237" s="236" t="s">
        <v>973</v>
      </c>
      <c r="B1237" s="233" t="s">
        <v>12</v>
      </c>
      <c r="C1237" s="234" t="s">
        <v>8</v>
      </c>
      <c r="D1237" s="234" t="s">
        <v>65</v>
      </c>
      <c r="E1237" s="234" t="s">
        <v>498</v>
      </c>
      <c r="F1237" s="234" t="s">
        <v>1043</v>
      </c>
      <c r="G1237" s="235"/>
      <c r="H1237" s="222"/>
      <c r="I1237" s="223"/>
    </row>
    <row r="1238" spans="1:9" s="3" customFormat="1">
      <c r="A1238" s="228" t="s">
        <v>1</v>
      </c>
      <c r="B1238" s="229" t="s">
        <v>12</v>
      </c>
      <c r="C1238" s="230" t="s">
        <v>8</v>
      </c>
      <c r="D1238" s="230" t="s">
        <v>53</v>
      </c>
      <c r="E1238" s="230" t="s">
        <v>196</v>
      </c>
      <c r="F1238" s="230" t="s">
        <v>58</v>
      </c>
      <c r="G1238" s="231"/>
      <c r="H1238" s="222"/>
      <c r="I1238" s="223"/>
    </row>
    <row r="1239" spans="1:9" s="3" customFormat="1" ht="38.25">
      <c r="A1239" s="236" t="s">
        <v>722</v>
      </c>
      <c r="B1239" s="233" t="s">
        <v>12</v>
      </c>
      <c r="C1239" s="234" t="s">
        <v>8</v>
      </c>
      <c r="D1239" s="234" t="s">
        <v>53</v>
      </c>
      <c r="E1239" s="234" t="s">
        <v>300</v>
      </c>
      <c r="F1239" s="234" t="s">
        <v>58</v>
      </c>
      <c r="G1239" s="235"/>
      <c r="H1239" s="222"/>
      <c r="I1239" s="223"/>
    </row>
    <row r="1240" spans="1:9" s="3" customFormat="1">
      <c r="A1240" s="232" t="s">
        <v>142</v>
      </c>
      <c r="B1240" s="233" t="s">
        <v>12</v>
      </c>
      <c r="C1240" s="234" t="s">
        <v>8</v>
      </c>
      <c r="D1240" s="234" t="s">
        <v>53</v>
      </c>
      <c r="E1240" s="234" t="s">
        <v>453</v>
      </c>
      <c r="F1240" s="234" t="s">
        <v>58</v>
      </c>
      <c r="G1240" s="235"/>
      <c r="H1240" s="222"/>
      <c r="I1240" s="223"/>
    </row>
    <row r="1241" spans="1:9" s="3" customFormat="1">
      <c r="A1241" s="252" t="s">
        <v>454</v>
      </c>
      <c r="B1241" s="241" t="s">
        <v>12</v>
      </c>
      <c r="C1241" s="242" t="s">
        <v>8</v>
      </c>
      <c r="D1241" s="242" t="s">
        <v>53</v>
      </c>
      <c r="E1241" s="234" t="s">
        <v>645</v>
      </c>
      <c r="F1241" s="242" t="s">
        <v>58</v>
      </c>
      <c r="G1241" s="243"/>
      <c r="H1241" s="222"/>
      <c r="I1241" s="223"/>
    </row>
    <row r="1242" spans="1:9" s="3" customFormat="1">
      <c r="A1242" s="232" t="s">
        <v>158</v>
      </c>
      <c r="B1242" s="233" t="s">
        <v>12</v>
      </c>
      <c r="C1242" s="234" t="s">
        <v>8</v>
      </c>
      <c r="D1242" s="234" t="s">
        <v>53</v>
      </c>
      <c r="E1242" s="234" t="s">
        <v>646</v>
      </c>
      <c r="F1242" s="234" t="s">
        <v>58</v>
      </c>
      <c r="G1242" s="235"/>
      <c r="H1242" s="222"/>
      <c r="I1242" s="223"/>
    </row>
    <row r="1243" spans="1:9" s="3" customFormat="1" ht="25.5">
      <c r="A1243" s="232" t="s">
        <v>108</v>
      </c>
      <c r="B1243" s="233" t="s">
        <v>12</v>
      </c>
      <c r="C1243" s="234" t="s">
        <v>8</v>
      </c>
      <c r="D1243" s="234" t="s">
        <v>53</v>
      </c>
      <c r="E1243" s="234" t="s">
        <v>646</v>
      </c>
      <c r="F1243" s="234" t="s">
        <v>116</v>
      </c>
      <c r="G1243" s="235"/>
      <c r="H1243" s="222"/>
      <c r="I1243" s="223"/>
    </row>
    <row r="1244" spans="1:9" s="4" customFormat="1" ht="25.5">
      <c r="A1244" s="236" t="s">
        <v>973</v>
      </c>
      <c r="B1244" s="233" t="s">
        <v>12</v>
      </c>
      <c r="C1244" s="234" t="s">
        <v>8</v>
      </c>
      <c r="D1244" s="234" t="s">
        <v>53</v>
      </c>
      <c r="E1244" s="234" t="s">
        <v>646</v>
      </c>
      <c r="F1244" s="234" t="s">
        <v>1043</v>
      </c>
      <c r="G1244" s="235"/>
      <c r="H1244" s="222"/>
      <c r="I1244" s="223"/>
    </row>
    <row r="1245" spans="1:9" s="3" customFormat="1">
      <c r="A1245" s="236" t="s">
        <v>890</v>
      </c>
      <c r="B1245" s="233" t="s">
        <v>12</v>
      </c>
      <c r="C1245" s="242" t="s">
        <v>8</v>
      </c>
      <c r="D1245" s="242" t="s">
        <v>53</v>
      </c>
      <c r="E1245" s="242" t="s">
        <v>910</v>
      </c>
      <c r="F1245" s="242" t="s">
        <v>58</v>
      </c>
      <c r="G1245" s="235"/>
      <c r="H1245" s="222"/>
      <c r="I1245" s="223"/>
    </row>
    <row r="1246" spans="1:9" s="3" customFormat="1" ht="25.5">
      <c r="A1246" s="232" t="s">
        <v>108</v>
      </c>
      <c r="B1246" s="233" t="s">
        <v>12</v>
      </c>
      <c r="C1246" s="242" t="s">
        <v>8</v>
      </c>
      <c r="D1246" s="242" t="s">
        <v>53</v>
      </c>
      <c r="E1246" s="242" t="s">
        <v>910</v>
      </c>
      <c r="F1246" s="242" t="s">
        <v>116</v>
      </c>
      <c r="G1246" s="235"/>
      <c r="H1246" s="222"/>
      <c r="I1246" s="223"/>
    </row>
    <row r="1247" spans="1:9" s="4" customFormat="1" ht="25.5">
      <c r="A1247" s="236" t="s">
        <v>973</v>
      </c>
      <c r="B1247" s="233" t="s">
        <v>12</v>
      </c>
      <c r="C1247" s="242" t="s">
        <v>8</v>
      </c>
      <c r="D1247" s="242" t="s">
        <v>53</v>
      </c>
      <c r="E1247" s="242" t="s">
        <v>910</v>
      </c>
      <c r="F1247" s="242" t="s">
        <v>1043</v>
      </c>
      <c r="G1247" s="235"/>
      <c r="H1247" s="222"/>
      <c r="I1247" s="223"/>
    </row>
    <row r="1248" spans="1:9" s="3" customFormat="1" ht="38.25">
      <c r="A1248" s="236" t="s">
        <v>891</v>
      </c>
      <c r="B1248" s="241" t="s">
        <v>12</v>
      </c>
      <c r="C1248" s="242" t="s">
        <v>8</v>
      </c>
      <c r="D1248" s="242" t="s">
        <v>53</v>
      </c>
      <c r="E1248" s="234" t="s">
        <v>911</v>
      </c>
      <c r="F1248" s="242" t="s">
        <v>58</v>
      </c>
      <c r="G1248" s="243"/>
      <c r="H1248" s="222"/>
      <c r="I1248" s="223"/>
    </row>
    <row r="1249" spans="1:9" s="3" customFormat="1" ht="25.5">
      <c r="A1249" s="232" t="s">
        <v>108</v>
      </c>
      <c r="B1249" s="233" t="s">
        <v>12</v>
      </c>
      <c r="C1249" s="234" t="s">
        <v>8</v>
      </c>
      <c r="D1249" s="234" t="s">
        <v>53</v>
      </c>
      <c r="E1249" s="234" t="s">
        <v>911</v>
      </c>
      <c r="F1249" s="234" t="s">
        <v>116</v>
      </c>
      <c r="G1249" s="235"/>
      <c r="H1249" s="222"/>
      <c r="I1249" s="223"/>
    </row>
    <row r="1250" spans="1:9" s="94" customFormat="1" ht="25.5">
      <c r="A1250" s="236" t="s">
        <v>973</v>
      </c>
      <c r="B1250" s="233" t="s">
        <v>12</v>
      </c>
      <c r="C1250" s="234" t="s">
        <v>8</v>
      </c>
      <c r="D1250" s="234" t="s">
        <v>53</v>
      </c>
      <c r="E1250" s="234" t="s">
        <v>911</v>
      </c>
      <c r="F1250" s="234" t="s">
        <v>1043</v>
      </c>
      <c r="G1250" s="235"/>
      <c r="H1250" s="222"/>
      <c r="I1250" s="223"/>
    </row>
    <row r="1251" spans="1:9" s="3" customFormat="1">
      <c r="A1251" s="224" t="s">
        <v>499</v>
      </c>
      <c r="B1251" s="225" t="s">
        <v>12</v>
      </c>
      <c r="C1251" s="226" t="s">
        <v>50</v>
      </c>
      <c r="D1251" s="226" t="s">
        <v>51</v>
      </c>
      <c r="E1251" s="226" t="s">
        <v>196</v>
      </c>
      <c r="F1251" s="226" t="s">
        <v>58</v>
      </c>
      <c r="G1251" s="227"/>
      <c r="H1251" s="222"/>
      <c r="I1251" s="223"/>
    </row>
    <row r="1252" spans="1:9" s="3" customFormat="1">
      <c r="A1252" s="228" t="s">
        <v>27</v>
      </c>
      <c r="B1252" s="229" t="s">
        <v>12</v>
      </c>
      <c r="C1252" s="230" t="s">
        <v>50</v>
      </c>
      <c r="D1252" s="230" t="s">
        <v>65</v>
      </c>
      <c r="E1252" s="230" t="s">
        <v>196</v>
      </c>
      <c r="F1252" s="230" t="s">
        <v>58</v>
      </c>
      <c r="G1252" s="231"/>
      <c r="H1252" s="222"/>
      <c r="I1252" s="223"/>
    </row>
    <row r="1253" spans="1:9" s="3" customFormat="1">
      <c r="A1253" s="232" t="s">
        <v>739</v>
      </c>
      <c r="B1253" s="233" t="s">
        <v>12</v>
      </c>
      <c r="C1253" s="234" t="s">
        <v>50</v>
      </c>
      <c r="D1253" s="234" t="s">
        <v>65</v>
      </c>
      <c r="E1253" s="234" t="s">
        <v>277</v>
      </c>
      <c r="F1253" s="234" t="s">
        <v>58</v>
      </c>
      <c r="G1253" s="235"/>
      <c r="H1253" s="222"/>
      <c r="I1253" s="223"/>
    </row>
    <row r="1254" spans="1:9" s="3" customFormat="1" ht="38.25">
      <c r="A1254" s="236" t="s">
        <v>194</v>
      </c>
      <c r="B1254" s="233" t="s">
        <v>12</v>
      </c>
      <c r="C1254" s="234" t="s">
        <v>50</v>
      </c>
      <c r="D1254" s="234" t="s">
        <v>65</v>
      </c>
      <c r="E1254" s="234" t="s">
        <v>278</v>
      </c>
      <c r="F1254" s="234" t="s">
        <v>58</v>
      </c>
      <c r="G1254" s="235"/>
      <c r="H1254" s="222"/>
      <c r="I1254" s="223"/>
    </row>
    <row r="1255" spans="1:9" s="3" customFormat="1" ht="51">
      <c r="A1255" s="252" t="s">
        <v>605</v>
      </c>
      <c r="B1255" s="241" t="s">
        <v>12</v>
      </c>
      <c r="C1255" s="242" t="s">
        <v>50</v>
      </c>
      <c r="D1255" s="242" t="s">
        <v>65</v>
      </c>
      <c r="E1255" s="242" t="s">
        <v>279</v>
      </c>
      <c r="F1255" s="242" t="s">
        <v>58</v>
      </c>
      <c r="G1255" s="243"/>
      <c r="H1255" s="222"/>
      <c r="I1255" s="223"/>
    </row>
    <row r="1256" spans="1:9" s="3" customFormat="1">
      <c r="A1256" s="232" t="s">
        <v>161</v>
      </c>
      <c r="B1256" s="233" t="s">
        <v>12</v>
      </c>
      <c r="C1256" s="234" t="s">
        <v>50</v>
      </c>
      <c r="D1256" s="234" t="s">
        <v>65</v>
      </c>
      <c r="E1256" s="234" t="s">
        <v>320</v>
      </c>
      <c r="F1256" s="234" t="s">
        <v>58</v>
      </c>
      <c r="G1256" s="235"/>
      <c r="H1256" s="222"/>
      <c r="I1256" s="223"/>
    </row>
    <row r="1257" spans="1:9" s="3" customFormat="1" ht="25.5">
      <c r="A1257" s="232" t="s">
        <v>108</v>
      </c>
      <c r="B1257" s="233" t="s">
        <v>12</v>
      </c>
      <c r="C1257" s="234" t="s">
        <v>50</v>
      </c>
      <c r="D1257" s="234" t="s">
        <v>65</v>
      </c>
      <c r="E1257" s="234" t="s">
        <v>320</v>
      </c>
      <c r="F1257" s="234" t="s">
        <v>116</v>
      </c>
      <c r="G1257" s="235"/>
      <c r="H1257" s="222"/>
      <c r="I1257" s="223"/>
    </row>
    <row r="1258" spans="1:9" s="4" customFormat="1" ht="25.5">
      <c r="A1258" s="236" t="s">
        <v>973</v>
      </c>
      <c r="B1258" s="233" t="s">
        <v>12</v>
      </c>
      <c r="C1258" s="234" t="s">
        <v>50</v>
      </c>
      <c r="D1258" s="234" t="s">
        <v>65</v>
      </c>
      <c r="E1258" s="234" t="s">
        <v>320</v>
      </c>
      <c r="F1258" s="234" t="s">
        <v>1043</v>
      </c>
      <c r="G1258" s="235"/>
      <c r="H1258" s="222"/>
      <c r="I1258" s="223"/>
    </row>
    <row r="1259" spans="1:9" s="3" customFormat="1" ht="25.5">
      <c r="A1259" s="236" t="s">
        <v>892</v>
      </c>
      <c r="B1259" s="233" t="s">
        <v>12</v>
      </c>
      <c r="C1259" s="234" t="s">
        <v>50</v>
      </c>
      <c r="D1259" s="234" t="s">
        <v>65</v>
      </c>
      <c r="E1259" s="234" t="s">
        <v>500</v>
      </c>
      <c r="F1259" s="234" t="s">
        <v>58</v>
      </c>
      <c r="G1259" s="235"/>
      <c r="H1259" s="222"/>
      <c r="I1259" s="223"/>
    </row>
    <row r="1260" spans="1:9" s="3" customFormat="1" ht="25.5">
      <c r="A1260" s="232" t="s">
        <v>108</v>
      </c>
      <c r="B1260" s="233" t="s">
        <v>12</v>
      </c>
      <c r="C1260" s="234" t="s">
        <v>50</v>
      </c>
      <c r="D1260" s="234" t="s">
        <v>65</v>
      </c>
      <c r="E1260" s="234" t="s">
        <v>500</v>
      </c>
      <c r="F1260" s="234" t="s">
        <v>116</v>
      </c>
      <c r="G1260" s="235"/>
      <c r="H1260" s="222"/>
      <c r="I1260" s="223"/>
    </row>
    <row r="1261" spans="1:9" s="4" customFormat="1" ht="25.5">
      <c r="A1261" s="236" t="s">
        <v>973</v>
      </c>
      <c r="B1261" s="233" t="s">
        <v>12</v>
      </c>
      <c r="C1261" s="234" t="s">
        <v>50</v>
      </c>
      <c r="D1261" s="234" t="s">
        <v>65</v>
      </c>
      <c r="E1261" s="234" t="s">
        <v>500</v>
      </c>
      <c r="F1261" s="234" t="s">
        <v>1043</v>
      </c>
      <c r="G1261" s="235"/>
      <c r="H1261" s="222"/>
      <c r="I1261" s="223"/>
    </row>
    <row r="1262" spans="1:9" s="3" customFormat="1">
      <c r="A1262" s="232"/>
      <c r="B1262" s="233"/>
      <c r="C1262" s="234"/>
      <c r="D1262" s="234"/>
      <c r="E1262" s="234"/>
      <c r="F1262" s="234"/>
      <c r="G1262" s="235"/>
      <c r="H1262" s="222"/>
      <c r="I1262" s="223"/>
    </row>
    <row r="1263" spans="1:9" s="3" customFormat="1">
      <c r="A1263" s="279" t="s">
        <v>17</v>
      </c>
      <c r="B1263" s="220" t="s">
        <v>18</v>
      </c>
      <c r="C1263" s="221" t="s">
        <v>51</v>
      </c>
      <c r="D1263" s="221" t="s">
        <v>51</v>
      </c>
      <c r="E1263" s="280" t="s">
        <v>196</v>
      </c>
      <c r="F1263" s="221" t="s">
        <v>58</v>
      </c>
      <c r="G1263" s="222"/>
      <c r="H1263" s="222"/>
      <c r="I1263" s="223"/>
    </row>
    <row r="1264" spans="1:9" s="3" customFormat="1">
      <c r="A1264" s="281" t="s">
        <v>64</v>
      </c>
      <c r="B1264" s="225" t="s">
        <v>18</v>
      </c>
      <c r="C1264" s="226" t="s">
        <v>65</v>
      </c>
      <c r="D1264" s="226" t="s">
        <v>51</v>
      </c>
      <c r="E1264" s="226" t="s">
        <v>196</v>
      </c>
      <c r="F1264" s="226" t="s">
        <v>58</v>
      </c>
      <c r="G1264" s="227"/>
      <c r="H1264" s="222"/>
      <c r="I1264" s="223"/>
    </row>
    <row r="1265" spans="1:9" s="3" customFormat="1" ht="39">
      <c r="A1265" s="282" t="s">
        <v>31</v>
      </c>
      <c r="B1265" s="229" t="s">
        <v>18</v>
      </c>
      <c r="C1265" s="230" t="s">
        <v>65</v>
      </c>
      <c r="D1265" s="230" t="s">
        <v>37</v>
      </c>
      <c r="E1265" s="230" t="s">
        <v>196</v>
      </c>
      <c r="F1265" s="230" t="s">
        <v>58</v>
      </c>
      <c r="G1265" s="231"/>
      <c r="H1265" s="222"/>
      <c r="I1265" s="223"/>
    </row>
    <row r="1266" spans="1:9" s="3" customFormat="1" ht="25.5">
      <c r="A1266" s="232" t="s">
        <v>151</v>
      </c>
      <c r="B1266" s="234" t="s">
        <v>18</v>
      </c>
      <c r="C1266" s="234" t="s">
        <v>65</v>
      </c>
      <c r="D1266" s="234" t="s">
        <v>37</v>
      </c>
      <c r="E1266" s="234" t="s">
        <v>553</v>
      </c>
      <c r="F1266" s="234" t="s">
        <v>58</v>
      </c>
      <c r="G1266" s="235"/>
      <c r="H1266" s="222"/>
      <c r="I1266" s="223"/>
    </row>
    <row r="1267" spans="1:9" s="3" customFormat="1" ht="25.5">
      <c r="A1267" s="232" t="s">
        <v>152</v>
      </c>
      <c r="B1267" s="234" t="s">
        <v>18</v>
      </c>
      <c r="C1267" s="234" t="s">
        <v>65</v>
      </c>
      <c r="D1267" s="234" t="s">
        <v>37</v>
      </c>
      <c r="E1267" s="234" t="s">
        <v>554</v>
      </c>
      <c r="F1267" s="234" t="s">
        <v>58</v>
      </c>
      <c r="G1267" s="243"/>
      <c r="H1267" s="222"/>
      <c r="I1267" s="223"/>
    </row>
    <row r="1268" spans="1:9" s="3" customFormat="1" ht="25.5">
      <c r="A1268" s="232" t="s">
        <v>114</v>
      </c>
      <c r="B1268" s="234" t="s">
        <v>18</v>
      </c>
      <c r="C1268" s="234" t="s">
        <v>65</v>
      </c>
      <c r="D1268" s="234" t="s">
        <v>37</v>
      </c>
      <c r="E1268" s="234" t="s">
        <v>555</v>
      </c>
      <c r="F1268" s="234" t="s">
        <v>58</v>
      </c>
      <c r="G1268" s="243"/>
      <c r="H1268" s="222"/>
      <c r="I1268" s="223"/>
    </row>
    <row r="1269" spans="1:9" s="145" customFormat="1">
      <c r="A1269" s="237" t="s">
        <v>107</v>
      </c>
      <c r="B1269" s="242" t="s">
        <v>18</v>
      </c>
      <c r="C1269" s="242" t="s">
        <v>65</v>
      </c>
      <c r="D1269" s="242" t="s">
        <v>37</v>
      </c>
      <c r="E1269" s="234" t="s">
        <v>555</v>
      </c>
      <c r="F1269" s="242" t="s">
        <v>115</v>
      </c>
      <c r="G1269" s="243"/>
      <c r="H1269" s="222"/>
      <c r="I1269" s="223"/>
    </row>
    <row r="1270" spans="1:9" s="4" customFormat="1" ht="25.5">
      <c r="A1270" s="236" t="s">
        <v>937</v>
      </c>
      <c r="B1270" s="242" t="s">
        <v>18</v>
      </c>
      <c r="C1270" s="242" t="s">
        <v>65</v>
      </c>
      <c r="D1270" s="242" t="s">
        <v>37</v>
      </c>
      <c r="E1270" s="234" t="s">
        <v>555</v>
      </c>
      <c r="F1270" s="234" t="s">
        <v>1059</v>
      </c>
      <c r="G1270" s="235"/>
      <c r="H1270" s="222"/>
      <c r="I1270" s="223"/>
    </row>
    <row r="1271" spans="1:9" s="4" customFormat="1" ht="38.25">
      <c r="A1271" s="236" t="s">
        <v>939</v>
      </c>
      <c r="B1271" s="242" t="s">
        <v>18</v>
      </c>
      <c r="C1271" s="242" t="s">
        <v>65</v>
      </c>
      <c r="D1271" s="242" t="s">
        <v>37</v>
      </c>
      <c r="E1271" s="234" t="s">
        <v>555</v>
      </c>
      <c r="F1271" s="234" t="s">
        <v>1060</v>
      </c>
      <c r="G1271" s="235"/>
      <c r="H1271" s="222"/>
      <c r="I1271" s="223"/>
    </row>
    <row r="1272" spans="1:9" s="3" customFormat="1" ht="25.5">
      <c r="A1272" s="232" t="s">
        <v>108</v>
      </c>
      <c r="B1272" s="234" t="s">
        <v>18</v>
      </c>
      <c r="C1272" s="234" t="s">
        <v>65</v>
      </c>
      <c r="D1272" s="234" t="s">
        <v>37</v>
      </c>
      <c r="E1272" s="234" t="s">
        <v>555</v>
      </c>
      <c r="F1272" s="234" t="s">
        <v>116</v>
      </c>
      <c r="G1272" s="243"/>
      <c r="H1272" s="222"/>
      <c r="I1272" s="223"/>
    </row>
    <row r="1273" spans="1:9" s="4" customFormat="1" ht="25.5">
      <c r="A1273" s="236" t="s">
        <v>973</v>
      </c>
      <c r="B1273" s="234" t="s">
        <v>18</v>
      </c>
      <c r="C1273" s="234" t="s">
        <v>65</v>
      </c>
      <c r="D1273" s="234" t="s">
        <v>37</v>
      </c>
      <c r="E1273" s="234" t="s">
        <v>555</v>
      </c>
      <c r="F1273" s="234" t="s">
        <v>1043</v>
      </c>
      <c r="G1273" s="235"/>
      <c r="H1273" s="222"/>
      <c r="I1273" s="223"/>
    </row>
    <row r="1274" spans="1:9" s="3" customFormat="1">
      <c r="A1274" s="232" t="s">
        <v>97</v>
      </c>
      <c r="B1274" s="242" t="s">
        <v>18</v>
      </c>
      <c r="C1274" s="242" t="s">
        <v>65</v>
      </c>
      <c r="D1274" s="242" t="s">
        <v>37</v>
      </c>
      <c r="E1274" s="234" t="s">
        <v>555</v>
      </c>
      <c r="F1274" s="242" t="s">
        <v>118</v>
      </c>
      <c r="G1274" s="243"/>
      <c r="H1274" s="222"/>
      <c r="I1274" s="223"/>
    </row>
    <row r="1275" spans="1:9" s="4" customFormat="1">
      <c r="A1275" s="236" t="s">
        <v>1036</v>
      </c>
      <c r="B1275" s="242" t="s">
        <v>18</v>
      </c>
      <c r="C1275" s="242" t="s">
        <v>65</v>
      </c>
      <c r="D1275" s="242" t="s">
        <v>37</v>
      </c>
      <c r="E1275" s="234" t="s">
        <v>555</v>
      </c>
      <c r="F1275" s="234" t="s">
        <v>1061</v>
      </c>
      <c r="G1275" s="235"/>
      <c r="H1275" s="222"/>
      <c r="I1275" s="223"/>
    </row>
    <row r="1276" spans="1:9" s="4" customFormat="1">
      <c r="A1276" s="236" t="s">
        <v>1037</v>
      </c>
      <c r="B1276" s="242" t="s">
        <v>18</v>
      </c>
      <c r="C1276" s="242" t="s">
        <v>65</v>
      </c>
      <c r="D1276" s="242" t="s">
        <v>37</v>
      </c>
      <c r="E1276" s="234" t="s">
        <v>555</v>
      </c>
      <c r="F1276" s="234" t="s">
        <v>1062</v>
      </c>
      <c r="G1276" s="235"/>
      <c r="H1276" s="222"/>
      <c r="I1276" s="223"/>
    </row>
    <row r="1277" spans="1:9" s="127" customFormat="1" ht="25.5">
      <c r="A1277" s="237" t="s">
        <v>504</v>
      </c>
      <c r="B1277" s="242" t="s">
        <v>18</v>
      </c>
      <c r="C1277" s="242" t="s">
        <v>65</v>
      </c>
      <c r="D1277" s="242" t="s">
        <v>37</v>
      </c>
      <c r="E1277" s="242" t="s">
        <v>556</v>
      </c>
      <c r="F1277" s="242" t="s">
        <v>58</v>
      </c>
      <c r="G1277" s="243"/>
      <c r="H1277" s="222"/>
      <c r="I1277" s="223"/>
    </row>
    <row r="1278" spans="1:9" s="145" customFormat="1">
      <c r="A1278" s="237" t="s">
        <v>107</v>
      </c>
      <c r="B1278" s="242" t="s">
        <v>18</v>
      </c>
      <c r="C1278" s="242" t="s">
        <v>65</v>
      </c>
      <c r="D1278" s="242" t="s">
        <v>37</v>
      </c>
      <c r="E1278" s="242" t="s">
        <v>556</v>
      </c>
      <c r="F1278" s="242" t="s">
        <v>115</v>
      </c>
      <c r="G1278" s="243"/>
      <c r="H1278" s="222"/>
      <c r="I1278" s="223"/>
    </row>
    <row r="1279" spans="1:9" s="4" customFormat="1">
      <c r="A1279" s="236" t="s">
        <v>936</v>
      </c>
      <c r="B1279" s="242" t="s">
        <v>18</v>
      </c>
      <c r="C1279" s="242" t="s">
        <v>65</v>
      </c>
      <c r="D1279" s="242" t="s">
        <v>37</v>
      </c>
      <c r="E1279" s="242" t="s">
        <v>556</v>
      </c>
      <c r="F1279" s="234" t="s">
        <v>1063</v>
      </c>
      <c r="G1279" s="235"/>
      <c r="H1279" s="222"/>
      <c r="I1279" s="223"/>
    </row>
    <row r="1280" spans="1:9" s="4" customFormat="1" ht="38.25">
      <c r="A1280" s="236" t="s">
        <v>939</v>
      </c>
      <c r="B1280" s="242" t="s">
        <v>18</v>
      </c>
      <c r="C1280" s="242" t="s">
        <v>65</v>
      </c>
      <c r="D1280" s="242" t="s">
        <v>37</v>
      </c>
      <c r="E1280" s="242" t="s">
        <v>556</v>
      </c>
      <c r="F1280" s="234" t="s">
        <v>1060</v>
      </c>
      <c r="G1280" s="235"/>
      <c r="H1280" s="222"/>
      <c r="I1280" s="223"/>
    </row>
    <row r="1281" spans="1:9" s="127" customFormat="1" ht="38.25">
      <c r="A1281" s="267" t="s">
        <v>598</v>
      </c>
      <c r="B1281" s="242" t="s">
        <v>18</v>
      </c>
      <c r="C1281" s="242" t="s">
        <v>65</v>
      </c>
      <c r="D1281" s="242" t="s">
        <v>37</v>
      </c>
      <c r="E1281" s="242" t="s">
        <v>557</v>
      </c>
      <c r="F1281" s="242" t="s">
        <v>58</v>
      </c>
      <c r="G1281" s="243"/>
      <c r="H1281" s="222"/>
      <c r="I1281" s="223"/>
    </row>
    <row r="1282" spans="1:9" s="145" customFormat="1">
      <c r="A1282" s="237" t="s">
        <v>107</v>
      </c>
      <c r="B1282" s="242" t="s">
        <v>18</v>
      </c>
      <c r="C1282" s="242" t="s">
        <v>65</v>
      </c>
      <c r="D1282" s="242" t="s">
        <v>37</v>
      </c>
      <c r="E1282" s="242" t="s">
        <v>557</v>
      </c>
      <c r="F1282" s="242" t="s">
        <v>115</v>
      </c>
      <c r="G1282" s="243"/>
      <c r="H1282" s="222"/>
      <c r="I1282" s="223"/>
    </row>
    <row r="1283" spans="1:9" s="145" customFormat="1">
      <c r="A1283" s="232" t="s">
        <v>936</v>
      </c>
      <c r="B1283" s="242" t="s">
        <v>18</v>
      </c>
      <c r="C1283" s="242" t="s">
        <v>65</v>
      </c>
      <c r="D1283" s="242" t="s">
        <v>37</v>
      </c>
      <c r="E1283" s="242" t="s">
        <v>557</v>
      </c>
      <c r="F1283" s="234" t="s">
        <v>1063</v>
      </c>
      <c r="G1283" s="235"/>
      <c r="H1283" s="222"/>
      <c r="I1283" s="223"/>
    </row>
    <row r="1284" spans="1:9" s="4" customFormat="1" ht="25.5">
      <c r="A1284" s="236" t="s">
        <v>937</v>
      </c>
      <c r="B1284" s="242" t="s">
        <v>18</v>
      </c>
      <c r="C1284" s="242" t="s">
        <v>65</v>
      </c>
      <c r="D1284" s="242" t="s">
        <v>37</v>
      </c>
      <c r="E1284" s="242" t="s">
        <v>557</v>
      </c>
      <c r="F1284" s="234" t="s">
        <v>1059</v>
      </c>
      <c r="G1284" s="235"/>
      <c r="H1284" s="222"/>
      <c r="I1284" s="223"/>
    </row>
    <row r="1285" spans="1:9" s="4" customFormat="1" ht="38.25">
      <c r="A1285" s="232" t="s">
        <v>939</v>
      </c>
      <c r="B1285" s="242" t="s">
        <v>18</v>
      </c>
      <c r="C1285" s="242" t="s">
        <v>65</v>
      </c>
      <c r="D1285" s="242" t="s">
        <v>37</v>
      </c>
      <c r="E1285" s="242" t="s">
        <v>557</v>
      </c>
      <c r="F1285" s="234" t="s">
        <v>1060</v>
      </c>
      <c r="G1285" s="235"/>
      <c r="H1285" s="222"/>
      <c r="I1285" s="223"/>
    </row>
    <row r="1286" spans="1:9" s="145" customFormat="1" ht="25.5">
      <c r="A1286" s="232" t="s">
        <v>108</v>
      </c>
      <c r="B1286" s="242" t="s">
        <v>18</v>
      </c>
      <c r="C1286" s="242" t="s">
        <v>65</v>
      </c>
      <c r="D1286" s="242" t="s">
        <v>37</v>
      </c>
      <c r="E1286" s="242" t="s">
        <v>557</v>
      </c>
      <c r="F1286" s="242" t="s">
        <v>116</v>
      </c>
      <c r="G1286" s="243"/>
      <c r="H1286" s="222"/>
      <c r="I1286" s="223"/>
    </row>
    <row r="1287" spans="1:9" s="4" customFormat="1" ht="25.5">
      <c r="A1287" s="236" t="s">
        <v>973</v>
      </c>
      <c r="B1287" s="242" t="s">
        <v>18</v>
      </c>
      <c r="C1287" s="242" t="s">
        <v>65</v>
      </c>
      <c r="D1287" s="242" t="s">
        <v>37</v>
      </c>
      <c r="E1287" s="242" t="s">
        <v>557</v>
      </c>
      <c r="F1287" s="242" t="s">
        <v>1043</v>
      </c>
      <c r="G1287" s="235"/>
      <c r="H1287" s="222"/>
      <c r="I1287" s="223"/>
    </row>
    <row r="1288" spans="1:9" s="127" customFormat="1" ht="38.25">
      <c r="A1288" s="237" t="s">
        <v>870</v>
      </c>
      <c r="B1288" s="242" t="s">
        <v>18</v>
      </c>
      <c r="C1288" s="242" t="s">
        <v>65</v>
      </c>
      <c r="D1288" s="242" t="s">
        <v>37</v>
      </c>
      <c r="E1288" s="242" t="s">
        <v>558</v>
      </c>
      <c r="F1288" s="242" t="s">
        <v>58</v>
      </c>
      <c r="G1288" s="243"/>
      <c r="H1288" s="222"/>
      <c r="I1288" s="223"/>
    </row>
    <row r="1289" spans="1:9" s="145" customFormat="1" ht="25.5">
      <c r="A1289" s="232" t="s">
        <v>108</v>
      </c>
      <c r="B1289" s="242" t="s">
        <v>18</v>
      </c>
      <c r="C1289" s="242" t="s">
        <v>65</v>
      </c>
      <c r="D1289" s="242" t="s">
        <v>37</v>
      </c>
      <c r="E1289" s="242" t="s">
        <v>558</v>
      </c>
      <c r="F1289" s="242" t="s">
        <v>116</v>
      </c>
      <c r="G1289" s="243"/>
      <c r="H1289" s="222"/>
      <c r="I1289" s="223"/>
    </row>
    <row r="1290" spans="1:9" s="4" customFormat="1" ht="25.5">
      <c r="A1290" s="236" t="s">
        <v>973</v>
      </c>
      <c r="B1290" s="242" t="s">
        <v>18</v>
      </c>
      <c r="C1290" s="242" t="s">
        <v>65</v>
      </c>
      <c r="D1290" s="242" t="s">
        <v>37</v>
      </c>
      <c r="E1290" s="242" t="s">
        <v>558</v>
      </c>
      <c r="F1290" s="242" t="s">
        <v>1043</v>
      </c>
      <c r="G1290" s="235"/>
      <c r="H1290" s="222"/>
      <c r="I1290" s="223"/>
    </row>
    <row r="1291" spans="1:9" s="3" customFormat="1">
      <c r="A1291" s="283" t="s">
        <v>38</v>
      </c>
      <c r="B1291" s="229" t="s">
        <v>18</v>
      </c>
      <c r="C1291" s="230" t="s">
        <v>65</v>
      </c>
      <c r="D1291" s="230" t="s">
        <v>84</v>
      </c>
      <c r="E1291" s="230" t="s">
        <v>196</v>
      </c>
      <c r="F1291" s="230" t="s">
        <v>58</v>
      </c>
      <c r="G1291" s="231"/>
      <c r="H1291" s="222"/>
      <c r="I1291" s="223"/>
    </row>
    <row r="1292" spans="1:9" s="3" customFormat="1" ht="38.25">
      <c r="A1292" s="244" t="s">
        <v>745</v>
      </c>
      <c r="B1292" s="234" t="s">
        <v>18</v>
      </c>
      <c r="C1292" s="234" t="s">
        <v>65</v>
      </c>
      <c r="D1292" s="234" t="s">
        <v>84</v>
      </c>
      <c r="E1292" s="234" t="s">
        <v>280</v>
      </c>
      <c r="F1292" s="234" t="s">
        <v>58</v>
      </c>
      <c r="G1292" s="235"/>
      <c r="H1292" s="222"/>
      <c r="I1292" s="223"/>
    </row>
    <row r="1293" spans="1:9" s="3" customFormat="1" ht="38.25">
      <c r="A1293" s="244" t="s">
        <v>746</v>
      </c>
      <c r="B1293" s="234" t="s">
        <v>18</v>
      </c>
      <c r="C1293" s="234" t="s">
        <v>65</v>
      </c>
      <c r="D1293" s="234" t="s">
        <v>84</v>
      </c>
      <c r="E1293" s="234" t="s">
        <v>281</v>
      </c>
      <c r="F1293" s="234" t="s">
        <v>58</v>
      </c>
      <c r="G1293" s="235"/>
      <c r="H1293" s="222"/>
      <c r="I1293" s="223"/>
    </row>
    <row r="1294" spans="1:9" s="3" customFormat="1" ht="25.5">
      <c r="A1294" s="278" t="s">
        <v>282</v>
      </c>
      <c r="B1294" s="234" t="s">
        <v>18</v>
      </c>
      <c r="C1294" s="234" t="s">
        <v>65</v>
      </c>
      <c r="D1294" s="234" t="s">
        <v>84</v>
      </c>
      <c r="E1294" s="234" t="s">
        <v>283</v>
      </c>
      <c r="F1294" s="234" t="s">
        <v>58</v>
      </c>
      <c r="G1294" s="235"/>
      <c r="H1294" s="222"/>
      <c r="I1294" s="223"/>
    </row>
    <row r="1295" spans="1:9" s="3" customFormat="1" ht="25.5">
      <c r="A1295" s="262" t="s">
        <v>167</v>
      </c>
      <c r="B1295" s="234" t="s">
        <v>18</v>
      </c>
      <c r="C1295" s="234" t="s">
        <v>65</v>
      </c>
      <c r="D1295" s="234" t="s">
        <v>84</v>
      </c>
      <c r="E1295" s="234" t="s">
        <v>491</v>
      </c>
      <c r="F1295" s="234" t="s">
        <v>58</v>
      </c>
      <c r="G1295" s="235"/>
      <c r="H1295" s="222"/>
      <c r="I1295" s="223"/>
    </row>
    <row r="1296" spans="1:9" s="3" customFormat="1" ht="25.5">
      <c r="A1296" s="232" t="s">
        <v>108</v>
      </c>
      <c r="B1296" s="234" t="s">
        <v>18</v>
      </c>
      <c r="C1296" s="234" t="s">
        <v>65</v>
      </c>
      <c r="D1296" s="234" t="s">
        <v>84</v>
      </c>
      <c r="E1296" s="234" t="s">
        <v>491</v>
      </c>
      <c r="F1296" s="234" t="s">
        <v>116</v>
      </c>
      <c r="G1296" s="243"/>
      <c r="H1296" s="222"/>
      <c r="I1296" s="223"/>
    </row>
    <row r="1297" spans="1:9" s="4" customFormat="1" ht="25.5">
      <c r="A1297" s="236" t="s">
        <v>973</v>
      </c>
      <c r="B1297" s="234" t="s">
        <v>18</v>
      </c>
      <c r="C1297" s="234" t="s">
        <v>65</v>
      </c>
      <c r="D1297" s="234" t="s">
        <v>84</v>
      </c>
      <c r="E1297" s="234" t="s">
        <v>491</v>
      </c>
      <c r="F1297" s="234" t="s">
        <v>1043</v>
      </c>
      <c r="G1297" s="235"/>
      <c r="H1297" s="222"/>
      <c r="I1297" s="223"/>
    </row>
    <row r="1298" spans="1:9" s="3" customFormat="1" ht="25.5">
      <c r="A1298" s="232" t="s">
        <v>859</v>
      </c>
      <c r="B1298" s="234" t="s">
        <v>18</v>
      </c>
      <c r="C1298" s="242" t="s">
        <v>65</v>
      </c>
      <c r="D1298" s="242" t="s">
        <v>84</v>
      </c>
      <c r="E1298" s="274" t="s">
        <v>858</v>
      </c>
      <c r="F1298" s="234" t="s">
        <v>58</v>
      </c>
      <c r="G1298" s="235"/>
      <c r="H1298" s="222"/>
      <c r="I1298" s="223"/>
    </row>
    <row r="1299" spans="1:9" s="3" customFormat="1" ht="25.5">
      <c r="A1299" s="232" t="s">
        <v>108</v>
      </c>
      <c r="B1299" s="234" t="s">
        <v>18</v>
      </c>
      <c r="C1299" s="242" t="s">
        <v>65</v>
      </c>
      <c r="D1299" s="242" t="s">
        <v>84</v>
      </c>
      <c r="E1299" s="274" t="s">
        <v>858</v>
      </c>
      <c r="F1299" s="234" t="s">
        <v>116</v>
      </c>
      <c r="G1299" s="235"/>
      <c r="H1299" s="222"/>
      <c r="I1299" s="223"/>
    </row>
    <row r="1300" spans="1:9" s="4" customFormat="1" ht="25.5">
      <c r="A1300" s="236" t="s">
        <v>973</v>
      </c>
      <c r="B1300" s="234" t="s">
        <v>18</v>
      </c>
      <c r="C1300" s="242" t="s">
        <v>65</v>
      </c>
      <c r="D1300" s="242" t="s">
        <v>84</v>
      </c>
      <c r="E1300" s="274" t="s">
        <v>858</v>
      </c>
      <c r="F1300" s="234" t="s">
        <v>1043</v>
      </c>
      <c r="G1300" s="235"/>
      <c r="H1300" s="222"/>
      <c r="I1300" s="223"/>
    </row>
    <row r="1301" spans="1:9" s="3" customFormat="1">
      <c r="A1301" s="281" t="s">
        <v>35</v>
      </c>
      <c r="B1301" s="225" t="s">
        <v>18</v>
      </c>
      <c r="C1301" s="226" t="s">
        <v>37</v>
      </c>
      <c r="D1301" s="226" t="s">
        <v>51</v>
      </c>
      <c r="E1301" s="226" t="s">
        <v>196</v>
      </c>
      <c r="F1301" s="226" t="s">
        <v>58</v>
      </c>
      <c r="G1301" s="227"/>
      <c r="H1301" s="222"/>
      <c r="I1301" s="223"/>
    </row>
    <row r="1302" spans="1:9" s="3" customFormat="1">
      <c r="A1302" s="282" t="s">
        <v>88</v>
      </c>
      <c r="B1302" s="229" t="s">
        <v>18</v>
      </c>
      <c r="C1302" s="230" t="s">
        <v>37</v>
      </c>
      <c r="D1302" s="230" t="s">
        <v>25</v>
      </c>
      <c r="E1302" s="230" t="s">
        <v>196</v>
      </c>
      <c r="F1302" s="230" t="s">
        <v>58</v>
      </c>
      <c r="G1302" s="231"/>
      <c r="H1302" s="222"/>
      <c r="I1302" s="223"/>
    </row>
    <row r="1303" spans="1:9" s="3" customFormat="1" ht="38.25">
      <c r="A1303" s="236" t="s">
        <v>722</v>
      </c>
      <c r="B1303" s="242" t="s">
        <v>18</v>
      </c>
      <c r="C1303" s="241" t="s">
        <v>37</v>
      </c>
      <c r="D1303" s="241" t="s">
        <v>25</v>
      </c>
      <c r="E1303" s="241" t="s">
        <v>300</v>
      </c>
      <c r="F1303" s="242" t="s">
        <v>58</v>
      </c>
      <c r="G1303" s="243"/>
      <c r="H1303" s="222"/>
      <c r="I1303" s="223"/>
    </row>
    <row r="1304" spans="1:9" s="3" customFormat="1" ht="38.25">
      <c r="A1304" s="252" t="s">
        <v>729</v>
      </c>
      <c r="B1304" s="242" t="s">
        <v>18</v>
      </c>
      <c r="C1304" s="241" t="s">
        <v>37</v>
      </c>
      <c r="D1304" s="241" t="s">
        <v>25</v>
      </c>
      <c r="E1304" s="241" t="s">
        <v>301</v>
      </c>
      <c r="F1304" s="241" t="s">
        <v>58</v>
      </c>
      <c r="G1304" s="243"/>
      <c r="H1304" s="222"/>
      <c r="I1304" s="223"/>
    </row>
    <row r="1305" spans="1:9" s="3" customFormat="1" ht="38.25">
      <c r="A1305" s="237" t="s">
        <v>644</v>
      </c>
      <c r="B1305" s="242" t="s">
        <v>18</v>
      </c>
      <c r="C1305" s="242" t="s">
        <v>37</v>
      </c>
      <c r="D1305" s="242" t="s">
        <v>25</v>
      </c>
      <c r="E1305" s="242" t="s">
        <v>302</v>
      </c>
      <c r="F1305" s="242" t="s">
        <v>58</v>
      </c>
      <c r="G1305" s="243"/>
      <c r="H1305" s="222"/>
      <c r="I1305" s="223"/>
    </row>
    <row r="1306" spans="1:9" s="3" customFormat="1" ht="25.5">
      <c r="A1306" s="253" t="s">
        <v>493</v>
      </c>
      <c r="B1306" s="242" t="s">
        <v>18</v>
      </c>
      <c r="C1306" s="242" t="s">
        <v>37</v>
      </c>
      <c r="D1306" s="242" t="s">
        <v>25</v>
      </c>
      <c r="E1306" s="242" t="s">
        <v>494</v>
      </c>
      <c r="F1306" s="242" t="s">
        <v>58</v>
      </c>
      <c r="G1306" s="243"/>
      <c r="H1306" s="222"/>
      <c r="I1306" s="223"/>
    </row>
    <row r="1307" spans="1:9" s="127" customFormat="1" ht="25.5">
      <c r="A1307" s="232" t="s">
        <v>108</v>
      </c>
      <c r="B1307" s="242" t="s">
        <v>18</v>
      </c>
      <c r="C1307" s="242" t="s">
        <v>37</v>
      </c>
      <c r="D1307" s="242" t="s">
        <v>25</v>
      </c>
      <c r="E1307" s="242" t="s">
        <v>494</v>
      </c>
      <c r="F1307" s="242" t="s">
        <v>116</v>
      </c>
      <c r="G1307" s="243"/>
      <c r="H1307" s="222"/>
      <c r="I1307" s="223"/>
    </row>
    <row r="1308" spans="1:9" s="4" customFormat="1" ht="25.5">
      <c r="A1308" s="236" t="s">
        <v>973</v>
      </c>
      <c r="B1308" s="242" t="s">
        <v>18</v>
      </c>
      <c r="C1308" s="242" t="s">
        <v>37</v>
      </c>
      <c r="D1308" s="242" t="s">
        <v>25</v>
      </c>
      <c r="E1308" s="242" t="s">
        <v>494</v>
      </c>
      <c r="F1308" s="242" t="s">
        <v>1043</v>
      </c>
      <c r="G1308" s="235"/>
      <c r="H1308" s="222"/>
      <c r="I1308" s="223"/>
    </row>
    <row r="1309" spans="1:9" s="127" customFormat="1" ht="51">
      <c r="A1309" s="232" t="s">
        <v>889</v>
      </c>
      <c r="B1309" s="242" t="s">
        <v>18</v>
      </c>
      <c r="C1309" s="234" t="s">
        <v>37</v>
      </c>
      <c r="D1309" s="234" t="s">
        <v>25</v>
      </c>
      <c r="E1309" s="234" t="s">
        <v>834</v>
      </c>
      <c r="F1309" s="234" t="s">
        <v>58</v>
      </c>
      <c r="G1309" s="235"/>
      <c r="H1309" s="222"/>
      <c r="I1309" s="223"/>
    </row>
    <row r="1310" spans="1:9" s="127" customFormat="1" ht="25.5">
      <c r="A1310" s="232" t="s">
        <v>108</v>
      </c>
      <c r="B1310" s="242" t="s">
        <v>18</v>
      </c>
      <c r="C1310" s="234" t="s">
        <v>37</v>
      </c>
      <c r="D1310" s="234" t="s">
        <v>25</v>
      </c>
      <c r="E1310" s="234" t="s">
        <v>834</v>
      </c>
      <c r="F1310" s="234" t="s">
        <v>116</v>
      </c>
      <c r="G1310" s="235"/>
      <c r="H1310" s="222"/>
      <c r="I1310" s="223"/>
    </row>
    <row r="1311" spans="1:9" s="4" customFormat="1" ht="25.5">
      <c r="A1311" s="236" t="s">
        <v>973</v>
      </c>
      <c r="B1311" s="242" t="s">
        <v>18</v>
      </c>
      <c r="C1311" s="234" t="s">
        <v>37</v>
      </c>
      <c r="D1311" s="234" t="s">
        <v>25</v>
      </c>
      <c r="E1311" s="234" t="s">
        <v>834</v>
      </c>
      <c r="F1311" s="234" t="s">
        <v>1043</v>
      </c>
      <c r="G1311" s="235"/>
      <c r="H1311" s="222"/>
      <c r="I1311" s="223"/>
    </row>
    <row r="1312" spans="1:9" s="3" customFormat="1" ht="25.5">
      <c r="A1312" s="232" t="s">
        <v>902</v>
      </c>
      <c r="B1312" s="242" t="s">
        <v>18</v>
      </c>
      <c r="C1312" s="242" t="s">
        <v>37</v>
      </c>
      <c r="D1312" s="242" t="s">
        <v>25</v>
      </c>
      <c r="E1312" s="234" t="s">
        <v>909</v>
      </c>
      <c r="F1312" s="242" t="s">
        <v>58</v>
      </c>
      <c r="G1312" s="243"/>
      <c r="H1312" s="222"/>
      <c r="I1312" s="223"/>
    </row>
    <row r="1313" spans="1:9" s="3" customFormat="1" ht="25.5">
      <c r="A1313" s="232" t="s">
        <v>108</v>
      </c>
      <c r="B1313" s="242" t="s">
        <v>18</v>
      </c>
      <c r="C1313" s="242" t="s">
        <v>37</v>
      </c>
      <c r="D1313" s="242" t="s">
        <v>25</v>
      </c>
      <c r="E1313" s="234" t="s">
        <v>909</v>
      </c>
      <c r="F1313" s="242" t="s">
        <v>116</v>
      </c>
      <c r="G1313" s="243"/>
      <c r="H1313" s="222"/>
      <c r="I1313" s="223"/>
    </row>
    <row r="1314" spans="1:9" s="4" customFormat="1" ht="25.5">
      <c r="A1314" s="236" t="s">
        <v>973</v>
      </c>
      <c r="B1314" s="242" t="s">
        <v>18</v>
      </c>
      <c r="C1314" s="242" t="s">
        <v>37</v>
      </c>
      <c r="D1314" s="242" t="s">
        <v>25</v>
      </c>
      <c r="E1314" s="234" t="s">
        <v>909</v>
      </c>
      <c r="F1314" s="242" t="s">
        <v>1043</v>
      </c>
      <c r="G1314" s="235"/>
      <c r="H1314" s="222"/>
      <c r="I1314" s="223"/>
    </row>
    <row r="1315" spans="1:9" s="127" customFormat="1">
      <c r="A1315" s="281" t="s">
        <v>7</v>
      </c>
      <c r="B1315" s="225" t="s">
        <v>18</v>
      </c>
      <c r="C1315" s="226" t="s">
        <v>8</v>
      </c>
      <c r="D1315" s="226" t="s">
        <v>51</v>
      </c>
      <c r="E1315" s="226" t="s">
        <v>196</v>
      </c>
      <c r="F1315" s="226" t="s">
        <v>58</v>
      </c>
      <c r="G1315" s="227"/>
      <c r="H1315" s="222"/>
      <c r="I1315" s="223"/>
    </row>
    <row r="1316" spans="1:9" s="3" customFormat="1">
      <c r="A1316" s="282" t="s">
        <v>9</v>
      </c>
      <c r="B1316" s="229" t="s">
        <v>18</v>
      </c>
      <c r="C1316" s="230" t="s">
        <v>8</v>
      </c>
      <c r="D1316" s="230" t="s">
        <v>65</v>
      </c>
      <c r="E1316" s="230" t="s">
        <v>196</v>
      </c>
      <c r="F1316" s="230" t="s">
        <v>58</v>
      </c>
      <c r="G1316" s="231"/>
      <c r="H1316" s="222"/>
      <c r="I1316" s="223"/>
    </row>
    <row r="1317" spans="1:9" s="3" customFormat="1" ht="38.25">
      <c r="A1317" s="236" t="s">
        <v>722</v>
      </c>
      <c r="B1317" s="242" t="s">
        <v>18</v>
      </c>
      <c r="C1317" s="242" t="s">
        <v>8</v>
      </c>
      <c r="D1317" s="242" t="s">
        <v>65</v>
      </c>
      <c r="E1317" s="242" t="s">
        <v>300</v>
      </c>
      <c r="F1317" s="242" t="s">
        <v>58</v>
      </c>
      <c r="G1317" s="284"/>
      <c r="H1317" s="222"/>
      <c r="I1317" s="223"/>
    </row>
    <row r="1318" spans="1:9" s="127" customFormat="1" ht="25.5">
      <c r="A1318" s="278" t="s">
        <v>155</v>
      </c>
      <c r="B1318" s="242" t="s">
        <v>18</v>
      </c>
      <c r="C1318" s="242" t="s">
        <v>8</v>
      </c>
      <c r="D1318" s="242" t="s">
        <v>65</v>
      </c>
      <c r="E1318" s="242" t="s">
        <v>495</v>
      </c>
      <c r="F1318" s="242" t="s">
        <v>58</v>
      </c>
      <c r="G1318" s="243"/>
      <c r="H1318" s="222"/>
      <c r="I1318" s="223"/>
    </row>
    <row r="1319" spans="1:9" s="3" customFormat="1" ht="25.5">
      <c r="A1319" s="237" t="s">
        <v>522</v>
      </c>
      <c r="B1319" s="242" t="s">
        <v>18</v>
      </c>
      <c r="C1319" s="242" t="s">
        <v>8</v>
      </c>
      <c r="D1319" s="242" t="s">
        <v>65</v>
      </c>
      <c r="E1319" s="242" t="s">
        <v>497</v>
      </c>
      <c r="F1319" s="242" t="s">
        <v>58</v>
      </c>
      <c r="G1319" s="243"/>
      <c r="H1319" s="222"/>
      <c r="I1319" s="223"/>
    </row>
    <row r="1320" spans="1:9" s="3" customFormat="1">
      <c r="A1320" s="285" t="s">
        <v>148</v>
      </c>
      <c r="B1320" s="242" t="s">
        <v>18</v>
      </c>
      <c r="C1320" s="242" t="s">
        <v>8</v>
      </c>
      <c r="D1320" s="242" t="s">
        <v>65</v>
      </c>
      <c r="E1320" s="242" t="s">
        <v>498</v>
      </c>
      <c r="F1320" s="242" t="s">
        <v>58</v>
      </c>
      <c r="G1320" s="243"/>
      <c r="H1320" s="222"/>
      <c r="I1320" s="223"/>
    </row>
    <row r="1321" spans="1:9" s="3" customFormat="1" ht="25.5">
      <c r="A1321" s="232" t="s">
        <v>108</v>
      </c>
      <c r="B1321" s="242" t="s">
        <v>18</v>
      </c>
      <c r="C1321" s="242" t="s">
        <v>8</v>
      </c>
      <c r="D1321" s="242" t="s">
        <v>65</v>
      </c>
      <c r="E1321" s="242" t="s">
        <v>498</v>
      </c>
      <c r="F1321" s="242" t="s">
        <v>116</v>
      </c>
      <c r="G1321" s="243"/>
      <c r="H1321" s="222"/>
      <c r="I1321" s="223"/>
    </row>
    <row r="1322" spans="1:9" s="3" customFormat="1">
      <c r="A1322" s="232"/>
      <c r="B1322" s="242" t="s">
        <v>18</v>
      </c>
      <c r="C1322" s="242" t="s">
        <v>8</v>
      </c>
      <c r="D1322" s="242" t="s">
        <v>65</v>
      </c>
      <c r="E1322" s="242" t="s">
        <v>498</v>
      </c>
      <c r="F1322" s="234" t="s">
        <v>1070</v>
      </c>
      <c r="G1322" s="235"/>
      <c r="H1322" s="222"/>
      <c r="I1322" s="223"/>
    </row>
    <row r="1323" spans="1:9" s="4" customFormat="1" ht="25.5">
      <c r="A1323" s="236" t="s">
        <v>973</v>
      </c>
      <c r="B1323" s="242" t="s">
        <v>18</v>
      </c>
      <c r="C1323" s="242" t="s">
        <v>8</v>
      </c>
      <c r="D1323" s="242" t="s">
        <v>65</v>
      </c>
      <c r="E1323" s="242" t="s">
        <v>498</v>
      </c>
      <c r="F1323" s="234" t="s">
        <v>1043</v>
      </c>
      <c r="G1323" s="235"/>
      <c r="H1323" s="222"/>
      <c r="I1323" s="223"/>
    </row>
    <row r="1324" spans="1:9" s="3" customFormat="1">
      <c r="A1324" s="283" t="s">
        <v>1</v>
      </c>
      <c r="B1324" s="229" t="s">
        <v>18</v>
      </c>
      <c r="C1324" s="230" t="s">
        <v>8</v>
      </c>
      <c r="D1324" s="230" t="s">
        <v>53</v>
      </c>
      <c r="E1324" s="230" t="s">
        <v>196</v>
      </c>
      <c r="F1324" s="230" t="s">
        <v>58</v>
      </c>
      <c r="G1324" s="231"/>
      <c r="H1324" s="222"/>
      <c r="I1324" s="223"/>
    </row>
    <row r="1325" spans="1:9" s="3" customFormat="1" ht="38.25">
      <c r="A1325" s="236" t="s">
        <v>722</v>
      </c>
      <c r="B1325" s="242" t="s">
        <v>18</v>
      </c>
      <c r="C1325" s="242" t="s">
        <v>8</v>
      </c>
      <c r="D1325" s="242" t="s">
        <v>53</v>
      </c>
      <c r="E1325" s="242" t="s">
        <v>300</v>
      </c>
      <c r="F1325" s="242" t="s">
        <v>58</v>
      </c>
      <c r="G1325" s="243"/>
      <c r="H1325" s="222"/>
      <c r="I1325" s="223"/>
    </row>
    <row r="1326" spans="1:9" s="3" customFormat="1">
      <c r="A1326" s="286" t="s">
        <v>142</v>
      </c>
      <c r="B1326" s="242" t="s">
        <v>18</v>
      </c>
      <c r="C1326" s="242" t="s">
        <v>8</v>
      </c>
      <c r="D1326" s="242" t="s">
        <v>53</v>
      </c>
      <c r="E1326" s="242" t="s">
        <v>453</v>
      </c>
      <c r="F1326" s="242" t="s">
        <v>58</v>
      </c>
      <c r="G1326" s="243"/>
      <c r="H1326" s="222"/>
      <c r="I1326" s="223"/>
    </row>
    <row r="1327" spans="1:9" s="3" customFormat="1">
      <c r="A1327" s="286" t="s">
        <v>454</v>
      </c>
      <c r="B1327" s="242" t="s">
        <v>18</v>
      </c>
      <c r="C1327" s="242" t="s">
        <v>8</v>
      </c>
      <c r="D1327" s="242" t="s">
        <v>53</v>
      </c>
      <c r="E1327" s="234" t="s">
        <v>645</v>
      </c>
      <c r="F1327" s="242" t="s">
        <v>58</v>
      </c>
      <c r="G1327" s="243"/>
      <c r="H1327" s="222"/>
      <c r="I1327" s="223"/>
    </row>
    <row r="1328" spans="1:9" s="3" customFormat="1">
      <c r="A1328" s="286" t="s">
        <v>158</v>
      </c>
      <c r="B1328" s="242" t="s">
        <v>18</v>
      </c>
      <c r="C1328" s="242" t="s">
        <v>8</v>
      </c>
      <c r="D1328" s="242" t="s">
        <v>53</v>
      </c>
      <c r="E1328" s="234" t="s">
        <v>646</v>
      </c>
      <c r="F1328" s="242" t="s">
        <v>58</v>
      </c>
      <c r="G1328" s="243"/>
      <c r="H1328" s="222"/>
      <c r="I1328" s="223"/>
    </row>
    <row r="1329" spans="1:9" s="3" customFormat="1" ht="25.5">
      <c r="A1329" s="232" t="s">
        <v>108</v>
      </c>
      <c r="B1329" s="242" t="s">
        <v>18</v>
      </c>
      <c r="C1329" s="242" t="s">
        <v>8</v>
      </c>
      <c r="D1329" s="242" t="s">
        <v>53</v>
      </c>
      <c r="E1329" s="234" t="s">
        <v>646</v>
      </c>
      <c r="F1329" s="242" t="s">
        <v>116</v>
      </c>
      <c r="G1329" s="235"/>
      <c r="H1329" s="222"/>
      <c r="I1329" s="223"/>
    </row>
    <row r="1330" spans="1:9" s="4" customFormat="1" ht="25.5">
      <c r="A1330" s="236" t="s">
        <v>973</v>
      </c>
      <c r="B1330" s="242" t="s">
        <v>18</v>
      </c>
      <c r="C1330" s="242" t="s">
        <v>8</v>
      </c>
      <c r="D1330" s="242" t="s">
        <v>53</v>
      </c>
      <c r="E1330" s="234" t="s">
        <v>646</v>
      </c>
      <c r="F1330" s="242" t="s">
        <v>1043</v>
      </c>
      <c r="G1330" s="235"/>
      <c r="H1330" s="222"/>
      <c r="I1330" s="223"/>
    </row>
    <row r="1331" spans="1:9" s="3" customFormat="1">
      <c r="A1331" s="236" t="s">
        <v>890</v>
      </c>
      <c r="B1331" s="242" t="s">
        <v>18</v>
      </c>
      <c r="C1331" s="242" t="s">
        <v>8</v>
      </c>
      <c r="D1331" s="242" t="s">
        <v>53</v>
      </c>
      <c r="E1331" s="242" t="s">
        <v>910</v>
      </c>
      <c r="F1331" s="242" t="s">
        <v>58</v>
      </c>
      <c r="G1331" s="243"/>
      <c r="H1331" s="222"/>
      <c r="I1331" s="223"/>
    </row>
    <row r="1332" spans="1:9" s="3" customFormat="1" ht="25.5">
      <c r="A1332" s="232" t="s">
        <v>108</v>
      </c>
      <c r="B1332" s="242" t="s">
        <v>18</v>
      </c>
      <c r="C1332" s="242" t="s">
        <v>8</v>
      </c>
      <c r="D1332" s="242" t="s">
        <v>53</v>
      </c>
      <c r="E1332" s="242" t="s">
        <v>910</v>
      </c>
      <c r="F1332" s="242" t="s">
        <v>116</v>
      </c>
      <c r="G1332" s="235"/>
      <c r="H1332" s="222"/>
      <c r="I1332" s="223"/>
    </row>
    <row r="1333" spans="1:9" s="4" customFormat="1" ht="25.5">
      <c r="A1333" s="236" t="s">
        <v>973</v>
      </c>
      <c r="B1333" s="242" t="s">
        <v>18</v>
      </c>
      <c r="C1333" s="242" t="s">
        <v>8</v>
      </c>
      <c r="D1333" s="242" t="s">
        <v>53</v>
      </c>
      <c r="E1333" s="242" t="s">
        <v>910</v>
      </c>
      <c r="F1333" s="242" t="s">
        <v>1043</v>
      </c>
      <c r="G1333" s="235"/>
      <c r="H1333" s="222"/>
      <c r="I1333" s="223"/>
    </row>
    <row r="1334" spans="1:9" s="3" customFormat="1">
      <c r="A1334" s="224" t="s">
        <v>83</v>
      </c>
      <c r="B1334" s="225" t="s">
        <v>18</v>
      </c>
      <c r="C1334" s="226" t="s">
        <v>50</v>
      </c>
      <c r="D1334" s="226" t="s">
        <v>51</v>
      </c>
      <c r="E1334" s="226" t="s">
        <v>196</v>
      </c>
      <c r="F1334" s="226" t="s">
        <v>58</v>
      </c>
      <c r="G1334" s="227"/>
      <c r="H1334" s="222"/>
      <c r="I1334" s="223"/>
    </row>
    <row r="1335" spans="1:9" s="3" customFormat="1">
      <c r="A1335" s="283" t="s">
        <v>27</v>
      </c>
      <c r="B1335" s="229" t="s">
        <v>18</v>
      </c>
      <c r="C1335" s="230" t="s">
        <v>50</v>
      </c>
      <c r="D1335" s="230" t="s">
        <v>65</v>
      </c>
      <c r="E1335" s="230" t="s">
        <v>196</v>
      </c>
      <c r="F1335" s="230" t="s">
        <v>58</v>
      </c>
      <c r="G1335" s="231"/>
      <c r="H1335" s="222"/>
      <c r="I1335" s="223"/>
    </row>
    <row r="1336" spans="1:9" s="3" customFormat="1">
      <c r="A1336" s="232" t="s">
        <v>739</v>
      </c>
      <c r="B1336" s="234" t="s">
        <v>18</v>
      </c>
      <c r="C1336" s="234" t="s">
        <v>50</v>
      </c>
      <c r="D1336" s="234" t="s">
        <v>65</v>
      </c>
      <c r="E1336" s="234" t="s">
        <v>277</v>
      </c>
      <c r="F1336" s="234" t="s">
        <v>58</v>
      </c>
      <c r="G1336" s="235"/>
      <c r="H1336" s="222"/>
      <c r="I1336" s="223"/>
    </row>
    <row r="1337" spans="1:9" s="3" customFormat="1" ht="38.25">
      <c r="A1337" s="237" t="s">
        <v>559</v>
      </c>
      <c r="B1337" s="242" t="s">
        <v>18</v>
      </c>
      <c r="C1337" s="242" t="s">
        <v>50</v>
      </c>
      <c r="D1337" s="242" t="s">
        <v>65</v>
      </c>
      <c r="E1337" s="242" t="s">
        <v>278</v>
      </c>
      <c r="F1337" s="242" t="s">
        <v>58</v>
      </c>
      <c r="G1337" s="243"/>
      <c r="H1337" s="222"/>
      <c r="I1337" s="223"/>
    </row>
    <row r="1338" spans="1:9" s="3" customFormat="1" ht="51">
      <c r="A1338" s="278" t="s">
        <v>605</v>
      </c>
      <c r="B1338" s="242" t="s">
        <v>18</v>
      </c>
      <c r="C1338" s="242" t="s">
        <v>50</v>
      </c>
      <c r="D1338" s="242" t="s">
        <v>65</v>
      </c>
      <c r="E1338" s="242" t="s">
        <v>279</v>
      </c>
      <c r="F1338" s="242" t="s">
        <v>58</v>
      </c>
      <c r="G1338" s="243"/>
      <c r="H1338" s="222"/>
      <c r="I1338" s="223"/>
    </row>
    <row r="1339" spans="1:9" s="3" customFormat="1">
      <c r="A1339" s="237" t="s">
        <v>161</v>
      </c>
      <c r="B1339" s="242" t="s">
        <v>18</v>
      </c>
      <c r="C1339" s="242" t="s">
        <v>50</v>
      </c>
      <c r="D1339" s="242" t="s">
        <v>65</v>
      </c>
      <c r="E1339" s="242" t="s">
        <v>320</v>
      </c>
      <c r="F1339" s="242" t="s">
        <v>58</v>
      </c>
      <c r="G1339" s="243"/>
      <c r="H1339" s="222"/>
      <c r="I1339" s="223"/>
    </row>
    <row r="1340" spans="1:9" s="3" customFormat="1" ht="25.5">
      <c r="A1340" s="232" t="s">
        <v>108</v>
      </c>
      <c r="B1340" s="242" t="s">
        <v>18</v>
      </c>
      <c r="C1340" s="242" t="s">
        <v>50</v>
      </c>
      <c r="D1340" s="242" t="s">
        <v>65</v>
      </c>
      <c r="E1340" s="242" t="s">
        <v>320</v>
      </c>
      <c r="F1340" s="242" t="s">
        <v>116</v>
      </c>
      <c r="G1340" s="235"/>
      <c r="H1340" s="222"/>
      <c r="I1340" s="223"/>
    </row>
    <row r="1341" spans="1:9" s="4" customFormat="1" ht="25.5">
      <c r="A1341" s="236" t="s">
        <v>973</v>
      </c>
      <c r="B1341" s="242" t="s">
        <v>18</v>
      </c>
      <c r="C1341" s="242" t="s">
        <v>50</v>
      </c>
      <c r="D1341" s="242" t="s">
        <v>65</v>
      </c>
      <c r="E1341" s="242" t="s">
        <v>320</v>
      </c>
      <c r="F1341" s="242" t="s">
        <v>1043</v>
      </c>
      <c r="G1341" s="235"/>
      <c r="H1341" s="222"/>
      <c r="I1341" s="223"/>
    </row>
    <row r="1342" spans="1:9" s="3" customFormat="1" ht="25.5">
      <c r="A1342" s="236" t="s">
        <v>892</v>
      </c>
      <c r="B1342" s="242" t="s">
        <v>18</v>
      </c>
      <c r="C1342" s="242" t="s">
        <v>50</v>
      </c>
      <c r="D1342" s="242" t="s">
        <v>65</v>
      </c>
      <c r="E1342" s="242" t="s">
        <v>500</v>
      </c>
      <c r="F1342" s="242" t="s">
        <v>58</v>
      </c>
      <c r="G1342" s="287"/>
      <c r="H1342" s="222"/>
      <c r="I1342" s="223"/>
    </row>
    <row r="1343" spans="1:9" s="3" customFormat="1" ht="25.5">
      <c r="A1343" s="232" t="s">
        <v>108</v>
      </c>
      <c r="B1343" s="242" t="s">
        <v>18</v>
      </c>
      <c r="C1343" s="242" t="s">
        <v>50</v>
      </c>
      <c r="D1343" s="242" t="s">
        <v>65</v>
      </c>
      <c r="E1343" s="242" t="s">
        <v>500</v>
      </c>
      <c r="F1343" s="242" t="s">
        <v>116</v>
      </c>
      <c r="G1343" s="235"/>
      <c r="H1343" s="222"/>
      <c r="I1343" s="223"/>
    </row>
    <row r="1344" spans="1:9" s="4" customFormat="1" ht="25.5">
      <c r="A1344" s="236" t="s">
        <v>973</v>
      </c>
      <c r="B1344" s="242" t="s">
        <v>18</v>
      </c>
      <c r="C1344" s="242" t="s">
        <v>50</v>
      </c>
      <c r="D1344" s="242" t="s">
        <v>65</v>
      </c>
      <c r="E1344" s="242" t="s">
        <v>500</v>
      </c>
      <c r="F1344" s="242" t="s">
        <v>1043</v>
      </c>
      <c r="G1344" s="235"/>
      <c r="H1344" s="222"/>
      <c r="I1344" s="223"/>
    </row>
    <row r="1345" spans="1:9" s="3" customFormat="1">
      <c r="A1345" s="232"/>
      <c r="B1345" s="242"/>
      <c r="C1345" s="242"/>
      <c r="D1345" s="242"/>
      <c r="E1345" s="242"/>
      <c r="F1345" s="242"/>
      <c r="G1345" s="235"/>
      <c r="H1345" s="222"/>
      <c r="I1345" s="223"/>
    </row>
    <row r="1346" spans="1:9" s="3" customFormat="1">
      <c r="A1346" s="219" t="s">
        <v>19</v>
      </c>
      <c r="B1346" s="220" t="s">
        <v>20</v>
      </c>
      <c r="C1346" s="221" t="s">
        <v>51</v>
      </c>
      <c r="D1346" s="221" t="s">
        <v>51</v>
      </c>
      <c r="E1346" s="221" t="s">
        <v>196</v>
      </c>
      <c r="F1346" s="221" t="s">
        <v>58</v>
      </c>
      <c r="G1346" s="288"/>
      <c r="H1346" s="222"/>
      <c r="I1346" s="223"/>
    </row>
    <row r="1347" spans="1:9" s="3" customFormat="1">
      <c r="A1347" s="224" t="s">
        <v>64</v>
      </c>
      <c r="B1347" s="225" t="s">
        <v>20</v>
      </c>
      <c r="C1347" s="226" t="s">
        <v>65</v>
      </c>
      <c r="D1347" s="226" t="s">
        <v>51</v>
      </c>
      <c r="E1347" s="226" t="s">
        <v>196</v>
      </c>
      <c r="F1347" s="226" t="s">
        <v>58</v>
      </c>
      <c r="G1347" s="227"/>
      <c r="H1347" s="222"/>
      <c r="I1347" s="223"/>
    </row>
    <row r="1348" spans="1:9" s="3" customFormat="1">
      <c r="A1348" s="228" t="s">
        <v>38</v>
      </c>
      <c r="B1348" s="229" t="s">
        <v>20</v>
      </c>
      <c r="C1348" s="230" t="s">
        <v>65</v>
      </c>
      <c r="D1348" s="230" t="s">
        <v>84</v>
      </c>
      <c r="E1348" s="230" t="s">
        <v>196</v>
      </c>
      <c r="F1348" s="230" t="s">
        <v>58</v>
      </c>
      <c r="G1348" s="231"/>
      <c r="H1348" s="222"/>
      <c r="I1348" s="223"/>
    </row>
    <row r="1349" spans="1:9" s="3" customFormat="1" ht="38.25">
      <c r="A1349" s="232" t="s">
        <v>745</v>
      </c>
      <c r="B1349" s="233" t="s">
        <v>20</v>
      </c>
      <c r="C1349" s="234" t="s">
        <v>65</v>
      </c>
      <c r="D1349" s="234" t="s">
        <v>84</v>
      </c>
      <c r="E1349" s="274" t="s">
        <v>280</v>
      </c>
      <c r="F1349" s="234" t="s">
        <v>58</v>
      </c>
      <c r="G1349" s="235"/>
      <c r="H1349" s="222"/>
      <c r="I1349" s="223"/>
    </row>
    <row r="1350" spans="1:9" s="3" customFormat="1" ht="38.25">
      <c r="A1350" s="232" t="s">
        <v>746</v>
      </c>
      <c r="B1350" s="233" t="s">
        <v>20</v>
      </c>
      <c r="C1350" s="234" t="s">
        <v>65</v>
      </c>
      <c r="D1350" s="234" t="s">
        <v>84</v>
      </c>
      <c r="E1350" s="274" t="s">
        <v>281</v>
      </c>
      <c r="F1350" s="234" t="s">
        <v>58</v>
      </c>
      <c r="G1350" s="235"/>
      <c r="H1350" s="222"/>
      <c r="I1350" s="223"/>
    </row>
    <row r="1351" spans="1:9" s="3" customFormat="1" ht="25.5">
      <c r="A1351" s="232" t="s">
        <v>282</v>
      </c>
      <c r="B1351" s="233" t="s">
        <v>20</v>
      </c>
      <c r="C1351" s="234" t="s">
        <v>65</v>
      </c>
      <c r="D1351" s="234" t="s">
        <v>84</v>
      </c>
      <c r="E1351" s="274" t="s">
        <v>283</v>
      </c>
      <c r="F1351" s="234" t="s">
        <v>58</v>
      </c>
      <c r="G1351" s="235"/>
      <c r="H1351" s="222"/>
      <c r="I1351" s="223"/>
    </row>
    <row r="1352" spans="1:9" s="3" customFormat="1" ht="25.5">
      <c r="A1352" s="232" t="s">
        <v>859</v>
      </c>
      <c r="B1352" s="233" t="s">
        <v>20</v>
      </c>
      <c r="C1352" s="234" t="s">
        <v>65</v>
      </c>
      <c r="D1352" s="234" t="s">
        <v>84</v>
      </c>
      <c r="E1352" s="274" t="s">
        <v>858</v>
      </c>
      <c r="F1352" s="234" t="s">
        <v>58</v>
      </c>
      <c r="G1352" s="235"/>
      <c r="H1352" s="222"/>
      <c r="I1352" s="223"/>
    </row>
    <row r="1353" spans="1:9" s="3" customFormat="1" ht="25.5">
      <c r="A1353" s="232" t="s">
        <v>108</v>
      </c>
      <c r="B1353" s="233" t="s">
        <v>20</v>
      </c>
      <c r="C1353" s="234" t="s">
        <v>65</v>
      </c>
      <c r="D1353" s="234" t="s">
        <v>84</v>
      </c>
      <c r="E1353" s="274" t="s">
        <v>858</v>
      </c>
      <c r="F1353" s="234" t="s">
        <v>116</v>
      </c>
      <c r="G1353" s="235"/>
      <c r="H1353" s="222"/>
      <c r="I1353" s="223"/>
    </row>
    <row r="1354" spans="1:9" s="3" customFormat="1" ht="25.5">
      <c r="A1354" s="232" t="s">
        <v>973</v>
      </c>
      <c r="B1354" s="233" t="s">
        <v>20</v>
      </c>
      <c r="C1354" s="234" t="s">
        <v>65</v>
      </c>
      <c r="D1354" s="234" t="s">
        <v>84</v>
      </c>
      <c r="E1354" s="274" t="s">
        <v>858</v>
      </c>
      <c r="F1354" s="234" t="s">
        <v>1043</v>
      </c>
      <c r="G1354" s="235"/>
      <c r="H1354" s="222"/>
      <c r="I1354" s="223"/>
    </row>
    <row r="1355" spans="1:9" s="3" customFormat="1" ht="25.5">
      <c r="A1355" s="232" t="s">
        <v>143</v>
      </c>
      <c r="B1355" s="234" t="s">
        <v>20</v>
      </c>
      <c r="C1355" s="234" t="s">
        <v>65</v>
      </c>
      <c r="D1355" s="234" t="s">
        <v>84</v>
      </c>
      <c r="E1355" s="234" t="s">
        <v>508</v>
      </c>
      <c r="F1355" s="234" t="s">
        <v>58</v>
      </c>
      <c r="G1355" s="235"/>
      <c r="H1355" s="222"/>
      <c r="I1355" s="223"/>
    </row>
    <row r="1356" spans="1:9" s="3" customFormat="1" ht="25.5">
      <c r="A1356" s="232" t="s">
        <v>144</v>
      </c>
      <c r="B1356" s="234" t="s">
        <v>20</v>
      </c>
      <c r="C1356" s="234" t="s">
        <v>65</v>
      </c>
      <c r="D1356" s="234" t="s">
        <v>84</v>
      </c>
      <c r="E1356" s="234" t="s">
        <v>509</v>
      </c>
      <c r="F1356" s="234" t="s">
        <v>58</v>
      </c>
      <c r="G1356" s="235"/>
      <c r="H1356" s="222"/>
      <c r="I1356" s="223"/>
    </row>
    <row r="1357" spans="1:9" s="3" customFormat="1" ht="25.5">
      <c r="A1357" s="232" t="s">
        <v>114</v>
      </c>
      <c r="B1357" s="234" t="s">
        <v>20</v>
      </c>
      <c r="C1357" s="234" t="s">
        <v>65</v>
      </c>
      <c r="D1357" s="234" t="s">
        <v>84</v>
      </c>
      <c r="E1357" s="234" t="s">
        <v>531</v>
      </c>
      <c r="F1357" s="234" t="s">
        <v>58</v>
      </c>
      <c r="G1357" s="235"/>
      <c r="H1357" s="222"/>
      <c r="I1357" s="223"/>
    </row>
    <row r="1358" spans="1:9" s="3" customFormat="1" ht="25.5">
      <c r="A1358" s="232" t="s">
        <v>108</v>
      </c>
      <c r="B1358" s="234" t="s">
        <v>20</v>
      </c>
      <c r="C1358" s="234" t="s">
        <v>65</v>
      </c>
      <c r="D1358" s="234" t="s">
        <v>84</v>
      </c>
      <c r="E1358" s="234" t="s">
        <v>531</v>
      </c>
      <c r="F1358" s="234" t="s">
        <v>116</v>
      </c>
      <c r="G1358" s="235"/>
      <c r="H1358" s="222"/>
      <c r="I1358" s="223"/>
    </row>
    <row r="1359" spans="1:9" s="4" customFormat="1" ht="25.5">
      <c r="A1359" s="232" t="s">
        <v>973</v>
      </c>
      <c r="B1359" s="234" t="s">
        <v>20</v>
      </c>
      <c r="C1359" s="234" t="s">
        <v>65</v>
      </c>
      <c r="D1359" s="234" t="s">
        <v>84</v>
      </c>
      <c r="E1359" s="234" t="s">
        <v>531</v>
      </c>
      <c r="F1359" s="234" t="s">
        <v>1043</v>
      </c>
      <c r="G1359" s="235"/>
      <c r="H1359" s="222"/>
      <c r="I1359" s="223"/>
    </row>
    <row r="1360" spans="1:9" s="3" customFormat="1">
      <c r="A1360" s="232" t="s">
        <v>130</v>
      </c>
      <c r="B1360" s="234" t="s">
        <v>20</v>
      </c>
      <c r="C1360" s="234" t="s">
        <v>65</v>
      </c>
      <c r="D1360" s="234" t="s">
        <v>84</v>
      </c>
      <c r="E1360" s="234" t="s">
        <v>510</v>
      </c>
      <c r="F1360" s="234" t="s">
        <v>58</v>
      </c>
      <c r="G1360" s="235"/>
      <c r="H1360" s="222"/>
      <c r="I1360" s="223"/>
    </row>
    <row r="1361" spans="1:9" s="3" customFormat="1">
      <c r="A1361" s="232" t="s">
        <v>96</v>
      </c>
      <c r="B1361" s="234" t="s">
        <v>20</v>
      </c>
      <c r="C1361" s="234" t="s">
        <v>65</v>
      </c>
      <c r="D1361" s="234" t="s">
        <v>84</v>
      </c>
      <c r="E1361" s="234" t="s">
        <v>510</v>
      </c>
      <c r="F1361" s="234" t="s">
        <v>131</v>
      </c>
      <c r="G1361" s="235"/>
      <c r="H1361" s="222"/>
      <c r="I1361" s="223"/>
    </row>
    <row r="1362" spans="1:9" s="4" customFormat="1" ht="25.5">
      <c r="A1362" s="232" t="s">
        <v>1044</v>
      </c>
      <c r="B1362" s="234" t="s">
        <v>20</v>
      </c>
      <c r="C1362" s="234" t="s">
        <v>65</v>
      </c>
      <c r="D1362" s="234" t="s">
        <v>84</v>
      </c>
      <c r="E1362" s="234" t="s">
        <v>510</v>
      </c>
      <c r="F1362" s="234" t="s">
        <v>1045</v>
      </c>
      <c r="G1362" s="235"/>
      <c r="H1362" s="222"/>
      <c r="I1362" s="223"/>
    </row>
    <row r="1363" spans="1:9" s="3" customFormat="1">
      <c r="A1363" s="224" t="s">
        <v>35</v>
      </c>
      <c r="B1363" s="225" t="s">
        <v>20</v>
      </c>
      <c r="C1363" s="226" t="s">
        <v>37</v>
      </c>
      <c r="D1363" s="226" t="s">
        <v>51</v>
      </c>
      <c r="E1363" s="226" t="s">
        <v>196</v>
      </c>
      <c r="F1363" s="226" t="s">
        <v>58</v>
      </c>
      <c r="G1363" s="227"/>
      <c r="H1363" s="222"/>
      <c r="I1363" s="223"/>
    </row>
    <row r="1364" spans="1:9" s="3" customFormat="1">
      <c r="A1364" s="228" t="s">
        <v>76</v>
      </c>
      <c r="B1364" s="229" t="s">
        <v>20</v>
      </c>
      <c r="C1364" s="230" t="s">
        <v>37</v>
      </c>
      <c r="D1364" s="230" t="s">
        <v>71</v>
      </c>
      <c r="E1364" s="230" t="s">
        <v>196</v>
      </c>
      <c r="F1364" s="230" t="s">
        <v>58</v>
      </c>
      <c r="G1364" s="231"/>
      <c r="H1364" s="222"/>
      <c r="I1364" s="223"/>
    </row>
    <row r="1365" spans="1:9" s="3" customFormat="1" ht="38.25">
      <c r="A1365" s="236" t="s">
        <v>722</v>
      </c>
      <c r="B1365" s="234" t="s">
        <v>20</v>
      </c>
      <c r="C1365" s="234" t="s">
        <v>37</v>
      </c>
      <c r="D1365" s="234" t="s">
        <v>71</v>
      </c>
      <c r="E1365" s="234" t="s">
        <v>300</v>
      </c>
      <c r="F1365" s="234" t="s">
        <v>58</v>
      </c>
      <c r="G1365" s="235"/>
      <c r="H1365" s="222"/>
      <c r="I1365" s="223"/>
    </row>
    <row r="1366" spans="1:9" s="3" customFormat="1">
      <c r="A1366" s="232" t="s">
        <v>142</v>
      </c>
      <c r="B1366" s="234" t="s">
        <v>20</v>
      </c>
      <c r="C1366" s="234" t="s">
        <v>37</v>
      </c>
      <c r="D1366" s="234" t="s">
        <v>71</v>
      </c>
      <c r="E1366" s="234" t="s">
        <v>453</v>
      </c>
      <c r="F1366" s="234" t="s">
        <v>58</v>
      </c>
      <c r="G1366" s="235"/>
      <c r="H1366" s="222"/>
      <c r="I1366" s="223"/>
    </row>
    <row r="1367" spans="1:9" s="3" customFormat="1" ht="25.5">
      <c r="A1367" s="232" t="s">
        <v>649</v>
      </c>
      <c r="B1367" s="234" t="s">
        <v>20</v>
      </c>
      <c r="C1367" s="234" t="s">
        <v>37</v>
      </c>
      <c r="D1367" s="234" t="s">
        <v>71</v>
      </c>
      <c r="E1367" s="234" t="s">
        <v>455</v>
      </c>
      <c r="F1367" s="234" t="s">
        <v>58</v>
      </c>
      <c r="G1367" s="235"/>
      <c r="H1367" s="222"/>
      <c r="I1367" s="223"/>
    </row>
    <row r="1368" spans="1:9" s="3" customFormat="1">
      <c r="A1368" s="232" t="s">
        <v>247</v>
      </c>
      <c r="B1368" s="234" t="s">
        <v>20</v>
      </c>
      <c r="C1368" s="234" t="s">
        <v>37</v>
      </c>
      <c r="D1368" s="234" t="s">
        <v>71</v>
      </c>
      <c r="E1368" s="234" t="s">
        <v>511</v>
      </c>
      <c r="F1368" s="234" t="s">
        <v>58</v>
      </c>
      <c r="G1368" s="235"/>
      <c r="H1368" s="222"/>
      <c r="I1368" s="223"/>
    </row>
    <row r="1369" spans="1:9" s="3" customFormat="1">
      <c r="A1369" s="244" t="s">
        <v>92</v>
      </c>
      <c r="B1369" s="234" t="s">
        <v>20</v>
      </c>
      <c r="C1369" s="234" t="s">
        <v>37</v>
      </c>
      <c r="D1369" s="234" t="s">
        <v>71</v>
      </c>
      <c r="E1369" s="234" t="s">
        <v>511</v>
      </c>
      <c r="F1369" s="234" t="s">
        <v>138</v>
      </c>
      <c r="G1369" s="235"/>
      <c r="H1369" s="222"/>
      <c r="I1369" s="223"/>
    </row>
    <row r="1370" spans="1:9" s="4" customFormat="1" ht="38.25">
      <c r="A1370" s="244" t="s">
        <v>1015</v>
      </c>
      <c r="B1370" s="234" t="s">
        <v>20</v>
      </c>
      <c r="C1370" s="234" t="s">
        <v>37</v>
      </c>
      <c r="D1370" s="234" t="s">
        <v>71</v>
      </c>
      <c r="E1370" s="234" t="s">
        <v>511</v>
      </c>
      <c r="F1370" s="234" t="s">
        <v>67</v>
      </c>
      <c r="G1370" s="235"/>
      <c r="H1370" s="222"/>
      <c r="I1370" s="223"/>
    </row>
    <row r="1371" spans="1:9" s="4" customFormat="1">
      <c r="A1371" s="244" t="s">
        <v>1016</v>
      </c>
      <c r="B1371" s="234" t="s">
        <v>20</v>
      </c>
      <c r="C1371" s="234" t="s">
        <v>37</v>
      </c>
      <c r="D1371" s="234" t="s">
        <v>71</v>
      </c>
      <c r="E1371" s="234" t="s">
        <v>511</v>
      </c>
      <c r="F1371" s="234" t="s">
        <v>1046</v>
      </c>
      <c r="G1371" s="235"/>
      <c r="H1371" s="222"/>
      <c r="I1371" s="223"/>
    </row>
    <row r="1372" spans="1:9" s="3" customFormat="1">
      <c r="A1372" s="228" t="s">
        <v>6</v>
      </c>
      <c r="B1372" s="229" t="s">
        <v>20</v>
      </c>
      <c r="C1372" s="230" t="s">
        <v>37</v>
      </c>
      <c r="D1372" s="230" t="s">
        <v>50</v>
      </c>
      <c r="E1372" s="230" t="s">
        <v>196</v>
      </c>
      <c r="F1372" s="230" t="s">
        <v>58</v>
      </c>
      <c r="G1372" s="231"/>
      <c r="H1372" s="222"/>
      <c r="I1372" s="223"/>
    </row>
    <row r="1373" spans="1:9" s="3" customFormat="1">
      <c r="A1373" s="248" t="s">
        <v>727</v>
      </c>
      <c r="B1373" s="234" t="s">
        <v>20</v>
      </c>
      <c r="C1373" s="234" t="s">
        <v>37</v>
      </c>
      <c r="D1373" s="234" t="s">
        <v>50</v>
      </c>
      <c r="E1373" s="234" t="s">
        <v>327</v>
      </c>
      <c r="F1373" s="234" t="s">
        <v>58</v>
      </c>
      <c r="G1373" s="235"/>
      <c r="H1373" s="222"/>
      <c r="I1373" s="223"/>
    </row>
    <row r="1374" spans="1:9" s="3" customFormat="1">
      <c r="A1374" s="248" t="s">
        <v>145</v>
      </c>
      <c r="B1374" s="234" t="s">
        <v>20</v>
      </c>
      <c r="C1374" s="234" t="s">
        <v>37</v>
      </c>
      <c r="D1374" s="234" t="s">
        <v>50</v>
      </c>
      <c r="E1374" s="234" t="s">
        <v>437</v>
      </c>
      <c r="F1374" s="234" t="s">
        <v>58</v>
      </c>
      <c r="G1374" s="235"/>
      <c r="H1374" s="222"/>
      <c r="I1374" s="223"/>
    </row>
    <row r="1375" spans="1:9" s="3" customFormat="1" ht="25.5">
      <c r="A1375" s="248" t="s">
        <v>513</v>
      </c>
      <c r="B1375" s="234" t="s">
        <v>20</v>
      </c>
      <c r="C1375" s="234" t="s">
        <v>37</v>
      </c>
      <c r="D1375" s="234" t="s">
        <v>50</v>
      </c>
      <c r="E1375" s="234" t="s">
        <v>438</v>
      </c>
      <c r="F1375" s="234" t="s">
        <v>58</v>
      </c>
      <c r="G1375" s="235"/>
      <c r="H1375" s="222"/>
      <c r="I1375" s="223"/>
    </row>
    <row r="1376" spans="1:9" s="3" customFormat="1" ht="25.5">
      <c r="A1376" s="248" t="s">
        <v>706</v>
      </c>
      <c r="B1376" s="234" t="s">
        <v>20</v>
      </c>
      <c r="C1376" s="234" t="s">
        <v>37</v>
      </c>
      <c r="D1376" s="234" t="s">
        <v>50</v>
      </c>
      <c r="E1376" s="234" t="s">
        <v>766</v>
      </c>
      <c r="F1376" s="234" t="s">
        <v>58</v>
      </c>
      <c r="G1376" s="235"/>
      <c r="H1376" s="222"/>
      <c r="I1376" s="223"/>
    </row>
    <row r="1377" spans="1:9" s="3" customFormat="1" ht="25.5">
      <c r="A1377" s="232" t="s">
        <v>108</v>
      </c>
      <c r="B1377" s="234" t="s">
        <v>20</v>
      </c>
      <c r="C1377" s="234" t="s">
        <v>37</v>
      </c>
      <c r="D1377" s="234" t="s">
        <v>50</v>
      </c>
      <c r="E1377" s="234" t="s">
        <v>766</v>
      </c>
      <c r="F1377" s="234" t="s">
        <v>116</v>
      </c>
      <c r="G1377" s="235"/>
      <c r="H1377" s="222"/>
      <c r="I1377" s="223"/>
    </row>
    <row r="1378" spans="1:9" s="4" customFormat="1" ht="25.5">
      <c r="A1378" s="232" t="s">
        <v>973</v>
      </c>
      <c r="B1378" s="234" t="s">
        <v>20</v>
      </c>
      <c r="C1378" s="234" t="s">
        <v>37</v>
      </c>
      <c r="D1378" s="234" t="s">
        <v>50</v>
      </c>
      <c r="E1378" s="234" t="s">
        <v>766</v>
      </c>
      <c r="F1378" s="234" t="s">
        <v>1043</v>
      </c>
      <c r="G1378" s="235"/>
      <c r="H1378" s="222"/>
      <c r="I1378" s="223"/>
    </row>
    <row r="1379" spans="1:9" s="3" customFormat="1" ht="38.25">
      <c r="A1379" s="236" t="s">
        <v>722</v>
      </c>
      <c r="B1379" s="234" t="s">
        <v>20</v>
      </c>
      <c r="C1379" s="234" t="s">
        <v>37</v>
      </c>
      <c r="D1379" s="234" t="s">
        <v>50</v>
      </c>
      <c r="E1379" s="234" t="s">
        <v>300</v>
      </c>
      <c r="F1379" s="234" t="s">
        <v>58</v>
      </c>
      <c r="G1379" s="235"/>
      <c r="H1379" s="222"/>
      <c r="I1379" s="223"/>
    </row>
    <row r="1380" spans="1:9" s="3" customFormat="1" ht="38.25">
      <c r="A1380" s="252" t="s">
        <v>729</v>
      </c>
      <c r="B1380" s="234" t="s">
        <v>20</v>
      </c>
      <c r="C1380" s="234" t="s">
        <v>37</v>
      </c>
      <c r="D1380" s="234" t="s">
        <v>50</v>
      </c>
      <c r="E1380" s="234" t="s">
        <v>301</v>
      </c>
      <c r="F1380" s="234" t="s">
        <v>58</v>
      </c>
      <c r="G1380" s="235"/>
      <c r="H1380" s="222"/>
      <c r="I1380" s="223"/>
    </row>
    <row r="1381" spans="1:9" s="3" customFormat="1" ht="38.25">
      <c r="A1381" s="248" t="s">
        <v>654</v>
      </c>
      <c r="B1381" s="234" t="s">
        <v>20</v>
      </c>
      <c r="C1381" s="234" t="s">
        <v>37</v>
      </c>
      <c r="D1381" s="234" t="s">
        <v>50</v>
      </c>
      <c r="E1381" s="234" t="s">
        <v>514</v>
      </c>
      <c r="F1381" s="234" t="s">
        <v>58</v>
      </c>
      <c r="G1381" s="235"/>
      <c r="H1381" s="222"/>
      <c r="I1381" s="223"/>
    </row>
    <row r="1382" spans="1:9" s="3" customFormat="1">
      <c r="A1382" s="248" t="s">
        <v>247</v>
      </c>
      <c r="B1382" s="234" t="s">
        <v>20</v>
      </c>
      <c r="C1382" s="234" t="s">
        <v>37</v>
      </c>
      <c r="D1382" s="234" t="s">
        <v>50</v>
      </c>
      <c r="E1382" s="234" t="s">
        <v>515</v>
      </c>
      <c r="F1382" s="234" t="s">
        <v>58</v>
      </c>
      <c r="G1382" s="235"/>
      <c r="H1382" s="222"/>
      <c r="I1382" s="223"/>
    </row>
    <row r="1383" spans="1:9" s="3" customFormat="1">
      <c r="A1383" s="244" t="s">
        <v>92</v>
      </c>
      <c r="B1383" s="234" t="s">
        <v>20</v>
      </c>
      <c r="C1383" s="234" t="s">
        <v>37</v>
      </c>
      <c r="D1383" s="234" t="s">
        <v>50</v>
      </c>
      <c r="E1383" s="234" t="s">
        <v>515</v>
      </c>
      <c r="F1383" s="234" t="s">
        <v>138</v>
      </c>
      <c r="G1383" s="235"/>
      <c r="H1383" s="222"/>
      <c r="I1383" s="223"/>
    </row>
    <row r="1384" spans="1:9" s="4" customFormat="1" ht="38.25">
      <c r="A1384" s="244" t="s">
        <v>1015</v>
      </c>
      <c r="B1384" s="234" t="s">
        <v>20</v>
      </c>
      <c r="C1384" s="234" t="s">
        <v>37</v>
      </c>
      <c r="D1384" s="234" t="s">
        <v>50</v>
      </c>
      <c r="E1384" s="234" t="s">
        <v>515</v>
      </c>
      <c r="F1384" s="234" t="s">
        <v>67</v>
      </c>
      <c r="G1384" s="235"/>
      <c r="H1384" s="222"/>
      <c r="I1384" s="223"/>
    </row>
    <row r="1385" spans="1:9" s="3" customFormat="1">
      <c r="A1385" s="248" t="s">
        <v>768</v>
      </c>
      <c r="B1385" s="234" t="s">
        <v>20</v>
      </c>
      <c r="C1385" s="234" t="s">
        <v>37</v>
      </c>
      <c r="D1385" s="234" t="s">
        <v>50</v>
      </c>
      <c r="E1385" s="234" t="s">
        <v>516</v>
      </c>
      <c r="F1385" s="234" t="s">
        <v>58</v>
      </c>
      <c r="G1385" s="235"/>
      <c r="H1385" s="222"/>
      <c r="I1385" s="223"/>
    </row>
    <row r="1386" spans="1:9" s="3" customFormat="1" ht="38.25">
      <c r="A1386" s="237" t="s">
        <v>561</v>
      </c>
      <c r="B1386" s="234" t="s">
        <v>20</v>
      </c>
      <c r="C1386" s="234" t="s">
        <v>37</v>
      </c>
      <c r="D1386" s="234" t="s">
        <v>50</v>
      </c>
      <c r="E1386" s="234" t="s">
        <v>516</v>
      </c>
      <c r="F1386" s="234" t="s">
        <v>101</v>
      </c>
      <c r="G1386" s="235"/>
      <c r="H1386" s="222"/>
      <c r="I1386" s="223"/>
    </row>
    <row r="1387" spans="1:9" s="4" customFormat="1" ht="63.75">
      <c r="A1387" s="237" t="s">
        <v>1048</v>
      </c>
      <c r="B1387" s="234" t="s">
        <v>20</v>
      </c>
      <c r="C1387" s="234" t="s">
        <v>37</v>
      </c>
      <c r="D1387" s="234" t="s">
        <v>50</v>
      </c>
      <c r="E1387" s="234" t="s">
        <v>516</v>
      </c>
      <c r="F1387" s="234" t="s">
        <v>1051</v>
      </c>
      <c r="G1387" s="235"/>
      <c r="H1387" s="222"/>
      <c r="I1387" s="223"/>
    </row>
    <row r="1388" spans="1:9" s="3" customFormat="1">
      <c r="A1388" s="228" t="s">
        <v>88</v>
      </c>
      <c r="B1388" s="229" t="s">
        <v>20</v>
      </c>
      <c r="C1388" s="230" t="s">
        <v>37</v>
      </c>
      <c r="D1388" s="230" t="s">
        <v>25</v>
      </c>
      <c r="E1388" s="230" t="s">
        <v>196</v>
      </c>
      <c r="F1388" s="230" t="s">
        <v>58</v>
      </c>
      <c r="G1388" s="231"/>
      <c r="H1388" s="222"/>
      <c r="I1388" s="223"/>
    </row>
    <row r="1389" spans="1:9" s="3" customFormat="1" ht="38.25">
      <c r="A1389" s="248" t="s">
        <v>725</v>
      </c>
      <c r="B1389" s="233" t="s">
        <v>20</v>
      </c>
      <c r="C1389" s="233" t="s">
        <v>37</v>
      </c>
      <c r="D1389" s="233" t="s">
        <v>25</v>
      </c>
      <c r="E1389" s="233" t="s">
        <v>296</v>
      </c>
      <c r="F1389" s="233" t="s">
        <v>58</v>
      </c>
      <c r="G1389" s="289"/>
      <c r="H1389" s="222"/>
      <c r="I1389" s="223"/>
    </row>
    <row r="1390" spans="1:9" s="3" customFormat="1" ht="38.25">
      <c r="A1390" s="232" t="s">
        <v>726</v>
      </c>
      <c r="B1390" s="233" t="s">
        <v>20</v>
      </c>
      <c r="C1390" s="233" t="s">
        <v>37</v>
      </c>
      <c r="D1390" s="233" t="s">
        <v>25</v>
      </c>
      <c r="E1390" s="233" t="s">
        <v>297</v>
      </c>
      <c r="F1390" s="233" t="s">
        <v>58</v>
      </c>
      <c r="G1390" s="289"/>
      <c r="H1390" s="222"/>
      <c r="I1390" s="223"/>
    </row>
    <row r="1391" spans="1:9" s="3" customFormat="1" ht="51">
      <c r="A1391" s="236" t="s">
        <v>620</v>
      </c>
      <c r="B1391" s="233" t="s">
        <v>20</v>
      </c>
      <c r="C1391" s="233" t="s">
        <v>37</v>
      </c>
      <c r="D1391" s="233" t="s">
        <v>25</v>
      </c>
      <c r="E1391" s="233" t="s">
        <v>512</v>
      </c>
      <c r="F1391" s="233" t="s">
        <v>58</v>
      </c>
      <c r="G1391" s="289"/>
      <c r="H1391" s="222"/>
      <c r="I1391" s="223"/>
    </row>
    <row r="1392" spans="1:9" s="3" customFormat="1" ht="38.25">
      <c r="A1392" s="236" t="s">
        <v>893</v>
      </c>
      <c r="B1392" s="233" t="s">
        <v>20</v>
      </c>
      <c r="C1392" s="233" t="s">
        <v>37</v>
      </c>
      <c r="D1392" s="233" t="s">
        <v>25</v>
      </c>
      <c r="E1392" s="233" t="s">
        <v>517</v>
      </c>
      <c r="F1392" s="233" t="s">
        <v>58</v>
      </c>
      <c r="G1392" s="289"/>
      <c r="H1392" s="222"/>
      <c r="I1392" s="223"/>
    </row>
    <row r="1393" spans="1:9" s="3" customFormat="1" ht="25.5">
      <c r="A1393" s="232" t="s">
        <v>108</v>
      </c>
      <c r="B1393" s="233" t="s">
        <v>20</v>
      </c>
      <c r="C1393" s="233" t="s">
        <v>37</v>
      </c>
      <c r="D1393" s="233" t="s">
        <v>25</v>
      </c>
      <c r="E1393" s="233" t="s">
        <v>517</v>
      </c>
      <c r="F1393" s="233" t="s">
        <v>116</v>
      </c>
      <c r="G1393" s="289"/>
      <c r="H1393" s="222"/>
      <c r="I1393" s="223"/>
    </row>
    <row r="1394" spans="1:9" s="4" customFormat="1" ht="25.5">
      <c r="A1394" s="236" t="s">
        <v>973</v>
      </c>
      <c r="B1394" s="233" t="s">
        <v>20</v>
      </c>
      <c r="C1394" s="233" t="s">
        <v>37</v>
      </c>
      <c r="D1394" s="233" t="s">
        <v>25</v>
      </c>
      <c r="E1394" s="233" t="s">
        <v>517</v>
      </c>
      <c r="F1394" s="233" t="s">
        <v>1043</v>
      </c>
      <c r="G1394" s="235"/>
      <c r="H1394" s="222"/>
      <c r="I1394" s="223"/>
    </row>
    <row r="1395" spans="1:9" s="3" customFormat="1" ht="38.25">
      <c r="A1395" s="236" t="s">
        <v>722</v>
      </c>
      <c r="B1395" s="234" t="s">
        <v>20</v>
      </c>
      <c r="C1395" s="234" t="s">
        <v>37</v>
      </c>
      <c r="D1395" s="234" t="s">
        <v>25</v>
      </c>
      <c r="E1395" s="234" t="s">
        <v>300</v>
      </c>
      <c r="F1395" s="233" t="s">
        <v>58</v>
      </c>
      <c r="G1395" s="289"/>
      <c r="H1395" s="222"/>
      <c r="I1395" s="223"/>
    </row>
    <row r="1396" spans="1:9" s="3" customFormat="1" ht="38.25">
      <c r="A1396" s="252" t="s">
        <v>729</v>
      </c>
      <c r="B1396" s="234" t="s">
        <v>20</v>
      </c>
      <c r="C1396" s="234" t="s">
        <v>37</v>
      </c>
      <c r="D1396" s="234" t="s">
        <v>25</v>
      </c>
      <c r="E1396" s="234" t="s">
        <v>301</v>
      </c>
      <c r="F1396" s="233" t="s">
        <v>58</v>
      </c>
      <c r="G1396" s="289"/>
      <c r="H1396" s="222"/>
      <c r="I1396" s="223"/>
    </row>
    <row r="1397" spans="1:9" s="3" customFormat="1" ht="38.25">
      <c r="A1397" s="232" t="s">
        <v>644</v>
      </c>
      <c r="B1397" s="234" t="s">
        <v>20</v>
      </c>
      <c r="C1397" s="234" t="s">
        <v>37</v>
      </c>
      <c r="D1397" s="234" t="s">
        <v>25</v>
      </c>
      <c r="E1397" s="234" t="s">
        <v>302</v>
      </c>
      <c r="F1397" s="233" t="s">
        <v>58</v>
      </c>
      <c r="G1397" s="289"/>
      <c r="H1397" s="222"/>
      <c r="I1397" s="223"/>
    </row>
    <row r="1398" spans="1:9" s="3" customFormat="1">
      <c r="A1398" s="232" t="s">
        <v>896</v>
      </c>
      <c r="B1398" s="234" t="s">
        <v>20</v>
      </c>
      <c r="C1398" s="234" t="s">
        <v>37</v>
      </c>
      <c r="D1398" s="234" t="s">
        <v>25</v>
      </c>
      <c r="E1398" s="234" t="s">
        <v>492</v>
      </c>
      <c r="F1398" s="233" t="s">
        <v>58</v>
      </c>
      <c r="G1398" s="289"/>
      <c r="H1398" s="222"/>
      <c r="I1398" s="223"/>
    </row>
    <row r="1399" spans="1:9" s="3" customFormat="1" ht="25.5">
      <c r="A1399" s="232" t="s">
        <v>108</v>
      </c>
      <c r="B1399" s="234" t="s">
        <v>20</v>
      </c>
      <c r="C1399" s="234" t="s">
        <v>37</v>
      </c>
      <c r="D1399" s="234" t="s">
        <v>25</v>
      </c>
      <c r="E1399" s="234" t="s">
        <v>492</v>
      </c>
      <c r="F1399" s="233" t="s">
        <v>116</v>
      </c>
      <c r="G1399" s="289"/>
      <c r="H1399" s="222"/>
      <c r="I1399" s="223"/>
    </row>
    <row r="1400" spans="1:9" s="4" customFormat="1" ht="25.5">
      <c r="A1400" s="236" t="s">
        <v>973</v>
      </c>
      <c r="B1400" s="234" t="s">
        <v>20</v>
      </c>
      <c r="C1400" s="234" t="s">
        <v>37</v>
      </c>
      <c r="D1400" s="234" t="s">
        <v>25</v>
      </c>
      <c r="E1400" s="234" t="s">
        <v>492</v>
      </c>
      <c r="F1400" s="233" t="s">
        <v>1043</v>
      </c>
      <c r="G1400" s="235"/>
      <c r="H1400" s="222"/>
      <c r="I1400" s="223"/>
    </row>
    <row r="1401" spans="1:9" s="3" customFormat="1" ht="51">
      <c r="A1401" s="232" t="s">
        <v>589</v>
      </c>
      <c r="B1401" s="234" t="s">
        <v>20</v>
      </c>
      <c r="C1401" s="234" t="s">
        <v>37</v>
      </c>
      <c r="D1401" s="234" t="s">
        <v>25</v>
      </c>
      <c r="E1401" s="234" t="s">
        <v>518</v>
      </c>
      <c r="F1401" s="233" t="s">
        <v>58</v>
      </c>
      <c r="G1401" s="289"/>
      <c r="H1401" s="222"/>
      <c r="I1401" s="223"/>
    </row>
    <row r="1402" spans="1:9" s="3" customFormat="1" ht="25.5">
      <c r="A1402" s="232" t="s">
        <v>108</v>
      </c>
      <c r="B1402" s="234" t="s">
        <v>20</v>
      </c>
      <c r="C1402" s="234" t="s">
        <v>37</v>
      </c>
      <c r="D1402" s="234" t="s">
        <v>25</v>
      </c>
      <c r="E1402" s="234" t="s">
        <v>518</v>
      </c>
      <c r="F1402" s="233" t="s">
        <v>116</v>
      </c>
      <c r="G1402" s="289"/>
      <c r="H1402" s="222"/>
      <c r="I1402" s="223"/>
    </row>
    <row r="1403" spans="1:9" s="4" customFormat="1" ht="25.5">
      <c r="A1403" s="236" t="s">
        <v>973</v>
      </c>
      <c r="B1403" s="234" t="s">
        <v>20</v>
      </c>
      <c r="C1403" s="234" t="s">
        <v>37</v>
      </c>
      <c r="D1403" s="234" t="s">
        <v>25</v>
      </c>
      <c r="E1403" s="234" t="s">
        <v>518</v>
      </c>
      <c r="F1403" s="233" t="s">
        <v>1043</v>
      </c>
      <c r="G1403" s="235"/>
      <c r="H1403" s="222"/>
      <c r="I1403" s="223"/>
    </row>
    <row r="1404" spans="1:9" s="3" customFormat="1" ht="51">
      <c r="A1404" s="232" t="s">
        <v>912</v>
      </c>
      <c r="B1404" s="233" t="s">
        <v>20</v>
      </c>
      <c r="C1404" s="234" t="s">
        <v>37</v>
      </c>
      <c r="D1404" s="234" t="s">
        <v>25</v>
      </c>
      <c r="E1404" s="274" t="s">
        <v>521</v>
      </c>
      <c r="F1404" s="233" t="s">
        <v>58</v>
      </c>
      <c r="G1404" s="289"/>
      <c r="H1404" s="222"/>
      <c r="I1404" s="223"/>
    </row>
    <row r="1405" spans="1:9" s="3" customFormat="1" ht="38.25">
      <c r="A1405" s="237" t="s">
        <v>561</v>
      </c>
      <c r="B1405" s="233" t="s">
        <v>20</v>
      </c>
      <c r="C1405" s="234" t="s">
        <v>37</v>
      </c>
      <c r="D1405" s="234" t="s">
        <v>25</v>
      </c>
      <c r="E1405" s="274" t="s">
        <v>521</v>
      </c>
      <c r="F1405" s="233" t="s">
        <v>101</v>
      </c>
      <c r="G1405" s="289"/>
      <c r="H1405" s="222"/>
      <c r="I1405" s="223"/>
    </row>
    <row r="1406" spans="1:9" s="4" customFormat="1" ht="38.25">
      <c r="A1406" s="236" t="s">
        <v>1047</v>
      </c>
      <c r="B1406" s="233" t="s">
        <v>20</v>
      </c>
      <c r="C1406" s="234" t="s">
        <v>37</v>
      </c>
      <c r="D1406" s="234" t="s">
        <v>25</v>
      </c>
      <c r="E1406" s="274" t="s">
        <v>521</v>
      </c>
      <c r="F1406" s="233" t="s">
        <v>1050</v>
      </c>
      <c r="G1406" s="235"/>
      <c r="H1406" s="222"/>
      <c r="I1406" s="223"/>
    </row>
    <row r="1407" spans="1:9" s="3" customFormat="1" ht="25.5">
      <c r="A1407" s="232" t="s">
        <v>913</v>
      </c>
      <c r="B1407" s="233" t="s">
        <v>20</v>
      </c>
      <c r="C1407" s="234" t="s">
        <v>37</v>
      </c>
      <c r="D1407" s="234" t="s">
        <v>25</v>
      </c>
      <c r="E1407" s="274" t="s">
        <v>691</v>
      </c>
      <c r="F1407" s="233" t="s">
        <v>58</v>
      </c>
      <c r="G1407" s="289"/>
      <c r="H1407" s="222"/>
      <c r="I1407" s="223"/>
    </row>
    <row r="1408" spans="1:9" s="3" customFormat="1" ht="25.5">
      <c r="A1408" s="232" t="s">
        <v>108</v>
      </c>
      <c r="B1408" s="233" t="s">
        <v>20</v>
      </c>
      <c r="C1408" s="234" t="s">
        <v>37</v>
      </c>
      <c r="D1408" s="234" t="s">
        <v>25</v>
      </c>
      <c r="E1408" s="274" t="s">
        <v>691</v>
      </c>
      <c r="F1408" s="233" t="s">
        <v>116</v>
      </c>
      <c r="G1408" s="289"/>
      <c r="H1408" s="222"/>
      <c r="I1408" s="223"/>
    </row>
    <row r="1409" spans="1:9" s="4" customFormat="1" ht="25.5">
      <c r="A1409" s="236" t="s">
        <v>973</v>
      </c>
      <c r="B1409" s="233" t="s">
        <v>20</v>
      </c>
      <c r="C1409" s="234" t="s">
        <v>37</v>
      </c>
      <c r="D1409" s="234" t="s">
        <v>25</v>
      </c>
      <c r="E1409" s="274" t="s">
        <v>691</v>
      </c>
      <c r="F1409" s="233" t="s">
        <v>1043</v>
      </c>
      <c r="G1409" s="235"/>
      <c r="H1409" s="222"/>
      <c r="I1409" s="223"/>
    </row>
    <row r="1410" spans="1:9" s="3" customFormat="1" ht="38.25">
      <c r="A1410" s="232" t="s">
        <v>914</v>
      </c>
      <c r="B1410" s="233" t="s">
        <v>20</v>
      </c>
      <c r="C1410" s="234" t="s">
        <v>37</v>
      </c>
      <c r="D1410" s="234" t="s">
        <v>25</v>
      </c>
      <c r="E1410" s="274" t="s">
        <v>692</v>
      </c>
      <c r="F1410" s="233" t="s">
        <v>58</v>
      </c>
      <c r="G1410" s="289"/>
      <c r="H1410" s="222"/>
      <c r="I1410" s="223"/>
    </row>
    <row r="1411" spans="1:9" s="3" customFormat="1" ht="25.5">
      <c r="A1411" s="232" t="s">
        <v>108</v>
      </c>
      <c r="B1411" s="233" t="s">
        <v>20</v>
      </c>
      <c r="C1411" s="234" t="s">
        <v>37</v>
      </c>
      <c r="D1411" s="234" t="s">
        <v>25</v>
      </c>
      <c r="E1411" s="274" t="s">
        <v>692</v>
      </c>
      <c r="F1411" s="233" t="s">
        <v>116</v>
      </c>
      <c r="G1411" s="289"/>
      <c r="H1411" s="222"/>
      <c r="I1411" s="223"/>
    </row>
    <row r="1412" spans="1:9" s="4" customFormat="1" ht="25.5">
      <c r="A1412" s="236" t="s">
        <v>973</v>
      </c>
      <c r="B1412" s="233" t="s">
        <v>20</v>
      </c>
      <c r="C1412" s="234" t="s">
        <v>37</v>
      </c>
      <c r="D1412" s="234" t="s">
        <v>25</v>
      </c>
      <c r="E1412" s="274" t="s">
        <v>692</v>
      </c>
      <c r="F1412" s="233" t="s">
        <v>1043</v>
      </c>
      <c r="G1412" s="235"/>
      <c r="H1412" s="222"/>
      <c r="I1412" s="223"/>
    </row>
    <row r="1413" spans="1:9" s="3" customFormat="1" ht="25.5">
      <c r="A1413" s="232" t="s">
        <v>653</v>
      </c>
      <c r="B1413" s="234" t="s">
        <v>20</v>
      </c>
      <c r="C1413" s="234" t="s">
        <v>37</v>
      </c>
      <c r="D1413" s="234" t="s">
        <v>25</v>
      </c>
      <c r="E1413" s="234" t="s">
        <v>650</v>
      </c>
      <c r="F1413" s="233" t="s">
        <v>58</v>
      </c>
      <c r="G1413" s="289"/>
      <c r="H1413" s="222"/>
      <c r="I1413" s="223"/>
    </row>
    <row r="1414" spans="1:9" s="3" customFormat="1" ht="25.5">
      <c r="A1414" s="232" t="s">
        <v>187</v>
      </c>
      <c r="B1414" s="234" t="s">
        <v>20</v>
      </c>
      <c r="C1414" s="234" t="s">
        <v>37</v>
      </c>
      <c r="D1414" s="234" t="s">
        <v>25</v>
      </c>
      <c r="E1414" s="234" t="s">
        <v>651</v>
      </c>
      <c r="F1414" s="233" t="s">
        <v>58</v>
      </c>
      <c r="G1414" s="289"/>
      <c r="H1414" s="222"/>
      <c r="I1414" s="223"/>
    </row>
    <row r="1415" spans="1:9" s="3" customFormat="1" ht="25.5">
      <c r="A1415" s="232" t="s">
        <v>108</v>
      </c>
      <c r="B1415" s="234" t="s">
        <v>20</v>
      </c>
      <c r="C1415" s="234" t="s">
        <v>37</v>
      </c>
      <c r="D1415" s="234" t="s">
        <v>25</v>
      </c>
      <c r="E1415" s="234" t="s">
        <v>651</v>
      </c>
      <c r="F1415" s="233" t="s">
        <v>116</v>
      </c>
      <c r="G1415" s="289"/>
      <c r="H1415" s="222"/>
      <c r="I1415" s="223"/>
    </row>
    <row r="1416" spans="1:9" s="4" customFormat="1" ht="25.5">
      <c r="A1416" s="236" t="s">
        <v>973</v>
      </c>
      <c r="B1416" s="234" t="s">
        <v>20</v>
      </c>
      <c r="C1416" s="234" t="s">
        <v>37</v>
      </c>
      <c r="D1416" s="234" t="s">
        <v>25</v>
      </c>
      <c r="E1416" s="234" t="s">
        <v>651</v>
      </c>
      <c r="F1416" s="233" t="s">
        <v>1043</v>
      </c>
      <c r="G1416" s="235"/>
      <c r="H1416" s="222"/>
      <c r="I1416" s="223"/>
    </row>
    <row r="1417" spans="1:9" s="3" customFormat="1">
      <c r="A1417" s="224" t="s">
        <v>7</v>
      </c>
      <c r="B1417" s="225" t="s">
        <v>20</v>
      </c>
      <c r="C1417" s="226" t="s">
        <v>8</v>
      </c>
      <c r="D1417" s="226" t="s">
        <v>51</v>
      </c>
      <c r="E1417" s="226" t="s">
        <v>196</v>
      </c>
      <c r="F1417" s="226" t="s">
        <v>58</v>
      </c>
      <c r="G1417" s="227"/>
      <c r="H1417" s="222"/>
      <c r="I1417" s="223"/>
    </row>
    <row r="1418" spans="1:9" s="3" customFormat="1">
      <c r="A1418" s="228" t="s">
        <v>9</v>
      </c>
      <c r="B1418" s="229" t="s">
        <v>20</v>
      </c>
      <c r="C1418" s="230" t="s">
        <v>8</v>
      </c>
      <c r="D1418" s="230" t="s">
        <v>65</v>
      </c>
      <c r="E1418" s="230" t="s">
        <v>196</v>
      </c>
      <c r="F1418" s="230" t="s">
        <v>58</v>
      </c>
      <c r="G1418" s="231"/>
      <c r="H1418" s="222"/>
      <c r="I1418" s="223"/>
    </row>
    <row r="1419" spans="1:9" s="3" customFormat="1" ht="38.25">
      <c r="A1419" s="236" t="s">
        <v>722</v>
      </c>
      <c r="B1419" s="233" t="s">
        <v>20</v>
      </c>
      <c r="C1419" s="234" t="s">
        <v>8</v>
      </c>
      <c r="D1419" s="234" t="s">
        <v>65</v>
      </c>
      <c r="E1419" s="274" t="s">
        <v>300</v>
      </c>
      <c r="F1419" s="234" t="s">
        <v>58</v>
      </c>
      <c r="G1419" s="289"/>
      <c r="H1419" s="222"/>
      <c r="I1419" s="223"/>
    </row>
    <row r="1420" spans="1:9" s="3" customFormat="1" ht="25.5">
      <c r="A1420" s="232" t="s">
        <v>155</v>
      </c>
      <c r="B1420" s="233" t="s">
        <v>20</v>
      </c>
      <c r="C1420" s="234" t="s">
        <v>8</v>
      </c>
      <c r="D1420" s="234" t="s">
        <v>65</v>
      </c>
      <c r="E1420" s="274" t="s">
        <v>495</v>
      </c>
      <c r="F1420" s="234" t="s">
        <v>58</v>
      </c>
      <c r="G1420" s="289"/>
      <c r="H1420" s="222"/>
      <c r="I1420" s="223"/>
    </row>
    <row r="1421" spans="1:9" s="3" customFormat="1" ht="25.5">
      <c r="A1421" s="232" t="s">
        <v>522</v>
      </c>
      <c r="B1421" s="233" t="s">
        <v>20</v>
      </c>
      <c r="C1421" s="234" t="s">
        <v>8</v>
      </c>
      <c r="D1421" s="234" t="s">
        <v>65</v>
      </c>
      <c r="E1421" s="274" t="s">
        <v>497</v>
      </c>
      <c r="F1421" s="234" t="s">
        <v>58</v>
      </c>
      <c r="G1421" s="289"/>
      <c r="H1421" s="222"/>
      <c r="I1421" s="223"/>
    </row>
    <row r="1422" spans="1:9" s="3" customFormat="1">
      <c r="A1422" s="232" t="s">
        <v>188</v>
      </c>
      <c r="B1422" s="233" t="s">
        <v>20</v>
      </c>
      <c r="C1422" s="234" t="s">
        <v>8</v>
      </c>
      <c r="D1422" s="234" t="s">
        <v>65</v>
      </c>
      <c r="E1422" s="274" t="s">
        <v>523</v>
      </c>
      <c r="F1422" s="234" t="s">
        <v>58</v>
      </c>
      <c r="G1422" s="289"/>
      <c r="H1422" s="222"/>
      <c r="I1422" s="223"/>
    </row>
    <row r="1423" spans="1:9" s="3" customFormat="1" ht="25.5">
      <c r="A1423" s="232" t="s">
        <v>108</v>
      </c>
      <c r="B1423" s="234" t="s">
        <v>20</v>
      </c>
      <c r="C1423" s="234" t="s">
        <v>8</v>
      </c>
      <c r="D1423" s="234" t="s">
        <v>65</v>
      </c>
      <c r="E1423" s="274" t="s">
        <v>523</v>
      </c>
      <c r="F1423" s="234" t="s">
        <v>116</v>
      </c>
      <c r="G1423" s="289"/>
      <c r="H1423" s="222"/>
      <c r="I1423" s="223"/>
    </row>
    <row r="1424" spans="1:9" s="4" customFormat="1" ht="25.5">
      <c r="A1424" s="236" t="s">
        <v>973</v>
      </c>
      <c r="B1424" s="234" t="s">
        <v>20</v>
      </c>
      <c r="C1424" s="234" t="s">
        <v>8</v>
      </c>
      <c r="D1424" s="234" t="s">
        <v>65</v>
      </c>
      <c r="E1424" s="274" t="s">
        <v>523</v>
      </c>
      <c r="F1424" s="234" t="s">
        <v>1043</v>
      </c>
      <c r="G1424" s="235"/>
      <c r="H1424" s="222"/>
      <c r="I1424" s="223"/>
    </row>
    <row r="1425" spans="1:9" s="3" customFormat="1">
      <c r="A1425" s="228" t="s">
        <v>10</v>
      </c>
      <c r="B1425" s="229">
        <v>620</v>
      </c>
      <c r="C1425" s="230" t="s">
        <v>8</v>
      </c>
      <c r="D1425" s="230" t="s">
        <v>66</v>
      </c>
      <c r="E1425" s="230" t="s">
        <v>196</v>
      </c>
      <c r="F1425" s="230" t="s">
        <v>58</v>
      </c>
      <c r="G1425" s="231"/>
      <c r="H1425" s="222"/>
      <c r="I1425" s="223"/>
    </row>
    <row r="1426" spans="1:9" s="3" customFormat="1" ht="38.25">
      <c r="A1426" s="236" t="s">
        <v>722</v>
      </c>
      <c r="B1426" s="246">
        <v>620</v>
      </c>
      <c r="C1426" s="234" t="s">
        <v>8</v>
      </c>
      <c r="D1426" s="234" t="s">
        <v>66</v>
      </c>
      <c r="E1426" s="274" t="s">
        <v>300</v>
      </c>
      <c r="F1426" s="234" t="s">
        <v>58</v>
      </c>
      <c r="G1426" s="289"/>
      <c r="H1426" s="222"/>
      <c r="I1426" s="223"/>
    </row>
    <row r="1427" spans="1:9" s="3" customFormat="1" ht="25.5">
      <c r="A1427" s="232" t="s">
        <v>155</v>
      </c>
      <c r="B1427" s="246">
        <v>620</v>
      </c>
      <c r="C1427" s="234" t="s">
        <v>8</v>
      </c>
      <c r="D1427" s="234" t="s">
        <v>66</v>
      </c>
      <c r="E1427" s="274" t="s">
        <v>495</v>
      </c>
      <c r="F1427" s="234" t="s">
        <v>58</v>
      </c>
      <c r="G1427" s="289"/>
      <c r="H1427" s="222"/>
      <c r="I1427" s="223"/>
    </row>
    <row r="1428" spans="1:9" s="3" customFormat="1" ht="25.5">
      <c r="A1428" s="232" t="s">
        <v>669</v>
      </c>
      <c r="B1428" s="246">
        <v>620</v>
      </c>
      <c r="C1428" s="234" t="s">
        <v>8</v>
      </c>
      <c r="D1428" s="234" t="s">
        <v>66</v>
      </c>
      <c r="E1428" s="274" t="s">
        <v>525</v>
      </c>
      <c r="F1428" s="234" t="s">
        <v>58</v>
      </c>
      <c r="G1428" s="289"/>
      <c r="H1428" s="222"/>
      <c r="I1428" s="223"/>
    </row>
    <row r="1429" spans="1:9" s="3" customFormat="1">
      <c r="A1429" s="232" t="s">
        <v>671</v>
      </c>
      <c r="B1429" s="246">
        <v>620</v>
      </c>
      <c r="C1429" s="234" t="s">
        <v>8</v>
      </c>
      <c r="D1429" s="234" t="s">
        <v>66</v>
      </c>
      <c r="E1429" s="274" t="s">
        <v>526</v>
      </c>
      <c r="F1429" s="234" t="s">
        <v>58</v>
      </c>
      <c r="G1429" s="289"/>
      <c r="H1429" s="222"/>
      <c r="I1429" s="223"/>
    </row>
    <row r="1430" spans="1:9" s="3" customFormat="1" ht="25.5">
      <c r="A1430" s="232" t="s">
        <v>108</v>
      </c>
      <c r="B1430" s="234" t="s">
        <v>20</v>
      </c>
      <c r="C1430" s="234" t="s">
        <v>8</v>
      </c>
      <c r="D1430" s="234" t="s">
        <v>66</v>
      </c>
      <c r="E1430" s="274" t="s">
        <v>526</v>
      </c>
      <c r="F1430" s="234" t="s">
        <v>116</v>
      </c>
      <c r="G1430" s="289"/>
      <c r="H1430" s="222"/>
      <c r="I1430" s="223"/>
    </row>
    <row r="1431" spans="1:9" s="4" customFormat="1" ht="25.5">
      <c r="A1431" s="236" t="s">
        <v>973</v>
      </c>
      <c r="B1431" s="234" t="s">
        <v>20</v>
      </c>
      <c r="C1431" s="234" t="s">
        <v>8</v>
      </c>
      <c r="D1431" s="234" t="s">
        <v>66</v>
      </c>
      <c r="E1431" s="274" t="s">
        <v>526</v>
      </c>
      <c r="F1431" s="234" t="s">
        <v>1043</v>
      </c>
      <c r="G1431" s="235"/>
      <c r="H1431" s="222"/>
      <c r="I1431" s="223"/>
    </row>
    <row r="1432" spans="1:9" s="3" customFormat="1">
      <c r="A1432" s="228" t="s">
        <v>1</v>
      </c>
      <c r="B1432" s="229" t="s">
        <v>20</v>
      </c>
      <c r="C1432" s="230" t="s">
        <v>8</v>
      </c>
      <c r="D1432" s="230" t="s">
        <v>53</v>
      </c>
      <c r="E1432" s="230" t="s">
        <v>196</v>
      </c>
      <c r="F1432" s="230" t="s">
        <v>58</v>
      </c>
      <c r="G1432" s="231"/>
      <c r="H1432" s="222"/>
      <c r="I1432" s="223"/>
    </row>
    <row r="1433" spans="1:9" s="3" customFormat="1" ht="38.25">
      <c r="A1433" s="236" t="s">
        <v>722</v>
      </c>
      <c r="B1433" s="234" t="s">
        <v>20</v>
      </c>
      <c r="C1433" s="234" t="s">
        <v>8</v>
      </c>
      <c r="D1433" s="234" t="s">
        <v>53</v>
      </c>
      <c r="E1433" s="234" t="s">
        <v>300</v>
      </c>
      <c r="F1433" s="234" t="s">
        <v>58</v>
      </c>
      <c r="G1433" s="289"/>
      <c r="H1433" s="222"/>
      <c r="I1433" s="223"/>
    </row>
    <row r="1434" spans="1:9" s="3" customFormat="1">
      <c r="A1434" s="232" t="s">
        <v>142</v>
      </c>
      <c r="B1434" s="234" t="s">
        <v>20</v>
      </c>
      <c r="C1434" s="234" t="s">
        <v>8</v>
      </c>
      <c r="D1434" s="234" t="s">
        <v>53</v>
      </c>
      <c r="E1434" s="234" t="s">
        <v>453</v>
      </c>
      <c r="F1434" s="234" t="s">
        <v>58</v>
      </c>
      <c r="G1434" s="289"/>
      <c r="H1434" s="222"/>
      <c r="I1434" s="223"/>
    </row>
    <row r="1435" spans="1:9" s="3" customFormat="1" ht="25.5">
      <c r="A1435" s="232" t="s">
        <v>718</v>
      </c>
      <c r="B1435" s="234" t="s">
        <v>20</v>
      </c>
      <c r="C1435" s="234" t="s">
        <v>8</v>
      </c>
      <c r="D1435" s="234" t="s">
        <v>53</v>
      </c>
      <c r="E1435" s="234" t="s">
        <v>655</v>
      </c>
      <c r="F1435" s="234" t="s">
        <v>58</v>
      </c>
      <c r="G1435" s="289"/>
      <c r="H1435" s="222"/>
      <c r="I1435" s="223"/>
    </row>
    <row r="1436" spans="1:9" s="3" customFormat="1" ht="25.5">
      <c r="A1436" s="232" t="s">
        <v>905</v>
      </c>
      <c r="B1436" s="234" t="s">
        <v>20</v>
      </c>
      <c r="C1436" s="234" t="s">
        <v>8</v>
      </c>
      <c r="D1436" s="234" t="s">
        <v>53</v>
      </c>
      <c r="E1436" s="234" t="s">
        <v>656</v>
      </c>
      <c r="F1436" s="234" t="s">
        <v>58</v>
      </c>
      <c r="G1436" s="289"/>
      <c r="H1436" s="222"/>
      <c r="I1436" s="223"/>
    </row>
    <row r="1437" spans="1:9" s="3" customFormat="1" ht="25.5">
      <c r="A1437" s="232" t="s">
        <v>108</v>
      </c>
      <c r="B1437" s="234" t="s">
        <v>20</v>
      </c>
      <c r="C1437" s="234" t="s">
        <v>8</v>
      </c>
      <c r="D1437" s="234" t="s">
        <v>53</v>
      </c>
      <c r="E1437" s="234" t="s">
        <v>656</v>
      </c>
      <c r="F1437" s="234" t="s">
        <v>116</v>
      </c>
      <c r="G1437" s="289"/>
      <c r="H1437" s="222"/>
      <c r="I1437" s="223"/>
    </row>
    <row r="1438" spans="1:9" s="4" customFormat="1" ht="25.5">
      <c r="A1438" s="236" t="s">
        <v>973</v>
      </c>
      <c r="B1438" s="234" t="s">
        <v>20</v>
      </c>
      <c r="C1438" s="234" t="s">
        <v>8</v>
      </c>
      <c r="D1438" s="234" t="s">
        <v>53</v>
      </c>
      <c r="E1438" s="234" t="s">
        <v>656</v>
      </c>
      <c r="F1438" s="234" t="s">
        <v>1043</v>
      </c>
      <c r="G1438" s="235"/>
      <c r="H1438" s="222"/>
      <c r="I1438" s="223"/>
    </row>
    <row r="1439" spans="1:9" s="3" customFormat="1">
      <c r="A1439" s="232" t="s">
        <v>190</v>
      </c>
      <c r="B1439" s="234" t="s">
        <v>20</v>
      </c>
      <c r="C1439" s="234" t="s">
        <v>8</v>
      </c>
      <c r="D1439" s="234" t="s">
        <v>53</v>
      </c>
      <c r="E1439" s="234" t="s">
        <v>656</v>
      </c>
      <c r="F1439" s="234" t="s">
        <v>103</v>
      </c>
      <c r="G1439" s="289"/>
      <c r="H1439" s="222"/>
      <c r="I1439" s="223"/>
    </row>
    <row r="1440" spans="1:9" s="4" customFormat="1" ht="25.5">
      <c r="A1440" s="236" t="s">
        <v>987</v>
      </c>
      <c r="B1440" s="234" t="s">
        <v>20</v>
      </c>
      <c r="C1440" s="234" t="s">
        <v>8</v>
      </c>
      <c r="D1440" s="234" t="s">
        <v>53</v>
      </c>
      <c r="E1440" s="234" t="s">
        <v>656</v>
      </c>
      <c r="F1440" s="234" t="s">
        <v>1052</v>
      </c>
      <c r="G1440" s="235"/>
      <c r="H1440" s="222"/>
      <c r="I1440" s="223"/>
    </row>
    <row r="1441" spans="1:9" s="3" customFormat="1" ht="25.5">
      <c r="A1441" s="232" t="s">
        <v>657</v>
      </c>
      <c r="B1441" s="234" t="s">
        <v>20</v>
      </c>
      <c r="C1441" s="234" t="s">
        <v>8</v>
      </c>
      <c r="D1441" s="234" t="s">
        <v>53</v>
      </c>
      <c r="E1441" s="234" t="s">
        <v>658</v>
      </c>
      <c r="F1441" s="234" t="s">
        <v>58</v>
      </c>
      <c r="G1441" s="289"/>
      <c r="H1441" s="222"/>
      <c r="I1441" s="223"/>
    </row>
    <row r="1442" spans="1:9" s="3" customFormat="1" ht="25.5">
      <c r="A1442" s="232" t="s">
        <v>592</v>
      </c>
      <c r="B1442" s="234" t="s">
        <v>20</v>
      </c>
      <c r="C1442" s="234" t="s">
        <v>8</v>
      </c>
      <c r="D1442" s="234" t="s">
        <v>53</v>
      </c>
      <c r="E1442" s="234" t="s">
        <v>659</v>
      </c>
      <c r="F1442" s="234" t="s">
        <v>58</v>
      </c>
      <c r="G1442" s="289"/>
      <c r="H1442" s="222"/>
      <c r="I1442" s="223"/>
    </row>
    <row r="1443" spans="1:9" s="3" customFormat="1" ht="25.5">
      <c r="A1443" s="232" t="s">
        <v>108</v>
      </c>
      <c r="B1443" s="234" t="s">
        <v>20</v>
      </c>
      <c r="C1443" s="234" t="s">
        <v>8</v>
      </c>
      <c r="D1443" s="234" t="s">
        <v>53</v>
      </c>
      <c r="E1443" s="234" t="s">
        <v>659</v>
      </c>
      <c r="F1443" s="234" t="s">
        <v>116</v>
      </c>
      <c r="G1443" s="289"/>
      <c r="H1443" s="222"/>
      <c r="I1443" s="223"/>
    </row>
    <row r="1444" spans="1:9" s="4" customFormat="1" ht="25.5">
      <c r="A1444" s="236" t="s">
        <v>973</v>
      </c>
      <c r="B1444" s="234" t="s">
        <v>20</v>
      </c>
      <c r="C1444" s="234" t="s">
        <v>8</v>
      </c>
      <c r="D1444" s="234" t="s">
        <v>53</v>
      </c>
      <c r="E1444" s="234" t="s">
        <v>659</v>
      </c>
      <c r="F1444" s="234" t="s">
        <v>1043</v>
      </c>
      <c r="G1444" s="235"/>
      <c r="H1444" s="222"/>
      <c r="I1444" s="223"/>
    </row>
    <row r="1445" spans="1:9" s="3" customFormat="1">
      <c r="A1445" s="232" t="s">
        <v>527</v>
      </c>
      <c r="B1445" s="234" t="s">
        <v>20</v>
      </c>
      <c r="C1445" s="234" t="s">
        <v>8</v>
      </c>
      <c r="D1445" s="234" t="s">
        <v>53</v>
      </c>
      <c r="E1445" s="234" t="s">
        <v>645</v>
      </c>
      <c r="F1445" s="234" t="s">
        <v>58</v>
      </c>
      <c r="G1445" s="289"/>
      <c r="H1445" s="222"/>
      <c r="I1445" s="223"/>
    </row>
    <row r="1446" spans="1:9" s="3" customFormat="1">
      <c r="A1446" s="232" t="s">
        <v>247</v>
      </c>
      <c r="B1446" s="234" t="s">
        <v>20</v>
      </c>
      <c r="C1446" s="234" t="s">
        <v>8</v>
      </c>
      <c r="D1446" s="234" t="s">
        <v>53</v>
      </c>
      <c r="E1446" s="234" t="s">
        <v>660</v>
      </c>
      <c r="F1446" s="234" t="s">
        <v>58</v>
      </c>
      <c r="G1446" s="289"/>
      <c r="H1446" s="222"/>
      <c r="I1446" s="223"/>
    </row>
    <row r="1447" spans="1:9" s="3" customFormat="1">
      <c r="A1447" s="244" t="s">
        <v>92</v>
      </c>
      <c r="B1447" s="234" t="s">
        <v>20</v>
      </c>
      <c r="C1447" s="234" t="s">
        <v>8</v>
      </c>
      <c r="D1447" s="234" t="s">
        <v>53</v>
      </c>
      <c r="E1447" s="234" t="s">
        <v>660</v>
      </c>
      <c r="F1447" s="234" t="s">
        <v>138</v>
      </c>
      <c r="G1447" s="289"/>
      <c r="H1447" s="222"/>
      <c r="I1447" s="223"/>
    </row>
    <row r="1448" spans="1:9" s="4" customFormat="1" ht="38.25">
      <c r="A1448" s="236" t="s">
        <v>1015</v>
      </c>
      <c r="B1448" s="234" t="s">
        <v>20</v>
      </c>
      <c r="C1448" s="234" t="s">
        <v>8</v>
      </c>
      <c r="D1448" s="234" t="s">
        <v>53</v>
      </c>
      <c r="E1448" s="234" t="s">
        <v>660</v>
      </c>
      <c r="F1448" s="234" t="s">
        <v>67</v>
      </c>
      <c r="G1448" s="235"/>
      <c r="H1448" s="222"/>
      <c r="I1448" s="223"/>
    </row>
    <row r="1449" spans="1:9" s="3" customFormat="1">
      <c r="A1449" s="232" t="s">
        <v>897</v>
      </c>
      <c r="B1449" s="234" t="s">
        <v>20</v>
      </c>
      <c r="C1449" s="234" t="s">
        <v>8</v>
      </c>
      <c r="D1449" s="234" t="s">
        <v>53</v>
      </c>
      <c r="E1449" s="234" t="s">
        <v>661</v>
      </c>
      <c r="F1449" s="234" t="s">
        <v>58</v>
      </c>
      <c r="G1449" s="289"/>
      <c r="H1449" s="222"/>
      <c r="I1449" s="223"/>
    </row>
    <row r="1450" spans="1:9" s="3" customFormat="1" ht="25.5">
      <c r="A1450" s="232" t="s">
        <v>108</v>
      </c>
      <c r="B1450" s="234" t="s">
        <v>20</v>
      </c>
      <c r="C1450" s="234" t="s">
        <v>8</v>
      </c>
      <c r="D1450" s="234" t="s">
        <v>53</v>
      </c>
      <c r="E1450" s="234" t="s">
        <v>661</v>
      </c>
      <c r="F1450" s="234" t="s">
        <v>116</v>
      </c>
      <c r="G1450" s="289"/>
      <c r="H1450" s="222"/>
      <c r="I1450" s="223"/>
    </row>
    <row r="1451" spans="1:9" s="3" customFormat="1" ht="25.5">
      <c r="A1451" s="236" t="s">
        <v>973</v>
      </c>
      <c r="B1451" s="234" t="s">
        <v>20</v>
      </c>
      <c r="C1451" s="234" t="s">
        <v>8</v>
      </c>
      <c r="D1451" s="234" t="s">
        <v>53</v>
      </c>
      <c r="E1451" s="234" t="s">
        <v>661</v>
      </c>
      <c r="F1451" s="234" t="s">
        <v>1043</v>
      </c>
      <c r="G1451" s="235"/>
      <c r="H1451" s="222"/>
      <c r="I1451" s="223"/>
    </row>
    <row r="1452" spans="1:9" s="3" customFormat="1">
      <c r="A1452" s="232" t="s">
        <v>158</v>
      </c>
      <c r="B1452" s="234" t="s">
        <v>20</v>
      </c>
      <c r="C1452" s="234" t="s">
        <v>8</v>
      </c>
      <c r="D1452" s="234" t="s">
        <v>53</v>
      </c>
      <c r="E1452" s="234" t="s">
        <v>646</v>
      </c>
      <c r="F1452" s="234" t="s">
        <v>58</v>
      </c>
      <c r="G1452" s="289"/>
      <c r="H1452" s="222"/>
      <c r="I1452" s="223"/>
    </row>
    <row r="1453" spans="1:9" s="3" customFormat="1" ht="25.5">
      <c r="A1453" s="232" t="s">
        <v>108</v>
      </c>
      <c r="B1453" s="234" t="s">
        <v>20</v>
      </c>
      <c r="C1453" s="234" t="s">
        <v>8</v>
      </c>
      <c r="D1453" s="234" t="s">
        <v>53</v>
      </c>
      <c r="E1453" s="234" t="s">
        <v>646</v>
      </c>
      <c r="F1453" s="234" t="s">
        <v>116</v>
      </c>
      <c r="G1453" s="289"/>
      <c r="H1453" s="222"/>
      <c r="I1453" s="223"/>
    </row>
    <row r="1454" spans="1:9" s="4" customFormat="1" ht="25.5">
      <c r="A1454" s="236" t="s">
        <v>973</v>
      </c>
      <c r="B1454" s="234" t="s">
        <v>20</v>
      </c>
      <c r="C1454" s="234" t="s">
        <v>8</v>
      </c>
      <c r="D1454" s="234" t="s">
        <v>53</v>
      </c>
      <c r="E1454" s="234" t="s">
        <v>646</v>
      </c>
      <c r="F1454" s="234" t="s">
        <v>1043</v>
      </c>
      <c r="G1454" s="235"/>
      <c r="H1454" s="222"/>
      <c r="I1454" s="223"/>
    </row>
    <row r="1455" spans="1:9" s="3" customFormat="1">
      <c r="A1455" s="250" t="s">
        <v>21</v>
      </c>
      <c r="B1455" s="234" t="s">
        <v>20</v>
      </c>
      <c r="C1455" s="234" t="s">
        <v>8</v>
      </c>
      <c r="D1455" s="234" t="s">
        <v>53</v>
      </c>
      <c r="E1455" s="234" t="s">
        <v>646</v>
      </c>
      <c r="F1455" s="234" t="s">
        <v>103</v>
      </c>
      <c r="G1455" s="289"/>
      <c r="H1455" s="222"/>
      <c r="I1455" s="223"/>
    </row>
    <row r="1456" spans="1:9" s="4" customFormat="1" ht="25.5">
      <c r="A1456" s="236" t="s">
        <v>987</v>
      </c>
      <c r="B1456" s="234" t="s">
        <v>20</v>
      </c>
      <c r="C1456" s="234" t="s">
        <v>8</v>
      </c>
      <c r="D1456" s="234" t="s">
        <v>53</v>
      </c>
      <c r="E1456" s="234" t="s">
        <v>646</v>
      </c>
      <c r="F1456" s="234" t="s">
        <v>1052</v>
      </c>
      <c r="G1456" s="235"/>
      <c r="H1456" s="222"/>
      <c r="I1456" s="223"/>
    </row>
    <row r="1457" spans="1:9" s="3" customFormat="1">
      <c r="A1457" s="248" t="s">
        <v>159</v>
      </c>
      <c r="B1457" s="234" t="s">
        <v>20</v>
      </c>
      <c r="C1457" s="234" t="s">
        <v>8</v>
      </c>
      <c r="D1457" s="234" t="s">
        <v>53</v>
      </c>
      <c r="E1457" s="234" t="s">
        <v>647</v>
      </c>
      <c r="F1457" s="234" t="s">
        <v>58</v>
      </c>
      <c r="G1457" s="289"/>
      <c r="H1457" s="222"/>
      <c r="I1457" s="223"/>
    </row>
    <row r="1458" spans="1:9" s="3" customFormat="1" ht="25.5">
      <c r="A1458" s="232" t="s">
        <v>108</v>
      </c>
      <c r="B1458" s="234" t="s">
        <v>20</v>
      </c>
      <c r="C1458" s="234" t="s">
        <v>8</v>
      </c>
      <c r="D1458" s="234" t="s">
        <v>53</v>
      </c>
      <c r="E1458" s="234" t="s">
        <v>647</v>
      </c>
      <c r="F1458" s="234" t="s">
        <v>116</v>
      </c>
      <c r="G1458" s="289"/>
      <c r="H1458" s="222"/>
      <c r="I1458" s="223"/>
    </row>
    <row r="1459" spans="1:9" s="4" customFormat="1" ht="25.5">
      <c r="A1459" s="236" t="s">
        <v>973</v>
      </c>
      <c r="B1459" s="234" t="s">
        <v>20</v>
      </c>
      <c r="C1459" s="234" t="s">
        <v>8</v>
      </c>
      <c r="D1459" s="234" t="s">
        <v>53</v>
      </c>
      <c r="E1459" s="234" t="s">
        <v>647</v>
      </c>
      <c r="F1459" s="234" t="s">
        <v>1043</v>
      </c>
      <c r="G1459" s="235"/>
      <c r="H1459" s="222"/>
      <c r="I1459" s="223"/>
    </row>
    <row r="1460" spans="1:9" s="3" customFormat="1" ht="51">
      <c r="A1460" s="232" t="s">
        <v>591</v>
      </c>
      <c r="B1460" s="234" t="s">
        <v>20</v>
      </c>
      <c r="C1460" s="234" t="s">
        <v>8</v>
      </c>
      <c r="D1460" s="234" t="s">
        <v>53</v>
      </c>
      <c r="E1460" s="234" t="s">
        <v>662</v>
      </c>
      <c r="F1460" s="234" t="s">
        <v>58</v>
      </c>
      <c r="G1460" s="289"/>
      <c r="H1460" s="222"/>
      <c r="I1460" s="223"/>
    </row>
    <row r="1461" spans="1:9" s="3" customFormat="1" ht="25.5">
      <c r="A1461" s="232" t="s">
        <v>108</v>
      </c>
      <c r="B1461" s="234" t="s">
        <v>20</v>
      </c>
      <c r="C1461" s="234" t="s">
        <v>8</v>
      </c>
      <c r="D1461" s="234" t="s">
        <v>53</v>
      </c>
      <c r="E1461" s="234" t="s">
        <v>662</v>
      </c>
      <c r="F1461" s="234" t="s">
        <v>116</v>
      </c>
      <c r="G1461" s="289"/>
      <c r="H1461" s="222"/>
      <c r="I1461" s="223"/>
    </row>
    <row r="1462" spans="1:9" s="4" customFormat="1" ht="25.5">
      <c r="A1462" s="236" t="s">
        <v>973</v>
      </c>
      <c r="B1462" s="234" t="s">
        <v>20</v>
      </c>
      <c r="C1462" s="234" t="s">
        <v>8</v>
      </c>
      <c r="D1462" s="234" t="s">
        <v>53</v>
      </c>
      <c r="E1462" s="234" t="s">
        <v>662</v>
      </c>
      <c r="F1462" s="234" t="s">
        <v>1043</v>
      </c>
      <c r="G1462" s="235"/>
      <c r="H1462" s="222"/>
      <c r="I1462" s="223"/>
    </row>
    <row r="1463" spans="1:9" s="3" customFormat="1" ht="25.5">
      <c r="A1463" s="232" t="s">
        <v>757</v>
      </c>
      <c r="B1463" s="242" t="s">
        <v>20</v>
      </c>
      <c r="C1463" s="242" t="s">
        <v>8</v>
      </c>
      <c r="D1463" s="242" t="s">
        <v>53</v>
      </c>
      <c r="E1463" s="242" t="s">
        <v>342</v>
      </c>
      <c r="F1463" s="242" t="s">
        <v>58</v>
      </c>
      <c r="G1463" s="284"/>
      <c r="H1463" s="222"/>
      <c r="I1463" s="223"/>
    </row>
    <row r="1464" spans="1:9" s="3" customFormat="1" ht="25.5">
      <c r="A1464" s="237" t="s">
        <v>758</v>
      </c>
      <c r="B1464" s="242" t="s">
        <v>20</v>
      </c>
      <c r="C1464" s="242" t="s">
        <v>8</v>
      </c>
      <c r="D1464" s="242" t="s">
        <v>53</v>
      </c>
      <c r="E1464" s="242" t="s">
        <v>343</v>
      </c>
      <c r="F1464" s="242" t="s">
        <v>58</v>
      </c>
      <c r="G1464" s="284"/>
      <c r="H1464" s="222"/>
      <c r="I1464" s="223"/>
    </row>
    <row r="1465" spans="1:9" s="3" customFormat="1" ht="25.5">
      <c r="A1465" s="237" t="s">
        <v>528</v>
      </c>
      <c r="B1465" s="242" t="s">
        <v>20</v>
      </c>
      <c r="C1465" s="242" t="s">
        <v>8</v>
      </c>
      <c r="D1465" s="242" t="s">
        <v>53</v>
      </c>
      <c r="E1465" s="242" t="s">
        <v>529</v>
      </c>
      <c r="F1465" s="242" t="s">
        <v>58</v>
      </c>
      <c r="G1465" s="284"/>
      <c r="H1465" s="222"/>
      <c r="I1465" s="223"/>
    </row>
    <row r="1466" spans="1:9" s="3" customFormat="1" ht="25.5">
      <c r="A1466" s="236" t="s">
        <v>174</v>
      </c>
      <c r="B1466" s="234" t="s">
        <v>20</v>
      </c>
      <c r="C1466" s="234" t="s">
        <v>8</v>
      </c>
      <c r="D1466" s="234" t="s">
        <v>53</v>
      </c>
      <c r="E1466" s="234" t="s">
        <v>530</v>
      </c>
      <c r="F1466" s="234" t="s">
        <v>58</v>
      </c>
      <c r="G1466" s="290"/>
      <c r="H1466" s="222"/>
      <c r="I1466" s="223"/>
    </row>
    <row r="1467" spans="1:9" s="3" customFormat="1" ht="25.5">
      <c r="A1467" s="232" t="s">
        <v>108</v>
      </c>
      <c r="B1467" s="234" t="s">
        <v>20</v>
      </c>
      <c r="C1467" s="234" t="s">
        <v>8</v>
      </c>
      <c r="D1467" s="234" t="s">
        <v>53</v>
      </c>
      <c r="E1467" s="234" t="s">
        <v>530</v>
      </c>
      <c r="F1467" s="234" t="s">
        <v>116</v>
      </c>
      <c r="G1467" s="290"/>
      <c r="H1467" s="222"/>
      <c r="I1467" s="223"/>
    </row>
    <row r="1468" spans="1:9" s="4" customFormat="1" ht="25.5">
      <c r="A1468" s="236" t="s">
        <v>973</v>
      </c>
      <c r="B1468" s="234" t="s">
        <v>20</v>
      </c>
      <c r="C1468" s="234" t="s">
        <v>8</v>
      </c>
      <c r="D1468" s="234" t="s">
        <v>53</v>
      </c>
      <c r="E1468" s="234" t="s">
        <v>530</v>
      </c>
      <c r="F1468" s="234" t="s">
        <v>1043</v>
      </c>
      <c r="G1468" s="235"/>
      <c r="H1468" s="222"/>
      <c r="I1468" s="223"/>
    </row>
    <row r="1469" spans="1:9" s="3" customFormat="1">
      <c r="A1469" s="228" t="s">
        <v>3</v>
      </c>
      <c r="B1469" s="229" t="s">
        <v>20</v>
      </c>
      <c r="C1469" s="230" t="s">
        <v>8</v>
      </c>
      <c r="D1469" s="230" t="s">
        <v>8</v>
      </c>
      <c r="E1469" s="230" t="s">
        <v>196</v>
      </c>
      <c r="F1469" s="230" t="s">
        <v>58</v>
      </c>
      <c r="G1469" s="231"/>
      <c r="H1469" s="222"/>
      <c r="I1469" s="223"/>
    </row>
    <row r="1470" spans="1:9" s="3" customFormat="1" ht="25.5">
      <c r="A1470" s="232" t="s">
        <v>736</v>
      </c>
      <c r="B1470" s="233" t="s">
        <v>20</v>
      </c>
      <c r="C1470" s="234" t="s">
        <v>8</v>
      </c>
      <c r="D1470" s="234" t="s">
        <v>8</v>
      </c>
      <c r="E1470" s="274" t="s">
        <v>737</v>
      </c>
      <c r="F1470" s="234" t="s">
        <v>58</v>
      </c>
      <c r="G1470" s="235"/>
      <c r="H1470" s="222"/>
      <c r="I1470" s="223"/>
    </row>
    <row r="1471" spans="1:9" s="3" customFormat="1" ht="25.5">
      <c r="A1471" s="232" t="s">
        <v>764</v>
      </c>
      <c r="B1471" s="233" t="s">
        <v>20</v>
      </c>
      <c r="C1471" s="234" t="s">
        <v>8</v>
      </c>
      <c r="D1471" s="234" t="s">
        <v>8</v>
      </c>
      <c r="E1471" s="274" t="s">
        <v>762</v>
      </c>
      <c r="F1471" s="234" t="s">
        <v>58</v>
      </c>
      <c r="G1471" s="235"/>
      <c r="H1471" s="222"/>
      <c r="I1471" s="223"/>
    </row>
    <row r="1472" spans="1:9" s="3" customFormat="1" ht="38.25">
      <c r="A1472" s="232" t="s">
        <v>861</v>
      </c>
      <c r="B1472" s="233" t="s">
        <v>20</v>
      </c>
      <c r="C1472" s="234" t="s">
        <v>8</v>
      </c>
      <c r="D1472" s="234" t="s">
        <v>8</v>
      </c>
      <c r="E1472" s="274" t="s">
        <v>738</v>
      </c>
      <c r="F1472" s="234" t="s">
        <v>58</v>
      </c>
      <c r="G1472" s="235"/>
      <c r="H1472" s="222"/>
      <c r="I1472" s="223"/>
    </row>
    <row r="1473" spans="1:9" s="3" customFormat="1" ht="25.5">
      <c r="A1473" s="232" t="s">
        <v>160</v>
      </c>
      <c r="B1473" s="233" t="s">
        <v>20</v>
      </c>
      <c r="C1473" s="234" t="s">
        <v>8</v>
      </c>
      <c r="D1473" s="234" t="s">
        <v>8</v>
      </c>
      <c r="E1473" s="274" t="s">
        <v>763</v>
      </c>
      <c r="F1473" s="234" t="s">
        <v>58</v>
      </c>
      <c r="G1473" s="235"/>
      <c r="H1473" s="222"/>
      <c r="I1473" s="223"/>
    </row>
    <row r="1474" spans="1:9" s="3" customFormat="1" ht="25.5">
      <c r="A1474" s="232" t="s">
        <v>108</v>
      </c>
      <c r="B1474" s="233" t="s">
        <v>20</v>
      </c>
      <c r="C1474" s="234" t="s">
        <v>8</v>
      </c>
      <c r="D1474" s="234" t="s">
        <v>8</v>
      </c>
      <c r="E1474" s="274" t="s">
        <v>763</v>
      </c>
      <c r="F1474" s="234" t="s">
        <v>116</v>
      </c>
      <c r="G1474" s="289"/>
      <c r="H1474" s="222"/>
      <c r="I1474" s="223"/>
    </row>
    <row r="1475" spans="1:9" s="4" customFormat="1" ht="25.5">
      <c r="A1475" s="236" t="s">
        <v>973</v>
      </c>
      <c r="B1475" s="233" t="s">
        <v>20</v>
      </c>
      <c r="C1475" s="234" t="s">
        <v>8</v>
      </c>
      <c r="D1475" s="234" t="s">
        <v>8</v>
      </c>
      <c r="E1475" s="274" t="s">
        <v>763</v>
      </c>
      <c r="F1475" s="234" t="s">
        <v>1043</v>
      </c>
      <c r="G1475" s="235"/>
      <c r="H1475" s="222"/>
      <c r="I1475" s="223"/>
    </row>
    <row r="1476" spans="1:9" s="3" customFormat="1" ht="25.5">
      <c r="A1476" s="232" t="s">
        <v>143</v>
      </c>
      <c r="B1476" s="234" t="s">
        <v>20</v>
      </c>
      <c r="C1476" s="234" t="s">
        <v>8</v>
      </c>
      <c r="D1476" s="234" t="s">
        <v>8</v>
      </c>
      <c r="E1476" s="234" t="s">
        <v>508</v>
      </c>
      <c r="F1476" s="234" t="s">
        <v>58</v>
      </c>
      <c r="G1476" s="290"/>
      <c r="H1476" s="222"/>
      <c r="I1476" s="223"/>
    </row>
    <row r="1477" spans="1:9" s="3" customFormat="1" ht="25.5">
      <c r="A1477" s="232" t="s">
        <v>144</v>
      </c>
      <c r="B1477" s="234" t="s">
        <v>20</v>
      </c>
      <c r="C1477" s="234" t="s">
        <v>8</v>
      </c>
      <c r="D1477" s="234" t="s">
        <v>8</v>
      </c>
      <c r="E1477" s="234" t="s">
        <v>509</v>
      </c>
      <c r="F1477" s="234" t="s">
        <v>58</v>
      </c>
      <c r="G1477" s="290"/>
      <c r="H1477" s="222"/>
      <c r="I1477" s="223"/>
    </row>
    <row r="1478" spans="1:9" s="3" customFormat="1" ht="25.5">
      <c r="A1478" s="232" t="s">
        <v>114</v>
      </c>
      <c r="B1478" s="234" t="s">
        <v>20</v>
      </c>
      <c r="C1478" s="234" t="s">
        <v>8</v>
      </c>
      <c r="D1478" s="234" t="s">
        <v>8</v>
      </c>
      <c r="E1478" s="234" t="s">
        <v>531</v>
      </c>
      <c r="F1478" s="234" t="s">
        <v>58</v>
      </c>
      <c r="G1478" s="290"/>
      <c r="H1478" s="222"/>
      <c r="I1478" s="223"/>
    </row>
    <row r="1479" spans="1:9" s="3" customFormat="1">
      <c r="A1479" s="236" t="s">
        <v>107</v>
      </c>
      <c r="B1479" s="234" t="s">
        <v>20</v>
      </c>
      <c r="C1479" s="234" t="s">
        <v>8</v>
      </c>
      <c r="D1479" s="234" t="s">
        <v>8</v>
      </c>
      <c r="E1479" s="234" t="s">
        <v>531</v>
      </c>
      <c r="F1479" s="234" t="s">
        <v>115</v>
      </c>
      <c r="G1479" s="235"/>
      <c r="H1479" s="222"/>
      <c r="I1479" s="223"/>
    </row>
    <row r="1480" spans="1:9" s="4" customFormat="1" ht="25.5">
      <c r="A1480" s="236" t="s">
        <v>937</v>
      </c>
      <c r="B1480" s="234" t="s">
        <v>20</v>
      </c>
      <c r="C1480" s="234" t="s">
        <v>8</v>
      </c>
      <c r="D1480" s="234" t="s">
        <v>8</v>
      </c>
      <c r="E1480" s="234" t="s">
        <v>531</v>
      </c>
      <c r="F1480" s="234" t="s">
        <v>1059</v>
      </c>
      <c r="G1480" s="235"/>
      <c r="H1480" s="222"/>
      <c r="I1480" s="223"/>
    </row>
    <row r="1481" spans="1:9" s="4" customFormat="1" ht="38.25">
      <c r="A1481" s="236" t="s">
        <v>939</v>
      </c>
      <c r="B1481" s="234" t="s">
        <v>20</v>
      </c>
      <c r="C1481" s="234" t="s">
        <v>8</v>
      </c>
      <c r="D1481" s="234" t="s">
        <v>8</v>
      </c>
      <c r="E1481" s="234" t="s">
        <v>531</v>
      </c>
      <c r="F1481" s="234" t="s">
        <v>1060</v>
      </c>
      <c r="G1481" s="235"/>
      <c r="H1481" s="222"/>
      <c r="I1481" s="223"/>
    </row>
    <row r="1482" spans="1:9" s="3" customFormat="1" ht="25.5">
      <c r="A1482" s="232" t="s">
        <v>108</v>
      </c>
      <c r="B1482" s="234" t="s">
        <v>20</v>
      </c>
      <c r="C1482" s="234" t="s">
        <v>8</v>
      </c>
      <c r="D1482" s="234" t="s">
        <v>8</v>
      </c>
      <c r="E1482" s="234" t="s">
        <v>531</v>
      </c>
      <c r="F1482" s="234" t="s">
        <v>116</v>
      </c>
      <c r="G1482" s="235"/>
      <c r="H1482" s="222"/>
      <c r="I1482" s="223"/>
    </row>
    <row r="1483" spans="1:9" s="4" customFormat="1" ht="25.5">
      <c r="A1483" s="236" t="s">
        <v>973</v>
      </c>
      <c r="B1483" s="234" t="s">
        <v>20</v>
      </c>
      <c r="C1483" s="234" t="s">
        <v>8</v>
      </c>
      <c r="D1483" s="234" t="s">
        <v>8</v>
      </c>
      <c r="E1483" s="234" t="s">
        <v>531</v>
      </c>
      <c r="F1483" s="234" t="s">
        <v>1043</v>
      </c>
      <c r="G1483" s="235"/>
      <c r="H1483" s="222"/>
      <c r="I1483" s="223"/>
    </row>
    <row r="1484" spans="1:9" s="3" customFormat="1">
      <c r="A1484" s="232" t="s">
        <v>97</v>
      </c>
      <c r="B1484" s="234" t="s">
        <v>20</v>
      </c>
      <c r="C1484" s="234" t="s">
        <v>8</v>
      </c>
      <c r="D1484" s="234" t="s">
        <v>8</v>
      </c>
      <c r="E1484" s="234" t="s">
        <v>531</v>
      </c>
      <c r="F1484" s="234" t="s">
        <v>118</v>
      </c>
      <c r="G1484" s="235"/>
      <c r="H1484" s="222"/>
      <c r="I1484" s="223"/>
    </row>
    <row r="1485" spans="1:9" s="4" customFormat="1">
      <c r="A1485" s="236" t="s">
        <v>1036</v>
      </c>
      <c r="B1485" s="234" t="s">
        <v>20</v>
      </c>
      <c r="C1485" s="234" t="s">
        <v>8</v>
      </c>
      <c r="D1485" s="234" t="s">
        <v>8</v>
      </c>
      <c r="E1485" s="234" t="s">
        <v>531</v>
      </c>
      <c r="F1485" s="234" t="s">
        <v>1061</v>
      </c>
      <c r="G1485" s="235"/>
      <c r="H1485" s="222"/>
      <c r="I1485" s="223"/>
    </row>
    <row r="1486" spans="1:9" s="4" customFormat="1">
      <c r="A1486" s="236" t="s">
        <v>1037</v>
      </c>
      <c r="B1486" s="234" t="s">
        <v>20</v>
      </c>
      <c r="C1486" s="234" t="s">
        <v>8</v>
      </c>
      <c r="D1486" s="234" t="s">
        <v>8</v>
      </c>
      <c r="E1486" s="234" t="s">
        <v>531</v>
      </c>
      <c r="F1486" s="234" t="s">
        <v>1062</v>
      </c>
      <c r="G1486" s="235"/>
      <c r="H1486" s="222"/>
      <c r="I1486" s="223"/>
    </row>
    <row r="1487" spans="1:9" s="3" customFormat="1" ht="25.5">
      <c r="A1487" s="232" t="s">
        <v>126</v>
      </c>
      <c r="B1487" s="234" t="s">
        <v>20</v>
      </c>
      <c r="C1487" s="234" t="s">
        <v>8</v>
      </c>
      <c r="D1487" s="234" t="s">
        <v>8</v>
      </c>
      <c r="E1487" s="234" t="s">
        <v>532</v>
      </c>
      <c r="F1487" s="234" t="s">
        <v>58</v>
      </c>
      <c r="G1487" s="235"/>
      <c r="H1487" s="222"/>
      <c r="I1487" s="223"/>
    </row>
    <row r="1488" spans="1:9" s="3" customFormat="1">
      <c r="A1488" s="236" t="s">
        <v>107</v>
      </c>
      <c r="B1488" s="234" t="s">
        <v>20</v>
      </c>
      <c r="C1488" s="234" t="s">
        <v>8</v>
      </c>
      <c r="D1488" s="234" t="s">
        <v>8</v>
      </c>
      <c r="E1488" s="234" t="s">
        <v>532</v>
      </c>
      <c r="F1488" s="234" t="s">
        <v>115</v>
      </c>
      <c r="G1488" s="235"/>
      <c r="H1488" s="222"/>
      <c r="I1488" s="223"/>
    </row>
    <row r="1489" spans="1:9" s="4" customFormat="1">
      <c r="A1489" s="236" t="s">
        <v>936</v>
      </c>
      <c r="B1489" s="234" t="s">
        <v>20</v>
      </c>
      <c r="C1489" s="234" t="s">
        <v>8</v>
      </c>
      <c r="D1489" s="234" t="s">
        <v>8</v>
      </c>
      <c r="E1489" s="234" t="s">
        <v>532</v>
      </c>
      <c r="F1489" s="234" t="s">
        <v>1063</v>
      </c>
      <c r="G1489" s="235"/>
      <c r="H1489" s="222"/>
      <c r="I1489" s="223"/>
    </row>
    <row r="1490" spans="1:9" s="4" customFormat="1" ht="38.25">
      <c r="A1490" s="236" t="s">
        <v>939</v>
      </c>
      <c r="B1490" s="234" t="s">
        <v>20</v>
      </c>
      <c r="C1490" s="234" t="s">
        <v>8</v>
      </c>
      <c r="D1490" s="234" t="s">
        <v>8</v>
      </c>
      <c r="E1490" s="234" t="s">
        <v>532</v>
      </c>
      <c r="F1490" s="234" t="s">
        <v>1060</v>
      </c>
      <c r="G1490" s="235"/>
      <c r="H1490" s="222"/>
      <c r="I1490" s="223"/>
    </row>
    <row r="1491" spans="1:9" s="3" customFormat="1">
      <c r="A1491" s="224" t="s">
        <v>49</v>
      </c>
      <c r="B1491" s="225" t="s">
        <v>20</v>
      </c>
      <c r="C1491" s="226" t="s">
        <v>14</v>
      </c>
      <c r="D1491" s="226" t="s">
        <v>51</v>
      </c>
      <c r="E1491" s="226" t="s">
        <v>196</v>
      </c>
      <c r="F1491" s="226" t="s">
        <v>58</v>
      </c>
      <c r="G1491" s="227"/>
      <c r="H1491" s="222"/>
      <c r="I1491" s="223"/>
    </row>
    <row r="1492" spans="1:9" s="3" customFormat="1">
      <c r="A1492" s="228" t="s">
        <v>63</v>
      </c>
      <c r="B1492" s="229" t="s">
        <v>20</v>
      </c>
      <c r="C1492" s="230">
        <v>10</v>
      </c>
      <c r="D1492" s="230" t="s">
        <v>53</v>
      </c>
      <c r="E1492" s="230" t="s">
        <v>196</v>
      </c>
      <c r="F1492" s="230" t="s">
        <v>58</v>
      </c>
      <c r="G1492" s="231"/>
      <c r="H1492" s="222"/>
      <c r="I1492" s="223"/>
    </row>
    <row r="1493" spans="1:9" s="3" customFormat="1">
      <c r="A1493" s="248" t="s">
        <v>727</v>
      </c>
      <c r="B1493" s="242" t="s">
        <v>20</v>
      </c>
      <c r="C1493" s="242">
        <v>10</v>
      </c>
      <c r="D1493" s="242" t="s">
        <v>53</v>
      </c>
      <c r="E1493" s="242" t="s">
        <v>327</v>
      </c>
      <c r="F1493" s="242" t="s">
        <v>58</v>
      </c>
      <c r="G1493" s="243"/>
      <c r="H1493" s="222"/>
      <c r="I1493" s="223"/>
    </row>
    <row r="1494" spans="1:9" s="3" customFormat="1" ht="38.25">
      <c r="A1494" s="248" t="s">
        <v>842</v>
      </c>
      <c r="B1494" s="242" t="s">
        <v>20</v>
      </c>
      <c r="C1494" s="242">
        <v>10</v>
      </c>
      <c r="D1494" s="242" t="s">
        <v>53</v>
      </c>
      <c r="E1494" s="242" t="s">
        <v>328</v>
      </c>
      <c r="F1494" s="242" t="s">
        <v>58</v>
      </c>
      <c r="G1494" s="243"/>
      <c r="H1494" s="222"/>
      <c r="I1494" s="223"/>
    </row>
    <row r="1495" spans="1:9" s="3" customFormat="1" ht="38.25">
      <c r="A1495" s="237" t="s">
        <v>638</v>
      </c>
      <c r="B1495" s="242" t="s">
        <v>20</v>
      </c>
      <c r="C1495" s="242">
        <v>10</v>
      </c>
      <c r="D1495" s="242" t="s">
        <v>53</v>
      </c>
      <c r="E1495" s="242" t="s">
        <v>634</v>
      </c>
      <c r="F1495" s="242" t="s">
        <v>58</v>
      </c>
      <c r="G1495" s="243"/>
      <c r="H1495" s="222"/>
      <c r="I1495" s="223"/>
    </row>
    <row r="1496" spans="1:9" s="3" customFormat="1" ht="38.25">
      <c r="A1496" s="232" t="s">
        <v>533</v>
      </c>
      <c r="B1496" s="234" t="s">
        <v>20</v>
      </c>
      <c r="C1496" s="234">
        <v>10</v>
      </c>
      <c r="D1496" s="234" t="s">
        <v>53</v>
      </c>
      <c r="E1496" s="234" t="s">
        <v>639</v>
      </c>
      <c r="F1496" s="234" t="s">
        <v>58</v>
      </c>
      <c r="G1496" s="235"/>
      <c r="H1496" s="222"/>
      <c r="I1496" s="223"/>
    </row>
    <row r="1497" spans="1:9" s="3" customFormat="1" ht="38.25">
      <c r="A1497" s="232" t="s">
        <v>561</v>
      </c>
      <c r="B1497" s="234" t="s">
        <v>20</v>
      </c>
      <c r="C1497" s="234">
        <v>10</v>
      </c>
      <c r="D1497" s="234" t="s">
        <v>53</v>
      </c>
      <c r="E1497" s="234" t="s">
        <v>639</v>
      </c>
      <c r="F1497" s="234" t="s">
        <v>101</v>
      </c>
      <c r="G1497" s="235"/>
      <c r="H1497" s="222"/>
      <c r="I1497" s="223"/>
    </row>
    <row r="1498" spans="1:9" s="4" customFormat="1" ht="38.25">
      <c r="A1498" s="236" t="s">
        <v>1047</v>
      </c>
      <c r="B1498" s="234" t="s">
        <v>20</v>
      </c>
      <c r="C1498" s="234">
        <v>10</v>
      </c>
      <c r="D1498" s="234" t="s">
        <v>53</v>
      </c>
      <c r="E1498" s="234" t="s">
        <v>639</v>
      </c>
      <c r="F1498" s="234" t="s">
        <v>1050</v>
      </c>
      <c r="G1498" s="235"/>
      <c r="H1498" s="222"/>
      <c r="I1498" s="223"/>
    </row>
    <row r="1499" spans="1:9" s="3" customFormat="1" ht="38.25">
      <c r="A1499" s="237" t="s">
        <v>641</v>
      </c>
      <c r="B1499" s="242" t="s">
        <v>20</v>
      </c>
      <c r="C1499" s="242">
        <v>10</v>
      </c>
      <c r="D1499" s="242" t="s">
        <v>53</v>
      </c>
      <c r="E1499" s="242" t="s">
        <v>637</v>
      </c>
      <c r="F1499" s="242" t="s">
        <v>58</v>
      </c>
      <c r="G1499" s="243"/>
      <c r="H1499" s="222"/>
      <c r="I1499" s="223"/>
    </row>
    <row r="1500" spans="1:9" s="3" customFormat="1" ht="38.25">
      <c r="A1500" s="232" t="s">
        <v>534</v>
      </c>
      <c r="B1500" s="234" t="s">
        <v>20</v>
      </c>
      <c r="C1500" s="234">
        <v>10</v>
      </c>
      <c r="D1500" s="234" t="s">
        <v>53</v>
      </c>
      <c r="E1500" s="234" t="s">
        <v>640</v>
      </c>
      <c r="F1500" s="234" t="s">
        <v>58</v>
      </c>
      <c r="G1500" s="235"/>
      <c r="H1500" s="222"/>
      <c r="I1500" s="223"/>
    </row>
    <row r="1501" spans="1:9" s="3" customFormat="1" ht="38.25">
      <c r="A1501" s="232" t="s">
        <v>561</v>
      </c>
      <c r="B1501" s="234" t="s">
        <v>20</v>
      </c>
      <c r="C1501" s="234">
        <v>10</v>
      </c>
      <c r="D1501" s="234" t="s">
        <v>53</v>
      </c>
      <c r="E1501" s="234" t="s">
        <v>640</v>
      </c>
      <c r="F1501" s="234" t="s">
        <v>101</v>
      </c>
      <c r="G1501" s="235"/>
      <c r="H1501" s="222"/>
      <c r="I1501" s="223"/>
    </row>
    <row r="1502" spans="1:9" s="4" customFormat="1" ht="63.75">
      <c r="A1502" s="236" t="s">
        <v>1048</v>
      </c>
      <c r="B1502" s="234" t="s">
        <v>20</v>
      </c>
      <c r="C1502" s="234">
        <v>10</v>
      </c>
      <c r="D1502" s="234" t="s">
        <v>53</v>
      </c>
      <c r="E1502" s="234" t="s">
        <v>640</v>
      </c>
      <c r="F1502" s="234" t="s">
        <v>1051</v>
      </c>
      <c r="G1502" s="235"/>
      <c r="H1502" s="222"/>
      <c r="I1502" s="223"/>
    </row>
    <row r="1503" spans="1:9" s="3" customFormat="1" ht="25.5">
      <c r="A1503" s="232" t="s">
        <v>733</v>
      </c>
      <c r="B1503" s="242" t="s">
        <v>20</v>
      </c>
      <c r="C1503" s="242" t="s">
        <v>14</v>
      </c>
      <c r="D1503" s="242" t="s">
        <v>53</v>
      </c>
      <c r="E1503" s="242" t="s">
        <v>524</v>
      </c>
      <c r="F1503" s="242" t="s">
        <v>58</v>
      </c>
      <c r="G1503" s="243"/>
      <c r="H1503" s="222"/>
      <c r="I1503" s="223"/>
    </row>
    <row r="1504" spans="1:9" s="3" customFormat="1" ht="25.5">
      <c r="A1504" s="237" t="s">
        <v>735</v>
      </c>
      <c r="B1504" s="242" t="s">
        <v>20</v>
      </c>
      <c r="C1504" s="242" t="s">
        <v>14</v>
      </c>
      <c r="D1504" s="242" t="s">
        <v>53</v>
      </c>
      <c r="E1504" s="242" t="s">
        <v>734</v>
      </c>
      <c r="F1504" s="242" t="s">
        <v>58</v>
      </c>
      <c r="G1504" s="243"/>
      <c r="H1504" s="222"/>
      <c r="I1504" s="223"/>
    </row>
    <row r="1505" spans="1:9" s="3" customFormat="1">
      <c r="A1505" s="237" t="s">
        <v>535</v>
      </c>
      <c r="B1505" s="242" t="s">
        <v>20</v>
      </c>
      <c r="C1505" s="242" t="s">
        <v>14</v>
      </c>
      <c r="D1505" s="242" t="s">
        <v>53</v>
      </c>
      <c r="E1505" s="242" t="s">
        <v>761</v>
      </c>
      <c r="F1505" s="242" t="s">
        <v>58</v>
      </c>
      <c r="G1505" s="243"/>
      <c r="H1505" s="222"/>
      <c r="I1505" s="223"/>
    </row>
    <row r="1506" spans="1:9" s="3" customFormat="1" ht="38.25">
      <c r="A1506" s="232" t="s">
        <v>898</v>
      </c>
      <c r="B1506" s="242" t="s">
        <v>20</v>
      </c>
      <c r="C1506" s="242" t="s">
        <v>14</v>
      </c>
      <c r="D1506" s="242" t="s">
        <v>53</v>
      </c>
      <c r="E1506" s="242" t="s">
        <v>769</v>
      </c>
      <c r="F1506" s="242" t="s">
        <v>58</v>
      </c>
      <c r="G1506" s="243"/>
      <c r="H1506" s="222"/>
      <c r="I1506" s="223"/>
    </row>
    <row r="1507" spans="1:9" s="3" customFormat="1" ht="25.5">
      <c r="A1507" s="244" t="s">
        <v>110</v>
      </c>
      <c r="B1507" s="242" t="s">
        <v>20</v>
      </c>
      <c r="C1507" s="242" t="s">
        <v>14</v>
      </c>
      <c r="D1507" s="242" t="s">
        <v>53</v>
      </c>
      <c r="E1507" s="242" t="s">
        <v>769</v>
      </c>
      <c r="F1507" s="242" t="s">
        <v>117</v>
      </c>
      <c r="G1507" s="243"/>
      <c r="H1507" s="222"/>
      <c r="I1507" s="223"/>
    </row>
    <row r="1508" spans="1:9" s="4" customFormat="1">
      <c r="A1508" s="236" t="s">
        <v>980</v>
      </c>
      <c r="B1508" s="242" t="s">
        <v>20</v>
      </c>
      <c r="C1508" s="242" t="s">
        <v>14</v>
      </c>
      <c r="D1508" s="242" t="s">
        <v>53</v>
      </c>
      <c r="E1508" s="242" t="s">
        <v>769</v>
      </c>
      <c r="F1508" s="242" t="s">
        <v>1053</v>
      </c>
      <c r="G1508" s="235"/>
      <c r="H1508" s="222"/>
      <c r="I1508" s="223"/>
    </row>
    <row r="1509" spans="1:9" s="3" customFormat="1">
      <c r="A1509" s="244"/>
      <c r="B1509" s="242"/>
      <c r="C1509" s="242"/>
      <c r="D1509" s="242"/>
      <c r="E1509" s="242"/>
      <c r="F1509" s="242"/>
      <c r="G1509" s="235"/>
      <c r="H1509" s="222"/>
      <c r="I1509" s="223"/>
    </row>
    <row r="1510" spans="1:9" s="3" customFormat="1">
      <c r="A1510" s="219" t="s">
        <v>15</v>
      </c>
      <c r="B1510" s="220" t="s">
        <v>16</v>
      </c>
      <c r="C1510" s="221" t="s">
        <v>51</v>
      </c>
      <c r="D1510" s="221" t="s">
        <v>51</v>
      </c>
      <c r="E1510" s="221" t="s">
        <v>196</v>
      </c>
      <c r="F1510" s="221" t="s">
        <v>58</v>
      </c>
      <c r="G1510" s="222"/>
      <c r="H1510" s="222"/>
      <c r="I1510" s="223"/>
    </row>
    <row r="1511" spans="1:9" s="3" customFormat="1">
      <c r="A1511" s="224" t="s">
        <v>64</v>
      </c>
      <c r="B1511" s="225" t="s">
        <v>16</v>
      </c>
      <c r="C1511" s="226" t="s">
        <v>65</v>
      </c>
      <c r="D1511" s="226" t="s">
        <v>51</v>
      </c>
      <c r="E1511" s="226" t="s">
        <v>196</v>
      </c>
      <c r="F1511" s="226" t="s">
        <v>58</v>
      </c>
      <c r="G1511" s="227"/>
      <c r="H1511" s="222"/>
      <c r="I1511" s="223"/>
    </row>
    <row r="1512" spans="1:9" s="3" customFormat="1">
      <c r="A1512" s="228" t="s">
        <v>38</v>
      </c>
      <c r="B1512" s="229" t="s">
        <v>16</v>
      </c>
      <c r="C1512" s="230" t="s">
        <v>65</v>
      </c>
      <c r="D1512" s="230" t="s">
        <v>84</v>
      </c>
      <c r="E1512" s="230" t="s">
        <v>196</v>
      </c>
      <c r="F1512" s="230" t="s">
        <v>58</v>
      </c>
      <c r="G1512" s="231"/>
      <c r="H1512" s="222"/>
      <c r="I1512" s="223"/>
    </row>
    <row r="1513" spans="1:9" s="3" customFormat="1" ht="38.25">
      <c r="A1513" s="237" t="s">
        <v>751</v>
      </c>
      <c r="B1513" s="233" t="s">
        <v>16</v>
      </c>
      <c r="C1513" s="234" t="s">
        <v>65</v>
      </c>
      <c r="D1513" s="234" t="s">
        <v>84</v>
      </c>
      <c r="E1513" s="234" t="s">
        <v>229</v>
      </c>
      <c r="F1513" s="234" t="s">
        <v>58</v>
      </c>
      <c r="G1513" s="235"/>
      <c r="H1513" s="222"/>
      <c r="I1513" s="223"/>
    </row>
    <row r="1514" spans="1:9" s="3" customFormat="1">
      <c r="A1514" s="232" t="s">
        <v>119</v>
      </c>
      <c r="B1514" s="233" t="s">
        <v>16</v>
      </c>
      <c r="C1514" s="234" t="s">
        <v>65</v>
      </c>
      <c r="D1514" s="234" t="s">
        <v>84</v>
      </c>
      <c r="E1514" s="234" t="s">
        <v>230</v>
      </c>
      <c r="F1514" s="234" t="s">
        <v>58</v>
      </c>
      <c r="G1514" s="235"/>
      <c r="H1514" s="222"/>
      <c r="I1514" s="223"/>
    </row>
    <row r="1515" spans="1:9" s="3" customFormat="1" ht="38.25">
      <c r="A1515" s="232" t="s">
        <v>579</v>
      </c>
      <c r="B1515" s="233" t="s">
        <v>16</v>
      </c>
      <c r="C1515" s="234" t="s">
        <v>65</v>
      </c>
      <c r="D1515" s="234" t="s">
        <v>84</v>
      </c>
      <c r="E1515" s="234" t="s">
        <v>235</v>
      </c>
      <c r="F1515" s="234" t="s">
        <v>58</v>
      </c>
      <c r="G1515" s="235"/>
      <c r="H1515" s="222"/>
      <c r="I1515" s="223"/>
    </row>
    <row r="1516" spans="1:9" s="3" customFormat="1" ht="25.5">
      <c r="A1516" s="232" t="s">
        <v>170</v>
      </c>
      <c r="B1516" s="233" t="s">
        <v>16</v>
      </c>
      <c r="C1516" s="234" t="s">
        <v>65</v>
      </c>
      <c r="D1516" s="234" t="s">
        <v>84</v>
      </c>
      <c r="E1516" s="234" t="s">
        <v>236</v>
      </c>
      <c r="F1516" s="234" t="s">
        <v>58</v>
      </c>
      <c r="G1516" s="235"/>
      <c r="H1516" s="222"/>
      <c r="I1516" s="223"/>
    </row>
    <row r="1517" spans="1:9" s="3" customFormat="1" ht="25.5">
      <c r="A1517" s="232" t="s">
        <v>108</v>
      </c>
      <c r="B1517" s="233" t="s">
        <v>16</v>
      </c>
      <c r="C1517" s="234" t="s">
        <v>65</v>
      </c>
      <c r="D1517" s="234" t="s">
        <v>84</v>
      </c>
      <c r="E1517" s="234" t="s">
        <v>236</v>
      </c>
      <c r="F1517" s="234" t="s">
        <v>116</v>
      </c>
      <c r="G1517" s="235"/>
      <c r="H1517" s="222"/>
      <c r="I1517" s="223"/>
    </row>
    <row r="1518" spans="1:9" s="4" customFormat="1" ht="25.5">
      <c r="A1518" s="236" t="s">
        <v>973</v>
      </c>
      <c r="B1518" s="233" t="s">
        <v>16</v>
      </c>
      <c r="C1518" s="234" t="s">
        <v>65</v>
      </c>
      <c r="D1518" s="234" t="s">
        <v>84</v>
      </c>
      <c r="E1518" s="234" t="s">
        <v>236</v>
      </c>
      <c r="F1518" s="234" t="s">
        <v>1043</v>
      </c>
      <c r="G1518" s="235"/>
      <c r="H1518" s="222"/>
      <c r="I1518" s="223"/>
    </row>
    <row r="1519" spans="1:9" s="3" customFormat="1" ht="25.5">
      <c r="A1519" s="291" t="s">
        <v>195</v>
      </c>
      <c r="B1519" s="233" t="s">
        <v>16</v>
      </c>
      <c r="C1519" s="234" t="s">
        <v>65</v>
      </c>
      <c r="D1519" s="234" t="s">
        <v>84</v>
      </c>
      <c r="E1519" s="234" t="s">
        <v>572</v>
      </c>
      <c r="F1519" s="234" t="s">
        <v>58</v>
      </c>
      <c r="G1519" s="235"/>
      <c r="H1519" s="222"/>
      <c r="I1519" s="223"/>
    </row>
    <row r="1520" spans="1:9" s="3" customFormat="1" ht="25.5">
      <c r="A1520" s="291" t="s">
        <v>580</v>
      </c>
      <c r="B1520" s="233" t="s">
        <v>16</v>
      </c>
      <c r="C1520" s="234" t="s">
        <v>65</v>
      </c>
      <c r="D1520" s="234" t="s">
        <v>84</v>
      </c>
      <c r="E1520" s="234" t="s">
        <v>573</v>
      </c>
      <c r="F1520" s="234" t="s">
        <v>58</v>
      </c>
      <c r="G1520" s="235"/>
      <c r="H1520" s="222"/>
      <c r="I1520" s="223"/>
    </row>
    <row r="1521" spans="1:9" s="3" customFormat="1" ht="25.5">
      <c r="A1521" s="291" t="s">
        <v>114</v>
      </c>
      <c r="B1521" s="233" t="s">
        <v>16</v>
      </c>
      <c r="C1521" s="234" t="s">
        <v>65</v>
      </c>
      <c r="D1521" s="234" t="s">
        <v>84</v>
      </c>
      <c r="E1521" s="234" t="s">
        <v>574</v>
      </c>
      <c r="F1521" s="234" t="s">
        <v>58</v>
      </c>
      <c r="G1521" s="235"/>
      <c r="H1521" s="222"/>
      <c r="I1521" s="223"/>
    </row>
    <row r="1522" spans="1:9" s="3" customFormat="1">
      <c r="A1522" s="244" t="s">
        <v>107</v>
      </c>
      <c r="B1522" s="233" t="s">
        <v>16</v>
      </c>
      <c r="C1522" s="234" t="s">
        <v>65</v>
      </c>
      <c r="D1522" s="234" t="s">
        <v>84</v>
      </c>
      <c r="E1522" s="234" t="s">
        <v>574</v>
      </c>
      <c r="F1522" s="234" t="s">
        <v>115</v>
      </c>
      <c r="G1522" s="235"/>
      <c r="H1522" s="222"/>
      <c r="I1522" s="223"/>
    </row>
    <row r="1523" spans="1:9" s="3" customFormat="1" ht="25.5">
      <c r="A1523" s="232" t="s">
        <v>937</v>
      </c>
      <c r="B1523" s="233" t="s">
        <v>16</v>
      </c>
      <c r="C1523" s="234" t="s">
        <v>65</v>
      </c>
      <c r="D1523" s="234" t="s">
        <v>84</v>
      </c>
      <c r="E1523" s="234" t="s">
        <v>574</v>
      </c>
      <c r="F1523" s="234" t="s">
        <v>1059</v>
      </c>
      <c r="G1523" s="235"/>
      <c r="H1523" s="222"/>
      <c r="I1523" s="223"/>
    </row>
    <row r="1524" spans="1:9" s="3" customFormat="1" ht="38.25">
      <c r="A1524" s="232" t="s">
        <v>939</v>
      </c>
      <c r="B1524" s="233" t="s">
        <v>16</v>
      </c>
      <c r="C1524" s="234" t="s">
        <v>65</v>
      </c>
      <c r="D1524" s="234" t="s">
        <v>84</v>
      </c>
      <c r="E1524" s="234" t="s">
        <v>574</v>
      </c>
      <c r="F1524" s="234" t="s">
        <v>1060</v>
      </c>
      <c r="G1524" s="235"/>
      <c r="H1524" s="222"/>
      <c r="I1524" s="223"/>
    </row>
    <row r="1525" spans="1:9" s="3" customFormat="1" ht="25.5">
      <c r="A1525" s="244" t="s">
        <v>108</v>
      </c>
      <c r="B1525" s="233" t="s">
        <v>16</v>
      </c>
      <c r="C1525" s="234" t="s">
        <v>65</v>
      </c>
      <c r="D1525" s="234" t="s">
        <v>84</v>
      </c>
      <c r="E1525" s="234" t="s">
        <v>574</v>
      </c>
      <c r="F1525" s="234" t="s">
        <v>116</v>
      </c>
      <c r="G1525" s="235"/>
      <c r="H1525" s="222"/>
      <c r="I1525" s="223"/>
    </row>
    <row r="1526" spans="1:9" s="94" customFormat="1" ht="25.5">
      <c r="A1526" s="236" t="s">
        <v>973</v>
      </c>
      <c r="B1526" s="233" t="s">
        <v>16</v>
      </c>
      <c r="C1526" s="234" t="s">
        <v>65</v>
      </c>
      <c r="D1526" s="234" t="s">
        <v>84</v>
      </c>
      <c r="E1526" s="234" t="s">
        <v>574</v>
      </c>
      <c r="F1526" s="234" t="s">
        <v>1043</v>
      </c>
      <c r="G1526" s="235"/>
      <c r="H1526" s="222"/>
      <c r="I1526" s="223"/>
    </row>
    <row r="1527" spans="1:9" s="3" customFormat="1">
      <c r="A1527" s="244" t="s">
        <v>97</v>
      </c>
      <c r="B1527" s="233" t="s">
        <v>16</v>
      </c>
      <c r="C1527" s="234" t="s">
        <v>65</v>
      </c>
      <c r="D1527" s="234" t="s">
        <v>84</v>
      </c>
      <c r="E1527" s="234" t="s">
        <v>574</v>
      </c>
      <c r="F1527" s="234" t="s">
        <v>118</v>
      </c>
      <c r="G1527" s="235"/>
      <c r="H1527" s="222"/>
      <c r="I1527" s="223"/>
    </row>
    <row r="1528" spans="1:9" s="3" customFormat="1">
      <c r="A1528" s="232" t="s">
        <v>1036</v>
      </c>
      <c r="B1528" s="233" t="s">
        <v>16</v>
      </c>
      <c r="C1528" s="234" t="s">
        <v>65</v>
      </c>
      <c r="D1528" s="234" t="s">
        <v>84</v>
      </c>
      <c r="E1528" s="234" t="s">
        <v>574</v>
      </c>
      <c r="F1528" s="234" t="s">
        <v>1061</v>
      </c>
      <c r="G1528" s="235"/>
      <c r="H1528" s="222"/>
      <c r="I1528" s="223"/>
    </row>
    <row r="1529" spans="1:9" s="3" customFormat="1">
      <c r="A1529" s="232" t="s">
        <v>1037</v>
      </c>
      <c r="B1529" s="233" t="s">
        <v>16</v>
      </c>
      <c r="C1529" s="234" t="s">
        <v>65</v>
      </c>
      <c r="D1529" s="234" t="s">
        <v>84</v>
      </c>
      <c r="E1529" s="234" t="s">
        <v>574</v>
      </c>
      <c r="F1529" s="234" t="s">
        <v>1062</v>
      </c>
      <c r="G1529" s="235"/>
      <c r="H1529" s="222"/>
      <c r="I1529" s="223"/>
    </row>
    <row r="1530" spans="1:9" s="3" customFormat="1" ht="25.5">
      <c r="A1530" s="244" t="s">
        <v>126</v>
      </c>
      <c r="B1530" s="233" t="s">
        <v>16</v>
      </c>
      <c r="C1530" s="234" t="s">
        <v>65</v>
      </c>
      <c r="D1530" s="234" t="s">
        <v>84</v>
      </c>
      <c r="E1530" s="234" t="s">
        <v>575</v>
      </c>
      <c r="F1530" s="234" t="s">
        <v>58</v>
      </c>
      <c r="G1530" s="235"/>
      <c r="H1530" s="222"/>
      <c r="I1530" s="223"/>
    </row>
    <row r="1531" spans="1:9" s="3" customFormat="1">
      <c r="A1531" s="244" t="s">
        <v>107</v>
      </c>
      <c r="B1531" s="233" t="s">
        <v>16</v>
      </c>
      <c r="C1531" s="234" t="s">
        <v>65</v>
      </c>
      <c r="D1531" s="234" t="s">
        <v>84</v>
      </c>
      <c r="E1531" s="234" t="s">
        <v>575</v>
      </c>
      <c r="F1531" s="234" t="s">
        <v>115</v>
      </c>
      <c r="G1531" s="235"/>
      <c r="H1531" s="222"/>
      <c r="I1531" s="223"/>
    </row>
    <row r="1532" spans="1:9" s="3" customFormat="1">
      <c r="A1532" s="232" t="s">
        <v>936</v>
      </c>
      <c r="B1532" s="233" t="s">
        <v>16</v>
      </c>
      <c r="C1532" s="234" t="s">
        <v>65</v>
      </c>
      <c r="D1532" s="234" t="s">
        <v>84</v>
      </c>
      <c r="E1532" s="234" t="s">
        <v>575</v>
      </c>
      <c r="F1532" s="234" t="s">
        <v>1063</v>
      </c>
      <c r="G1532" s="235"/>
      <c r="H1532" s="222"/>
      <c r="I1532" s="223"/>
    </row>
    <row r="1533" spans="1:9" s="3" customFormat="1" ht="38.25">
      <c r="A1533" s="232" t="s">
        <v>939</v>
      </c>
      <c r="B1533" s="233" t="s">
        <v>16</v>
      </c>
      <c r="C1533" s="234" t="s">
        <v>65</v>
      </c>
      <c r="D1533" s="234" t="s">
        <v>84</v>
      </c>
      <c r="E1533" s="234" t="s">
        <v>575</v>
      </c>
      <c r="F1533" s="234" t="s">
        <v>1060</v>
      </c>
      <c r="G1533" s="235"/>
      <c r="H1533" s="222"/>
      <c r="I1533" s="223"/>
    </row>
    <row r="1534" spans="1:9" s="3" customFormat="1">
      <c r="A1534" s="291" t="s">
        <v>175</v>
      </c>
      <c r="B1534" s="233" t="s">
        <v>16</v>
      </c>
      <c r="C1534" s="234" t="s">
        <v>65</v>
      </c>
      <c r="D1534" s="234" t="s">
        <v>84</v>
      </c>
      <c r="E1534" s="234" t="s">
        <v>576</v>
      </c>
      <c r="F1534" s="234" t="s">
        <v>58</v>
      </c>
      <c r="G1534" s="235"/>
      <c r="H1534" s="222"/>
      <c r="I1534" s="223"/>
    </row>
    <row r="1535" spans="1:9" s="3" customFormat="1" ht="25.5">
      <c r="A1535" s="291" t="s">
        <v>176</v>
      </c>
      <c r="B1535" s="233" t="s">
        <v>16</v>
      </c>
      <c r="C1535" s="234" t="s">
        <v>65</v>
      </c>
      <c r="D1535" s="234" t="s">
        <v>84</v>
      </c>
      <c r="E1535" s="234" t="s">
        <v>835</v>
      </c>
      <c r="F1535" s="234" t="s">
        <v>58</v>
      </c>
      <c r="G1535" s="235"/>
      <c r="H1535" s="222"/>
      <c r="I1535" s="223"/>
    </row>
    <row r="1536" spans="1:9" s="3" customFormat="1" ht="25.5">
      <c r="A1536" s="232" t="s">
        <v>108</v>
      </c>
      <c r="B1536" s="233" t="s">
        <v>16</v>
      </c>
      <c r="C1536" s="234" t="s">
        <v>65</v>
      </c>
      <c r="D1536" s="234" t="s">
        <v>84</v>
      </c>
      <c r="E1536" s="234" t="s">
        <v>835</v>
      </c>
      <c r="F1536" s="234" t="s">
        <v>116</v>
      </c>
      <c r="G1536" s="235"/>
      <c r="H1536" s="222"/>
      <c r="I1536" s="223"/>
    </row>
    <row r="1537" spans="1:9" s="4" customFormat="1" ht="25.5">
      <c r="A1537" s="236" t="s">
        <v>973</v>
      </c>
      <c r="B1537" s="233" t="s">
        <v>16</v>
      </c>
      <c r="C1537" s="234" t="s">
        <v>65</v>
      </c>
      <c r="D1537" s="234" t="s">
        <v>84</v>
      </c>
      <c r="E1537" s="234" t="s">
        <v>835</v>
      </c>
      <c r="F1537" s="234" t="s">
        <v>1043</v>
      </c>
      <c r="G1537" s="235"/>
      <c r="H1537" s="222"/>
      <c r="I1537" s="223"/>
    </row>
    <row r="1538" spans="1:9" s="3" customFormat="1" ht="25.5">
      <c r="A1538" s="244" t="s">
        <v>899</v>
      </c>
      <c r="B1538" s="233" t="s">
        <v>16</v>
      </c>
      <c r="C1538" s="234" t="s">
        <v>65</v>
      </c>
      <c r="D1538" s="234" t="s">
        <v>84</v>
      </c>
      <c r="E1538" s="234" t="s">
        <v>577</v>
      </c>
      <c r="F1538" s="234" t="s">
        <v>58</v>
      </c>
      <c r="G1538" s="235"/>
      <c r="H1538" s="222"/>
      <c r="I1538" s="223"/>
    </row>
    <row r="1539" spans="1:9" s="3" customFormat="1" ht="25.5">
      <c r="A1539" s="232" t="s">
        <v>108</v>
      </c>
      <c r="B1539" s="233" t="s">
        <v>16</v>
      </c>
      <c r="C1539" s="234" t="s">
        <v>65</v>
      </c>
      <c r="D1539" s="234" t="s">
        <v>84</v>
      </c>
      <c r="E1539" s="234" t="s">
        <v>577</v>
      </c>
      <c r="F1539" s="234" t="s">
        <v>116</v>
      </c>
      <c r="G1539" s="235"/>
      <c r="H1539" s="222"/>
      <c r="I1539" s="223"/>
    </row>
    <row r="1540" spans="1:9" s="4" customFormat="1" ht="25.5">
      <c r="A1540" s="236" t="s">
        <v>973</v>
      </c>
      <c r="B1540" s="233" t="s">
        <v>16</v>
      </c>
      <c r="C1540" s="234" t="s">
        <v>65</v>
      </c>
      <c r="D1540" s="234" t="s">
        <v>84</v>
      </c>
      <c r="E1540" s="234" t="s">
        <v>577</v>
      </c>
      <c r="F1540" s="234" t="s">
        <v>1043</v>
      </c>
      <c r="G1540" s="235"/>
      <c r="H1540" s="222"/>
      <c r="I1540" s="223"/>
    </row>
    <row r="1541" spans="1:9" s="3" customFormat="1">
      <c r="A1541" s="224" t="s">
        <v>35</v>
      </c>
      <c r="B1541" s="225" t="s">
        <v>16</v>
      </c>
      <c r="C1541" s="226" t="s">
        <v>37</v>
      </c>
      <c r="D1541" s="226" t="s">
        <v>51</v>
      </c>
      <c r="E1541" s="226" t="s">
        <v>196</v>
      </c>
      <c r="F1541" s="226" t="s">
        <v>58</v>
      </c>
      <c r="G1541" s="227"/>
      <c r="H1541" s="222"/>
      <c r="I1541" s="223"/>
    </row>
    <row r="1542" spans="1:9" s="3" customFormat="1">
      <c r="A1542" s="228" t="s">
        <v>73</v>
      </c>
      <c r="B1542" s="229" t="s">
        <v>16</v>
      </c>
      <c r="C1542" s="230" t="s">
        <v>37</v>
      </c>
      <c r="D1542" s="230" t="s">
        <v>40</v>
      </c>
      <c r="E1542" s="230" t="s">
        <v>196</v>
      </c>
      <c r="F1542" s="230" t="s">
        <v>58</v>
      </c>
      <c r="G1542" s="231"/>
      <c r="H1542" s="222"/>
      <c r="I1542" s="223"/>
    </row>
    <row r="1543" spans="1:9" s="3" customFormat="1" ht="25.5">
      <c r="A1543" s="232" t="s">
        <v>730</v>
      </c>
      <c r="B1543" s="233" t="s">
        <v>16</v>
      </c>
      <c r="C1543" s="233" t="s">
        <v>37</v>
      </c>
      <c r="D1543" s="233" t="s">
        <v>40</v>
      </c>
      <c r="E1543" s="233" t="s">
        <v>565</v>
      </c>
      <c r="F1543" s="233" t="s">
        <v>58</v>
      </c>
      <c r="G1543" s="289"/>
      <c r="H1543" s="222"/>
      <c r="I1543" s="223"/>
    </row>
    <row r="1544" spans="1:9" s="3" customFormat="1" ht="25.5">
      <c r="A1544" s="232" t="s">
        <v>732</v>
      </c>
      <c r="B1544" s="233" t="s">
        <v>16</v>
      </c>
      <c r="C1544" s="233" t="s">
        <v>37</v>
      </c>
      <c r="D1544" s="233" t="s">
        <v>40</v>
      </c>
      <c r="E1544" s="233" t="s">
        <v>731</v>
      </c>
      <c r="F1544" s="233" t="s">
        <v>58</v>
      </c>
      <c r="G1544" s="289"/>
      <c r="H1544" s="222"/>
      <c r="I1544" s="223"/>
    </row>
    <row r="1545" spans="1:9" s="3" customFormat="1" ht="38.25">
      <c r="A1545" s="232" t="s">
        <v>566</v>
      </c>
      <c r="B1545" s="233" t="s">
        <v>16</v>
      </c>
      <c r="C1545" s="233" t="s">
        <v>37</v>
      </c>
      <c r="D1545" s="233" t="s">
        <v>40</v>
      </c>
      <c r="E1545" s="233" t="s">
        <v>836</v>
      </c>
      <c r="F1545" s="233" t="s">
        <v>58</v>
      </c>
      <c r="G1545" s="289"/>
      <c r="H1545" s="222"/>
      <c r="I1545" s="223"/>
    </row>
    <row r="1546" spans="1:9" s="3" customFormat="1" ht="25.5">
      <c r="A1546" s="236" t="s">
        <v>915</v>
      </c>
      <c r="B1546" s="233" t="s">
        <v>16</v>
      </c>
      <c r="C1546" s="233" t="s">
        <v>37</v>
      </c>
      <c r="D1546" s="233" t="s">
        <v>40</v>
      </c>
      <c r="E1546" s="233" t="s">
        <v>837</v>
      </c>
      <c r="F1546" s="233" t="s">
        <v>58</v>
      </c>
      <c r="G1546" s="289"/>
      <c r="H1546" s="222"/>
      <c r="I1546" s="223"/>
    </row>
    <row r="1547" spans="1:9" s="3" customFormat="1" ht="25.5">
      <c r="A1547" s="232" t="s">
        <v>108</v>
      </c>
      <c r="B1547" s="233" t="s">
        <v>16</v>
      </c>
      <c r="C1547" s="233" t="s">
        <v>37</v>
      </c>
      <c r="D1547" s="233" t="s">
        <v>40</v>
      </c>
      <c r="E1547" s="233" t="s">
        <v>837</v>
      </c>
      <c r="F1547" s="233" t="s">
        <v>116</v>
      </c>
      <c r="G1547" s="289"/>
      <c r="H1547" s="222"/>
      <c r="I1547" s="223"/>
    </row>
    <row r="1548" spans="1:9" s="4" customFormat="1" ht="25.5">
      <c r="A1548" s="236" t="s">
        <v>973</v>
      </c>
      <c r="B1548" s="233" t="s">
        <v>16</v>
      </c>
      <c r="C1548" s="233" t="s">
        <v>37</v>
      </c>
      <c r="D1548" s="233" t="s">
        <v>40</v>
      </c>
      <c r="E1548" s="233" t="s">
        <v>837</v>
      </c>
      <c r="F1548" s="233" t="s">
        <v>1043</v>
      </c>
      <c r="G1548" s="235"/>
      <c r="H1548" s="222"/>
      <c r="I1548" s="223"/>
    </row>
    <row r="1549" spans="1:9" s="3" customFormat="1" ht="38.25">
      <c r="A1549" s="232" t="s">
        <v>867</v>
      </c>
      <c r="B1549" s="233" t="s">
        <v>16</v>
      </c>
      <c r="C1549" s="233" t="s">
        <v>37</v>
      </c>
      <c r="D1549" s="233" t="s">
        <v>40</v>
      </c>
      <c r="E1549" s="233" t="s">
        <v>838</v>
      </c>
      <c r="F1549" s="233" t="s">
        <v>58</v>
      </c>
      <c r="G1549" s="289"/>
      <c r="H1549" s="222"/>
      <c r="I1549" s="223"/>
    </row>
    <row r="1550" spans="1:9" s="3" customFormat="1">
      <c r="A1550" s="232" t="s">
        <v>900</v>
      </c>
      <c r="B1550" s="233" t="s">
        <v>16</v>
      </c>
      <c r="C1550" s="233" t="s">
        <v>37</v>
      </c>
      <c r="D1550" s="233" t="s">
        <v>40</v>
      </c>
      <c r="E1550" s="233" t="s">
        <v>916</v>
      </c>
      <c r="F1550" s="233" t="s">
        <v>58</v>
      </c>
      <c r="G1550" s="289"/>
      <c r="H1550" s="222"/>
      <c r="I1550" s="223"/>
    </row>
    <row r="1551" spans="1:9" s="3" customFormat="1" ht="25.5">
      <c r="A1551" s="232" t="s">
        <v>108</v>
      </c>
      <c r="B1551" s="233" t="s">
        <v>16</v>
      </c>
      <c r="C1551" s="233" t="s">
        <v>37</v>
      </c>
      <c r="D1551" s="233" t="s">
        <v>40</v>
      </c>
      <c r="E1551" s="233" t="s">
        <v>916</v>
      </c>
      <c r="F1551" s="233" t="s">
        <v>116</v>
      </c>
      <c r="G1551" s="289"/>
      <c r="H1551" s="222"/>
      <c r="I1551" s="223"/>
    </row>
    <row r="1552" spans="1:9" s="4" customFormat="1" ht="25.5">
      <c r="A1552" s="236" t="s">
        <v>973</v>
      </c>
      <c r="B1552" s="233" t="s">
        <v>16</v>
      </c>
      <c r="C1552" s="233" t="s">
        <v>37</v>
      </c>
      <c r="D1552" s="233" t="s">
        <v>40</v>
      </c>
      <c r="E1552" s="233" t="s">
        <v>916</v>
      </c>
      <c r="F1552" s="233" t="s">
        <v>1043</v>
      </c>
      <c r="G1552" s="235"/>
      <c r="H1552" s="222"/>
      <c r="I1552" s="223"/>
    </row>
    <row r="1553" spans="1:9" s="3" customFormat="1" ht="25.5">
      <c r="A1553" s="291" t="s">
        <v>195</v>
      </c>
      <c r="B1553" s="233" t="s">
        <v>16</v>
      </c>
      <c r="C1553" s="233" t="s">
        <v>37</v>
      </c>
      <c r="D1553" s="233" t="s">
        <v>40</v>
      </c>
      <c r="E1553" s="234" t="s">
        <v>572</v>
      </c>
      <c r="F1553" s="234" t="s">
        <v>58</v>
      </c>
      <c r="G1553" s="235"/>
      <c r="H1553" s="222"/>
      <c r="I1553" s="223"/>
    </row>
    <row r="1554" spans="1:9" s="3" customFormat="1">
      <c r="A1554" s="291" t="s">
        <v>175</v>
      </c>
      <c r="B1554" s="233" t="s">
        <v>16</v>
      </c>
      <c r="C1554" s="233" t="s">
        <v>37</v>
      </c>
      <c r="D1554" s="233" t="s">
        <v>40</v>
      </c>
      <c r="E1554" s="234" t="s">
        <v>576</v>
      </c>
      <c r="F1554" s="234" t="s">
        <v>58</v>
      </c>
      <c r="G1554" s="235"/>
      <c r="H1554" s="222"/>
      <c r="I1554" s="223"/>
    </row>
    <row r="1555" spans="1:9" s="3" customFormat="1" ht="25.5">
      <c r="A1555" s="291" t="s">
        <v>705</v>
      </c>
      <c r="B1555" s="233" t="s">
        <v>16</v>
      </c>
      <c r="C1555" s="233" t="s">
        <v>37</v>
      </c>
      <c r="D1555" s="233" t="s">
        <v>40</v>
      </c>
      <c r="E1555" s="234" t="s">
        <v>578</v>
      </c>
      <c r="F1555" s="234" t="s">
        <v>58</v>
      </c>
      <c r="G1555" s="235"/>
      <c r="H1555" s="222"/>
      <c r="I1555" s="223"/>
    </row>
    <row r="1556" spans="1:9" s="3" customFormat="1" ht="25.5">
      <c r="A1556" s="232" t="s">
        <v>108</v>
      </c>
      <c r="B1556" s="233" t="s">
        <v>16</v>
      </c>
      <c r="C1556" s="233" t="s">
        <v>37</v>
      </c>
      <c r="D1556" s="233" t="s">
        <v>40</v>
      </c>
      <c r="E1556" s="234" t="s">
        <v>578</v>
      </c>
      <c r="F1556" s="234" t="s">
        <v>116</v>
      </c>
      <c r="G1556" s="235"/>
      <c r="H1556" s="222"/>
      <c r="I1556" s="223"/>
    </row>
    <row r="1557" spans="1:9" s="4" customFormat="1" ht="25.5">
      <c r="A1557" s="236" t="s">
        <v>973</v>
      </c>
      <c r="B1557" s="233" t="s">
        <v>16</v>
      </c>
      <c r="C1557" s="233" t="s">
        <v>37</v>
      </c>
      <c r="D1557" s="233" t="s">
        <v>40</v>
      </c>
      <c r="E1557" s="234" t="s">
        <v>578</v>
      </c>
      <c r="F1557" s="234" t="s">
        <v>1043</v>
      </c>
      <c r="G1557" s="235"/>
      <c r="H1557" s="222"/>
      <c r="I1557" s="223"/>
    </row>
    <row r="1558" spans="1:9" s="3" customFormat="1">
      <c r="A1558" s="224" t="s">
        <v>7</v>
      </c>
      <c r="B1558" s="225" t="s">
        <v>16</v>
      </c>
      <c r="C1558" s="226" t="s">
        <v>8</v>
      </c>
      <c r="D1558" s="226" t="s">
        <v>51</v>
      </c>
      <c r="E1558" s="226" t="s">
        <v>196</v>
      </c>
      <c r="F1558" s="226" t="s">
        <v>58</v>
      </c>
      <c r="G1558" s="227"/>
      <c r="H1558" s="222"/>
      <c r="I1558" s="223"/>
    </row>
    <row r="1559" spans="1:9" s="3" customFormat="1">
      <c r="A1559" s="228" t="s">
        <v>1</v>
      </c>
      <c r="B1559" s="229" t="s">
        <v>16</v>
      </c>
      <c r="C1559" s="230" t="s">
        <v>8</v>
      </c>
      <c r="D1559" s="230" t="s">
        <v>53</v>
      </c>
      <c r="E1559" s="230" t="s">
        <v>196</v>
      </c>
      <c r="F1559" s="230" t="s">
        <v>58</v>
      </c>
      <c r="G1559" s="231"/>
      <c r="H1559" s="222"/>
      <c r="I1559" s="223"/>
    </row>
    <row r="1560" spans="1:9" s="3" customFormat="1" ht="38.25">
      <c r="A1560" s="236" t="s">
        <v>722</v>
      </c>
      <c r="B1560" s="234" t="s">
        <v>16</v>
      </c>
      <c r="C1560" s="234" t="s">
        <v>8</v>
      </c>
      <c r="D1560" s="234" t="s">
        <v>53</v>
      </c>
      <c r="E1560" s="234" t="s">
        <v>300</v>
      </c>
      <c r="F1560" s="234" t="s">
        <v>58</v>
      </c>
      <c r="G1560" s="289"/>
      <c r="H1560" s="222"/>
      <c r="I1560" s="223"/>
    </row>
    <row r="1561" spans="1:9" s="3" customFormat="1">
      <c r="A1561" s="232" t="s">
        <v>142</v>
      </c>
      <c r="B1561" s="234" t="s">
        <v>16</v>
      </c>
      <c r="C1561" s="234" t="s">
        <v>8</v>
      </c>
      <c r="D1561" s="234" t="s">
        <v>53</v>
      </c>
      <c r="E1561" s="234" t="s">
        <v>453</v>
      </c>
      <c r="F1561" s="234" t="s">
        <v>58</v>
      </c>
      <c r="G1561" s="289"/>
      <c r="H1561" s="222"/>
      <c r="I1561" s="223"/>
    </row>
    <row r="1562" spans="1:9" s="3" customFormat="1">
      <c r="A1562" s="252" t="s">
        <v>454</v>
      </c>
      <c r="B1562" s="241" t="s">
        <v>16</v>
      </c>
      <c r="C1562" s="242" t="s">
        <v>8</v>
      </c>
      <c r="D1562" s="242" t="s">
        <v>53</v>
      </c>
      <c r="E1562" s="234" t="s">
        <v>645</v>
      </c>
      <c r="F1562" s="242" t="s">
        <v>58</v>
      </c>
      <c r="G1562" s="243"/>
      <c r="H1562" s="222"/>
      <c r="I1562" s="223"/>
    </row>
    <row r="1563" spans="1:9" s="3" customFormat="1" ht="51">
      <c r="A1563" s="236" t="s">
        <v>588</v>
      </c>
      <c r="B1563" s="241" t="s">
        <v>16</v>
      </c>
      <c r="C1563" s="242" t="s">
        <v>8</v>
      </c>
      <c r="D1563" s="242" t="s">
        <v>53</v>
      </c>
      <c r="E1563" s="242" t="s">
        <v>648</v>
      </c>
      <c r="F1563" s="242" t="s">
        <v>58</v>
      </c>
      <c r="G1563" s="243"/>
      <c r="H1563" s="222"/>
      <c r="I1563" s="223"/>
    </row>
    <row r="1564" spans="1:9" s="3" customFormat="1" ht="25.5">
      <c r="A1564" s="232" t="s">
        <v>108</v>
      </c>
      <c r="B1564" s="241" t="s">
        <v>16</v>
      </c>
      <c r="C1564" s="242" t="s">
        <v>8</v>
      </c>
      <c r="D1564" s="242" t="s">
        <v>53</v>
      </c>
      <c r="E1564" s="242" t="s">
        <v>648</v>
      </c>
      <c r="F1564" s="242" t="s">
        <v>116</v>
      </c>
      <c r="G1564" s="243"/>
      <c r="H1564" s="222"/>
      <c r="I1564" s="223"/>
    </row>
    <row r="1565" spans="1:9" s="4" customFormat="1" ht="25.5">
      <c r="A1565" s="236" t="s">
        <v>973</v>
      </c>
      <c r="B1565" s="241" t="s">
        <v>16</v>
      </c>
      <c r="C1565" s="242" t="s">
        <v>8</v>
      </c>
      <c r="D1565" s="242" t="s">
        <v>53</v>
      </c>
      <c r="E1565" s="242" t="s">
        <v>648</v>
      </c>
      <c r="F1565" s="242" t="s">
        <v>1043</v>
      </c>
      <c r="G1565" s="235"/>
      <c r="H1565" s="222"/>
      <c r="I1565" s="223"/>
    </row>
    <row r="1566" spans="1:9" s="3" customFormat="1">
      <c r="A1566" s="224" t="s">
        <v>70</v>
      </c>
      <c r="B1566" s="225" t="s">
        <v>16</v>
      </c>
      <c r="C1566" s="226" t="s">
        <v>71</v>
      </c>
      <c r="D1566" s="226" t="s">
        <v>51</v>
      </c>
      <c r="E1566" s="226" t="s">
        <v>196</v>
      </c>
      <c r="F1566" s="226" t="s">
        <v>58</v>
      </c>
      <c r="G1566" s="227"/>
      <c r="H1566" s="222"/>
      <c r="I1566" s="223"/>
    </row>
    <row r="1567" spans="1:9" s="3" customFormat="1">
      <c r="A1567" s="228" t="s">
        <v>72</v>
      </c>
      <c r="B1567" s="229" t="s">
        <v>16</v>
      </c>
      <c r="C1567" s="230" t="s">
        <v>71</v>
      </c>
      <c r="D1567" s="230" t="s">
        <v>65</v>
      </c>
      <c r="E1567" s="230" t="s">
        <v>196</v>
      </c>
      <c r="F1567" s="230" t="s">
        <v>58</v>
      </c>
      <c r="G1567" s="231"/>
      <c r="H1567" s="222"/>
      <c r="I1567" s="223"/>
    </row>
    <row r="1568" spans="1:9" s="3" customFormat="1">
      <c r="A1568" s="244" t="s">
        <v>723</v>
      </c>
      <c r="B1568" s="233" t="s">
        <v>16</v>
      </c>
      <c r="C1568" s="234" t="s">
        <v>71</v>
      </c>
      <c r="D1568" s="234" t="s">
        <v>65</v>
      </c>
      <c r="E1568" s="234" t="s">
        <v>331</v>
      </c>
      <c r="F1568" s="234" t="s">
        <v>58</v>
      </c>
      <c r="G1568" s="235"/>
      <c r="H1568" s="222"/>
      <c r="I1568" s="223"/>
    </row>
    <row r="1569" spans="1:9" s="3" customFormat="1" ht="25.5">
      <c r="A1569" s="232" t="s">
        <v>724</v>
      </c>
      <c r="B1569" s="233" t="s">
        <v>16</v>
      </c>
      <c r="C1569" s="234" t="s">
        <v>71</v>
      </c>
      <c r="D1569" s="234" t="s">
        <v>65</v>
      </c>
      <c r="E1569" s="234" t="s">
        <v>562</v>
      </c>
      <c r="F1569" s="234" t="s">
        <v>58</v>
      </c>
      <c r="G1569" s="235"/>
      <c r="H1569" s="222"/>
      <c r="I1569" s="223"/>
    </row>
    <row r="1570" spans="1:9" s="3" customFormat="1" ht="38.25">
      <c r="A1570" s="232" t="s">
        <v>612</v>
      </c>
      <c r="B1570" s="233" t="s">
        <v>16</v>
      </c>
      <c r="C1570" s="234" t="s">
        <v>71</v>
      </c>
      <c r="D1570" s="234" t="s">
        <v>65</v>
      </c>
      <c r="E1570" s="234" t="s">
        <v>563</v>
      </c>
      <c r="F1570" s="234" t="s">
        <v>58</v>
      </c>
      <c r="G1570" s="235"/>
      <c r="H1570" s="222"/>
      <c r="I1570" s="223"/>
    </row>
    <row r="1571" spans="1:9" s="3" customFormat="1" ht="25.5">
      <c r="A1571" s="232" t="s">
        <v>154</v>
      </c>
      <c r="B1571" s="233" t="s">
        <v>16</v>
      </c>
      <c r="C1571" s="234" t="s">
        <v>71</v>
      </c>
      <c r="D1571" s="234" t="s">
        <v>65</v>
      </c>
      <c r="E1571" s="234" t="s">
        <v>564</v>
      </c>
      <c r="F1571" s="234" t="s">
        <v>58</v>
      </c>
      <c r="G1571" s="235"/>
      <c r="H1571" s="222"/>
      <c r="I1571" s="223"/>
    </row>
    <row r="1572" spans="1:9" s="3" customFormat="1">
      <c r="A1572" s="232" t="s">
        <v>21</v>
      </c>
      <c r="B1572" s="233" t="s">
        <v>16</v>
      </c>
      <c r="C1572" s="234" t="s">
        <v>71</v>
      </c>
      <c r="D1572" s="234" t="s">
        <v>65</v>
      </c>
      <c r="E1572" s="234" t="s">
        <v>564</v>
      </c>
      <c r="F1572" s="234" t="s">
        <v>103</v>
      </c>
      <c r="G1572" s="235"/>
      <c r="H1572" s="222"/>
      <c r="I1572" s="223"/>
    </row>
    <row r="1573" spans="1:9" s="4" customFormat="1" ht="25.5">
      <c r="A1573" s="236" t="s">
        <v>987</v>
      </c>
      <c r="B1573" s="233" t="s">
        <v>16</v>
      </c>
      <c r="C1573" s="234" t="s">
        <v>71</v>
      </c>
      <c r="D1573" s="234" t="s">
        <v>65</v>
      </c>
      <c r="E1573" s="234" t="s">
        <v>564</v>
      </c>
      <c r="F1573" s="234" t="s">
        <v>1052</v>
      </c>
      <c r="G1573" s="235"/>
      <c r="H1573" s="222"/>
      <c r="I1573" s="223"/>
    </row>
    <row r="1574" spans="1:9" s="3" customFormat="1">
      <c r="A1574" s="228" t="s">
        <v>61</v>
      </c>
      <c r="B1574" s="229" t="s">
        <v>16</v>
      </c>
      <c r="C1574" s="230" t="s">
        <v>71</v>
      </c>
      <c r="D1574" s="230" t="s">
        <v>66</v>
      </c>
      <c r="E1574" s="230" t="s">
        <v>196</v>
      </c>
      <c r="F1574" s="230" t="s">
        <v>58</v>
      </c>
      <c r="G1574" s="231"/>
      <c r="H1574" s="222"/>
      <c r="I1574" s="223"/>
    </row>
    <row r="1575" spans="1:9" s="3" customFormat="1">
      <c r="A1575" s="244" t="s">
        <v>723</v>
      </c>
      <c r="B1575" s="233" t="s">
        <v>16</v>
      </c>
      <c r="C1575" s="234" t="s">
        <v>71</v>
      </c>
      <c r="D1575" s="234" t="s">
        <v>66</v>
      </c>
      <c r="E1575" s="234" t="s">
        <v>331</v>
      </c>
      <c r="F1575" s="234" t="s">
        <v>58</v>
      </c>
      <c r="G1575" s="235"/>
      <c r="H1575" s="222"/>
      <c r="I1575" s="223"/>
    </row>
    <row r="1576" spans="1:9" s="3" customFormat="1" ht="25.5">
      <c r="A1576" s="232" t="s">
        <v>724</v>
      </c>
      <c r="B1576" s="233" t="s">
        <v>16</v>
      </c>
      <c r="C1576" s="234" t="s">
        <v>71</v>
      </c>
      <c r="D1576" s="234" t="s">
        <v>66</v>
      </c>
      <c r="E1576" s="234" t="s">
        <v>562</v>
      </c>
      <c r="F1576" s="234" t="s">
        <v>58</v>
      </c>
      <c r="G1576" s="235"/>
      <c r="H1576" s="222"/>
      <c r="I1576" s="223"/>
    </row>
    <row r="1577" spans="1:9" s="3" customFormat="1" ht="38.25">
      <c r="A1577" s="232" t="s">
        <v>612</v>
      </c>
      <c r="B1577" s="233" t="s">
        <v>16</v>
      </c>
      <c r="C1577" s="234" t="s">
        <v>71</v>
      </c>
      <c r="D1577" s="234" t="s">
        <v>66</v>
      </c>
      <c r="E1577" s="234" t="s">
        <v>563</v>
      </c>
      <c r="F1577" s="234" t="s">
        <v>58</v>
      </c>
      <c r="G1577" s="235"/>
      <c r="H1577" s="222"/>
      <c r="I1577" s="223"/>
    </row>
    <row r="1578" spans="1:9" s="3" customFormat="1" ht="25.5">
      <c r="A1578" s="232" t="s">
        <v>154</v>
      </c>
      <c r="B1578" s="233" t="s">
        <v>16</v>
      </c>
      <c r="C1578" s="234" t="s">
        <v>71</v>
      </c>
      <c r="D1578" s="234" t="s">
        <v>66</v>
      </c>
      <c r="E1578" s="234" t="s">
        <v>564</v>
      </c>
      <c r="F1578" s="234" t="s">
        <v>58</v>
      </c>
      <c r="G1578" s="235"/>
      <c r="H1578" s="222"/>
      <c r="I1578" s="223"/>
    </row>
    <row r="1579" spans="1:9" s="3" customFormat="1">
      <c r="A1579" s="232" t="s">
        <v>21</v>
      </c>
      <c r="B1579" s="233" t="s">
        <v>16</v>
      </c>
      <c r="C1579" s="234" t="s">
        <v>71</v>
      </c>
      <c r="D1579" s="234" t="s">
        <v>66</v>
      </c>
      <c r="E1579" s="234" t="s">
        <v>564</v>
      </c>
      <c r="F1579" s="234" t="s">
        <v>103</v>
      </c>
      <c r="G1579" s="235"/>
      <c r="H1579" s="222"/>
      <c r="I1579" s="223"/>
    </row>
    <row r="1580" spans="1:9" s="4" customFormat="1" ht="25.5">
      <c r="A1580" s="236" t="s">
        <v>987</v>
      </c>
      <c r="B1580" s="233" t="s">
        <v>16</v>
      </c>
      <c r="C1580" s="234" t="s">
        <v>71</v>
      </c>
      <c r="D1580" s="234" t="s">
        <v>66</v>
      </c>
      <c r="E1580" s="234" t="s">
        <v>564</v>
      </c>
      <c r="F1580" s="234" t="s">
        <v>1052</v>
      </c>
      <c r="G1580" s="235"/>
      <c r="H1580" s="222"/>
      <c r="I1580" s="223"/>
    </row>
    <row r="1581" spans="1:9" s="3" customFormat="1" ht="38.25">
      <c r="A1581" s="232" t="s">
        <v>922</v>
      </c>
      <c r="B1581" s="233" t="s">
        <v>16</v>
      </c>
      <c r="C1581" s="234" t="s">
        <v>71</v>
      </c>
      <c r="D1581" s="234" t="s">
        <v>66</v>
      </c>
      <c r="E1581" s="234" t="s">
        <v>921</v>
      </c>
      <c r="F1581" s="234" t="s">
        <v>58</v>
      </c>
      <c r="G1581" s="235"/>
      <c r="H1581" s="222"/>
      <c r="I1581" s="223"/>
    </row>
    <row r="1582" spans="1:9" s="3" customFormat="1">
      <c r="A1582" s="232" t="s">
        <v>21</v>
      </c>
      <c r="B1582" s="233" t="s">
        <v>16</v>
      </c>
      <c r="C1582" s="234" t="s">
        <v>71</v>
      </c>
      <c r="D1582" s="234" t="s">
        <v>66</v>
      </c>
      <c r="E1582" s="234" t="s">
        <v>921</v>
      </c>
      <c r="F1582" s="234" t="s">
        <v>103</v>
      </c>
      <c r="G1582" s="235"/>
      <c r="H1582" s="222"/>
      <c r="I1582" s="223"/>
    </row>
    <row r="1583" spans="1:9" s="4" customFormat="1" ht="25.5">
      <c r="A1583" s="236" t="s">
        <v>987</v>
      </c>
      <c r="B1583" s="233" t="s">
        <v>16</v>
      </c>
      <c r="C1583" s="234" t="s">
        <v>71</v>
      </c>
      <c r="D1583" s="234" t="s">
        <v>66</v>
      </c>
      <c r="E1583" s="234" t="s">
        <v>921</v>
      </c>
      <c r="F1583" s="234" t="s">
        <v>1052</v>
      </c>
      <c r="G1583" s="235"/>
      <c r="H1583" s="222"/>
      <c r="I1583" s="223"/>
    </row>
    <row r="1584" spans="1:9" s="3" customFormat="1" ht="25.5">
      <c r="A1584" s="232" t="s">
        <v>924</v>
      </c>
      <c r="B1584" s="233" t="s">
        <v>16</v>
      </c>
      <c r="C1584" s="234" t="s">
        <v>71</v>
      </c>
      <c r="D1584" s="234" t="s">
        <v>66</v>
      </c>
      <c r="E1584" s="234" t="s">
        <v>923</v>
      </c>
      <c r="F1584" s="234" t="s">
        <v>58</v>
      </c>
      <c r="G1584" s="235"/>
      <c r="H1584" s="222"/>
      <c r="I1584" s="223"/>
    </row>
    <row r="1585" spans="1:9" s="3" customFormat="1">
      <c r="A1585" s="232" t="s">
        <v>21</v>
      </c>
      <c r="B1585" s="233" t="s">
        <v>16</v>
      </c>
      <c r="C1585" s="234" t="s">
        <v>71</v>
      </c>
      <c r="D1585" s="234" t="s">
        <v>66</v>
      </c>
      <c r="E1585" s="234" t="s">
        <v>923</v>
      </c>
      <c r="F1585" s="234" t="s">
        <v>103</v>
      </c>
      <c r="G1585" s="235"/>
      <c r="H1585" s="222"/>
      <c r="I1585" s="223"/>
    </row>
    <row r="1586" spans="1:9" s="4" customFormat="1" ht="25.5">
      <c r="A1586" s="236" t="s">
        <v>987</v>
      </c>
      <c r="B1586" s="233" t="s">
        <v>16</v>
      </c>
      <c r="C1586" s="234" t="s">
        <v>71</v>
      </c>
      <c r="D1586" s="234" t="s">
        <v>66</v>
      </c>
      <c r="E1586" s="234" t="s">
        <v>923</v>
      </c>
      <c r="F1586" s="234" t="s">
        <v>1052</v>
      </c>
      <c r="G1586" s="235"/>
      <c r="H1586" s="222"/>
      <c r="I1586" s="223"/>
    </row>
    <row r="1587" spans="1:9" s="3" customFormat="1">
      <c r="A1587" s="224" t="s">
        <v>83</v>
      </c>
      <c r="B1587" s="225" t="s">
        <v>16</v>
      </c>
      <c r="C1587" s="226" t="s">
        <v>50</v>
      </c>
      <c r="D1587" s="226" t="s">
        <v>51</v>
      </c>
      <c r="E1587" s="226" t="s">
        <v>196</v>
      </c>
      <c r="F1587" s="226" t="s">
        <v>58</v>
      </c>
      <c r="G1587" s="227"/>
      <c r="H1587" s="222"/>
      <c r="I1587" s="223"/>
    </row>
    <row r="1588" spans="1:9" s="3" customFormat="1">
      <c r="A1588" s="228" t="s">
        <v>27</v>
      </c>
      <c r="B1588" s="229" t="s">
        <v>16</v>
      </c>
      <c r="C1588" s="230" t="s">
        <v>50</v>
      </c>
      <c r="D1588" s="230" t="s">
        <v>65</v>
      </c>
      <c r="E1588" s="230" t="s">
        <v>196</v>
      </c>
      <c r="F1588" s="230" t="s">
        <v>58</v>
      </c>
      <c r="G1588" s="231"/>
      <c r="H1588" s="222"/>
      <c r="I1588" s="223"/>
    </row>
    <row r="1589" spans="1:9" s="3" customFormat="1">
      <c r="A1589" s="232" t="s">
        <v>739</v>
      </c>
      <c r="B1589" s="233" t="s">
        <v>16</v>
      </c>
      <c r="C1589" s="234" t="s">
        <v>50</v>
      </c>
      <c r="D1589" s="234" t="s">
        <v>65</v>
      </c>
      <c r="E1589" s="242" t="s">
        <v>277</v>
      </c>
      <c r="F1589" s="234" t="s">
        <v>58</v>
      </c>
      <c r="G1589" s="235"/>
      <c r="H1589" s="222"/>
      <c r="I1589" s="223"/>
    </row>
    <row r="1590" spans="1:9" s="3" customFormat="1" ht="38.25">
      <c r="A1590" s="232" t="s">
        <v>194</v>
      </c>
      <c r="B1590" s="233" t="s">
        <v>16</v>
      </c>
      <c r="C1590" s="234" t="s">
        <v>50</v>
      </c>
      <c r="D1590" s="234" t="s">
        <v>65</v>
      </c>
      <c r="E1590" s="242" t="s">
        <v>278</v>
      </c>
      <c r="F1590" s="234" t="s">
        <v>58</v>
      </c>
      <c r="G1590" s="235"/>
      <c r="H1590" s="222"/>
      <c r="I1590" s="223"/>
    </row>
    <row r="1591" spans="1:9" s="3" customFormat="1" ht="51">
      <c r="A1591" s="232" t="s">
        <v>605</v>
      </c>
      <c r="B1591" s="233" t="s">
        <v>16</v>
      </c>
      <c r="C1591" s="234" t="s">
        <v>50</v>
      </c>
      <c r="D1591" s="234" t="s">
        <v>65</v>
      </c>
      <c r="E1591" s="242" t="s">
        <v>279</v>
      </c>
      <c r="F1591" s="234" t="s">
        <v>58</v>
      </c>
      <c r="G1591" s="235"/>
      <c r="H1591" s="222"/>
      <c r="I1591" s="223"/>
    </row>
    <row r="1592" spans="1:9" s="3" customFormat="1">
      <c r="A1592" s="232" t="s">
        <v>161</v>
      </c>
      <c r="B1592" s="233" t="s">
        <v>16</v>
      </c>
      <c r="C1592" s="234" t="s">
        <v>50</v>
      </c>
      <c r="D1592" s="234" t="s">
        <v>65</v>
      </c>
      <c r="E1592" s="242" t="s">
        <v>320</v>
      </c>
      <c r="F1592" s="234" t="s">
        <v>58</v>
      </c>
      <c r="G1592" s="235"/>
      <c r="H1592" s="222"/>
      <c r="I1592" s="223"/>
    </row>
    <row r="1593" spans="1:9" s="3" customFormat="1" ht="25.5">
      <c r="A1593" s="236" t="s">
        <v>108</v>
      </c>
      <c r="B1593" s="233" t="s">
        <v>16</v>
      </c>
      <c r="C1593" s="234" t="s">
        <v>50</v>
      </c>
      <c r="D1593" s="234" t="s">
        <v>65</v>
      </c>
      <c r="E1593" s="242" t="s">
        <v>320</v>
      </c>
      <c r="F1593" s="234" t="s">
        <v>116</v>
      </c>
      <c r="G1593" s="235"/>
      <c r="H1593" s="222"/>
      <c r="I1593" s="223"/>
    </row>
    <row r="1594" spans="1:9" s="4" customFormat="1" ht="25.5">
      <c r="A1594" s="236" t="s">
        <v>973</v>
      </c>
      <c r="B1594" s="233" t="s">
        <v>16</v>
      </c>
      <c r="C1594" s="234" t="s">
        <v>50</v>
      </c>
      <c r="D1594" s="234" t="s">
        <v>65</v>
      </c>
      <c r="E1594" s="242" t="s">
        <v>320</v>
      </c>
      <c r="F1594" s="234" t="s">
        <v>1043</v>
      </c>
      <c r="G1594" s="235"/>
      <c r="H1594" s="222"/>
      <c r="I1594" s="223"/>
    </row>
    <row r="1595" spans="1:9" s="3" customFormat="1">
      <c r="A1595" s="236" t="s">
        <v>140</v>
      </c>
      <c r="B1595" s="233" t="s">
        <v>16</v>
      </c>
      <c r="C1595" s="234" t="s">
        <v>50</v>
      </c>
      <c r="D1595" s="234" t="s">
        <v>65</v>
      </c>
      <c r="E1595" s="242" t="s">
        <v>372</v>
      </c>
      <c r="F1595" s="234" t="s">
        <v>58</v>
      </c>
      <c r="G1595" s="235"/>
      <c r="H1595" s="222"/>
      <c r="I1595" s="223"/>
    </row>
    <row r="1596" spans="1:9" s="3" customFormat="1" ht="25.5">
      <c r="A1596" s="232" t="s">
        <v>857</v>
      </c>
      <c r="B1596" s="233" t="s">
        <v>16</v>
      </c>
      <c r="C1596" s="234" t="s">
        <v>50</v>
      </c>
      <c r="D1596" s="234" t="s">
        <v>65</v>
      </c>
      <c r="E1596" s="242" t="s">
        <v>839</v>
      </c>
      <c r="F1596" s="234" t="s">
        <v>58</v>
      </c>
      <c r="G1596" s="235"/>
      <c r="H1596" s="222"/>
      <c r="I1596" s="223"/>
    </row>
    <row r="1597" spans="1:9" s="3" customFormat="1" ht="51">
      <c r="A1597" s="244" t="s">
        <v>840</v>
      </c>
      <c r="B1597" s="233" t="s">
        <v>16</v>
      </c>
      <c r="C1597" s="234" t="s">
        <v>50</v>
      </c>
      <c r="D1597" s="234" t="s">
        <v>65</v>
      </c>
      <c r="E1597" s="242" t="s">
        <v>841</v>
      </c>
      <c r="F1597" s="234" t="s">
        <v>58</v>
      </c>
      <c r="G1597" s="235"/>
      <c r="H1597" s="222"/>
      <c r="I1597" s="223"/>
    </row>
    <row r="1598" spans="1:9" s="3" customFormat="1">
      <c r="A1598" s="232" t="s">
        <v>21</v>
      </c>
      <c r="B1598" s="233" t="s">
        <v>16</v>
      </c>
      <c r="C1598" s="234" t="s">
        <v>50</v>
      </c>
      <c r="D1598" s="234" t="s">
        <v>65</v>
      </c>
      <c r="E1598" s="234" t="s">
        <v>841</v>
      </c>
      <c r="F1598" s="234" t="s">
        <v>103</v>
      </c>
      <c r="G1598" s="235"/>
      <c r="H1598" s="222"/>
      <c r="I1598" s="223"/>
    </row>
    <row r="1599" spans="1:9" s="4" customFormat="1" ht="25.5">
      <c r="A1599" s="236" t="s">
        <v>987</v>
      </c>
      <c r="B1599" s="233" t="s">
        <v>16</v>
      </c>
      <c r="C1599" s="234" t="s">
        <v>50</v>
      </c>
      <c r="D1599" s="234" t="s">
        <v>65</v>
      </c>
      <c r="E1599" s="234" t="s">
        <v>841</v>
      </c>
      <c r="F1599" s="234" t="s">
        <v>1052</v>
      </c>
      <c r="G1599" s="235"/>
      <c r="H1599" s="222"/>
      <c r="I1599" s="223"/>
    </row>
    <row r="1600" spans="1:9" s="71" customFormat="1">
      <c r="A1600" s="238"/>
      <c r="B1600" s="239"/>
      <c r="C1600" s="240"/>
      <c r="D1600" s="240"/>
      <c r="E1600" s="240"/>
      <c r="F1600" s="240"/>
      <c r="G1600" s="235"/>
      <c r="H1600" s="222"/>
      <c r="I1600" s="223"/>
    </row>
    <row r="1601" spans="1:9" s="3" customFormat="1" ht="25.5">
      <c r="A1601" s="219" t="s">
        <v>180</v>
      </c>
      <c r="B1601" s="220" t="s">
        <v>536</v>
      </c>
      <c r="C1601" s="221" t="s">
        <v>51</v>
      </c>
      <c r="D1601" s="221" t="s">
        <v>51</v>
      </c>
      <c r="E1601" s="221" t="s">
        <v>196</v>
      </c>
      <c r="F1601" s="221" t="s">
        <v>58</v>
      </c>
      <c r="G1601" s="222"/>
      <c r="H1601" s="222"/>
      <c r="I1601" s="223"/>
    </row>
    <row r="1602" spans="1:9" s="3" customFormat="1">
      <c r="A1602" s="224" t="s">
        <v>13</v>
      </c>
      <c r="B1602" s="225" t="s">
        <v>536</v>
      </c>
      <c r="C1602" s="226" t="s">
        <v>53</v>
      </c>
      <c r="D1602" s="226" t="s">
        <v>51</v>
      </c>
      <c r="E1602" s="226" t="s">
        <v>196</v>
      </c>
      <c r="F1602" s="226" t="s">
        <v>58</v>
      </c>
      <c r="G1602" s="227"/>
      <c r="H1602" s="222"/>
      <c r="I1602" s="223"/>
    </row>
    <row r="1603" spans="1:9" s="3" customFormat="1" ht="25.5">
      <c r="A1603" s="228" t="s">
        <v>537</v>
      </c>
      <c r="B1603" s="229" t="s">
        <v>536</v>
      </c>
      <c r="C1603" s="230" t="s">
        <v>53</v>
      </c>
      <c r="D1603" s="230" t="s">
        <v>25</v>
      </c>
      <c r="E1603" s="230" t="s">
        <v>196</v>
      </c>
      <c r="F1603" s="230" t="s">
        <v>58</v>
      </c>
      <c r="G1603" s="231"/>
      <c r="H1603" s="222"/>
      <c r="I1603" s="223"/>
    </row>
    <row r="1604" spans="1:9" s="3" customFormat="1" ht="25.5">
      <c r="A1604" s="263" t="s">
        <v>752</v>
      </c>
      <c r="B1604" s="233" t="s">
        <v>536</v>
      </c>
      <c r="C1604" s="234" t="s">
        <v>53</v>
      </c>
      <c r="D1604" s="234" t="s">
        <v>25</v>
      </c>
      <c r="E1604" s="234" t="s">
        <v>249</v>
      </c>
      <c r="F1604" s="234" t="s">
        <v>58</v>
      </c>
      <c r="G1604" s="235"/>
      <c r="H1604" s="222"/>
      <c r="I1604" s="223"/>
    </row>
    <row r="1605" spans="1:9" s="153" customFormat="1">
      <c r="A1605" s="232" t="s">
        <v>755</v>
      </c>
      <c r="B1605" s="233" t="s">
        <v>536</v>
      </c>
      <c r="C1605" s="234" t="s">
        <v>53</v>
      </c>
      <c r="D1605" s="234" t="s">
        <v>25</v>
      </c>
      <c r="E1605" s="234" t="s">
        <v>256</v>
      </c>
      <c r="F1605" s="234" t="s">
        <v>58</v>
      </c>
      <c r="G1605" s="235"/>
      <c r="H1605" s="222"/>
      <c r="I1605" s="223"/>
    </row>
    <row r="1606" spans="1:9" s="3" customFormat="1" ht="25.5">
      <c r="A1606" s="263" t="s">
        <v>617</v>
      </c>
      <c r="B1606" s="233" t="s">
        <v>536</v>
      </c>
      <c r="C1606" s="234" t="s">
        <v>53</v>
      </c>
      <c r="D1606" s="234" t="s">
        <v>25</v>
      </c>
      <c r="E1606" s="234" t="s">
        <v>541</v>
      </c>
      <c r="F1606" s="234" t="s">
        <v>58</v>
      </c>
      <c r="G1606" s="235"/>
      <c r="H1606" s="222"/>
      <c r="I1606" s="223"/>
    </row>
    <row r="1607" spans="1:9" s="3" customFormat="1" ht="25.5">
      <c r="A1607" s="263" t="s">
        <v>901</v>
      </c>
      <c r="B1607" s="233" t="s">
        <v>536</v>
      </c>
      <c r="C1607" s="234" t="s">
        <v>53</v>
      </c>
      <c r="D1607" s="234" t="s">
        <v>25</v>
      </c>
      <c r="E1607" s="234" t="s">
        <v>917</v>
      </c>
      <c r="F1607" s="234" t="s">
        <v>58</v>
      </c>
      <c r="G1607" s="235"/>
      <c r="H1607" s="222"/>
      <c r="I1607" s="223"/>
    </row>
    <row r="1608" spans="1:9" s="3" customFormat="1" ht="25.5">
      <c r="A1608" s="263" t="s">
        <v>108</v>
      </c>
      <c r="B1608" s="233" t="s">
        <v>536</v>
      </c>
      <c r="C1608" s="234" t="s">
        <v>53</v>
      </c>
      <c r="D1608" s="234" t="s">
        <v>25</v>
      </c>
      <c r="E1608" s="234" t="s">
        <v>917</v>
      </c>
      <c r="F1608" s="234" t="s">
        <v>116</v>
      </c>
      <c r="G1608" s="235"/>
      <c r="H1608" s="222"/>
      <c r="I1608" s="223"/>
    </row>
    <row r="1609" spans="1:9" s="94" customFormat="1" ht="25.5">
      <c r="A1609" s="236" t="s">
        <v>973</v>
      </c>
      <c r="B1609" s="233" t="s">
        <v>536</v>
      </c>
      <c r="C1609" s="234" t="s">
        <v>53</v>
      </c>
      <c r="D1609" s="234" t="s">
        <v>25</v>
      </c>
      <c r="E1609" s="234" t="s">
        <v>917</v>
      </c>
      <c r="F1609" s="234" t="s">
        <v>1043</v>
      </c>
      <c r="G1609" s="235"/>
      <c r="H1609" s="222"/>
      <c r="I1609" s="223"/>
    </row>
    <row r="1610" spans="1:9" s="3" customFormat="1" ht="51">
      <c r="A1610" s="232" t="s">
        <v>756</v>
      </c>
      <c r="B1610" s="233" t="s">
        <v>536</v>
      </c>
      <c r="C1610" s="234" t="s">
        <v>53</v>
      </c>
      <c r="D1610" s="234" t="s">
        <v>25</v>
      </c>
      <c r="E1610" s="234" t="s">
        <v>339</v>
      </c>
      <c r="F1610" s="234" t="s">
        <v>58</v>
      </c>
      <c r="G1610" s="235"/>
      <c r="H1610" s="222"/>
      <c r="I1610" s="223"/>
    </row>
    <row r="1611" spans="1:9" s="153" customFormat="1" ht="25.5">
      <c r="A1611" s="232" t="s">
        <v>135</v>
      </c>
      <c r="B1611" s="233" t="s">
        <v>536</v>
      </c>
      <c r="C1611" s="234" t="s">
        <v>53</v>
      </c>
      <c r="D1611" s="234" t="s">
        <v>25</v>
      </c>
      <c r="E1611" s="234" t="s">
        <v>542</v>
      </c>
      <c r="F1611" s="234" t="s">
        <v>58</v>
      </c>
      <c r="G1611" s="235"/>
      <c r="H1611" s="222"/>
      <c r="I1611" s="223"/>
    </row>
    <row r="1612" spans="1:9" s="3" customFormat="1" ht="38.25">
      <c r="A1612" s="232" t="s">
        <v>627</v>
      </c>
      <c r="B1612" s="233" t="s">
        <v>536</v>
      </c>
      <c r="C1612" s="234" t="s">
        <v>53</v>
      </c>
      <c r="D1612" s="234" t="s">
        <v>25</v>
      </c>
      <c r="E1612" s="234" t="s">
        <v>543</v>
      </c>
      <c r="F1612" s="234" t="s">
        <v>58</v>
      </c>
      <c r="G1612" s="235"/>
      <c r="H1612" s="222"/>
      <c r="I1612" s="223"/>
    </row>
    <row r="1613" spans="1:9" s="3" customFormat="1" ht="38.25">
      <c r="A1613" s="263" t="s">
        <v>625</v>
      </c>
      <c r="B1613" s="233" t="s">
        <v>536</v>
      </c>
      <c r="C1613" s="234" t="s">
        <v>53</v>
      </c>
      <c r="D1613" s="234" t="s">
        <v>25</v>
      </c>
      <c r="E1613" s="234" t="s">
        <v>544</v>
      </c>
      <c r="F1613" s="234" t="s">
        <v>58</v>
      </c>
      <c r="G1613" s="235"/>
      <c r="H1613" s="222"/>
      <c r="I1613" s="223"/>
    </row>
    <row r="1614" spans="1:9" s="3" customFormat="1" ht="25.5">
      <c r="A1614" s="232" t="s">
        <v>108</v>
      </c>
      <c r="B1614" s="233" t="s">
        <v>536</v>
      </c>
      <c r="C1614" s="234" t="s">
        <v>53</v>
      </c>
      <c r="D1614" s="234" t="s">
        <v>25</v>
      </c>
      <c r="E1614" s="234" t="s">
        <v>544</v>
      </c>
      <c r="F1614" s="234" t="s">
        <v>116</v>
      </c>
      <c r="G1614" s="235"/>
      <c r="H1614" s="222"/>
      <c r="I1614" s="223"/>
    </row>
    <row r="1615" spans="1:9" s="4" customFormat="1" ht="25.5">
      <c r="A1615" s="236" t="s">
        <v>973</v>
      </c>
      <c r="B1615" s="233" t="s">
        <v>536</v>
      </c>
      <c r="C1615" s="234" t="s">
        <v>53</v>
      </c>
      <c r="D1615" s="234" t="s">
        <v>25</v>
      </c>
      <c r="E1615" s="234" t="s">
        <v>544</v>
      </c>
      <c r="F1615" s="234" t="s">
        <v>1043</v>
      </c>
      <c r="G1615" s="235"/>
      <c r="H1615" s="222"/>
      <c r="I1615" s="223"/>
    </row>
    <row r="1616" spans="1:9" s="3" customFormat="1" ht="25.5">
      <c r="A1616" s="263" t="s">
        <v>862</v>
      </c>
      <c r="B1616" s="233" t="s">
        <v>536</v>
      </c>
      <c r="C1616" s="234" t="s">
        <v>53</v>
      </c>
      <c r="D1616" s="234" t="s">
        <v>25</v>
      </c>
      <c r="E1616" s="234" t="s">
        <v>545</v>
      </c>
      <c r="F1616" s="234" t="s">
        <v>58</v>
      </c>
      <c r="G1616" s="235"/>
      <c r="H1616" s="222"/>
      <c r="I1616" s="223"/>
    </row>
    <row r="1617" spans="1:9" s="3" customFormat="1">
      <c r="A1617" s="263" t="s">
        <v>247</v>
      </c>
      <c r="B1617" s="233" t="s">
        <v>536</v>
      </c>
      <c r="C1617" s="234" t="s">
        <v>53</v>
      </c>
      <c r="D1617" s="234" t="s">
        <v>25</v>
      </c>
      <c r="E1617" s="234" t="s">
        <v>819</v>
      </c>
      <c r="F1617" s="234" t="s">
        <v>58</v>
      </c>
      <c r="G1617" s="235"/>
      <c r="H1617" s="222"/>
      <c r="I1617" s="223"/>
    </row>
    <row r="1618" spans="1:9" s="3" customFormat="1">
      <c r="A1618" s="232" t="s">
        <v>106</v>
      </c>
      <c r="B1618" s="233" t="s">
        <v>536</v>
      </c>
      <c r="C1618" s="234" t="s">
        <v>53</v>
      </c>
      <c r="D1618" s="234" t="s">
        <v>25</v>
      </c>
      <c r="E1618" s="234" t="s">
        <v>819</v>
      </c>
      <c r="F1618" s="234" t="s">
        <v>121</v>
      </c>
      <c r="G1618" s="235"/>
      <c r="H1618" s="222"/>
      <c r="I1618" s="223"/>
    </row>
    <row r="1619" spans="1:9" s="4" customFormat="1">
      <c r="A1619" s="236" t="s">
        <v>932</v>
      </c>
      <c r="B1619" s="233" t="s">
        <v>536</v>
      </c>
      <c r="C1619" s="234" t="s">
        <v>53</v>
      </c>
      <c r="D1619" s="234" t="s">
        <v>25</v>
      </c>
      <c r="E1619" s="234" t="s">
        <v>819</v>
      </c>
      <c r="F1619" s="234" t="s">
        <v>1056</v>
      </c>
      <c r="G1619" s="235"/>
      <c r="H1619" s="222"/>
      <c r="I1619" s="223"/>
    </row>
    <row r="1620" spans="1:9" s="4" customFormat="1" ht="25.5">
      <c r="A1620" s="236" t="s">
        <v>935</v>
      </c>
      <c r="B1620" s="233" t="s">
        <v>536</v>
      </c>
      <c r="C1620" s="234" t="s">
        <v>53</v>
      </c>
      <c r="D1620" s="234" t="s">
        <v>25</v>
      </c>
      <c r="E1620" s="234" t="s">
        <v>819</v>
      </c>
      <c r="F1620" s="234" t="s">
        <v>1057</v>
      </c>
      <c r="G1620" s="235"/>
      <c r="H1620" s="222"/>
      <c r="I1620" s="223"/>
    </row>
    <row r="1621" spans="1:9" s="3" customFormat="1" ht="25.5">
      <c r="A1621" s="263" t="s">
        <v>108</v>
      </c>
      <c r="B1621" s="233" t="s">
        <v>536</v>
      </c>
      <c r="C1621" s="234" t="s">
        <v>53</v>
      </c>
      <c r="D1621" s="234" t="s">
        <v>25</v>
      </c>
      <c r="E1621" s="234" t="s">
        <v>819</v>
      </c>
      <c r="F1621" s="234" t="s">
        <v>116</v>
      </c>
      <c r="G1621" s="235"/>
      <c r="H1621" s="222"/>
      <c r="I1621" s="223"/>
    </row>
    <row r="1622" spans="1:9" s="4" customFormat="1" ht="25.5">
      <c r="A1622" s="236" t="s">
        <v>973</v>
      </c>
      <c r="B1622" s="233" t="s">
        <v>536</v>
      </c>
      <c r="C1622" s="234" t="s">
        <v>53</v>
      </c>
      <c r="D1622" s="234" t="s">
        <v>25</v>
      </c>
      <c r="E1622" s="234" t="s">
        <v>819</v>
      </c>
      <c r="F1622" s="234" t="s">
        <v>1043</v>
      </c>
      <c r="G1622" s="235"/>
      <c r="H1622" s="222"/>
      <c r="I1622" s="223"/>
    </row>
    <row r="1623" spans="1:9" s="3" customFormat="1">
      <c r="A1623" s="263" t="s">
        <v>97</v>
      </c>
      <c r="B1623" s="233" t="s">
        <v>536</v>
      </c>
      <c r="C1623" s="234" t="s">
        <v>53</v>
      </c>
      <c r="D1623" s="234" t="s">
        <v>25</v>
      </c>
      <c r="E1623" s="234" t="s">
        <v>819</v>
      </c>
      <c r="F1623" s="234" t="s">
        <v>118</v>
      </c>
      <c r="G1623" s="235"/>
      <c r="H1623" s="222"/>
      <c r="I1623" s="223"/>
    </row>
    <row r="1624" spans="1:9" s="4" customFormat="1">
      <c r="A1624" s="236" t="s">
        <v>1036</v>
      </c>
      <c r="B1624" s="233" t="s">
        <v>536</v>
      </c>
      <c r="C1624" s="234" t="s">
        <v>53</v>
      </c>
      <c r="D1624" s="234" t="s">
        <v>25</v>
      </c>
      <c r="E1624" s="234" t="s">
        <v>819</v>
      </c>
      <c r="F1624" s="234" t="s">
        <v>1061</v>
      </c>
      <c r="G1624" s="235"/>
      <c r="H1624" s="222"/>
      <c r="I1624" s="223"/>
    </row>
    <row r="1625" spans="1:9" s="94" customFormat="1">
      <c r="A1625" s="236" t="s">
        <v>1037</v>
      </c>
      <c r="B1625" s="233" t="s">
        <v>536</v>
      </c>
      <c r="C1625" s="234" t="s">
        <v>53</v>
      </c>
      <c r="D1625" s="234" t="s">
        <v>25</v>
      </c>
      <c r="E1625" s="234" t="s">
        <v>819</v>
      </c>
      <c r="F1625" s="234" t="s">
        <v>1062</v>
      </c>
      <c r="G1625" s="235"/>
      <c r="H1625" s="222"/>
      <c r="I1625" s="223"/>
    </row>
    <row r="1626" spans="1:9" s="3" customFormat="1" ht="25.5">
      <c r="A1626" s="263" t="s">
        <v>617</v>
      </c>
      <c r="B1626" s="233" t="s">
        <v>536</v>
      </c>
      <c r="C1626" s="234" t="s">
        <v>53</v>
      </c>
      <c r="D1626" s="234" t="s">
        <v>25</v>
      </c>
      <c r="E1626" s="234" t="s">
        <v>626</v>
      </c>
      <c r="F1626" s="234" t="s">
        <v>58</v>
      </c>
      <c r="G1626" s="235"/>
      <c r="H1626" s="222"/>
      <c r="I1626" s="223"/>
    </row>
    <row r="1627" spans="1:9" s="3" customFormat="1" ht="38.25">
      <c r="A1627" s="232" t="s">
        <v>172</v>
      </c>
      <c r="B1627" s="233" t="s">
        <v>536</v>
      </c>
      <c r="C1627" s="234" t="s">
        <v>53</v>
      </c>
      <c r="D1627" s="234" t="s">
        <v>25</v>
      </c>
      <c r="E1627" s="234" t="s">
        <v>820</v>
      </c>
      <c r="F1627" s="234" t="s">
        <v>58</v>
      </c>
      <c r="G1627" s="235"/>
      <c r="H1627" s="222"/>
      <c r="I1627" s="223"/>
    </row>
    <row r="1628" spans="1:9" s="3" customFormat="1" ht="25.5">
      <c r="A1628" s="263" t="s">
        <v>108</v>
      </c>
      <c r="B1628" s="233" t="s">
        <v>536</v>
      </c>
      <c r="C1628" s="234" t="s">
        <v>53</v>
      </c>
      <c r="D1628" s="234" t="s">
        <v>25</v>
      </c>
      <c r="E1628" s="234" t="s">
        <v>820</v>
      </c>
      <c r="F1628" s="234" t="s">
        <v>116</v>
      </c>
      <c r="G1628" s="235"/>
      <c r="H1628" s="222"/>
      <c r="I1628" s="223"/>
    </row>
    <row r="1629" spans="1:9" s="4" customFormat="1" ht="25.5">
      <c r="A1629" s="236" t="s">
        <v>973</v>
      </c>
      <c r="B1629" s="233" t="s">
        <v>536</v>
      </c>
      <c r="C1629" s="234" t="s">
        <v>53</v>
      </c>
      <c r="D1629" s="234" t="s">
        <v>25</v>
      </c>
      <c r="E1629" s="234" t="s">
        <v>820</v>
      </c>
      <c r="F1629" s="234" t="s">
        <v>1043</v>
      </c>
      <c r="G1629" s="235"/>
      <c r="H1629" s="222"/>
      <c r="I1629" s="223"/>
    </row>
    <row r="1630" spans="1:9" s="153" customFormat="1" ht="25.5">
      <c r="A1630" s="232" t="s">
        <v>136</v>
      </c>
      <c r="B1630" s="233" t="s">
        <v>536</v>
      </c>
      <c r="C1630" s="234" t="s">
        <v>53</v>
      </c>
      <c r="D1630" s="234" t="s">
        <v>25</v>
      </c>
      <c r="E1630" s="234" t="s">
        <v>340</v>
      </c>
      <c r="F1630" s="234" t="s">
        <v>58</v>
      </c>
      <c r="G1630" s="235"/>
      <c r="H1630" s="222"/>
      <c r="I1630" s="223"/>
    </row>
    <row r="1631" spans="1:9" s="3" customFormat="1">
      <c r="A1631" s="263" t="s">
        <v>863</v>
      </c>
      <c r="B1631" s="233" t="s">
        <v>536</v>
      </c>
      <c r="C1631" s="234" t="s">
        <v>53</v>
      </c>
      <c r="D1631" s="234" t="s">
        <v>25</v>
      </c>
      <c r="E1631" s="234" t="s">
        <v>341</v>
      </c>
      <c r="F1631" s="234" t="s">
        <v>58</v>
      </c>
      <c r="G1631" s="235"/>
      <c r="H1631" s="222"/>
      <c r="I1631" s="223"/>
    </row>
    <row r="1632" spans="1:9" s="3" customFormat="1">
      <c r="A1632" s="263" t="s">
        <v>137</v>
      </c>
      <c r="B1632" s="233" t="s">
        <v>536</v>
      </c>
      <c r="C1632" s="234" t="s">
        <v>53</v>
      </c>
      <c r="D1632" s="234" t="s">
        <v>25</v>
      </c>
      <c r="E1632" s="234" t="s">
        <v>546</v>
      </c>
      <c r="F1632" s="234" t="s">
        <v>58</v>
      </c>
      <c r="G1632" s="235"/>
      <c r="H1632" s="222"/>
      <c r="I1632" s="223"/>
    </row>
    <row r="1633" spans="1:9" s="3" customFormat="1" ht="25.5">
      <c r="A1633" s="232" t="s">
        <v>108</v>
      </c>
      <c r="B1633" s="233" t="s">
        <v>536</v>
      </c>
      <c r="C1633" s="234" t="s">
        <v>53</v>
      </c>
      <c r="D1633" s="234" t="s">
        <v>25</v>
      </c>
      <c r="E1633" s="234" t="s">
        <v>546</v>
      </c>
      <c r="F1633" s="234" t="s">
        <v>116</v>
      </c>
      <c r="G1633" s="235"/>
      <c r="H1633" s="222"/>
      <c r="I1633" s="223"/>
    </row>
    <row r="1634" spans="1:9" s="4" customFormat="1" ht="25.5">
      <c r="A1634" s="236" t="s">
        <v>973</v>
      </c>
      <c r="B1634" s="233" t="s">
        <v>536</v>
      </c>
      <c r="C1634" s="234" t="s">
        <v>53</v>
      </c>
      <c r="D1634" s="234" t="s">
        <v>25</v>
      </c>
      <c r="E1634" s="234" t="s">
        <v>546</v>
      </c>
      <c r="F1634" s="234" t="s">
        <v>1043</v>
      </c>
      <c r="G1634" s="235"/>
      <c r="H1634" s="222"/>
      <c r="I1634" s="223"/>
    </row>
    <row r="1635" spans="1:9" s="3" customFormat="1" ht="25.5">
      <c r="A1635" s="232" t="s">
        <v>822</v>
      </c>
      <c r="B1635" s="233" t="s">
        <v>536</v>
      </c>
      <c r="C1635" s="234" t="s">
        <v>53</v>
      </c>
      <c r="D1635" s="234" t="s">
        <v>25</v>
      </c>
      <c r="E1635" s="234" t="s">
        <v>821</v>
      </c>
      <c r="F1635" s="234" t="s">
        <v>58</v>
      </c>
      <c r="G1635" s="235"/>
      <c r="H1635" s="222"/>
      <c r="I1635" s="223"/>
    </row>
    <row r="1636" spans="1:9" s="3" customFormat="1" ht="38.25">
      <c r="A1636" s="232" t="s">
        <v>864</v>
      </c>
      <c r="B1636" s="233" t="s">
        <v>536</v>
      </c>
      <c r="C1636" s="234" t="s">
        <v>53</v>
      </c>
      <c r="D1636" s="234" t="s">
        <v>25</v>
      </c>
      <c r="E1636" s="234" t="s">
        <v>823</v>
      </c>
      <c r="F1636" s="234" t="s">
        <v>58</v>
      </c>
      <c r="G1636" s="235"/>
      <c r="H1636" s="222"/>
      <c r="I1636" s="223"/>
    </row>
    <row r="1637" spans="1:9" s="3" customFormat="1">
      <c r="A1637" s="263" t="s">
        <v>247</v>
      </c>
      <c r="B1637" s="233" t="s">
        <v>536</v>
      </c>
      <c r="C1637" s="234" t="s">
        <v>53</v>
      </c>
      <c r="D1637" s="234" t="s">
        <v>25</v>
      </c>
      <c r="E1637" s="234" t="s">
        <v>824</v>
      </c>
      <c r="F1637" s="234" t="s">
        <v>58</v>
      </c>
      <c r="G1637" s="235"/>
      <c r="H1637" s="222"/>
      <c r="I1637" s="223"/>
    </row>
    <row r="1638" spans="1:9" s="3" customFormat="1">
      <c r="A1638" s="263" t="s">
        <v>106</v>
      </c>
      <c r="B1638" s="233" t="s">
        <v>536</v>
      </c>
      <c r="C1638" s="234" t="s">
        <v>53</v>
      </c>
      <c r="D1638" s="234" t="s">
        <v>25</v>
      </c>
      <c r="E1638" s="234" t="s">
        <v>824</v>
      </c>
      <c r="F1638" s="234" t="s">
        <v>121</v>
      </c>
      <c r="G1638" s="235"/>
      <c r="H1638" s="222"/>
      <c r="I1638" s="223"/>
    </row>
    <row r="1639" spans="1:9" s="4" customFormat="1">
      <c r="A1639" s="236" t="s">
        <v>932</v>
      </c>
      <c r="B1639" s="233" t="s">
        <v>536</v>
      </c>
      <c r="C1639" s="234" t="s">
        <v>53</v>
      </c>
      <c r="D1639" s="234" t="s">
        <v>25</v>
      </c>
      <c r="E1639" s="234" t="s">
        <v>824</v>
      </c>
      <c r="F1639" s="234" t="s">
        <v>1056</v>
      </c>
      <c r="G1639" s="235"/>
      <c r="H1639" s="222"/>
      <c r="I1639" s="223"/>
    </row>
    <row r="1640" spans="1:9" s="4" customFormat="1" ht="25.5">
      <c r="A1640" s="236" t="s">
        <v>935</v>
      </c>
      <c r="B1640" s="233" t="s">
        <v>536</v>
      </c>
      <c r="C1640" s="234" t="s">
        <v>53</v>
      </c>
      <c r="D1640" s="234" t="s">
        <v>25</v>
      </c>
      <c r="E1640" s="234" t="s">
        <v>824</v>
      </c>
      <c r="F1640" s="234" t="s">
        <v>1057</v>
      </c>
      <c r="G1640" s="235"/>
      <c r="H1640" s="222"/>
      <c r="I1640" s="223"/>
    </row>
    <row r="1641" spans="1:9" s="3" customFormat="1" ht="25.5">
      <c r="A1641" s="232" t="s">
        <v>108</v>
      </c>
      <c r="B1641" s="233" t="s">
        <v>536</v>
      </c>
      <c r="C1641" s="234" t="s">
        <v>53</v>
      </c>
      <c r="D1641" s="234" t="s">
        <v>25</v>
      </c>
      <c r="E1641" s="234" t="s">
        <v>824</v>
      </c>
      <c r="F1641" s="234" t="s">
        <v>116</v>
      </c>
      <c r="G1641" s="235"/>
      <c r="H1641" s="222"/>
      <c r="I1641" s="223"/>
    </row>
    <row r="1642" spans="1:9" s="4" customFormat="1" ht="25.5">
      <c r="A1642" s="236" t="s">
        <v>973</v>
      </c>
      <c r="B1642" s="233" t="s">
        <v>536</v>
      </c>
      <c r="C1642" s="234" t="s">
        <v>53</v>
      </c>
      <c r="D1642" s="234" t="s">
        <v>25</v>
      </c>
      <c r="E1642" s="234" t="s">
        <v>824</v>
      </c>
      <c r="F1642" s="234" t="s">
        <v>1043</v>
      </c>
      <c r="G1642" s="235"/>
      <c r="H1642" s="222"/>
      <c r="I1642" s="223"/>
    </row>
    <row r="1643" spans="1:9" s="3" customFormat="1">
      <c r="A1643" s="263" t="s">
        <v>97</v>
      </c>
      <c r="B1643" s="233" t="s">
        <v>536</v>
      </c>
      <c r="C1643" s="234" t="s">
        <v>53</v>
      </c>
      <c r="D1643" s="234" t="s">
        <v>25</v>
      </c>
      <c r="E1643" s="234" t="s">
        <v>824</v>
      </c>
      <c r="F1643" s="234" t="s">
        <v>118</v>
      </c>
      <c r="G1643" s="235"/>
      <c r="H1643" s="222"/>
      <c r="I1643" s="223"/>
    </row>
    <row r="1644" spans="1:9" s="4" customFormat="1">
      <c r="A1644" s="236" t="s">
        <v>1036</v>
      </c>
      <c r="B1644" s="233" t="s">
        <v>536</v>
      </c>
      <c r="C1644" s="234" t="s">
        <v>53</v>
      </c>
      <c r="D1644" s="234" t="s">
        <v>25</v>
      </c>
      <c r="E1644" s="234" t="s">
        <v>824</v>
      </c>
      <c r="F1644" s="234" t="s">
        <v>1061</v>
      </c>
      <c r="G1644" s="235"/>
      <c r="H1644" s="222"/>
      <c r="I1644" s="223"/>
    </row>
    <row r="1645" spans="1:9" s="4" customFormat="1">
      <c r="A1645" s="236" t="s">
        <v>1037</v>
      </c>
      <c r="B1645" s="233" t="s">
        <v>536</v>
      </c>
      <c r="C1645" s="234" t="s">
        <v>53</v>
      </c>
      <c r="D1645" s="234" t="s">
        <v>25</v>
      </c>
      <c r="E1645" s="234" t="s">
        <v>824</v>
      </c>
      <c r="F1645" s="234" t="s">
        <v>1062</v>
      </c>
      <c r="G1645" s="235"/>
      <c r="H1645" s="222"/>
      <c r="I1645" s="223"/>
    </row>
    <row r="1646" spans="1:9" s="3" customFormat="1" ht="51">
      <c r="A1646" s="263" t="s">
        <v>670</v>
      </c>
      <c r="B1646" s="233" t="s">
        <v>536</v>
      </c>
      <c r="C1646" s="234" t="s">
        <v>53</v>
      </c>
      <c r="D1646" s="234" t="s">
        <v>25</v>
      </c>
      <c r="E1646" s="234" t="s">
        <v>825</v>
      </c>
      <c r="F1646" s="234" t="s">
        <v>58</v>
      </c>
      <c r="G1646" s="235"/>
      <c r="H1646" s="222"/>
      <c r="I1646" s="223"/>
    </row>
    <row r="1647" spans="1:9" s="3" customFormat="1" ht="38.25">
      <c r="A1647" s="263" t="s">
        <v>173</v>
      </c>
      <c r="B1647" s="233" t="s">
        <v>536</v>
      </c>
      <c r="C1647" s="234" t="s">
        <v>53</v>
      </c>
      <c r="D1647" s="234" t="s">
        <v>25</v>
      </c>
      <c r="E1647" s="234" t="s">
        <v>826</v>
      </c>
      <c r="F1647" s="234" t="s">
        <v>58</v>
      </c>
      <c r="G1647" s="235"/>
      <c r="H1647" s="222"/>
      <c r="I1647" s="223"/>
    </row>
    <row r="1648" spans="1:9" s="3" customFormat="1" ht="25.5">
      <c r="A1648" s="232" t="s">
        <v>108</v>
      </c>
      <c r="B1648" s="233" t="s">
        <v>536</v>
      </c>
      <c r="C1648" s="234" t="s">
        <v>53</v>
      </c>
      <c r="D1648" s="234" t="s">
        <v>25</v>
      </c>
      <c r="E1648" s="234" t="s">
        <v>826</v>
      </c>
      <c r="F1648" s="234" t="s">
        <v>116</v>
      </c>
      <c r="G1648" s="235"/>
      <c r="H1648" s="222"/>
      <c r="I1648" s="223"/>
    </row>
    <row r="1649" spans="1:9" s="4" customFormat="1" ht="25.5">
      <c r="A1649" s="236" t="s">
        <v>973</v>
      </c>
      <c r="B1649" s="233" t="s">
        <v>536</v>
      </c>
      <c r="C1649" s="234" t="s">
        <v>53</v>
      </c>
      <c r="D1649" s="234" t="s">
        <v>25</v>
      </c>
      <c r="E1649" s="234" t="s">
        <v>826</v>
      </c>
      <c r="F1649" s="234" t="s">
        <v>1043</v>
      </c>
      <c r="G1649" s="235"/>
      <c r="H1649" s="222"/>
      <c r="I1649" s="223"/>
    </row>
    <row r="1650" spans="1:9" s="3" customFormat="1" ht="25.5">
      <c r="A1650" s="263" t="s">
        <v>865</v>
      </c>
      <c r="B1650" s="233" t="s">
        <v>536</v>
      </c>
      <c r="C1650" s="234" t="s">
        <v>53</v>
      </c>
      <c r="D1650" s="234" t="s">
        <v>25</v>
      </c>
      <c r="E1650" s="234" t="s">
        <v>827</v>
      </c>
      <c r="F1650" s="234" t="s">
        <v>58</v>
      </c>
      <c r="G1650" s="235"/>
      <c r="H1650" s="222"/>
      <c r="I1650" s="223"/>
    </row>
    <row r="1651" spans="1:9" s="3" customFormat="1" ht="25.5">
      <c r="A1651" s="263" t="s">
        <v>122</v>
      </c>
      <c r="B1651" s="233" t="s">
        <v>536</v>
      </c>
      <c r="C1651" s="234" t="s">
        <v>53</v>
      </c>
      <c r="D1651" s="234" t="s">
        <v>25</v>
      </c>
      <c r="E1651" s="234" t="s">
        <v>828</v>
      </c>
      <c r="F1651" s="234" t="s">
        <v>58</v>
      </c>
      <c r="G1651" s="235"/>
      <c r="H1651" s="222"/>
      <c r="I1651" s="223"/>
    </row>
    <row r="1652" spans="1:9" s="3" customFormat="1" ht="25.5">
      <c r="A1652" s="263" t="s">
        <v>108</v>
      </c>
      <c r="B1652" s="233" t="s">
        <v>536</v>
      </c>
      <c r="C1652" s="234" t="s">
        <v>53</v>
      </c>
      <c r="D1652" s="234" t="s">
        <v>25</v>
      </c>
      <c r="E1652" s="234" t="s">
        <v>828</v>
      </c>
      <c r="F1652" s="234" t="s">
        <v>116</v>
      </c>
      <c r="G1652" s="235"/>
      <c r="H1652" s="222"/>
      <c r="I1652" s="223"/>
    </row>
    <row r="1653" spans="1:9" s="4" customFormat="1" ht="25.5">
      <c r="A1653" s="236" t="s">
        <v>973</v>
      </c>
      <c r="B1653" s="233" t="s">
        <v>536</v>
      </c>
      <c r="C1653" s="234" t="s">
        <v>53</v>
      </c>
      <c r="D1653" s="234" t="s">
        <v>25</v>
      </c>
      <c r="E1653" s="234" t="s">
        <v>828</v>
      </c>
      <c r="F1653" s="234" t="s">
        <v>1043</v>
      </c>
      <c r="G1653" s="235"/>
      <c r="H1653" s="222"/>
      <c r="I1653" s="223"/>
    </row>
    <row r="1654" spans="1:9" s="3" customFormat="1" ht="51">
      <c r="A1654" s="263" t="s">
        <v>866</v>
      </c>
      <c r="B1654" s="233" t="s">
        <v>536</v>
      </c>
      <c r="C1654" s="234" t="s">
        <v>53</v>
      </c>
      <c r="D1654" s="234" t="s">
        <v>25</v>
      </c>
      <c r="E1654" s="234" t="s">
        <v>829</v>
      </c>
      <c r="F1654" s="234" t="s">
        <v>58</v>
      </c>
      <c r="G1654" s="235"/>
      <c r="H1654" s="222"/>
      <c r="I1654" s="223"/>
    </row>
    <row r="1655" spans="1:9" s="3" customFormat="1" ht="25.5">
      <c r="A1655" s="263" t="s">
        <v>122</v>
      </c>
      <c r="B1655" s="233" t="s">
        <v>536</v>
      </c>
      <c r="C1655" s="234" t="s">
        <v>53</v>
      </c>
      <c r="D1655" s="234" t="s">
        <v>25</v>
      </c>
      <c r="E1655" s="234" t="s">
        <v>830</v>
      </c>
      <c r="F1655" s="234" t="s">
        <v>58</v>
      </c>
      <c r="G1655" s="235"/>
      <c r="H1655" s="222"/>
      <c r="I1655" s="223"/>
    </row>
    <row r="1656" spans="1:9" s="3" customFormat="1" ht="25.5">
      <c r="A1656" s="263" t="s">
        <v>108</v>
      </c>
      <c r="B1656" s="233" t="s">
        <v>536</v>
      </c>
      <c r="C1656" s="234" t="s">
        <v>53</v>
      </c>
      <c r="D1656" s="234" t="s">
        <v>25</v>
      </c>
      <c r="E1656" s="234" t="s">
        <v>830</v>
      </c>
      <c r="F1656" s="234" t="s">
        <v>116</v>
      </c>
      <c r="G1656" s="235"/>
      <c r="H1656" s="222"/>
      <c r="I1656" s="223"/>
    </row>
    <row r="1657" spans="1:9" s="4" customFormat="1" ht="25.5">
      <c r="A1657" s="236" t="s">
        <v>973</v>
      </c>
      <c r="B1657" s="233" t="s">
        <v>536</v>
      </c>
      <c r="C1657" s="234" t="s">
        <v>53</v>
      </c>
      <c r="D1657" s="234" t="s">
        <v>25</v>
      </c>
      <c r="E1657" s="234" t="s">
        <v>830</v>
      </c>
      <c r="F1657" s="234" t="s">
        <v>1043</v>
      </c>
      <c r="G1657" s="235"/>
      <c r="H1657" s="222"/>
      <c r="I1657" s="223"/>
    </row>
    <row r="1658" spans="1:9" s="3" customFormat="1" ht="25.5">
      <c r="A1658" s="262" t="s">
        <v>185</v>
      </c>
      <c r="B1658" s="233" t="s">
        <v>536</v>
      </c>
      <c r="C1658" s="234" t="s">
        <v>53</v>
      </c>
      <c r="D1658" s="234" t="s">
        <v>25</v>
      </c>
      <c r="E1658" s="234" t="s">
        <v>547</v>
      </c>
      <c r="F1658" s="234" t="s">
        <v>58</v>
      </c>
      <c r="G1658" s="235"/>
      <c r="H1658" s="222"/>
      <c r="I1658" s="223"/>
    </row>
    <row r="1659" spans="1:9" s="153" customFormat="1" ht="38.25">
      <c r="A1659" s="232" t="s">
        <v>548</v>
      </c>
      <c r="B1659" s="233" t="s">
        <v>536</v>
      </c>
      <c r="C1659" s="234" t="s">
        <v>53</v>
      </c>
      <c r="D1659" s="234" t="s">
        <v>25</v>
      </c>
      <c r="E1659" s="234" t="s">
        <v>549</v>
      </c>
      <c r="F1659" s="234" t="s">
        <v>58</v>
      </c>
      <c r="G1659" s="235"/>
      <c r="H1659" s="222"/>
      <c r="I1659" s="223"/>
    </row>
    <row r="1660" spans="1:9" s="3" customFormat="1" ht="25.5">
      <c r="A1660" s="263" t="s">
        <v>114</v>
      </c>
      <c r="B1660" s="233" t="s">
        <v>536</v>
      </c>
      <c r="C1660" s="234" t="s">
        <v>53</v>
      </c>
      <c r="D1660" s="234" t="s">
        <v>25</v>
      </c>
      <c r="E1660" s="234" t="s">
        <v>550</v>
      </c>
      <c r="F1660" s="234" t="s">
        <v>58</v>
      </c>
      <c r="G1660" s="235"/>
      <c r="H1660" s="222"/>
      <c r="I1660" s="223"/>
    </row>
    <row r="1661" spans="1:9" s="3" customFormat="1">
      <c r="A1661" s="232" t="s">
        <v>107</v>
      </c>
      <c r="B1661" s="233" t="s">
        <v>536</v>
      </c>
      <c r="C1661" s="234" t="s">
        <v>53</v>
      </c>
      <c r="D1661" s="234" t="s">
        <v>25</v>
      </c>
      <c r="E1661" s="234" t="s">
        <v>550</v>
      </c>
      <c r="F1661" s="234" t="s">
        <v>115</v>
      </c>
      <c r="G1661" s="235"/>
      <c r="H1661" s="222"/>
      <c r="I1661" s="223"/>
    </row>
    <row r="1662" spans="1:9" s="3" customFormat="1" ht="25.5">
      <c r="A1662" s="232" t="s">
        <v>937</v>
      </c>
      <c r="B1662" s="233" t="s">
        <v>536</v>
      </c>
      <c r="C1662" s="234" t="s">
        <v>53</v>
      </c>
      <c r="D1662" s="234" t="s">
        <v>25</v>
      </c>
      <c r="E1662" s="234" t="s">
        <v>550</v>
      </c>
      <c r="F1662" s="234" t="s">
        <v>1059</v>
      </c>
      <c r="G1662" s="235"/>
      <c r="H1662" s="222"/>
      <c r="I1662" s="223"/>
    </row>
    <row r="1663" spans="1:9" s="3" customFormat="1" ht="38.25">
      <c r="A1663" s="232" t="s">
        <v>939</v>
      </c>
      <c r="B1663" s="233" t="s">
        <v>536</v>
      </c>
      <c r="C1663" s="234" t="s">
        <v>53</v>
      </c>
      <c r="D1663" s="234" t="s">
        <v>25</v>
      </c>
      <c r="E1663" s="234" t="s">
        <v>550</v>
      </c>
      <c r="F1663" s="234" t="s">
        <v>1060</v>
      </c>
      <c r="G1663" s="235"/>
      <c r="H1663" s="222"/>
      <c r="I1663" s="223"/>
    </row>
    <row r="1664" spans="1:9" s="3" customFormat="1" ht="25.5">
      <c r="A1664" s="232" t="s">
        <v>108</v>
      </c>
      <c r="B1664" s="233" t="s">
        <v>536</v>
      </c>
      <c r="C1664" s="234" t="s">
        <v>53</v>
      </c>
      <c r="D1664" s="234" t="s">
        <v>25</v>
      </c>
      <c r="E1664" s="234" t="s">
        <v>550</v>
      </c>
      <c r="F1664" s="234" t="s">
        <v>116</v>
      </c>
      <c r="G1664" s="235"/>
      <c r="H1664" s="222"/>
      <c r="I1664" s="223"/>
    </row>
    <row r="1665" spans="1:9" s="3" customFormat="1" ht="25.5">
      <c r="A1665" s="236" t="s">
        <v>973</v>
      </c>
      <c r="B1665" s="233" t="s">
        <v>536</v>
      </c>
      <c r="C1665" s="234" t="s">
        <v>53</v>
      </c>
      <c r="D1665" s="234" t="s">
        <v>25</v>
      </c>
      <c r="E1665" s="234" t="s">
        <v>550</v>
      </c>
      <c r="F1665" s="234" t="s">
        <v>1043</v>
      </c>
      <c r="G1665" s="235"/>
      <c r="H1665" s="222"/>
      <c r="I1665" s="223"/>
    </row>
    <row r="1666" spans="1:9" s="3" customFormat="1">
      <c r="A1666" s="232" t="s">
        <v>97</v>
      </c>
      <c r="B1666" s="233" t="s">
        <v>536</v>
      </c>
      <c r="C1666" s="234" t="s">
        <v>53</v>
      </c>
      <c r="D1666" s="234" t="s">
        <v>25</v>
      </c>
      <c r="E1666" s="234" t="s">
        <v>550</v>
      </c>
      <c r="F1666" s="234" t="s">
        <v>118</v>
      </c>
      <c r="G1666" s="235"/>
      <c r="H1666" s="222"/>
      <c r="I1666" s="223"/>
    </row>
    <row r="1667" spans="1:9" s="3" customFormat="1">
      <c r="A1667" s="232" t="s">
        <v>1036</v>
      </c>
      <c r="B1667" s="233" t="s">
        <v>536</v>
      </c>
      <c r="C1667" s="234" t="s">
        <v>53</v>
      </c>
      <c r="D1667" s="234" t="s">
        <v>25</v>
      </c>
      <c r="E1667" s="234" t="s">
        <v>550</v>
      </c>
      <c r="F1667" s="234" t="s">
        <v>1061</v>
      </c>
      <c r="G1667" s="235"/>
      <c r="H1667" s="222"/>
      <c r="I1667" s="223"/>
    </row>
    <row r="1668" spans="1:9" s="3" customFormat="1">
      <c r="A1668" s="232" t="s">
        <v>1037</v>
      </c>
      <c r="B1668" s="233" t="s">
        <v>536</v>
      </c>
      <c r="C1668" s="234" t="s">
        <v>53</v>
      </c>
      <c r="D1668" s="234" t="s">
        <v>25</v>
      </c>
      <c r="E1668" s="234" t="s">
        <v>550</v>
      </c>
      <c r="F1668" s="234" t="s">
        <v>1062</v>
      </c>
      <c r="G1668" s="235"/>
      <c r="H1668" s="222"/>
      <c r="I1668" s="223"/>
    </row>
    <row r="1669" spans="1:9" s="3" customFormat="1" ht="25.5">
      <c r="A1669" s="263" t="s">
        <v>126</v>
      </c>
      <c r="B1669" s="233" t="s">
        <v>536</v>
      </c>
      <c r="C1669" s="234" t="s">
        <v>53</v>
      </c>
      <c r="D1669" s="234" t="s">
        <v>25</v>
      </c>
      <c r="E1669" s="234" t="s">
        <v>551</v>
      </c>
      <c r="F1669" s="234" t="s">
        <v>58</v>
      </c>
      <c r="G1669" s="235"/>
      <c r="H1669" s="222"/>
      <c r="I1669" s="223"/>
    </row>
    <row r="1670" spans="1:9" s="3" customFormat="1">
      <c r="A1670" s="232" t="s">
        <v>107</v>
      </c>
      <c r="B1670" s="233" t="s">
        <v>536</v>
      </c>
      <c r="C1670" s="234" t="s">
        <v>53</v>
      </c>
      <c r="D1670" s="234" t="s">
        <v>25</v>
      </c>
      <c r="E1670" s="234" t="s">
        <v>551</v>
      </c>
      <c r="F1670" s="234" t="s">
        <v>115</v>
      </c>
      <c r="G1670" s="235"/>
      <c r="H1670" s="222"/>
      <c r="I1670" s="223"/>
    </row>
    <row r="1671" spans="1:9" s="94" customFormat="1">
      <c r="A1671" s="236" t="s">
        <v>936</v>
      </c>
      <c r="B1671" s="233" t="s">
        <v>536</v>
      </c>
      <c r="C1671" s="234" t="s">
        <v>53</v>
      </c>
      <c r="D1671" s="234" t="s">
        <v>25</v>
      </c>
      <c r="E1671" s="234" t="s">
        <v>551</v>
      </c>
      <c r="F1671" s="234" t="s">
        <v>1063</v>
      </c>
      <c r="G1671" s="235"/>
      <c r="H1671" s="222"/>
      <c r="I1671" s="223"/>
    </row>
    <row r="1672" spans="1:9" s="94" customFormat="1" ht="38.25">
      <c r="A1672" s="236" t="s">
        <v>939</v>
      </c>
      <c r="B1672" s="233" t="s">
        <v>536</v>
      </c>
      <c r="C1672" s="234" t="s">
        <v>53</v>
      </c>
      <c r="D1672" s="234" t="s">
        <v>25</v>
      </c>
      <c r="E1672" s="234" t="s">
        <v>551</v>
      </c>
      <c r="F1672" s="234" t="s">
        <v>1060</v>
      </c>
      <c r="G1672" s="235"/>
      <c r="H1672" s="222"/>
      <c r="I1672" s="223"/>
    </row>
    <row r="1673" spans="1:9" s="71" customFormat="1">
      <c r="A1673" s="238"/>
      <c r="B1673" s="239"/>
      <c r="C1673" s="240"/>
      <c r="D1673" s="240"/>
      <c r="E1673" s="240"/>
      <c r="F1673" s="240"/>
      <c r="G1673" s="235"/>
      <c r="H1673" s="222"/>
      <c r="I1673" s="223"/>
    </row>
    <row r="1674" spans="1:9" s="3" customFormat="1">
      <c r="A1674" s="219" t="s">
        <v>127</v>
      </c>
      <c r="B1674" s="220" t="s">
        <v>707</v>
      </c>
      <c r="C1674" s="221" t="s">
        <v>51</v>
      </c>
      <c r="D1674" s="221" t="s">
        <v>51</v>
      </c>
      <c r="E1674" s="221" t="s">
        <v>196</v>
      </c>
      <c r="F1674" s="221" t="s">
        <v>58</v>
      </c>
      <c r="G1674" s="222"/>
      <c r="H1674" s="222"/>
      <c r="I1674" s="223"/>
    </row>
    <row r="1675" spans="1:9" s="3" customFormat="1">
      <c r="A1675" s="224" t="s">
        <v>64</v>
      </c>
      <c r="B1675" s="225" t="s">
        <v>707</v>
      </c>
      <c r="C1675" s="226" t="s">
        <v>65</v>
      </c>
      <c r="D1675" s="226" t="s">
        <v>51</v>
      </c>
      <c r="E1675" s="226" t="s">
        <v>196</v>
      </c>
      <c r="F1675" s="226" t="s">
        <v>58</v>
      </c>
      <c r="G1675" s="227"/>
      <c r="H1675" s="222"/>
      <c r="I1675" s="223"/>
    </row>
    <row r="1676" spans="1:9" s="3" customFormat="1" ht="25.5">
      <c r="A1676" s="228" t="s">
        <v>32</v>
      </c>
      <c r="B1676" s="229" t="s">
        <v>707</v>
      </c>
      <c r="C1676" s="230" t="s">
        <v>65</v>
      </c>
      <c r="D1676" s="230" t="s">
        <v>2</v>
      </c>
      <c r="E1676" s="230" t="s">
        <v>196</v>
      </c>
      <c r="F1676" s="230" t="s">
        <v>58</v>
      </c>
      <c r="G1676" s="231"/>
      <c r="H1676" s="222"/>
      <c r="I1676" s="223"/>
    </row>
    <row r="1677" spans="1:9" s="3" customFormat="1" ht="26.25">
      <c r="A1677" s="292" t="s">
        <v>712</v>
      </c>
      <c r="B1677" s="233" t="s">
        <v>707</v>
      </c>
      <c r="C1677" s="234" t="s">
        <v>65</v>
      </c>
      <c r="D1677" s="234" t="s">
        <v>2</v>
      </c>
      <c r="E1677" s="234" t="s">
        <v>710</v>
      </c>
      <c r="F1677" s="234" t="s">
        <v>58</v>
      </c>
      <c r="G1677" s="235"/>
      <c r="H1677" s="222"/>
      <c r="I1677" s="223"/>
    </row>
    <row r="1678" spans="1:9" s="3" customFormat="1" ht="26.25">
      <c r="A1678" s="292" t="s">
        <v>711</v>
      </c>
      <c r="B1678" s="233" t="s">
        <v>707</v>
      </c>
      <c r="C1678" s="234" t="s">
        <v>65</v>
      </c>
      <c r="D1678" s="234" t="s">
        <v>2</v>
      </c>
      <c r="E1678" s="234" t="s">
        <v>708</v>
      </c>
      <c r="F1678" s="234" t="s">
        <v>58</v>
      </c>
      <c r="G1678" s="235"/>
      <c r="H1678" s="222"/>
      <c r="I1678" s="223"/>
    </row>
    <row r="1679" spans="1:9" s="3" customFormat="1" ht="25.5">
      <c r="A1679" s="232" t="s">
        <v>114</v>
      </c>
      <c r="B1679" s="233" t="s">
        <v>707</v>
      </c>
      <c r="C1679" s="234" t="s">
        <v>65</v>
      </c>
      <c r="D1679" s="234" t="s">
        <v>2</v>
      </c>
      <c r="E1679" s="234" t="s">
        <v>709</v>
      </c>
      <c r="F1679" s="234" t="s">
        <v>58</v>
      </c>
      <c r="G1679" s="235"/>
      <c r="H1679" s="222"/>
      <c r="I1679" s="223"/>
    </row>
    <row r="1680" spans="1:9" s="3" customFormat="1">
      <c r="A1680" s="236" t="s">
        <v>107</v>
      </c>
      <c r="B1680" s="233" t="s">
        <v>707</v>
      </c>
      <c r="C1680" s="234" t="s">
        <v>65</v>
      </c>
      <c r="D1680" s="234" t="s">
        <v>2</v>
      </c>
      <c r="E1680" s="234" t="s">
        <v>709</v>
      </c>
      <c r="F1680" s="234" t="s">
        <v>115</v>
      </c>
      <c r="G1680" s="235"/>
      <c r="H1680" s="222"/>
      <c r="I1680" s="223"/>
    </row>
    <row r="1681" spans="1:9" s="4" customFormat="1" ht="25.5">
      <c r="A1681" s="236" t="s">
        <v>937</v>
      </c>
      <c r="B1681" s="233" t="s">
        <v>707</v>
      </c>
      <c r="C1681" s="234" t="s">
        <v>65</v>
      </c>
      <c r="D1681" s="234" t="s">
        <v>2</v>
      </c>
      <c r="E1681" s="234" t="s">
        <v>709</v>
      </c>
      <c r="F1681" s="234" t="s">
        <v>1059</v>
      </c>
      <c r="G1681" s="235"/>
      <c r="H1681" s="222"/>
      <c r="I1681" s="223"/>
    </row>
    <row r="1682" spans="1:9" s="4" customFormat="1" ht="38.25">
      <c r="A1682" s="236" t="s">
        <v>939</v>
      </c>
      <c r="B1682" s="233" t="s">
        <v>707</v>
      </c>
      <c r="C1682" s="234" t="s">
        <v>65</v>
      </c>
      <c r="D1682" s="234" t="s">
        <v>2</v>
      </c>
      <c r="E1682" s="234" t="s">
        <v>709</v>
      </c>
      <c r="F1682" s="234" t="s">
        <v>1060</v>
      </c>
      <c r="G1682" s="235"/>
      <c r="H1682" s="222"/>
      <c r="I1682" s="223"/>
    </row>
    <row r="1683" spans="1:9" s="3" customFormat="1" ht="25.5">
      <c r="A1683" s="232" t="s">
        <v>108</v>
      </c>
      <c r="B1683" s="233" t="s">
        <v>707</v>
      </c>
      <c r="C1683" s="234" t="s">
        <v>65</v>
      </c>
      <c r="D1683" s="234" t="s">
        <v>2</v>
      </c>
      <c r="E1683" s="234" t="s">
        <v>709</v>
      </c>
      <c r="F1683" s="234" t="s">
        <v>116</v>
      </c>
      <c r="G1683" s="235"/>
      <c r="H1683" s="222"/>
      <c r="I1683" s="223"/>
    </row>
    <row r="1684" spans="1:9" s="94" customFormat="1" ht="25.5">
      <c r="A1684" s="236" t="s">
        <v>973</v>
      </c>
      <c r="B1684" s="233" t="s">
        <v>707</v>
      </c>
      <c r="C1684" s="234" t="s">
        <v>65</v>
      </c>
      <c r="D1684" s="234" t="s">
        <v>2</v>
      </c>
      <c r="E1684" s="234" t="s">
        <v>709</v>
      </c>
      <c r="F1684" s="234" t="s">
        <v>1043</v>
      </c>
      <c r="G1684" s="235"/>
      <c r="H1684" s="222"/>
      <c r="I1684" s="223"/>
    </row>
    <row r="1685" spans="1:9" s="3" customFormat="1">
      <c r="A1685" s="232" t="s">
        <v>97</v>
      </c>
      <c r="B1685" s="233" t="s">
        <v>707</v>
      </c>
      <c r="C1685" s="234" t="s">
        <v>65</v>
      </c>
      <c r="D1685" s="234" t="s">
        <v>2</v>
      </c>
      <c r="E1685" s="234" t="s">
        <v>709</v>
      </c>
      <c r="F1685" s="234" t="s">
        <v>118</v>
      </c>
      <c r="G1685" s="235"/>
      <c r="H1685" s="222"/>
      <c r="I1685" s="223"/>
    </row>
    <row r="1686" spans="1:9" s="4" customFormat="1">
      <c r="A1686" s="236" t="s">
        <v>1038</v>
      </c>
      <c r="B1686" s="233" t="s">
        <v>707</v>
      </c>
      <c r="C1686" s="234" t="s">
        <v>65</v>
      </c>
      <c r="D1686" s="234" t="s">
        <v>2</v>
      </c>
      <c r="E1686" s="234" t="s">
        <v>709</v>
      </c>
      <c r="F1686" s="234" t="s">
        <v>1066</v>
      </c>
      <c r="G1686" s="235"/>
      <c r="H1686" s="222"/>
      <c r="I1686" s="223"/>
    </row>
    <row r="1687" spans="1:9" s="3" customFormat="1" ht="25.5">
      <c r="A1687" s="232" t="s">
        <v>126</v>
      </c>
      <c r="B1687" s="233" t="s">
        <v>707</v>
      </c>
      <c r="C1687" s="234" t="s">
        <v>65</v>
      </c>
      <c r="D1687" s="234" t="s">
        <v>2</v>
      </c>
      <c r="E1687" s="234" t="s">
        <v>713</v>
      </c>
      <c r="F1687" s="234" t="s">
        <v>58</v>
      </c>
      <c r="G1687" s="235"/>
      <c r="H1687" s="222"/>
      <c r="I1687" s="223"/>
    </row>
    <row r="1688" spans="1:9" s="3" customFormat="1">
      <c r="A1688" s="232" t="s">
        <v>107</v>
      </c>
      <c r="B1688" s="233" t="s">
        <v>707</v>
      </c>
      <c r="C1688" s="234" t="s">
        <v>65</v>
      </c>
      <c r="D1688" s="234" t="s">
        <v>2</v>
      </c>
      <c r="E1688" s="234" t="s">
        <v>713</v>
      </c>
      <c r="F1688" s="234" t="s">
        <v>115</v>
      </c>
      <c r="G1688" s="235"/>
      <c r="H1688" s="222"/>
      <c r="I1688" s="223"/>
    </row>
    <row r="1689" spans="1:9" s="3" customFormat="1">
      <c r="A1689" s="232" t="s">
        <v>936</v>
      </c>
      <c r="B1689" s="233" t="s">
        <v>707</v>
      </c>
      <c r="C1689" s="234" t="s">
        <v>65</v>
      </c>
      <c r="D1689" s="234" t="s">
        <v>2</v>
      </c>
      <c r="E1689" s="234" t="s">
        <v>713</v>
      </c>
      <c r="F1689" s="234" t="s">
        <v>1063</v>
      </c>
      <c r="G1689" s="235"/>
      <c r="H1689" s="222"/>
      <c r="I1689" s="223"/>
    </row>
    <row r="1690" spans="1:9" s="3" customFormat="1" ht="38.25">
      <c r="A1690" s="232" t="s">
        <v>939</v>
      </c>
      <c r="B1690" s="233" t="s">
        <v>707</v>
      </c>
      <c r="C1690" s="234" t="s">
        <v>65</v>
      </c>
      <c r="D1690" s="234" t="s">
        <v>2</v>
      </c>
      <c r="E1690" s="234" t="s">
        <v>713</v>
      </c>
      <c r="F1690" s="234" t="s">
        <v>1060</v>
      </c>
      <c r="G1690" s="235"/>
      <c r="H1690" s="222"/>
      <c r="I1690" s="223"/>
    </row>
    <row r="1691" spans="1:9" s="3" customFormat="1">
      <c r="A1691" s="232"/>
      <c r="B1691" s="233"/>
      <c r="C1691" s="234"/>
      <c r="D1691" s="234"/>
      <c r="E1691" s="234"/>
      <c r="F1691" s="234"/>
      <c r="G1691" s="235"/>
      <c r="H1691" s="222"/>
      <c r="I1691" s="223"/>
    </row>
    <row r="1692" spans="1:9" s="3" customFormat="1">
      <c r="A1692" s="293"/>
      <c r="B1692" s="233"/>
      <c r="C1692" s="234"/>
      <c r="D1692" s="234"/>
      <c r="E1692" s="234"/>
      <c r="F1692" s="234"/>
      <c r="G1692" s="235"/>
      <c r="H1692" s="235"/>
      <c r="I1692" s="223"/>
    </row>
    <row r="1693" spans="1:9" s="4" customFormat="1">
      <c r="A1693" s="279" t="s">
        <v>41</v>
      </c>
      <c r="B1693" s="294"/>
      <c r="C1693" s="221"/>
      <c r="D1693" s="221"/>
      <c r="E1693" s="221"/>
      <c r="F1693" s="221"/>
      <c r="G1693" s="222"/>
      <c r="H1693" s="222"/>
      <c r="I1693" s="223"/>
    </row>
    <row r="1694" spans="1:9" s="2" customFormat="1">
      <c r="A1694" s="1"/>
      <c r="B1694" s="48"/>
      <c r="C1694" s="193"/>
      <c r="D1694" s="193"/>
      <c r="E1694" s="193"/>
      <c r="F1694" s="193"/>
      <c r="G1694" s="194"/>
      <c r="H1694" s="217"/>
      <c r="I1694" s="218"/>
    </row>
    <row r="1695" spans="1:9" s="2" customFormat="1">
      <c r="A1695" s="1"/>
      <c r="B1695" s="48"/>
      <c r="C1695" s="193"/>
      <c r="D1695" s="193"/>
      <c r="E1695" s="193"/>
      <c r="F1695" s="193"/>
      <c r="G1695" s="194"/>
      <c r="H1695" s="27"/>
      <c r="I1695" s="177"/>
    </row>
    <row r="1696" spans="1:9" s="2" customFormat="1">
      <c r="A1696" s="1"/>
      <c r="B1696" s="48"/>
      <c r="C1696" s="193"/>
      <c r="D1696" s="193"/>
      <c r="E1696" s="193"/>
      <c r="F1696" s="193"/>
      <c r="G1696" s="194"/>
      <c r="H1696" s="27"/>
      <c r="I1696" s="177"/>
    </row>
    <row r="1697" spans="1:9">
      <c r="A1697" s="209" t="s">
        <v>1093</v>
      </c>
      <c r="B1697" s="210"/>
      <c r="C1697" s="211"/>
      <c r="D1697" s="211"/>
      <c r="E1697" s="212"/>
      <c r="F1697" s="212"/>
      <c r="G1697" s="211"/>
      <c r="H1697" s="213"/>
      <c r="I1697" s="213"/>
    </row>
    <row r="1698" spans="1:9">
      <c r="A1698" s="209" t="s">
        <v>1094</v>
      </c>
      <c r="B1698" s="210"/>
      <c r="C1698" s="211"/>
      <c r="D1698" s="211"/>
      <c r="E1698" s="212"/>
      <c r="F1698" s="212"/>
      <c r="G1698" s="211"/>
      <c r="H1698" s="213"/>
      <c r="I1698" s="213"/>
    </row>
    <row r="1699" spans="1:9" s="2" customFormat="1">
      <c r="A1699" s="209" t="s">
        <v>1095</v>
      </c>
      <c r="B1699" s="210"/>
      <c r="C1699" s="211"/>
      <c r="D1699" s="211"/>
      <c r="E1699" s="212"/>
      <c r="F1699" s="212"/>
      <c r="G1699" s="211"/>
      <c r="H1699" s="213"/>
      <c r="I1699" s="213"/>
    </row>
    <row r="1700" spans="1:9" s="2" customFormat="1">
      <c r="A1700" s="209" t="s">
        <v>1076</v>
      </c>
      <c r="B1700" s="210"/>
      <c r="C1700" s="214"/>
      <c r="D1700" s="214"/>
      <c r="E1700" s="212"/>
      <c r="F1700" s="212"/>
      <c r="G1700" s="214" t="s">
        <v>1096</v>
      </c>
      <c r="H1700" s="213"/>
      <c r="I1700" s="213"/>
    </row>
    <row r="1701" spans="1:9">
      <c r="H1701" s="20"/>
      <c r="I1701" s="173"/>
    </row>
    <row r="1702" spans="1:9">
      <c r="H1702" s="20"/>
      <c r="I1702" s="173"/>
    </row>
    <row r="1703" spans="1:9">
      <c r="H1703" s="20"/>
      <c r="I1703" s="173"/>
    </row>
    <row r="1704" spans="1:9">
      <c r="H1704" s="20"/>
      <c r="I1704" s="173"/>
    </row>
    <row r="1705" spans="1:9">
      <c r="E1705" s="65"/>
      <c r="F1705" s="65"/>
      <c r="G1705" s="52">
        <f>'БА в тыс. руб.'!G1709*1000+1</f>
        <v>8620578341.0000019</v>
      </c>
      <c r="H1705" s="52"/>
      <c r="I1705" s="174"/>
    </row>
    <row r="1706" spans="1:9">
      <c r="E1706" s="65"/>
      <c r="F1706" s="65"/>
      <c r="G1706" s="52">
        <f>G1693-G1705</f>
        <v>-8620578341.0000019</v>
      </c>
      <c r="H1706" s="52"/>
      <c r="I1706" s="174"/>
    </row>
    <row r="1707" spans="1:9">
      <c r="E1707" s="65"/>
      <c r="F1707" s="65"/>
      <c r="G1707" s="52"/>
      <c r="H1707" s="52"/>
      <c r="I1707" s="174"/>
    </row>
    <row r="1708" spans="1:9">
      <c r="E1708" s="65"/>
      <c r="F1708" s="65"/>
      <c r="G1708" s="52"/>
      <c r="H1708" s="52"/>
      <c r="I1708" s="174"/>
    </row>
    <row r="1709" spans="1:9">
      <c r="E1709" s="65"/>
      <c r="F1709" s="65"/>
      <c r="G1709" s="52"/>
      <c r="H1709" s="52"/>
      <c r="I1709" s="174"/>
    </row>
    <row r="1710" spans="1:9">
      <c r="E1710" s="65"/>
      <c r="F1710" s="65"/>
      <c r="G1710" s="52"/>
      <c r="H1710" s="52"/>
      <c r="I1710" s="174"/>
    </row>
    <row r="1711" spans="1:9">
      <c r="E1711" s="65"/>
      <c r="F1711" s="65"/>
      <c r="G1711" s="52"/>
      <c r="H1711" s="52"/>
      <c r="I1711" s="174"/>
    </row>
    <row r="1712" spans="1:9">
      <c r="G1712" s="49"/>
      <c r="H1712" s="49"/>
      <c r="I1712" s="175"/>
    </row>
    <row r="1713" spans="8:9">
      <c r="H1713" s="20"/>
      <c r="I1713" s="173"/>
    </row>
  </sheetData>
  <mergeCells count="7">
    <mergeCell ref="A8:G8"/>
    <mergeCell ref="A9:G9"/>
    <mergeCell ref="A11:G11"/>
    <mergeCell ref="A12:G12"/>
    <mergeCell ref="A14:A15"/>
    <mergeCell ref="B14:F14"/>
    <mergeCell ref="G14:G15"/>
  </mergeCells>
  <pageMargins left="0.59055118110236227" right="0.15748031496062992" top="0.51181102362204722" bottom="0.56000000000000005" header="0.19685039370078741" footer="0.15748031496062992"/>
  <pageSetup paperSize="9" scale="84" fitToHeight="2" orientation="portrait" r:id="rId1"/>
  <headerFooter differentFirst="1" alignWithMargins="0">
    <oddHeader>&amp;C&amp;"Times New Roman,обычный"&amp;10&amp;P</oddHeader>
  </headerFooter>
  <rowBreaks count="1" manualBreakCount="1">
    <brk id="779" max="6" man="1"/>
  </rowBreaks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92D050"/>
  </sheetPr>
  <dimension ref="A1:J1951"/>
  <sheetViews>
    <sheetView tabSelected="1" view="pageBreakPreview" zoomScale="105" zoomScaleNormal="100" zoomScaleSheetLayoutView="105" workbookViewId="0">
      <selection activeCell="A1945" sqref="A1945"/>
    </sheetView>
  </sheetViews>
  <sheetFormatPr defaultColWidth="8.7265625" defaultRowHeight="15.75"/>
  <cols>
    <col min="1" max="1" width="44.90625" style="6" customWidth="1"/>
    <col min="2" max="2" width="5" style="62" customWidth="1"/>
    <col min="3" max="3" width="3.36328125" style="63" customWidth="1"/>
    <col min="4" max="4" width="3" style="63" customWidth="1"/>
    <col min="5" max="5" width="8.90625" style="63" customWidth="1"/>
    <col min="6" max="6" width="4" style="63" customWidth="1"/>
    <col min="7" max="7" width="11.54296875" style="64" bestFit="1" customWidth="1"/>
    <col min="8" max="8" width="8.90625" style="63" customWidth="1"/>
    <col min="9" max="9" width="10.36328125" style="176" customWidth="1"/>
    <col min="10" max="10" width="18.7265625" style="125" customWidth="1"/>
    <col min="11" max="16384" width="8.7265625" style="5"/>
  </cols>
  <sheetData>
    <row r="1" spans="1:10" s="2" customFormat="1" ht="18.75">
      <c r="A1" s="376" t="s">
        <v>1079</v>
      </c>
      <c r="B1" s="376"/>
      <c r="C1" s="376"/>
      <c r="D1" s="376"/>
      <c r="E1" s="376"/>
      <c r="F1" s="376"/>
      <c r="G1" s="376"/>
      <c r="H1" s="361"/>
      <c r="I1" s="362"/>
      <c r="J1" s="33"/>
    </row>
    <row r="2" spans="1:10" s="2" customFormat="1" ht="18.75">
      <c r="A2" s="376" t="s">
        <v>1119</v>
      </c>
      <c r="B2" s="376"/>
      <c r="C2" s="376"/>
      <c r="D2" s="376"/>
      <c r="E2" s="376"/>
      <c r="F2" s="376"/>
      <c r="G2" s="376"/>
      <c r="H2" s="361"/>
      <c r="I2" s="362"/>
      <c r="J2" s="33"/>
    </row>
    <row r="3" spans="1:10" s="2" customFormat="1" ht="18.75">
      <c r="A3" s="308"/>
      <c r="B3" s="308"/>
      <c r="C3" s="308"/>
      <c r="D3" s="308"/>
      <c r="E3" s="308"/>
      <c r="F3" s="308"/>
      <c r="G3" s="308"/>
      <c r="H3" s="361"/>
      <c r="I3" s="362"/>
      <c r="J3" s="33"/>
    </row>
    <row r="4" spans="1:10" s="2" customFormat="1" ht="18.75">
      <c r="A4" s="377" t="s">
        <v>1080</v>
      </c>
      <c r="B4" s="377"/>
      <c r="C4" s="377"/>
      <c r="D4" s="377"/>
      <c r="E4" s="377"/>
      <c r="F4" s="377"/>
      <c r="G4" s="377"/>
      <c r="H4" s="361"/>
      <c r="I4" s="362"/>
      <c r="J4" s="33"/>
    </row>
    <row r="5" spans="1:10" s="2" customFormat="1" ht="15.75" customHeight="1">
      <c r="A5" s="377" t="s">
        <v>1081</v>
      </c>
      <c r="B5" s="377"/>
      <c r="C5" s="377"/>
      <c r="D5" s="377"/>
      <c r="E5" s="377"/>
      <c r="F5" s="377"/>
      <c r="G5" s="377"/>
      <c r="H5" s="361"/>
      <c r="I5" s="362"/>
      <c r="J5" s="33"/>
    </row>
    <row r="6" spans="1:10" s="2" customFormat="1" ht="16.5" thickBot="1">
      <c r="A6" s="7"/>
      <c r="B6" s="54"/>
      <c r="C6" s="55"/>
      <c r="D6" s="55"/>
      <c r="F6" s="206"/>
      <c r="G6" s="207" t="s">
        <v>1091</v>
      </c>
      <c r="H6" s="179"/>
      <c r="I6" s="166"/>
      <c r="J6" s="33"/>
    </row>
    <row r="7" spans="1:10" s="2" customFormat="1" ht="53.45" customHeight="1" thickBot="1">
      <c r="A7" s="378" t="s">
        <v>1082</v>
      </c>
      <c r="B7" s="379" t="s">
        <v>1083</v>
      </c>
      <c r="C7" s="380"/>
      <c r="D7" s="379"/>
      <c r="E7" s="379"/>
      <c r="F7" s="379"/>
      <c r="G7" s="379" t="s">
        <v>1084</v>
      </c>
      <c r="H7" s="78"/>
      <c r="I7" s="166"/>
      <c r="J7" s="33"/>
    </row>
    <row r="8" spans="1:10" s="2" customFormat="1" ht="16.5" thickBot="1">
      <c r="A8" s="378"/>
      <c r="B8" s="208" t="s">
        <v>1092</v>
      </c>
      <c r="C8" s="208" t="s">
        <v>23</v>
      </c>
      <c r="D8" s="208" t="s">
        <v>44</v>
      </c>
      <c r="E8" s="208" t="s">
        <v>45</v>
      </c>
      <c r="F8" s="208" t="s">
        <v>46</v>
      </c>
      <c r="G8" s="379"/>
      <c r="H8" s="363" t="s">
        <v>45</v>
      </c>
      <c r="I8" s="166"/>
      <c r="J8" s="33"/>
    </row>
    <row r="9" spans="1:10" s="2" customFormat="1">
      <c r="A9" s="202" t="s">
        <v>1085</v>
      </c>
      <c r="B9" s="203" t="s">
        <v>1086</v>
      </c>
      <c r="C9" s="204" t="s">
        <v>1087</v>
      </c>
      <c r="D9" s="203" t="s">
        <v>552</v>
      </c>
      <c r="E9" s="205" t="s">
        <v>1088</v>
      </c>
      <c r="F9" s="203" t="s">
        <v>1089</v>
      </c>
      <c r="G9" s="203" t="s">
        <v>1090</v>
      </c>
      <c r="H9" s="205" t="s">
        <v>1088</v>
      </c>
      <c r="I9" s="216"/>
      <c r="J9" s="33"/>
    </row>
    <row r="10" spans="1:10" s="3" customFormat="1">
      <c r="A10" s="219" t="s">
        <v>47</v>
      </c>
      <c r="B10" s="220" t="s">
        <v>48</v>
      </c>
      <c r="C10" s="221" t="s">
        <v>51</v>
      </c>
      <c r="D10" s="221" t="s">
        <v>51</v>
      </c>
      <c r="E10" s="221" t="s">
        <v>196</v>
      </c>
      <c r="F10" s="221" t="s">
        <v>58</v>
      </c>
      <c r="G10" s="222">
        <f>G11+G53</f>
        <v>55105770</v>
      </c>
      <c r="H10" s="221">
        <v>0</v>
      </c>
      <c r="I10" s="313" t="str">
        <f>TEXT(H10,"0000000000")</f>
        <v>0000000000</v>
      </c>
      <c r="J10" s="30" t="str">
        <f>CONCATENATE(B10,C10,D10,I10,F10)</f>
        <v>60000000000000000000</v>
      </c>
    </row>
    <row r="11" spans="1:10" s="3" customFormat="1">
      <c r="A11" s="224" t="s">
        <v>64</v>
      </c>
      <c r="B11" s="225" t="s">
        <v>48</v>
      </c>
      <c r="C11" s="226" t="s">
        <v>65</v>
      </c>
      <c r="D11" s="226" t="s">
        <v>51</v>
      </c>
      <c r="E11" s="226" t="s">
        <v>196</v>
      </c>
      <c r="F11" s="226" t="s">
        <v>58</v>
      </c>
      <c r="G11" s="227">
        <f>G12+G47</f>
        <v>48015270</v>
      </c>
      <c r="H11" s="226">
        <v>0</v>
      </c>
      <c r="I11" s="313" t="str">
        <f t="shared" ref="I11:I74" si="0">TEXT(H11,"0000000000")</f>
        <v>0000000000</v>
      </c>
      <c r="J11" s="30" t="str">
        <f t="shared" ref="J11:J74" si="1">CONCATENATE(B11,C11,D11,I11,F11)</f>
        <v>60001000000000000000</v>
      </c>
    </row>
    <row r="12" spans="1:10" s="3" customFormat="1" ht="25.5">
      <c r="A12" s="228" t="s">
        <v>56</v>
      </c>
      <c r="B12" s="229" t="s">
        <v>48</v>
      </c>
      <c r="C12" s="230" t="s">
        <v>65</v>
      </c>
      <c r="D12" s="230" t="s">
        <v>53</v>
      </c>
      <c r="E12" s="230" t="s">
        <v>196</v>
      </c>
      <c r="F12" s="230" t="s">
        <v>58</v>
      </c>
      <c r="G12" s="231">
        <f>G13</f>
        <v>47515270</v>
      </c>
      <c r="H12" s="230">
        <v>0</v>
      </c>
      <c r="I12" s="313" t="str">
        <f t="shared" si="0"/>
        <v>0000000000</v>
      </c>
      <c r="J12" s="30" t="str">
        <f t="shared" si="1"/>
        <v>60001030000000000000</v>
      </c>
    </row>
    <row r="13" spans="1:10" s="3" customFormat="1">
      <c r="A13" s="232" t="s">
        <v>124</v>
      </c>
      <c r="B13" s="233" t="s">
        <v>48</v>
      </c>
      <c r="C13" s="234" t="s">
        <v>65</v>
      </c>
      <c r="D13" s="234" t="s">
        <v>53</v>
      </c>
      <c r="E13" s="234" t="s">
        <v>197</v>
      </c>
      <c r="F13" s="234" t="s">
        <v>58</v>
      </c>
      <c r="G13" s="235">
        <f>G14+G38+G29</f>
        <v>47515270</v>
      </c>
      <c r="H13" s="234">
        <v>7000000000</v>
      </c>
      <c r="I13" s="313" t="str">
        <f t="shared" si="0"/>
        <v>7000000000</v>
      </c>
      <c r="J13" s="30" t="str">
        <f t="shared" si="1"/>
        <v>60001037000000000000</v>
      </c>
    </row>
    <row r="14" spans="1:10" s="3" customFormat="1" ht="25.5">
      <c r="A14" s="232" t="s">
        <v>125</v>
      </c>
      <c r="B14" s="233" t="s">
        <v>48</v>
      </c>
      <c r="C14" s="234" t="s">
        <v>65</v>
      </c>
      <c r="D14" s="234" t="s">
        <v>53</v>
      </c>
      <c r="E14" s="234" t="s">
        <v>200</v>
      </c>
      <c r="F14" s="234" t="s">
        <v>58</v>
      </c>
      <c r="G14" s="235">
        <f>G15+G25</f>
        <v>43409950</v>
      </c>
      <c r="H14" s="234">
        <v>7010000000</v>
      </c>
      <c r="I14" s="313" t="str">
        <f t="shared" si="0"/>
        <v>7010000000</v>
      </c>
      <c r="J14" s="30" t="str">
        <f t="shared" si="1"/>
        <v>60001037010000000000</v>
      </c>
    </row>
    <row r="15" spans="1:10" s="3" customFormat="1" ht="25.5">
      <c r="A15" s="232" t="s">
        <v>114</v>
      </c>
      <c r="B15" s="233" t="s">
        <v>48</v>
      </c>
      <c r="C15" s="234" t="s">
        <v>65</v>
      </c>
      <c r="D15" s="234" t="s">
        <v>53</v>
      </c>
      <c r="E15" s="234" t="s">
        <v>201</v>
      </c>
      <c r="F15" s="234" t="s">
        <v>58</v>
      </c>
      <c r="G15" s="235">
        <f>G16+G20+G22</f>
        <v>10533430</v>
      </c>
      <c r="H15" s="234">
        <v>7010010010</v>
      </c>
      <c r="I15" s="313" t="str">
        <f t="shared" si="0"/>
        <v>7010010010</v>
      </c>
      <c r="J15" s="30" t="str">
        <f t="shared" si="1"/>
        <v>60001037010010010000</v>
      </c>
    </row>
    <row r="16" spans="1:10" s="3" customFormat="1">
      <c r="A16" s="236" t="s">
        <v>107</v>
      </c>
      <c r="B16" s="233" t="s">
        <v>48</v>
      </c>
      <c r="C16" s="234" t="s">
        <v>65</v>
      </c>
      <c r="D16" s="234" t="s">
        <v>53</v>
      </c>
      <c r="E16" s="234" t="s">
        <v>201</v>
      </c>
      <c r="F16" s="234" t="s">
        <v>115</v>
      </c>
      <c r="G16" s="235">
        <f>SUM(G17:G19)</f>
        <v>3836780</v>
      </c>
      <c r="H16" s="234">
        <v>7010010010</v>
      </c>
      <c r="I16" s="313" t="str">
        <f t="shared" si="0"/>
        <v>7010010010</v>
      </c>
      <c r="J16" s="30" t="str">
        <f t="shared" si="1"/>
        <v>60001037010010010120</v>
      </c>
    </row>
    <row r="17" spans="1:10" s="3" customFormat="1" ht="25.5">
      <c r="A17" s="236" t="s">
        <v>937</v>
      </c>
      <c r="B17" s="233" t="s">
        <v>48</v>
      </c>
      <c r="C17" s="234" t="s">
        <v>65</v>
      </c>
      <c r="D17" s="234" t="s">
        <v>53</v>
      </c>
      <c r="E17" s="234" t="s">
        <v>201</v>
      </c>
      <c r="F17" s="234" t="s">
        <v>1059</v>
      </c>
      <c r="G17" s="235">
        <f>VLOOKUP(J17,'исх АС БЮДЖЕТ'!$A$10:$H$568,6,0)</f>
        <v>1273000</v>
      </c>
      <c r="H17" s="234">
        <v>7010010010</v>
      </c>
      <c r="I17" s="313" t="str">
        <f t="shared" si="0"/>
        <v>7010010010</v>
      </c>
      <c r="J17" s="30" t="str">
        <f t="shared" si="1"/>
        <v>60001037010010010122</v>
      </c>
    </row>
    <row r="18" spans="1:10" s="4" customFormat="1" ht="38.25">
      <c r="A18" s="236" t="s">
        <v>938</v>
      </c>
      <c r="B18" s="233" t="s">
        <v>48</v>
      </c>
      <c r="C18" s="234" t="s">
        <v>65</v>
      </c>
      <c r="D18" s="234" t="s">
        <v>53</v>
      </c>
      <c r="E18" s="234" t="s">
        <v>201</v>
      </c>
      <c r="F18" s="234" t="s">
        <v>1068</v>
      </c>
      <c r="G18" s="235">
        <f>VLOOKUP(J18,'исх АС БЮДЖЕТ'!$A$10:$H$568,6,0)</f>
        <v>2333124</v>
      </c>
      <c r="H18" s="234">
        <v>7010010010</v>
      </c>
      <c r="I18" s="313" t="str">
        <f t="shared" si="0"/>
        <v>7010010010</v>
      </c>
      <c r="J18" s="30" t="str">
        <f t="shared" si="1"/>
        <v>60001037010010010123</v>
      </c>
    </row>
    <row r="19" spans="1:10" s="4" customFormat="1" ht="38.25">
      <c r="A19" s="236" t="s">
        <v>939</v>
      </c>
      <c r="B19" s="233" t="s">
        <v>48</v>
      </c>
      <c r="C19" s="234" t="s">
        <v>65</v>
      </c>
      <c r="D19" s="234" t="s">
        <v>53</v>
      </c>
      <c r="E19" s="234" t="s">
        <v>201</v>
      </c>
      <c r="F19" s="234" t="s">
        <v>1060</v>
      </c>
      <c r="G19" s="235">
        <f>VLOOKUP(J19,'исх АС БЮДЖЕТ'!$A$10:$H$568,6,0)</f>
        <v>230656</v>
      </c>
      <c r="H19" s="234">
        <v>7010010010</v>
      </c>
      <c r="I19" s="313" t="str">
        <f t="shared" si="0"/>
        <v>7010010010</v>
      </c>
      <c r="J19" s="30" t="str">
        <f t="shared" si="1"/>
        <v>60001037010010010129</v>
      </c>
    </row>
    <row r="20" spans="1:10" s="3" customFormat="1" ht="25.5">
      <c r="A20" s="232" t="s">
        <v>108</v>
      </c>
      <c r="B20" s="233" t="s">
        <v>48</v>
      </c>
      <c r="C20" s="234" t="s">
        <v>65</v>
      </c>
      <c r="D20" s="234" t="s">
        <v>53</v>
      </c>
      <c r="E20" s="234" t="s">
        <v>201</v>
      </c>
      <c r="F20" s="234" t="s">
        <v>116</v>
      </c>
      <c r="G20" s="235">
        <f>G21</f>
        <v>6532610</v>
      </c>
      <c r="H20" s="234">
        <v>7010010010</v>
      </c>
      <c r="I20" s="313" t="str">
        <f t="shared" si="0"/>
        <v>7010010010</v>
      </c>
      <c r="J20" s="30" t="str">
        <f t="shared" si="1"/>
        <v>60001037010010010240</v>
      </c>
    </row>
    <row r="21" spans="1:10" s="4" customFormat="1" ht="25.5">
      <c r="A21" s="236" t="s">
        <v>973</v>
      </c>
      <c r="B21" s="233" t="s">
        <v>48</v>
      </c>
      <c r="C21" s="234" t="s">
        <v>65</v>
      </c>
      <c r="D21" s="234" t="s">
        <v>53</v>
      </c>
      <c r="E21" s="234" t="s">
        <v>201</v>
      </c>
      <c r="F21" s="234" t="s">
        <v>1043</v>
      </c>
      <c r="G21" s="235">
        <f>VLOOKUP(J21,'исх АС БЮДЖЕТ'!$A$10:$H$568,6,0)</f>
        <v>6532610</v>
      </c>
      <c r="H21" s="234">
        <v>7010010010</v>
      </c>
      <c r="I21" s="313" t="str">
        <f t="shared" si="0"/>
        <v>7010010010</v>
      </c>
      <c r="J21" s="30" t="str">
        <f t="shared" si="1"/>
        <v>60001037010010010244</v>
      </c>
    </row>
    <row r="22" spans="1:10" s="3" customFormat="1">
      <c r="A22" s="232" t="s">
        <v>97</v>
      </c>
      <c r="B22" s="233" t="s">
        <v>48</v>
      </c>
      <c r="C22" s="234" t="s">
        <v>65</v>
      </c>
      <c r="D22" s="234" t="s">
        <v>53</v>
      </c>
      <c r="E22" s="234" t="s">
        <v>201</v>
      </c>
      <c r="F22" s="234" t="s">
        <v>118</v>
      </c>
      <c r="G22" s="235">
        <f>SUM(G23:G24)</f>
        <v>164040</v>
      </c>
      <c r="H22" s="234">
        <v>7010010010</v>
      </c>
      <c r="I22" s="313" t="str">
        <f t="shared" si="0"/>
        <v>7010010010</v>
      </c>
      <c r="J22" s="30" t="str">
        <f t="shared" si="1"/>
        <v>60001037010010010850</v>
      </c>
    </row>
    <row r="23" spans="1:10" s="3" customFormat="1">
      <c r="A23" s="232" t="s">
        <v>1036</v>
      </c>
      <c r="B23" s="233" t="s">
        <v>48</v>
      </c>
      <c r="C23" s="234" t="s">
        <v>65</v>
      </c>
      <c r="D23" s="234" t="s">
        <v>53</v>
      </c>
      <c r="E23" s="234" t="s">
        <v>201</v>
      </c>
      <c r="F23" s="234" t="s">
        <v>1061</v>
      </c>
      <c r="G23" s="235">
        <f>VLOOKUP(J23,'исх АС БЮДЖЕТ'!$A$10:$H$568,6,0)</f>
        <v>78370</v>
      </c>
      <c r="H23" s="234">
        <v>7010010010</v>
      </c>
      <c r="I23" s="313" t="str">
        <f t="shared" si="0"/>
        <v>7010010010</v>
      </c>
      <c r="J23" s="30" t="str">
        <f t="shared" si="1"/>
        <v>60001037010010010851</v>
      </c>
    </row>
    <row r="24" spans="1:10" s="3" customFormat="1">
      <c r="A24" s="232" t="s">
        <v>1037</v>
      </c>
      <c r="B24" s="233" t="s">
        <v>48</v>
      </c>
      <c r="C24" s="234" t="s">
        <v>65</v>
      </c>
      <c r="D24" s="234" t="s">
        <v>53</v>
      </c>
      <c r="E24" s="234" t="s">
        <v>201</v>
      </c>
      <c r="F24" s="234" t="s">
        <v>1062</v>
      </c>
      <c r="G24" s="235">
        <f>VLOOKUP(J24,'исх АС БЮДЖЕТ'!$A$10:$H$568,6,0)</f>
        <v>85670</v>
      </c>
      <c r="H24" s="234">
        <v>7010010010</v>
      </c>
      <c r="I24" s="313" t="str">
        <f t="shared" si="0"/>
        <v>7010010010</v>
      </c>
      <c r="J24" s="30" t="str">
        <f t="shared" si="1"/>
        <v>60001037010010010852</v>
      </c>
    </row>
    <row r="25" spans="1:10" s="3" customFormat="1" ht="25.5">
      <c r="A25" s="232" t="s">
        <v>126</v>
      </c>
      <c r="B25" s="233" t="s">
        <v>48</v>
      </c>
      <c r="C25" s="234" t="s">
        <v>65</v>
      </c>
      <c r="D25" s="234" t="s">
        <v>53</v>
      </c>
      <c r="E25" s="234" t="s">
        <v>202</v>
      </c>
      <c r="F25" s="234" t="s">
        <v>58</v>
      </c>
      <c r="G25" s="235">
        <f>G26</f>
        <v>32876520</v>
      </c>
      <c r="H25" s="234">
        <v>7010010020</v>
      </c>
      <c r="I25" s="313" t="str">
        <f t="shared" si="0"/>
        <v>7010010020</v>
      </c>
      <c r="J25" s="30" t="str">
        <f t="shared" si="1"/>
        <v>60001037010010020000</v>
      </c>
    </row>
    <row r="26" spans="1:10" s="3" customFormat="1">
      <c r="A26" s="232" t="s">
        <v>107</v>
      </c>
      <c r="B26" s="233" t="s">
        <v>48</v>
      </c>
      <c r="C26" s="234" t="s">
        <v>65</v>
      </c>
      <c r="D26" s="234" t="s">
        <v>53</v>
      </c>
      <c r="E26" s="234" t="s">
        <v>202</v>
      </c>
      <c r="F26" s="234" t="s">
        <v>115</v>
      </c>
      <c r="G26" s="235">
        <f>SUM(G27:G28)</f>
        <v>32876520</v>
      </c>
      <c r="H26" s="234">
        <v>7010010020</v>
      </c>
      <c r="I26" s="313" t="str">
        <f t="shared" si="0"/>
        <v>7010010020</v>
      </c>
      <c r="J26" s="30" t="str">
        <f t="shared" si="1"/>
        <v>60001037010010020120</v>
      </c>
    </row>
    <row r="27" spans="1:10" s="3" customFormat="1">
      <c r="A27" s="232" t="s">
        <v>936</v>
      </c>
      <c r="B27" s="233" t="s">
        <v>48</v>
      </c>
      <c r="C27" s="234" t="s">
        <v>65</v>
      </c>
      <c r="D27" s="234" t="s">
        <v>53</v>
      </c>
      <c r="E27" s="234" t="s">
        <v>202</v>
      </c>
      <c r="F27" s="234" t="s">
        <v>1063</v>
      </c>
      <c r="G27" s="235">
        <f>VLOOKUP(J27,'исх АС БЮДЖЕТ'!$A$10:$H$568,6,0)</f>
        <v>25240710</v>
      </c>
      <c r="H27" s="234">
        <v>7010010020</v>
      </c>
      <c r="I27" s="313" t="str">
        <f t="shared" si="0"/>
        <v>7010010020</v>
      </c>
      <c r="J27" s="30" t="str">
        <f t="shared" si="1"/>
        <v>60001037010010020121</v>
      </c>
    </row>
    <row r="28" spans="1:10" s="3" customFormat="1" ht="38.25">
      <c r="A28" s="232" t="s">
        <v>939</v>
      </c>
      <c r="B28" s="233" t="s">
        <v>48</v>
      </c>
      <c r="C28" s="234" t="s">
        <v>65</v>
      </c>
      <c r="D28" s="234" t="s">
        <v>53</v>
      </c>
      <c r="E28" s="234" t="s">
        <v>202</v>
      </c>
      <c r="F28" s="234" t="s">
        <v>1060</v>
      </c>
      <c r="G28" s="235">
        <f>VLOOKUP(J28,'исх АС БЮДЖЕТ'!$A$10:$H$568,6,0)</f>
        <v>7635810</v>
      </c>
      <c r="H28" s="234">
        <v>7010010020</v>
      </c>
      <c r="I28" s="313" t="str">
        <f t="shared" si="0"/>
        <v>7010010020</v>
      </c>
      <c r="J28" s="30" t="str">
        <f t="shared" si="1"/>
        <v>60001037010010020129</v>
      </c>
    </row>
    <row r="29" spans="1:10" s="3" customFormat="1">
      <c r="A29" s="232" t="s">
        <v>831</v>
      </c>
      <c r="B29" s="233" t="s">
        <v>48</v>
      </c>
      <c r="C29" s="234" t="s">
        <v>65</v>
      </c>
      <c r="D29" s="234" t="s">
        <v>53</v>
      </c>
      <c r="E29" s="234" t="s">
        <v>198</v>
      </c>
      <c r="F29" s="234" t="s">
        <v>58</v>
      </c>
      <c r="G29" s="235">
        <f>G34+G30</f>
        <v>1593550</v>
      </c>
      <c r="H29" s="234">
        <v>7020000000</v>
      </c>
      <c r="I29" s="313" t="str">
        <f t="shared" si="0"/>
        <v>7020000000</v>
      </c>
      <c r="J29" s="30" t="str">
        <f t="shared" si="1"/>
        <v>60001037020000000000</v>
      </c>
    </row>
    <row r="30" spans="1:10" s="3" customFormat="1" ht="25.5">
      <c r="A30" s="232" t="s">
        <v>114</v>
      </c>
      <c r="B30" s="233" t="s">
        <v>48</v>
      </c>
      <c r="C30" s="234" t="s">
        <v>65</v>
      </c>
      <c r="D30" s="234" t="s">
        <v>53</v>
      </c>
      <c r="E30" s="234" t="s">
        <v>628</v>
      </c>
      <c r="F30" s="234" t="s">
        <v>58</v>
      </c>
      <c r="G30" s="235">
        <f>G31</f>
        <v>41550</v>
      </c>
      <c r="H30" s="234">
        <v>7020010010</v>
      </c>
      <c r="I30" s="313" t="str">
        <f t="shared" si="0"/>
        <v>7020010010</v>
      </c>
      <c r="J30" s="30" t="str">
        <f t="shared" si="1"/>
        <v>60001037020010010000</v>
      </c>
    </row>
    <row r="31" spans="1:10" s="3" customFormat="1">
      <c r="A31" s="232" t="s">
        <v>107</v>
      </c>
      <c r="B31" s="233" t="s">
        <v>48</v>
      </c>
      <c r="C31" s="234" t="s">
        <v>65</v>
      </c>
      <c r="D31" s="234" t="s">
        <v>53</v>
      </c>
      <c r="E31" s="234" t="s">
        <v>628</v>
      </c>
      <c r="F31" s="234" t="s">
        <v>115</v>
      </c>
      <c r="G31" s="235">
        <f>SUM(G32:G33)</f>
        <v>41550</v>
      </c>
      <c r="H31" s="234">
        <v>7020010010</v>
      </c>
      <c r="I31" s="313" t="str">
        <f t="shared" si="0"/>
        <v>7020010010</v>
      </c>
      <c r="J31" s="30" t="str">
        <f t="shared" si="1"/>
        <v>60001037020010010120</v>
      </c>
    </row>
    <row r="32" spans="1:10" s="3" customFormat="1" ht="25.5">
      <c r="A32" s="232" t="s">
        <v>937</v>
      </c>
      <c r="B32" s="233" t="s">
        <v>48</v>
      </c>
      <c r="C32" s="234" t="s">
        <v>65</v>
      </c>
      <c r="D32" s="234" t="s">
        <v>53</v>
      </c>
      <c r="E32" s="234" t="s">
        <v>628</v>
      </c>
      <c r="F32" s="234" t="s">
        <v>1059</v>
      </c>
      <c r="G32" s="235">
        <f>VLOOKUP(J32,'исх АС БЮДЖЕТ'!$A$10:$H$568,6,0)</f>
        <v>31912.5</v>
      </c>
      <c r="H32" s="234">
        <v>7020010010</v>
      </c>
      <c r="I32" s="313" t="str">
        <f t="shared" si="0"/>
        <v>7020010010</v>
      </c>
      <c r="J32" s="30" t="str">
        <f t="shared" si="1"/>
        <v>60001037020010010122</v>
      </c>
    </row>
    <row r="33" spans="1:10" s="3" customFormat="1" ht="38.25">
      <c r="A33" s="232" t="s">
        <v>939</v>
      </c>
      <c r="B33" s="233" t="s">
        <v>48</v>
      </c>
      <c r="C33" s="234" t="s">
        <v>65</v>
      </c>
      <c r="D33" s="234" t="s">
        <v>53</v>
      </c>
      <c r="E33" s="234" t="s">
        <v>628</v>
      </c>
      <c r="F33" s="234" t="s">
        <v>1060</v>
      </c>
      <c r="G33" s="235">
        <f>VLOOKUP(J33,'исх АС БЮДЖЕТ'!$A$10:$H$568,6,0)</f>
        <v>9637.5</v>
      </c>
      <c r="H33" s="234">
        <v>7020010010</v>
      </c>
      <c r="I33" s="313" t="str">
        <f t="shared" si="0"/>
        <v>7020010010</v>
      </c>
      <c r="J33" s="30" t="str">
        <f t="shared" si="1"/>
        <v>60001037020010010129</v>
      </c>
    </row>
    <row r="34" spans="1:10" s="3" customFormat="1" ht="25.5">
      <c r="A34" s="232" t="s">
        <v>126</v>
      </c>
      <c r="B34" s="233" t="s">
        <v>48</v>
      </c>
      <c r="C34" s="234" t="s">
        <v>65</v>
      </c>
      <c r="D34" s="234" t="s">
        <v>53</v>
      </c>
      <c r="E34" s="234" t="s">
        <v>199</v>
      </c>
      <c r="F34" s="234" t="s">
        <v>58</v>
      </c>
      <c r="G34" s="235">
        <f>G35</f>
        <v>1552000</v>
      </c>
      <c r="H34" s="234">
        <v>7020010020</v>
      </c>
      <c r="I34" s="313" t="str">
        <f t="shared" si="0"/>
        <v>7020010020</v>
      </c>
      <c r="J34" s="30" t="str">
        <f t="shared" si="1"/>
        <v>60001037020010020000</v>
      </c>
    </row>
    <row r="35" spans="1:10" s="3" customFormat="1">
      <c r="A35" s="232" t="s">
        <v>107</v>
      </c>
      <c r="B35" s="233" t="s">
        <v>48</v>
      </c>
      <c r="C35" s="234" t="s">
        <v>65</v>
      </c>
      <c r="D35" s="234" t="s">
        <v>53</v>
      </c>
      <c r="E35" s="234" t="s">
        <v>199</v>
      </c>
      <c r="F35" s="234" t="s">
        <v>115</v>
      </c>
      <c r="G35" s="235">
        <f>SUM(G36:G37)</f>
        <v>1552000</v>
      </c>
      <c r="H35" s="234">
        <v>7020010020</v>
      </c>
      <c r="I35" s="313" t="str">
        <f t="shared" si="0"/>
        <v>7020010020</v>
      </c>
      <c r="J35" s="30" t="str">
        <f t="shared" si="1"/>
        <v>60001037020010020120</v>
      </c>
    </row>
    <row r="36" spans="1:10" s="3" customFormat="1">
      <c r="A36" s="232" t="s">
        <v>936</v>
      </c>
      <c r="B36" s="233" t="s">
        <v>48</v>
      </c>
      <c r="C36" s="234" t="s">
        <v>65</v>
      </c>
      <c r="D36" s="234" t="s">
        <v>53</v>
      </c>
      <c r="E36" s="234" t="s">
        <v>199</v>
      </c>
      <c r="F36" s="234" t="s">
        <v>1063</v>
      </c>
      <c r="G36" s="235">
        <f>VLOOKUP(J36,'исх АС БЮДЖЕТ'!$A$10:$H$568,6,0)</f>
        <v>1192000</v>
      </c>
      <c r="H36" s="234">
        <v>7020010020</v>
      </c>
      <c r="I36" s="313" t="str">
        <f t="shared" si="0"/>
        <v>7020010020</v>
      </c>
      <c r="J36" s="30" t="str">
        <f t="shared" si="1"/>
        <v>60001037020010020121</v>
      </c>
    </row>
    <row r="37" spans="1:10" s="3" customFormat="1" ht="38.25">
      <c r="A37" s="232" t="s">
        <v>939</v>
      </c>
      <c r="B37" s="233" t="s">
        <v>48</v>
      </c>
      <c r="C37" s="234" t="s">
        <v>65</v>
      </c>
      <c r="D37" s="234" t="s">
        <v>53</v>
      </c>
      <c r="E37" s="234" t="s">
        <v>199</v>
      </c>
      <c r="F37" s="234" t="s">
        <v>1060</v>
      </c>
      <c r="G37" s="235">
        <f>VLOOKUP(J37,'исх АС БЮДЖЕТ'!$A$10:$H$568,6,0)</f>
        <v>360000</v>
      </c>
      <c r="H37" s="234">
        <v>7020010020</v>
      </c>
      <c r="I37" s="313" t="str">
        <f t="shared" si="0"/>
        <v>7020010020</v>
      </c>
      <c r="J37" s="30" t="str">
        <f t="shared" si="1"/>
        <v>60001037020010020129</v>
      </c>
    </row>
    <row r="38" spans="1:10" s="3" customFormat="1">
      <c r="A38" s="232" t="s">
        <v>28</v>
      </c>
      <c r="B38" s="233" t="s">
        <v>48</v>
      </c>
      <c r="C38" s="234" t="s">
        <v>65</v>
      </c>
      <c r="D38" s="234" t="s">
        <v>53</v>
      </c>
      <c r="E38" s="234" t="s">
        <v>203</v>
      </c>
      <c r="F38" s="234" t="s">
        <v>58</v>
      </c>
      <c r="G38" s="235">
        <f>G43+G39</f>
        <v>2511770</v>
      </c>
      <c r="H38" s="234">
        <v>7030000000</v>
      </c>
      <c r="I38" s="313" t="str">
        <f t="shared" si="0"/>
        <v>7030000000</v>
      </c>
      <c r="J38" s="30" t="str">
        <f t="shared" si="1"/>
        <v>60001037030000000000</v>
      </c>
    </row>
    <row r="39" spans="1:10" s="3" customFormat="1" ht="25.5">
      <c r="A39" s="232" t="s">
        <v>114</v>
      </c>
      <c r="B39" s="233" t="s">
        <v>48</v>
      </c>
      <c r="C39" s="234" t="s">
        <v>65</v>
      </c>
      <c r="D39" s="234" t="s">
        <v>53</v>
      </c>
      <c r="E39" s="234" t="s">
        <v>643</v>
      </c>
      <c r="F39" s="234" t="s">
        <v>58</v>
      </c>
      <c r="G39" s="235">
        <f>G40</f>
        <v>83110</v>
      </c>
      <c r="H39" s="234">
        <v>7030010010</v>
      </c>
      <c r="I39" s="313" t="str">
        <f t="shared" si="0"/>
        <v>7030010010</v>
      </c>
      <c r="J39" s="30" t="str">
        <f t="shared" si="1"/>
        <v>60001037030010010000</v>
      </c>
    </row>
    <row r="40" spans="1:10" s="3" customFormat="1">
      <c r="A40" s="232" t="s">
        <v>107</v>
      </c>
      <c r="B40" s="233" t="s">
        <v>48</v>
      </c>
      <c r="C40" s="234" t="s">
        <v>65</v>
      </c>
      <c r="D40" s="234" t="s">
        <v>53</v>
      </c>
      <c r="E40" s="234" t="s">
        <v>643</v>
      </c>
      <c r="F40" s="234" t="s">
        <v>115</v>
      </c>
      <c r="G40" s="235">
        <f>SUM(G41:G42)</f>
        <v>83110</v>
      </c>
      <c r="H40" s="234">
        <v>7030010010</v>
      </c>
      <c r="I40" s="313" t="str">
        <f t="shared" si="0"/>
        <v>7030010010</v>
      </c>
      <c r="J40" s="30" t="str">
        <f t="shared" si="1"/>
        <v>60001037030010010120</v>
      </c>
    </row>
    <row r="41" spans="1:10" s="3" customFormat="1" ht="25.5">
      <c r="A41" s="232" t="s">
        <v>937</v>
      </c>
      <c r="B41" s="233" t="s">
        <v>48</v>
      </c>
      <c r="C41" s="234" t="s">
        <v>65</v>
      </c>
      <c r="D41" s="234" t="s">
        <v>53</v>
      </c>
      <c r="E41" s="234" t="s">
        <v>643</v>
      </c>
      <c r="F41" s="234" t="s">
        <v>1059</v>
      </c>
      <c r="G41" s="235">
        <f>VLOOKUP(J41,'исх АС БЮДЖЕТ'!$A$10:$H$568,6,0)</f>
        <v>63830</v>
      </c>
      <c r="H41" s="234">
        <v>7030010010</v>
      </c>
      <c r="I41" s="313" t="str">
        <f t="shared" si="0"/>
        <v>7030010010</v>
      </c>
      <c r="J41" s="30" t="str">
        <f t="shared" si="1"/>
        <v>60001037030010010122</v>
      </c>
    </row>
    <row r="42" spans="1:10" s="3" customFormat="1" ht="38.25">
      <c r="A42" s="232" t="s">
        <v>939</v>
      </c>
      <c r="B42" s="233" t="s">
        <v>48</v>
      </c>
      <c r="C42" s="234" t="s">
        <v>65</v>
      </c>
      <c r="D42" s="234" t="s">
        <v>53</v>
      </c>
      <c r="E42" s="234" t="s">
        <v>643</v>
      </c>
      <c r="F42" s="234" t="s">
        <v>1060</v>
      </c>
      <c r="G42" s="235">
        <f>VLOOKUP(J42,'исх АС БЮДЖЕТ'!$A$10:$H$568,6,0)</f>
        <v>19280</v>
      </c>
      <c r="H42" s="234">
        <v>7030010010</v>
      </c>
      <c r="I42" s="313" t="str">
        <f t="shared" si="0"/>
        <v>7030010010</v>
      </c>
      <c r="J42" s="30" t="str">
        <f t="shared" si="1"/>
        <v>60001037030010010129</v>
      </c>
    </row>
    <row r="43" spans="1:10" s="3" customFormat="1" ht="25.5">
      <c r="A43" s="232" t="s">
        <v>126</v>
      </c>
      <c r="B43" s="233" t="s">
        <v>48</v>
      </c>
      <c r="C43" s="234" t="s">
        <v>65</v>
      </c>
      <c r="D43" s="234" t="s">
        <v>53</v>
      </c>
      <c r="E43" s="234" t="s">
        <v>204</v>
      </c>
      <c r="F43" s="234" t="s">
        <v>58</v>
      </c>
      <c r="G43" s="235">
        <f>G44</f>
        <v>2428660</v>
      </c>
      <c r="H43" s="234">
        <v>7030010020</v>
      </c>
      <c r="I43" s="313" t="str">
        <f t="shared" si="0"/>
        <v>7030010020</v>
      </c>
      <c r="J43" s="30" t="str">
        <f t="shared" si="1"/>
        <v>60001037030010020000</v>
      </c>
    </row>
    <row r="44" spans="1:10" s="3" customFormat="1">
      <c r="A44" s="232" t="s">
        <v>107</v>
      </c>
      <c r="B44" s="233" t="s">
        <v>48</v>
      </c>
      <c r="C44" s="234" t="s">
        <v>65</v>
      </c>
      <c r="D44" s="234" t="s">
        <v>53</v>
      </c>
      <c r="E44" s="234" t="s">
        <v>204</v>
      </c>
      <c r="F44" s="234" t="s">
        <v>115</v>
      </c>
      <c r="G44" s="235">
        <f>SUM(G45:G46)</f>
        <v>2428660</v>
      </c>
      <c r="H44" s="234">
        <v>7030010020</v>
      </c>
      <c r="I44" s="313" t="str">
        <f t="shared" si="0"/>
        <v>7030010020</v>
      </c>
      <c r="J44" s="30" t="str">
        <f t="shared" si="1"/>
        <v>60001037030010020120</v>
      </c>
    </row>
    <row r="45" spans="1:10" s="3" customFormat="1">
      <c r="A45" s="232" t="s">
        <v>936</v>
      </c>
      <c r="B45" s="233" t="s">
        <v>48</v>
      </c>
      <c r="C45" s="234" t="s">
        <v>65</v>
      </c>
      <c r="D45" s="234" t="s">
        <v>53</v>
      </c>
      <c r="E45" s="234" t="s">
        <v>204</v>
      </c>
      <c r="F45" s="234" t="s">
        <v>1063</v>
      </c>
      <c r="G45" s="235">
        <f>VLOOKUP(J45,'исх АС БЮДЖЕТ'!$A$10:$H$568,6,0)</f>
        <v>1875420</v>
      </c>
      <c r="H45" s="234">
        <v>7030010020</v>
      </c>
      <c r="I45" s="313" t="str">
        <f t="shared" si="0"/>
        <v>7030010020</v>
      </c>
      <c r="J45" s="30" t="str">
        <f t="shared" si="1"/>
        <v>60001037030010020121</v>
      </c>
    </row>
    <row r="46" spans="1:10" s="3" customFormat="1" ht="38.25">
      <c r="A46" s="232" t="s">
        <v>939</v>
      </c>
      <c r="B46" s="233" t="s">
        <v>48</v>
      </c>
      <c r="C46" s="234" t="s">
        <v>65</v>
      </c>
      <c r="D46" s="234" t="s">
        <v>53</v>
      </c>
      <c r="E46" s="234" t="s">
        <v>204</v>
      </c>
      <c r="F46" s="234" t="s">
        <v>1060</v>
      </c>
      <c r="G46" s="235">
        <f>VLOOKUP(J46,'исх АС БЮДЖЕТ'!$A$10:$H$568,6,0)</f>
        <v>553240</v>
      </c>
      <c r="H46" s="234">
        <v>7030010020</v>
      </c>
      <c r="I46" s="313" t="str">
        <f t="shared" si="0"/>
        <v>7030010020</v>
      </c>
      <c r="J46" s="30" t="str">
        <f t="shared" si="1"/>
        <v>60001037030010020129</v>
      </c>
    </row>
    <row r="47" spans="1:10" s="3" customFormat="1">
      <c r="A47" s="228" t="s">
        <v>38</v>
      </c>
      <c r="B47" s="229" t="s">
        <v>48</v>
      </c>
      <c r="C47" s="230" t="s">
        <v>65</v>
      </c>
      <c r="D47" s="230" t="s">
        <v>84</v>
      </c>
      <c r="E47" s="230" t="s">
        <v>196</v>
      </c>
      <c r="F47" s="230" t="s">
        <v>58</v>
      </c>
      <c r="G47" s="231">
        <f t="shared" ref="G47" si="2">G48</f>
        <v>500000</v>
      </c>
      <c r="H47" s="230">
        <v>0</v>
      </c>
      <c r="I47" s="313" t="str">
        <f t="shared" si="0"/>
        <v>0000000000</v>
      </c>
      <c r="J47" s="30" t="str">
        <f t="shared" si="1"/>
        <v>60001130000000000000</v>
      </c>
    </row>
    <row r="48" spans="1:10" s="3" customFormat="1">
      <c r="A48" s="232" t="s">
        <v>124</v>
      </c>
      <c r="B48" s="233" t="s">
        <v>48</v>
      </c>
      <c r="C48" s="234" t="s">
        <v>65</v>
      </c>
      <c r="D48" s="234" t="s">
        <v>84</v>
      </c>
      <c r="E48" s="234" t="s">
        <v>197</v>
      </c>
      <c r="F48" s="234" t="s">
        <v>58</v>
      </c>
      <c r="G48" s="235">
        <f>G49</f>
        <v>500000</v>
      </c>
      <c r="H48" s="234">
        <v>7000000000</v>
      </c>
      <c r="I48" s="313" t="str">
        <f t="shared" si="0"/>
        <v>7000000000</v>
      </c>
      <c r="J48" s="30" t="str">
        <f t="shared" si="1"/>
        <v>60001137000000000000</v>
      </c>
    </row>
    <row r="49" spans="1:10" s="3" customFormat="1">
      <c r="A49" s="232" t="s">
        <v>175</v>
      </c>
      <c r="B49" s="233" t="s">
        <v>48</v>
      </c>
      <c r="C49" s="234" t="s">
        <v>65</v>
      </c>
      <c r="D49" s="234" t="s">
        <v>84</v>
      </c>
      <c r="E49" s="234" t="s">
        <v>205</v>
      </c>
      <c r="F49" s="234" t="s">
        <v>58</v>
      </c>
      <c r="G49" s="235">
        <f>G50</f>
        <v>500000</v>
      </c>
      <c r="H49" s="234">
        <v>7040000000</v>
      </c>
      <c r="I49" s="313" t="str">
        <f t="shared" si="0"/>
        <v>7040000000</v>
      </c>
      <c r="J49" s="30" t="str">
        <f t="shared" si="1"/>
        <v>60001137040000000000</v>
      </c>
    </row>
    <row r="50" spans="1:10" s="3" customFormat="1" ht="51">
      <c r="A50" s="237" t="s">
        <v>846</v>
      </c>
      <c r="B50" s="233" t="s">
        <v>48</v>
      </c>
      <c r="C50" s="234" t="s">
        <v>65</v>
      </c>
      <c r="D50" s="234" t="s">
        <v>84</v>
      </c>
      <c r="E50" s="234" t="s">
        <v>832</v>
      </c>
      <c r="F50" s="234" t="s">
        <v>58</v>
      </c>
      <c r="G50" s="235">
        <f t="shared" ref="G50" si="3">G51</f>
        <v>500000</v>
      </c>
      <c r="H50" s="234">
        <v>7040020090</v>
      </c>
      <c r="I50" s="313" t="str">
        <f t="shared" si="0"/>
        <v>7040020090</v>
      </c>
      <c r="J50" s="30" t="str">
        <f t="shared" si="1"/>
        <v>60001137040020090000</v>
      </c>
    </row>
    <row r="51" spans="1:10" s="3" customFormat="1" ht="25.5">
      <c r="A51" s="232" t="s">
        <v>108</v>
      </c>
      <c r="B51" s="233" t="s">
        <v>48</v>
      </c>
      <c r="C51" s="234" t="s">
        <v>65</v>
      </c>
      <c r="D51" s="234" t="s">
        <v>84</v>
      </c>
      <c r="E51" s="234" t="s">
        <v>832</v>
      </c>
      <c r="F51" s="234" t="s">
        <v>116</v>
      </c>
      <c r="G51" s="235">
        <f>G52</f>
        <v>500000</v>
      </c>
      <c r="H51" s="234">
        <v>7040020090</v>
      </c>
      <c r="I51" s="313" t="str">
        <f t="shared" si="0"/>
        <v>7040020090</v>
      </c>
      <c r="J51" s="30" t="str">
        <f t="shared" si="1"/>
        <v>60001137040020090240</v>
      </c>
    </row>
    <row r="52" spans="1:10" s="4" customFormat="1" ht="25.5">
      <c r="A52" s="236" t="s">
        <v>973</v>
      </c>
      <c r="B52" s="233" t="s">
        <v>48</v>
      </c>
      <c r="C52" s="234" t="s">
        <v>65</v>
      </c>
      <c r="D52" s="234" t="s">
        <v>84</v>
      </c>
      <c r="E52" s="234" t="s">
        <v>832</v>
      </c>
      <c r="F52" s="234" t="s">
        <v>1043</v>
      </c>
      <c r="G52" s="235">
        <f>VLOOKUP(J52,'исх АС БЮДЖЕТ'!$A$10:$H$568,6,0)</f>
        <v>500000</v>
      </c>
      <c r="H52" s="234">
        <v>7040020090</v>
      </c>
      <c r="I52" s="313" t="str">
        <f t="shared" si="0"/>
        <v>7040020090</v>
      </c>
      <c r="J52" s="30" t="str">
        <f t="shared" si="1"/>
        <v>60001137040020090244</v>
      </c>
    </row>
    <row r="53" spans="1:10" s="3" customFormat="1">
      <c r="A53" s="224" t="s">
        <v>77</v>
      </c>
      <c r="B53" s="225" t="s">
        <v>48</v>
      </c>
      <c r="C53" s="226" t="s">
        <v>40</v>
      </c>
      <c r="D53" s="226" t="s">
        <v>51</v>
      </c>
      <c r="E53" s="226" t="s">
        <v>196</v>
      </c>
      <c r="F53" s="226" t="s">
        <v>58</v>
      </c>
      <c r="G53" s="227">
        <f>G60+G54</f>
        <v>7090500</v>
      </c>
      <c r="H53" s="226">
        <v>0</v>
      </c>
      <c r="I53" s="313" t="str">
        <f t="shared" si="0"/>
        <v>0000000000</v>
      </c>
      <c r="J53" s="30" t="str">
        <f t="shared" si="1"/>
        <v>60012000000000000000</v>
      </c>
    </row>
    <row r="54" spans="1:10" s="3" customFormat="1">
      <c r="A54" s="228" t="s">
        <v>906</v>
      </c>
      <c r="B54" s="229" t="s">
        <v>48</v>
      </c>
      <c r="C54" s="230" t="s">
        <v>40</v>
      </c>
      <c r="D54" s="230" t="s">
        <v>65</v>
      </c>
      <c r="E54" s="230" t="s">
        <v>196</v>
      </c>
      <c r="F54" s="230" t="s">
        <v>58</v>
      </c>
      <c r="G54" s="231">
        <f>G55</f>
        <v>5900500</v>
      </c>
      <c r="H54" s="230">
        <v>0</v>
      </c>
      <c r="I54" s="313" t="str">
        <f t="shared" si="0"/>
        <v>0000000000</v>
      </c>
      <c r="J54" s="30" t="str">
        <f t="shared" si="1"/>
        <v>60012010000000000000</v>
      </c>
    </row>
    <row r="55" spans="1:10" s="3" customFormat="1">
      <c r="A55" s="232" t="s">
        <v>124</v>
      </c>
      <c r="B55" s="233" t="s">
        <v>48</v>
      </c>
      <c r="C55" s="234" t="s">
        <v>40</v>
      </c>
      <c r="D55" s="234" t="s">
        <v>65</v>
      </c>
      <c r="E55" s="234" t="s">
        <v>197</v>
      </c>
      <c r="F55" s="234" t="s">
        <v>58</v>
      </c>
      <c r="G55" s="235">
        <f>G56</f>
        <v>5900500</v>
      </c>
      <c r="H55" s="234">
        <v>7000000000</v>
      </c>
      <c r="I55" s="313" t="str">
        <f t="shared" si="0"/>
        <v>7000000000</v>
      </c>
      <c r="J55" s="30" t="str">
        <f t="shared" si="1"/>
        <v>60012017000000000000</v>
      </c>
    </row>
    <row r="56" spans="1:10" s="3" customFormat="1">
      <c r="A56" s="232" t="s">
        <v>175</v>
      </c>
      <c r="B56" s="233" t="s">
        <v>48</v>
      </c>
      <c r="C56" s="234" t="s">
        <v>40</v>
      </c>
      <c r="D56" s="234" t="s">
        <v>65</v>
      </c>
      <c r="E56" s="234" t="s">
        <v>205</v>
      </c>
      <c r="F56" s="234" t="s">
        <v>58</v>
      </c>
      <c r="G56" s="235">
        <f t="shared" ref="G56:G57" si="4">G57</f>
        <v>5900500</v>
      </c>
      <c r="H56" s="234">
        <v>7040000000</v>
      </c>
      <c r="I56" s="313" t="str">
        <f t="shared" si="0"/>
        <v>7040000000</v>
      </c>
      <c r="J56" s="30" t="str">
        <f t="shared" si="1"/>
        <v>60012017040000000000</v>
      </c>
    </row>
    <row r="57" spans="1:10" s="3" customFormat="1">
      <c r="A57" s="232" t="s">
        <v>120</v>
      </c>
      <c r="B57" s="233" t="s">
        <v>48</v>
      </c>
      <c r="C57" s="234" t="s">
        <v>40</v>
      </c>
      <c r="D57" s="234" t="s">
        <v>65</v>
      </c>
      <c r="E57" s="234" t="s">
        <v>928</v>
      </c>
      <c r="F57" s="234" t="s">
        <v>58</v>
      </c>
      <c r="G57" s="235">
        <f t="shared" si="4"/>
        <v>5900500</v>
      </c>
      <c r="H57" s="234">
        <v>7040098710</v>
      </c>
      <c r="I57" s="313" t="str">
        <f t="shared" si="0"/>
        <v>7040098710</v>
      </c>
      <c r="J57" s="30" t="str">
        <f t="shared" si="1"/>
        <v>60012017040098710000</v>
      </c>
    </row>
    <row r="58" spans="1:10" s="3" customFormat="1" ht="25.5">
      <c r="A58" s="232" t="s">
        <v>108</v>
      </c>
      <c r="B58" s="233" t="s">
        <v>48</v>
      </c>
      <c r="C58" s="234" t="s">
        <v>40</v>
      </c>
      <c r="D58" s="234" t="s">
        <v>65</v>
      </c>
      <c r="E58" s="234" t="s">
        <v>928</v>
      </c>
      <c r="F58" s="234" t="s">
        <v>116</v>
      </c>
      <c r="G58" s="235">
        <f>G59</f>
        <v>5900500</v>
      </c>
      <c r="H58" s="234">
        <v>7040098710</v>
      </c>
      <c r="I58" s="313" t="str">
        <f t="shared" si="0"/>
        <v>7040098710</v>
      </c>
      <c r="J58" s="30" t="str">
        <f t="shared" si="1"/>
        <v>60012017040098710240</v>
      </c>
    </row>
    <row r="59" spans="1:10" s="4" customFormat="1" ht="25.5">
      <c r="A59" s="236" t="s">
        <v>973</v>
      </c>
      <c r="B59" s="233" t="s">
        <v>48</v>
      </c>
      <c r="C59" s="234" t="s">
        <v>40</v>
      </c>
      <c r="D59" s="234" t="s">
        <v>65</v>
      </c>
      <c r="E59" s="234" t="s">
        <v>928</v>
      </c>
      <c r="F59" s="234" t="s">
        <v>1043</v>
      </c>
      <c r="G59" s="235">
        <f>VLOOKUP(J59,'исх АС БЮДЖЕТ'!$A$10:$H$568,6,0)</f>
        <v>5900500</v>
      </c>
      <c r="H59" s="234">
        <v>7040098710</v>
      </c>
      <c r="I59" s="313" t="str">
        <f t="shared" si="0"/>
        <v>7040098710</v>
      </c>
      <c r="J59" s="30" t="str">
        <f t="shared" si="1"/>
        <v>60012017040098710244</v>
      </c>
    </row>
    <row r="60" spans="1:10" s="3" customFormat="1">
      <c r="A60" s="228" t="s">
        <v>52</v>
      </c>
      <c r="B60" s="229" t="s">
        <v>48</v>
      </c>
      <c r="C60" s="230" t="s">
        <v>40</v>
      </c>
      <c r="D60" s="230" t="s">
        <v>66</v>
      </c>
      <c r="E60" s="230" t="s">
        <v>196</v>
      </c>
      <c r="F60" s="230" t="s">
        <v>58</v>
      </c>
      <c r="G60" s="231">
        <f t="shared" ref="G60" si="5">G61</f>
        <v>1190000</v>
      </c>
      <c r="H60" s="230">
        <v>0</v>
      </c>
      <c r="I60" s="313" t="str">
        <f t="shared" si="0"/>
        <v>0000000000</v>
      </c>
      <c r="J60" s="30" t="str">
        <f t="shared" si="1"/>
        <v>60012020000000000000</v>
      </c>
    </row>
    <row r="61" spans="1:10" s="3" customFormat="1">
      <c r="A61" s="232" t="s">
        <v>124</v>
      </c>
      <c r="B61" s="233" t="s">
        <v>48</v>
      </c>
      <c r="C61" s="234" t="s">
        <v>40</v>
      </c>
      <c r="D61" s="234" t="s">
        <v>66</v>
      </c>
      <c r="E61" s="234" t="s">
        <v>197</v>
      </c>
      <c r="F61" s="234" t="s">
        <v>58</v>
      </c>
      <c r="G61" s="235">
        <f>G62</f>
        <v>1190000</v>
      </c>
      <c r="H61" s="234">
        <v>7000000000</v>
      </c>
      <c r="I61" s="313" t="str">
        <f t="shared" si="0"/>
        <v>7000000000</v>
      </c>
      <c r="J61" s="30" t="str">
        <f t="shared" si="1"/>
        <v>60012027000000000000</v>
      </c>
    </row>
    <row r="62" spans="1:10" s="3" customFormat="1">
      <c r="A62" s="232" t="s">
        <v>175</v>
      </c>
      <c r="B62" s="233" t="s">
        <v>48</v>
      </c>
      <c r="C62" s="234" t="s">
        <v>40</v>
      </c>
      <c r="D62" s="234" t="s">
        <v>66</v>
      </c>
      <c r="E62" s="234" t="s">
        <v>205</v>
      </c>
      <c r="F62" s="234" t="s">
        <v>58</v>
      </c>
      <c r="G62" s="235">
        <f>G63</f>
        <v>1190000</v>
      </c>
      <c r="H62" s="234">
        <v>7040000000</v>
      </c>
      <c r="I62" s="313" t="str">
        <f t="shared" si="0"/>
        <v>7040000000</v>
      </c>
      <c r="J62" s="30" t="str">
        <f t="shared" si="1"/>
        <v>60012027040000000000</v>
      </c>
    </row>
    <row r="63" spans="1:10" s="3" customFormat="1">
      <c r="A63" s="232" t="s">
        <v>120</v>
      </c>
      <c r="B63" s="233" t="s">
        <v>48</v>
      </c>
      <c r="C63" s="234" t="s">
        <v>40</v>
      </c>
      <c r="D63" s="234" t="s">
        <v>66</v>
      </c>
      <c r="E63" s="234" t="s">
        <v>928</v>
      </c>
      <c r="F63" s="234" t="s">
        <v>58</v>
      </c>
      <c r="G63" s="235">
        <f>G64</f>
        <v>1190000</v>
      </c>
      <c r="H63" s="234">
        <v>7040098710</v>
      </c>
      <c r="I63" s="313" t="str">
        <f t="shared" si="0"/>
        <v>7040098710</v>
      </c>
      <c r="J63" s="30" t="str">
        <f t="shared" si="1"/>
        <v>60012027040098710000</v>
      </c>
    </row>
    <row r="64" spans="1:10" s="3" customFormat="1" ht="25.5">
      <c r="A64" s="232" t="s">
        <v>108</v>
      </c>
      <c r="B64" s="233" t="s">
        <v>48</v>
      </c>
      <c r="C64" s="234" t="s">
        <v>40</v>
      </c>
      <c r="D64" s="234" t="s">
        <v>66</v>
      </c>
      <c r="E64" s="234" t="s">
        <v>928</v>
      </c>
      <c r="F64" s="234" t="s">
        <v>116</v>
      </c>
      <c r="G64" s="235">
        <f>G65</f>
        <v>1190000</v>
      </c>
      <c r="H64" s="234">
        <v>7040098710</v>
      </c>
      <c r="I64" s="313" t="str">
        <f t="shared" si="0"/>
        <v>7040098710</v>
      </c>
      <c r="J64" s="30" t="str">
        <f t="shared" si="1"/>
        <v>60012027040098710240</v>
      </c>
    </row>
    <row r="65" spans="1:10" s="4" customFormat="1" ht="25.5">
      <c r="A65" s="236" t="s">
        <v>973</v>
      </c>
      <c r="B65" s="233" t="s">
        <v>48</v>
      </c>
      <c r="C65" s="234" t="s">
        <v>40</v>
      </c>
      <c r="D65" s="234" t="s">
        <v>66</v>
      </c>
      <c r="E65" s="234" t="s">
        <v>928</v>
      </c>
      <c r="F65" s="234" t="s">
        <v>1043</v>
      </c>
      <c r="G65" s="235">
        <f>VLOOKUP(J65,'исх АС БЮДЖЕТ'!$A$10:$H$568,6,0)</f>
        <v>1190000</v>
      </c>
      <c r="H65" s="234">
        <v>7040098710</v>
      </c>
      <c r="I65" s="313" t="str">
        <f t="shared" si="0"/>
        <v>7040098710</v>
      </c>
      <c r="J65" s="30" t="str">
        <f t="shared" si="1"/>
        <v>60012027040098710244</v>
      </c>
    </row>
    <row r="66" spans="1:10" s="71" customFormat="1">
      <c r="A66" s="238"/>
      <c r="B66" s="239"/>
      <c r="C66" s="240"/>
      <c r="D66" s="240"/>
      <c r="E66" s="240"/>
      <c r="F66" s="240"/>
      <c r="G66" s="235"/>
      <c r="H66" s="240"/>
      <c r="I66" s="313" t="str">
        <f t="shared" si="0"/>
        <v>0000000000</v>
      </c>
      <c r="J66" s="30" t="str">
        <f t="shared" si="1"/>
        <v>0000000000</v>
      </c>
    </row>
    <row r="67" spans="1:10" s="3" customFormat="1">
      <c r="A67" s="219" t="s">
        <v>54</v>
      </c>
      <c r="B67" s="220" t="s">
        <v>55</v>
      </c>
      <c r="C67" s="221" t="s">
        <v>51</v>
      </c>
      <c r="D67" s="221" t="s">
        <v>51</v>
      </c>
      <c r="E67" s="221" t="s">
        <v>196</v>
      </c>
      <c r="F67" s="221" t="s">
        <v>58</v>
      </c>
      <c r="G67" s="222">
        <f>G68+G222+G249+G257+G265</f>
        <v>282350851.72000003</v>
      </c>
      <c r="H67" s="221">
        <v>0</v>
      </c>
      <c r="I67" s="313" t="str">
        <f t="shared" si="0"/>
        <v>0000000000</v>
      </c>
      <c r="J67" s="30" t="str">
        <f t="shared" si="1"/>
        <v>60100000000000000000</v>
      </c>
    </row>
    <row r="68" spans="1:10" s="3" customFormat="1">
      <c r="A68" s="224" t="s">
        <v>64</v>
      </c>
      <c r="B68" s="225" t="s">
        <v>55</v>
      </c>
      <c r="C68" s="226" t="s">
        <v>65</v>
      </c>
      <c r="D68" s="226" t="s">
        <v>51</v>
      </c>
      <c r="E68" s="226" t="s">
        <v>196</v>
      </c>
      <c r="F68" s="226" t="s">
        <v>58</v>
      </c>
      <c r="G68" s="227">
        <f>G80+G108+G114+G69</f>
        <v>252235351.72</v>
      </c>
      <c r="H68" s="226">
        <v>0</v>
      </c>
      <c r="I68" s="313" t="str">
        <f t="shared" si="0"/>
        <v>0000000000</v>
      </c>
      <c r="J68" s="30" t="str">
        <f t="shared" si="1"/>
        <v>60101000000000000000</v>
      </c>
    </row>
    <row r="69" spans="1:10" s="3" customFormat="1" ht="25.5">
      <c r="A69" s="228" t="s">
        <v>33</v>
      </c>
      <c r="B69" s="229" t="s">
        <v>55</v>
      </c>
      <c r="C69" s="230" t="s">
        <v>65</v>
      </c>
      <c r="D69" s="230" t="s">
        <v>66</v>
      </c>
      <c r="E69" s="230" t="s">
        <v>196</v>
      </c>
      <c r="F69" s="230" t="s">
        <v>58</v>
      </c>
      <c r="G69" s="231">
        <f>G70</f>
        <v>1593550</v>
      </c>
      <c r="H69" s="230">
        <v>0</v>
      </c>
      <c r="I69" s="313" t="str">
        <f t="shared" si="0"/>
        <v>0000000000</v>
      </c>
      <c r="J69" s="30" t="str">
        <f t="shared" si="1"/>
        <v>60101020000000000000</v>
      </c>
    </row>
    <row r="70" spans="1:10" s="3" customFormat="1">
      <c r="A70" s="232" t="s">
        <v>112</v>
      </c>
      <c r="B70" s="233" t="s">
        <v>55</v>
      </c>
      <c r="C70" s="234" t="s">
        <v>65</v>
      </c>
      <c r="D70" s="234" t="s">
        <v>66</v>
      </c>
      <c r="E70" s="234" t="s">
        <v>206</v>
      </c>
      <c r="F70" s="234" t="s">
        <v>58</v>
      </c>
      <c r="G70" s="235">
        <f>G71</f>
        <v>1593550</v>
      </c>
      <c r="H70" s="234">
        <v>7100000000</v>
      </c>
      <c r="I70" s="313" t="str">
        <f t="shared" si="0"/>
        <v>7100000000</v>
      </c>
      <c r="J70" s="30" t="str">
        <f t="shared" si="1"/>
        <v>60101027100000000000</v>
      </c>
    </row>
    <row r="71" spans="1:10" s="3" customFormat="1">
      <c r="A71" s="232" t="s">
        <v>34</v>
      </c>
      <c r="B71" s="233" t="s">
        <v>55</v>
      </c>
      <c r="C71" s="234" t="s">
        <v>65</v>
      </c>
      <c r="D71" s="234" t="s">
        <v>66</v>
      </c>
      <c r="E71" s="234" t="s">
        <v>213</v>
      </c>
      <c r="F71" s="234" t="s">
        <v>58</v>
      </c>
      <c r="G71" s="235">
        <f>G72+G76</f>
        <v>1593550</v>
      </c>
      <c r="H71" s="234">
        <v>7120000000</v>
      </c>
      <c r="I71" s="313" t="str">
        <f t="shared" si="0"/>
        <v>7120000000</v>
      </c>
      <c r="J71" s="30" t="str">
        <f t="shared" si="1"/>
        <v>60101027120000000000</v>
      </c>
    </row>
    <row r="72" spans="1:10" s="3" customFormat="1" ht="25.5">
      <c r="A72" s="232" t="s">
        <v>114</v>
      </c>
      <c r="B72" s="233" t="s">
        <v>55</v>
      </c>
      <c r="C72" s="234" t="s">
        <v>65</v>
      </c>
      <c r="D72" s="234" t="s">
        <v>66</v>
      </c>
      <c r="E72" s="234" t="s">
        <v>585</v>
      </c>
      <c r="F72" s="234" t="s">
        <v>58</v>
      </c>
      <c r="G72" s="235">
        <f>G73</f>
        <v>41550</v>
      </c>
      <c r="H72" s="234">
        <v>7120010010</v>
      </c>
      <c r="I72" s="313" t="str">
        <f t="shared" si="0"/>
        <v>7120010010</v>
      </c>
      <c r="J72" s="30" t="str">
        <f t="shared" si="1"/>
        <v>60101027120010010000</v>
      </c>
    </row>
    <row r="73" spans="1:10" s="3" customFormat="1">
      <c r="A73" s="232" t="s">
        <v>107</v>
      </c>
      <c r="B73" s="233" t="s">
        <v>55</v>
      </c>
      <c r="C73" s="234" t="s">
        <v>65</v>
      </c>
      <c r="D73" s="234" t="s">
        <v>66</v>
      </c>
      <c r="E73" s="234" t="s">
        <v>585</v>
      </c>
      <c r="F73" s="234" t="s">
        <v>115</v>
      </c>
      <c r="G73" s="235">
        <f>SUM(G74:G75)</f>
        <v>41550</v>
      </c>
      <c r="H73" s="234">
        <v>7120010010</v>
      </c>
      <c r="I73" s="313" t="str">
        <f t="shared" si="0"/>
        <v>7120010010</v>
      </c>
      <c r="J73" s="30" t="str">
        <f t="shared" si="1"/>
        <v>60101027120010010120</v>
      </c>
    </row>
    <row r="74" spans="1:10" s="3" customFormat="1" ht="25.5">
      <c r="A74" s="232" t="s">
        <v>937</v>
      </c>
      <c r="B74" s="233" t="s">
        <v>55</v>
      </c>
      <c r="C74" s="234" t="s">
        <v>65</v>
      </c>
      <c r="D74" s="234" t="s">
        <v>66</v>
      </c>
      <c r="E74" s="234" t="s">
        <v>585</v>
      </c>
      <c r="F74" s="234" t="s">
        <v>1059</v>
      </c>
      <c r="G74" s="235">
        <f>VLOOKUP(J74,'исх АС БЮДЖЕТ'!$A$10:$H$568,6,0)</f>
        <v>31912.5</v>
      </c>
      <c r="H74" s="234">
        <v>7120010010</v>
      </c>
      <c r="I74" s="313" t="str">
        <f t="shared" si="0"/>
        <v>7120010010</v>
      </c>
      <c r="J74" s="30" t="str">
        <f t="shared" si="1"/>
        <v>60101027120010010122</v>
      </c>
    </row>
    <row r="75" spans="1:10" s="3" customFormat="1" ht="38.25">
      <c r="A75" s="232" t="s">
        <v>939</v>
      </c>
      <c r="B75" s="233" t="s">
        <v>55</v>
      </c>
      <c r="C75" s="234" t="s">
        <v>65</v>
      </c>
      <c r="D75" s="234" t="s">
        <v>66</v>
      </c>
      <c r="E75" s="234" t="s">
        <v>585</v>
      </c>
      <c r="F75" s="234" t="s">
        <v>1060</v>
      </c>
      <c r="G75" s="235">
        <f>VLOOKUP(J75,'исх АС БЮДЖЕТ'!$A$10:$H$568,6,0)</f>
        <v>9637.5</v>
      </c>
      <c r="H75" s="234">
        <v>7120010010</v>
      </c>
      <c r="I75" s="313" t="str">
        <f t="shared" ref="I75:I139" si="6">TEXT(H75,"0000000000")</f>
        <v>7120010010</v>
      </c>
      <c r="J75" s="30" t="str">
        <f t="shared" ref="J75:J139" si="7">CONCATENATE(B75,C75,D75,I75,F75)</f>
        <v>60101027120010010129</v>
      </c>
    </row>
    <row r="76" spans="1:10" s="3" customFormat="1" ht="25.5">
      <c r="A76" s="232" t="s">
        <v>126</v>
      </c>
      <c r="B76" s="233" t="s">
        <v>55</v>
      </c>
      <c r="C76" s="234" t="s">
        <v>65</v>
      </c>
      <c r="D76" s="234" t="s">
        <v>66</v>
      </c>
      <c r="E76" s="234" t="s">
        <v>214</v>
      </c>
      <c r="F76" s="234" t="s">
        <v>58</v>
      </c>
      <c r="G76" s="235">
        <f>G77</f>
        <v>1552000</v>
      </c>
      <c r="H76" s="234">
        <v>7120010020</v>
      </c>
      <c r="I76" s="313" t="str">
        <f t="shared" si="6"/>
        <v>7120010020</v>
      </c>
      <c r="J76" s="30" t="str">
        <f t="shared" si="7"/>
        <v>60101027120010020000</v>
      </c>
    </row>
    <row r="77" spans="1:10" s="3" customFormat="1">
      <c r="A77" s="236" t="s">
        <v>107</v>
      </c>
      <c r="B77" s="233" t="s">
        <v>55</v>
      </c>
      <c r="C77" s="234" t="s">
        <v>65</v>
      </c>
      <c r="D77" s="234" t="s">
        <v>66</v>
      </c>
      <c r="E77" s="234" t="s">
        <v>214</v>
      </c>
      <c r="F77" s="234" t="s">
        <v>115</v>
      </c>
      <c r="G77" s="235">
        <f>SUM(G78:G79)</f>
        <v>1552000</v>
      </c>
      <c r="H77" s="234">
        <v>7120010020</v>
      </c>
      <c r="I77" s="313" t="str">
        <f t="shared" si="6"/>
        <v>7120010020</v>
      </c>
      <c r="J77" s="30" t="str">
        <f t="shared" si="7"/>
        <v>60101027120010020120</v>
      </c>
    </row>
    <row r="78" spans="1:10" s="4" customFormat="1">
      <c r="A78" s="236" t="s">
        <v>936</v>
      </c>
      <c r="B78" s="233" t="s">
        <v>55</v>
      </c>
      <c r="C78" s="234" t="s">
        <v>65</v>
      </c>
      <c r="D78" s="234" t="s">
        <v>66</v>
      </c>
      <c r="E78" s="234" t="s">
        <v>214</v>
      </c>
      <c r="F78" s="234" t="s">
        <v>1063</v>
      </c>
      <c r="G78" s="235">
        <f>VLOOKUP(J78,'исх АС БЮДЖЕТ'!$A$10:$H$568,6,0)</f>
        <v>1192000</v>
      </c>
      <c r="H78" s="234">
        <v>7120010020</v>
      </c>
      <c r="I78" s="313" t="str">
        <f t="shared" si="6"/>
        <v>7120010020</v>
      </c>
      <c r="J78" s="30" t="str">
        <f t="shared" si="7"/>
        <v>60101027120010020121</v>
      </c>
    </row>
    <row r="79" spans="1:10" s="4" customFormat="1" ht="38.25">
      <c r="A79" s="236" t="s">
        <v>939</v>
      </c>
      <c r="B79" s="233" t="s">
        <v>55</v>
      </c>
      <c r="C79" s="234" t="s">
        <v>65</v>
      </c>
      <c r="D79" s="234" t="s">
        <v>66</v>
      </c>
      <c r="E79" s="234" t="s">
        <v>214</v>
      </c>
      <c r="F79" s="234" t="s">
        <v>1060</v>
      </c>
      <c r="G79" s="235">
        <f>VLOOKUP(J79,'исх АС БЮДЖЕТ'!$A$10:$H$568,6,0)</f>
        <v>360000</v>
      </c>
      <c r="H79" s="234">
        <v>7120010020</v>
      </c>
      <c r="I79" s="313" t="str">
        <f t="shared" si="6"/>
        <v>7120010020</v>
      </c>
      <c r="J79" s="30" t="str">
        <f t="shared" si="7"/>
        <v>60101027120010020129</v>
      </c>
    </row>
    <row r="80" spans="1:10" s="3" customFormat="1" ht="38.25">
      <c r="A80" s="228" t="s">
        <v>31</v>
      </c>
      <c r="B80" s="229" t="s">
        <v>55</v>
      </c>
      <c r="C80" s="230" t="s">
        <v>65</v>
      </c>
      <c r="D80" s="230" t="s">
        <v>37</v>
      </c>
      <c r="E80" s="230" t="s">
        <v>196</v>
      </c>
      <c r="F80" s="230" t="s">
        <v>58</v>
      </c>
      <c r="G80" s="231">
        <f>G81</f>
        <v>108396395.75</v>
      </c>
      <c r="H80" s="230">
        <v>0</v>
      </c>
      <c r="I80" s="313" t="str">
        <f t="shared" si="6"/>
        <v>0000000000</v>
      </c>
      <c r="J80" s="30" t="str">
        <f t="shared" si="7"/>
        <v>60101040000000000000</v>
      </c>
    </row>
    <row r="81" spans="1:10" s="3" customFormat="1">
      <c r="A81" s="237" t="s">
        <v>112</v>
      </c>
      <c r="B81" s="233" t="s">
        <v>55</v>
      </c>
      <c r="C81" s="234" t="s">
        <v>65</v>
      </c>
      <c r="D81" s="234" t="s">
        <v>37</v>
      </c>
      <c r="E81" s="234" t="s">
        <v>206</v>
      </c>
      <c r="F81" s="234" t="s">
        <v>58</v>
      </c>
      <c r="G81" s="235">
        <f>G82</f>
        <v>108396395.75</v>
      </c>
      <c r="H81" s="234">
        <v>7100000000</v>
      </c>
      <c r="I81" s="313" t="str">
        <f t="shared" si="6"/>
        <v>7100000000</v>
      </c>
      <c r="J81" s="30" t="str">
        <f t="shared" si="7"/>
        <v>60101047100000000000</v>
      </c>
    </row>
    <row r="82" spans="1:10" s="3" customFormat="1" ht="25.5">
      <c r="A82" s="237" t="s">
        <v>113</v>
      </c>
      <c r="B82" s="233" t="s">
        <v>55</v>
      </c>
      <c r="C82" s="234" t="s">
        <v>65</v>
      </c>
      <c r="D82" s="234" t="s">
        <v>37</v>
      </c>
      <c r="E82" s="234" t="s">
        <v>207</v>
      </c>
      <c r="F82" s="234" t="s">
        <v>58</v>
      </c>
      <c r="G82" s="235">
        <f>G83+G92+G96+G99+G105</f>
        <v>108396395.75</v>
      </c>
      <c r="H82" s="234">
        <v>7110000000</v>
      </c>
      <c r="I82" s="313" t="str">
        <f t="shared" si="6"/>
        <v>7110000000</v>
      </c>
      <c r="J82" s="30" t="str">
        <f t="shared" si="7"/>
        <v>60101047110000000000</v>
      </c>
    </row>
    <row r="83" spans="1:10" s="3" customFormat="1" ht="25.5">
      <c r="A83" s="237" t="s">
        <v>114</v>
      </c>
      <c r="B83" s="241" t="s">
        <v>55</v>
      </c>
      <c r="C83" s="242" t="s">
        <v>65</v>
      </c>
      <c r="D83" s="242" t="s">
        <v>37</v>
      </c>
      <c r="E83" s="242" t="s">
        <v>208</v>
      </c>
      <c r="F83" s="242" t="s">
        <v>58</v>
      </c>
      <c r="G83" s="243">
        <f>G84+G87+G89</f>
        <v>12337271.030000001</v>
      </c>
      <c r="H83" s="242">
        <v>7110010010</v>
      </c>
      <c r="I83" s="313" t="str">
        <f t="shared" si="6"/>
        <v>7110010010</v>
      </c>
      <c r="J83" s="30" t="str">
        <f t="shared" si="7"/>
        <v>60101047110010010000</v>
      </c>
    </row>
    <row r="84" spans="1:10" s="3" customFormat="1">
      <c r="A84" s="236" t="s">
        <v>107</v>
      </c>
      <c r="B84" s="241" t="s">
        <v>55</v>
      </c>
      <c r="C84" s="242" t="s">
        <v>65</v>
      </c>
      <c r="D84" s="242" t="s">
        <v>37</v>
      </c>
      <c r="E84" s="242" t="s">
        <v>208</v>
      </c>
      <c r="F84" s="234" t="s">
        <v>115</v>
      </c>
      <c r="G84" s="235">
        <f>SUM(G85:G86)</f>
        <v>4464751.03</v>
      </c>
      <c r="H84" s="242">
        <v>7110010010</v>
      </c>
      <c r="I84" s="313" t="str">
        <f t="shared" si="6"/>
        <v>7110010010</v>
      </c>
      <c r="J84" s="30" t="str">
        <f t="shared" si="7"/>
        <v>60101047110010010120</v>
      </c>
    </row>
    <row r="85" spans="1:10" s="3" customFormat="1" ht="25.5">
      <c r="A85" s="232" t="s">
        <v>937</v>
      </c>
      <c r="B85" s="233" t="s">
        <v>55</v>
      </c>
      <c r="C85" s="234" t="s">
        <v>65</v>
      </c>
      <c r="D85" s="234" t="s">
        <v>37</v>
      </c>
      <c r="E85" s="234" t="s">
        <v>208</v>
      </c>
      <c r="F85" s="234" t="s">
        <v>1059</v>
      </c>
      <c r="G85" s="235">
        <f>VLOOKUP(J85,'исх АС БЮДЖЕТ'!$A$10:$H$568,6,0)</f>
        <v>3758646</v>
      </c>
      <c r="H85" s="234">
        <v>7110010010</v>
      </c>
      <c r="I85" s="313" t="str">
        <f t="shared" si="6"/>
        <v>7110010010</v>
      </c>
      <c r="J85" s="30" t="str">
        <f t="shared" si="7"/>
        <v>60101047110010010122</v>
      </c>
    </row>
    <row r="86" spans="1:10" s="3" customFormat="1" ht="38.25">
      <c r="A86" s="232" t="s">
        <v>939</v>
      </c>
      <c r="B86" s="233" t="s">
        <v>55</v>
      </c>
      <c r="C86" s="234" t="s">
        <v>65</v>
      </c>
      <c r="D86" s="234" t="s">
        <v>37</v>
      </c>
      <c r="E86" s="234" t="s">
        <v>208</v>
      </c>
      <c r="F86" s="234" t="s">
        <v>1060</v>
      </c>
      <c r="G86" s="235">
        <f>VLOOKUP(J86,'исх АС БЮДЖЕТ'!$A$10:$H$568,6,0)</f>
        <v>706105.03</v>
      </c>
      <c r="H86" s="234">
        <v>7110010010</v>
      </c>
      <c r="I86" s="313" t="str">
        <f t="shared" si="6"/>
        <v>7110010010</v>
      </c>
      <c r="J86" s="30" t="str">
        <f t="shared" si="7"/>
        <v>60101047110010010129</v>
      </c>
    </row>
    <row r="87" spans="1:10" s="3" customFormat="1" ht="25.5">
      <c r="A87" s="232" t="s">
        <v>108</v>
      </c>
      <c r="B87" s="241" t="s">
        <v>55</v>
      </c>
      <c r="C87" s="242" t="s">
        <v>65</v>
      </c>
      <c r="D87" s="242" t="s">
        <v>37</v>
      </c>
      <c r="E87" s="242" t="s">
        <v>208</v>
      </c>
      <c r="F87" s="234" t="s">
        <v>116</v>
      </c>
      <c r="G87" s="235">
        <f>G88</f>
        <v>7848520</v>
      </c>
      <c r="H87" s="242">
        <v>7110010010</v>
      </c>
      <c r="I87" s="313" t="str">
        <f t="shared" si="6"/>
        <v>7110010010</v>
      </c>
      <c r="J87" s="30" t="str">
        <f t="shared" si="7"/>
        <v>60101047110010010240</v>
      </c>
    </row>
    <row r="88" spans="1:10" s="4" customFormat="1" ht="25.5">
      <c r="A88" s="236" t="s">
        <v>973</v>
      </c>
      <c r="B88" s="241" t="s">
        <v>55</v>
      </c>
      <c r="C88" s="242" t="s">
        <v>65</v>
      </c>
      <c r="D88" s="242" t="s">
        <v>37</v>
      </c>
      <c r="E88" s="242" t="s">
        <v>208</v>
      </c>
      <c r="F88" s="234" t="s">
        <v>1043</v>
      </c>
      <c r="G88" s="235">
        <f>VLOOKUP(J88,'исх АС БЮДЖЕТ'!$A$10:$H$568,6,0)</f>
        <v>7848520</v>
      </c>
      <c r="H88" s="242">
        <v>7110010010</v>
      </c>
      <c r="I88" s="313" t="str">
        <f t="shared" si="6"/>
        <v>7110010010</v>
      </c>
      <c r="J88" s="30" t="str">
        <f t="shared" si="7"/>
        <v>60101047110010010244</v>
      </c>
    </row>
    <row r="89" spans="1:10" s="3" customFormat="1">
      <c r="A89" s="232" t="s">
        <v>97</v>
      </c>
      <c r="B89" s="241" t="s">
        <v>55</v>
      </c>
      <c r="C89" s="242" t="s">
        <v>65</v>
      </c>
      <c r="D89" s="242" t="s">
        <v>37</v>
      </c>
      <c r="E89" s="242" t="s">
        <v>208</v>
      </c>
      <c r="F89" s="234" t="s">
        <v>118</v>
      </c>
      <c r="G89" s="235">
        <f>G90+G91</f>
        <v>24000</v>
      </c>
      <c r="H89" s="242">
        <v>7110010010</v>
      </c>
      <c r="I89" s="313" t="str">
        <f t="shared" si="6"/>
        <v>7110010010</v>
      </c>
      <c r="J89" s="30" t="str">
        <f t="shared" si="7"/>
        <v>60101047110010010850</v>
      </c>
    </row>
    <row r="90" spans="1:10" s="4" customFormat="1">
      <c r="A90" s="236" t="s">
        <v>1037</v>
      </c>
      <c r="B90" s="241" t="s">
        <v>55</v>
      </c>
      <c r="C90" s="242" t="s">
        <v>65</v>
      </c>
      <c r="D90" s="242" t="s">
        <v>37</v>
      </c>
      <c r="E90" s="242" t="s">
        <v>208</v>
      </c>
      <c r="F90" s="234" t="s">
        <v>1062</v>
      </c>
      <c r="G90" s="235">
        <f>VLOOKUP(J90,'исх АС БЮДЖЕТ'!$A$10:$H$568,6,0)</f>
        <v>21997</v>
      </c>
      <c r="H90" s="242">
        <v>7110010010</v>
      </c>
      <c r="I90" s="313" t="str">
        <f t="shared" si="6"/>
        <v>7110010010</v>
      </c>
      <c r="J90" s="30" t="str">
        <f t="shared" si="7"/>
        <v>60101047110010010852</v>
      </c>
    </row>
    <row r="91" spans="1:10" s="4" customFormat="1">
      <c r="A91" s="236" t="s">
        <v>1038</v>
      </c>
      <c r="B91" s="241" t="s">
        <v>55</v>
      </c>
      <c r="C91" s="242" t="s">
        <v>65</v>
      </c>
      <c r="D91" s="242" t="s">
        <v>37</v>
      </c>
      <c r="E91" s="242" t="s">
        <v>208</v>
      </c>
      <c r="F91" s="234" t="s">
        <v>1066</v>
      </c>
      <c r="G91" s="235">
        <f>VLOOKUP(J91,'исх АС БЮДЖЕТ'!$A$10:$H$568,6,0)</f>
        <v>2003</v>
      </c>
      <c r="H91" s="242">
        <v>7110010010</v>
      </c>
      <c r="I91" s="313" t="str">
        <f t="shared" si="6"/>
        <v>7110010010</v>
      </c>
      <c r="J91" s="30" t="str">
        <f t="shared" si="7"/>
        <v>60101047110010010853</v>
      </c>
    </row>
    <row r="92" spans="1:10" s="3" customFormat="1" ht="25.5">
      <c r="A92" s="237" t="s">
        <v>126</v>
      </c>
      <c r="B92" s="233" t="s">
        <v>55</v>
      </c>
      <c r="C92" s="234" t="s">
        <v>65</v>
      </c>
      <c r="D92" s="234" t="s">
        <v>37</v>
      </c>
      <c r="E92" s="234" t="s">
        <v>209</v>
      </c>
      <c r="F92" s="242" t="s">
        <v>58</v>
      </c>
      <c r="G92" s="235">
        <f>G93</f>
        <v>94835753.719999999</v>
      </c>
      <c r="H92" s="234">
        <v>7110010020</v>
      </c>
      <c r="I92" s="313" t="str">
        <f t="shared" si="6"/>
        <v>7110010020</v>
      </c>
      <c r="J92" s="30" t="str">
        <f t="shared" si="7"/>
        <v>60101047110010020000</v>
      </c>
    </row>
    <row r="93" spans="1:10" s="3" customFormat="1">
      <c r="A93" s="236" t="s">
        <v>107</v>
      </c>
      <c r="B93" s="233" t="s">
        <v>55</v>
      </c>
      <c r="C93" s="234" t="s">
        <v>65</v>
      </c>
      <c r="D93" s="234" t="s">
        <v>37</v>
      </c>
      <c r="E93" s="234" t="s">
        <v>209</v>
      </c>
      <c r="F93" s="242" t="s">
        <v>115</v>
      </c>
      <c r="G93" s="235">
        <f>SUM(G94:G95)</f>
        <v>94835753.719999999</v>
      </c>
      <c r="H93" s="234">
        <v>7110010020</v>
      </c>
      <c r="I93" s="313" t="str">
        <f t="shared" si="6"/>
        <v>7110010020</v>
      </c>
      <c r="J93" s="30" t="str">
        <f t="shared" si="7"/>
        <v>60101047110010020120</v>
      </c>
    </row>
    <row r="94" spans="1:10" s="4" customFormat="1">
      <c r="A94" s="236" t="s">
        <v>936</v>
      </c>
      <c r="B94" s="233" t="s">
        <v>55</v>
      </c>
      <c r="C94" s="234" t="s">
        <v>65</v>
      </c>
      <c r="D94" s="234" t="s">
        <v>37</v>
      </c>
      <c r="E94" s="234" t="s">
        <v>209</v>
      </c>
      <c r="F94" s="234" t="s">
        <v>1063</v>
      </c>
      <c r="G94" s="235">
        <f>VLOOKUP(J94,'исх АС БЮДЖЕТ'!$A$10:$H$568,6,0)</f>
        <v>72838538</v>
      </c>
      <c r="H94" s="234">
        <v>7110010020</v>
      </c>
      <c r="I94" s="313" t="str">
        <f t="shared" si="6"/>
        <v>7110010020</v>
      </c>
      <c r="J94" s="30" t="str">
        <f t="shared" si="7"/>
        <v>60101047110010020121</v>
      </c>
    </row>
    <row r="95" spans="1:10" s="4" customFormat="1" ht="38.25">
      <c r="A95" s="236" t="s">
        <v>939</v>
      </c>
      <c r="B95" s="233" t="s">
        <v>55</v>
      </c>
      <c r="C95" s="234" t="s">
        <v>65</v>
      </c>
      <c r="D95" s="234" t="s">
        <v>37</v>
      </c>
      <c r="E95" s="234" t="s">
        <v>209</v>
      </c>
      <c r="F95" s="234" t="s">
        <v>1060</v>
      </c>
      <c r="G95" s="235">
        <f>VLOOKUP(J95,'исх АС БЮДЖЕТ'!$A$10:$H$568,6,0)</f>
        <v>21997215.719999999</v>
      </c>
      <c r="H95" s="234">
        <v>7110010020</v>
      </c>
      <c r="I95" s="313" t="str">
        <f t="shared" si="6"/>
        <v>7110010020</v>
      </c>
      <c r="J95" s="30" t="str">
        <f t="shared" si="7"/>
        <v>60101047110010020129</v>
      </c>
    </row>
    <row r="96" spans="1:10" s="3" customFormat="1" ht="38.25">
      <c r="A96" s="237" t="s">
        <v>870</v>
      </c>
      <c r="B96" s="233" t="s">
        <v>55</v>
      </c>
      <c r="C96" s="234" t="s">
        <v>65</v>
      </c>
      <c r="D96" s="234" t="s">
        <v>37</v>
      </c>
      <c r="E96" s="234" t="s">
        <v>210</v>
      </c>
      <c r="F96" s="242" t="s">
        <v>58</v>
      </c>
      <c r="G96" s="235">
        <f>G97</f>
        <v>51730</v>
      </c>
      <c r="H96" s="234">
        <v>7110076360</v>
      </c>
      <c r="I96" s="313" t="str">
        <f t="shared" si="6"/>
        <v>7110076360</v>
      </c>
      <c r="J96" s="30" t="str">
        <f t="shared" si="7"/>
        <v>60101047110076360000</v>
      </c>
    </row>
    <row r="97" spans="1:10" s="3" customFormat="1" ht="25.5">
      <c r="A97" s="232" t="s">
        <v>108</v>
      </c>
      <c r="B97" s="233" t="s">
        <v>55</v>
      </c>
      <c r="C97" s="234" t="s">
        <v>65</v>
      </c>
      <c r="D97" s="234" t="s">
        <v>37</v>
      </c>
      <c r="E97" s="234" t="s">
        <v>210</v>
      </c>
      <c r="F97" s="234" t="s">
        <v>116</v>
      </c>
      <c r="G97" s="235">
        <f>G98</f>
        <v>51730</v>
      </c>
      <c r="H97" s="234">
        <v>7110076360</v>
      </c>
      <c r="I97" s="313" t="str">
        <f t="shared" si="6"/>
        <v>7110076360</v>
      </c>
      <c r="J97" s="30" t="str">
        <f t="shared" si="7"/>
        <v>60101047110076360240</v>
      </c>
    </row>
    <row r="98" spans="1:10" s="4" customFormat="1" ht="25.5">
      <c r="A98" s="236" t="s">
        <v>973</v>
      </c>
      <c r="B98" s="233" t="s">
        <v>55</v>
      </c>
      <c r="C98" s="234" t="s">
        <v>65</v>
      </c>
      <c r="D98" s="234" t="s">
        <v>37</v>
      </c>
      <c r="E98" s="234" t="s">
        <v>210</v>
      </c>
      <c r="F98" s="234" t="s">
        <v>1043</v>
      </c>
      <c r="G98" s="235">
        <f>VLOOKUP(J98,'исх АС БЮДЖЕТ'!$A$10:$H$568,6,0)</f>
        <v>51730</v>
      </c>
      <c r="H98" s="234">
        <v>7110076360</v>
      </c>
      <c r="I98" s="313" t="str">
        <f t="shared" si="6"/>
        <v>7110076360</v>
      </c>
      <c r="J98" s="30" t="str">
        <f t="shared" si="7"/>
        <v>60101047110076360244</v>
      </c>
    </row>
    <row r="99" spans="1:10" s="3" customFormat="1" ht="38.25">
      <c r="A99" s="232" t="s">
        <v>597</v>
      </c>
      <c r="B99" s="241" t="s">
        <v>55</v>
      </c>
      <c r="C99" s="242" t="s">
        <v>65</v>
      </c>
      <c r="D99" s="242" t="s">
        <v>37</v>
      </c>
      <c r="E99" s="242" t="s">
        <v>211</v>
      </c>
      <c r="F99" s="242" t="s">
        <v>58</v>
      </c>
      <c r="G99" s="235">
        <f>G100+G103</f>
        <v>1162641</v>
      </c>
      <c r="H99" s="242">
        <v>7110076630</v>
      </c>
      <c r="I99" s="313" t="str">
        <f t="shared" si="6"/>
        <v>7110076630</v>
      </c>
      <c r="J99" s="30" t="str">
        <f t="shared" si="7"/>
        <v>60101047110076630000</v>
      </c>
    </row>
    <row r="100" spans="1:10" s="3" customFormat="1">
      <c r="A100" s="236" t="s">
        <v>107</v>
      </c>
      <c r="B100" s="241" t="s">
        <v>55</v>
      </c>
      <c r="C100" s="242" t="s">
        <v>65</v>
      </c>
      <c r="D100" s="242" t="s">
        <v>37</v>
      </c>
      <c r="E100" s="242" t="s">
        <v>211</v>
      </c>
      <c r="F100" s="242" t="s">
        <v>115</v>
      </c>
      <c r="G100" s="235">
        <f>SUM(G101:G102)</f>
        <v>919811</v>
      </c>
      <c r="H100" s="242">
        <v>7110076630</v>
      </c>
      <c r="I100" s="313" t="str">
        <f t="shared" si="6"/>
        <v>7110076630</v>
      </c>
      <c r="J100" s="30" t="str">
        <f t="shared" si="7"/>
        <v>60101047110076630120</v>
      </c>
    </row>
    <row r="101" spans="1:10" s="4" customFormat="1">
      <c r="A101" s="236" t="s">
        <v>936</v>
      </c>
      <c r="B101" s="241" t="s">
        <v>55</v>
      </c>
      <c r="C101" s="242" t="s">
        <v>65</v>
      </c>
      <c r="D101" s="242" t="s">
        <v>37</v>
      </c>
      <c r="E101" s="242" t="s">
        <v>211</v>
      </c>
      <c r="F101" s="234" t="s">
        <v>1063</v>
      </c>
      <c r="G101" s="235">
        <f>VLOOKUP(J101,'исх АС БЮДЖЕТ'!$A$10:$H$568,6,0)</f>
        <v>706460</v>
      </c>
      <c r="H101" s="242">
        <v>7110076630</v>
      </c>
      <c r="I101" s="313" t="str">
        <f t="shared" si="6"/>
        <v>7110076630</v>
      </c>
      <c r="J101" s="30" t="str">
        <f t="shared" si="7"/>
        <v>60101047110076630121</v>
      </c>
    </row>
    <row r="102" spans="1:10" s="4" customFormat="1" ht="38.25">
      <c r="A102" s="236" t="s">
        <v>939</v>
      </c>
      <c r="B102" s="241" t="s">
        <v>55</v>
      </c>
      <c r="C102" s="242" t="s">
        <v>65</v>
      </c>
      <c r="D102" s="242" t="s">
        <v>37</v>
      </c>
      <c r="E102" s="242" t="s">
        <v>211</v>
      </c>
      <c r="F102" s="234" t="s">
        <v>1060</v>
      </c>
      <c r="G102" s="235">
        <f>VLOOKUP(J102,'исх АС БЮДЖЕТ'!$A$10:$H$568,6,0)</f>
        <v>213351</v>
      </c>
      <c r="H102" s="242">
        <v>7110076630</v>
      </c>
      <c r="I102" s="313" t="str">
        <f t="shared" si="6"/>
        <v>7110076630</v>
      </c>
      <c r="J102" s="30" t="str">
        <f t="shared" si="7"/>
        <v>60101047110076630129</v>
      </c>
    </row>
    <row r="103" spans="1:10" s="3" customFormat="1" ht="25.5">
      <c r="A103" s="232" t="s">
        <v>108</v>
      </c>
      <c r="B103" s="241" t="s">
        <v>55</v>
      </c>
      <c r="C103" s="242" t="s">
        <v>65</v>
      </c>
      <c r="D103" s="242" t="s">
        <v>37</v>
      </c>
      <c r="E103" s="242" t="s">
        <v>211</v>
      </c>
      <c r="F103" s="242" t="s">
        <v>116</v>
      </c>
      <c r="G103" s="235">
        <f>G104</f>
        <v>242830</v>
      </c>
      <c r="H103" s="242">
        <v>7110076630</v>
      </c>
      <c r="I103" s="313" t="str">
        <f t="shared" si="6"/>
        <v>7110076630</v>
      </c>
      <c r="J103" s="30" t="str">
        <f t="shared" si="7"/>
        <v>60101047110076630240</v>
      </c>
    </row>
    <row r="104" spans="1:10" s="3" customFormat="1" ht="25.5">
      <c r="A104" s="236" t="s">
        <v>973</v>
      </c>
      <c r="B104" s="241" t="s">
        <v>55</v>
      </c>
      <c r="C104" s="242" t="s">
        <v>65</v>
      </c>
      <c r="D104" s="242" t="s">
        <v>37</v>
      </c>
      <c r="E104" s="242" t="s">
        <v>211</v>
      </c>
      <c r="F104" s="242" t="s">
        <v>1043</v>
      </c>
      <c r="G104" s="235">
        <f>VLOOKUP(J104,'исх АС БЮДЖЕТ'!$A$10:$H$568,6,0)</f>
        <v>242830</v>
      </c>
      <c r="H104" s="242">
        <v>7110076630</v>
      </c>
      <c r="I104" s="313" t="str">
        <f t="shared" si="6"/>
        <v>7110076630</v>
      </c>
      <c r="J104" s="30" t="str">
        <f t="shared" si="7"/>
        <v>60101047110076630244</v>
      </c>
    </row>
    <row r="105" spans="1:10" s="3" customFormat="1" ht="25.5">
      <c r="A105" s="237" t="s">
        <v>596</v>
      </c>
      <c r="B105" s="241" t="s">
        <v>55</v>
      </c>
      <c r="C105" s="242" t="s">
        <v>65</v>
      </c>
      <c r="D105" s="242" t="s">
        <v>37</v>
      </c>
      <c r="E105" s="242" t="s">
        <v>212</v>
      </c>
      <c r="F105" s="242" t="s">
        <v>58</v>
      </c>
      <c r="G105" s="243">
        <f>G106</f>
        <v>9000</v>
      </c>
      <c r="H105" s="242">
        <v>7110076930</v>
      </c>
      <c r="I105" s="313" t="str">
        <f t="shared" si="6"/>
        <v>7110076930</v>
      </c>
      <c r="J105" s="30" t="str">
        <f t="shared" si="7"/>
        <v>60101047110076930000</v>
      </c>
    </row>
    <row r="106" spans="1:10" s="3" customFormat="1" ht="25.5">
      <c r="A106" s="232" t="s">
        <v>108</v>
      </c>
      <c r="B106" s="241" t="s">
        <v>55</v>
      </c>
      <c r="C106" s="242" t="s">
        <v>65</v>
      </c>
      <c r="D106" s="242" t="s">
        <v>37</v>
      </c>
      <c r="E106" s="242" t="s">
        <v>212</v>
      </c>
      <c r="F106" s="242" t="s">
        <v>116</v>
      </c>
      <c r="G106" s="235">
        <f>G107</f>
        <v>9000</v>
      </c>
      <c r="H106" s="242">
        <v>7110076930</v>
      </c>
      <c r="I106" s="313" t="str">
        <f t="shared" si="6"/>
        <v>7110076930</v>
      </c>
      <c r="J106" s="30" t="str">
        <f t="shared" si="7"/>
        <v>60101047110076930240</v>
      </c>
    </row>
    <row r="107" spans="1:10" s="4" customFormat="1" ht="25.5">
      <c r="A107" s="236" t="s">
        <v>973</v>
      </c>
      <c r="B107" s="241" t="s">
        <v>55</v>
      </c>
      <c r="C107" s="242" t="s">
        <v>65</v>
      </c>
      <c r="D107" s="242" t="s">
        <v>37</v>
      </c>
      <c r="E107" s="242" t="s">
        <v>212</v>
      </c>
      <c r="F107" s="242" t="s">
        <v>1043</v>
      </c>
      <c r="G107" s="235">
        <f>VLOOKUP(J107,'исх АС БЮДЖЕТ'!$A$10:$H$568,6,0)</f>
        <v>9000</v>
      </c>
      <c r="H107" s="242">
        <v>7110076930</v>
      </c>
      <c r="I107" s="313" t="str">
        <f t="shared" si="6"/>
        <v>7110076930</v>
      </c>
      <c r="J107" s="30" t="str">
        <f t="shared" si="7"/>
        <v>60101047110076930244</v>
      </c>
    </row>
    <row r="108" spans="1:10" s="3" customFormat="1">
      <c r="A108" s="228" t="s">
        <v>57</v>
      </c>
      <c r="B108" s="229" t="s">
        <v>55</v>
      </c>
      <c r="C108" s="230" t="s">
        <v>65</v>
      </c>
      <c r="D108" s="230" t="s">
        <v>8</v>
      </c>
      <c r="E108" s="230" t="s">
        <v>196</v>
      </c>
      <c r="F108" s="230" t="s">
        <v>58</v>
      </c>
      <c r="G108" s="231">
        <f>G109</f>
        <v>136800</v>
      </c>
      <c r="H108" s="230">
        <v>0</v>
      </c>
      <c r="I108" s="313" t="str">
        <f t="shared" si="6"/>
        <v>0000000000</v>
      </c>
      <c r="J108" s="30" t="str">
        <f t="shared" si="7"/>
        <v>60101050000000000000</v>
      </c>
    </row>
    <row r="109" spans="1:10" s="3" customFormat="1" ht="25.5">
      <c r="A109" s="232" t="s">
        <v>683</v>
      </c>
      <c r="B109" s="233" t="s">
        <v>55</v>
      </c>
      <c r="C109" s="234" t="s">
        <v>65</v>
      </c>
      <c r="D109" s="242" t="s">
        <v>8</v>
      </c>
      <c r="E109" s="234" t="s">
        <v>680</v>
      </c>
      <c r="F109" s="234" t="s">
        <v>58</v>
      </c>
      <c r="G109" s="235">
        <f t="shared" ref="G109:G111" si="8">G110</f>
        <v>136800</v>
      </c>
      <c r="H109" s="234">
        <v>9800000000</v>
      </c>
      <c r="I109" s="313" t="str">
        <f t="shared" si="6"/>
        <v>9800000000</v>
      </c>
      <c r="J109" s="30" t="str">
        <f t="shared" si="7"/>
        <v>60101059800000000000</v>
      </c>
    </row>
    <row r="110" spans="1:10" s="3" customFormat="1">
      <c r="A110" s="232" t="s">
        <v>684</v>
      </c>
      <c r="B110" s="233" t="s">
        <v>55</v>
      </c>
      <c r="C110" s="234" t="s">
        <v>65</v>
      </c>
      <c r="D110" s="242" t="s">
        <v>8</v>
      </c>
      <c r="E110" s="234" t="s">
        <v>681</v>
      </c>
      <c r="F110" s="234" t="s">
        <v>58</v>
      </c>
      <c r="G110" s="235">
        <f t="shared" si="8"/>
        <v>136800</v>
      </c>
      <c r="H110" s="234">
        <v>9810000000</v>
      </c>
      <c r="I110" s="313" t="str">
        <f t="shared" si="6"/>
        <v>9810000000</v>
      </c>
      <c r="J110" s="30" t="str">
        <f t="shared" si="7"/>
        <v>60101059810000000000</v>
      </c>
    </row>
    <row r="111" spans="1:10" s="3" customFormat="1" ht="38.25">
      <c r="A111" s="237" t="s">
        <v>903</v>
      </c>
      <c r="B111" s="241" t="s">
        <v>55</v>
      </c>
      <c r="C111" s="242" t="s">
        <v>65</v>
      </c>
      <c r="D111" s="242" t="s">
        <v>8</v>
      </c>
      <c r="E111" s="242" t="s">
        <v>682</v>
      </c>
      <c r="F111" s="242" t="s">
        <v>58</v>
      </c>
      <c r="G111" s="243">
        <f t="shared" si="8"/>
        <v>136800</v>
      </c>
      <c r="H111" s="242">
        <v>9810051200</v>
      </c>
      <c r="I111" s="313" t="str">
        <f t="shared" si="6"/>
        <v>9810051200</v>
      </c>
      <c r="J111" s="30" t="str">
        <f t="shared" si="7"/>
        <v>60101059810051200000</v>
      </c>
    </row>
    <row r="112" spans="1:10" s="3" customFormat="1" ht="25.5">
      <c r="A112" s="232" t="s">
        <v>108</v>
      </c>
      <c r="B112" s="241" t="s">
        <v>55</v>
      </c>
      <c r="C112" s="242" t="s">
        <v>65</v>
      </c>
      <c r="D112" s="242" t="s">
        <v>8</v>
      </c>
      <c r="E112" s="242" t="s">
        <v>682</v>
      </c>
      <c r="F112" s="242" t="s">
        <v>116</v>
      </c>
      <c r="G112" s="235">
        <f>G113</f>
        <v>136800</v>
      </c>
      <c r="H112" s="242">
        <v>9810051200</v>
      </c>
      <c r="I112" s="313" t="str">
        <f t="shared" si="6"/>
        <v>9810051200</v>
      </c>
      <c r="J112" s="30" t="str">
        <f t="shared" si="7"/>
        <v>60101059810051200240</v>
      </c>
    </row>
    <row r="113" spans="1:10" s="4" customFormat="1" ht="25.5">
      <c r="A113" s="236" t="s">
        <v>973</v>
      </c>
      <c r="B113" s="241" t="s">
        <v>55</v>
      </c>
      <c r="C113" s="242" t="s">
        <v>65</v>
      </c>
      <c r="D113" s="242" t="s">
        <v>8</v>
      </c>
      <c r="E113" s="242" t="s">
        <v>682</v>
      </c>
      <c r="F113" s="242" t="s">
        <v>1043</v>
      </c>
      <c r="G113" s="235">
        <f>VLOOKUP(J113,'исх АС БЮДЖЕТ'!$A$10:$H$568,6,0)</f>
        <v>136800</v>
      </c>
      <c r="H113" s="242">
        <v>9810051200</v>
      </c>
      <c r="I113" s="313" t="str">
        <f t="shared" si="6"/>
        <v>9810051200</v>
      </c>
      <c r="J113" s="30" t="str">
        <f t="shared" si="7"/>
        <v>60101059810051200244</v>
      </c>
    </row>
    <row r="114" spans="1:10" s="3" customFormat="1">
      <c r="A114" s="228" t="s">
        <v>38</v>
      </c>
      <c r="B114" s="229" t="s">
        <v>55</v>
      </c>
      <c r="C114" s="230" t="s">
        <v>65</v>
      </c>
      <c r="D114" s="230" t="s">
        <v>84</v>
      </c>
      <c r="E114" s="230" t="s">
        <v>196</v>
      </c>
      <c r="F114" s="230" t="s">
        <v>58</v>
      </c>
      <c r="G114" s="231">
        <f>G115+G124+G130+G165+G194+G200+G216</f>
        <v>142108605.97</v>
      </c>
      <c r="H114" s="230">
        <v>0</v>
      </c>
      <c r="I114" s="313" t="str">
        <f t="shared" si="6"/>
        <v>0000000000</v>
      </c>
      <c r="J114" s="30" t="str">
        <f t="shared" si="7"/>
        <v>60101130000000000000</v>
      </c>
    </row>
    <row r="115" spans="1:10" s="3" customFormat="1">
      <c r="A115" s="237" t="s">
        <v>747</v>
      </c>
      <c r="B115" s="233" t="s">
        <v>55</v>
      </c>
      <c r="C115" s="234" t="s">
        <v>65</v>
      </c>
      <c r="D115" s="234" t="s">
        <v>84</v>
      </c>
      <c r="E115" s="234" t="s">
        <v>215</v>
      </c>
      <c r="F115" s="234" t="s">
        <v>58</v>
      </c>
      <c r="G115" s="235">
        <f t="shared" ref="G115:G116" si="9">G116</f>
        <v>2195000</v>
      </c>
      <c r="H115" s="234">
        <v>1200000000</v>
      </c>
      <c r="I115" s="313" t="str">
        <f t="shared" si="6"/>
        <v>1200000000</v>
      </c>
      <c r="J115" s="30" t="str">
        <f t="shared" si="7"/>
        <v>60101131200000000000</v>
      </c>
    </row>
    <row r="116" spans="1:10" s="3" customFormat="1" ht="25.5">
      <c r="A116" s="237" t="s">
        <v>765</v>
      </c>
      <c r="B116" s="233" t="s">
        <v>55</v>
      </c>
      <c r="C116" s="234" t="s">
        <v>65</v>
      </c>
      <c r="D116" s="234" t="s">
        <v>84</v>
      </c>
      <c r="E116" s="234" t="s">
        <v>216</v>
      </c>
      <c r="F116" s="234" t="s">
        <v>58</v>
      </c>
      <c r="G116" s="235">
        <f t="shared" si="9"/>
        <v>2195000</v>
      </c>
      <c r="H116" s="234">
        <v>1220000000</v>
      </c>
      <c r="I116" s="313" t="str">
        <f t="shared" si="6"/>
        <v>1220000000</v>
      </c>
      <c r="J116" s="30" t="str">
        <f t="shared" si="7"/>
        <v>60101131220000000000</v>
      </c>
    </row>
    <row r="117" spans="1:10" s="3" customFormat="1" ht="25.5">
      <c r="A117" s="237" t="s">
        <v>845</v>
      </c>
      <c r="B117" s="233" t="s">
        <v>55</v>
      </c>
      <c r="C117" s="234" t="s">
        <v>65</v>
      </c>
      <c r="D117" s="234" t="s">
        <v>84</v>
      </c>
      <c r="E117" s="234" t="s">
        <v>217</v>
      </c>
      <c r="F117" s="234" t="s">
        <v>58</v>
      </c>
      <c r="G117" s="235">
        <f>G118+G121</f>
        <v>2195000</v>
      </c>
      <c r="H117" s="234">
        <v>1220300000</v>
      </c>
      <c r="I117" s="313" t="str">
        <f t="shared" si="6"/>
        <v>1220300000</v>
      </c>
      <c r="J117" s="30" t="str">
        <f t="shared" si="7"/>
        <v>60101131220300000000</v>
      </c>
    </row>
    <row r="118" spans="1:10" s="3" customFormat="1" ht="25.5">
      <c r="A118" s="237" t="s">
        <v>844</v>
      </c>
      <c r="B118" s="233" t="s">
        <v>55</v>
      </c>
      <c r="C118" s="234" t="s">
        <v>65</v>
      </c>
      <c r="D118" s="234" t="s">
        <v>84</v>
      </c>
      <c r="E118" s="234" t="s">
        <v>218</v>
      </c>
      <c r="F118" s="234" t="s">
        <v>58</v>
      </c>
      <c r="G118" s="235">
        <f>G119</f>
        <v>1405000</v>
      </c>
      <c r="H118" s="234">
        <v>1220320040</v>
      </c>
      <c r="I118" s="313" t="str">
        <f t="shared" si="6"/>
        <v>1220320040</v>
      </c>
      <c r="J118" s="30" t="str">
        <f t="shared" si="7"/>
        <v>60101131220320040000</v>
      </c>
    </row>
    <row r="119" spans="1:10" s="3" customFormat="1">
      <c r="A119" s="232" t="s">
        <v>97</v>
      </c>
      <c r="B119" s="233" t="s">
        <v>55</v>
      </c>
      <c r="C119" s="234" t="s">
        <v>65</v>
      </c>
      <c r="D119" s="234" t="s">
        <v>84</v>
      </c>
      <c r="E119" s="234" t="s">
        <v>218</v>
      </c>
      <c r="F119" s="234" t="s">
        <v>118</v>
      </c>
      <c r="G119" s="235">
        <f>G120</f>
        <v>1405000</v>
      </c>
      <c r="H119" s="234">
        <v>1220320040</v>
      </c>
      <c r="I119" s="313" t="str">
        <f t="shared" si="6"/>
        <v>1220320040</v>
      </c>
      <c r="J119" s="30" t="str">
        <f t="shared" si="7"/>
        <v>60101131220320040850</v>
      </c>
    </row>
    <row r="120" spans="1:10" s="4" customFormat="1">
      <c r="A120" s="236" t="s">
        <v>1038</v>
      </c>
      <c r="B120" s="233" t="s">
        <v>55</v>
      </c>
      <c r="C120" s="234" t="s">
        <v>65</v>
      </c>
      <c r="D120" s="234" t="s">
        <v>84</v>
      </c>
      <c r="E120" s="234" t="s">
        <v>218</v>
      </c>
      <c r="F120" s="234" t="s">
        <v>1066</v>
      </c>
      <c r="G120" s="235">
        <f>VLOOKUP(J120,'исх АС БЮДЖЕТ'!$A$10:$H$568,6,0)</f>
        <v>1405000</v>
      </c>
      <c r="H120" s="234">
        <v>1220320040</v>
      </c>
      <c r="I120" s="313" t="str">
        <f t="shared" si="6"/>
        <v>1220320040</v>
      </c>
      <c r="J120" s="30" t="str">
        <f t="shared" si="7"/>
        <v>60101131220320040853</v>
      </c>
    </row>
    <row r="121" spans="1:10" s="3" customFormat="1" ht="51">
      <c r="A121" s="237" t="s">
        <v>846</v>
      </c>
      <c r="B121" s="233" t="s">
        <v>55</v>
      </c>
      <c r="C121" s="234" t="s">
        <v>65</v>
      </c>
      <c r="D121" s="234" t="s">
        <v>84</v>
      </c>
      <c r="E121" s="234" t="s">
        <v>219</v>
      </c>
      <c r="F121" s="234" t="s">
        <v>58</v>
      </c>
      <c r="G121" s="235">
        <f>G122</f>
        <v>790000</v>
      </c>
      <c r="H121" s="234">
        <v>1220320090</v>
      </c>
      <c r="I121" s="313" t="str">
        <f t="shared" si="6"/>
        <v>1220320090</v>
      </c>
      <c r="J121" s="30" t="str">
        <f t="shared" si="7"/>
        <v>60101131220320090000</v>
      </c>
    </row>
    <row r="122" spans="1:10" s="3" customFormat="1" ht="25.5">
      <c r="A122" s="232" t="s">
        <v>108</v>
      </c>
      <c r="B122" s="233" t="s">
        <v>55</v>
      </c>
      <c r="C122" s="234" t="s">
        <v>65</v>
      </c>
      <c r="D122" s="234" t="s">
        <v>84</v>
      </c>
      <c r="E122" s="234" t="s">
        <v>219</v>
      </c>
      <c r="F122" s="234" t="s">
        <v>116</v>
      </c>
      <c r="G122" s="235">
        <f>G123</f>
        <v>790000</v>
      </c>
      <c r="H122" s="234">
        <v>1220320090</v>
      </c>
      <c r="I122" s="313" t="str">
        <f t="shared" si="6"/>
        <v>1220320090</v>
      </c>
      <c r="J122" s="30" t="str">
        <f t="shared" si="7"/>
        <v>60101131220320090240</v>
      </c>
    </row>
    <row r="123" spans="1:10" s="3" customFormat="1" ht="25.5">
      <c r="A123" s="236" t="s">
        <v>973</v>
      </c>
      <c r="B123" s="233" t="s">
        <v>55</v>
      </c>
      <c r="C123" s="234" t="s">
        <v>65</v>
      </c>
      <c r="D123" s="234" t="s">
        <v>84</v>
      </c>
      <c r="E123" s="234" t="s">
        <v>219</v>
      </c>
      <c r="F123" s="234" t="s">
        <v>1043</v>
      </c>
      <c r="G123" s="235">
        <f>VLOOKUP(J123,'исх АС БЮДЖЕТ'!$A$10:$H$568,6,0)</f>
        <v>790000</v>
      </c>
      <c r="H123" s="234">
        <v>1220320090</v>
      </c>
      <c r="I123" s="313" t="str">
        <f t="shared" si="6"/>
        <v>1220320090</v>
      </c>
      <c r="J123" s="30" t="str">
        <f t="shared" si="7"/>
        <v>60101131220320090244</v>
      </c>
    </row>
    <row r="124" spans="1:10" s="3" customFormat="1" ht="25.5">
      <c r="A124" s="237" t="s">
        <v>748</v>
      </c>
      <c r="B124" s="233" t="s">
        <v>55</v>
      </c>
      <c r="C124" s="234" t="s">
        <v>65</v>
      </c>
      <c r="D124" s="234" t="s">
        <v>84</v>
      </c>
      <c r="E124" s="234" t="s">
        <v>220</v>
      </c>
      <c r="F124" s="234" t="s">
        <v>58</v>
      </c>
      <c r="G124" s="235">
        <f>G125</f>
        <v>145000</v>
      </c>
      <c r="H124" s="234">
        <v>1300000000</v>
      </c>
      <c r="I124" s="313" t="str">
        <f t="shared" si="6"/>
        <v>1300000000</v>
      </c>
      <c r="J124" s="30" t="str">
        <f t="shared" si="7"/>
        <v>60101131300000000000</v>
      </c>
    </row>
    <row r="125" spans="1:10" s="3" customFormat="1" ht="25.5">
      <c r="A125" s="232" t="s">
        <v>750</v>
      </c>
      <c r="B125" s="233" t="s">
        <v>55</v>
      </c>
      <c r="C125" s="234" t="s">
        <v>65</v>
      </c>
      <c r="D125" s="234" t="s">
        <v>84</v>
      </c>
      <c r="E125" s="234" t="s">
        <v>225</v>
      </c>
      <c r="F125" s="234" t="s">
        <v>58</v>
      </c>
      <c r="G125" s="235">
        <f>G126</f>
        <v>145000</v>
      </c>
      <c r="H125" s="234">
        <v>1320000000</v>
      </c>
      <c r="I125" s="313" t="str">
        <f t="shared" si="6"/>
        <v>1320000000</v>
      </c>
      <c r="J125" s="30" t="str">
        <f t="shared" si="7"/>
        <v>60101131320000000000</v>
      </c>
    </row>
    <row r="126" spans="1:10" s="3" customFormat="1" ht="25.5">
      <c r="A126" s="237" t="s">
        <v>228</v>
      </c>
      <c r="B126" s="233" t="s">
        <v>55</v>
      </c>
      <c r="C126" s="234" t="s">
        <v>65</v>
      </c>
      <c r="D126" s="234" t="s">
        <v>84</v>
      </c>
      <c r="E126" s="234" t="s">
        <v>226</v>
      </c>
      <c r="F126" s="234" t="s">
        <v>58</v>
      </c>
      <c r="G126" s="235">
        <f>G127</f>
        <v>145000</v>
      </c>
      <c r="H126" s="234">
        <v>1320100000</v>
      </c>
      <c r="I126" s="313" t="str">
        <f t="shared" si="6"/>
        <v>1320100000</v>
      </c>
      <c r="J126" s="30" t="str">
        <f t="shared" si="7"/>
        <v>60101131320100000000</v>
      </c>
    </row>
    <row r="127" spans="1:10" s="3" customFormat="1" ht="25.5">
      <c r="A127" s="237" t="s">
        <v>169</v>
      </c>
      <c r="B127" s="233" t="s">
        <v>55</v>
      </c>
      <c r="C127" s="234" t="s">
        <v>65</v>
      </c>
      <c r="D127" s="234" t="s">
        <v>84</v>
      </c>
      <c r="E127" s="234" t="s">
        <v>227</v>
      </c>
      <c r="F127" s="234" t="s">
        <v>58</v>
      </c>
      <c r="G127" s="235">
        <f>G128</f>
        <v>145000</v>
      </c>
      <c r="H127" s="234">
        <v>1320120620</v>
      </c>
      <c r="I127" s="313" t="str">
        <f t="shared" si="6"/>
        <v>1320120620</v>
      </c>
      <c r="J127" s="30" t="str">
        <f t="shared" si="7"/>
        <v>60101131320120620000</v>
      </c>
    </row>
    <row r="128" spans="1:10" s="3" customFormat="1" ht="25.5">
      <c r="A128" s="232" t="s">
        <v>108</v>
      </c>
      <c r="B128" s="233" t="s">
        <v>55</v>
      </c>
      <c r="C128" s="234" t="s">
        <v>65</v>
      </c>
      <c r="D128" s="234" t="s">
        <v>84</v>
      </c>
      <c r="E128" s="234" t="s">
        <v>227</v>
      </c>
      <c r="F128" s="234" t="s">
        <v>116</v>
      </c>
      <c r="G128" s="235">
        <f>G129</f>
        <v>145000</v>
      </c>
      <c r="H128" s="234">
        <v>1320120620</v>
      </c>
      <c r="I128" s="313" t="str">
        <f t="shared" si="6"/>
        <v>1320120620</v>
      </c>
      <c r="J128" s="30" t="str">
        <f t="shared" si="7"/>
        <v>60101131320120620240</v>
      </c>
    </row>
    <row r="129" spans="1:10" s="4" customFormat="1" ht="25.5">
      <c r="A129" s="236" t="s">
        <v>973</v>
      </c>
      <c r="B129" s="233" t="s">
        <v>55</v>
      </c>
      <c r="C129" s="234" t="s">
        <v>65</v>
      </c>
      <c r="D129" s="234" t="s">
        <v>84</v>
      </c>
      <c r="E129" s="234" t="s">
        <v>227</v>
      </c>
      <c r="F129" s="234" t="s">
        <v>1043</v>
      </c>
      <c r="G129" s="235">
        <f>VLOOKUP(J129,'исх АС БЮДЖЕТ'!$A$10:$H$568,6,0)</f>
        <v>145000</v>
      </c>
      <c r="H129" s="234">
        <v>1320120620</v>
      </c>
      <c r="I129" s="313" t="str">
        <f t="shared" si="6"/>
        <v>1320120620</v>
      </c>
      <c r="J129" s="30" t="str">
        <f t="shared" si="7"/>
        <v>60101131320120620244</v>
      </c>
    </row>
    <row r="130" spans="1:10" s="3" customFormat="1" ht="38.25">
      <c r="A130" s="237" t="s">
        <v>751</v>
      </c>
      <c r="B130" s="233" t="s">
        <v>55</v>
      </c>
      <c r="C130" s="234" t="s">
        <v>65</v>
      </c>
      <c r="D130" s="234" t="s">
        <v>84</v>
      </c>
      <c r="E130" s="234" t="s">
        <v>229</v>
      </c>
      <c r="F130" s="234" t="s">
        <v>58</v>
      </c>
      <c r="G130" s="235">
        <f>G131+G140</f>
        <v>92119530</v>
      </c>
      <c r="H130" s="234">
        <v>1400000000</v>
      </c>
      <c r="I130" s="313" t="str">
        <f t="shared" si="6"/>
        <v>1400000000</v>
      </c>
      <c r="J130" s="30" t="str">
        <f t="shared" si="7"/>
        <v>60101131400000000000</v>
      </c>
    </row>
    <row r="131" spans="1:10" s="3" customFormat="1">
      <c r="A131" s="237" t="s">
        <v>119</v>
      </c>
      <c r="B131" s="233" t="s">
        <v>55</v>
      </c>
      <c r="C131" s="234" t="s">
        <v>65</v>
      </c>
      <c r="D131" s="234" t="s">
        <v>84</v>
      </c>
      <c r="E131" s="234" t="s">
        <v>230</v>
      </c>
      <c r="F131" s="234" t="s">
        <v>58</v>
      </c>
      <c r="G131" s="235">
        <f>G132+G136</f>
        <v>12176540</v>
      </c>
      <c r="H131" s="234">
        <v>1410000000</v>
      </c>
      <c r="I131" s="313" t="str">
        <f t="shared" si="6"/>
        <v>1410000000</v>
      </c>
      <c r="J131" s="30" t="str">
        <f t="shared" si="7"/>
        <v>60101131410000000000</v>
      </c>
    </row>
    <row r="132" spans="1:10" s="3" customFormat="1" ht="25.5">
      <c r="A132" s="237" t="s">
        <v>231</v>
      </c>
      <c r="B132" s="233" t="s">
        <v>55</v>
      </c>
      <c r="C132" s="234" t="s">
        <v>65</v>
      </c>
      <c r="D132" s="234" t="s">
        <v>84</v>
      </c>
      <c r="E132" s="234" t="s">
        <v>232</v>
      </c>
      <c r="F132" s="234" t="s">
        <v>58</v>
      </c>
      <c r="G132" s="235">
        <f>G133</f>
        <v>9323170</v>
      </c>
      <c r="H132" s="234">
        <v>1410100000</v>
      </c>
      <c r="I132" s="313" t="str">
        <f t="shared" si="6"/>
        <v>1410100000</v>
      </c>
      <c r="J132" s="30" t="str">
        <f t="shared" si="7"/>
        <v>60101131410100000000</v>
      </c>
    </row>
    <row r="133" spans="1:10" s="3" customFormat="1" ht="25.5">
      <c r="A133" s="237" t="s">
        <v>170</v>
      </c>
      <c r="B133" s="233" t="s">
        <v>55</v>
      </c>
      <c r="C133" s="234" t="s">
        <v>65</v>
      </c>
      <c r="D133" s="234" t="s">
        <v>84</v>
      </c>
      <c r="E133" s="234" t="s">
        <v>233</v>
      </c>
      <c r="F133" s="234" t="s">
        <v>58</v>
      </c>
      <c r="G133" s="235">
        <f>G134</f>
        <v>9323170</v>
      </c>
      <c r="H133" s="234">
        <v>1410120630</v>
      </c>
      <c r="I133" s="313" t="str">
        <f t="shared" si="6"/>
        <v>1410120630</v>
      </c>
      <c r="J133" s="30" t="str">
        <f t="shared" si="7"/>
        <v>60101131410120630000</v>
      </c>
    </row>
    <row r="134" spans="1:10" s="3" customFormat="1" ht="25.5">
      <c r="A134" s="232" t="s">
        <v>108</v>
      </c>
      <c r="B134" s="233" t="s">
        <v>55</v>
      </c>
      <c r="C134" s="234" t="s">
        <v>65</v>
      </c>
      <c r="D134" s="234" t="s">
        <v>84</v>
      </c>
      <c r="E134" s="234" t="s">
        <v>233</v>
      </c>
      <c r="F134" s="234" t="s">
        <v>116</v>
      </c>
      <c r="G134" s="235">
        <f>G135</f>
        <v>9323170</v>
      </c>
      <c r="H134" s="234">
        <v>1410120630</v>
      </c>
      <c r="I134" s="313" t="str">
        <f t="shared" si="6"/>
        <v>1410120630</v>
      </c>
      <c r="J134" s="30" t="str">
        <f t="shared" si="7"/>
        <v>60101131410120630240</v>
      </c>
    </row>
    <row r="135" spans="1:10" s="4" customFormat="1" ht="25.5">
      <c r="A135" s="236" t="s">
        <v>973</v>
      </c>
      <c r="B135" s="233" t="s">
        <v>55</v>
      </c>
      <c r="C135" s="234" t="s">
        <v>65</v>
      </c>
      <c r="D135" s="234" t="s">
        <v>84</v>
      </c>
      <c r="E135" s="234" t="s">
        <v>233</v>
      </c>
      <c r="F135" s="234" t="s">
        <v>1043</v>
      </c>
      <c r="G135" s="235">
        <f>VLOOKUP(J135,'исх АС БЮДЖЕТ'!$A$10:$H$568,6,0)</f>
        <v>9323170</v>
      </c>
      <c r="H135" s="234">
        <v>1410120630</v>
      </c>
      <c r="I135" s="313" t="str">
        <f t="shared" si="6"/>
        <v>1410120630</v>
      </c>
      <c r="J135" s="30" t="str">
        <f t="shared" si="7"/>
        <v>60101131410120630244</v>
      </c>
    </row>
    <row r="136" spans="1:10" s="3" customFormat="1" ht="38.25">
      <c r="A136" s="237" t="s">
        <v>234</v>
      </c>
      <c r="B136" s="233" t="s">
        <v>55</v>
      </c>
      <c r="C136" s="234" t="s">
        <v>65</v>
      </c>
      <c r="D136" s="234" t="s">
        <v>84</v>
      </c>
      <c r="E136" s="234" t="s">
        <v>235</v>
      </c>
      <c r="F136" s="234" t="s">
        <v>58</v>
      </c>
      <c r="G136" s="235">
        <f t="shared" ref="G136:G137" si="10">G137</f>
        <v>2853370</v>
      </c>
      <c r="H136" s="234">
        <v>1410200000</v>
      </c>
      <c r="I136" s="313" t="str">
        <f t="shared" si="6"/>
        <v>1410200000</v>
      </c>
      <c r="J136" s="30" t="str">
        <f t="shared" si="7"/>
        <v>60101131410200000000</v>
      </c>
    </row>
    <row r="137" spans="1:10" s="3" customFormat="1" ht="25.5">
      <c r="A137" s="237" t="s">
        <v>170</v>
      </c>
      <c r="B137" s="233" t="s">
        <v>55</v>
      </c>
      <c r="C137" s="234" t="s">
        <v>65</v>
      </c>
      <c r="D137" s="234" t="s">
        <v>84</v>
      </c>
      <c r="E137" s="234" t="s">
        <v>236</v>
      </c>
      <c r="F137" s="234" t="s">
        <v>58</v>
      </c>
      <c r="G137" s="235">
        <f t="shared" si="10"/>
        <v>2853370</v>
      </c>
      <c r="H137" s="234">
        <v>1410220630</v>
      </c>
      <c r="I137" s="313" t="str">
        <f t="shared" si="6"/>
        <v>1410220630</v>
      </c>
      <c r="J137" s="30" t="str">
        <f t="shared" si="7"/>
        <v>60101131410220630000</v>
      </c>
    </row>
    <row r="138" spans="1:10" s="3" customFormat="1" ht="25.5">
      <c r="A138" s="232" t="s">
        <v>108</v>
      </c>
      <c r="B138" s="233" t="s">
        <v>55</v>
      </c>
      <c r="C138" s="234" t="s">
        <v>65</v>
      </c>
      <c r="D138" s="234" t="s">
        <v>84</v>
      </c>
      <c r="E138" s="234" t="s">
        <v>236</v>
      </c>
      <c r="F138" s="234" t="s">
        <v>116</v>
      </c>
      <c r="G138" s="235">
        <f>G139</f>
        <v>2853370</v>
      </c>
      <c r="H138" s="234">
        <v>1410220630</v>
      </c>
      <c r="I138" s="313" t="str">
        <f t="shared" si="6"/>
        <v>1410220630</v>
      </c>
      <c r="J138" s="30" t="str">
        <f t="shared" si="7"/>
        <v>60101131410220630240</v>
      </c>
    </row>
    <row r="139" spans="1:10" s="4" customFormat="1" ht="25.5">
      <c r="A139" s="236" t="s">
        <v>973</v>
      </c>
      <c r="B139" s="233" t="s">
        <v>55</v>
      </c>
      <c r="C139" s="234" t="s">
        <v>65</v>
      </c>
      <c r="D139" s="234" t="s">
        <v>84</v>
      </c>
      <c r="E139" s="234" t="s">
        <v>236</v>
      </c>
      <c r="F139" s="234" t="s">
        <v>1043</v>
      </c>
      <c r="G139" s="235">
        <f>VLOOKUP(J139,'исх АС БЮДЖЕТ'!$A$10:$H$568,6,0)</f>
        <v>2853370</v>
      </c>
      <c r="H139" s="234">
        <v>1410220630</v>
      </c>
      <c r="I139" s="313" t="str">
        <f t="shared" si="6"/>
        <v>1410220630</v>
      </c>
      <c r="J139" s="30" t="str">
        <f t="shared" si="7"/>
        <v>60101131410220630244</v>
      </c>
    </row>
    <row r="140" spans="1:10" s="3" customFormat="1" ht="25.5">
      <c r="A140" s="237" t="s">
        <v>871</v>
      </c>
      <c r="B140" s="233" t="s">
        <v>55</v>
      </c>
      <c r="C140" s="234" t="s">
        <v>65</v>
      </c>
      <c r="D140" s="234" t="s">
        <v>84</v>
      </c>
      <c r="E140" s="234" t="s">
        <v>240</v>
      </c>
      <c r="F140" s="234" t="s">
        <v>58</v>
      </c>
      <c r="G140" s="235">
        <f>G141+G145+G153+G149</f>
        <v>79942990</v>
      </c>
      <c r="H140" s="234">
        <v>1420000000</v>
      </c>
      <c r="I140" s="313" t="str">
        <f t="shared" ref="I140:I204" si="11">TEXT(H140,"0000000000")</f>
        <v>1420000000</v>
      </c>
      <c r="J140" s="30" t="str">
        <f t="shared" ref="J140:J204" si="12">CONCATENATE(B140,C140,D140,I140,F140)</f>
        <v>60101131420000000000</v>
      </c>
    </row>
    <row r="141" spans="1:10" s="3" customFormat="1" ht="25.5">
      <c r="A141" s="237" t="s">
        <v>849</v>
      </c>
      <c r="B141" s="233" t="s">
        <v>55</v>
      </c>
      <c r="C141" s="234" t="s">
        <v>65</v>
      </c>
      <c r="D141" s="234" t="s">
        <v>84</v>
      </c>
      <c r="E141" s="234" t="s">
        <v>241</v>
      </c>
      <c r="F141" s="234" t="s">
        <v>58</v>
      </c>
      <c r="G141" s="235">
        <f t="shared" ref="G141:G142" si="13">G142</f>
        <v>450000</v>
      </c>
      <c r="H141" s="234">
        <v>1420100000</v>
      </c>
      <c r="I141" s="313" t="str">
        <f t="shared" si="11"/>
        <v>1420100000</v>
      </c>
      <c r="J141" s="30" t="str">
        <f t="shared" si="12"/>
        <v>60101131420100000000</v>
      </c>
    </row>
    <row r="142" spans="1:10" s="3" customFormat="1" ht="38.25">
      <c r="A142" s="237" t="s">
        <v>872</v>
      </c>
      <c r="B142" s="233" t="s">
        <v>55</v>
      </c>
      <c r="C142" s="234" t="s">
        <v>65</v>
      </c>
      <c r="D142" s="234" t="s">
        <v>84</v>
      </c>
      <c r="E142" s="234" t="s">
        <v>242</v>
      </c>
      <c r="F142" s="234" t="s">
        <v>58</v>
      </c>
      <c r="G142" s="235">
        <f t="shared" si="13"/>
        <v>450000</v>
      </c>
      <c r="H142" s="234">
        <v>1420120710</v>
      </c>
      <c r="I142" s="313" t="str">
        <f t="shared" si="11"/>
        <v>1420120710</v>
      </c>
      <c r="J142" s="30" t="str">
        <f t="shared" si="12"/>
        <v>60101131420120710000</v>
      </c>
    </row>
    <row r="143" spans="1:10" s="3" customFormat="1" ht="25.5">
      <c r="A143" s="232" t="s">
        <v>108</v>
      </c>
      <c r="B143" s="233" t="s">
        <v>55</v>
      </c>
      <c r="C143" s="234" t="s">
        <v>65</v>
      </c>
      <c r="D143" s="234" t="s">
        <v>84</v>
      </c>
      <c r="E143" s="234" t="s">
        <v>242</v>
      </c>
      <c r="F143" s="234" t="s">
        <v>116</v>
      </c>
      <c r="G143" s="235">
        <f>G144</f>
        <v>450000</v>
      </c>
      <c r="H143" s="234">
        <v>1420120710</v>
      </c>
      <c r="I143" s="313" t="str">
        <f t="shared" si="11"/>
        <v>1420120710</v>
      </c>
      <c r="J143" s="30" t="str">
        <f t="shared" si="12"/>
        <v>60101131420120710240</v>
      </c>
    </row>
    <row r="144" spans="1:10" s="4" customFormat="1" ht="25.5">
      <c r="A144" s="236" t="s">
        <v>973</v>
      </c>
      <c r="B144" s="233" t="s">
        <v>55</v>
      </c>
      <c r="C144" s="234" t="s">
        <v>65</v>
      </c>
      <c r="D144" s="234" t="s">
        <v>84</v>
      </c>
      <c r="E144" s="234" t="s">
        <v>242</v>
      </c>
      <c r="F144" s="234" t="s">
        <v>1043</v>
      </c>
      <c r="G144" s="235">
        <f>VLOOKUP(J144,'исх АС БЮДЖЕТ'!$A$10:$H$568,6,0)</f>
        <v>450000</v>
      </c>
      <c r="H144" s="234">
        <v>1420120710</v>
      </c>
      <c r="I144" s="313" t="str">
        <f t="shared" si="11"/>
        <v>1420120710</v>
      </c>
      <c r="J144" s="30" t="str">
        <f t="shared" si="12"/>
        <v>60101131420120710244</v>
      </c>
    </row>
    <row r="145" spans="1:10" s="3" customFormat="1" ht="38.25">
      <c r="A145" s="237" t="s">
        <v>604</v>
      </c>
      <c r="B145" s="233" t="s">
        <v>55</v>
      </c>
      <c r="C145" s="234" t="s">
        <v>65</v>
      </c>
      <c r="D145" s="234" t="s">
        <v>84</v>
      </c>
      <c r="E145" s="234" t="s">
        <v>243</v>
      </c>
      <c r="F145" s="234" t="s">
        <v>58</v>
      </c>
      <c r="G145" s="235">
        <f t="shared" ref="G145:G146" si="14">G146</f>
        <v>85000</v>
      </c>
      <c r="H145" s="234">
        <v>1420200000</v>
      </c>
      <c r="I145" s="313" t="str">
        <f t="shared" si="11"/>
        <v>1420200000</v>
      </c>
      <c r="J145" s="30" t="str">
        <f t="shared" si="12"/>
        <v>60101131420200000000</v>
      </c>
    </row>
    <row r="146" spans="1:10" s="3" customFormat="1" ht="38.25">
      <c r="A146" s="237" t="s">
        <v>872</v>
      </c>
      <c r="B146" s="233" t="s">
        <v>55</v>
      </c>
      <c r="C146" s="234" t="s">
        <v>65</v>
      </c>
      <c r="D146" s="234" t="s">
        <v>84</v>
      </c>
      <c r="E146" s="234" t="s">
        <v>244</v>
      </c>
      <c r="F146" s="234" t="s">
        <v>58</v>
      </c>
      <c r="G146" s="235">
        <f t="shared" si="14"/>
        <v>85000</v>
      </c>
      <c r="H146" s="234">
        <v>1420220710</v>
      </c>
      <c r="I146" s="313" t="str">
        <f t="shared" si="11"/>
        <v>1420220710</v>
      </c>
      <c r="J146" s="30" t="str">
        <f t="shared" si="12"/>
        <v>60101131420220710000</v>
      </c>
    </row>
    <row r="147" spans="1:10" s="3" customFormat="1" ht="25.5">
      <c r="A147" s="232" t="s">
        <v>108</v>
      </c>
      <c r="B147" s="233" t="s">
        <v>55</v>
      </c>
      <c r="C147" s="234" t="s">
        <v>65</v>
      </c>
      <c r="D147" s="234" t="s">
        <v>84</v>
      </c>
      <c r="E147" s="234" t="s">
        <v>244</v>
      </c>
      <c r="F147" s="234" t="s">
        <v>116</v>
      </c>
      <c r="G147" s="235">
        <f>G148</f>
        <v>85000</v>
      </c>
      <c r="H147" s="234">
        <v>1420220710</v>
      </c>
      <c r="I147" s="313" t="str">
        <f t="shared" si="11"/>
        <v>1420220710</v>
      </c>
      <c r="J147" s="30" t="str">
        <f t="shared" si="12"/>
        <v>60101131420220710240</v>
      </c>
    </row>
    <row r="148" spans="1:10" s="4" customFormat="1" ht="25.5">
      <c r="A148" s="236" t="s">
        <v>973</v>
      </c>
      <c r="B148" s="233" t="s">
        <v>55</v>
      </c>
      <c r="C148" s="234" t="s">
        <v>65</v>
      </c>
      <c r="D148" s="234" t="s">
        <v>84</v>
      </c>
      <c r="E148" s="234" t="s">
        <v>244</v>
      </c>
      <c r="F148" s="234" t="s">
        <v>1043</v>
      </c>
      <c r="G148" s="235">
        <f>VLOOKUP(J148,'исх АС БЮДЖЕТ'!$A$10:$H$568,6,0)</f>
        <v>85000</v>
      </c>
      <c r="H148" s="234">
        <v>1420220710</v>
      </c>
      <c r="I148" s="313" t="str">
        <f t="shared" si="11"/>
        <v>1420220710</v>
      </c>
      <c r="J148" s="30" t="str">
        <f t="shared" si="12"/>
        <v>60101131420220710244</v>
      </c>
    </row>
    <row r="149" spans="1:10" s="3" customFormat="1" ht="38.25">
      <c r="A149" s="237" t="s">
        <v>771</v>
      </c>
      <c r="B149" s="233" t="s">
        <v>55</v>
      </c>
      <c r="C149" s="234" t="s">
        <v>65</v>
      </c>
      <c r="D149" s="234" t="s">
        <v>84</v>
      </c>
      <c r="E149" s="234" t="s">
        <v>772</v>
      </c>
      <c r="F149" s="234" t="s">
        <v>58</v>
      </c>
      <c r="G149" s="235">
        <f>G150</f>
        <v>85000</v>
      </c>
      <c r="H149" s="234">
        <v>1420300000</v>
      </c>
      <c r="I149" s="313" t="str">
        <f t="shared" si="11"/>
        <v>1420300000</v>
      </c>
      <c r="J149" s="30" t="str">
        <f t="shared" si="12"/>
        <v>60101131420300000000</v>
      </c>
    </row>
    <row r="150" spans="1:10" s="3" customFormat="1" ht="38.25">
      <c r="A150" s="237" t="s">
        <v>872</v>
      </c>
      <c r="B150" s="233" t="s">
        <v>55</v>
      </c>
      <c r="C150" s="234" t="s">
        <v>65</v>
      </c>
      <c r="D150" s="234" t="s">
        <v>84</v>
      </c>
      <c r="E150" s="234" t="s">
        <v>773</v>
      </c>
      <c r="F150" s="234" t="s">
        <v>58</v>
      </c>
      <c r="G150" s="235">
        <f>G151</f>
        <v>85000</v>
      </c>
      <c r="H150" s="234">
        <v>1420320710</v>
      </c>
      <c r="I150" s="313" t="str">
        <f t="shared" si="11"/>
        <v>1420320710</v>
      </c>
      <c r="J150" s="30" t="str">
        <f t="shared" si="12"/>
        <v>60101131420320710000</v>
      </c>
    </row>
    <row r="151" spans="1:10" s="3" customFormat="1" ht="25.5">
      <c r="A151" s="232" t="s">
        <v>108</v>
      </c>
      <c r="B151" s="233" t="s">
        <v>55</v>
      </c>
      <c r="C151" s="234" t="s">
        <v>65</v>
      </c>
      <c r="D151" s="234" t="s">
        <v>84</v>
      </c>
      <c r="E151" s="234" t="s">
        <v>773</v>
      </c>
      <c r="F151" s="234" t="s">
        <v>116</v>
      </c>
      <c r="G151" s="235">
        <f>G152</f>
        <v>85000</v>
      </c>
      <c r="H151" s="234">
        <v>1420320710</v>
      </c>
      <c r="I151" s="313" t="str">
        <f t="shared" si="11"/>
        <v>1420320710</v>
      </c>
      <c r="J151" s="30" t="str">
        <f t="shared" si="12"/>
        <v>60101131420320710240</v>
      </c>
    </row>
    <row r="152" spans="1:10" s="4" customFormat="1" ht="25.5">
      <c r="A152" s="236" t="s">
        <v>973</v>
      </c>
      <c r="B152" s="233" t="s">
        <v>55</v>
      </c>
      <c r="C152" s="234" t="s">
        <v>65</v>
      </c>
      <c r="D152" s="234" t="s">
        <v>84</v>
      </c>
      <c r="E152" s="234" t="s">
        <v>773</v>
      </c>
      <c r="F152" s="234" t="s">
        <v>1043</v>
      </c>
      <c r="G152" s="235">
        <f>VLOOKUP(J152,'исх АС БЮДЖЕТ'!$A$10:$H$568,6,0)</f>
        <v>85000</v>
      </c>
      <c r="H152" s="234">
        <v>1420320710</v>
      </c>
      <c r="I152" s="313" t="str">
        <f t="shared" si="11"/>
        <v>1420320710</v>
      </c>
      <c r="J152" s="30" t="str">
        <f t="shared" si="12"/>
        <v>60101131420320710244</v>
      </c>
    </row>
    <row r="153" spans="1:10" s="3" customFormat="1" ht="25.5">
      <c r="A153" s="237" t="s">
        <v>245</v>
      </c>
      <c r="B153" s="233" t="s">
        <v>55</v>
      </c>
      <c r="C153" s="234" t="s">
        <v>65</v>
      </c>
      <c r="D153" s="234" t="s">
        <v>84</v>
      </c>
      <c r="E153" s="234" t="s">
        <v>246</v>
      </c>
      <c r="F153" s="234" t="s">
        <v>58</v>
      </c>
      <c r="G153" s="235">
        <f>G154</f>
        <v>79322990</v>
      </c>
      <c r="H153" s="234">
        <v>1420400000</v>
      </c>
      <c r="I153" s="313" t="str">
        <f t="shared" si="11"/>
        <v>1420400000</v>
      </c>
      <c r="J153" s="30" t="str">
        <f t="shared" si="12"/>
        <v>60101131420400000000</v>
      </c>
    </row>
    <row r="154" spans="1:10" s="3" customFormat="1">
      <c r="A154" s="237" t="s">
        <v>247</v>
      </c>
      <c r="B154" s="233" t="s">
        <v>55</v>
      </c>
      <c r="C154" s="234" t="s">
        <v>65</v>
      </c>
      <c r="D154" s="234" t="s">
        <v>84</v>
      </c>
      <c r="E154" s="234" t="s">
        <v>248</v>
      </c>
      <c r="F154" s="234" t="s">
        <v>58</v>
      </c>
      <c r="G154" s="235">
        <f>G155+G159+G161</f>
        <v>79322990</v>
      </c>
      <c r="H154" s="234">
        <v>1420411010</v>
      </c>
      <c r="I154" s="313" t="str">
        <f t="shared" si="11"/>
        <v>1420411010</v>
      </c>
      <c r="J154" s="30" t="str">
        <f t="shared" si="12"/>
        <v>60101131420411010000</v>
      </c>
    </row>
    <row r="155" spans="1:10" s="3" customFormat="1">
      <c r="A155" s="244" t="s">
        <v>106</v>
      </c>
      <c r="B155" s="233" t="s">
        <v>55</v>
      </c>
      <c r="C155" s="234" t="s">
        <v>65</v>
      </c>
      <c r="D155" s="234" t="s">
        <v>84</v>
      </c>
      <c r="E155" s="234" t="s">
        <v>248</v>
      </c>
      <c r="F155" s="234" t="s">
        <v>121</v>
      </c>
      <c r="G155" s="235">
        <f>SUM(G156:G158)</f>
        <v>58134480</v>
      </c>
      <c r="H155" s="234">
        <v>1420411010</v>
      </c>
      <c r="I155" s="313" t="str">
        <f t="shared" si="11"/>
        <v>1420411010</v>
      </c>
      <c r="J155" s="30" t="str">
        <f t="shared" si="12"/>
        <v>60101131420411010110</v>
      </c>
    </row>
    <row r="156" spans="1:10" s="4" customFormat="1">
      <c r="A156" s="236" t="s">
        <v>932</v>
      </c>
      <c r="B156" s="233" t="s">
        <v>55</v>
      </c>
      <c r="C156" s="234" t="s">
        <v>65</v>
      </c>
      <c r="D156" s="234" t="s">
        <v>84</v>
      </c>
      <c r="E156" s="234" t="s">
        <v>248</v>
      </c>
      <c r="F156" s="234" t="s">
        <v>1056</v>
      </c>
      <c r="G156" s="235">
        <f>VLOOKUP(J156,'исх АС БЮДЖЕТ'!$A$10:$H$568,6,0)</f>
        <v>44638770</v>
      </c>
      <c r="H156" s="234">
        <v>1420411010</v>
      </c>
      <c r="I156" s="313" t="str">
        <f t="shared" si="11"/>
        <v>1420411010</v>
      </c>
      <c r="J156" s="30" t="str">
        <f t="shared" si="12"/>
        <v>60101131420411010111</v>
      </c>
    </row>
    <row r="157" spans="1:10" s="4" customFormat="1">
      <c r="A157" s="236" t="s">
        <v>933</v>
      </c>
      <c r="B157" s="233" t="s">
        <v>55</v>
      </c>
      <c r="C157" s="234" t="s">
        <v>65</v>
      </c>
      <c r="D157" s="234" t="s">
        <v>84</v>
      </c>
      <c r="E157" s="234" t="s">
        <v>248</v>
      </c>
      <c r="F157" s="234" t="s">
        <v>1069</v>
      </c>
      <c r="G157" s="235">
        <f>VLOOKUP(J157,'исх АС БЮДЖЕТ'!$A$10:$H$568,6,0)</f>
        <v>14800</v>
      </c>
      <c r="H157" s="234">
        <v>1420411010</v>
      </c>
      <c r="I157" s="313" t="str">
        <f t="shared" si="11"/>
        <v>1420411010</v>
      </c>
      <c r="J157" s="30" t="str">
        <f t="shared" si="12"/>
        <v>60101131420411010112</v>
      </c>
    </row>
    <row r="158" spans="1:10" s="4" customFormat="1" ht="25.5">
      <c r="A158" s="236" t="s">
        <v>935</v>
      </c>
      <c r="B158" s="233" t="s">
        <v>55</v>
      </c>
      <c r="C158" s="234" t="s">
        <v>65</v>
      </c>
      <c r="D158" s="234" t="s">
        <v>84</v>
      </c>
      <c r="E158" s="234" t="s">
        <v>248</v>
      </c>
      <c r="F158" s="234" t="s">
        <v>1057</v>
      </c>
      <c r="G158" s="235">
        <f>VLOOKUP(J158,'исх АС БЮДЖЕТ'!$A$10:$H$568,6,0)</f>
        <v>13480910</v>
      </c>
      <c r="H158" s="234">
        <v>1420411010</v>
      </c>
      <c r="I158" s="313" t="str">
        <f t="shared" si="11"/>
        <v>1420411010</v>
      </c>
      <c r="J158" s="30" t="str">
        <f t="shared" si="12"/>
        <v>60101131420411010119</v>
      </c>
    </row>
    <row r="159" spans="1:10" s="3" customFormat="1" ht="25.5">
      <c r="A159" s="232" t="s">
        <v>108</v>
      </c>
      <c r="B159" s="233" t="s">
        <v>55</v>
      </c>
      <c r="C159" s="234" t="s">
        <v>65</v>
      </c>
      <c r="D159" s="234" t="s">
        <v>84</v>
      </c>
      <c r="E159" s="234" t="s">
        <v>248</v>
      </c>
      <c r="F159" s="234" t="s">
        <v>116</v>
      </c>
      <c r="G159" s="235">
        <f>G160</f>
        <v>19891080</v>
      </c>
      <c r="H159" s="234">
        <v>1420411010</v>
      </c>
      <c r="I159" s="313" t="str">
        <f t="shared" si="11"/>
        <v>1420411010</v>
      </c>
      <c r="J159" s="30" t="str">
        <f t="shared" si="12"/>
        <v>60101131420411010240</v>
      </c>
    </row>
    <row r="160" spans="1:10" s="4" customFormat="1" ht="25.5">
      <c r="A160" s="236" t="s">
        <v>973</v>
      </c>
      <c r="B160" s="233" t="s">
        <v>55</v>
      </c>
      <c r="C160" s="234" t="s">
        <v>65</v>
      </c>
      <c r="D160" s="234" t="s">
        <v>84</v>
      </c>
      <c r="E160" s="234" t="s">
        <v>248</v>
      </c>
      <c r="F160" s="234" t="s">
        <v>1043</v>
      </c>
      <c r="G160" s="235">
        <f>VLOOKUP(J160,'исх АС БЮДЖЕТ'!$A$10:$H$568,6,0)</f>
        <v>19891080</v>
      </c>
      <c r="H160" s="234">
        <v>1420411010</v>
      </c>
      <c r="I160" s="313" t="str">
        <f t="shared" si="11"/>
        <v>1420411010</v>
      </c>
      <c r="J160" s="30" t="str">
        <f t="shared" si="12"/>
        <v>60101131420411010244</v>
      </c>
    </row>
    <row r="161" spans="1:10" s="3" customFormat="1">
      <c r="A161" s="232" t="s">
        <v>97</v>
      </c>
      <c r="B161" s="233" t="s">
        <v>55</v>
      </c>
      <c r="C161" s="234" t="s">
        <v>65</v>
      </c>
      <c r="D161" s="234" t="s">
        <v>84</v>
      </c>
      <c r="E161" s="234" t="s">
        <v>248</v>
      </c>
      <c r="F161" s="245">
        <v>850</v>
      </c>
      <c r="G161" s="235">
        <f>SUM(G162:G164)</f>
        <v>1297430</v>
      </c>
      <c r="H161" s="234">
        <v>1420411010</v>
      </c>
      <c r="I161" s="313" t="str">
        <f t="shared" si="11"/>
        <v>1420411010</v>
      </c>
      <c r="J161" s="30" t="str">
        <f t="shared" si="12"/>
        <v>60101131420411010850</v>
      </c>
    </row>
    <row r="162" spans="1:10" s="4" customFormat="1">
      <c r="A162" s="236" t="s">
        <v>1036</v>
      </c>
      <c r="B162" s="233" t="s">
        <v>55</v>
      </c>
      <c r="C162" s="234" t="s">
        <v>65</v>
      </c>
      <c r="D162" s="234" t="s">
        <v>84</v>
      </c>
      <c r="E162" s="234" t="s">
        <v>248</v>
      </c>
      <c r="F162" s="246">
        <v>851</v>
      </c>
      <c r="G162" s="235">
        <f>VLOOKUP(J162,'исх АС БЮДЖЕТ'!$A$10:$H$568,6,0)</f>
        <v>1283590</v>
      </c>
      <c r="H162" s="234">
        <v>1420411010</v>
      </c>
      <c r="I162" s="313" t="str">
        <f t="shared" si="11"/>
        <v>1420411010</v>
      </c>
      <c r="J162" s="30" t="str">
        <f t="shared" si="12"/>
        <v>60101131420411010851</v>
      </c>
    </row>
    <row r="163" spans="1:10" s="4" customFormat="1">
      <c r="A163" s="236" t="s">
        <v>1037</v>
      </c>
      <c r="B163" s="233" t="s">
        <v>55</v>
      </c>
      <c r="C163" s="234" t="s">
        <v>65</v>
      </c>
      <c r="D163" s="234" t="s">
        <v>84</v>
      </c>
      <c r="E163" s="234" t="s">
        <v>248</v>
      </c>
      <c r="F163" s="246">
        <v>852</v>
      </c>
      <c r="G163" s="235">
        <f>VLOOKUP(J163,'исх АС БЮДЖЕТ'!$A$10:$H$568,6,0)</f>
        <v>5724</v>
      </c>
      <c r="H163" s="234">
        <v>1420411010</v>
      </c>
      <c r="I163" s="313" t="str">
        <f t="shared" si="11"/>
        <v>1420411010</v>
      </c>
      <c r="J163" s="30" t="str">
        <f t="shared" si="12"/>
        <v>60101131420411010852</v>
      </c>
    </row>
    <row r="164" spans="1:10" s="4" customFormat="1">
      <c r="A164" s="236" t="s">
        <v>1038</v>
      </c>
      <c r="B164" s="233" t="s">
        <v>55</v>
      </c>
      <c r="C164" s="234" t="s">
        <v>65</v>
      </c>
      <c r="D164" s="234" t="s">
        <v>84</v>
      </c>
      <c r="E164" s="234" t="s">
        <v>248</v>
      </c>
      <c r="F164" s="246">
        <v>853</v>
      </c>
      <c r="G164" s="235">
        <f>VLOOKUP(J164,'исх АС БЮДЖЕТ'!$A$10:$H$568,6,0)</f>
        <v>8116</v>
      </c>
      <c r="H164" s="234">
        <v>1420411010</v>
      </c>
      <c r="I164" s="313" t="str">
        <f t="shared" ref="I164" si="15">TEXT(H164,"0000000000")</f>
        <v>1420411010</v>
      </c>
      <c r="J164" s="30" t="str">
        <f t="shared" si="12"/>
        <v>60101131420411010853</v>
      </c>
    </row>
    <row r="165" spans="1:10" s="3" customFormat="1" ht="25.5">
      <c r="A165" s="236" t="s">
        <v>752</v>
      </c>
      <c r="B165" s="241">
        <v>601</v>
      </c>
      <c r="C165" s="241" t="s">
        <v>65</v>
      </c>
      <c r="D165" s="241">
        <v>13</v>
      </c>
      <c r="E165" s="241" t="s">
        <v>249</v>
      </c>
      <c r="F165" s="241" t="s">
        <v>58</v>
      </c>
      <c r="G165" s="247">
        <f>G166+G175+G190</f>
        <v>1113100</v>
      </c>
      <c r="H165" s="241">
        <v>1500000000</v>
      </c>
      <c r="I165" s="313" t="str">
        <f t="shared" si="11"/>
        <v>1500000000</v>
      </c>
      <c r="J165" s="30" t="str">
        <f t="shared" si="12"/>
        <v>60101131500000000000</v>
      </c>
    </row>
    <row r="166" spans="1:10" s="3" customFormat="1">
      <c r="A166" s="232" t="s">
        <v>753</v>
      </c>
      <c r="B166" s="241">
        <v>601</v>
      </c>
      <c r="C166" s="241" t="s">
        <v>65</v>
      </c>
      <c r="D166" s="241">
        <v>13</v>
      </c>
      <c r="E166" s="241" t="s">
        <v>250</v>
      </c>
      <c r="F166" s="241" t="s">
        <v>58</v>
      </c>
      <c r="G166" s="247">
        <f>G167+G171</f>
        <v>374000</v>
      </c>
      <c r="H166" s="241">
        <v>1510000000</v>
      </c>
      <c r="I166" s="313" t="str">
        <f t="shared" si="11"/>
        <v>1510000000</v>
      </c>
      <c r="J166" s="30" t="str">
        <f t="shared" si="12"/>
        <v>60101131510000000000</v>
      </c>
    </row>
    <row r="167" spans="1:10" s="3" customFormat="1" ht="38.25">
      <c r="A167" s="237" t="s">
        <v>880</v>
      </c>
      <c r="B167" s="241">
        <v>601</v>
      </c>
      <c r="C167" s="241" t="s">
        <v>65</v>
      </c>
      <c r="D167" s="241">
        <v>13</v>
      </c>
      <c r="E167" s="241" t="s">
        <v>538</v>
      </c>
      <c r="F167" s="241" t="s">
        <v>58</v>
      </c>
      <c r="G167" s="247">
        <f>G168</f>
        <v>357000</v>
      </c>
      <c r="H167" s="241">
        <v>1510100000</v>
      </c>
      <c r="I167" s="313" t="str">
        <f t="shared" si="11"/>
        <v>1510100000</v>
      </c>
      <c r="J167" s="30" t="str">
        <f t="shared" si="12"/>
        <v>60101131510100000000</v>
      </c>
    </row>
    <row r="168" spans="1:10" s="3" customFormat="1" ht="25.5">
      <c r="A168" s="237" t="s">
        <v>122</v>
      </c>
      <c r="B168" s="241">
        <v>601</v>
      </c>
      <c r="C168" s="241" t="s">
        <v>65</v>
      </c>
      <c r="D168" s="241">
        <v>13</v>
      </c>
      <c r="E168" s="241" t="s">
        <v>539</v>
      </c>
      <c r="F168" s="241" t="s">
        <v>58</v>
      </c>
      <c r="G168" s="247">
        <f>SUM(G169:G169)</f>
        <v>357000</v>
      </c>
      <c r="H168" s="241">
        <v>1510120350</v>
      </c>
      <c r="I168" s="313" t="str">
        <f t="shared" si="11"/>
        <v>1510120350</v>
      </c>
      <c r="J168" s="30" t="str">
        <f t="shared" si="12"/>
        <v>60101131510120350000</v>
      </c>
    </row>
    <row r="169" spans="1:10" s="3" customFormat="1" ht="25.5">
      <c r="A169" s="248" t="s">
        <v>108</v>
      </c>
      <c r="B169" s="241">
        <v>601</v>
      </c>
      <c r="C169" s="241" t="s">
        <v>65</v>
      </c>
      <c r="D169" s="241">
        <v>13</v>
      </c>
      <c r="E169" s="241" t="s">
        <v>539</v>
      </c>
      <c r="F169" s="241" t="s">
        <v>116</v>
      </c>
      <c r="G169" s="235">
        <f>G170</f>
        <v>357000</v>
      </c>
      <c r="H169" s="241">
        <v>1510120350</v>
      </c>
      <c r="I169" s="313" t="str">
        <f t="shared" si="11"/>
        <v>1510120350</v>
      </c>
      <c r="J169" s="30" t="str">
        <f t="shared" si="12"/>
        <v>60101131510120350240</v>
      </c>
    </row>
    <row r="170" spans="1:10" s="4" customFormat="1" ht="25.5">
      <c r="A170" s="236" t="s">
        <v>973</v>
      </c>
      <c r="B170" s="241">
        <v>601</v>
      </c>
      <c r="C170" s="241" t="s">
        <v>65</v>
      </c>
      <c r="D170" s="241">
        <v>13</v>
      </c>
      <c r="E170" s="241" t="s">
        <v>539</v>
      </c>
      <c r="F170" s="241" t="s">
        <v>1043</v>
      </c>
      <c r="G170" s="235">
        <f>VLOOKUP(J170,'исх АС БЮДЖЕТ'!$A$10:$H$568,6,0)</f>
        <v>357000</v>
      </c>
      <c r="H170" s="241">
        <v>1510120350</v>
      </c>
      <c r="I170" s="313" t="str">
        <f t="shared" si="11"/>
        <v>1510120350</v>
      </c>
      <c r="J170" s="30" t="str">
        <f t="shared" si="12"/>
        <v>60101131510120350244</v>
      </c>
    </row>
    <row r="171" spans="1:10" s="3" customFormat="1">
      <c r="A171" s="248" t="s">
        <v>618</v>
      </c>
      <c r="B171" s="241">
        <v>601</v>
      </c>
      <c r="C171" s="241" t="s">
        <v>65</v>
      </c>
      <c r="D171" s="241">
        <v>13</v>
      </c>
      <c r="E171" s="241" t="s">
        <v>540</v>
      </c>
      <c r="F171" s="241" t="s">
        <v>58</v>
      </c>
      <c r="G171" s="247">
        <f t="shared" ref="G171:G172" si="16">G172</f>
        <v>17000</v>
      </c>
      <c r="H171" s="241">
        <v>1510200000</v>
      </c>
      <c r="I171" s="313" t="str">
        <f t="shared" si="11"/>
        <v>1510200000</v>
      </c>
      <c r="J171" s="30" t="str">
        <f t="shared" si="12"/>
        <v>60101131510200000000</v>
      </c>
    </row>
    <row r="172" spans="1:10" s="3" customFormat="1" ht="25.5">
      <c r="A172" s="248" t="s">
        <v>122</v>
      </c>
      <c r="B172" s="241">
        <v>601</v>
      </c>
      <c r="C172" s="241" t="s">
        <v>65</v>
      </c>
      <c r="D172" s="241">
        <v>13</v>
      </c>
      <c r="E172" s="241" t="s">
        <v>571</v>
      </c>
      <c r="F172" s="241" t="s">
        <v>58</v>
      </c>
      <c r="G172" s="247">
        <f t="shared" si="16"/>
        <v>17000</v>
      </c>
      <c r="H172" s="241">
        <v>1510220350</v>
      </c>
      <c r="I172" s="313" t="str">
        <f t="shared" si="11"/>
        <v>1510220350</v>
      </c>
      <c r="J172" s="30" t="str">
        <f t="shared" si="12"/>
        <v>60101131510220350000</v>
      </c>
    </row>
    <row r="173" spans="1:10" s="3" customFormat="1" ht="25.5">
      <c r="A173" s="248" t="s">
        <v>108</v>
      </c>
      <c r="B173" s="241">
        <v>601</v>
      </c>
      <c r="C173" s="241" t="s">
        <v>65</v>
      </c>
      <c r="D173" s="241">
        <v>13</v>
      </c>
      <c r="E173" s="241" t="s">
        <v>571</v>
      </c>
      <c r="F173" s="241" t="s">
        <v>116</v>
      </c>
      <c r="G173" s="235">
        <f>G174</f>
        <v>17000</v>
      </c>
      <c r="H173" s="241">
        <v>1510220350</v>
      </c>
      <c r="I173" s="313" t="str">
        <f t="shared" si="11"/>
        <v>1510220350</v>
      </c>
      <c r="J173" s="30" t="str">
        <f t="shared" si="12"/>
        <v>60101131510220350240</v>
      </c>
    </row>
    <row r="174" spans="1:10" s="4" customFormat="1" ht="25.5">
      <c r="A174" s="236" t="s">
        <v>973</v>
      </c>
      <c r="B174" s="241">
        <v>601</v>
      </c>
      <c r="C174" s="241" t="s">
        <v>65</v>
      </c>
      <c r="D174" s="241">
        <v>13</v>
      </c>
      <c r="E174" s="241" t="s">
        <v>571</v>
      </c>
      <c r="F174" s="241" t="s">
        <v>1043</v>
      </c>
      <c r="G174" s="235">
        <f>VLOOKUP(J174,'исх АС БЮДЖЕТ'!$A$10:$H$568,6,0)</f>
        <v>17000</v>
      </c>
      <c r="H174" s="241">
        <v>1510220350</v>
      </c>
      <c r="I174" s="313" t="str">
        <f t="shared" si="11"/>
        <v>1510220350</v>
      </c>
      <c r="J174" s="30" t="str">
        <f t="shared" si="12"/>
        <v>60101131510220350244</v>
      </c>
    </row>
    <row r="175" spans="1:10" s="3" customFormat="1">
      <c r="A175" s="236" t="s">
        <v>754</v>
      </c>
      <c r="B175" s="245">
        <v>601</v>
      </c>
      <c r="C175" s="241" t="s">
        <v>65</v>
      </c>
      <c r="D175" s="241">
        <v>13</v>
      </c>
      <c r="E175" s="241" t="s">
        <v>251</v>
      </c>
      <c r="F175" s="241" t="s">
        <v>58</v>
      </c>
      <c r="G175" s="247">
        <f>G180+G185+G176</f>
        <v>460300</v>
      </c>
      <c r="H175" s="241">
        <v>1520000000</v>
      </c>
      <c r="I175" s="313" t="str">
        <f t="shared" si="11"/>
        <v>1520000000</v>
      </c>
      <c r="J175" s="30" t="str">
        <f t="shared" si="12"/>
        <v>60101131520000000000</v>
      </c>
    </row>
    <row r="176" spans="1:10" s="3" customFormat="1" ht="25.5">
      <c r="A176" s="237" t="s">
        <v>774</v>
      </c>
      <c r="B176" s="245">
        <v>601</v>
      </c>
      <c r="C176" s="241" t="s">
        <v>65</v>
      </c>
      <c r="D176" s="241">
        <v>13</v>
      </c>
      <c r="E176" s="241" t="s">
        <v>775</v>
      </c>
      <c r="F176" s="241" t="s">
        <v>58</v>
      </c>
      <c r="G176" s="247">
        <f>G177</f>
        <v>83300</v>
      </c>
      <c r="H176" s="241">
        <v>1520100000</v>
      </c>
      <c r="I176" s="313" t="str">
        <f t="shared" si="11"/>
        <v>1520100000</v>
      </c>
      <c r="J176" s="30" t="str">
        <f t="shared" si="12"/>
        <v>60101131520100000000</v>
      </c>
    </row>
    <row r="177" spans="1:10" s="3" customFormat="1" ht="38.25">
      <c r="A177" s="237" t="s">
        <v>873</v>
      </c>
      <c r="B177" s="245">
        <v>601</v>
      </c>
      <c r="C177" s="241" t="s">
        <v>65</v>
      </c>
      <c r="D177" s="241">
        <v>13</v>
      </c>
      <c r="E177" s="241" t="s">
        <v>776</v>
      </c>
      <c r="F177" s="241" t="s">
        <v>58</v>
      </c>
      <c r="G177" s="235">
        <f>G178</f>
        <v>83300</v>
      </c>
      <c r="H177" s="241">
        <v>1520120370</v>
      </c>
      <c r="I177" s="313" t="str">
        <f t="shared" si="11"/>
        <v>1520120370</v>
      </c>
      <c r="J177" s="30" t="str">
        <f t="shared" si="12"/>
        <v>60101131520120370000</v>
      </c>
    </row>
    <row r="178" spans="1:10" s="3" customFormat="1" ht="25.5">
      <c r="A178" s="232" t="s">
        <v>108</v>
      </c>
      <c r="B178" s="245">
        <v>601</v>
      </c>
      <c r="C178" s="241" t="s">
        <v>65</v>
      </c>
      <c r="D178" s="241">
        <v>13</v>
      </c>
      <c r="E178" s="241" t="s">
        <v>776</v>
      </c>
      <c r="F178" s="241" t="s">
        <v>116</v>
      </c>
      <c r="G178" s="235">
        <f>G179</f>
        <v>83300</v>
      </c>
      <c r="H178" s="241">
        <v>1520120370</v>
      </c>
      <c r="I178" s="313" t="str">
        <f t="shared" si="11"/>
        <v>1520120370</v>
      </c>
      <c r="J178" s="30" t="str">
        <f t="shared" si="12"/>
        <v>60101131520120370240</v>
      </c>
    </row>
    <row r="179" spans="1:10" s="4" customFormat="1" ht="25.5">
      <c r="A179" s="236" t="s">
        <v>973</v>
      </c>
      <c r="B179" s="245">
        <v>601</v>
      </c>
      <c r="C179" s="241" t="s">
        <v>65</v>
      </c>
      <c r="D179" s="241">
        <v>13</v>
      </c>
      <c r="E179" s="241" t="s">
        <v>776</v>
      </c>
      <c r="F179" s="241" t="s">
        <v>1043</v>
      </c>
      <c r="G179" s="235">
        <f>VLOOKUP(J179,'исх АС БЮДЖЕТ'!$A$10:$H$568,6,0)</f>
        <v>83300</v>
      </c>
      <c r="H179" s="241">
        <v>1520120370</v>
      </c>
      <c r="I179" s="313" t="str">
        <f t="shared" si="11"/>
        <v>1520120370</v>
      </c>
      <c r="J179" s="30" t="str">
        <f t="shared" si="12"/>
        <v>60101131520120370244</v>
      </c>
    </row>
    <row r="180" spans="1:10" s="3" customFormat="1" ht="25.5">
      <c r="A180" s="237" t="s">
        <v>611</v>
      </c>
      <c r="B180" s="245">
        <v>601</v>
      </c>
      <c r="C180" s="241" t="s">
        <v>65</v>
      </c>
      <c r="D180" s="241">
        <v>13</v>
      </c>
      <c r="E180" s="241" t="s">
        <v>252</v>
      </c>
      <c r="F180" s="234" t="s">
        <v>58</v>
      </c>
      <c r="G180" s="235">
        <f>G181</f>
        <v>175000</v>
      </c>
      <c r="H180" s="241">
        <v>1520200000</v>
      </c>
      <c r="I180" s="313" t="str">
        <f t="shared" si="11"/>
        <v>1520200000</v>
      </c>
      <c r="J180" s="30" t="str">
        <f t="shared" si="12"/>
        <v>60101131520200000000</v>
      </c>
    </row>
    <row r="181" spans="1:10" s="3" customFormat="1" ht="38.25">
      <c r="A181" s="237" t="s">
        <v>873</v>
      </c>
      <c r="B181" s="245">
        <v>601</v>
      </c>
      <c r="C181" s="241" t="s">
        <v>65</v>
      </c>
      <c r="D181" s="241">
        <v>13</v>
      </c>
      <c r="E181" s="241" t="s">
        <v>253</v>
      </c>
      <c r="F181" s="234" t="s">
        <v>58</v>
      </c>
      <c r="G181" s="235">
        <f>G182+G184</f>
        <v>175000</v>
      </c>
      <c r="H181" s="241">
        <v>1520220370</v>
      </c>
      <c r="I181" s="313" t="str">
        <f t="shared" si="11"/>
        <v>1520220370</v>
      </c>
      <c r="J181" s="30" t="str">
        <f t="shared" si="12"/>
        <v>60101131520220370000</v>
      </c>
    </row>
    <row r="182" spans="1:10" s="3" customFormat="1" ht="25.5">
      <c r="A182" s="232" t="s">
        <v>108</v>
      </c>
      <c r="B182" s="245">
        <v>601</v>
      </c>
      <c r="C182" s="241" t="s">
        <v>65</v>
      </c>
      <c r="D182" s="241">
        <v>13</v>
      </c>
      <c r="E182" s="241" t="s">
        <v>253</v>
      </c>
      <c r="F182" s="234" t="s">
        <v>116</v>
      </c>
      <c r="G182" s="235">
        <f>G183</f>
        <v>105000</v>
      </c>
      <c r="H182" s="241">
        <v>1520220370</v>
      </c>
      <c r="I182" s="313" t="str">
        <f t="shared" si="11"/>
        <v>1520220370</v>
      </c>
      <c r="J182" s="30" t="str">
        <f t="shared" si="12"/>
        <v>60101131520220370240</v>
      </c>
    </row>
    <row r="183" spans="1:10" s="4" customFormat="1" ht="25.5">
      <c r="A183" s="236" t="s">
        <v>973</v>
      </c>
      <c r="B183" s="245">
        <v>601</v>
      </c>
      <c r="C183" s="241" t="s">
        <v>65</v>
      </c>
      <c r="D183" s="241">
        <v>13</v>
      </c>
      <c r="E183" s="241" t="s">
        <v>253</v>
      </c>
      <c r="F183" s="234" t="s">
        <v>1043</v>
      </c>
      <c r="G183" s="235">
        <f>VLOOKUP(J183,'исх АС БЮДЖЕТ'!$A$10:$H$568,6,0)</f>
        <v>105000</v>
      </c>
      <c r="H183" s="241">
        <v>1520220370</v>
      </c>
      <c r="I183" s="313" t="str">
        <f t="shared" si="11"/>
        <v>1520220370</v>
      </c>
      <c r="J183" s="30" t="str">
        <f t="shared" si="12"/>
        <v>60101131520220370244</v>
      </c>
    </row>
    <row r="184" spans="1:10" s="3" customFormat="1">
      <c r="A184" s="248" t="s">
        <v>91</v>
      </c>
      <c r="B184" s="245">
        <v>601</v>
      </c>
      <c r="C184" s="241" t="s">
        <v>65</v>
      </c>
      <c r="D184" s="241">
        <v>13</v>
      </c>
      <c r="E184" s="241" t="s">
        <v>253</v>
      </c>
      <c r="F184" s="234" t="s">
        <v>100</v>
      </c>
      <c r="G184" s="235">
        <f>VLOOKUP(J184,'исх АС БЮДЖЕТ'!$A$10:$H$568,6,0)</f>
        <v>70000</v>
      </c>
      <c r="H184" s="241">
        <v>1520220370</v>
      </c>
      <c r="I184" s="313" t="str">
        <f t="shared" si="11"/>
        <v>1520220370</v>
      </c>
      <c r="J184" s="30" t="str">
        <f t="shared" si="12"/>
        <v>60101131520220370360</v>
      </c>
    </row>
    <row r="185" spans="1:10" s="3" customFormat="1" ht="25.5">
      <c r="A185" s="237" t="s">
        <v>615</v>
      </c>
      <c r="B185" s="245">
        <v>601</v>
      </c>
      <c r="C185" s="241" t="s">
        <v>65</v>
      </c>
      <c r="D185" s="241">
        <v>13</v>
      </c>
      <c r="E185" s="241" t="s">
        <v>254</v>
      </c>
      <c r="F185" s="234" t="s">
        <v>58</v>
      </c>
      <c r="G185" s="235">
        <f>G186</f>
        <v>202000</v>
      </c>
      <c r="H185" s="241">
        <v>1520300000</v>
      </c>
      <c r="I185" s="313" t="str">
        <f t="shared" si="11"/>
        <v>1520300000</v>
      </c>
      <c r="J185" s="30" t="str">
        <f t="shared" si="12"/>
        <v>60101131520300000000</v>
      </c>
    </row>
    <row r="186" spans="1:10" s="3" customFormat="1" ht="38.25">
      <c r="A186" s="237" t="s">
        <v>873</v>
      </c>
      <c r="B186" s="245">
        <v>601</v>
      </c>
      <c r="C186" s="241" t="s">
        <v>65</v>
      </c>
      <c r="D186" s="241">
        <v>13</v>
      </c>
      <c r="E186" s="241" t="s">
        <v>255</v>
      </c>
      <c r="F186" s="234" t="s">
        <v>58</v>
      </c>
      <c r="G186" s="235">
        <f>G187+G189</f>
        <v>202000</v>
      </c>
      <c r="H186" s="241">
        <v>1520320370</v>
      </c>
      <c r="I186" s="313" t="str">
        <f t="shared" si="11"/>
        <v>1520320370</v>
      </c>
      <c r="J186" s="30" t="str">
        <f t="shared" si="12"/>
        <v>60101131520320370000</v>
      </c>
    </row>
    <row r="187" spans="1:10" s="3" customFormat="1" ht="25.5">
      <c r="A187" s="232" t="s">
        <v>108</v>
      </c>
      <c r="B187" s="245">
        <v>601</v>
      </c>
      <c r="C187" s="241" t="s">
        <v>65</v>
      </c>
      <c r="D187" s="241">
        <v>13</v>
      </c>
      <c r="E187" s="241" t="s">
        <v>255</v>
      </c>
      <c r="F187" s="234" t="s">
        <v>116</v>
      </c>
      <c r="G187" s="235">
        <f>G188</f>
        <v>140000</v>
      </c>
      <c r="H187" s="241">
        <v>1520320370</v>
      </c>
      <c r="I187" s="313" t="str">
        <f t="shared" si="11"/>
        <v>1520320370</v>
      </c>
      <c r="J187" s="30" t="str">
        <f t="shared" si="12"/>
        <v>60101131520320370240</v>
      </c>
    </row>
    <row r="188" spans="1:10" s="4" customFormat="1" ht="25.5">
      <c r="A188" s="236" t="s">
        <v>973</v>
      </c>
      <c r="B188" s="245">
        <v>601</v>
      </c>
      <c r="C188" s="241" t="s">
        <v>65</v>
      </c>
      <c r="D188" s="241">
        <v>13</v>
      </c>
      <c r="E188" s="241" t="s">
        <v>255</v>
      </c>
      <c r="F188" s="234" t="s">
        <v>1043</v>
      </c>
      <c r="G188" s="235">
        <f>VLOOKUP(J188,'исх АС БЮДЖЕТ'!$A$10:$H$568,6,0)</f>
        <v>140000</v>
      </c>
      <c r="H188" s="241">
        <v>1520320370</v>
      </c>
      <c r="I188" s="313" t="str">
        <f t="shared" si="11"/>
        <v>1520320370</v>
      </c>
      <c r="J188" s="30" t="str">
        <f t="shared" si="12"/>
        <v>60101131520320370244</v>
      </c>
    </row>
    <row r="189" spans="1:10" s="3" customFormat="1">
      <c r="A189" s="248" t="s">
        <v>91</v>
      </c>
      <c r="B189" s="245">
        <v>601</v>
      </c>
      <c r="C189" s="241" t="s">
        <v>65</v>
      </c>
      <c r="D189" s="241">
        <v>13</v>
      </c>
      <c r="E189" s="241" t="s">
        <v>255</v>
      </c>
      <c r="F189" s="234" t="s">
        <v>100</v>
      </c>
      <c r="G189" s="235">
        <f>VLOOKUP(J189,'исх АС БЮДЖЕТ'!$A$10:$H$568,6,0)</f>
        <v>62000</v>
      </c>
      <c r="H189" s="241">
        <v>1520320370</v>
      </c>
      <c r="I189" s="313" t="str">
        <f t="shared" si="11"/>
        <v>1520320370</v>
      </c>
      <c r="J189" s="30" t="str">
        <f t="shared" si="12"/>
        <v>60101131520320370360</v>
      </c>
    </row>
    <row r="190" spans="1:10" s="3" customFormat="1">
      <c r="A190" s="232" t="s">
        <v>755</v>
      </c>
      <c r="B190" s="245">
        <v>601</v>
      </c>
      <c r="C190" s="241" t="s">
        <v>65</v>
      </c>
      <c r="D190" s="241">
        <v>13</v>
      </c>
      <c r="E190" s="241" t="s">
        <v>256</v>
      </c>
      <c r="F190" s="234" t="s">
        <v>58</v>
      </c>
      <c r="G190" s="235">
        <f t="shared" ref="G190:G192" si="17">G191</f>
        <v>278800</v>
      </c>
      <c r="H190" s="241">
        <v>1530000000</v>
      </c>
      <c r="I190" s="313" t="str">
        <f t="shared" si="11"/>
        <v>1530000000</v>
      </c>
      <c r="J190" s="30" t="str">
        <f t="shared" si="12"/>
        <v>60101131530000000000</v>
      </c>
    </row>
    <row r="191" spans="1:10" s="3" customFormat="1" ht="25.5">
      <c r="A191" s="232" t="s">
        <v>679</v>
      </c>
      <c r="B191" s="245">
        <v>601</v>
      </c>
      <c r="C191" s="241" t="s">
        <v>65</v>
      </c>
      <c r="D191" s="241">
        <v>13</v>
      </c>
      <c r="E191" s="241" t="s">
        <v>257</v>
      </c>
      <c r="F191" s="234" t="s">
        <v>58</v>
      </c>
      <c r="G191" s="235">
        <f t="shared" si="17"/>
        <v>278800</v>
      </c>
      <c r="H191" s="241">
        <v>1530300000</v>
      </c>
      <c r="I191" s="313" t="str">
        <f t="shared" si="11"/>
        <v>1530300000</v>
      </c>
      <c r="J191" s="30" t="str">
        <f t="shared" si="12"/>
        <v>60101131530300000000</v>
      </c>
    </row>
    <row r="192" spans="1:10" s="3" customFormat="1" ht="38.25">
      <c r="A192" s="232" t="s">
        <v>678</v>
      </c>
      <c r="B192" s="245">
        <v>601</v>
      </c>
      <c r="C192" s="241" t="s">
        <v>65</v>
      </c>
      <c r="D192" s="241">
        <v>13</v>
      </c>
      <c r="E192" s="241" t="s">
        <v>258</v>
      </c>
      <c r="F192" s="234" t="s">
        <v>58</v>
      </c>
      <c r="G192" s="235">
        <f t="shared" si="17"/>
        <v>278800</v>
      </c>
      <c r="H192" s="241">
        <v>1530320100</v>
      </c>
      <c r="I192" s="313" t="str">
        <f t="shared" si="11"/>
        <v>1530320100</v>
      </c>
      <c r="J192" s="30" t="str">
        <f t="shared" si="12"/>
        <v>60101131530320100000</v>
      </c>
    </row>
    <row r="193" spans="1:10" s="3" customFormat="1">
      <c r="A193" s="248" t="s">
        <v>91</v>
      </c>
      <c r="B193" s="245">
        <v>601</v>
      </c>
      <c r="C193" s="241" t="s">
        <v>65</v>
      </c>
      <c r="D193" s="241">
        <v>13</v>
      </c>
      <c r="E193" s="241" t="s">
        <v>258</v>
      </c>
      <c r="F193" s="234" t="s">
        <v>100</v>
      </c>
      <c r="G193" s="235">
        <f>VLOOKUP(J193,'исх АС БЮДЖЕТ'!$A$10:$H$568,6,0)</f>
        <v>278800</v>
      </c>
      <c r="H193" s="241">
        <v>1530320100</v>
      </c>
      <c r="I193" s="313" t="str">
        <f t="shared" si="11"/>
        <v>1530320100</v>
      </c>
      <c r="J193" s="30" t="str">
        <f t="shared" si="12"/>
        <v>60101131530320100360</v>
      </c>
    </row>
    <row r="194" spans="1:10" s="3" customFormat="1">
      <c r="A194" s="232" t="s">
        <v>759</v>
      </c>
      <c r="B194" s="233" t="s">
        <v>55</v>
      </c>
      <c r="C194" s="234" t="s">
        <v>65</v>
      </c>
      <c r="D194" s="234" t="s">
        <v>84</v>
      </c>
      <c r="E194" s="234" t="s">
        <v>259</v>
      </c>
      <c r="F194" s="234" t="s">
        <v>58</v>
      </c>
      <c r="G194" s="235">
        <f t="shared" ref="G194:G197" si="18">G195</f>
        <v>2292500</v>
      </c>
      <c r="H194" s="234">
        <v>1800000000</v>
      </c>
      <c r="I194" s="313" t="str">
        <f t="shared" si="11"/>
        <v>1800000000</v>
      </c>
      <c r="J194" s="30" t="str">
        <f t="shared" si="12"/>
        <v>60101131800000000000</v>
      </c>
    </row>
    <row r="195" spans="1:10" s="3" customFormat="1" ht="25.5">
      <c r="A195" s="232" t="s">
        <v>760</v>
      </c>
      <c r="B195" s="233" t="s">
        <v>55</v>
      </c>
      <c r="C195" s="234" t="s">
        <v>65</v>
      </c>
      <c r="D195" s="234" t="s">
        <v>84</v>
      </c>
      <c r="E195" s="234" t="s">
        <v>260</v>
      </c>
      <c r="F195" s="234" t="s">
        <v>58</v>
      </c>
      <c r="G195" s="235">
        <f t="shared" si="18"/>
        <v>2292500</v>
      </c>
      <c r="H195" s="234" t="s">
        <v>1182</v>
      </c>
      <c r="I195" s="313" t="str">
        <f t="shared" si="11"/>
        <v>18Б0000000</v>
      </c>
      <c r="J195" s="30" t="str">
        <f t="shared" si="12"/>
        <v>601011318Б0000000000</v>
      </c>
    </row>
    <row r="196" spans="1:10" s="3" customFormat="1" ht="38.25">
      <c r="A196" s="237" t="s">
        <v>261</v>
      </c>
      <c r="B196" s="233" t="s">
        <v>55</v>
      </c>
      <c r="C196" s="234" t="s">
        <v>65</v>
      </c>
      <c r="D196" s="234" t="s">
        <v>84</v>
      </c>
      <c r="E196" s="234" t="s">
        <v>262</v>
      </c>
      <c r="F196" s="234" t="s">
        <v>58</v>
      </c>
      <c r="G196" s="235">
        <f t="shared" si="18"/>
        <v>2292500</v>
      </c>
      <c r="H196" s="234" t="s">
        <v>1183</v>
      </c>
      <c r="I196" s="313" t="str">
        <f t="shared" si="11"/>
        <v>18Б0100000</v>
      </c>
      <c r="J196" s="30" t="str">
        <f t="shared" si="12"/>
        <v>601011318Б0100000000</v>
      </c>
    </row>
    <row r="197" spans="1:10" s="3" customFormat="1" ht="63.75">
      <c r="A197" s="232" t="s">
        <v>677</v>
      </c>
      <c r="B197" s="233" t="s">
        <v>55</v>
      </c>
      <c r="C197" s="234" t="s">
        <v>65</v>
      </c>
      <c r="D197" s="234" t="s">
        <v>84</v>
      </c>
      <c r="E197" s="234" t="s">
        <v>263</v>
      </c>
      <c r="F197" s="234" t="s">
        <v>58</v>
      </c>
      <c r="G197" s="235">
        <f t="shared" si="18"/>
        <v>2292500</v>
      </c>
      <c r="H197" s="234" t="s">
        <v>1184</v>
      </c>
      <c r="I197" s="313" t="str">
        <f t="shared" si="11"/>
        <v>18Б0160080</v>
      </c>
      <c r="J197" s="30" t="str">
        <f t="shared" si="12"/>
        <v>601011318Б0160080000</v>
      </c>
    </row>
    <row r="198" spans="1:10" s="3" customFormat="1" ht="25.5">
      <c r="A198" s="232" t="s">
        <v>111</v>
      </c>
      <c r="B198" s="233" t="s">
        <v>55</v>
      </c>
      <c r="C198" s="234" t="s">
        <v>65</v>
      </c>
      <c r="D198" s="234" t="s">
        <v>84</v>
      </c>
      <c r="E198" s="234" t="s">
        <v>263</v>
      </c>
      <c r="F198" s="234" t="s">
        <v>104</v>
      </c>
      <c r="G198" s="235">
        <f>G199</f>
        <v>2292500</v>
      </c>
      <c r="H198" s="234" t="s">
        <v>1184</v>
      </c>
      <c r="I198" s="313" t="str">
        <f t="shared" si="11"/>
        <v>18Б0160080</v>
      </c>
      <c r="J198" s="30" t="str">
        <f t="shared" si="12"/>
        <v>601011318Б0160080630</v>
      </c>
    </row>
    <row r="199" spans="1:10" s="4" customFormat="1" ht="38.25">
      <c r="A199" s="236" t="s">
        <v>1047</v>
      </c>
      <c r="B199" s="233" t="s">
        <v>55</v>
      </c>
      <c r="C199" s="234" t="s">
        <v>65</v>
      </c>
      <c r="D199" s="234" t="s">
        <v>84</v>
      </c>
      <c r="E199" s="234" t="s">
        <v>263</v>
      </c>
      <c r="F199" s="234" t="s">
        <v>1072</v>
      </c>
      <c r="G199" s="235">
        <f>VLOOKUP(J199,'исх АС БЮДЖЕТ'!$A$10:$H$568,6,0)</f>
        <v>2292500</v>
      </c>
      <c r="H199" s="234" t="s">
        <v>1184</v>
      </c>
      <c r="I199" s="313" t="str">
        <f t="shared" si="11"/>
        <v>18Б0160080</v>
      </c>
      <c r="J199" s="30" t="str">
        <f t="shared" si="12"/>
        <v>601011318Б0160080631</v>
      </c>
    </row>
    <row r="200" spans="1:10" s="3" customFormat="1">
      <c r="A200" s="237" t="s">
        <v>112</v>
      </c>
      <c r="B200" s="241" t="s">
        <v>55</v>
      </c>
      <c r="C200" s="242" t="s">
        <v>65</v>
      </c>
      <c r="D200" s="242" t="s">
        <v>84</v>
      </c>
      <c r="E200" s="242" t="s">
        <v>206</v>
      </c>
      <c r="F200" s="242" t="s">
        <v>58</v>
      </c>
      <c r="G200" s="235">
        <f>G201</f>
        <v>34152895.969999999</v>
      </c>
      <c r="H200" s="242">
        <v>7100000000</v>
      </c>
      <c r="I200" s="313" t="str">
        <f t="shared" si="11"/>
        <v>7100000000</v>
      </c>
      <c r="J200" s="30" t="str">
        <f t="shared" si="12"/>
        <v>60101137100000000000</v>
      </c>
    </row>
    <row r="201" spans="1:10" s="3" customFormat="1" ht="25.5">
      <c r="A201" s="237" t="s">
        <v>113</v>
      </c>
      <c r="B201" s="241" t="s">
        <v>55</v>
      </c>
      <c r="C201" s="242" t="s">
        <v>65</v>
      </c>
      <c r="D201" s="242" t="s">
        <v>84</v>
      </c>
      <c r="E201" s="242" t="s">
        <v>207</v>
      </c>
      <c r="F201" s="242" t="s">
        <v>58</v>
      </c>
      <c r="G201" s="235">
        <f>G202+G213</f>
        <v>34152895.969999999</v>
      </c>
      <c r="H201" s="242">
        <v>7110000000</v>
      </c>
      <c r="I201" s="313" t="str">
        <f t="shared" si="11"/>
        <v>7110000000</v>
      </c>
      <c r="J201" s="30" t="str">
        <f t="shared" si="12"/>
        <v>60101137110000000000</v>
      </c>
    </row>
    <row r="202" spans="1:10" s="3" customFormat="1">
      <c r="A202" s="237" t="s">
        <v>247</v>
      </c>
      <c r="B202" s="241" t="s">
        <v>55</v>
      </c>
      <c r="C202" s="242" t="s">
        <v>65</v>
      </c>
      <c r="D202" s="242" t="s">
        <v>84</v>
      </c>
      <c r="E202" s="242" t="s">
        <v>264</v>
      </c>
      <c r="F202" s="242" t="s">
        <v>58</v>
      </c>
      <c r="G202" s="243">
        <f>G203+G207+G209</f>
        <v>34099745.969999999</v>
      </c>
      <c r="H202" s="242">
        <v>7110011010</v>
      </c>
      <c r="I202" s="313" t="str">
        <f t="shared" si="11"/>
        <v>7110011010</v>
      </c>
      <c r="J202" s="30" t="str">
        <f t="shared" si="12"/>
        <v>60101137110011010000</v>
      </c>
    </row>
    <row r="203" spans="1:10" s="3" customFormat="1">
      <c r="A203" s="244" t="s">
        <v>106</v>
      </c>
      <c r="B203" s="241" t="s">
        <v>55</v>
      </c>
      <c r="C203" s="242" t="s">
        <v>65</v>
      </c>
      <c r="D203" s="242" t="s">
        <v>84</v>
      </c>
      <c r="E203" s="242" t="s">
        <v>264</v>
      </c>
      <c r="F203" s="242" t="s">
        <v>121</v>
      </c>
      <c r="G203" s="235">
        <f>SUM(G204:G206)</f>
        <v>12661960</v>
      </c>
      <c r="H203" s="242">
        <v>7110011010</v>
      </c>
      <c r="I203" s="313" t="str">
        <f t="shared" si="11"/>
        <v>7110011010</v>
      </c>
      <c r="J203" s="30" t="str">
        <f t="shared" si="12"/>
        <v>60101137110011010110</v>
      </c>
    </row>
    <row r="204" spans="1:10" s="4" customFormat="1">
      <c r="A204" s="236" t="s">
        <v>932</v>
      </c>
      <c r="B204" s="241" t="s">
        <v>55</v>
      </c>
      <c r="C204" s="242" t="s">
        <v>65</v>
      </c>
      <c r="D204" s="242" t="s">
        <v>84</v>
      </c>
      <c r="E204" s="242" t="s">
        <v>264</v>
      </c>
      <c r="F204" s="234" t="s">
        <v>1056</v>
      </c>
      <c r="G204" s="235">
        <f>VLOOKUP(J204,'исх АС БЮДЖЕТ'!$A$10:$H$568,6,0)</f>
        <v>9739070</v>
      </c>
      <c r="H204" s="242">
        <v>7110011010</v>
      </c>
      <c r="I204" s="313" t="str">
        <f t="shared" si="11"/>
        <v>7110011010</v>
      </c>
      <c r="J204" s="30" t="str">
        <f t="shared" si="12"/>
        <v>60101137110011010111</v>
      </c>
    </row>
    <row r="205" spans="1:10" s="4" customFormat="1">
      <c r="A205" s="236" t="s">
        <v>933</v>
      </c>
      <c r="B205" s="241" t="s">
        <v>55</v>
      </c>
      <c r="C205" s="242" t="s">
        <v>65</v>
      </c>
      <c r="D205" s="242" t="s">
        <v>84</v>
      </c>
      <c r="E205" s="242" t="s">
        <v>264</v>
      </c>
      <c r="F205" s="234" t="s">
        <v>1069</v>
      </c>
      <c r="G205" s="235">
        <f>VLOOKUP(J205,'исх АС БЮДЖЕТ'!$A$10:$H$568,6,0)</f>
        <v>55000</v>
      </c>
      <c r="H205" s="242">
        <v>7110011010</v>
      </c>
      <c r="I205" s="313" t="str">
        <f t="shared" ref="I205:I268" si="19">TEXT(H205,"0000000000")</f>
        <v>7110011010</v>
      </c>
      <c r="J205" s="30" t="str">
        <f t="shared" ref="J205:J268" si="20">CONCATENATE(B205,C205,D205,I205,F205)</f>
        <v>60101137110011010112</v>
      </c>
    </row>
    <row r="206" spans="1:10" s="4" customFormat="1" ht="25.5">
      <c r="A206" s="236" t="s">
        <v>935</v>
      </c>
      <c r="B206" s="241" t="s">
        <v>55</v>
      </c>
      <c r="C206" s="242" t="s">
        <v>65</v>
      </c>
      <c r="D206" s="242" t="s">
        <v>84</v>
      </c>
      <c r="E206" s="242" t="s">
        <v>264</v>
      </c>
      <c r="F206" s="234" t="s">
        <v>1057</v>
      </c>
      <c r="G206" s="235">
        <f>VLOOKUP(J206,'исх АС БЮДЖЕТ'!$A$10:$H$568,6,0)</f>
        <v>2867890</v>
      </c>
      <c r="H206" s="242">
        <v>7110011010</v>
      </c>
      <c r="I206" s="313" t="str">
        <f t="shared" si="19"/>
        <v>7110011010</v>
      </c>
      <c r="J206" s="30" t="str">
        <f t="shared" si="20"/>
        <v>60101137110011010119</v>
      </c>
    </row>
    <row r="207" spans="1:10" s="3" customFormat="1" ht="25.5">
      <c r="A207" s="232" t="s">
        <v>108</v>
      </c>
      <c r="B207" s="241" t="s">
        <v>55</v>
      </c>
      <c r="C207" s="242" t="s">
        <v>65</v>
      </c>
      <c r="D207" s="242" t="s">
        <v>84</v>
      </c>
      <c r="E207" s="242" t="s">
        <v>264</v>
      </c>
      <c r="F207" s="242" t="s">
        <v>116</v>
      </c>
      <c r="G207" s="235">
        <f>G208</f>
        <v>21043255.969999999</v>
      </c>
      <c r="H207" s="242">
        <v>7110011010</v>
      </c>
      <c r="I207" s="313" t="str">
        <f t="shared" si="19"/>
        <v>7110011010</v>
      </c>
      <c r="J207" s="30" t="str">
        <f t="shared" si="20"/>
        <v>60101137110011010240</v>
      </c>
    </row>
    <row r="208" spans="1:10" s="4" customFormat="1" ht="25.5">
      <c r="A208" s="236" t="s">
        <v>973</v>
      </c>
      <c r="B208" s="241" t="s">
        <v>55</v>
      </c>
      <c r="C208" s="242" t="s">
        <v>65</v>
      </c>
      <c r="D208" s="242" t="s">
        <v>84</v>
      </c>
      <c r="E208" s="242" t="s">
        <v>264</v>
      </c>
      <c r="F208" s="242" t="s">
        <v>1043</v>
      </c>
      <c r="G208" s="235">
        <f>VLOOKUP(J208,'исх АС БЮДЖЕТ'!$A$10:$H$568,6,0)</f>
        <v>21043255.969999999</v>
      </c>
      <c r="H208" s="242">
        <v>7110011010</v>
      </c>
      <c r="I208" s="313" t="str">
        <f t="shared" si="19"/>
        <v>7110011010</v>
      </c>
      <c r="J208" s="30" t="str">
        <f t="shared" si="20"/>
        <v>60101137110011010244</v>
      </c>
    </row>
    <row r="209" spans="1:10" s="3" customFormat="1">
      <c r="A209" s="232" t="s">
        <v>97</v>
      </c>
      <c r="B209" s="233" t="s">
        <v>55</v>
      </c>
      <c r="C209" s="234" t="s">
        <v>65</v>
      </c>
      <c r="D209" s="234" t="s">
        <v>84</v>
      </c>
      <c r="E209" s="234" t="s">
        <v>264</v>
      </c>
      <c r="F209" s="234" t="s">
        <v>118</v>
      </c>
      <c r="G209" s="235">
        <f>SUM(G210:G212)</f>
        <v>394530</v>
      </c>
      <c r="H209" s="234">
        <v>7110011010</v>
      </c>
      <c r="I209" s="313" t="str">
        <f t="shared" si="19"/>
        <v>7110011010</v>
      </c>
      <c r="J209" s="30" t="str">
        <f t="shared" si="20"/>
        <v>60101137110011010850</v>
      </c>
    </row>
    <row r="210" spans="1:10" s="3" customFormat="1">
      <c r="A210" s="232" t="s">
        <v>1036</v>
      </c>
      <c r="B210" s="233" t="s">
        <v>55</v>
      </c>
      <c r="C210" s="234" t="s">
        <v>65</v>
      </c>
      <c r="D210" s="234" t="s">
        <v>84</v>
      </c>
      <c r="E210" s="234" t="s">
        <v>264</v>
      </c>
      <c r="F210" s="234" t="s">
        <v>1061</v>
      </c>
      <c r="G210" s="235">
        <f>VLOOKUP(J210,'исх АС БЮДЖЕТ'!$A$10:$H$568,6,0)</f>
        <v>200000</v>
      </c>
      <c r="H210" s="234">
        <v>7110011010</v>
      </c>
      <c r="I210" s="313" t="str">
        <f t="shared" si="19"/>
        <v>7110011010</v>
      </c>
      <c r="J210" s="30" t="str">
        <f t="shared" si="20"/>
        <v>60101137110011010851</v>
      </c>
    </row>
    <row r="211" spans="1:10" s="3" customFormat="1">
      <c r="A211" s="232" t="s">
        <v>1037</v>
      </c>
      <c r="B211" s="233" t="s">
        <v>55</v>
      </c>
      <c r="C211" s="234" t="s">
        <v>65</v>
      </c>
      <c r="D211" s="234" t="s">
        <v>84</v>
      </c>
      <c r="E211" s="234" t="s">
        <v>264</v>
      </c>
      <c r="F211" s="234" t="s">
        <v>1062</v>
      </c>
      <c r="G211" s="235">
        <f>VLOOKUP(J211,'исх АС БЮДЖЕТ'!$A$10:$H$568,6,0)</f>
        <v>192530</v>
      </c>
      <c r="H211" s="234">
        <v>7110011010</v>
      </c>
      <c r="I211" s="313" t="str">
        <f t="shared" si="19"/>
        <v>7110011010</v>
      </c>
      <c r="J211" s="30" t="str">
        <f t="shared" si="20"/>
        <v>60101137110011010852</v>
      </c>
    </row>
    <row r="212" spans="1:10" s="3" customFormat="1">
      <c r="A212" s="232" t="s">
        <v>1038</v>
      </c>
      <c r="B212" s="233" t="s">
        <v>55</v>
      </c>
      <c r="C212" s="234" t="s">
        <v>65</v>
      </c>
      <c r="D212" s="234" t="s">
        <v>84</v>
      </c>
      <c r="E212" s="234" t="s">
        <v>264</v>
      </c>
      <c r="F212" s="234" t="s">
        <v>1066</v>
      </c>
      <c r="G212" s="235">
        <f>VLOOKUP(J212,'исх АС БЮДЖЕТ'!$A$10:$H$568,6,0)</f>
        <v>2000</v>
      </c>
      <c r="H212" s="234">
        <v>7110011010</v>
      </c>
      <c r="I212" s="313" t="str">
        <f t="shared" si="19"/>
        <v>7110011010</v>
      </c>
      <c r="J212" s="30" t="str">
        <f t="shared" si="20"/>
        <v>60101137110011010853</v>
      </c>
    </row>
    <row r="213" spans="1:10" s="3" customFormat="1">
      <c r="A213" s="237" t="s">
        <v>130</v>
      </c>
      <c r="B213" s="241" t="s">
        <v>55</v>
      </c>
      <c r="C213" s="242" t="s">
        <v>65</v>
      </c>
      <c r="D213" s="242" t="s">
        <v>84</v>
      </c>
      <c r="E213" s="242" t="s">
        <v>1167</v>
      </c>
      <c r="F213" s="242" t="s">
        <v>58</v>
      </c>
      <c r="G213" s="243">
        <f>G214</f>
        <v>53150</v>
      </c>
      <c r="H213" s="242">
        <v>7110020050</v>
      </c>
      <c r="I213" s="313" t="str">
        <f t="shared" si="19"/>
        <v>7110020050</v>
      </c>
      <c r="J213" s="30" t="str">
        <f t="shared" si="20"/>
        <v>60101137110020050000</v>
      </c>
    </row>
    <row r="214" spans="1:10" s="3" customFormat="1">
      <c r="A214" s="232" t="s">
        <v>96</v>
      </c>
      <c r="B214" s="241" t="s">
        <v>55</v>
      </c>
      <c r="C214" s="242" t="s">
        <v>65</v>
      </c>
      <c r="D214" s="242" t="s">
        <v>84</v>
      </c>
      <c r="E214" s="242" t="s">
        <v>1167</v>
      </c>
      <c r="F214" s="234" t="s">
        <v>131</v>
      </c>
      <c r="G214" s="312">
        <f>G215</f>
        <v>53150</v>
      </c>
      <c r="H214" s="242">
        <v>7110020050</v>
      </c>
      <c r="I214" s="313" t="str">
        <f t="shared" si="19"/>
        <v>7110020050</v>
      </c>
      <c r="J214" s="30" t="str">
        <f t="shared" si="20"/>
        <v>60101137110020050830</v>
      </c>
    </row>
    <row r="215" spans="1:10" s="3" customFormat="1" ht="25.5">
      <c r="A215" s="232" t="s">
        <v>1044</v>
      </c>
      <c r="B215" s="241" t="s">
        <v>55</v>
      </c>
      <c r="C215" s="242" t="s">
        <v>65</v>
      </c>
      <c r="D215" s="242" t="s">
        <v>84</v>
      </c>
      <c r="E215" s="242" t="s">
        <v>1167</v>
      </c>
      <c r="F215" s="234" t="s">
        <v>1045</v>
      </c>
      <c r="G215" s="235">
        <f>VLOOKUP(J215,'исх АС БЮДЖЕТ'!$A$10:$H$568,6,0)</f>
        <v>53150</v>
      </c>
      <c r="H215" s="242">
        <v>7110020050</v>
      </c>
      <c r="I215" s="313" t="str">
        <f t="shared" si="19"/>
        <v>7110020050</v>
      </c>
      <c r="J215" s="30" t="str">
        <f t="shared" si="20"/>
        <v>60101137110020050831</v>
      </c>
    </row>
    <row r="216" spans="1:10" s="3" customFormat="1" ht="25.5">
      <c r="A216" s="232" t="s">
        <v>683</v>
      </c>
      <c r="B216" s="241" t="s">
        <v>55</v>
      </c>
      <c r="C216" s="242" t="s">
        <v>65</v>
      </c>
      <c r="D216" s="242" t="s">
        <v>84</v>
      </c>
      <c r="E216" s="242" t="s">
        <v>680</v>
      </c>
      <c r="F216" s="242" t="s">
        <v>58</v>
      </c>
      <c r="G216" s="235">
        <f>G217</f>
        <v>10090580</v>
      </c>
      <c r="H216" s="242">
        <v>9800000000</v>
      </c>
      <c r="I216" s="313" t="str">
        <f t="shared" si="19"/>
        <v>9800000000</v>
      </c>
      <c r="J216" s="30" t="str">
        <f t="shared" si="20"/>
        <v>60101139800000000000</v>
      </c>
    </row>
    <row r="217" spans="1:10" s="3" customFormat="1">
      <c r="A217" s="232" t="s">
        <v>684</v>
      </c>
      <c r="B217" s="241" t="s">
        <v>55</v>
      </c>
      <c r="C217" s="242" t="s">
        <v>65</v>
      </c>
      <c r="D217" s="242" t="s">
        <v>84</v>
      </c>
      <c r="E217" s="242" t="s">
        <v>681</v>
      </c>
      <c r="F217" s="242" t="s">
        <v>58</v>
      </c>
      <c r="G217" s="235">
        <f>G218</f>
        <v>10090580</v>
      </c>
      <c r="H217" s="242">
        <v>9810000000</v>
      </c>
      <c r="I217" s="313" t="str">
        <f t="shared" si="19"/>
        <v>9810000000</v>
      </c>
      <c r="J217" s="30" t="str">
        <f t="shared" si="20"/>
        <v>60101139810000000000</v>
      </c>
    </row>
    <row r="218" spans="1:10" s="3" customFormat="1" ht="25.5">
      <c r="A218" s="237" t="s">
        <v>265</v>
      </c>
      <c r="B218" s="241" t="s">
        <v>55</v>
      </c>
      <c r="C218" s="242" t="s">
        <v>65</v>
      </c>
      <c r="D218" s="242" t="s">
        <v>84</v>
      </c>
      <c r="E218" s="242" t="s">
        <v>770</v>
      </c>
      <c r="F218" s="242" t="s">
        <v>58</v>
      </c>
      <c r="G218" s="235">
        <f>SUM(G219:G219)</f>
        <v>10090580</v>
      </c>
      <c r="H218" s="242">
        <v>9810076610</v>
      </c>
      <c r="I218" s="313" t="str">
        <f t="shared" si="19"/>
        <v>9810076610</v>
      </c>
      <c r="J218" s="30" t="str">
        <f t="shared" si="20"/>
        <v>60101139810076610000</v>
      </c>
    </row>
    <row r="219" spans="1:10" s="3" customFormat="1">
      <c r="A219" s="236" t="s">
        <v>107</v>
      </c>
      <c r="B219" s="241" t="s">
        <v>55</v>
      </c>
      <c r="C219" s="242" t="s">
        <v>65</v>
      </c>
      <c r="D219" s="242" t="s">
        <v>84</v>
      </c>
      <c r="E219" s="242" t="s">
        <v>770</v>
      </c>
      <c r="F219" s="242" t="s">
        <v>115</v>
      </c>
      <c r="G219" s="235">
        <f>SUM(G220:G221)</f>
        <v>10090580</v>
      </c>
      <c r="H219" s="242">
        <v>9810076610</v>
      </c>
      <c r="I219" s="313" t="str">
        <f t="shared" si="19"/>
        <v>9810076610</v>
      </c>
      <c r="J219" s="30" t="str">
        <f t="shared" si="20"/>
        <v>60101139810076610120</v>
      </c>
    </row>
    <row r="220" spans="1:10" s="4" customFormat="1">
      <c r="A220" s="236" t="s">
        <v>936</v>
      </c>
      <c r="B220" s="241" t="s">
        <v>55</v>
      </c>
      <c r="C220" s="242" t="s">
        <v>65</v>
      </c>
      <c r="D220" s="242" t="s">
        <v>84</v>
      </c>
      <c r="E220" s="242" t="s">
        <v>770</v>
      </c>
      <c r="F220" s="234" t="s">
        <v>1063</v>
      </c>
      <c r="G220" s="235">
        <f>VLOOKUP(J220,'исх АС БЮДЖЕТ'!$A$10:$H$568,6,0)</f>
        <v>7750057</v>
      </c>
      <c r="H220" s="242">
        <v>9810076610</v>
      </c>
      <c r="I220" s="313" t="str">
        <f t="shared" si="19"/>
        <v>9810076610</v>
      </c>
      <c r="J220" s="30" t="str">
        <f t="shared" si="20"/>
        <v>60101139810076610121</v>
      </c>
    </row>
    <row r="221" spans="1:10" s="4" customFormat="1" ht="38.25">
      <c r="A221" s="236" t="s">
        <v>939</v>
      </c>
      <c r="B221" s="241" t="s">
        <v>55</v>
      </c>
      <c r="C221" s="242" t="s">
        <v>65</v>
      </c>
      <c r="D221" s="242" t="s">
        <v>84</v>
      </c>
      <c r="E221" s="242" t="s">
        <v>770</v>
      </c>
      <c r="F221" s="234" t="s">
        <v>1060</v>
      </c>
      <c r="G221" s="235">
        <f>VLOOKUP(J221,'исх АС БЮДЖЕТ'!$A$10:$H$568,6,0)</f>
        <v>2340523</v>
      </c>
      <c r="H221" s="242">
        <v>9810076610</v>
      </c>
      <c r="I221" s="313" t="str">
        <f t="shared" si="19"/>
        <v>9810076610</v>
      </c>
      <c r="J221" s="30" t="str">
        <f t="shared" si="20"/>
        <v>60101139810076610129</v>
      </c>
    </row>
    <row r="222" spans="1:10" s="3" customFormat="1">
      <c r="A222" s="224" t="s">
        <v>35</v>
      </c>
      <c r="B222" s="225" t="s">
        <v>55</v>
      </c>
      <c r="C222" s="226" t="s">
        <v>37</v>
      </c>
      <c r="D222" s="226" t="s">
        <v>51</v>
      </c>
      <c r="E222" s="226" t="s">
        <v>196</v>
      </c>
      <c r="F222" s="226" t="s">
        <v>58</v>
      </c>
      <c r="G222" s="227">
        <f t="shared" ref="G222:G223" si="21">G223</f>
        <v>7375000</v>
      </c>
      <c r="H222" s="226">
        <v>0</v>
      </c>
      <c r="I222" s="313" t="str">
        <f t="shared" si="19"/>
        <v>0000000000</v>
      </c>
      <c r="J222" s="30" t="str">
        <f t="shared" si="20"/>
        <v>60104000000000000000</v>
      </c>
    </row>
    <row r="223" spans="1:10" s="3" customFormat="1">
      <c r="A223" s="228" t="s">
        <v>30</v>
      </c>
      <c r="B223" s="229" t="s">
        <v>55</v>
      </c>
      <c r="C223" s="230" t="s">
        <v>37</v>
      </c>
      <c r="D223" s="230" t="s">
        <v>40</v>
      </c>
      <c r="E223" s="230" t="s">
        <v>196</v>
      </c>
      <c r="F223" s="230" t="s">
        <v>58</v>
      </c>
      <c r="G223" s="231">
        <f t="shared" si="21"/>
        <v>7375000</v>
      </c>
      <c r="H223" s="230">
        <v>0</v>
      </c>
      <c r="I223" s="313" t="str">
        <f t="shared" si="19"/>
        <v>0000000000</v>
      </c>
      <c r="J223" s="30" t="str">
        <f t="shared" si="20"/>
        <v>60104120000000000000</v>
      </c>
    </row>
    <row r="224" spans="1:10" s="3" customFormat="1">
      <c r="A224" s="237" t="s">
        <v>747</v>
      </c>
      <c r="B224" s="233" t="s">
        <v>55</v>
      </c>
      <c r="C224" s="234" t="s">
        <v>37</v>
      </c>
      <c r="D224" s="234" t="s">
        <v>40</v>
      </c>
      <c r="E224" s="234" t="s">
        <v>215</v>
      </c>
      <c r="F224" s="234" t="s">
        <v>58</v>
      </c>
      <c r="G224" s="235">
        <f>G225+G239</f>
        <v>7375000</v>
      </c>
      <c r="H224" s="234">
        <v>1200000000</v>
      </c>
      <c r="I224" s="313" t="str">
        <f t="shared" si="19"/>
        <v>1200000000</v>
      </c>
      <c r="J224" s="30" t="str">
        <f t="shared" si="20"/>
        <v>60104121200000000000</v>
      </c>
    </row>
    <row r="225" spans="1:10" s="3" customFormat="1" ht="25.5">
      <c r="A225" s="237" t="s">
        <v>153</v>
      </c>
      <c r="B225" s="233" t="s">
        <v>55</v>
      </c>
      <c r="C225" s="234" t="s">
        <v>37</v>
      </c>
      <c r="D225" s="234" t="s">
        <v>40</v>
      </c>
      <c r="E225" s="234" t="s">
        <v>266</v>
      </c>
      <c r="F225" s="234" t="s">
        <v>58</v>
      </c>
      <c r="G225" s="235">
        <f>G226+G231+G235</f>
        <v>6600000</v>
      </c>
      <c r="H225" s="234">
        <v>1210000000</v>
      </c>
      <c r="I225" s="313" t="str">
        <f t="shared" si="19"/>
        <v>1210000000</v>
      </c>
      <c r="J225" s="30" t="str">
        <f t="shared" si="20"/>
        <v>60104121210000000000</v>
      </c>
    </row>
    <row r="226" spans="1:10" s="3" customFormat="1" ht="25.5">
      <c r="A226" s="237" t="s">
        <v>586</v>
      </c>
      <c r="B226" s="233" t="s">
        <v>55</v>
      </c>
      <c r="C226" s="234" t="s">
        <v>37</v>
      </c>
      <c r="D226" s="234" t="s">
        <v>40</v>
      </c>
      <c r="E226" s="234" t="s">
        <v>267</v>
      </c>
      <c r="F226" s="234" t="s">
        <v>58</v>
      </c>
      <c r="G226" s="235">
        <f t="shared" ref="G226:G227" si="22">G227</f>
        <v>5000000</v>
      </c>
      <c r="H226" s="234">
        <v>1210100000</v>
      </c>
      <c r="I226" s="313" t="str">
        <f t="shared" si="19"/>
        <v>1210100000</v>
      </c>
      <c r="J226" s="30" t="str">
        <f t="shared" si="20"/>
        <v>60104121210100000000</v>
      </c>
    </row>
    <row r="227" spans="1:10" s="3" customFormat="1" ht="25.5">
      <c r="A227" s="237" t="s">
        <v>268</v>
      </c>
      <c r="B227" s="233" t="s">
        <v>55</v>
      </c>
      <c r="C227" s="234" t="s">
        <v>37</v>
      </c>
      <c r="D227" s="234" t="s">
        <v>40</v>
      </c>
      <c r="E227" s="234" t="s">
        <v>269</v>
      </c>
      <c r="F227" s="234" t="s">
        <v>58</v>
      </c>
      <c r="G227" s="235">
        <f t="shared" si="22"/>
        <v>5000000</v>
      </c>
      <c r="H227" s="234">
        <v>1210160130</v>
      </c>
      <c r="I227" s="313" t="str">
        <f t="shared" si="19"/>
        <v>1210160130</v>
      </c>
      <c r="J227" s="30" t="str">
        <f t="shared" si="20"/>
        <v>60104121210160130000</v>
      </c>
    </row>
    <row r="228" spans="1:10" s="3" customFormat="1" ht="38.25">
      <c r="A228" s="237" t="s">
        <v>561</v>
      </c>
      <c r="B228" s="233" t="s">
        <v>55</v>
      </c>
      <c r="C228" s="234" t="s">
        <v>37</v>
      </c>
      <c r="D228" s="234" t="s">
        <v>40</v>
      </c>
      <c r="E228" s="234" t="s">
        <v>269</v>
      </c>
      <c r="F228" s="234" t="s">
        <v>101</v>
      </c>
      <c r="G228" s="235">
        <f>SUM(G229:G230)</f>
        <v>5000000</v>
      </c>
      <c r="H228" s="234">
        <v>1210160130</v>
      </c>
      <c r="I228" s="313" t="str">
        <f t="shared" si="19"/>
        <v>1210160130</v>
      </c>
      <c r="J228" s="30" t="str">
        <f t="shared" si="20"/>
        <v>60104121210160130810</v>
      </c>
    </row>
    <row r="229" spans="1:10" s="3" customFormat="1" ht="38.25">
      <c r="A229" s="236" t="s">
        <v>1047</v>
      </c>
      <c r="B229" s="233" t="s">
        <v>55</v>
      </c>
      <c r="C229" s="234" t="s">
        <v>37</v>
      </c>
      <c r="D229" s="234" t="s">
        <v>40</v>
      </c>
      <c r="E229" s="234" t="s">
        <v>269</v>
      </c>
      <c r="F229" s="234" t="s">
        <v>1050</v>
      </c>
      <c r="G229" s="235">
        <f>VLOOKUP(J229,'исх АС БЮДЖЕТ'!$A$10:$H$568,6,0)</f>
        <v>2000000</v>
      </c>
      <c r="H229" s="234">
        <v>1210160130</v>
      </c>
      <c r="I229" s="313" t="str">
        <f t="shared" si="19"/>
        <v>1210160130</v>
      </c>
      <c r="J229" s="30" t="str">
        <f t="shared" si="20"/>
        <v>60104121210160130811</v>
      </c>
    </row>
    <row r="230" spans="1:10" s="4" customFormat="1" ht="63.75">
      <c r="A230" s="236" t="s">
        <v>1048</v>
      </c>
      <c r="B230" s="233" t="s">
        <v>55</v>
      </c>
      <c r="C230" s="234" t="s">
        <v>37</v>
      </c>
      <c r="D230" s="234" t="s">
        <v>40</v>
      </c>
      <c r="E230" s="234" t="s">
        <v>269</v>
      </c>
      <c r="F230" s="234" t="s">
        <v>1051</v>
      </c>
      <c r="G230" s="235">
        <f>VLOOKUP(J230,'исх АС БЮДЖЕТ'!$A$10:$H$568,6,0)</f>
        <v>3000000</v>
      </c>
      <c r="H230" s="234">
        <v>1210160130</v>
      </c>
      <c r="I230" s="313" t="str">
        <f t="shared" si="19"/>
        <v>1210160130</v>
      </c>
      <c r="J230" s="30" t="str">
        <f t="shared" si="20"/>
        <v>60104121210160130812</v>
      </c>
    </row>
    <row r="231" spans="1:10" s="3" customFormat="1" ht="38.25">
      <c r="A231" s="237" t="s">
        <v>270</v>
      </c>
      <c r="B231" s="233" t="s">
        <v>55</v>
      </c>
      <c r="C231" s="234" t="s">
        <v>37</v>
      </c>
      <c r="D231" s="234" t="s">
        <v>40</v>
      </c>
      <c r="E231" s="234" t="s">
        <v>271</v>
      </c>
      <c r="F231" s="234" t="s">
        <v>58</v>
      </c>
      <c r="G231" s="235">
        <f t="shared" ref="G231:G232" si="23">G232</f>
        <v>1150000</v>
      </c>
      <c r="H231" s="234">
        <v>1210200000</v>
      </c>
      <c r="I231" s="313" t="str">
        <f t="shared" si="19"/>
        <v>1210200000</v>
      </c>
      <c r="J231" s="30" t="str">
        <f t="shared" si="20"/>
        <v>60104121210200000000</v>
      </c>
    </row>
    <row r="232" spans="1:10" s="3" customFormat="1" ht="25.5">
      <c r="A232" s="237" t="s">
        <v>874</v>
      </c>
      <c r="B232" s="233" t="s">
        <v>55</v>
      </c>
      <c r="C232" s="234" t="s">
        <v>37</v>
      </c>
      <c r="D232" s="234" t="s">
        <v>40</v>
      </c>
      <c r="E232" s="234" t="s">
        <v>272</v>
      </c>
      <c r="F232" s="234" t="s">
        <v>58</v>
      </c>
      <c r="G232" s="235">
        <f t="shared" si="23"/>
        <v>1150000</v>
      </c>
      <c r="H232" s="234">
        <v>1210220480</v>
      </c>
      <c r="I232" s="313" t="str">
        <f t="shared" si="19"/>
        <v>1210220480</v>
      </c>
      <c r="J232" s="30" t="str">
        <f t="shared" si="20"/>
        <v>60104121210220480000</v>
      </c>
    </row>
    <row r="233" spans="1:10" s="3" customFormat="1" ht="25.5">
      <c r="A233" s="232" t="s">
        <v>108</v>
      </c>
      <c r="B233" s="233" t="s">
        <v>55</v>
      </c>
      <c r="C233" s="234" t="s">
        <v>37</v>
      </c>
      <c r="D233" s="234" t="s">
        <v>40</v>
      </c>
      <c r="E233" s="234" t="s">
        <v>272</v>
      </c>
      <c r="F233" s="234" t="s">
        <v>116</v>
      </c>
      <c r="G233" s="235">
        <f>G234</f>
        <v>1150000</v>
      </c>
      <c r="H233" s="234">
        <v>1210220480</v>
      </c>
      <c r="I233" s="313" t="str">
        <f t="shared" si="19"/>
        <v>1210220480</v>
      </c>
      <c r="J233" s="30" t="str">
        <f t="shared" si="20"/>
        <v>60104121210220480240</v>
      </c>
    </row>
    <row r="234" spans="1:10" s="94" customFormat="1" ht="25.5">
      <c r="A234" s="236" t="s">
        <v>973</v>
      </c>
      <c r="B234" s="233" t="s">
        <v>55</v>
      </c>
      <c r="C234" s="234" t="s">
        <v>37</v>
      </c>
      <c r="D234" s="234" t="s">
        <v>40</v>
      </c>
      <c r="E234" s="234" t="s">
        <v>272</v>
      </c>
      <c r="F234" s="234" t="s">
        <v>1043</v>
      </c>
      <c r="G234" s="235">
        <f>VLOOKUP(J234,'исх АС БЮДЖЕТ'!$A$10:$H$568,6,0)</f>
        <v>1150000</v>
      </c>
      <c r="H234" s="234">
        <v>1210220480</v>
      </c>
      <c r="I234" s="313" t="str">
        <f t="shared" si="19"/>
        <v>1210220480</v>
      </c>
      <c r="J234" s="30" t="str">
        <f t="shared" si="20"/>
        <v>60104121210220480244</v>
      </c>
    </row>
    <row r="235" spans="1:10" s="3" customFormat="1" ht="25.5">
      <c r="A235" s="237" t="s">
        <v>608</v>
      </c>
      <c r="B235" s="233" t="s">
        <v>55</v>
      </c>
      <c r="C235" s="234" t="s">
        <v>37</v>
      </c>
      <c r="D235" s="234" t="s">
        <v>40</v>
      </c>
      <c r="E235" s="234" t="s">
        <v>273</v>
      </c>
      <c r="F235" s="234" t="s">
        <v>58</v>
      </c>
      <c r="G235" s="235">
        <f t="shared" ref="G235:G236" si="24">G236</f>
        <v>450000</v>
      </c>
      <c r="H235" s="234">
        <v>1210300000</v>
      </c>
      <c r="I235" s="313" t="str">
        <f t="shared" si="19"/>
        <v>1210300000</v>
      </c>
      <c r="J235" s="30" t="str">
        <f t="shared" si="20"/>
        <v>60104121210300000000</v>
      </c>
    </row>
    <row r="236" spans="1:10" s="3" customFormat="1" ht="25.5">
      <c r="A236" s="237" t="s">
        <v>874</v>
      </c>
      <c r="B236" s="233" t="s">
        <v>55</v>
      </c>
      <c r="C236" s="234" t="s">
        <v>37</v>
      </c>
      <c r="D236" s="234" t="s">
        <v>40</v>
      </c>
      <c r="E236" s="234" t="s">
        <v>274</v>
      </c>
      <c r="F236" s="234" t="s">
        <v>58</v>
      </c>
      <c r="G236" s="235">
        <f t="shared" si="24"/>
        <v>450000</v>
      </c>
      <c r="H236" s="234">
        <v>1210320480</v>
      </c>
      <c r="I236" s="313" t="str">
        <f t="shared" si="19"/>
        <v>1210320480</v>
      </c>
      <c r="J236" s="30" t="str">
        <f t="shared" si="20"/>
        <v>60104121210320480000</v>
      </c>
    </row>
    <row r="237" spans="1:10" s="3" customFormat="1" ht="25.5">
      <c r="A237" s="232" t="s">
        <v>108</v>
      </c>
      <c r="B237" s="233" t="s">
        <v>55</v>
      </c>
      <c r="C237" s="234" t="s">
        <v>37</v>
      </c>
      <c r="D237" s="234" t="s">
        <v>40</v>
      </c>
      <c r="E237" s="234" t="s">
        <v>274</v>
      </c>
      <c r="F237" s="234" t="s">
        <v>116</v>
      </c>
      <c r="G237" s="235">
        <f>G238</f>
        <v>450000</v>
      </c>
      <c r="H237" s="234">
        <v>1210320480</v>
      </c>
      <c r="I237" s="313" t="str">
        <f t="shared" si="19"/>
        <v>1210320480</v>
      </c>
      <c r="J237" s="30" t="str">
        <f t="shared" si="20"/>
        <v>60104121210320480240</v>
      </c>
    </row>
    <row r="238" spans="1:10" s="4" customFormat="1" ht="25.5">
      <c r="A238" s="236" t="s">
        <v>973</v>
      </c>
      <c r="B238" s="233" t="s">
        <v>55</v>
      </c>
      <c r="C238" s="234" t="s">
        <v>37</v>
      </c>
      <c r="D238" s="234" t="s">
        <v>40</v>
      </c>
      <c r="E238" s="234" t="s">
        <v>274</v>
      </c>
      <c r="F238" s="234" t="s">
        <v>1043</v>
      </c>
      <c r="G238" s="235">
        <f>VLOOKUP(J238,'исх АС БЮДЖЕТ'!$A$10:$H$568,6,0)</f>
        <v>450000</v>
      </c>
      <c r="H238" s="234">
        <v>1210320480</v>
      </c>
      <c r="I238" s="313" t="str">
        <f t="shared" si="19"/>
        <v>1210320480</v>
      </c>
      <c r="J238" s="30" t="str">
        <f t="shared" si="20"/>
        <v>60104121210320480244</v>
      </c>
    </row>
    <row r="239" spans="1:10" s="3" customFormat="1" ht="25.5">
      <c r="A239" s="232" t="s">
        <v>765</v>
      </c>
      <c r="B239" s="233" t="s">
        <v>55</v>
      </c>
      <c r="C239" s="234" t="s">
        <v>37</v>
      </c>
      <c r="D239" s="234" t="s">
        <v>40</v>
      </c>
      <c r="E239" s="234" t="s">
        <v>216</v>
      </c>
      <c r="F239" s="234" t="s">
        <v>58</v>
      </c>
      <c r="G239" s="235">
        <f>G244+G240</f>
        <v>775000</v>
      </c>
      <c r="H239" s="234">
        <v>1220000000</v>
      </c>
      <c r="I239" s="313" t="str">
        <f t="shared" si="19"/>
        <v>1220000000</v>
      </c>
      <c r="J239" s="30" t="str">
        <f t="shared" si="20"/>
        <v>60104121220000000000</v>
      </c>
    </row>
    <row r="240" spans="1:10" s="3" customFormat="1" ht="25.5">
      <c r="A240" s="237" t="s">
        <v>847</v>
      </c>
      <c r="B240" s="233" t="s">
        <v>55</v>
      </c>
      <c r="C240" s="234" t="s">
        <v>37</v>
      </c>
      <c r="D240" s="234" t="s">
        <v>40</v>
      </c>
      <c r="E240" s="234" t="s">
        <v>777</v>
      </c>
      <c r="F240" s="234" t="s">
        <v>58</v>
      </c>
      <c r="G240" s="235">
        <f>G241</f>
        <v>280000</v>
      </c>
      <c r="H240" s="234">
        <v>1220100000</v>
      </c>
      <c r="I240" s="313" t="str">
        <f t="shared" si="19"/>
        <v>1220100000</v>
      </c>
      <c r="J240" s="30" t="str">
        <f t="shared" si="20"/>
        <v>60104121220100000000</v>
      </c>
    </row>
    <row r="241" spans="1:10" s="3" customFormat="1">
      <c r="A241" s="237" t="s">
        <v>875</v>
      </c>
      <c r="B241" s="233" t="s">
        <v>55</v>
      </c>
      <c r="C241" s="234" t="s">
        <v>37</v>
      </c>
      <c r="D241" s="234" t="s">
        <v>40</v>
      </c>
      <c r="E241" s="234" t="s">
        <v>778</v>
      </c>
      <c r="F241" s="234" t="s">
        <v>58</v>
      </c>
      <c r="G241" s="235">
        <f>G242</f>
        <v>280000</v>
      </c>
      <c r="H241" s="234">
        <v>1220120650</v>
      </c>
      <c r="I241" s="313" t="str">
        <f t="shared" si="19"/>
        <v>1220120650</v>
      </c>
      <c r="J241" s="30" t="str">
        <f t="shared" si="20"/>
        <v>60104121220120650000</v>
      </c>
    </row>
    <row r="242" spans="1:10" s="3" customFormat="1" ht="25.5">
      <c r="A242" s="232" t="s">
        <v>108</v>
      </c>
      <c r="B242" s="233" t="s">
        <v>55</v>
      </c>
      <c r="C242" s="234" t="s">
        <v>37</v>
      </c>
      <c r="D242" s="234" t="s">
        <v>40</v>
      </c>
      <c r="E242" s="234" t="s">
        <v>778</v>
      </c>
      <c r="F242" s="234" t="s">
        <v>116</v>
      </c>
      <c r="G242" s="235">
        <f>G243</f>
        <v>280000</v>
      </c>
      <c r="H242" s="234">
        <v>1220120650</v>
      </c>
      <c r="I242" s="313" t="str">
        <f t="shared" si="19"/>
        <v>1220120650</v>
      </c>
      <c r="J242" s="30" t="str">
        <f t="shared" si="20"/>
        <v>60104121220120650240</v>
      </c>
    </row>
    <row r="243" spans="1:10" s="4" customFormat="1" ht="25.5">
      <c r="A243" s="236" t="s">
        <v>973</v>
      </c>
      <c r="B243" s="233" t="s">
        <v>55</v>
      </c>
      <c r="C243" s="234" t="s">
        <v>37</v>
      </c>
      <c r="D243" s="234" t="s">
        <v>40</v>
      </c>
      <c r="E243" s="234" t="s">
        <v>778</v>
      </c>
      <c r="F243" s="234" t="s">
        <v>1043</v>
      </c>
      <c r="G243" s="235">
        <f>VLOOKUP(J243,'исх АС БЮДЖЕТ'!$A$10:$H$568,6,0)</f>
        <v>280000</v>
      </c>
      <c r="H243" s="234">
        <v>1220120650</v>
      </c>
      <c r="I243" s="313" t="str">
        <f t="shared" si="19"/>
        <v>1220120650</v>
      </c>
      <c r="J243" s="30" t="str">
        <f t="shared" si="20"/>
        <v>60104121220120650244</v>
      </c>
    </row>
    <row r="244" spans="1:10" s="3" customFormat="1" ht="25.5">
      <c r="A244" s="232" t="s">
        <v>851</v>
      </c>
      <c r="B244" s="233" t="s">
        <v>55</v>
      </c>
      <c r="C244" s="234" t="s">
        <v>37</v>
      </c>
      <c r="D244" s="234" t="s">
        <v>40</v>
      </c>
      <c r="E244" s="234" t="s">
        <v>275</v>
      </c>
      <c r="F244" s="234" t="s">
        <v>58</v>
      </c>
      <c r="G244" s="235">
        <f t="shared" ref="G244" si="25">G245</f>
        <v>495000</v>
      </c>
      <c r="H244" s="234">
        <v>1220200000</v>
      </c>
      <c r="I244" s="313" t="str">
        <f t="shared" si="19"/>
        <v>1220200000</v>
      </c>
      <c r="J244" s="30" t="str">
        <f t="shared" si="20"/>
        <v>60104121220200000000</v>
      </c>
    </row>
    <row r="245" spans="1:10" s="3" customFormat="1" ht="25.5">
      <c r="A245" s="237" t="s">
        <v>876</v>
      </c>
      <c r="B245" s="233" t="s">
        <v>55</v>
      </c>
      <c r="C245" s="234" t="s">
        <v>37</v>
      </c>
      <c r="D245" s="234" t="s">
        <v>40</v>
      </c>
      <c r="E245" s="234" t="s">
        <v>276</v>
      </c>
      <c r="F245" s="234" t="s">
        <v>58</v>
      </c>
      <c r="G245" s="235">
        <f>G246+G248</f>
        <v>495000</v>
      </c>
      <c r="H245" s="234">
        <v>1220220640</v>
      </c>
      <c r="I245" s="313" t="str">
        <f t="shared" si="19"/>
        <v>1220220640</v>
      </c>
      <c r="J245" s="30" t="str">
        <f t="shared" si="20"/>
        <v>60104121220220640000</v>
      </c>
    </row>
    <row r="246" spans="1:10" s="3" customFormat="1" ht="25.5">
      <c r="A246" s="232" t="s">
        <v>108</v>
      </c>
      <c r="B246" s="233" t="s">
        <v>55</v>
      </c>
      <c r="C246" s="234" t="s">
        <v>37</v>
      </c>
      <c r="D246" s="234" t="s">
        <v>40</v>
      </c>
      <c r="E246" s="234" t="s">
        <v>276</v>
      </c>
      <c r="F246" s="234" t="s">
        <v>116</v>
      </c>
      <c r="G246" s="235">
        <f>G247</f>
        <v>395000</v>
      </c>
      <c r="H246" s="234">
        <v>1220220640</v>
      </c>
      <c r="I246" s="313" t="str">
        <f t="shared" si="19"/>
        <v>1220220640</v>
      </c>
      <c r="J246" s="30" t="str">
        <f t="shared" si="20"/>
        <v>60104121220220640240</v>
      </c>
    </row>
    <row r="247" spans="1:10" s="4" customFormat="1" ht="25.5">
      <c r="A247" s="236" t="s">
        <v>973</v>
      </c>
      <c r="B247" s="233" t="s">
        <v>55</v>
      </c>
      <c r="C247" s="234" t="s">
        <v>37</v>
      </c>
      <c r="D247" s="234" t="s">
        <v>40</v>
      </c>
      <c r="E247" s="234" t="s">
        <v>276</v>
      </c>
      <c r="F247" s="234" t="s">
        <v>1043</v>
      </c>
      <c r="G247" s="235">
        <f>VLOOKUP(J247,'исх АС БЮДЖЕТ'!$A$10:$H$568,6,0)</f>
        <v>395000</v>
      </c>
      <c r="H247" s="234">
        <v>1220220640</v>
      </c>
      <c r="I247" s="313" t="str">
        <f t="shared" si="19"/>
        <v>1220220640</v>
      </c>
      <c r="J247" s="30" t="str">
        <f t="shared" si="20"/>
        <v>60104121220220640244</v>
      </c>
    </row>
    <row r="248" spans="1:10" s="3" customFormat="1">
      <c r="A248" s="232" t="s">
        <v>99</v>
      </c>
      <c r="B248" s="233" t="s">
        <v>55</v>
      </c>
      <c r="C248" s="234" t="s">
        <v>37</v>
      </c>
      <c r="D248" s="234" t="s">
        <v>40</v>
      </c>
      <c r="E248" s="234" t="s">
        <v>276</v>
      </c>
      <c r="F248" s="234" t="s">
        <v>105</v>
      </c>
      <c r="G248" s="235">
        <f>VLOOKUP(J248,'исх АС БЮДЖЕТ'!$A$10:$H$568,6,0)</f>
        <v>100000</v>
      </c>
      <c r="H248" s="234">
        <v>1220220640</v>
      </c>
      <c r="I248" s="313" t="str">
        <f t="shared" si="19"/>
        <v>1220220640</v>
      </c>
      <c r="J248" s="30" t="str">
        <f t="shared" si="20"/>
        <v>60104121220220640880</v>
      </c>
    </row>
    <row r="249" spans="1:10" s="3" customFormat="1">
      <c r="A249" s="224" t="s">
        <v>70</v>
      </c>
      <c r="B249" s="225" t="s">
        <v>55</v>
      </c>
      <c r="C249" s="226" t="s">
        <v>71</v>
      </c>
      <c r="D249" s="226" t="s">
        <v>51</v>
      </c>
      <c r="E249" s="226" t="s">
        <v>196</v>
      </c>
      <c r="F249" s="226" t="s">
        <v>58</v>
      </c>
      <c r="G249" s="227">
        <f t="shared" ref="G249:G254" si="26">G250</f>
        <v>160000</v>
      </c>
      <c r="H249" s="226">
        <v>0</v>
      </c>
      <c r="I249" s="313" t="str">
        <f t="shared" si="19"/>
        <v>0000000000</v>
      </c>
      <c r="J249" s="30" t="str">
        <f t="shared" si="20"/>
        <v>60107000000000000000</v>
      </c>
    </row>
    <row r="250" spans="1:10" s="3" customFormat="1">
      <c r="A250" s="228" t="s">
        <v>664</v>
      </c>
      <c r="B250" s="229" t="s">
        <v>55</v>
      </c>
      <c r="C250" s="230" t="s">
        <v>71</v>
      </c>
      <c r="D250" s="230" t="s">
        <v>8</v>
      </c>
      <c r="E250" s="230" t="s">
        <v>196</v>
      </c>
      <c r="F250" s="230" t="s">
        <v>58</v>
      </c>
      <c r="G250" s="231">
        <f t="shared" si="26"/>
        <v>160000</v>
      </c>
      <c r="H250" s="230">
        <v>0</v>
      </c>
      <c r="I250" s="313" t="str">
        <f t="shared" si="19"/>
        <v>0000000000</v>
      </c>
      <c r="J250" s="30" t="str">
        <f t="shared" si="20"/>
        <v>60107050000000000000</v>
      </c>
    </row>
    <row r="251" spans="1:10" s="3" customFormat="1" ht="25.5">
      <c r="A251" s="237" t="s">
        <v>748</v>
      </c>
      <c r="B251" s="233" t="s">
        <v>55</v>
      </c>
      <c r="C251" s="234" t="s">
        <v>71</v>
      </c>
      <c r="D251" s="234" t="s">
        <v>8</v>
      </c>
      <c r="E251" s="234" t="s">
        <v>220</v>
      </c>
      <c r="F251" s="234" t="s">
        <v>58</v>
      </c>
      <c r="G251" s="235">
        <f t="shared" si="26"/>
        <v>160000</v>
      </c>
      <c r="H251" s="234">
        <v>1300000000</v>
      </c>
      <c r="I251" s="313" t="str">
        <f t="shared" si="19"/>
        <v>1300000000</v>
      </c>
      <c r="J251" s="30" t="str">
        <f t="shared" si="20"/>
        <v>60107051300000000000</v>
      </c>
    </row>
    <row r="252" spans="1:10" s="3" customFormat="1">
      <c r="A252" s="237" t="s">
        <v>749</v>
      </c>
      <c r="B252" s="233" t="s">
        <v>55</v>
      </c>
      <c r="C252" s="234" t="s">
        <v>71</v>
      </c>
      <c r="D252" s="234" t="s">
        <v>8</v>
      </c>
      <c r="E252" s="234" t="s">
        <v>221</v>
      </c>
      <c r="F252" s="234" t="s">
        <v>58</v>
      </c>
      <c r="G252" s="235">
        <f t="shared" si="26"/>
        <v>160000</v>
      </c>
      <c r="H252" s="234">
        <v>1310000000</v>
      </c>
      <c r="I252" s="313" t="str">
        <f t="shared" si="19"/>
        <v>1310000000</v>
      </c>
      <c r="J252" s="30" t="str">
        <f t="shared" si="20"/>
        <v>60107051310000000000</v>
      </c>
    </row>
    <row r="253" spans="1:10" s="3" customFormat="1" ht="25.5">
      <c r="A253" s="237" t="s">
        <v>222</v>
      </c>
      <c r="B253" s="233" t="s">
        <v>55</v>
      </c>
      <c r="C253" s="234" t="s">
        <v>71</v>
      </c>
      <c r="D253" s="234" t="s">
        <v>8</v>
      </c>
      <c r="E253" s="234" t="s">
        <v>223</v>
      </c>
      <c r="F253" s="234" t="s">
        <v>58</v>
      </c>
      <c r="G253" s="235">
        <f t="shared" si="26"/>
        <v>160000</v>
      </c>
      <c r="H253" s="234">
        <v>1310100000</v>
      </c>
      <c r="I253" s="313" t="str">
        <f t="shared" si="19"/>
        <v>1310100000</v>
      </c>
      <c r="J253" s="30" t="str">
        <f t="shared" si="20"/>
        <v>60107051310100000000</v>
      </c>
    </row>
    <row r="254" spans="1:10" s="3" customFormat="1" ht="25.5">
      <c r="A254" s="237" t="s">
        <v>877</v>
      </c>
      <c r="B254" s="233" t="s">
        <v>55</v>
      </c>
      <c r="C254" s="234" t="s">
        <v>71</v>
      </c>
      <c r="D254" s="234" t="s">
        <v>8</v>
      </c>
      <c r="E254" s="234" t="s">
        <v>224</v>
      </c>
      <c r="F254" s="234" t="s">
        <v>58</v>
      </c>
      <c r="G254" s="235">
        <f t="shared" si="26"/>
        <v>160000</v>
      </c>
      <c r="H254" s="234">
        <v>1310120450</v>
      </c>
      <c r="I254" s="313" t="str">
        <f t="shared" si="19"/>
        <v>1310120450</v>
      </c>
      <c r="J254" s="30" t="str">
        <f t="shared" si="20"/>
        <v>60107051310120450000</v>
      </c>
    </row>
    <row r="255" spans="1:10" s="3" customFormat="1" ht="25.5">
      <c r="A255" s="232" t="s">
        <v>108</v>
      </c>
      <c r="B255" s="233" t="s">
        <v>55</v>
      </c>
      <c r="C255" s="234" t="s">
        <v>71</v>
      </c>
      <c r="D255" s="234" t="s">
        <v>8</v>
      </c>
      <c r="E255" s="234" t="s">
        <v>224</v>
      </c>
      <c r="F255" s="234" t="s">
        <v>116</v>
      </c>
      <c r="G255" s="235">
        <f>G256</f>
        <v>160000</v>
      </c>
      <c r="H255" s="234">
        <v>1310120450</v>
      </c>
      <c r="I255" s="313" t="str">
        <f t="shared" si="19"/>
        <v>1310120450</v>
      </c>
      <c r="J255" s="30" t="str">
        <f t="shared" si="20"/>
        <v>60107051310120450240</v>
      </c>
    </row>
    <row r="256" spans="1:10" s="4" customFormat="1" ht="25.5">
      <c r="A256" s="236" t="s">
        <v>973</v>
      </c>
      <c r="B256" s="233" t="s">
        <v>55</v>
      </c>
      <c r="C256" s="234" t="s">
        <v>71</v>
      </c>
      <c r="D256" s="234" t="s">
        <v>8</v>
      </c>
      <c r="E256" s="234" t="s">
        <v>224</v>
      </c>
      <c r="F256" s="234" t="s">
        <v>1043</v>
      </c>
      <c r="G256" s="235">
        <f>VLOOKUP(J256,'исх АС БЮДЖЕТ'!$A$10:$H$568,6,0)</f>
        <v>160000</v>
      </c>
      <c r="H256" s="234">
        <v>1310120450</v>
      </c>
      <c r="I256" s="313" t="str">
        <f t="shared" si="19"/>
        <v>1310120450</v>
      </c>
      <c r="J256" s="30" t="str">
        <f t="shared" si="20"/>
        <v>60107051310120450244</v>
      </c>
    </row>
    <row r="257" spans="1:10" s="3" customFormat="1">
      <c r="A257" s="224" t="s">
        <v>499</v>
      </c>
      <c r="B257" s="225" t="s">
        <v>55</v>
      </c>
      <c r="C257" s="226" t="s">
        <v>50</v>
      </c>
      <c r="D257" s="226" t="s">
        <v>51</v>
      </c>
      <c r="E257" s="226" t="s">
        <v>196</v>
      </c>
      <c r="F257" s="226" t="s">
        <v>58</v>
      </c>
      <c r="G257" s="227">
        <f t="shared" ref="G257:G261" si="27">G258</f>
        <v>2123000</v>
      </c>
      <c r="H257" s="226">
        <v>0</v>
      </c>
      <c r="I257" s="313" t="str">
        <f t="shared" si="19"/>
        <v>0000000000</v>
      </c>
      <c r="J257" s="30" t="str">
        <f t="shared" si="20"/>
        <v>60108000000000000000</v>
      </c>
    </row>
    <row r="258" spans="1:10" s="3" customFormat="1">
      <c r="A258" s="228" t="s">
        <v>27</v>
      </c>
      <c r="B258" s="229" t="s">
        <v>55</v>
      </c>
      <c r="C258" s="230" t="s">
        <v>50</v>
      </c>
      <c r="D258" s="230" t="s">
        <v>65</v>
      </c>
      <c r="E258" s="230" t="s">
        <v>196</v>
      </c>
      <c r="F258" s="230" t="s">
        <v>58</v>
      </c>
      <c r="G258" s="231">
        <f t="shared" si="27"/>
        <v>2123000</v>
      </c>
      <c r="H258" s="230">
        <v>0</v>
      </c>
      <c r="I258" s="313" t="str">
        <f t="shared" si="19"/>
        <v>0000000000</v>
      </c>
      <c r="J258" s="30" t="str">
        <f t="shared" si="20"/>
        <v>60108010000000000000</v>
      </c>
    </row>
    <row r="259" spans="1:10" s="3" customFormat="1">
      <c r="A259" s="232" t="s">
        <v>739</v>
      </c>
      <c r="B259" s="233" t="s">
        <v>55</v>
      </c>
      <c r="C259" s="234" t="s">
        <v>50</v>
      </c>
      <c r="D259" s="234" t="s">
        <v>65</v>
      </c>
      <c r="E259" s="234" t="s">
        <v>277</v>
      </c>
      <c r="F259" s="234" t="s">
        <v>58</v>
      </c>
      <c r="G259" s="235">
        <f t="shared" si="27"/>
        <v>2123000</v>
      </c>
      <c r="H259" s="234">
        <v>700000000</v>
      </c>
      <c r="I259" s="313" t="str">
        <f t="shared" si="19"/>
        <v>0700000000</v>
      </c>
      <c r="J259" s="30" t="str">
        <f t="shared" si="20"/>
        <v>60108010700000000000</v>
      </c>
    </row>
    <row r="260" spans="1:10" s="3" customFormat="1" ht="38.25">
      <c r="A260" s="237" t="s">
        <v>191</v>
      </c>
      <c r="B260" s="233" t="s">
        <v>55</v>
      </c>
      <c r="C260" s="234" t="s">
        <v>50</v>
      </c>
      <c r="D260" s="234" t="s">
        <v>65</v>
      </c>
      <c r="E260" s="234" t="s">
        <v>278</v>
      </c>
      <c r="F260" s="234" t="s">
        <v>58</v>
      </c>
      <c r="G260" s="235">
        <f t="shared" si="27"/>
        <v>2123000</v>
      </c>
      <c r="H260" s="234">
        <v>710000000</v>
      </c>
      <c r="I260" s="313" t="str">
        <f t="shared" si="19"/>
        <v>0710000000</v>
      </c>
      <c r="J260" s="30" t="str">
        <f t="shared" si="20"/>
        <v>60108010710000000000</v>
      </c>
    </row>
    <row r="261" spans="1:10" s="3" customFormat="1" ht="51">
      <c r="A261" s="237" t="s">
        <v>605</v>
      </c>
      <c r="B261" s="233" t="s">
        <v>55</v>
      </c>
      <c r="C261" s="234" t="s">
        <v>50</v>
      </c>
      <c r="D261" s="234" t="s">
        <v>65</v>
      </c>
      <c r="E261" s="234" t="s">
        <v>279</v>
      </c>
      <c r="F261" s="234" t="s">
        <v>58</v>
      </c>
      <c r="G261" s="235">
        <f t="shared" si="27"/>
        <v>2123000</v>
      </c>
      <c r="H261" s="234">
        <v>710100000</v>
      </c>
      <c r="I261" s="313" t="str">
        <f t="shared" si="19"/>
        <v>0710100000</v>
      </c>
      <c r="J261" s="30" t="str">
        <f t="shared" si="20"/>
        <v>60108010710100000000</v>
      </c>
    </row>
    <row r="262" spans="1:10" s="3" customFormat="1">
      <c r="A262" s="237" t="s">
        <v>161</v>
      </c>
      <c r="B262" s="233" t="s">
        <v>55</v>
      </c>
      <c r="C262" s="234" t="s">
        <v>50</v>
      </c>
      <c r="D262" s="234" t="s">
        <v>65</v>
      </c>
      <c r="E262" s="234" t="s">
        <v>320</v>
      </c>
      <c r="F262" s="234" t="s">
        <v>58</v>
      </c>
      <c r="G262" s="235">
        <f>G263</f>
        <v>2123000</v>
      </c>
      <c r="H262" s="234">
        <v>710120060</v>
      </c>
      <c r="I262" s="313" t="str">
        <f t="shared" si="19"/>
        <v>0710120060</v>
      </c>
      <c r="J262" s="30" t="str">
        <f t="shared" si="20"/>
        <v>60108010710120060000</v>
      </c>
    </row>
    <row r="263" spans="1:10" s="3" customFormat="1" ht="25.5">
      <c r="A263" s="232" t="s">
        <v>108</v>
      </c>
      <c r="B263" s="233" t="s">
        <v>55</v>
      </c>
      <c r="C263" s="234" t="s">
        <v>50</v>
      </c>
      <c r="D263" s="234" t="s">
        <v>65</v>
      </c>
      <c r="E263" s="234" t="s">
        <v>320</v>
      </c>
      <c r="F263" s="234" t="s">
        <v>116</v>
      </c>
      <c r="G263" s="235">
        <f>G264</f>
        <v>2123000</v>
      </c>
      <c r="H263" s="234">
        <v>710120060</v>
      </c>
      <c r="I263" s="313" t="str">
        <f t="shared" si="19"/>
        <v>0710120060</v>
      </c>
      <c r="J263" s="30" t="str">
        <f t="shared" si="20"/>
        <v>60108010710120060240</v>
      </c>
    </row>
    <row r="264" spans="1:10" s="4" customFormat="1" ht="25.5">
      <c r="A264" s="236" t="s">
        <v>973</v>
      </c>
      <c r="B264" s="233" t="s">
        <v>55</v>
      </c>
      <c r="C264" s="234" t="s">
        <v>50</v>
      </c>
      <c r="D264" s="234" t="s">
        <v>65</v>
      </c>
      <c r="E264" s="234" t="s">
        <v>320</v>
      </c>
      <c r="F264" s="234" t="s">
        <v>1043</v>
      </c>
      <c r="G264" s="235">
        <f>VLOOKUP(J264,'исх АС БЮДЖЕТ'!$A$10:$H$568,6,0)</f>
        <v>2123000</v>
      </c>
      <c r="H264" s="234">
        <v>710120060</v>
      </c>
      <c r="I264" s="313" t="str">
        <f t="shared" si="19"/>
        <v>0710120060</v>
      </c>
      <c r="J264" s="30" t="str">
        <f t="shared" si="20"/>
        <v>60108010710120060244</v>
      </c>
    </row>
    <row r="265" spans="1:10" s="3" customFormat="1">
      <c r="A265" s="224" t="s">
        <v>77</v>
      </c>
      <c r="B265" s="225" t="s">
        <v>55</v>
      </c>
      <c r="C265" s="226" t="s">
        <v>40</v>
      </c>
      <c r="D265" s="226" t="s">
        <v>51</v>
      </c>
      <c r="E265" s="226" t="s">
        <v>196</v>
      </c>
      <c r="F265" s="226" t="s">
        <v>58</v>
      </c>
      <c r="G265" s="227">
        <f>G273+G266</f>
        <v>20457500</v>
      </c>
      <c r="H265" s="226">
        <v>0</v>
      </c>
      <c r="I265" s="313" t="str">
        <f t="shared" si="19"/>
        <v>0000000000</v>
      </c>
      <c r="J265" s="30" t="str">
        <f t="shared" si="20"/>
        <v>60112000000000000000</v>
      </c>
    </row>
    <row r="266" spans="1:10" s="3" customFormat="1">
      <c r="A266" s="228" t="s">
        <v>906</v>
      </c>
      <c r="B266" s="229" t="s">
        <v>55</v>
      </c>
      <c r="C266" s="230" t="s">
        <v>40</v>
      </c>
      <c r="D266" s="230" t="s">
        <v>65</v>
      </c>
      <c r="E266" s="230" t="s">
        <v>196</v>
      </c>
      <c r="F266" s="230" t="s">
        <v>58</v>
      </c>
      <c r="G266" s="231">
        <f t="shared" ref="G266:G271" si="28">G267</f>
        <v>5900500</v>
      </c>
      <c r="H266" s="230">
        <v>0</v>
      </c>
      <c r="I266" s="313" t="str">
        <f t="shared" si="19"/>
        <v>0000000000</v>
      </c>
      <c r="J266" s="30" t="str">
        <f t="shared" si="20"/>
        <v>60112010000000000000</v>
      </c>
    </row>
    <row r="267" spans="1:10" s="3" customFormat="1" ht="38.25">
      <c r="A267" s="237" t="s">
        <v>751</v>
      </c>
      <c r="B267" s="233" t="s">
        <v>55</v>
      </c>
      <c r="C267" s="234" t="s">
        <v>40</v>
      </c>
      <c r="D267" s="234" t="s">
        <v>65</v>
      </c>
      <c r="E267" s="234" t="s">
        <v>229</v>
      </c>
      <c r="F267" s="234" t="s">
        <v>58</v>
      </c>
      <c r="G267" s="235">
        <f t="shared" si="28"/>
        <v>5900500</v>
      </c>
      <c r="H267" s="234">
        <v>1400000000</v>
      </c>
      <c r="I267" s="313" t="str">
        <f t="shared" si="19"/>
        <v>1400000000</v>
      </c>
      <c r="J267" s="30" t="str">
        <f t="shared" si="20"/>
        <v>60112011400000000000</v>
      </c>
    </row>
    <row r="268" spans="1:10" s="3" customFormat="1">
      <c r="A268" s="237" t="s">
        <v>119</v>
      </c>
      <c r="B268" s="233" t="s">
        <v>55</v>
      </c>
      <c r="C268" s="234" t="s">
        <v>40</v>
      </c>
      <c r="D268" s="234" t="s">
        <v>65</v>
      </c>
      <c r="E268" s="234" t="s">
        <v>230</v>
      </c>
      <c r="F268" s="234" t="s">
        <v>58</v>
      </c>
      <c r="G268" s="235">
        <f t="shared" si="28"/>
        <v>5900500</v>
      </c>
      <c r="H268" s="234">
        <v>1410000000</v>
      </c>
      <c r="I268" s="313" t="str">
        <f t="shared" si="19"/>
        <v>1410000000</v>
      </c>
      <c r="J268" s="30" t="str">
        <f t="shared" si="20"/>
        <v>60112011410000000000</v>
      </c>
    </row>
    <row r="269" spans="1:10" s="3" customFormat="1" ht="38.25">
      <c r="A269" s="237" t="s">
        <v>237</v>
      </c>
      <c r="B269" s="233" t="s">
        <v>55</v>
      </c>
      <c r="C269" s="234" t="s">
        <v>40</v>
      </c>
      <c r="D269" s="234" t="s">
        <v>65</v>
      </c>
      <c r="E269" s="234" t="s">
        <v>238</v>
      </c>
      <c r="F269" s="234" t="s">
        <v>58</v>
      </c>
      <c r="G269" s="235">
        <f t="shared" si="28"/>
        <v>5900500</v>
      </c>
      <c r="H269" s="234">
        <v>1410300000</v>
      </c>
      <c r="I269" s="313" t="str">
        <f t="shared" ref="I269:I333" si="29">TEXT(H269,"0000000000")</f>
        <v>1410300000</v>
      </c>
      <c r="J269" s="30" t="str">
        <f t="shared" ref="J269:J333" si="30">CONCATENATE(B269,C269,D269,I269,F269)</f>
        <v>60112011410300000000</v>
      </c>
    </row>
    <row r="270" spans="1:10" s="3" customFormat="1">
      <c r="A270" s="237" t="s">
        <v>120</v>
      </c>
      <c r="B270" s="233" t="s">
        <v>55</v>
      </c>
      <c r="C270" s="234" t="s">
        <v>40</v>
      </c>
      <c r="D270" s="234" t="s">
        <v>65</v>
      </c>
      <c r="E270" s="234" t="s">
        <v>907</v>
      </c>
      <c r="F270" s="234" t="s">
        <v>58</v>
      </c>
      <c r="G270" s="235">
        <f t="shared" si="28"/>
        <v>5900500</v>
      </c>
      <c r="H270" s="234">
        <v>1410398710</v>
      </c>
      <c r="I270" s="313" t="str">
        <f t="shared" si="29"/>
        <v>1410398710</v>
      </c>
      <c r="J270" s="30" t="str">
        <f t="shared" si="30"/>
        <v>60112011410398710000</v>
      </c>
    </row>
    <row r="271" spans="1:10" s="3" customFormat="1" ht="25.5">
      <c r="A271" s="232" t="s">
        <v>108</v>
      </c>
      <c r="B271" s="233" t="s">
        <v>55</v>
      </c>
      <c r="C271" s="234" t="s">
        <v>40</v>
      </c>
      <c r="D271" s="234" t="s">
        <v>65</v>
      </c>
      <c r="E271" s="234" t="s">
        <v>907</v>
      </c>
      <c r="F271" s="234" t="s">
        <v>116</v>
      </c>
      <c r="G271" s="235">
        <f t="shared" si="28"/>
        <v>5900500</v>
      </c>
      <c r="H271" s="234">
        <v>1410398710</v>
      </c>
      <c r="I271" s="313" t="str">
        <f t="shared" si="29"/>
        <v>1410398710</v>
      </c>
      <c r="J271" s="30" t="str">
        <f t="shared" si="30"/>
        <v>60112011410398710240</v>
      </c>
    </row>
    <row r="272" spans="1:10" s="4" customFormat="1" ht="25.5">
      <c r="A272" s="236" t="s">
        <v>973</v>
      </c>
      <c r="B272" s="233" t="s">
        <v>55</v>
      </c>
      <c r="C272" s="234" t="s">
        <v>40</v>
      </c>
      <c r="D272" s="234" t="s">
        <v>65</v>
      </c>
      <c r="E272" s="234" t="s">
        <v>907</v>
      </c>
      <c r="F272" s="234" t="s">
        <v>1043</v>
      </c>
      <c r="G272" s="235">
        <f>VLOOKUP(J272,'исх АС БЮДЖЕТ'!$A$10:$H$568,6,0)</f>
        <v>5900500</v>
      </c>
      <c r="H272" s="234">
        <v>1410398710</v>
      </c>
      <c r="I272" s="313" t="str">
        <f t="shared" si="29"/>
        <v>1410398710</v>
      </c>
      <c r="J272" s="30" t="str">
        <f t="shared" si="30"/>
        <v>60112011410398710244</v>
      </c>
    </row>
    <row r="273" spans="1:10" s="3" customFormat="1">
      <c r="A273" s="228" t="s">
        <v>52</v>
      </c>
      <c r="B273" s="229" t="s">
        <v>55</v>
      </c>
      <c r="C273" s="230" t="s">
        <v>40</v>
      </c>
      <c r="D273" s="230" t="s">
        <v>66</v>
      </c>
      <c r="E273" s="230" t="s">
        <v>196</v>
      </c>
      <c r="F273" s="230" t="s">
        <v>58</v>
      </c>
      <c r="G273" s="231">
        <f t="shared" ref="G273:G281" si="31">G274</f>
        <v>14557000</v>
      </c>
      <c r="H273" s="230">
        <v>0</v>
      </c>
      <c r="I273" s="313" t="str">
        <f t="shared" si="29"/>
        <v>0000000000</v>
      </c>
      <c r="J273" s="30" t="str">
        <f t="shared" si="30"/>
        <v>60112020000000000000</v>
      </c>
    </row>
    <row r="274" spans="1:10" s="3" customFormat="1" ht="38.25">
      <c r="A274" s="237" t="s">
        <v>751</v>
      </c>
      <c r="B274" s="233" t="s">
        <v>55</v>
      </c>
      <c r="C274" s="234" t="s">
        <v>40</v>
      </c>
      <c r="D274" s="234" t="s">
        <v>66</v>
      </c>
      <c r="E274" s="234" t="s">
        <v>229</v>
      </c>
      <c r="F274" s="234" t="s">
        <v>58</v>
      </c>
      <c r="G274" s="235">
        <f t="shared" si="31"/>
        <v>14557000</v>
      </c>
      <c r="H274" s="234">
        <v>1400000000</v>
      </c>
      <c r="I274" s="313" t="str">
        <f t="shared" si="29"/>
        <v>1400000000</v>
      </c>
      <c r="J274" s="30" t="str">
        <f t="shared" si="30"/>
        <v>60112021400000000000</v>
      </c>
    </row>
    <row r="275" spans="1:10" s="3" customFormat="1">
      <c r="A275" s="237" t="s">
        <v>119</v>
      </c>
      <c r="B275" s="233" t="s">
        <v>55</v>
      </c>
      <c r="C275" s="234" t="s">
        <v>40</v>
      </c>
      <c r="D275" s="234" t="s">
        <v>66</v>
      </c>
      <c r="E275" s="234" t="s">
        <v>230</v>
      </c>
      <c r="F275" s="234" t="s">
        <v>58</v>
      </c>
      <c r="G275" s="235">
        <f>G280+G276</f>
        <v>14557000</v>
      </c>
      <c r="H275" s="234">
        <v>1410000000</v>
      </c>
      <c r="I275" s="313" t="str">
        <f t="shared" si="29"/>
        <v>1410000000</v>
      </c>
      <c r="J275" s="30" t="str">
        <f t="shared" si="30"/>
        <v>60112021410000000000</v>
      </c>
    </row>
    <row r="276" spans="1:10" s="3" customFormat="1" ht="38.25">
      <c r="A276" s="237" t="s">
        <v>237</v>
      </c>
      <c r="B276" s="233" t="s">
        <v>55</v>
      </c>
      <c r="C276" s="234" t="s">
        <v>40</v>
      </c>
      <c r="D276" s="234" t="s">
        <v>66</v>
      </c>
      <c r="E276" s="234" t="s">
        <v>238</v>
      </c>
      <c r="F276" s="234" t="s">
        <v>58</v>
      </c>
      <c r="G276" s="235">
        <f>G277</f>
        <v>1190000</v>
      </c>
      <c r="H276" s="234">
        <v>1410300000</v>
      </c>
      <c r="I276" s="313" t="str">
        <f t="shared" si="29"/>
        <v>1410300000</v>
      </c>
      <c r="J276" s="30" t="str">
        <f t="shared" si="30"/>
        <v>60112021410300000000</v>
      </c>
    </row>
    <row r="277" spans="1:10" s="3" customFormat="1">
      <c r="A277" s="237" t="s">
        <v>120</v>
      </c>
      <c r="B277" s="233" t="s">
        <v>55</v>
      </c>
      <c r="C277" s="234" t="s">
        <v>40</v>
      </c>
      <c r="D277" s="234" t="s">
        <v>66</v>
      </c>
      <c r="E277" s="234" t="s">
        <v>907</v>
      </c>
      <c r="F277" s="234" t="s">
        <v>58</v>
      </c>
      <c r="G277" s="235">
        <f>G278</f>
        <v>1190000</v>
      </c>
      <c r="H277" s="234">
        <v>1410398710</v>
      </c>
      <c r="I277" s="313" t="str">
        <f t="shared" si="29"/>
        <v>1410398710</v>
      </c>
      <c r="J277" s="30" t="str">
        <f t="shared" si="30"/>
        <v>60112021410398710000</v>
      </c>
    </row>
    <row r="278" spans="1:10" s="3" customFormat="1" ht="25.5">
      <c r="A278" s="232" t="s">
        <v>108</v>
      </c>
      <c r="B278" s="233" t="s">
        <v>55</v>
      </c>
      <c r="C278" s="234" t="s">
        <v>40</v>
      </c>
      <c r="D278" s="234" t="s">
        <v>66</v>
      </c>
      <c r="E278" s="234" t="s">
        <v>907</v>
      </c>
      <c r="F278" s="234" t="s">
        <v>116</v>
      </c>
      <c r="G278" s="235">
        <f>G279</f>
        <v>1190000</v>
      </c>
      <c r="H278" s="234">
        <v>1410398710</v>
      </c>
      <c r="I278" s="313" t="str">
        <f t="shared" si="29"/>
        <v>1410398710</v>
      </c>
      <c r="J278" s="30" t="str">
        <f t="shared" si="30"/>
        <v>60112021410398710240</v>
      </c>
    </row>
    <row r="279" spans="1:10" s="4" customFormat="1" ht="25.5">
      <c r="A279" s="236" t="s">
        <v>973</v>
      </c>
      <c r="B279" s="233" t="s">
        <v>55</v>
      </c>
      <c r="C279" s="234" t="s">
        <v>40</v>
      </c>
      <c r="D279" s="234" t="s">
        <v>66</v>
      </c>
      <c r="E279" s="234" t="s">
        <v>907</v>
      </c>
      <c r="F279" s="234" t="s">
        <v>1043</v>
      </c>
      <c r="G279" s="235">
        <f>VLOOKUP(J279,'исх АС БЮДЖЕТ'!$A$10:$H$568,6,0)</f>
        <v>1190000</v>
      </c>
      <c r="H279" s="234">
        <v>1410398710</v>
      </c>
      <c r="I279" s="313" t="str">
        <f t="shared" si="29"/>
        <v>1410398710</v>
      </c>
      <c r="J279" s="30" t="str">
        <f t="shared" si="30"/>
        <v>60112021410398710244</v>
      </c>
    </row>
    <row r="280" spans="1:10" s="3" customFormat="1" ht="25.5">
      <c r="A280" s="237" t="s">
        <v>603</v>
      </c>
      <c r="B280" s="233" t="s">
        <v>55</v>
      </c>
      <c r="C280" s="234" t="s">
        <v>40</v>
      </c>
      <c r="D280" s="234" t="s">
        <v>66</v>
      </c>
      <c r="E280" s="234" t="s">
        <v>239</v>
      </c>
      <c r="F280" s="234" t="s">
        <v>58</v>
      </c>
      <c r="G280" s="235">
        <f>G281</f>
        <v>13367000</v>
      </c>
      <c r="H280" s="234">
        <v>1410400000</v>
      </c>
      <c r="I280" s="313" t="str">
        <f t="shared" si="29"/>
        <v>1410400000</v>
      </c>
      <c r="J280" s="30" t="str">
        <f t="shared" si="30"/>
        <v>60112021410400000000</v>
      </c>
    </row>
    <row r="281" spans="1:10" s="3" customFormat="1" ht="25.5">
      <c r="A281" s="237" t="s">
        <v>171</v>
      </c>
      <c r="B281" s="233" t="s">
        <v>55</v>
      </c>
      <c r="C281" s="234" t="s">
        <v>40</v>
      </c>
      <c r="D281" s="234" t="s">
        <v>66</v>
      </c>
      <c r="E281" s="234" t="s">
        <v>929</v>
      </c>
      <c r="F281" s="234" t="s">
        <v>58</v>
      </c>
      <c r="G281" s="235">
        <f t="shared" si="31"/>
        <v>13367000</v>
      </c>
      <c r="H281" s="234">
        <v>1410498720</v>
      </c>
      <c r="I281" s="313" t="str">
        <f t="shared" si="29"/>
        <v>1410498720</v>
      </c>
      <c r="J281" s="30" t="str">
        <f t="shared" si="30"/>
        <v>60112021410498720000</v>
      </c>
    </row>
    <row r="282" spans="1:10" s="3" customFormat="1" ht="38.25">
      <c r="A282" s="237" t="s">
        <v>561</v>
      </c>
      <c r="B282" s="233" t="s">
        <v>55</v>
      </c>
      <c r="C282" s="234" t="s">
        <v>40</v>
      </c>
      <c r="D282" s="234" t="s">
        <v>66</v>
      </c>
      <c r="E282" s="234" t="s">
        <v>929</v>
      </c>
      <c r="F282" s="234" t="s">
        <v>101</v>
      </c>
      <c r="G282" s="235">
        <f>G283</f>
        <v>13367000</v>
      </c>
      <c r="H282" s="234">
        <v>1410498720</v>
      </c>
      <c r="I282" s="313" t="str">
        <f t="shared" si="29"/>
        <v>1410498720</v>
      </c>
      <c r="J282" s="30" t="str">
        <f t="shared" si="30"/>
        <v>60112021410498720810</v>
      </c>
    </row>
    <row r="283" spans="1:10" s="94" customFormat="1" ht="38.25">
      <c r="A283" s="236" t="s">
        <v>1047</v>
      </c>
      <c r="B283" s="233" t="s">
        <v>55</v>
      </c>
      <c r="C283" s="234" t="s">
        <v>40</v>
      </c>
      <c r="D283" s="234" t="s">
        <v>66</v>
      </c>
      <c r="E283" s="234" t="s">
        <v>929</v>
      </c>
      <c r="F283" s="234" t="s">
        <v>1050</v>
      </c>
      <c r="G283" s="235">
        <f>VLOOKUP(J283,'исх АС БЮДЖЕТ'!$A$10:$H$568,6,0)</f>
        <v>13367000</v>
      </c>
      <c r="H283" s="234">
        <v>1410498720</v>
      </c>
      <c r="I283" s="313" t="str">
        <f t="shared" si="29"/>
        <v>1410498720</v>
      </c>
      <c r="J283" s="30" t="str">
        <f t="shared" si="30"/>
        <v>60112021410498720811</v>
      </c>
    </row>
    <row r="284" spans="1:10" s="71" customFormat="1">
      <c r="A284" s="249"/>
      <c r="B284" s="239"/>
      <c r="C284" s="240"/>
      <c r="D284" s="240"/>
      <c r="E284" s="240"/>
      <c r="F284" s="240"/>
      <c r="G284" s="235"/>
      <c r="H284" s="240"/>
      <c r="I284" s="313" t="str">
        <f t="shared" si="29"/>
        <v>0000000000</v>
      </c>
      <c r="J284" s="30" t="str">
        <f t="shared" si="30"/>
        <v>0000000000</v>
      </c>
    </row>
    <row r="285" spans="1:10" s="109" customFormat="1">
      <c r="A285" s="219" t="s">
        <v>60</v>
      </c>
      <c r="B285" s="220" t="s">
        <v>29</v>
      </c>
      <c r="C285" s="221" t="s">
        <v>51</v>
      </c>
      <c r="D285" s="221" t="s">
        <v>51</v>
      </c>
      <c r="E285" s="221" t="s">
        <v>196</v>
      </c>
      <c r="F285" s="221" t="s">
        <v>58</v>
      </c>
      <c r="G285" s="222">
        <f>G286+G341</f>
        <v>81365678.719999999</v>
      </c>
      <c r="H285" s="221">
        <v>0</v>
      </c>
      <c r="I285" s="313" t="str">
        <f t="shared" si="29"/>
        <v>0000000000</v>
      </c>
      <c r="J285" s="30" t="str">
        <f t="shared" si="30"/>
        <v>60200000000000000000</v>
      </c>
    </row>
    <row r="286" spans="1:10" s="109" customFormat="1">
      <c r="A286" s="224" t="s">
        <v>64</v>
      </c>
      <c r="B286" s="225" t="s">
        <v>29</v>
      </c>
      <c r="C286" s="226" t="s">
        <v>65</v>
      </c>
      <c r="D286" s="226" t="s">
        <v>51</v>
      </c>
      <c r="E286" s="226" t="s">
        <v>196</v>
      </c>
      <c r="F286" s="226" t="s">
        <v>58</v>
      </c>
      <c r="G286" s="227">
        <f>G287</f>
        <v>69740395.219999999</v>
      </c>
      <c r="H286" s="226">
        <v>0</v>
      </c>
      <c r="I286" s="313" t="str">
        <f t="shared" si="29"/>
        <v>0000000000</v>
      </c>
      <c r="J286" s="30" t="str">
        <f t="shared" si="30"/>
        <v>60201000000000000000</v>
      </c>
    </row>
    <row r="287" spans="1:10" s="109" customFormat="1">
      <c r="A287" s="228" t="s">
        <v>38</v>
      </c>
      <c r="B287" s="229" t="s">
        <v>29</v>
      </c>
      <c r="C287" s="230" t="s">
        <v>65</v>
      </c>
      <c r="D287" s="230" t="s">
        <v>84</v>
      </c>
      <c r="E287" s="230" t="s">
        <v>196</v>
      </c>
      <c r="F287" s="230" t="s">
        <v>58</v>
      </c>
      <c r="G287" s="231">
        <f>G288+G318+G306+G312</f>
        <v>69740395.219999999</v>
      </c>
      <c r="H287" s="230">
        <v>0</v>
      </c>
      <c r="I287" s="313" t="str">
        <f t="shared" si="29"/>
        <v>0000000000</v>
      </c>
      <c r="J287" s="30" t="str">
        <f t="shared" si="30"/>
        <v>60201130000000000000</v>
      </c>
    </row>
    <row r="288" spans="1:10" s="109" customFormat="1" ht="38.25">
      <c r="A288" s="244" t="s">
        <v>745</v>
      </c>
      <c r="B288" s="233" t="s">
        <v>29</v>
      </c>
      <c r="C288" s="234" t="s">
        <v>65</v>
      </c>
      <c r="D288" s="234" t="s">
        <v>84</v>
      </c>
      <c r="E288" s="234" t="s">
        <v>280</v>
      </c>
      <c r="F288" s="234" t="s">
        <v>58</v>
      </c>
      <c r="G288" s="235">
        <f>G289</f>
        <v>5231410</v>
      </c>
      <c r="H288" s="234">
        <v>1100000000</v>
      </c>
      <c r="I288" s="313" t="str">
        <f t="shared" si="29"/>
        <v>1100000000</v>
      </c>
      <c r="J288" s="30" t="str">
        <f t="shared" si="30"/>
        <v>60201131100000000000</v>
      </c>
    </row>
    <row r="289" spans="1:10" s="109" customFormat="1" ht="38.25">
      <c r="A289" s="244" t="s">
        <v>746</v>
      </c>
      <c r="B289" s="233" t="s">
        <v>29</v>
      </c>
      <c r="C289" s="234" t="s">
        <v>65</v>
      </c>
      <c r="D289" s="234" t="s">
        <v>84</v>
      </c>
      <c r="E289" s="234" t="s">
        <v>281</v>
      </c>
      <c r="F289" s="234" t="s">
        <v>58</v>
      </c>
      <c r="G289" s="235">
        <f>G290+G302</f>
        <v>5231410</v>
      </c>
      <c r="H289" s="234" t="s">
        <v>1185</v>
      </c>
      <c r="I289" s="313" t="str">
        <f t="shared" si="29"/>
        <v>11Б0000000</v>
      </c>
      <c r="J289" s="30" t="str">
        <f t="shared" si="30"/>
        <v>602011311Б0000000000</v>
      </c>
    </row>
    <row r="290" spans="1:10" s="109" customFormat="1" ht="25.5">
      <c r="A290" s="232" t="s">
        <v>282</v>
      </c>
      <c r="B290" s="233" t="s">
        <v>29</v>
      </c>
      <c r="C290" s="234" t="s">
        <v>65</v>
      </c>
      <c r="D290" s="234" t="s">
        <v>84</v>
      </c>
      <c r="E290" s="234" t="s">
        <v>283</v>
      </c>
      <c r="F290" s="234" t="s">
        <v>58</v>
      </c>
      <c r="G290" s="235">
        <f>G291+G296+G299</f>
        <v>4850610</v>
      </c>
      <c r="H290" s="234" t="s">
        <v>1186</v>
      </c>
      <c r="I290" s="313" t="str">
        <f t="shared" si="29"/>
        <v>11Б0100000</v>
      </c>
      <c r="J290" s="30" t="str">
        <f t="shared" si="30"/>
        <v>602011311Б0100000000</v>
      </c>
    </row>
    <row r="291" spans="1:10" s="109" customFormat="1" ht="38.25">
      <c r="A291" s="232" t="s">
        <v>165</v>
      </c>
      <c r="B291" s="233" t="s">
        <v>29</v>
      </c>
      <c r="C291" s="234" t="s">
        <v>65</v>
      </c>
      <c r="D291" s="234" t="s">
        <v>84</v>
      </c>
      <c r="E291" s="234" t="s">
        <v>284</v>
      </c>
      <c r="F291" s="234" t="s">
        <v>58</v>
      </c>
      <c r="G291" s="235">
        <f>G292+G294</f>
        <v>1363000</v>
      </c>
      <c r="H291" s="234" t="s">
        <v>1187</v>
      </c>
      <c r="I291" s="313" t="str">
        <f t="shared" si="29"/>
        <v>11Б0120030</v>
      </c>
      <c r="J291" s="30" t="str">
        <f t="shared" si="30"/>
        <v>602011311Б0120030000</v>
      </c>
    </row>
    <row r="292" spans="1:10" s="109" customFormat="1" ht="25.5">
      <c r="A292" s="232" t="s">
        <v>108</v>
      </c>
      <c r="B292" s="233" t="s">
        <v>29</v>
      </c>
      <c r="C292" s="234" t="s">
        <v>65</v>
      </c>
      <c r="D292" s="234" t="s">
        <v>84</v>
      </c>
      <c r="E292" s="234" t="s">
        <v>284</v>
      </c>
      <c r="F292" s="234" t="s">
        <v>116</v>
      </c>
      <c r="G292" s="235">
        <f>G293</f>
        <v>1350000</v>
      </c>
      <c r="H292" s="234" t="s">
        <v>1187</v>
      </c>
      <c r="I292" s="313" t="str">
        <f t="shared" si="29"/>
        <v>11Б0120030</v>
      </c>
      <c r="J292" s="30" t="str">
        <f t="shared" si="30"/>
        <v>602011311Б0120030240</v>
      </c>
    </row>
    <row r="293" spans="1:10" s="110" customFormat="1" ht="25.5">
      <c r="A293" s="236" t="s">
        <v>973</v>
      </c>
      <c r="B293" s="233" t="s">
        <v>29</v>
      </c>
      <c r="C293" s="234" t="s">
        <v>65</v>
      </c>
      <c r="D293" s="234" t="s">
        <v>84</v>
      </c>
      <c r="E293" s="234" t="s">
        <v>284</v>
      </c>
      <c r="F293" s="234" t="s">
        <v>1043</v>
      </c>
      <c r="G293" s="235">
        <f>VLOOKUP(J293,'исх АС БЮДЖЕТ'!$A$10:$H$568,6,0)</f>
        <v>1350000</v>
      </c>
      <c r="H293" s="234" t="s">
        <v>1187</v>
      </c>
      <c r="I293" s="313" t="str">
        <f t="shared" si="29"/>
        <v>11Б0120030</v>
      </c>
      <c r="J293" s="30" t="str">
        <f t="shared" si="30"/>
        <v>602011311Б0120030244</v>
      </c>
    </row>
    <row r="294" spans="1:10" s="109" customFormat="1">
      <c r="A294" s="232" t="s">
        <v>97</v>
      </c>
      <c r="B294" s="233" t="s">
        <v>29</v>
      </c>
      <c r="C294" s="234" t="s">
        <v>65</v>
      </c>
      <c r="D294" s="234" t="s">
        <v>84</v>
      </c>
      <c r="E294" s="234" t="s">
        <v>284</v>
      </c>
      <c r="F294" s="234" t="s">
        <v>118</v>
      </c>
      <c r="G294" s="235">
        <f>G295</f>
        <v>13000</v>
      </c>
      <c r="H294" s="234" t="s">
        <v>1187</v>
      </c>
      <c r="I294" s="313" t="str">
        <f t="shared" si="29"/>
        <v>11Б0120030</v>
      </c>
      <c r="J294" s="30" t="str">
        <f t="shared" si="30"/>
        <v>602011311Б0120030850</v>
      </c>
    </row>
    <row r="295" spans="1:10" s="110" customFormat="1">
      <c r="A295" s="236" t="s">
        <v>1037</v>
      </c>
      <c r="B295" s="233" t="s">
        <v>29</v>
      </c>
      <c r="C295" s="234" t="s">
        <v>65</v>
      </c>
      <c r="D295" s="234" t="s">
        <v>84</v>
      </c>
      <c r="E295" s="234" t="s">
        <v>284</v>
      </c>
      <c r="F295" s="234" t="s">
        <v>1062</v>
      </c>
      <c r="G295" s="235">
        <f>VLOOKUP(J295,'исх АС БЮДЖЕТ'!$A$10:$H$568,6,0)</f>
        <v>13000</v>
      </c>
      <c r="H295" s="234" t="s">
        <v>1187</v>
      </c>
      <c r="I295" s="313" t="str">
        <f t="shared" si="29"/>
        <v>11Б0120030</v>
      </c>
      <c r="J295" s="30" t="str">
        <f t="shared" si="30"/>
        <v>602011311Б0120030852</v>
      </c>
    </row>
    <row r="296" spans="1:10" s="109" customFormat="1" ht="25.5">
      <c r="A296" s="232" t="s">
        <v>166</v>
      </c>
      <c r="B296" s="233" t="s">
        <v>29</v>
      </c>
      <c r="C296" s="234" t="s">
        <v>65</v>
      </c>
      <c r="D296" s="234" t="s">
        <v>84</v>
      </c>
      <c r="E296" s="234" t="s">
        <v>285</v>
      </c>
      <c r="F296" s="234" t="s">
        <v>58</v>
      </c>
      <c r="G296" s="235">
        <f>G297</f>
        <v>1729980</v>
      </c>
      <c r="H296" s="234" t="s">
        <v>1188</v>
      </c>
      <c r="I296" s="313" t="str">
        <f t="shared" si="29"/>
        <v>11Б0120070</v>
      </c>
      <c r="J296" s="30" t="str">
        <f t="shared" si="30"/>
        <v>602011311Б0120070000</v>
      </c>
    </row>
    <row r="297" spans="1:10" s="109" customFormat="1" ht="25.5">
      <c r="A297" s="232" t="s">
        <v>108</v>
      </c>
      <c r="B297" s="233" t="s">
        <v>29</v>
      </c>
      <c r="C297" s="234" t="s">
        <v>65</v>
      </c>
      <c r="D297" s="234" t="s">
        <v>84</v>
      </c>
      <c r="E297" s="234" t="s">
        <v>285</v>
      </c>
      <c r="F297" s="234" t="s">
        <v>116</v>
      </c>
      <c r="G297" s="235">
        <f>G298</f>
        <v>1729980</v>
      </c>
      <c r="H297" s="234" t="s">
        <v>1188</v>
      </c>
      <c r="I297" s="313" t="str">
        <f t="shared" si="29"/>
        <v>11Б0120070</v>
      </c>
      <c r="J297" s="30" t="str">
        <f t="shared" si="30"/>
        <v>602011311Б0120070240</v>
      </c>
    </row>
    <row r="298" spans="1:10" s="110" customFormat="1" ht="25.5">
      <c r="A298" s="236" t="s">
        <v>973</v>
      </c>
      <c r="B298" s="233" t="s">
        <v>29</v>
      </c>
      <c r="C298" s="234" t="s">
        <v>65</v>
      </c>
      <c r="D298" s="234" t="s">
        <v>84</v>
      </c>
      <c r="E298" s="234" t="s">
        <v>285</v>
      </c>
      <c r="F298" s="234" t="s">
        <v>1043</v>
      </c>
      <c r="G298" s="235">
        <f>VLOOKUP(J298,'исх АС БЮДЖЕТ'!$A$10:$H$568,6,0)</f>
        <v>1729980</v>
      </c>
      <c r="H298" s="234" t="s">
        <v>1188</v>
      </c>
      <c r="I298" s="313" t="str">
        <f t="shared" si="29"/>
        <v>11Б0120070</v>
      </c>
      <c r="J298" s="30" t="str">
        <f t="shared" si="30"/>
        <v>602011311Б0120070244</v>
      </c>
    </row>
    <row r="299" spans="1:10" s="109" customFormat="1" ht="25.5">
      <c r="A299" s="232" t="s">
        <v>859</v>
      </c>
      <c r="B299" s="233" t="s">
        <v>29</v>
      </c>
      <c r="C299" s="234" t="s">
        <v>65</v>
      </c>
      <c r="D299" s="234" t="s">
        <v>84</v>
      </c>
      <c r="E299" s="234" t="s">
        <v>858</v>
      </c>
      <c r="F299" s="234" t="s">
        <v>58</v>
      </c>
      <c r="G299" s="235">
        <f>G300</f>
        <v>1757630</v>
      </c>
      <c r="H299" s="234" t="s">
        <v>1189</v>
      </c>
      <c r="I299" s="313" t="str">
        <f t="shared" si="29"/>
        <v>11Б0121120</v>
      </c>
      <c r="J299" s="30" t="str">
        <f t="shared" si="30"/>
        <v>602011311Б0121120000</v>
      </c>
    </row>
    <row r="300" spans="1:10" s="109" customFormat="1" ht="25.5">
      <c r="A300" s="232" t="s">
        <v>108</v>
      </c>
      <c r="B300" s="233" t="s">
        <v>29</v>
      </c>
      <c r="C300" s="234" t="s">
        <v>65</v>
      </c>
      <c r="D300" s="234" t="s">
        <v>84</v>
      </c>
      <c r="E300" s="234" t="s">
        <v>858</v>
      </c>
      <c r="F300" s="234" t="s">
        <v>116</v>
      </c>
      <c r="G300" s="235">
        <f>G301</f>
        <v>1757630</v>
      </c>
      <c r="H300" s="234" t="s">
        <v>1189</v>
      </c>
      <c r="I300" s="313" t="str">
        <f t="shared" si="29"/>
        <v>11Б0121120</v>
      </c>
      <c r="J300" s="30" t="str">
        <f t="shared" si="30"/>
        <v>602011311Б0121120240</v>
      </c>
    </row>
    <row r="301" spans="1:10" s="110" customFormat="1" ht="25.5">
      <c r="A301" s="236" t="s">
        <v>973</v>
      </c>
      <c r="B301" s="233" t="s">
        <v>29</v>
      </c>
      <c r="C301" s="234" t="s">
        <v>65</v>
      </c>
      <c r="D301" s="234" t="s">
        <v>84</v>
      </c>
      <c r="E301" s="234" t="s">
        <v>858</v>
      </c>
      <c r="F301" s="234" t="s">
        <v>1043</v>
      </c>
      <c r="G301" s="235">
        <f>VLOOKUP(J301,'исх АС БЮДЖЕТ'!$A$10:$H$568,6,0)</f>
        <v>1757630</v>
      </c>
      <c r="H301" s="234" t="s">
        <v>1189</v>
      </c>
      <c r="I301" s="313" t="str">
        <f t="shared" si="29"/>
        <v>11Б0121120</v>
      </c>
      <c r="J301" s="30" t="str">
        <f t="shared" si="30"/>
        <v>602011311Б0121120244</v>
      </c>
    </row>
    <row r="302" spans="1:10" s="109" customFormat="1" ht="51">
      <c r="A302" s="309" t="s">
        <v>852</v>
      </c>
      <c r="B302" s="233" t="s">
        <v>29</v>
      </c>
      <c r="C302" s="234" t="s">
        <v>65</v>
      </c>
      <c r="D302" s="234" t="s">
        <v>84</v>
      </c>
      <c r="E302" s="234" t="s">
        <v>289</v>
      </c>
      <c r="F302" s="234" t="s">
        <v>58</v>
      </c>
      <c r="G302" s="235">
        <f t="shared" ref="G302:G303" si="32">G303</f>
        <v>380800</v>
      </c>
      <c r="H302" s="234" t="s">
        <v>1190</v>
      </c>
      <c r="I302" s="313" t="str">
        <f t="shared" si="29"/>
        <v>11Б0300000</v>
      </c>
      <c r="J302" s="30" t="str">
        <f t="shared" si="30"/>
        <v>602011311Б0300000000</v>
      </c>
    </row>
    <row r="303" spans="1:10" s="109" customFormat="1" ht="38.25">
      <c r="A303" s="232" t="s">
        <v>168</v>
      </c>
      <c r="B303" s="233" t="s">
        <v>29</v>
      </c>
      <c r="C303" s="234" t="s">
        <v>65</v>
      </c>
      <c r="D303" s="234" t="s">
        <v>84</v>
      </c>
      <c r="E303" s="234" t="s">
        <v>290</v>
      </c>
      <c r="F303" s="234" t="s">
        <v>58</v>
      </c>
      <c r="G303" s="235">
        <f t="shared" si="32"/>
        <v>380800</v>
      </c>
      <c r="H303" s="234" t="s">
        <v>1191</v>
      </c>
      <c r="I303" s="313" t="str">
        <f t="shared" si="29"/>
        <v>11Б0320340</v>
      </c>
      <c r="J303" s="30" t="str">
        <f t="shared" si="30"/>
        <v>602011311Б0320340000</v>
      </c>
    </row>
    <row r="304" spans="1:10" s="109" customFormat="1" ht="25.5">
      <c r="A304" s="232" t="s">
        <v>108</v>
      </c>
      <c r="B304" s="233" t="s">
        <v>29</v>
      </c>
      <c r="C304" s="234" t="s">
        <v>65</v>
      </c>
      <c r="D304" s="234" t="s">
        <v>84</v>
      </c>
      <c r="E304" s="234" t="s">
        <v>290</v>
      </c>
      <c r="F304" s="234" t="s">
        <v>116</v>
      </c>
      <c r="G304" s="235">
        <f>G305</f>
        <v>380800</v>
      </c>
      <c r="H304" s="234" t="s">
        <v>1191</v>
      </c>
      <c r="I304" s="313" t="str">
        <f t="shared" si="29"/>
        <v>11Б0320340</v>
      </c>
      <c r="J304" s="30" t="str">
        <f t="shared" si="30"/>
        <v>602011311Б0320340240</v>
      </c>
    </row>
    <row r="305" spans="1:10" s="110" customFormat="1" ht="25.5">
      <c r="A305" s="236" t="s">
        <v>973</v>
      </c>
      <c r="B305" s="233" t="s">
        <v>29</v>
      </c>
      <c r="C305" s="234" t="s">
        <v>65</v>
      </c>
      <c r="D305" s="234" t="s">
        <v>84</v>
      </c>
      <c r="E305" s="234" t="s">
        <v>290</v>
      </c>
      <c r="F305" s="234" t="s">
        <v>1043</v>
      </c>
      <c r="G305" s="235">
        <f>VLOOKUP(J305,'исх АС БЮДЖЕТ'!$A$10:$H$568,6,0)</f>
        <v>380800</v>
      </c>
      <c r="H305" s="234" t="s">
        <v>1191</v>
      </c>
      <c r="I305" s="313" t="str">
        <f t="shared" si="29"/>
        <v>11Б0320340</v>
      </c>
      <c r="J305" s="30" t="str">
        <f t="shared" si="30"/>
        <v>602011311Б0320340244</v>
      </c>
    </row>
    <row r="306" spans="1:10" s="109" customFormat="1" ht="38.25">
      <c r="A306" s="237" t="s">
        <v>751</v>
      </c>
      <c r="B306" s="233" t="s">
        <v>29</v>
      </c>
      <c r="C306" s="234" t="s">
        <v>65</v>
      </c>
      <c r="D306" s="234" t="s">
        <v>84</v>
      </c>
      <c r="E306" s="234" t="s">
        <v>229</v>
      </c>
      <c r="F306" s="234" t="s">
        <v>58</v>
      </c>
      <c r="G306" s="235">
        <f t="shared" ref="G306:G309" si="33">G307</f>
        <v>478000</v>
      </c>
      <c r="H306" s="234">
        <v>1400000000</v>
      </c>
      <c r="I306" s="313" t="str">
        <f t="shared" si="29"/>
        <v>1400000000</v>
      </c>
      <c r="J306" s="30" t="str">
        <f t="shared" si="30"/>
        <v>60201131400000000000</v>
      </c>
    </row>
    <row r="307" spans="1:10" s="109" customFormat="1">
      <c r="A307" s="237" t="s">
        <v>119</v>
      </c>
      <c r="B307" s="233" t="s">
        <v>29</v>
      </c>
      <c r="C307" s="234" t="s">
        <v>65</v>
      </c>
      <c r="D307" s="234" t="s">
        <v>84</v>
      </c>
      <c r="E307" s="234" t="s">
        <v>230</v>
      </c>
      <c r="F307" s="234" t="s">
        <v>58</v>
      </c>
      <c r="G307" s="235">
        <f t="shared" si="33"/>
        <v>478000</v>
      </c>
      <c r="H307" s="234">
        <v>1410000000</v>
      </c>
      <c r="I307" s="313" t="str">
        <f t="shared" si="29"/>
        <v>1410000000</v>
      </c>
      <c r="J307" s="30" t="str">
        <f t="shared" si="30"/>
        <v>60201131410000000000</v>
      </c>
    </row>
    <row r="308" spans="1:10" s="109" customFormat="1" ht="38.25">
      <c r="A308" s="237" t="s">
        <v>234</v>
      </c>
      <c r="B308" s="233" t="s">
        <v>29</v>
      </c>
      <c r="C308" s="234" t="s">
        <v>65</v>
      </c>
      <c r="D308" s="234" t="s">
        <v>84</v>
      </c>
      <c r="E308" s="234" t="s">
        <v>235</v>
      </c>
      <c r="F308" s="234" t="s">
        <v>58</v>
      </c>
      <c r="G308" s="235">
        <f t="shared" si="33"/>
        <v>478000</v>
      </c>
      <c r="H308" s="234">
        <v>1410200000</v>
      </c>
      <c r="I308" s="313" t="str">
        <f t="shared" si="29"/>
        <v>1410200000</v>
      </c>
      <c r="J308" s="30" t="str">
        <f t="shared" si="30"/>
        <v>60201131410200000000</v>
      </c>
    </row>
    <row r="309" spans="1:10" s="109" customFormat="1" ht="25.5">
      <c r="A309" s="237" t="s">
        <v>170</v>
      </c>
      <c r="B309" s="233" t="s">
        <v>29</v>
      </c>
      <c r="C309" s="234" t="s">
        <v>65</v>
      </c>
      <c r="D309" s="234" t="s">
        <v>84</v>
      </c>
      <c r="E309" s="234" t="s">
        <v>236</v>
      </c>
      <c r="F309" s="234" t="s">
        <v>58</v>
      </c>
      <c r="G309" s="235">
        <f t="shared" si="33"/>
        <v>478000</v>
      </c>
      <c r="H309" s="234">
        <v>1410220630</v>
      </c>
      <c r="I309" s="313" t="str">
        <f t="shared" si="29"/>
        <v>1410220630</v>
      </c>
      <c r="J309" s="30" t="str">
        <f t="shared" si="30"/>
        <v>60201131410220630000</v>
      </c>
    </row>
    <row r="310" spans="1:10" s="109" customFormat="1" ht="25.5">
      <c r="A310" s="232" t="s">
        <v>108</v>
      </c>
      <c r="B310" s="233" t="s">
        <v>29</v>
      </c>
      <c r="C310" s="234" t="s">
        <v>65</v>
      </c>
      <c r="D310" s="234" t="s">
        <v>84</v>
      </c>
      <c r="E310" s="234" t="s">
        <v>236</v>
      </c>
      <c r="F310" s="234" t="s">
        <v>116</v>
      </c>
      <c r="G310" s="235">
        <f>G311</f>
        <v>478000</v>
      </c>
      <c r="H310" s="234">
        <v>1410220630</v>
      </c>
      <c r="I310" s="313" t="str">
        <f t="shared" si="29"/>
        <v>1410220630</v>
      </c>
      <c r="J310" s="30" t="str">
        <f t="shared" si="30"/>
        <v>60201131410220630240</v>
      </c>
    </row>
    <row r="311" spans="1:10" s="110" customFormat="1" ht="25.5">
      <c r="A311" s="236" t="s">
        <v>973</v>
      </c>
      <c r="B311" s="233" t="s">
        <v>29</v>
      </c>
      <c r="C311" s="234" t="s">
        <v>65</v>
      </c>
      <c r="D311" s="234" t="s">
        <v>84</v>
      </c>
      <c r="E311" s="234" t="s">
        <v>236</v>
      </c>
      <c r="F311" s="234" t="s">
        <v>1043</v>
      </c>
      <c r="G311" s="235">
        <f>VLOOKUP(J311,'исх АС БЮДЖЕТ'!$A$10:$H$568,6,0)</f>
        <v>478000</v>
      </c>
      <c r="H311" s="234">
        <v>1410220630</v>
      </c>
      <c r="I311" s="313" t="str">
        <f t="shared" si="29"/>
        <v>1410220630</v>
      </c>
      <c r="J311" s="30" t="str">
        <f t="shared" si="30"/>
        <v>60201131410220630244</v>
      </c>
    </row>
    <row r="312" spans="1:10" s="3" customFormat="1" ht="25.5">
      <c r="A312" s="236" t="s">
        <v>752</v>
      </c>
      <c r="B312" s="233" t="s">
        <v>29</v>
      </c>
      <c r="C312" s="241" t="s">
        <v>65</v>
      </c>
      <c r="D312" s="241">
        <v>13</v>
      </c>
      <c r="E312" s="241" t="s">
        <v>249</v>
      </c>
      <c r="F312" s="241" t="s">
        <v>58</v>
      </c>
      <c r="G312" s="247">
        <f>G313</f>
        <v>3000000</v>
      </c>
      <c r="H312" s="241">
        <v>1500000000</v>
      </c>
      <c r="I312" s="313" t="str">
        <f t="shared" si="29"/>
        <v>1500000000</v>
      </c>
      <c r="J312" s="30" t="str">
        <f t="shared" si="30"/>
        <v>60201131500000000000</v>
      </c>
    </row>
    <row r="313" spans="1:10" s="3" customFormat="1">
      <c r="A313" s="232" t="s">
        <v>753</v>
      </c>
      <c r="B313" s="233" t="s">
        <v>29</v>
      </c>
      <c r="C313" s="241" t="s">
        <v>65</v>
      </c>
      <c r="D313" s="241">
        <v>13</v>
      </c>
      <c r="E313" s="241" t="s">
        <v>250</v>
      </c>
      <c r="F313" s="241" t="s">
        <v>58</v>
      </c>
      <c r="G313" s="247">
        <f>G314</f>
        <v>3000000</v>
      </c>
      <c r="H313" s="241">
        <v>1510000000</v>
      </c>
      <c r="I313" s="313" t="str">
        <f t="shared" si="29"/>
        <v>1510000000</v>
      </c>
      <c r="J313" s="30" t="str">
        <f t="shared" si="30"/>
        <v>60201131510000000000</v>
      </c>
    </row>
    <row r="314" spans="1:10" s="3" customFormat="1">
      <c r="A314" s="248" t="s">
        <v>618</v>
      </c>
      <c r="B314" s="233" t="s">
        <v>29</v>
      </c>
      <c r="C314" s="241" t="s">
        <v>65</v>
      </c>
      <c r="D314" s="241">
        <v>13</v>
      </c>
      <c r="E314" s="241" t="s">
        <v>540</v>
      </c>
      <c r="F314" s="241" t="s">
        <v>58</v>
      </c>
      <c r="G314" s="247">
        <f t="shared" ref="G314:G315" si="34">G315</f>
        <v>3000000</v>
      </c>
      <c r="H314" s="241">
        <v>1510200000</v>
      </c>
      <c r="I314" s="313" t="str">
        <f t="shared" si="29"/>
        <v>1510200000</v>
      </c>
      <c r="J314" s="30" t="str">
        <f t="shared" si="30"/>
        <v>60201131510200000000</v>
      </c>
    </row>
    <row r="315" spans="1:10" s="3" customFormat="1" ht="25.5">
      <c r="A315" s="248" t="s">
        <v>122</v>
      </c>
      <c r="B315" s="233" t="s">
        <v>29</v>
      </c>
      <c r="C315" s="241" t="s">
        <v>65</v>
      </c>
      <c r="D315" s="241">
        <v>13</v>
      </c>
      <c r="E315" s="241" t="s">
        <v>571</v>
      </c>
      <c r="F315" s="241" t="s">
        <v>58</v>
      </c>
      <c r="G315" s="247">
        <f t="shared" si="34"/>
        <v>3000000</v>
      </c>
      <c r="H315" s="241">
        <v>1510220350</v>
      </c>
      <c r="I315" s="313" t="str">
        <f t="shared" si="29"/>
        <v>1510220350</v>
      </c>
      <c r="J315" s="30" t="str">
        <f t="shared" si="30"/>
        <v>60201131510220350000</v>
      </c>
    </row>
    <row r="316" spans="1:10" s="3" customFormat="1" ht="25.5">
      <c r="A316" s="248" t="s">
        <v>108</v>
      </c>
      <c r="B316" s="233" t="s">
        <v>29</v>
      </c>
      <c r="C316" s="241" t="s">
        <v>65</v>
      </c>
      <c r="D316" s="241">
        <v>13</v>
      </c>
      <c r="E316" s="241" t="s">
        <v>571</v>
      </c>
      <c r="F316" s="241" t="s">
        <v>116</v>
      </c>
      <c r="G316" s="235">
        <f>G317</f>
        <v>3000000</v>
      </c>
      <c r="H316" s="241">
        <v>1510220350</v>
      </c>
      <c r="I316" s="313" t="str">
        <f t="shared" si="29"/>
        <v>1510220350</v>
      </c>
      <c r="J316" s="30" t="str">
        <f t="shared" si="30"/>
        <v>60201131510220350240</v>
      </c>
    </row>
    <row r="317" spans="1:10" s="4" customFormat="1" ht="25.5">
      <c r="A317" s="236" t="s">
        <v>973</v>
      </c>
      <c r="B317" s="233" t="s">
        <v>29</v>
      </c>
      <c r="C317" s="241" t="s">
        <v>65</v>
      </c>
      <c r="D317" s="241">
        <v>13</v>
      </c>
      <c r="E317" s="241" t="s">
        <v>571</v>
      </c>
      <c r="F317" s="241" t="s">
        <v>1043</v>
      </c>
      <c r="G317" s="235">
        <f>VLOOKUP(J317,'исх АС БЮДЖЕТ'!$A$10:$H$568,6,0)</f>
        <v>3000000</v>
      </c>
      <c r="H317" s="241">
        <v>1510220350</v>
      </c>
      <c r="I317" s="313" t="str">
        <f t="shared" si="29"/>
        <v>1510220350</v>
      </c>
      <c r="J317" s="30" t="str">
        <f t="shared" si="30"/>
        <v>60201131510220350244</v>
      </c>
    </row>
    <row r="318" spans="1:10" s="109" customFormat="1" ht="25.5">
      <c r="A318" s="232" t="s">
        <v>291</v>
      </c>
      <c r="B318" s="233" t="s">
        <v>29</v>
      </c>
      <c r="C318" s="234" t="s">
        <v>65</v>
      </c>
      <c r="D318" s="234" t="s">
        <v>84</v>
      </c>
      <c r="E318" s="234" t="s">
        <v>292</v>
      </c>
      <c r="F318" s="234" t="s">
        <v>58</v>
      </c>
      <c r="G318" s="235">
        <f>G319</f>
        <v>61030985.219999991</v>
      </c>
      <c r="H318" s="234">
        <v>7200000000</v>
      </c>
      <c r="I318" s="313" t="str">
        <f t="shared" si="29"/>
        <v>7200000000</v>
      </c>
      <c r="J318" s="30" t="str">
        <f t="shared" si="30"/>
        <v>60201137200000000000</v>
      </c>
    </row>
    <row r="319" spans="1:10" s="109" customFormat="1" ht="25.5">
      <c r="A319" s="232" t="s">
        <v>581</v>
      </c>
      <c r="B319" s="233" t="s">
        <v>29</v>
      </c>
      <c r="C319" s="234" t="s">
        <v>65</v>
      </c>
      <c r="D319" s="234" t="s">
        <v>84</v>
      </c>
      <c r="E319" s="234" t="s">
        <v>293</v>
      </c>
      <c r="F319" s="234" t="s">
        <v>58</v>
      </c>
      <c r="G319" s="235">
        <f>G330+G320+G338+G334</f>
        <v>61030985.219999991</v>
      </c>
      <c r="H319" s="234">
        <v>7210000000</v>
      </c>
      <c r="I319" s="313" t="str">
        <f t="shared" si="29"/>
        <v>7210000000</v>
      </c>
      <c r="J319" s="30" t="str">
        <f t="shared" si="30"/>
        <v>60201137210000000000</v>
      </c>
    </row>
    <row r="320" spans="1:10" s="109" customFormat="1" ht="25.5">
      <c r="A320" s="232" t="s">
        <v>114</v>
      </c>
      <c r="B320" s="233" t="s">
        <v>29</v>
      </c>
      <c r="C320" s="234" t="s">
        <v>65</v>
      </c>
      <c r="D320" s="234" t="s">
        <v>84</v>
      </c>
      <c r="E320" s="234" t="s">
        <v>294</v>
      </c>
      <c r="F320" s="234" t="s">
        <v>58</v>
      </c>
      <c r="G320" s="235">
        <f>G321+G324+G326</f>
        <v>9999066.1899999995</v>
      </c>
      <c r="H320" s="234">
        <v>7210010010</v>
      </c>
      <c r="I320" s="313" t="str">
        <f t="shared" si="29"/>
        <v>7210010010</v>
      </c>
      <c r="J320" s="30" t="str">
        <f t="shared" si="30"/>
        <v>60201137210010010000</v>
      </c>
    </row>
    <row r="321" spans="1:10" s="109" customFormat="1">
      <c r="A321" s="236" t="s">
        <v>107</v>
      </c>
      <c r="B321" s="233" t="s">
        <v>29</v>
      </c>
      <c r="C321" s="234" t="s">
        <v>65</v>
      </c>
      <c r="D321" s="234" t="s">
        <v>84</v>
      </c>
      <c r="E321" s="234" t="s">
        <v>294</v>
      </c>
      <c r="F321" s="234" t="s">
        <v>115</v>
      </c>
      <c r="G321" s="235">
        <f>SUM(G322:G323)</f>
        <v>1328030</v>
      </c>
      <c r="H321" s="234">
        <v>7210010010</v>
      </c>
      <c r="I321" s="313" t="str">
        <f t="shared" si="29"/>
        <v>7210010010</v>
      </c>
      <c r="J321" s="30" t="str">
        <f t="shared" si="30"/>
        <v>60201137210010010120</v>
      </c>
    </row>
    <row r="322" spans="1:10" s="110" customFormat="1" ht="25.5">
      <c r="A322" s="236" t="s">
        <v>937</v>
      </c>
      <c r="B322" s="233" t="s">
        <v>29</v>
      </c>
      <c r="C322" s="234" t="s">
        <v>65</v>
      </c>
      <c r="D322" s="234" t="s">
        <v>84</v>
      </c>
      <c r="E322" s="234" t="s">
        <v>294</v>
      </c>
      <c r="F322" s="234" t="s">
        <v>1059</v>
      </c>
      <c r="G322" s="235">
        <f>VLOOKUP(J322,'исх АС БЮДЖЕТ'!$A$10:$H$568,6,0)</f>
        <v>1033120</v>
      </c>
      <c r="H322" s="234">
        <v>7210010010</v>
      </c>
      <c r="I322" s="313" t="str">
        <f t="shared" si="29"/>
        <v>7210010010</v>
      </c>
      <c r="J322" s="30" t="str">
        <f t="shared" si="30"/>
        <v>60201137210010010122</v>
      </c>
    </row>
    <row r="323" spans="1:10" s="110" customFormat="1" ht="38.25">
      <c r="A323" s="236" t="s">
        <v>939</v>
      </c>
      <c r="B323" s="233" t="s">
        <v>29</v>
      </c>
      <c r="C323" s="234" t="s">
        <v>65</v>
      </c>
      <c r="D323" s="234" t="s">
        <v>84</v>
      </c>
      <c r="E323" s="234" t="s">
        <v>294</v>
      </c>
      <c r="F323" s="234" t="s">
        <v>1060</v>
      </c>
      <c r="G323" s="235">
        <f>VLOOKUP(J323,'исх АС БЮДЖЕТ'!$A$10:$H$568,6,0)</f>
        <v>294910</v>
      </c>
      <c r="H323" s="234">
        <v>7210010010</v>
      </c>
      <c r="I323" s="313" t="str">
        <f t="shared" si="29"/>
        <v>7210010010</v>
      </c>
      <c r="J323" s="30" t="str">
        <f t="shared" si="30"/>
        <v>60201137210010010129</v>
      </c>
    </row>
    <row r="324" spans="1:10" s="109" customFormat="1" ht="25.5">
      <c r="A324" s="232" t="s">
        <v>108</v>
      </c>
      <c r="B324" s="233" t="s">
        <v>29</v>
      </c>
      <c r="C324" s="234" t="s">
        <v>65</v>
      </c>
      <c r="D324" s="234" t="s">
        <v>84</v>
      </c>
      <c r="E324" s="234" t="s">
        <v>294</v>
      </c>
      <c r="F324" s="234" t="s">
        <v>116</v>
      </c>
      <c r="G324" s="235">
        <f>G325</f>
        <v>8523366.1899999995</v>
      </c>
      <c r="H324" s="234">
        <v>7210010010</v>
      </c>
      <c r="I324" s="313" t="str">
        <f t="shared" si="29"/>
        <v>7210010010</v>
      </c>
      <c r="J324" s="30" t="str">
        <f t="shared" si="30"/>
        <v>60201137210010010240</v>
      </c>
    </row>
    <row r="325" spans="1:10" s="110" customFormat="1" ht="25.5">
      <c r="A325" s="236" t="s">
        <v>973</v>
      </c>
      <c r="B325" s="233" t="s">
        <v>29</v>
      </c>
      <c r="C325" s="234" t="s">
        <v>65</v>
      </c>
      <c r="D325" s="234" t="s">
        <v>84</v>
      </c>
      <c r="E325" s="234" t="s">
        <v>294</v>
      </c>
      <c r="F325" s="234" t="s">
        <v>1043</v>
      </c>
      <c r="G325" s="235">
        <f>VLOOKUP(J325,'исх АС БЮДЖЕТ'!$A$10:$H$568,6,0)</f>
        <v>8523366.1899999995</v>
      </c>
      <c r="H325" s="234">
        <v>7210010010</v>
      </c>
      <c r="I325" s="313" t="str">
        <f t="shared" si="29"/>
        <v>7210010010</v>
      </c>
      <c r="J325" s="30" t="str">
        <f t="shared" si="30"/>
        <v>60201137210010010244</v>
      </c>
    </row>
    <row r="326" spans="1:10" s="109" customFormat="1">
      <c r="A326" s="232" t="s">
        <v>97</v>
      </c>
      <c r="B326" s="233" t="s">
        <v>29</v>
      </c>
      <c r="C326" s="234" t="s">
        <v>65</v>
      </c>
      <c r="D326" s="234" t="s">
        <v>84</v>
      </c>
      <c r="E326" s="234" t="s">
        <v>294</v>
      </c>
      <c r="F326" s="234" t="s">
        <v>118</v>
      </c>
      <c r="G326" s="235">
        <f>SUM(G327:G329)</f>
        <v>147670</v>
      </c>
      <c r="H326" s="234">
        <v>7210010010</v>
      </c>
      <c r="I326" s="313" t="str">
        <f t="shared" si="29"/>
        <v>7210010010</v>
      </c>
      <c r="J326" s="30" t="str">
        <f t="shared" si="30"/>
        <v>60201137210010010850</v>
      </c>
    </row>
    <row r="327" spans="1:10" s="100" customFormat="1">
      <c r="A327" s="236" t="s">
        <v>1036</v>
      </c>
      <c r="B327" s="233" t="s">
        <v>29</v>
      </c>
      <c r="C327" s="234" t="s">
        <v>65</v>
      </c>
      <c r="D327" s="234" t="s">
        <v>84</v>
      </c>
      <c r="E327" s="234" t="s">
        <v>294</v>
      </c>
      <c r="F327" s="234" t="s">
        <v>1061</v>
      </c>
      <c r="G327" s="235">
        <f>VLOOKUP(J327,'исх АС БЮДЖЕТ'!$A$10:$H$568,6,0)</f>
        <v>86550</v>
      </c>
      <c r="H327" s="234">
        <v>7210010010</v>
      </c>
      <c r="I327" s="313" t="str">
        <f t="shared" si="29"/>
        <v>7210010010</v>
      </c>
      <c r="J327" s="30" t="str">
        <f t="shared" si="30"/>
        <v>60201137210010010851</v>
      </c>
    </row>
    <row r="328" spans="1:10" s="100" customFormat="1">
      <c r="A328" s="236" t="s">
        <v>1037</v>
      </c>
      <c r="B328" s="233" t="s">
        <v>29</v>
      </c>
      <c r="C328" s="234" t="s">
        <v>65</v>
      </c>
      <c r="D328" s="234" t="s">
        <v>84</v>
      </c>
      <c r="E328" s="234" t="s">
        <v>294</v>
      </c>
      <c r="F328" s="234" t="s">
        <v>1062</v>
      </c>
      <c r="G328" s="235">
        <f>VLOOKUP(J328,'исх АС БЮДЖЕТ'!$A$10:$H$568,6,0)</f>
        <v>57368.28</v>
      </c>
      <c r="H328" s="234">
        <v>7210010010</v>
      </c>
      <c r="I328" s="313" t="str">
        <f t="shared" si="29"/>
        <v>7210010010</v>
      </c>
      <c r="J328" s="30" t="str">
        <f t="shared" si="30"/>
        <v>60201137210010010852</v>
      </c>
    </row>
    <row r="329" spans="1:10" s="100" customFormat="1">
      <c r="A329" s="232" t="s">
        <v>1038</v>
      </c>
      <c r="B329" s="233" t="s">
        <v>29</v>
      </c>
      <c r="C329" s="234" t="s">
        <v>65</v>
      </c>
      <c r="D329" s="234" t="s">
        <v>84</v>
      </c>
      <c r="E329" s="234" t="s">
        <v>294</v>
      </c>
      <c r="F329" s="234" t="s">
        <v>1066</v>
      </c>
      <c r="G329" s="235">
        <f>VLOOKUP(J329,'исх АС БЮДЖЕТ'!$A$10:$H$568,6,0)</f>
        <v>3751.72</v>
      </c>
      <c r="H329" s="234">
        <v>7210010010</v>
      </c>
      <c r="I329" s="313" t="str">
        <f t="shared" ref="I329" si="35">TEXT(H329,"0000000000")</f>
        <v>7210010010</v>
      </c>
      <c r="J329" s="30" t="str">
        <f t="shared" ref="J329" si="36">CONCATENATE(B329,C329,D329,I329,F329)</f>
        <v>60201137210010010853</v>
      </c>
    </row>
    <row r="330" spans="1:10" s="109" customFormat="1" ht="25.5">
      <c r="A330" s="232" t="s">
        <v>126</v>
      </c>
      <c r="B330" s="233" t="s">
        <v>29</v>
      </c>
      <c r="C330" s="234" t="s">
        <v>65</v>
      </c>
      <c r="D330" s="234" t="s">
        <v>84</v>
      </c>
      <c r="E330" s="234" t="s">
        <v>295</v>
      </c>
      <c r="F330" s="234" t="s">
        <v>58</v>
      </c>
      <c r="G330" s="235">
        <f>SUM(G331:G331)</f>
        <v>50823570</v>
      </c>
      <c r="H330" s="234">
        <v>7210010020</v>
      </c>
      <c r="I330" s="313" t="str">
        <f t="shared" si="29"/>
        <v>7210010020</v>
      </c>
      <c r="J330" s="30" t="str">
        <f t="shared" si="30"/>
        <v>60201137210010020000</v>
      </c>
    </row>
    <row r="331" spans="1:10" s="109" customFormat="1">
      <c r="A331" s="232" t="s">
        <v>107</v>
      </c>
      <c r="B331" s="233" t="s">
        <v>29</v>
      </c>
      <c r="C331" s="234" t="s">
        <v>65</v>
      </c>
      <c r="D331" s="234" t="s">
        <v>84</v>
      </c>
      <c r="E331" s="234" t="s">
        <v>295</v>
      </c>
      <c r="F331" s="234" t="s">
        <v>115</v>
      </c>
      <c r="G331" s="235">
        <f>SUM(G332:G333)</f>
        <v>50823570</v>
      </c>
      <c r="H331" s="234">
        <v>7210010020</v>
      </c>
      <c r="I331" s="313" t="str">
        <f t="shared" si="29"/>
        <v>7210010020</v>
      </c>
      <c r="J331" s="30" t="str">
        <f t="shared" si="30"/>
        <v>60201137210010020120</v>
      </c>
    </row>
    <row r="332" spans="1:10" s="109" customFormat="1">
      <c r="A332" s="232" t="s">
        <v>936</v>
      </c>
      <c r="B332" s="233" t="s">
        <v>29</v>
      </c>
      <c r="C332" s="234" t="s">
        <v>65</v>
      </c>
      <c r="D332" s="234" t="s">
        <v>84</v>
      </c>
      <c r="E332" s="234" t="s">
        <v>295</v>
      </c>
      <c r="F332" s="234" t="s">
        <v>1063</v>
      </c>
      <c r="G332" s="235">
        <f>VLOOKUP(J332,'исх АС БЮДЖЕТ'!$A$10:$H$568,6,0)</f>
        <v>39035000</v>
      </c>
      <c r="H332" s="234">
        <v>7210010020</v>
      </c>
      <c r="I332" s="313" t="str">
        <f t="shared" si="29"/>
        <v>7210010020</v>
      </c>
      <c r="J332" s="30" t="str">
        <f t="shared" si="30"/>
        <v>60201137210010020121</v>
      </c>
    </row>
    <row r="333" spans="1:10" s="109" customFormat="1" ht="38.25">
      <c r="A333" s="232" t="s">
        <v>939</v>
      </c>
      <c r="B333" s="233" t="s">
        <v>29</v>
      </c>
      <c r="C333" s="234" t="s">
        <v>65</v>
      </c>
      <c r="D333" s="234" t="s">
        <v>84</v>
      </c>
      <c r="E333" s="234" t="s">
        <v>295</v>
      </c>
      <c r="F333" s="234" t="s">
        <v>1060</v>
      </c>
      <c r="G333" s="235">
        <f>VLOOKUP(J333,'исх АС БЮДЖЕТ'!$A$10:$H$568,6,0)</f>
        <v>11788570</v>
      </c>
      <c r="H333" s="234">
        <v>7210010020</v>
      </c>
      <c r="I333" s="313" t="str">
        <f t="shared" si="29"/>
        <v>7210010020</v>
      </c>
      <c r="J333" s="30" t="str">
        <f t="shared" si="30"/>
        <v>60201137210010020129</v>
      </c>
    </row>
    <row r="334" spans="1:10" s="109" customFormat="1" ht="25.5">
      <c r="A334" s="232" t="s">
        <v>602</v>
      </c>
      <c r="B334" s="233" t="s">
        <v>29</v>
      </c>
      <c r="C334" s="234" t="s">
        <v>65</v>
      </c>
      <c r="D334" s="234" t="s">
        <v>84</v>
      </c>
      <c r="E334" s="234" t="s">
        <v>1174</v>
      </c>
      <c r="F334" s="234" t="s">
        <v>58</v>
      </c>
      <c r="G334" s="235">
        <f>G335</f>
        <v>108484.16</v>
      </c>
      <c r="H334" s="234">
        <v>7210010050</v>
      </c>
      <c r="I334" s="313" t="str">
        <f t="shared" ref="I334:I397" si="37">TEXT(H334,"0000000000")</f>
        <v>7210010050</v>
      </c>
      <c r="J334" s="30" t="str">
        <f t="shared" ref="J334:J397" si="38">CONCATENATE(B334,C334,D334,I334,F334)</f>
        <v>60201137210010050000</v>
      </c>
    </row>
    <row r="335" spans="1:10" s="109" customFormat="1">
      <c r="A335" s="236" t="s">
        <v>107</v>
      </c>
      <c r="B335" s="233" t="s">
        <v>29</v>
      </c>
      <c r="C335" s="234" t="s">
        <v>65</v>
      </c>
      <c r="D335" s="234" t="s">
        <v>84</v>
      </c>
      <c r="E335" s="234" t="s">
        <v>1174</v>
      </c>
      <c r="F335" s="242" t="s">
        <v>115</v>
      </c>
      <c r="G335" s="235">
        <f>SUM(G336:G337)</f>
        <v>108484.16</v>
      </c>
      <c r="H335" s="234">
        <v>7210010050</v>
      </c>
      <c r="I335" s="313" t="str">
        <f t="shared" si="37"/>
        <v>7210010050</v>
      </c>
      <c r="J335" s="30" t="str">
        <f t="shared" si="38"/>
        <v>60201137210010050120</v>
      </c>
    </row>
    <row r="336" spans="1:10" s="109" customFormat="1" ht="25.5">
      <c r="A336" s="236" t="s">
        <v>937</v>
      </c>
      <c r="B336" s="233" t="s">
        <v>29</v>
      </c>
      <c r="C336" s="234" t="s">
        <v>65</v>
      </c>
      <c r="D336" s="234" t="s">
        <v>84</v>
      </c>
      <c r="E336" s="234" t="s">
        <v>1174</v>
      </c>
      <c r="F336" s="242" t="s">
        <v>1059</v>
      </c>
      <c r="G336" s="235">
        <f>VLOOKUP(J336,'исх АС БЮДЖЕТ'!$A$10:$H$568,6,0)</f>
        <v>83270</v>
      </c>
      <c r="H336" s="234">
        <v>7210010050</v>
      </c>
      <c r="I336" s="313" t="str">
        <f t="shared" si="37"/>
        <v>7210010050</v>
      </c>
      <c r="J336" s="30" t="str">
        <f t="shared" si="38"/>
        <v>60201137210010050122</v>
      </c>
    </row>
    <row r="337" spans="1:10" s="109" customFormat="1" ht="38.25">
      <c r="A337" s="236" t="s">
        <v>939</v>
      </c>
      <c r="B337" s="233" t="s">
        <v>29</v>
      </c>
      <c r="C337" s="234" t="s">
        <v>65</v>
      </c>
      <c r="D337" s="234" t="s">
        <v>84</v>
      </c>
      <c r="E337" s="234" t="s">
        <v>1174</v>
      </c>
      <c r="F337" s="242" t="s">
        <v>1060</v>
      </c>
      <c r="G337" s="235">
        <f>VLOOKUP(J337,'исх АС БЮДЖЕТ'!$A$10:$H$568,6,0)</f>
        <v>25214.16</v>
      </c>
      <c r="H337" s="234">
        <v>7210010050</v>
      </c>
      <c r="I337" s="313" t="str">
        <f t="shared" si="37"/>
        <v>7210010050</v>
      </c>
      <c r="J337" s="30" t="str">
        <f t="shared" si="38"/>
        <v>60201137210010050129</v>
      </c>
    </row>
    <row r="338" spans="1:10" s="109" customFormat="1">
      <c r="A338" s="237" t="s">
        <v>130</v>
      </c>
      <c r="B338" s="233" t="s">
        <v>29</v>
      </c>
      <c r="C338" s="242" t="s">
        <v>65</v>
      </c>
      <c r="D338" s="242" t="s">
        <v>84</v>
      </c>
      <c r="E338" s="242" t="s">
        <v>1168</v>
      </c>
      <c r="F338" s="242" t="s">
        <v>58</v>
      </c>
      <c r="G338" s="243">
        <f>G339</f>
        <v>99864.87</v>
      </c>
      <c r="H338" s="242">
        <v>7210020050</v>
      </c>
      <c r="I338" s="313" t="str">
        <f t="shared" si="37"/>
        <v>7210020050</v>
      </c>
      <c r="J338" s="30" t="str">
        <f t="shared" si="38"/>
        <v>60201137210020050000</v>
      </c>
    </row>
    <row r="339" spans="1:10" s="109" customFormat="1">
      <c r="A339" s="232" t="s">
        <v>96</v>
      </c>
      <c r="B339" s="233" t="s">
        <v>29</v>
      </c>
      <c r="C339" s="242" t="s">
        <v>65</v>
      </c>
      <c r="D339" s="242" t="s">
        <v>84</v>
      </c>
      <c r="E339" s="242" t="s">
        <v>1168</v>
      </c>
      <c r="F339" s="234" t="s">
        <v>131</v>
      </c>
      <c r="G339" s="312">
        <f>G340</f>
        <v>99864.87</v>
      </c>
      <c r="H339" s="242">
        <v>7210020050</v>
      </c>
      <c r="I339" s="313" t="str">
        <f t="shared" si="37"/>
        <v>7210020050</v>
      </c>
      <c r="J339" s="30" t="str">
        <f t="shared" si="38"/>
        <v>60201137210020050830</v>
      </c>
    </row>
    <row r="340" spans="1:10" s="109" customFormat="1" ht="25.5">
      <c r="A340" s="232" t="s">
        <v>1044</v>
      </c>
      <c r="B340" s="233" t="s">
        <v>29</v>
      </c>
      <c r="C340" s="242" t="s">
        <v>65</v>
      </c>
      <c r="D340" s="242" t="s">
        <v>84</v>
      </c>
      <c r="E340" s="242" t="s">
        <v>1168</v>
      </c>
      <c r="F340" s="234" t="s">
        <v>1045</v>
      </c>
      <c r="G340" s="235">
        <f>VLOOKUP(J340,'исх АС БЮДЖЕТ'!$A$10:$H$568,6,0)</f>
        <v>99864.87</v>
      </c>
      <c r="H340" s="242">
        <v>7210020050</v>
      </c>
      <c r="I340" s="313" t="str">
        <f t="shared" si="37"/>
        <v>7210020050</v>
      </c>
      <c r="J340" s="30" t="str">
        <f t="shared" si="38"/>
        <v>60201137210020050831</v>
      </c>
    </row>
    <row r="341" spans="1:10" s="109" customFormat="1">
      <c r="A341" s="224" t="s">
        <v>35</v>
      </c>
      <c r="B341" s="225" t="s">
        <v>29</v>
      </c>
      <c r="C341" s="226" t="s">
        <v>37</v>
      </c>
      <c r="D341" s="226" t="s">
        <v>51</v>
      </c>
      <c r="E341" s="226" t="s">
        <v>196</v>
      </c>
      <c r="F341" s="226" t="s">
        <v>58</v>
      </c>
      <c r="G341" s="227">
        <f>G342</f>
        <v>11625283.5</v>
      </c>
      <c r="H341" s="226">
        <v>0</v>
      </c>
      <c r="I341" s="313" t="str">
        <f t="shared" si="37"/>
        <v>0000000000</v>
      </c>
      <c r="J341" s="30" t="str">
        <f t="shared" si="38"/>
        <v>60204000000000000000</v>
      </c>
    </row>
    <row r="342" spans="1:10" s="109" customFormat="1">
      <c r="A342" s="228" t="s">
        <v>73</v>
      </c>
      <c r="B342" s="229" t="s">
        <v>29</v>
      </c>
      <c r="C342" s="230" t="s">
        <v>37</v>
      </c>
      <c r="D342" s="230" t="s">
        <v>40</v>
      </c>
      <c r="E342" s="251" t="s">
        <v>196</v>
      </c>
      <c r="F342" s="251" t="s">
        <v>58</v>
      </c>
      <c r="G342" s="231">
        <f>G343+G349+G355</f>
        <v>11625283.5</v>
      </c>
      <c r="H342" s="251">
        <v>0</v>
      </c>
      <c r="I342" s="313" t="str">
        <f t="shared" si="37"/>
        <v>0000000000</v>
      </c>
      <c r="J342" s="30" t="str">
        <f t="shared" si="38"/>
        <v>60204120000000000000</v>
      </c>
    </row>
    <row r="343" spans="1:10" s="109" customFormat="1" ht="38.25">
      <c r="A343" s="248" t="s">
        <v>725</v>
      </c>
      <c r="B343" s="233" t="s">
        <v>29</v>
      </c>
      <c r="C343" s="234" t="s">
        <v>37</v>
      </c>
      <c r="D343" s="234" t="s">
        <v>40</v>
      </c>
      <c r="E343" s="234" t="s">
        <v>296</v>
      </c>
      <c r="F343" s="234" t="s">
        <v>58</v>
      </c>
      <c r="G343" s="235">
        <f t="shared" ref="G343:G345" si="39">G344</f>
        <v>200000</v>
      </c>
      <c r="H343" s="234">
        <v>200000000</v>
      </c>
      <c r="I343" s="313" t="str">
        <f t="shared" si="37"/>
        <v>0200000000</v>
      </c>
      <c r="J343" s="30" t="str">
        <f t="shared" si="38"/>
        <v>60204120200000000000</v>
      </c>
    </row>
    <row r="344" spans="1:10" s="109" customFormat="1" ht="38.25">
      <c r="A344" s="232" t="s">
        <v>726</v>
      </c>
      <c r="B344" s="233" t="s">
        <v>29</v>
      </c>
      <c r="C344" s="234" t="s">
        <v>37</v>
      </c>
      <c r="D344" s="234" t="s">
        <v>40</v>
      </c>
      <c r="E344" s="234" t="s">
        <v>297</v>
      </c>
      <c r="F344" s="234" t="s">
        <v>58</v>
      </c>
      <c r="G344" s="235">
        <f t="shared" si="39"/>
        <v>200000</v>
      </c>
      <c r="H344" s="234" t="s">
        <v>1192</v>
      </c>
      <c r="I344" s="313" t="str">
        <f t="shared" si="37"/>
        <v>02Б0000000</v>
      </c>
      <c r="J344" s="30" t="str">
        <f t="shared" si="38"/>
        <v>602041202Б0000000000</v>
      </c>
    </row>
    <row r="345" spans="1:10" s="109" customFormat="1" ht="38.25">
      <c r="A345" s="232" t="s">
        <v>606</v>
      </c>
      <c r="B345" s="233" t="s">
        <v>29</v>
      </c>
      <c r="C345" s="234" t="s">
        <v>37</v>
      </c>
      <c r="D345" s="234" t="s">
        <v>40</v>
      </c>
      <c r="E345" s="234" t="s">
        <v>298</v>
      </c>
      <c r="F345" s="234" t="s">
        <v>58</v>
      </c>
      <c r="G345" s="235">
        <f t="shared" si="39"/>
        <v>200000</v>
      </c>
      <c r="H345" s="234" t="s">
        <v>1193</v>
      </c>
      <c r="I345" s="313" t="str">
        <f t="shared" si="37"/>
        <v>02Б0200000</v>
      </c>
      <c r="J345" s="30" t="str">
        <f t="shared" si="38"/>
        <v>602041202Б0200000000</v>
      </c>
    </row>
    <row r="346" spans="1:10" s="109" customFormat="1" ht="51">
      <c r="A346" s="232" t="s">
        <v>156</v>
      </c>
      <c r="B346" s="233" t="s">
        <v>29</v>
      </c>
      <c r="C346" s="234" t="s">
        <v>37</v>
      </c>
      <c r="D346" s="234" t="s">
        <v>40</v>
      </c>
      <c r="E346" s="234" t="s">
        <v>299</v>
      </c>
      <c r="F346" s="234" t="s">
        <v>58</v>
      </c>
      <c r="G346" s="235">
        <f>G347</f>
        <v>200000</v>
      </c>
      <c r="H346" s="234" t="s">
        <v>1194</v>
      </c>
      <c r="I346" s="313" t="str">
        <f t="shared" si="37"/>
        <v>02Б0220160</v>
      </c>
      <c r="J346" s="30" t="str">
        <f t="shared" si="38"/>
        <v>602041202Б0220160000</v>
      </c>
    </row>
    <row r="347" spans="1:10" s="109" customFormat="1" ht="25.5">
      <c r="A347" s="232" t="s">
        <v>108</v>
      </c>
      <c r="B347" s="233" t="s">
        <v>29</v>
      </c>
      <c r="C347" s="234" t="s">
        <v>37</v>
      </c>
      <c r="D347" s="234" t="s">
        <v>40</v>
      </c>
      <c r="E347" s="234" t="s">
        <v>299</v>
      </c>
      <c r="F347" s="234" t="s">
        <v>116</v>
      </c>
      <c r="G347" s="235">
        <f>G348</f>
        <v>200000</v>
      </c>
      <c r="H347" s="234" t="s">
        <v>1194</v>
      </c>
      <c r="I347" s="313" t="str">
        <f t="shared" si="37"/>
        <v>02Б0220160</v>
      </c>
      <c r="J347" s="30" t="str">
        <f t="shared" si="38"/>
        <v>602041202Б0220160240</v>
      </c>
    </row>
    <row r="348" spans="1:10" s="110" customFormat="1" ht="25.5">
      <c r="A348" s="236" t="s">
        <v>973</v>
      </c>
      <c r="B348" s="233" t="s">
        <v>29</v>
      </c>
      <c r="C348" s="234" t="s">
        <v>37</v>
      </c>
      <c r="D348" s="234" t="s">
        <v>40</v>
      </c>
      <c r="E348" s="234" t="s">
        <v>299</v>
      </c>
      <c r="F348" s="234" t="s">
        <v>1043</v>
      </c>
      <c r="G348" s="235">
        <f>VLOOKUP(J348,'исх АС БЮДЖЕТ'!$A$10:$H$568,6,0)</f>
        <v>200000</v>
      </c>
      <c r="H348" s="234" t="s">
        <v>1194</v>
      </c>
      <c r="I348" s="313" t="str">
        <f t="shared" si="37"/>
        <v>02Б0220160</v>
      </c>
      <c r="J348" s="30" t="str">
        <f t="shared" si="38"/>
        <v>602041202Б0220160244</v>
      </c>
    </row>
    <row r="349" spans="1:10" s="109" customFormat="1" ht="38.25">
      <c r="A349" s="236" t="s">
        <v>722</v>
      </c>
      <c r="B349" s="233" t="s">
        <v>29</v>
      </c>
      <c r="C349" s="234" t="s">
        <v>37</v>
      </c>
      <c r="D349" s="234" t="s">
        <v>40</v>
      </c>
      <c r="E349" s="234" t="s">
        <v>300</v>
      </c>
      <c r="F349" s="234" t="s">
        <v>58</v>
      </c>
      <c r="G349" s="235">
        <f t="shared" ref="G349:G352" si="40">G350</f>
        <v>10745283.5</v>
      </c>
      <c r="H349" s="234">
        <v>400000000</v>
      </c>
      <c r="I349" s="313" t="str">
        <f t="shared" si="37"/>
        <v>0400000000</v>
      </c>
      <c r="J349" s="30" t="str">
        <f t="shared" si="38"/>
        <v>60204120400000000000</v>
      </c>
    </row>
    <row r="350" spans="1:10" s="109" customFormat="1" ht="38.25">
      <c r="A350" s="252" t="s">
        <v>729</v>
      </c>
      <c r="B350" s="233" t="s">
        <v>29</v>
      </c>
      <c r="C350" s="234" t="s">
        <v>37</v>
      </c>
      <c r="D350" s="234" t="s">
        <v>40</v>
      </c>
      <c r="E350" s="234" t="s">
        <v>301</v>
      </c>
      <c r="F350" s="234" t="s">
        <v>58</v>
      </c>
      <c r="G350" s="235">
        <f t="shared" si="40"/>
        <v>10745283.5</v>
      </c>
      <c r="H350" s="234">
        <v>420000000</v>
      </c>
      <c r="I350" s="313" t="str">
        <f t="shared" si="37"/>
        <v>0420000000</v>
      </c>
      <c r="J350" s="30" t="str">
        <f t="shared" si="38"/>
        <v>60204120420000000000</v>
      </c>
    </row>
    <row r="351" spans="1:10" s="109" customFormat="1" ht="38.25">
      <c r="A351" s="232" t="s">
        <v>644</v>
      </c>
      <c r="B351" s="233" t="s">
        <v>29</v>
      </c>
      <c r="C351" s="234" t="s">
        <v>37</v>
      </c>
      <c r="D351" s="234" t="s">
        <v>40</v>
      </c>
      <c r="E351" s="234" t="s">
        <v>302</v>
      </c>
      <c r="F351" s="234" t="s">
        <v>58</v>
      </c>
      <c r="G351" s="235">
        <f t="shared" si="40"/>
        <v>10745283.5</v>
      </c>
      <c r="H351" s="234">
        <v>420200000</v>
      </c>
      <c r="I351" s="313" t="str">
        <f t="shared" si="37"/>
        <v>0420200000</v>
      </c>
      <c r="J351" s="30" t="str">
        <f t="shared" si="38"/>
        <v>60204120420200000000</v>
      </c>
    </row>
    <row r="352" spans="1:10" s="109" customFormat="1" ht="25.5">
      <c r="A352" s="232" t="s">
        <v>303</v>
      </c>
      <c r="B352" s="233" t="s">
        <v>29</v>
      </c>
      <c r="C352" s="234" t="s">
        <v>37</v>
      </c>
      <c r="D352" s="234" t="s">
        <v>40</v>
      </c>
      <c r="E352" s="234" t="s">
        <v>304</v>
      </c>
      <c r="F352" s="234" t="s">
        <v>58</v>
      </c>
      <c r="G352" s="235">
        <f t="shared" si="40"/>
        <v>10745283.5</v>
      </c>
      <c r="H352" s="234">
        <v>420221010</v>
      </c>
      <c r="I352" s="313" t="str">
        <f t="shared" si="37"/>
        <v>0420221010</v>
      </c>
      <c r="J352" s="30" t="str">
        <f t="shared" si="38"/>
        <v>60204120420221010000</v>
      </c>
    </row>
    <row r="353" spans="1:10" s="109" customFormat="1" ht="25.5">
      <c r="A353" s="232" t="s">
        <v>108</v>
      </c>
      <c r="B353" s="233" t="s">
        <v>29</v>
      </c>
      <c r="C353" s="234" t="s">
        <v>37</v>
      </c>
      <c r="D353" s="234" t="s">
        <v>40</v>
      </c>
      <c r="E353" s="234" t="s">
        <v>304</v>
      </c>
      <c r="F353" s="234" t="s">
        <v>116</v>
      </c>
      <c r="G353" s="235">
        <f>G354</f>
        <v>10745283.5</v>
      </c>
      <c r="H353" s="234">
        <v>420221010</v>
      </c>
      <c r="I353" s="313" t="str">
        <f t="shared" si="37"/>
        <v>0420221010</v>
      </c>
      <c r="J353" s="30" t="str">
        <f t="shared" si="38"/>
        <v>60204120420221010240</v>
      </c>
    </row>
    <row r="354" spans="1:10" s="110" customFormat="1" ht="25.5">
      <c r="A354" s="236" t="s">
        <v>973</v>
      </c>
      <c r="B354" s="233" t="s">
        <v>29</v>
      </c>
      <c r="C354" s="234" t="s">
        <v>37</v>
      </c>
      <c r="D354" s="234" t="s">
        <v>40</v>
      </c>
      <c r="E354" s="234" t="s">
        <v>304</v>
      </c>
      <c r="F354" s="234" t="s">
        <v>1043</v>
      </c>
      <c r="G354" s="235">
        <f>VLOOKUP(J354,'исх АС БЮДЖЕТ'!$A$10:$H$568,6,0)</f>
        <v>10745283.5</v>
      </c>
      <c r="H354" s="234">
        <v>420221010</v>
      </c>
      <c r="I354" s="313" t="str">
        <f t="shared" si="37"/>
        <v>0420221010</v>
      </c>
      <c r="J354" s="30" t="str">
        <f t="shared" si="38"/>
        <v>60204120420221010244</v>
      </c>
    </row>
    <row r="355" spans="1:10" s="109" customFormat="1" ht="38.25">
      <c r="A355" s="244" t="s">
        <v>745</v>
      </c>
      <c r="B355" s="233" t="s">
        <v>29</v>
      </c>
      <c r="C355" s="234" t="s">
        <v>37</v>
      </c>
      <c r="D355" s="234" t="s">
        <v>40</v>
      </c>
      <c r="E355" s="234" t="s">
        <v>280</v>
      </c>
      <c r="F355" s="234" t="s">
        <v>58</v>
      </c>
      <c r="G355" s="235">
        <f t="shared" ref="G355:G357" si="41">G356</f>
        <v>680000</v>
      </c>
      <c r="H355" s="234">
        <v>1100000000</v>
      </c>
      <c r="I355" s="313" t="str">
        <f t="shared" si="37"/>
        <v>1100000000</v>
      </c>
      <c r="J355" s="30" t="str">
        <f t="shared" si="38"/>
        <v>60204121100000000000</v>
      </c>
    </row>
    <row r="356" spans="1:10" s="109" customFormat="1" ht="38.25">
      <c r="A356" s="244" t="s">
        <v>746</v>
      </c>
      <c r="B356" s="233" t="s">
        <v>29</v>
      </c>
      <c r="C356" s="234" t="s">
        <v>37</v>
      </c>
      <c r="D356" s="234" t="s">
        <v>40</v>
      </c>
      <c r="E356" s="234" t="s">
        <v>281</v>
      </c>
      <c r="F356" s="234" t="s">
        <v>58</v>
      </c>
      <c r="G356" s="235">
        <f t="shared" si="41"/>
        <v>680000</v>
      </c>
      <c r="H356" s="234" t="s">
        <v>1185</v>
      </c>
      <c r="I356" s="313" t="str">
        <f t="shared" si="37"/>
        <v>11Б0000000</v>
      </c>
      <c r="J356" s="30" t="str">
        <f t="shared" si="38"/>
        <v>602041211Б0000000000</v>
      </c>
    </row>
    <row r="357" spans="1:10" s="109" customFormat="1" ht="25.5">
      <c r="A357" s="232" t="s">
        <v>286</v>
      </c>
      <c r="B357" s="233" t="s">
        <v>29</v>
      </c>
      <c r="C357" s="234" t="s">
        <v>37</v>
      </c>
      <c r="D357" s="234" t="s">
        <v>40</v>
      </c>
      <c r="E357" s="234" t="s">
        <v>287</v>
      </c>
      <c r="F357" s="234" t="s">
        <v>58</v>
      </c>
      <c r="G357" s="235">
        <f t="shared" si="41"/>
        <v>680000</v>
      </c>
      <c r="H357" s="234" t="s">
        <v>1195</v>
      </c>
      <c r="I357" s="313" t="str">
        <f t="shared" si="37"/>
        <v>11Б0200000</v>
      </c>
      <c r="J357" s="30" t="str">
        <f t="shared" si="38"/>
        <v>602041211Б0200000000</v>
      </c>
    </row>
    <row r="358" spans="1:10" s="109" customFormat="1" ht="38.25">
      <c r="A358" s="232" t="s">
        <v>878</v>
      </c>
      <c r="B358" s="233" t="s">
        <v>29</v>
      </c>
      <c r="C358" s="234" t="s">
        <v>37</v>
      </c>
      <c r="D358" s="234" t="s">
        <v>40</v>
      </c>
      <c r="E358" s="234" t="s">
        <v>288</v>
      </c>
      <c r="F358" s="234" t="s">
        <v>58</v>
      </c>
      <c r="G358" s="235">
        <f>G359</f>
        <v>680000</v>
      </c>
      <c r="H358" s="234" t="s">
        <v>1196</v>
      </c>
      <c r="I358" s="313" t="str">
        <f t="shared" si="37"/>
        <v>11Б0220180</v>
      </c>
      <c r="J358" s="30" t="str">
        <f t="shared" si="38"/>
        <v>602041211Б0220180000</v>
      </c>
    </row>
    <row r="359" spans="1:10" s="109" customFormat="1" ht="25.5">
      <c r="A359" s="232" t="s">
        <v>108</v>
      </c>
      <c r="B359" s="233" t="s">
        <v>29</v>
      </c>
      <c r="C359" s="234" t="s">
        <v>37</v>
      </c>
      <c r="D359" s="234" t="s">
        <v>40</v>
      </c>
      <c r="E359" s="234" t="s">
        <v>288</v>
      </c>
      <c r="F359" s="234" t="s">
        <v>116</v>
      </c>
      <c r="G359" s="235">
        <f>G360</f>
        <v>680000</v>
      </c>
      <c r="H359" s="234" t="s">
        <v>1196</v>
      </c>
      <c r="I359" s="313" t="str">
        <f t="shared" si="37"/>
        <v>11Б0220180</v>
      </c>
      <c r="J359" s="30" t="str">
        <f t="shared" si="38"/>
        <v>602041211Б0220180240</v>
      </c>
    </row>
    <row r="360" spans="1:10" s="110" customFormat="1" ht="25.5">
      <c r="A360" s="236" t="s">
        <v>973</v>
      </c>
      <c r="B360" s="233" t="s">
        <v>29</v>
      </c>
      <c r="C360" s="234" t="s">
        <v>37</v>
      </c>
      <c r="D360" s="234" t="s">
        <v>40</v>
      </c>
      <c r="E360" s="234" t="s">
        <v>288</v>
      </c>
      <c r="F360" s="234" t="s">
        <v>1043</v>
      </c>
      <c r="G360" s="235">
        <f>VLOOKUP(J360,'исх АС БЮДЖЕТ'!$A$10:$H$568,6,0)</f>
        <v>680000</v>
      </c>
      <c r="H360" s="234" t="s">
        <v>1196</v>
      </c>
      <c r="I360" s="313" t="str">
        <f t="shared" si="37"/>
        <v>11Б0220180</v>
      </c>
      <c r="J360" s="30" t="str">
        <f t="shared" si="38"/>
        <v>602041211Б0220180244</v>
      </c>
    </row>
    <row r="361" spans="1:10" s="99" customFormat="1">
      <c r="A361" s="238"/>
      <c r="B361" s="239"/>
      <c r="C361" s="240"/>
      <c r="D361" s="240"/>
      <c r="E361" s="240"/>
      <c r="F361" s="240"/>
      <c r="G361" s="235"/>
      <c r="H361" s="240"/>
      <c r="I361" s="313" t="str">
        <f t="shared" si="37"/>
        <v>0000000000</v>
      </c>
      <c r="J361" s="30" t="str">
        <f t="shared" si="38"/>
        <v>0000000000</v>
      </c>
    </row>
    <row r="362" spans="1:10" s="109" customFormat="1">
      <c r="A362" s="219" t="s">
        <v>74</v>
      </c>
      <c r="B362" s="220" t="s">
        <v>75</v>
      </c>
      <c r="C362" s="221" t="s">
        <v>51</v>
      </c>
      <c r="D362" s="221" t="s">
        <v>51</v>
      </c>
      <c r="E362" s="221" t="s">
        <v>196</v>
      </c>
      <c r="F362" s="221" t="s">
        <v>58</v>
      </c>
      <c r="G362" s="222">
        <f>G363+G403</f>
        <v>251393462.53999999</v>
      </c>
      <c r="H362" s="221">
        <v>0</v>
      </c>
      <c r="I362" s="313" t="str">
        <f t="shared" si="37"/>
        <v>0000000000</v>
      </c>
      <c r="J362" s="30" t="str">
        <f t="shared" si="38"/>
        <v>60400000000000000000</v>
      </c>
    </row>
    <row r="363" spans="1:10" s="109" customFormat="1">
      <c r="A363" s="224" t="s">
        <v>64</v>
      </c>
      <c r="B363" s="225" t="s">
        <v>75</v>
      </c>
      <c r="C363" s="226" t="s">
        <v>65</v>
      </c>
      <c r="D363" s="226" t="s">
        <v>51</v>
      </c>
      <c r="E363" s="226" t="s">
        <v>196</v>
      </c>
      <c r="F363" s="226" t="s">
        <v>58</v>
      </c>
      <c r="G363" s="227">
        <f>G364+G381+G387</f>
        <v>86683462.539999992</v>
      </c>
      <c r="H363" s="226">
        <v>0</v>
      </c>
      <c r="I363" s="313" t="str">
        <f t="shared" si="37"/>
        <v>0000000000</v>
      </c>
      <c r="J363" s="30" t="str">
        <f t="shared" si="38"/>
        <v>60401000000000000000</v>
      </c>
    </row>
    <row r="364" spans="1:10" s="109" customFormat="1" ht="25.5">
      <c r="A364" s="228" t="s">
        <v>32</v>
      </c>
      <c r="B364" s="229" t="s">
        <v>75</v>
      </c>
      <c r="C364" s="230" t="s">
        <v>65</v>
      </c>
      <c r="D364" s="230" t="s">
        <v>2</v>
      </c>
      <c r="E364" s="230" t="s">
        <v>196</v>
      </c>
      <c r="F364" s="230" t="s">
        <v>58</v>
      </c>
      <c r="G364" s="231">
        <f t="shared" ref="G364:G365" si="42">G365</f>
        <v>44482035.25</v>
      </c>
      <c r="H364" s="230">
        <v>0</v>
      </c>
      <c r="I364" s="313" t="str">
        <f t="shared" si="37"/>
        <v>0000000000</v>
      </c>
      <c r="J364" s="30" t="str">
        <f t="shared" si="38"/>
        <v>60401060000000000000</v>
      </c>
    </row>
    <row r="365" spans="1:10" s="109" customFormat="1" ht="25.5">
      <c r="A365" s="253" t="s">
        <v>128</v>
      </c>
      <c r="B365" s="233" t="s">
        <v>75</v>
      </c>
      <c r="C365" s="234" t="s">
        <v>65</v>
      </c>
      <c r="D365" s="234" t="s">
        <v>2</v>
      </c>
      <c r="E365" s="234" t="s">
        <v>305</v>
      </c>
      <c r="F365" s="234" t="s">
        <v>58</v>
      </c>
      <c r="G365" s="235">
        <f t="shared" si="42"/>
        <v>44482035.25</v>
      </c>
      <c r="H365" s="234">
        <v>7300000000</v>
      </c>
      <c r="I365" s="313" t="str">
        <f t="shared" si="37"/>
        <v>7300000000</v>
      </c>
      <c r="J365" s="30" t="str">
        <f t="shared" si="38"/>
        <v>60401067300000000000</v>
      </c>
    </row>
    <row r="366" spans="1:10" s="109" customFormat="1" ht="25.5">
      <c r="A366" s="253" t="s">
        <v>129</v>
      </c>
      <c r="B366" s="233" t="s">
        <v>75</v>
      </c>
      <c r="C366" s="234" t="s">
        <v>65</v>
      </c>
      <c r="D366" s="234" t="s">
        <v>2</v>
      </c>
      <c r="E366" s="234" t="s">
        <v>306</v>
      </c>
      <c r="F366" s="234" t="s">
        <v>58</v>
      </c>
      <c r="G366" s="235">
        <f>G367+G377</f>
        <v>44482035.25</v>
      </c>
      <c r="H366" s="234">
        <v>7310000000</v>
      </c>
      <c r="I366" s="313" t="str">
        <f t="shared" si="37"/>
        <v>7310000000</v>
      </c>
      <c r="J366" s="30" t="str">
        <f t="shared" si="38"/>
        <v>60401067310000000000</v>
      </c>
    </row>
    <row r="367" spans="1:10" s="109" customFormat="1" ht="25.5">
      <c r="A367" s="254" t="s">
        <v>114</v>
      </c>
      <c r="B367" s="233" t="s">
        <v>75</v>
      </c>
      <c r="C367" s="234" t="s">
        <v>65</v>
      </c>
      <c r="D367" s="234" t="s">
        <v>2</v>
      </c>
      <c r="E367" s="234" t="s">
        <v>307</v>
      </c>
      <c r="F367" s="234" t="s">
        <v>58</v>
      </c>
      <c r="G367" s="235">
        <f>G368+G371+G373</f>
        <v>4880959.97</v>
      </c>
      <c r="H367" s="234">
        <v>7310010010</v>
      </c>
      <c r="I367" s="313" t="str">
        <f t="shared" si="37"/>
        <v>7310010010</v>
      </c>
      <c r="J367" s="30" t="str">
        <f t="shared" si="38"/>
        <v>60401067310010010000</v>
      </c>
    </row>
    <row r="368" spans="1:10" s="109" customFormat="1">
      <c r="A368" s="236" t="s">
        <v>107</v>
      </c>
      <c r="B368" s="233" t="s">
        <v>75</v>
      </c>
      <c r="C368" s="234" t="s">
        <v>65</v>
      </c>
      <c r="D368" s="234" t="s">
        <v>2</v>
      </c>
      <c r="E368" s="234" t="s">
        <v>307</v>
      </c>
      <c r="F368" s="234" t="s">
        <v>115</v>
      </c>
      <c r="G368" s="235">
        <f>SUM(G369:G370)</f>
        <v>1291339.97</v>
      </c>
      <c r="H368" s="234">
        <v>7310010010</v>
      </c>
      <c r="I368" s="313" t="str">
        <f t="shared" si="37"/>
        <v>7310010010</v>
      </c>
      <c r="J368" s="30" t="str">
        <f t="shared" si="38"/>
        <v>60401067310010010120</v>
      </c>
    </row>
    <row r="369" spans="1:10" s="110" customFormat="1" ht="25.5">
      <c r="A369" s="236" t="s">
        <v>937</v>
      </c>
      <c r="B369" s="233" t="s">
        <v>75</v>
      </c>
      <c r="C369" s="234" t="s">
        <v>65</v>
      </c>
      <c r="D369" s="234" t="s">
        <v>2</v>
      </c>
      <c r="E369" s="234" t="s">
        <v>307</v>
      </c>
      <c r="F369" s="234" t="s">
        <v>1059</v>
      </c>
      <c r="G369" s="235">
        <f>VLOOKUP(J369,'исх АС БЮДЖЕТ'!$A$10:$H$568,6,0)</f>
        <v>1019565</v>
      </c>
      <c r="H369" s="234">
        <v>7310010010</v>
      </c>
      <c r="I369" s="313" t="str">
        <f t="shared" si="37"/>
        <v>7310010010</v>
      </c>
      <c r="J369" s="30" t="str">
        <f t="shared" si="38"/>
        <v>60401067310010010122</v>
      </c>
    </row>
    <row r="370" spans="1:10" s="110" customFormat="1" ht="38.25">
      <c r="A370" s="236" t="s">
        <v>939</v>
      </c>
      <c r="B370" s="233" t="s">
        <v>75</v>
      </c>
      <c r="C370" s="234" t="s">
        <v>65</v>
      </c>
      <c r="D370" s="234" t="s">
        <v>2</v>
      </c>
      <c r="E370" s="234" t="s">
        <v>307</v>
      </c>
      <c r="F370" s="234" t="s">
        <v>1060</v>
      </c>
      <c r="G370" s="235">
        <f>VLOOKUP(J370,'исх АС БЮДЖЕТ'!$A$10:$H$568,6,0)</f>
        <v>271774.96999999997</v>
      </c>
      <c r="H370" s="234">
        <v>7310010010</v>
      </c>
      <c r="I370" s="313" t="str">
        <f t="shared" si="37"/>
        <v>7310010010</v>
      </c>
      <c r="J370" s="30" t="str">
        <f t="shared" si="38"/>
        <v>60401067310010010129</v>
      </c>
    </row>
    <row r="371" spans="1:10" s="109" customFormat="1" ht="25.5">
      <c r="A371" s="232" t="s">
        <v>108</v>
      </c>
      <c r="B371" s="233" t="s">
        <v>75</v>
      </c>
      <c r="C371" s="234" t="s">
        <v>65</v>
      </c>
      <c r="D371" s="234" t="s">
        <v>2</v>
      </c>
      <c r="E371" s="234" t="s">
        <v>307</v>
      </c>
      <c r="F371" s="234" t="s">
        <v>116</v>
      </c>
      <c r="G371" s="235">
        <f>G372</f>
        <v>3529150</v>
      </c>
      <c r="H371" s="234">
        <v>7310010010</v>
      </c>
      <c r="I371" s="313" t="str">
        <f t="shared" si="37"/>
        <v>7310010010</v>
      </c>
      <c r="J371" s="30" t="str">
        <f t="shared" si="38"/>
        <v>60401067310010010240</v>
      </c>
    </row>
    <row r="372" spans="1:10" s="110" customFormat="1" ht="25.5">
      <c r="A372" s="236" t="s">
        <v>973</v>
      </c>
      <c r="B372" s="233" t="s">
        <v>75</v>
      </c>
      <c r="C372" s="234" t="s">
        <v>65</v>
      </c>
      <c r="D372" s="234" t="s">
        <v>2</v>
      </c>
      <c r="E372" s="234" t="s">
        <v>307</v>
      </c>
      <c r="F372" s="234" t="s">
        <v>1043</v>
      </c>
      <c r="G372" s="235">
        <f>VLOOKUP(J372,'исх АС БЮДЖЕТ'!$A$10:$H$568,6,0)</f>
        <v>3529150</v>
      </c>
      <c r="H372" s="234">
        <v>7310010010</v>
      </c>
      <c r="I372" s="313" t="str">
        <f t="shared" si="37"/>
        <v>7310010010</v>
      </c>
      <c r="J372" s="30" t="str">
        <f t="shared" si="38"/>
        <v>60401067310010010244</v>
      </c>
    </row>
    <row r="373" spans="1:10" s="109" customFormat="1">
      <c r="A373" s="232" t="s">
        <v>97</v>
      </c>
      <c r="B373" s="233" t="s">
        <v>75</v>
      </c>
      <c r="C373" s="234" t="s">
        <v>65</v>
      </c>
      <c r="D373" s="234" t="s">
        <v>2</v>
      </c>
      <c r="E373" s="234" t="s">
        <v>307</v>
      </c>
      <c r="F373" s="234" t="s">
        <v>118</v>
      </c>
      <c r="G373" s="235">
        <f>SUM(G374:G376)</f>
        <v>60470</v>
      </c>
      <c r="H373" s="234">
        <v>7310010010</v>
      </c>
      <c r="I373" s="313" t="str">
        <f t="shared" si="37"/>
        <v>7310010010</v>
      </c>
      <c r="J373" s="30" t="str">
        <f t="shared" si="38"/>
        <v>60401067310010010850</v>
      </c>
    </row>
    <row r="374" spans="1:10" s="109" customFormat="1">
      <c r="A374" s="232" t="s">
        <v>1036</v>
      </c>
      <c r="B374" s="233" t="s">
        <v>75</v>
      </c>
      <c r="C374" s="234" t="s">
        <v>65</v>
      </c>
      <c r="D374" s="234" t="s">
        <v>2</v>
      </c>
      <c r="E374" s="234" t="s">
        <v>307</v>
      </c>
      <c r="F374" s="234" t="s">
        <v>1061</v>
      </c>
      <c r="G374" s="235">
        <f>VLOOKUP(J374,'исх АС БЮДЖЕТ'!$A$10:$H$568,6,0)</f>
        <v>2000</v>
      </c>
      <c r="H374" s="234">
        <v>7310010010</v>
      </c>
      <c r="I374" s="313" t="str">
        <f t="shared" si="37"/>
        <v>7310010010</v>
      </c>
      <c r="J374" s="30" t="str">
        <f t="shared" si="38"/>
        <v>60401067310010010851</v>
      </c>
    </row>
    <row r="375" spans="1:10" s="109" customFormat="1">
      <c r="A375" s="232" t="s">
        <v>1037</v>
      </c>
      <c r="B375" s="233" t="s">
        <v>75</v>
      </c>
      <c r="C375" s="234" t="s">
        <v>65</v>
      </c>
      <c r="D375" s="234" t="s">
        <v>2</v>
      </c>
      <c r="E375" s="234" t="s">
        <v>307</v>
      </c>
      <c r="F375" s="234" t="s">
        <v>1062</v>
      </c>
      <c r="G375" s="235">
        <f>VLOOKUP(J375,'исх АС БЮДЖЕТ'!$A$10:$H$568,6,0)</f>
        <v>23470</v>
      </c>
      <c r="H375" s="234">
        <v>7310010010</v>
      </c>
      <c r="I375" s="313" t="str">
        <f t="shared" si="37"/>
        <v>7310010010</v>
      </c>
      <c r="J375" s="30" t="str">
        <f t="shared" si="38"/>
        <v>60401067310010010852</v>
      </c>
    </row>
    <row r="376" spans="1:10" s="109" customFormat="1">
      <c r="A376" s="232" t="s">
        <v>1038</v>
      </c>
      <c r="B376" s="233" t="s">
        <v>75</v>
      </c>
      <c r="C376" s="234" t="s">
        <v>65</v>
      </c>
      <c r="D376" s="234" t="s">
        <v>2</v>
      </c>
      <c r="E376" s="234" t="s">
        <v>307</v>
      </c>
      <c r="F376" s="234" t="s">
        <v>1066</v>
      </c>
      <c r="G376" s="235">
        <f>VLOOKUP(J376,'исх АС БЮДЖЕТ'!$A$10:$H$568,6,0)</f>
        <v>35000</v>
      </c>
      <c r="H376" s="234">
        <v>7310010010</v>
      </c>
      <c r="I376" s="313" t="str">
        <f t="shared" si="37"/>
        <v>7310010010</v>
      </c>
      <c r="J376" s="30" t="str">
        <f t="shared" si="38"/>
        <v>60401067310010010853</v>
      </c>
    </row>
    <row r="377" spans="1:10" s="109" customFormat="1" ht="25.5">
      <c r="A377" s="255" t="s">
        <v>126</v>
      </c>
      <c r="B377" s="233" t="s">
        <v>75</v>
      </c>
      <c r="C377" s="234" t="s">
        <v>65</v>
      </c>
      <c r="D377" s="234" t="s">
        <v>2</v>
      </c>
      <c r="E377" s="234" t="s">
        <v>308</v>
      </c>
      <c r="F377" s="234" t="s">
        <v>58</v>
      </c>
      <c r="G377" s="235">
        <f>G378</f>
        <v>39601075.280000001</v>
      </c>
      <c r="H377" s="234">
        <v>7310010020</v>
      </c>
      <c r="I377" s="313" t="str">
        <f t="shared" si="37"/>
        <v>7310010020</v>
      </c>
      <c r="J377" s="30" t="str">
        <f t="shared" si="38"/>
        <v>60401067310010020000</v>
      </c>
    </row>
    <row r="378" spans="1:10" s="109" customFormat="1">
      <c r="A378" s="232" t="s">
        <v>107</v>
      </c>
      <c r="B378" s="233" t="s">
        <v>75</v>
      </c>
      <c r="C378" s="234" t="s">
        <v>65</v>
      </c>
      <c r="D378" s="234" t="s">
        <v>2</v>
      </c>
      <c r="E378" s="234" t="s">
        <v>308</v>
      </c>
      <c r="F378" s="234" t="s">
        <v>115</v>
      </c>
      <c r="G378" s="235">
        <f>SUM(G379:G380)</f>
        <v>39601075.280000001</v>
      </c>
      <c r="H378" s="234">
        <v>7310010020</v>
      </c>
      <c r="I378" s="313" t="str">
        <f t="shared" si="37"/>
        <v>7310010020</v>
      </c>
      <c r="J378" s="30" t="str">
        <f t="shared" si="38"/>
        <v>60401067310010020120</v>
      </c>
    </row>
    <row r="379" spans="1:10" s="109" customFormat="1">
      <c r="A379" s="232" t="s">
        <v>936</v>
      </c>
      <c r="B379" s="233" t="s">
        <v>75</v>
      </c>
      <c r="C379" s="234" t="s">
        <v>65</v>
      </c>
      <c r="D379" s="234" t="s">
        <v>2</v>
      </c>
      <c r="E379" s="234" t="s">
        <v>308</v>
      </c>
      <c r="F379" s="234" t="s">
        <v>1063</v>
      </c>
      <c r="G379" s="235">
        <f>VLOOKUP(J379,'исх АС БЮДЖЕТ'!$A$10:$H$568,6,0)</f>
        <v>30415572</v>
      </c>
      <c r="H379" s="234">
        <v>7310010020</v>
      </c>
      <c r="I379" s="313" t="str">
        <f t="shared" si="37"/>
        <v>7310010020</v>
      </c>
      <c r="J379" s="30" t="str">
        <f t="shared" si="38"/>
        <v>60401067310010020121</v>
      </c>
    </row>
    <row r="380" spans="1:10" s="109" customFormat="1" ht="38.25">
      <c r="A380" s="232" t="s">
        <v>939</v>
      </c>
      <c r="B380" s="233" t="s">
        <v>75</v>
      </c>
      <c r="C380" s="234" t="s">
        <v>65</v>
      </c>
      <c r="D380" s="234" t="s">
        <v>2</v>
      </c>
      <c r="E380" s="234" t="s">
        <v>308</v>
      </c>
      <c r="F380" s="234" t="s">
        <v>1060</v>
      </c>
      <c r="G380" s="235">
        <f>VLOOKUP(J380,'исх АС БЮДЖЕТ'!$A$10:$H$568,6,0)</f>
        <v>9185503.2799999993</v>
      </c>
      <c r="H380" s="234">
        <v>7310010020</v>
      </c>
      <c r="I380" s="313" t="str">
        <f t="shared" si="37"/>
        <v>7310010020</v>
      </c>
      <c r="J380" s="30" t="str">
        <f t="shared" si="38"/>
        <v>60401067310010020129</v>
      </c>
    </row>
    <row r="381" spans="1:10" s="109" customFormat="1">
      <c r="A381" s="228" t="s">
        <v>309</v>
      </c>
      <c r="B381" s="229" t="s">
        <v>75</v>
      </c>
      <c r="C381" s="230" t="s">
        <v>65</v>
      </c>
      <c r="D381" s="230" t="s">
        <v>78</v>
      </c>
      <c r="E381" s="230" t="s">
        <v>196</v>
      </c>
      <c r="F381" s="230" t="s">
        <v>310</v>
      </c>
      <c r="G381" s="231">
        <f t="shared" ref="G381:G385" si="43">G382</f>
        <v>14195040</v>
      </c>
      <c r="H381" s="230">
        <v>0</v>
      </c>
      <c r="I381" s="313" t="str">
        <f t="shared" si="37"/>
        <v>0000000000</v>
      </c>
      <c r="J381" s="30" t="str">
        <f t="shared" si="38"/>
        <v xml:space="preserve">60401110000000000000 </v>
      </c>
    </row>
    <row r="382" spans="1:10" s="109" customFormat="1" ht="25.5">
      <c r="A382" s="236" t="s">
        <v>743</v>
      </c>
      <c r="B382" s="233" t="s">
        <v>75</v>
      </c>
      <c r="C382" s="234" t="s">
        <v>65</v>
      </c>
      <c r="D382" s="234" t="s">
        <v>78</v>
      </c>
      <c r="E382" s="234" t="s">
        <v>311</v>
      </c>
      <c r="F382" s="234" t="s">
        <v>310</v>
      </c>
      <c r="G382" s="235">
        <f t="shared" si="43"/>
        <v>14195040</v>
      </c>
      <c r="H382" s="234">
        <v>1000000000</v>
      </c>
      <c r="I382" s="313" t="str">
        <f t="shared" si="37"/>
        <v>1000000000</v>
      </c>
      <c r="J382" s="30" t="str">
        <f t="shared" si="38"/>
        <v xml:space="preserve">60401111000000000000 </v>
      </c>
    </row>
    <row r="383" spans="1:10" s="109" customFormat="1" ht="25.5">
      <c r="A383" s="236" t="s">
        <v>744</v>
      </c>
      <c r="B383" s="233" t="s">
        <v>75</v>
      </c>
      <c r="C383" s="234" t="s">
        <v>65</v>
      </c>
      <c r="D383" s="234" t="s">
        <v>78</v>
      </c>
      <c r="E383" s="234" t="s">
        <v>312</v>
      </c>
      <c r="F383" s="234" t="s">
        <v>58</v>
      </c>
      <c r="G383" s="235">
        <f t="shared" si="43"/>
        <v>14195040</v>
      </c>
      <c r="H383" s="234" t="s">
        <v>1197</v>
      </c>
      <c r="I383" s="313" t="str">
        <f t="shared" si="37"/>
        <v>10Б0000000</v>
      </c>
      <c r="J383" s="30" t="str">
        <f t="shared" si="38"/>
        <v>604011110Б0000000000</v>
      </c>
    </row>
    <row r="384" spans="1:10" s="109" customFormat="1" ht="25.5">
      <c r="A384" s="236" t="s">
        <v>313</v>
      </c>
      <c r="B384" s="233" t="s">
        <v>75</v>
      </c>
      <c r="C384" s="234" t="s">
        <v>65</v>
      </c>
      <c r="D384" s="234" t="s">
        <v>78</v>
      </c>
      <c r="E384" s="234" t="s">
        <v>568</v>
      </c>
      <c r="F384" s="234" t="s">
        <v>58</v>
      </c>
      <c r="G384" s="235">
        <f t="shared" si="43"/>
        <v>14195040</v>
      </c>
      <c r="H384" s="234" t="s">
        <v>1198</v>
      </c>
      <c r="I384" s="313" t="str">
        <f t="shared" si="37"/>
        <v>10Б0100000</v>
      </c>
      <c r="J384" s="30" t="str">
        <f t="shared" si="38"/>
        <v>604011110Б0100000000</v>
      </c>
    </row>
    <row r="385" spans="1:10" s="109" customFormat="1">
      <c r="A385" s="232" t="s">
        <v>0</v>
      </c>
      <c r="B385" s="233" t="s">
        <v>75</v>
      </c>
      <c r="C385" s="234" t="s">
        <v>65</v>
      </c>
      <c r="D385" s="234" t="s">
        <v>78</v>
      </c>
      <c r="E385" s="234" t="s">
        <v>569</v>
      </c>
      <c r="F385" s="234" t="s">
        <v>58</v>
      </c>
      <c r="G385" s="235">
        <f t="shared" si="43"/>
        <v>14195040</v>
      </c>
      <c r="H385" s="234" t="s">
        <v>1199</v>
      </c>
      <c r="I385" s="313" t="str">
        <f t="shared" si="37"/>
        <v>10Б0120020</v>
      </c>
      <c r="J385" s="30" t="str">
        <f t="shared" si="38"/>
        <v>604011110Б0120020000</v>
      </c>
    </row>
    <row r="386" spans="1:10" s="109" customFormat="1">
      <c r="A386" s="232" t="s">
        <v>98</v>
      </c>
      <c r="B386" s="233" t="s">
        <v>75</v>
      </c>
      <c r="C386" s="234" t="s">
        <v>65</v>
      </c>
      <c r="D386" s="234" t="s">
        <v>78</v>
      </c>
      <c r="E386" s="234" t="s">
        <v>569</v>
      </c>
      <c r="F386" s="234" t="s">
        <v>102</v>
      </c>
      <c r="G386" s="235">
        <f>VLOOKUP(J386,'исх АС БЮДЖЕТ'!$A$10:$H$568,6,0)</f>
        <v>14195040</v>
      </c>
      <c r="H386" s="234" t="s">
        <v>1199</v>
      </c>
      <c r="I386" s="313" t="str">
        <f t="shared" si="37"/>
        <v>10Б0120020</v>
      </c>
      <c r="J386" s="30" t="str">
        <f t="shared" si="38"/>
        <v>604011110Б0120020870</v>
      </c>
    </row>
    <row r="387" spans="1:10" s="109" customFormat="1">
      <c r="A387" s="228" t="s">
        <v>38</v>
      </c>
      <c r="B387" s="229" t="s">
        <v>75</v>
      </c>
      <c r="C387" s="230" t="s">
        <v>65</v>
      </c>
      <c r="D387" s="230" t="s">
        <v>84</v>
      </c>
      <c r="E387" s="230" t="s">
        <v>196</v>
      </c>
      <c r="F387" s="230" t="s">
        <v>58</v>
      </c>
      <c r="G387" s="231">
        <f>G394+G388</f>
        <v>28006387.289999999</v>
      </c>
      <c r="H387" s="230">
        <v>0</v>
      </c>
      <c r="I387" s="313" t="str">
        <f t="shared" si="37"/>
        <v>0000000000</v>
      </c>
      <c r="J387" s="30" t="str">
        <f t="shared" si="38"/>
        <v>60401130000000000000</v>
      </c>
    </row>
    <row r="388" spans="1:10" s="109" customFormat="1" ht="25.5">
      <c r="A388" s="236" t="s">
        <v>743</v>
      </c>
      <c r="B388" s="233" t="s">
        <v>75</v>
      </c>
      <c r="C388" s="234" t="s">
        <v>65</v>
      </c>
      <c r="D388" s="234" t="s">
        <v>84</v>
      </c>
      <c r="E388" s="234" t="s">
        <v>311</v>
      </c>
      <c r="F388" s="234" t="s">
        <v>58</v>
      </c>
      <c r="G388" s="235">
        <f t="shared" ref="G388:G391" si="44">G389</f>
        <v>8312428.1600000001</v>
      </c>
      <c r="H388" s="234">
        <v>1000000000</v>
      </c>
      <c r="I388" s="313" t="str">
        <f t="shared" si="37"/>
        <v>1000000000</v>
      </c>
      <c r="J388" s="30" t="str">
        <f t="shared" si="38"/>
        <v>60401131000000000000</v>
      </c>
    </row>
    <row r="389" spans="1:10" s="109" customFormat="1" ht="25.5">
      <c r="A389" s="236" t="s">
        <v>744</v>
      </c>
      <c r="B389" s="233" t="s">
        <v>75</v>
      </c>
      <c r="C389" s="234" t="s">
        <v>65</v>
      </c>
      <c r="D389" s="234" t="s">
        <v>84</v>
      </c>
      <c r="E389" s="234" t="s">
        <v>312</v>
      </c>
      <c r="F389" s="234" t="s">
        <v>58</v>
      </c>
      <c r="G389" s="235">
        <f t="shared" si="44"/>
        <v>8312428.1600000001</v>
      </c>
      <c r="H389" s="234" t="s">
        <v>1197</v>
      </c>
      <c r="I389" s="313" t="str">
        <f t="shared" si="37"/>
        <v>10Б0000000</v>
      </c>
      <c r="J389" s="30" t="str">
        <f t="shared" si="38"/>
        <v>604011310Б0000000000</v>
      </c>
    </row>
    <row r="390" spans="1:10" s="109" customFormat="1" ht="38.25">
      <c r="A390" s="236" t="s">
        <v>315</v>
      </c>
      <c r="B390" s="233" t="s">
        <v>75</v>
      </c>
      <c r="C390" s="234" t="s">
        <v>65</v>
      </c>
      <c r="D390" s="234" t="s">
        <v>84</v>
      </c>
      <c r="E390" s="234" t="s">
        <v>314</v>
      </c>
      <c r="F390" s="234" t="s">
        <v>58</v>
      </c>
      <c r="G390" s="235">
        <f t="shared" si="44"/>
        <v>8312428.1600000001</v>
      </c>
      <c r="H390" s="234" t="s">
        <v>1200</v>
      </c>
      <c r="I390" s="313" t="str">
        <f t="shared" si="37"/>
        <v>10Б0200000</v>
      </c>
      <c r="J390" s="30" t="str">
        <f t="shared" si="38"/>
        <v>604011310Б0200000000</v>
      </c>
    </row>
    <row r="391" spans="1:10" s="109" customFormat="1">
      <c r="A391" s="232" t="s">
        <v>130</v>
      </c>
      <c r="B391" s="233" t="s">
        <v>75</v>
      </c>
      <c r="C391" s="234" t="s">
        <v>65</v>
      </c>
      <c r="D391" s="234" t="s">
        <v>84</v>
      </c>
      <c r="E391" s="234" t="s">
        <v>570</v>
      </c>
      <c r="F391" s="234" t="s">
        <v>58</v>
      </c>
      <c r="G391" s="235">
        <f t="shared" si="44"/>
        <v>8312428.1600000001</v>
      </c>
      <c r="H391" s="234" t="s">
        <v>1201</v>
      </c>
      <c r="I391" s="313" t="str">
        <f t="shared" si="37"/>
        <v>10Б0220050</v>
      </c>
      <c r="J391" s="30" t="str">
        <f t="shared" si="38"/>
        <v>604011310Б0220050000</v>
      </c>
    </row>
    <row r="392" spans="1:10" s="109" customFormat="1">
      <c r="A392" s="232" t="s">
        <v>96</v>
      </c>
      <c r="B392" s="233" t="s">
        <v>75</v>
      </c>
      <c r="C392" s="234" t="s">
        <v>65</v>
      </c>
      <c r="D392" s="234" t="s">
        <v>84</v>
      </c>
      <c r="E392" s="234" t="s">
        <v>570</v>
      </c>
      <c r="F392" s="234" t="s">
        <v>131</v>
      </c>
      <c r="G392" s="235">
        <f>G393</f>
        <v>8312428.1600000001</v>
      </c>
      <c r="H392" s="234" t="s">
        <v>1201</v>
      </c>
      <c r="I392" s="313" t="str">
        <f t="shared" si="37"/>
        <v>10Б0220050</v>
      </c>
      <c r="J392" s="30" t="str">
        <f t="shared" si="38"/>
        <v>604011310Б0220050830</v>
      </c>
    </row>
    <row r="393" spans="1:10" s="110" customFormat="1" ht="25.5">
      <c r="A393" s="236" t="s">
        <v>1044</v>
      </c>
      <c r="B393" s="233" t="s">
        <v>75</v>
      </c>
      <c r="C393" s="234" t="s">
        <v>65</v>
      </c>
      <c r="D393" s="234" t="s">
        <v>84</v>
      </c>
      <c r="E393" s="234" t="s">
        <v>570</v>
      </c>
      <c r="F393" s="234" t="s">
        <v>1045</v>
      </c>
      <c r="G393" s="235">
        <f>VLOOKUP(J393,'исх АС БЮДЖЕТ'!$A$10:$H$568,6,0)</f>
        <v>8312428.1600000001</v>
      </c>
      <c r="H393" s="234" t="s">
        <v>1201</v>
      </c>
      <c r="I393" s="313" t="str">
        <f t="shared" si="37"/>
        <v>10Б0220050</v>
      </c>
      <c r="J393" s="30" t="str">
        <f t="shared" si="38"/>
        <v>604011310Б0220050831</v>
      </c>
    </row>
    <row r="394" spans="1:10" s="109" customFormat="1" ht="25.5">
      <c r="A394" s="232" t="s">
        <v>683</v>
      </c>
      <c r="B394" s="233" t="s">
        <v>75</v>
      </c>
      <c r="C394" s="234" t="s">
        <v>65</v>
      </c>
      <c r="D394" s="234" t="s">
        <v>84</v>
      </c>
      <c r="E394" s="234" t="s">
        <v>680</v>
      </c>
      <c r="F394" s="234" t="s">
        <v>58</v>
      </c>
      <c r="G394" s="235">
        <f>G395+G400</f>
        <v>19693959.129999999</v>
      </c>
      <c r="H394" s="234">
        <v>9800000000</v>
      </c>
      <c r="I394" s="313" t="str">
        <f t="shared" si="37"/>
        <v>9800000000</v>
      </c>
      <c r="J394" s="30" t="str">
        <f t="shared" si="38"/>
        <v>60401139800000000000</v>
      </c>
    </row>
    <row r="395" spans="1:10" s="109" customFormat="1">
      <c r="A395" s="232" t="s">
        <v>684</v>
      </c>
      <c r="B395" s="233" t="s">
        <v>75</v>
      </c>
      <c r="C395" s="234" t="s">
        <v>65</v>
      </c>
      <c r="D395" s="234" t="s">
        <v>84</v>
      </c>
      <c r="E395" s="234" t="s">
        <v>681</v>
      </c>
      <c r="F395" s="234" t="s">
        <v>58</v>
      </c>
      <c r="G395" s="235">
        <f>G396+G398</f>
        <v>18211959.129999999</v>
      </c>
      <c r="H395" s="234">
        <v>9810000000</v>
      </c>
      <c r="I395" s="313" t="str">
        <f t="shared" si="37"/>
        <v>9810000000</v>
      </c>
      <c r="J395" s="30" t="str">
        <f t="shared" si="38"/>
        <v>60401139810000000000</v>
      </c>
    </row>
    <row r="396" spans="1:10" s="109" customFormat="1" ht="25.5">
      <c r="A396" s="232" t="s">
        <v>602</v>
      </c>
      <c r="B396" s="233" t="s">
        <v>75</v>
      </c>
      <c r="C396" s="234" t="s">
        <v>65</v>
      </c>
      <c r="D396" s="234" t="s">
        <v>84</v>
      </c>
      <c r="E396" s="234" t="s">
        <v>685</v>
      </c>
      <c r="F396" s="234" t="s">
        <v>58</v>
      </c>
      <c r="G396" s="235">
        <f>G397</f>
        <v>1507169.13</v>
      </c>
      <c r="H396" s="234">
        <v>9810010050</v>
      </c>
      <c r="I396" s="313" t="str">
        <f t="shared" si="37"/>
        <v>9810010050</v>
      </c>
      <c r="J396" s="30" t="str">
        <f t="shared" si="38"/>
        <v>60401139810010050000</v>
      </c>
    </row>
    <row r="397" spans="1:10" s="109" customFormat="1">
      <c r="A397" s="237" t="s">
        <v>99</v>
      </c>
      <c r="B397" s="233" t="s">
        <v>75</v>
      </c>
      <c r="C397" s="234" t="s">
        <v>65</v>
      </c>
      <c r="D397" s="234" t="s">
        <v>84</v>
      </c>
      <c r="E397" s="234" t="s">
        <v>685</v>
      </c>
      <c r="F397" s="234" t="s">
        <v>105</v>
      </c>
      <c r="G397" s="235">
        <f>VLOOKUP(J397,'исх АС БЮДЖЕТ'!$A$10:$H$568,6,0)</f>
        <v>1507169.13</v>
      </c>
      <c r="H397" s="234">
        <v>9810010050</v>
      </c>
      <c r="I397" s="313" t="str">
        <f t="shared" si="37"/>
        <v>9810010050</v>
      </c>
      <c r="J397" s="30" t="str">
        <f t="shared" si="38"/>
        <v>60401139810010050880</v>
      </c>
    </row>
    <row r="398" spans="1:10" s="109" customFormat="1" ht="76.5">
      <c r="A398" s="256" t="s">
        <v>601</v>
      </c>
      <c r="B398" s="233" t="s">
        <v>75</v>
      </c>
      <c r="C398" s="234" t="s">
        <v>65</v>
      </c>
      <c r="D398" s="234" t="s">
        <v>84</v>
      </c>
      <c r="E398" s="234" t="s">
        <v>686</v>
      </c>
      <c r="F398" s="234" t="s">
        <v>58</v>
      </c>
      <c r="G398" s="235">
        <f>G399</f>
        <v>16704790</v>
      </c>
      <c r="H398" s="234">
        <v>9810020750</v>
      </c>
      <c r="I398" s="313" t="str">
        <f t="shared" ref="I398:I462" si="45">TEXT(H398,"0000000000")</f>
        <v>9810020750</v>
      </c>
      <c r="J398" s="30" t="str">
        <f t="shared" ref="J398:J462" si="46">CONCATENATE(B398,C398,D398,I398,F398)</f>
        <v>60401139810020750000</v>
      </c>
    </row>
    <row r="399" spans="1:10" s="109" customFormat="1">
      <c r="A399" s="237" t="s">
        <v>99</v>
      </c>
      <c r="B399" s="233" t="s">
        <v>75</v>
      </c>
      <c r="C399" s="234" t="s">
        <v>65</v>
      </c>
      <c r="D399" s="234" t="s">
        <v>84</v>
      </c>
      <c r="E399" s="234" t="s">
        <v>686</v>
      </c>
      <c r="F399" s="234" t="s">
        <v>105</v>
      </c>
      <c r="G399" s="235">
        <f>VLOOKUP(J399,'исх АС БЮДЖЕТ'!$A$10:$H$568,6,0)</f>
        <v>16704790</v>
      </c>
      <c r="H399" s="234">
        <v>9810020750</v>
      </c>
      <c r="I399" s="313" t="str">
        <f t="shared" si="45"/>
        <v>9810020750</v>
      </c>
      <c r="J399" s="30" t="str">
        <f t="shared" si="46"/>
        <v>60401139810020750880</v>
      </c>
    </row>
    <row r="400" spans="1:10" s="109" customFormat="1" ht="38.25">
      <c r="A400" s="250" t="s">
        <v>1120</v>
      </c>
      <c r="B400" s="233" t="s">
        <v>75</v>
      </c>
      <c r="C400" s="234" t="s">
        <v>65</v>
      </c>
      <c r="D400" s="234" t="s">
        <v>84</v>
      </c>
      <c r="E400" s="234" t="s">
        <v>1121</v>
      </c>
      <c r="F400" s="234" t="s">
        <v>58</v>
      </c>
      <c r="G400" s="235">
        <f>G401</f>
        <v>1482000</v>
      </c>
      <c r="H400" s="234">
        <v>9820000000</v>
      </c>
      <c r="I400" s="313" t="str">
        <f t="shared" si="45"/>
        <v>9820000000</v>
      </c>
      <c r="J400" s="30" t="str">
        <f t="shared" si="46"/>
        <v>60401139820000000000</v>
      </c>
    </row>
    <row r="401" spans="1:10" s="109" customFormat="1" ht="25.5">
      <c r="A401" s="232" t="s">
        <v>1162</v>
      </c>
      <c r="B401" s="233" t="s">
        <v>75</v>
      </c>
      <c r="C401" s="234" t="s">
        <v>65</v>
      </c>
      <c r="D401" s="234" t="s">
        <v>84</v>
      </c>
      <c r="E401" s="234" t="s">
        <v>1163</v>
      </c>
      <c r="F401" s="234" t="s">
        <v>58</v>
      </c>
      <c r="G401" s="235">
        <f>G402</f>
        <v>1482000</v>
      </c>
      <c r="H401" s="234">
        <v>9820021340</v>
      </c>
      <c r="I401" s="313" t="str">
        <f t="shared" si="45"/>
        <v>9820021340</v>
      </c>
      <c r="J401" s="30" t="str">
        <f t="shared" si="46"/>
        <v>60401139820021340000</v>
      </c>
    </row>
    <row r="402" spans="1:10" s="109" customFormat="1">
      <c r="A402" s="232" t="s">
        <v>99</v>
      </c>
      <c r="B402" s="233" t="s">
        <v>75</v>
      </c>
      <c r="C402" s="234" t="s">
        <v>65</v>
      </c>
      <c r="D402" s="234" t="s">
        <v>84</v>
      </c>
      <c r="E402" s="234" t="s">
        <v>1163</v>
      </c>
      <c r="F402" s="234" t="s">
        <v>105</v>
      </c>
      <c r="G402" s="235">
        <f>VLOOKUP(J402,'исх АС БЮДЖЕТ'!$A$10:$H$568,6,0)</f>
        <v>1482000</v>
      </c>
      <c r="H402" s="234">
        <v>9820021340</v>
      </c>
      <c r="I402" s="313" t="str">
        <f t="shared" si="45"/>
        <v>9820021340</v>
      </c>
      <c r="J402" s="30" t="str">
        <f t="shared" si="46"/>
        <v>60401139820021340880</v>
      </c>
    </row>
    <row r="403" spans="1:10" s="109" customFormat="1">
      <c r="A403" s="224" t="s">
        <v>85</v>
      </c>
      <c r="B403" s="225" t="s">
        <v>75</v>
      </c>
      <c r="C403" s="226" t="s">
        <v>84</v>
      </c>
      <c r="D403" s="226" t="s">
        <v>51</v>
      </c>
      <c r="E403" s="226" t="s">
        <v>196</v>
      </c>
      <c r="F403" s="226" t="s">
        <v>58</v>
      </c>
      <c r="G403" s="227">
        <f t="shared" ref="G403:G408" si="47">G404</f>
        <v>164710000</v>
      </c>
      <c r="H403" s="226">
        <v>0</v>
      </c>
      <c r="I403" s="313" t="str">
        <f t="shared" si="45"/>
        <v>0000000000</v>
      </c>
      <c r="J403" s="30" t="str">
        <f t="shared" si="46"/>
        <v>60413000000000000000</v>
      </c>
    </row>
    <row r="404" spans="1:10" s="109" customFormat="1">
      <c r="A404" s="228" t="s">
        <v>86</v>
      </c>
      <c r="B404" s="229" t="s">
        <v>75</v>
      </c>
      <c r="C404" s="230" t="s">
        <v>84</v>
      </c>
      <c r="D404" s="230" t="s">
        <v>65</v>
      </c>
      <c r="E404" s="230" t="s">
        <v>196</v>
      </c>
      <c r="F404" s="230" t="s">
        <v>58</v>
      </c>
      <c r="G404" s="231">
        <f t="shared" si="47"/>
        <v>164710000</v>
      </c>
      <c r="H404" s="230">
        <v>0</v>
      </c>
      <c r="I404" s="313" t="str">
        <f t="shared" si="45"/>
        <v>0000000000</v>
      </c>
      <c r="J404" s="30" t="str">
        <f t="shared" si="46"/>
        <v>60413010000000000000</v>
      </c>
    </row>
    <row r="405" spans="1:10" s="109" customFormat="1" ht="25.5">
      <c r="A405" s="236" t="s">
        <v>743</v>
      </c>
      <c r="B405" s="233" t="s">
        <v>75</v>
      </c>
      <c r="C405" s="234" t="s">
        <v>84</v>
      </c>
      <c r="D405" s="234" t="s">
        <v>65</v>
      </c>
      <c r="E405" s="234" t="s">
        <v>311</v>
      </c>
      <c r="F405" s="234" t="s">
        <v>58</v>
      </c>
      <c r="G405" s="235">
        <f t="shared" si="47"/>
        <v>164710000</v>
      </c>
      <c r="H405" s="234">
        <v>1000000000</v>
      </c>
      <c r="I405" s="313" t="str">
        <f t="shared" si="45"/>
        <v>1000000000</v>
      </c>
      <c r="J405" s="30" t="str">
        <f t="shared" si="46"/>
        <v>60413011000000000000</v>
      </c>
    </row>
    <row r="406" spans="1:10" s="109" customFormat="1" ht="25.5">
      <c r="A406" s="236" t="s">
        <v>744</v>
      </c>
      <c r="B406" s="233" t="s">
        <v>75</v>
      </c>
      <c r="C406" s="234" t="s">
        <v>84</v>
      </c>
      <c r="D406" s="234" t="s">
        <v>65</v>
      </c>
      <c r="E406" s="234" t="s">
        <v>312</v>
      </c>
      <c r="F406" s="234" t="s">
        <v>58</v>
      </c>
      <c r="G406" s="235">
        <f t="shared" si="47"/>
        <v>164710000</v>
      </c>
      <c r="H406" s="234" t="s">
        <v>1197</v>
      </c>
      <c r="I406" s="313" t="str">
        <f t="shared" si="45"/>
        <v>10Б0000000</v>
      </c>
      <c r="J406" s="30" t="str">
        <f t="shared" si="46"/>
        <v>604130110Б0000000000</v>
      </c>
    </row>
    <row r="407" spans="1:10" s="109" customFormat="1" ht="38.25">
      <c r="A407" s="236" t="s">
        <v>316</v>
      </c>
      <c r="B407" s="233" t="s">
        <v>75</v>
      </c>
      <c r="C407" s="234" t="s">
        <v>84</v>
      </c>
      <c r="D407" s="234" t="s">
        <v>65</v>
      </c>
      <c r="E407" s="234" t="s">
        <v>317</v>
      </c>
      <c r="F407" s="234" t="s">
        <v>58</v>
      </c>
      <c r="G407" s="235">
        <f t="shared" si="47"/>
        <v>164710000</v>
      </c>
      <c r="H407" s="234" t="s">
        <v>1202</v>
      </c>
      <c r="I407" s="313" t="str">
        <f t="shared" si="45"/>
        <v>10Б0300000</v>
      </c>
      <c r="J407" s="30" t="str">
        <f t="shared" si="46"/>
        <v>604130110Б0300000000</v>
      </c>
    </row>
    <row r="408" spans="1:10" s="109" customFormat="1">
      <c r="A408" s="236" t="s">
        <v>95</v>
      </c>
      <c r="B408" s="233" t="s">
        <v>75</v>
      </c>
      <c r="C408" s="234" t="s">
        <v>84</v>
      </c>
      <c r="D408" s="234" t="s">
        <v>65</v>
      </c>
      <c r="E408" s="234" t="s">
        <v>318</v>
      </c>
      <c r="F408" s="234" t="s">
        <v>58</v>
      </c>
      <c r="G408" s="235">
        <f t="shared" si="47"/>
        <v>164710000</v>
      </c>
      <c r="H408" s="234" t="s">
        <v>1203</v>
      </c>
      <c r="I408" s="313" t="str">
        <f t="shared" si="45"/>
        <v>10Б0320010</v>
      </c>
      <c r="J408" s="30" t="str">
        <f t="shared" si="46"/>
        <v>604130110Б0320010000</v>
      </c>
    </row>
    <row r="409" spans="1:10" s="109" customFormat="1">
      <c r="A409" s="236" t="s">
        <v>94</v>
      </c>
      <c r="B409" s="233" t="s">
        <v>75</v>
      </c>
      <c r="C409" s="234" t="s">
        <v>84</v>
      </c>
      <c r="D409" s="234" t="s">
        <v>65</v>
      </c>
      <c r="E409" s="234" t="s">
        <v>318</v>
      </c>
      <c r="F409" s="234" t="s">
        <v>132</v>
      </c>
      <c r="G409" s="235">
        <f>VLOOKUP(J409,'исх АС БЮДЖЕТ'!$A$10:$H$568,6,0)</f>
        <v>164710000</v>
      </c>
      <c r="H409" s="234" t="s">
        <v>1203</v>
      </c>
      <c r="I409" s="313" t="str">
        <f t="shared" si="45"/>
        <v>10Б0320010</v>
      </c>
      <c r="J409" s="30" t="str">
        <f t="shared" si="46"/>
        <v>604130110Б0320010730</v>
      </c>
    </row>
    <row r="410" spans="1:10" s="99" customFormat="1">
      <c r="A410" s="257"/>
      <c r="B410" s="239"/>
      <c r="C410" s="240"/>
      <c r="D410" s="240"/>
      <c r="E410" s="240"/>
      <c r="F410" s="240"/>
      <c r="G410" s="235"/>
      <c r="H410" s="240"/>
      <c r="I410" s="313" t="str">
        <f t="shared" si="45"/>
        <v>0000000000</v>
      </c>
      <c r="J410" s="30" t="str">
        <f t="shared" si="46"/>
        <v>0000000000</v>
      </c>
    </row>
    <row r="411" spans="1:10" s="3" customFormat="1">
      <c r="A411" s="219" t="s">
        <v>87</v>
      </c>
      <c r="B411" s="220" t="s">
        <v>68</v>
      </c>
      <c r="C411" s="221" t="s">
        <v>51</v>
      </c>
      <c r="D411" s="221" t="s">
        <v>51</v>
      </c>
      <c r="E411" s="221" t="s">
        <v>196</v>
      </c>
      <c r="F411" s="221" t="s">
        <v>58</v>
      </c>
      <c r="G411" s="222">
        <f>G412+G444+G436</f>
        <v>32105380</v>
      </c>
      <c r="H411" s="221">
        <v>0</v>
      </c>
      <c r="I411" s="313" t="str">
        <f t="shared" si="45"/>
        <v>0000000000</v>
      </c>
      <c r="J411" s="30" t="str">
        <f t="shared" si="46"/>
        <v>60500000000000000000</v>
      </c>
    </row>
    <row r="412" spans="1:10" s="116" customFormat="1">
      <c r="A412" s="224" t="s">
        <v>64</v>
      </c>
      <c r="B412" s="225" t="s">
        <v>68</v>
      </c>
      <c r="C412" s="226" t="s">
        <v>65</v>
      </c>
      <c r="D412" s="226" t="s">
        <v>51</v>
      </c>
      <c r="E412" s="226" t="s">
        <v>196</v>
      </c>
      <c r="F412" s="226" t="s">
        <v>58</v>
      </c>
      <c r="G412" s="227">
        <f t="shared" ref="G412:G420" si="48">G413</f>
        <v>28361740</v>
      </c>
      <c r="H412" s="226">
        <v>0</v>
      </c>
      <c r="I412" s="313" t="str">
        <f t="shared" si="45"/>
        <v>0000000000</v>
      </c>
      <c r="J412" s="30" t="str">
        <f t="shared" si="46"/>
        <v>60501000000000000000</v>
      </c>
    </row>
    <row r="413" spans="1:10" s="4" customFormat="1">
      <c r="A413" s="228" t="s">
        <v>38</v>
      </c>
      <c r="B413" s="229" t="s">
        <v>68</v>
      </c>
      <c r="C413" s="230" t="s">
        <v>65</v>
      </c>
      <c r="D413" s="230" t="s">
        <v>84</v>
      </c>
      <c r="E413" s="230" t="s">
        <v>196</v>
      </c>
      <c r="F413" s="230" t="s">
        <v>58</v>
      </c>
      <c r="G413" s="231">
        <f>G420+G414</f>
        <v>28361740</v>
      </c>
      <c r="H413" s="230">
        <v>0</v>
      </c>
      <c r="I413" s="313" t="str">
        <f t="shared" si="45"/>
        <v>0000000000</v>
      </c>
      <c r="J413" s="30" t="str">
        <f t="shared" si="46"/>
        <v>60501130000000000000</v>
      </c>
    </row>
    <row r="414" spans="1:10" s="3" customFormat="1" ht="25.5">
      <c r="A414" s="232" t="s">
        <v>752</v>
      </c>
      <c r="B414" s="233" t="s">
        <v>68</v>
      </c>
      <c r="C414" s="234" t="s">
        <v>65</v>
      </c>
      <c r="D414" s="234" t="s">
        <v>84</v>
      </c>
      <c r="E414" s="234" t="s">
        <v>249</v>
      </c>
      <c r="F414" s="234" t="s">
        <v>58</v>
      </c>
      <c r="G414" s="235">
        <f t="shared" ref="G414:G417" si="49">G415</f>
        <v>7650</v>
      </c>
      <c r="H414" s="234">
        <v>1500000000</v>
      </c>
      <c r="I414" s="313" t="str">
        <f t="shared" si="45"/>
        <v>1500000000</v>
      </c>
      <c r="J414" s="30" t="str">
        <f t="shared" si="46"/>
        <v>60501131500000000000</v>
      </c>
    </row>
    <row r="415" spans="1:10" s="3" customFormat="1">
      <c r="A415" s="232" t="s">
        <v>879</v>
      </c>
      <c r="B415" s="233" t="s">
        <v>68</v>
      </c>
      <c r="C415" s="234" t="s">
        <v>65</v>
      </c>
      <c r="D415" s="234" t="s">
        <v>84</v>
      </c>
      <c r="E415" s="234" t="s">
        <v>256</v>
      </c>
      <c r="F415" s="234" t="s">
        <v>58</v>
      </c>
      <c r="G415" s="235">
        <f t="shared" si="49"/>
        <v>7650</v>
      </c>
      <c r="H415" s="234">
        <v>1530000000</v>
      </c>
      <c r="I415" s="313" t="str">
        <f t="shared" si="45"/>
        <v>1530000000</v>
      </c>
      <c r="J415" s="30" t="str">
        <f t="shared" si="46"/>
        <v>60501131530000000000</v>
      </c>
    </row>
    <row r="416" spans="1:10" s="3" customFormat="1">
      <c r="A416" s="232" t="s">
        <v>616</v>
      </c>
      <c r="B416" s="233" t="s">
        <v>68</v>
      </c>
      <c r="C416" s="234" t="s">
        <v>65</v>
      </c>
      <c r="D416" s="234" t="s">
        <v>84</v>
      </c>
      <c r="E416" s="234" t="s">
        <v>321</v>
      </c>
      <c r="F416" s="234" t="s">
        <v>58</v>
      </c>
      <c r="G416" s="235">
        <f t="shared" si="49"/>
        <v>7650</v>
      </c>
      <c r="H416" s="234">
        <v>1530100000</v>
      </c>
      <c r="I416" s="313" t="str">
        <f t="shared" si="45"/>
        <v>1530100000</v>
      </c>
      <c r="J416" s="30" t="str">
        <f t="shared" si="46"/>
        <v>60501131530100000000</v>
      </c>
    </row>
    <row r="417" spans="1:10" s="3" customFormat="1" ht="25.5">
      <c r="A417" s="232" t="s">
        <v>133</v>
      </c>
      <c r="B417" s="233" t="s">
        <v>68</v>
      </c>
      <c r="C417" s="234" t="s">
        <v>65</v>
      </c>
      <c r="D417" s="234" t="s">
        <v>84</v>
      </c>
      <c r="E417" s="234" t="s">
        <v>322</v>
      </c>
      <c r="F417" s="234" t="s">
        <v>58</v>
      </c>
      <c r="G417" s="235">
        <f t="shared" si="49"/>
        <v>7650</v>
      </c>
      <c r="H417" s="234">
        <v>1530120660</v>
      </c>
      <c r="I417" s="313" t="str">
        <f t="shared" si="45"/>
        <v>1530120660</v>
      </c>
      <c r="J417" s="30" t="str">
        <f t="shared" si="46"/>
        <v>60501131530120660000</v>
      </c>
    </row>
    <row r="418" spans="1:10" s="3" customFormat="1" ht="25.5">
      <c r="A418" s="232" t="s">
        <v>108</v>
      </c>
      <c r="B418" s="233" t="s">
        <v>68</v>
      </c>
      <c r="C418" s="234" t="s">
        <v>65</v>
      </c>
      <c r="D418" s="234" t="s">
        <v>84</v>
      </c>
      <c r="E418" s="234" t="s">
        <v>322</v>
      </c>
      <c r="F418" s="234" t="s">
        <v>116</v>
      </c>
      <c r="G418" s="235">
        <f>G419</f>
        <v>7650</v>
      </c>
      <c r="H418" s="234">
        <v>1530120660</v>
      </c>
      <c r="I418" s="313" t="str">
        <f t="shared" si="45"/>
        <v>1530120660</v>
      </c>
      <c r="J418" s="30" t="str">
        <f t="shared" si="46"/>
        <v>60501131530120660240</v>
      </c>
    </row>
    <row r="419" spans="1:10" s="94" customFormat="1" ht="25.5">
      <c r="A419" s="236" t="s">
        <v>973</v>
      </c>
      <c r="B419" s="233" t="s">
        <v>68</v>
      </c>
      <c r="C419" s="234" t="s">
        <v>65</v>
      </c>
      <c r="D419" s="234" t="s">
        <v>84</v>
      </c>
      <c r="E419" s="234" t="s">
        <v>322</v>
      </c>
      <c r="F419" s="234" t="s">
        <v>1043</v>
      </c>
      <c r="G419" s="235">
        <f>VLOOKUP(J419,'исх АС БЮДЖЕТ'!$A$10:$H$568,6,0)</f>
        <v>7650</v>
      </c>
      <c r="H419" s="234">
        <v>1530120660</v>
      </c>
      <c r="I419" s="313" t="str">
        <f t="shared" si="45"/>
        <v>1530120660</v>
      </c>
      <c r="J419" s="30" t="str">
        <f t="shared" si="46"/>
        <v>60501131530120660244</v>
      </c>
    </row>
    <row r="420" spans="1:10" s="3" customFormat="1" ht="25.5">
      <c r="A420" s="232" t="s">
        <v>582</v>
      </c>
      <c r="B420" s="233" t="s">
        <v>68</v>
      </c>
      <c r="C420" s="234" t="s">
        <v>65</v>
      </c>
      <c r="D420" s="234" t="s">
        <v>84</v>
      </c>
      <c r="E420" s="234" t="s">
        <v>323</v>
      </c>
      <c r="F420" s="234" t="s">
        <v>58</v>
      </c>
      <c r="G420" s="235">
        <f t="shared" si="48"/>
        <v>28354090</v>
      </c>
      <c r="H420" s="234">
        <v>7400000000</v>
      </c>
      <c r="I420" s="313" t="str">
        <f t="shared" si="45"/>
        <v>7400000000</v>
      </c>
      <c r="J420" s="30" t="str">
        <f t="shared" si="46"/>
        <v>60501137400000000000</v>
      </c>
    </row>
    <row r="421" spans="1:10" s="3" customFormat="1" ht="25.5">
      <c r="A421" s="232" t="s">
        <v>583</v>
      </c>
      <c r="B421" s="233" t="s">
        <v>68</v>
      </c>
      <c r="C421" s="234" t="s">
        <v>65</v>
      </c>
      <c r="D421" s="234" t="s">
        <v>84</v>
      </c>
      <c r="E421" s="234" t="s">
        <v>324</v>
      </c>
      <c r="F421" s="234" t="s">
        <v>58</v>
      </c>
      <c r="G421" s="235">
        <f>G422+G432</f>
        <v>28354090</v>
      </c>
      <c r="H421" s="234">
        <v>7410000000</v>
      </c>
      <c r="I421" s="313" t="str">
        <f t="shared" si="45"/>
        <v>7410000000</v>
      </c>
      <c r="J421" s="30" t="str">
        <f t="shared" si="46"/>
        <v>60501137410000000000</v>
      </c>
    </row>
    <row r="422" spans="1:10" s="3" customFormat="1" ht="25.5">
      <c r="A422" s="232" t="s">
        <v>114</v>
      </c>
      <c r="B422" s="233" t="s">
        <v>68</v>
      </c>
      <c r="C422" s="234" t="s">
        <v>65</v>
      </c>
      <c r="D422" s="234" t="s">
        <v>84</v>
      </c>
      <c r="E422" s="234" t="s">
        <v>325</v>
      </c>
      <c r="F422" s="234" t="s">
        <v>58</v>
      </c>
      <c r="G422" s="235">
        <f>G423+G426+G428</f>
        <v>3134050</v>
      </c>
      <c r="H422" s="234">
        <v>7410010010</v>
      </c>
      <c r="I422" s="313" t="str">
        <f t="shared" si="45"/>
        <v>7410010010</v>
      </c>
      <c r="J422" s="30" t="str">
        <f t="shared" si="46"/>
        <v>60501137410010010000</v>
      </c>
    </row>
    <row r="423" spans="1:10" s="3" customFormat="1">
      <c r="A423" s="232" t="s">
        <v>107</v>
      </c>
      <c r="B423" s="233" t="s">
        <v>68</v>
      </c>
      <c r="C423" s="234" t="s">
        <v>65</v>
      </c>
      <c r="D423" s="234" t="s">
        <v>84</v>
      </c>
      <c r="E423" s="234" t="s">
        <v>325</v>
      </c>
      <c r="F423" s="234" t="s">
        <v>115</v>
      </c>
      <c r="G423" s="235">
        <f>SUM(G424:G425)</f>
        <v>757890</v>
      </c>
      <c r="H423" s="234">
        <v>7410010010</v>
      </c>
      <c r="I423" s="313" t="str">
        <f t="shared" si="45"/>
        <v>7410010010</v>
      </c>
      <c r="J423" s="30" t="str">
        <f t="shared" si="46"/>
        <v>60501137410010010120</v>
      </c>
    </row>
    <row r="424" spans="1:10" s="3" customFormat="1" ht="25.5">
      <c r="A424" s="232" t="s">
        <v>937</v>
      </c>
      <c r="B424" s="233" t="s">
        <v>68</v>
      </c>
      <c r="C424" s="234" t="s">
        <v>65</v>
      </c>
      <c r="D424" s="234" t="s">
        <v>84</v>
      </c>
      <c r="E424" s="234" t="s">
        <v>325</v>
      </c>
      <c r="F424" s="234" t="s">
        <v>1059</v>
      </c>
      <c r="G424" s="235">
        <f>VLOOKUP(J424,'исх АС БЮДЖЕТ'!$A$10:$H$568,6,0)</f>
        <v>585060</v>
      </c>
      <c r="H424" s="234">
        <v>7410010010</v>
      </c>
      <c r="I424" s="313" t="str">
        <f t="shared" si="45"/>
        <v>7410010010</v>
      </c>
      <c r="J424" s="30" t="str">
        <f t="shared" si="46"/>
        <v>60501137410010010122</v>
      </c>
    </row>
    <row r="425" spans="1:10" s="3" customFormat="1" ht="38.25">
      <c r="A425" s="232" t="s">
        <v>939</v>
      </c>
      <c r="B425" s="233" t="s">
        <v>68</v>
      </c>
      <c r="C425" s="234" t="s">
        <v>65</v>
      </c>
      <c r="D425" s="234" t="s">
        <v>84</v>
      </c>
      <c r="E425" s="234" t="s">
        <v>325</v>
      </c>
      <c r="F425" s="234" t="s">
        <v>1060</v>
      </c>
      <c r="G425" s="235">
        <f>VLOOKUP(J425,'исх АС БЮДЖЕТ'!$A$10:$H$568,6,0)</f>
        <v>172830</v>
      </c>
      <c r="H425" s="234">
        <v>7410010010</v>
      </c>
      <c r="I425" s="313" t="str">
        <f t="shared" si="45"/>
        <v>7410010010</v>
      </c>
      <c r="J425" s="30" t="str">
        <f t="shared" si="46"/>
        <v>60501137410010010129</v>
      </c>
    </row>
    <row r="426" spans="1:10" s="3" customFormat="1" ht="25.5">
      <c r="A426" s="232" t="s">
        <v>108</v>
      </c>
      <c r="B426" s="233" t="s">
        <v>68</v>
      </c>
      <c r="C426" s="234" t="s">
        <v>65</v>
      </c>
      <c r="D426" s="234" t="s">
        <v>84</v>
      </c>
      <c r="E426" s="234" t="s">
        <v>325</v>
      </c>
      <c r="F426" s="234" t="s">
        <v>116</v>
      </c>
      <c r="G426" s="235">
        <f>G427</f>
        <v>2356010</v>
      </c>
      <c r="H426" s="234">
        <v>7410010010</v>
      </c>
      <c r="I426" s="313" t="str">
        <f t="shared" si="45"/>
        <v>7410010010</v>
      </c>
      <c r="J426" s="30" t="str">
        <f t="shared" si="46"/>
        <v>60501137410010010240</v>
      </c>
    </row>
    <row r="427" spans="1:10" s="4" customFormat="1" ht="25.5">
      <c r="A427" s="236" t="s">
        <v>973</v>
      </c>
      <c r="B427" s="233" t="s">
        <v>68</v>
      </c>
      <c r="C427" s="234" t="s">
        <v>65</v>
      </c>
      <c r="D427" s="234" t="s">
        <v>84</v>
      </c>
      <c r="E427" s="234" t="s">
        <v>325</v>
      </c>
      <c r="F427" s="234" t="s">
        <v>1043</v>
      </c>
      <c r="G427" s="235">
        <f>VLOOKUP(J427,'исх АС БЮДЖЕТ'!$A$10:$H$568,6,0)</f>
        <v>2356010</v>
      </c>
      <c r="H427" s="234">
        <v>7410010010</v>
      </c>
      <c r="I427" s="313" t="str">
        <f t="shared" si="45"/>
        <v>7410010010</v>
      </c>
      <c r="J427" s="30" t="str">
        <f t="shared" si="46"/>
        <v>60501137410010010244</v>
      </c>
    </row>
    <row r="428" spans="1:10" s="3" customFormat="1">
      <c r="A428" s="232" t="s">
        <v>97</v>
      </c>
      <c r="B428" s="233" t="s">
        <v>68</v>
      </c>
      <c r="C428" s="234" t="s">
        <v>65</v>
      </c>
      <c r="D428" s="234" t="s">
        <v>84</v>
      </c>
      <c r="E428" s="234" t="s">
        <v>325</v>
      </c>
      <c r="F428" s="234" t="s">
        <v>118</v>
      </c>
      <c r="G428" s="235">
        <f>SUM(G429:G431)</f>
        <v>20150</v>
      </c>
      <c r="H428" s="234">
        <v>7410010010</v>
      </c>
      <c r="I428" s="313" t="str">
        <f t="shared" si="45"/>
        <v>7410010010</v>
      </c>
      <c r="J428" s="30" t="str">
        <f t="shared" si="46"/>
        <v>60501137410010010850</v>
      </c>
    </row>
    <row r="429" spans="1:10" s="4" customFormat="1">
      <c r="A429" s="236" t="s">
        <v>1036</v>
      </c>
      <c r="B429" s="233" t="s">
        <v>68</v>
      </c>
      <c r="C429" s="234" t="s">
        <v>65</v>
      </c>
      <c r="D429" s="234" t="s">
        <v>84</v>
      </c>
      <c r="E429" s="234" t="s">
        <v>325</v>
      </c>
      <c r="F429" s="234" t="s">
        <v>1061</v>
      </c>
      <c r="G429" s="235">
        <f>VLOOKUP(J429,'исх АС БЮДЖЕТ'!$A$10:$H$568,6,0)</f>
        <v>1500</v>
      </c>
      <c r="H429" s="234">
        <v>7410010010</v>
      </c>
      <c r="I429" s="313" t="str">
        <f t="shared" si="45"/>
        <v>7410010010</v>
      </c>
      <c r="J429" s="30" t="str">
        <f t="shared" si="46"/>
        <v>60501137410010010851</v>
      </c>
    </row>
    <row r="430" spans="1:10" s="4" customFormat="1">
      <c r="A430" s="236" t="s">
        <v>1037</v>
      </c>
      <c r="B430" s="233" t="s">
        <v>68</v>
      </c>
      <c r="C430" s="234" t="s">
        <v>65</v>
      </c>
      <c r="D430" s="234" t="s">
        <v>84</v>
      </c>
      <c r="E430" s="234" t="s">
        <v>325</v>
      </c>
      <c r="F430" s="234" t="s">
        <v>1062</v>
      </c>
      <c r="G430" s="235">
        <f>VLOOKUP(J430,'исх АС БЮДЖЕТ'!$A$10:$H$568,6,0)</f>
        <v>14650</v>
      </c>
      <c r="H430" s="234">
        <v>7410010010</v>
      </c>
      <c r="I430" s="313" t="str">
        <f t="shared" si="45"/>
        <v>7410010010</v>
      </c>
      <c r="J430" s="30" t="str">
        <f t="shared" si="46"/>
        <v>60501137410010010852</v>
      </c>
    </row>
    <row r="431" spans="1:10" s="4" customFormat="1">
      <c r="A431" s="232" t="s">
        <v>1038</v>
      </c>
      <c r="B431" s="233" t="s">
        <v>68</v>
      </c>
      <c r="C431" s="234" t="s">
        <v>65</v>
      </c>
      <c r="D431" s="234" t="s">
        <v>84</v>
      </c>
      <c r="E431" s="234" t="s">
        <v>325</v>
      </c>
      <c r="F431" s="234" t="s">
        <v>1066</v>
      </c>
      <c r="G431" s="235">
        <f>VLOOKUP(J431,'исх АС БЮДЖЕТ'!$A$10:$H$568,6,0)</f>
        <v>4000</v>
      </c>
      <c r="H431" s="234">
        <v>7410010010</v>
      </c>
      <c r="I431" s="313" t="str">
        <f t="shared" ref="I431" si="50">TEXT(H431,"0000000000")</f>
        <v>7410010010</v>
      </c>
      <c r="J431" s="30" t="str">
        <f t="shared" si="46"/>
        <v>60501137410010010853</v>
      </c>
    </row>
    <row r="432" spans="1:10" s="3" customFormat="1" ht="25.5">
      <c r="A432" s="232" t="s">
        <v>126</v>
      </c>
      <c r="B432" s="233" t="s">
        <v>68</v>
      </c>
      <c r="C432" s="234" t="s">
        <v>65</v>
      </c>
      <c r="D432" s="234" t="s">
        <v>84</v>
      </c>
      <c r="E432" s="234" t="s">
        <v>326</v>
      </c>
      <c r="F432" s="234" t="s">
        <v>58</v>
      </c>
      <c r="G432" s="235">
        <f>G433</f>
        <v>25220040</v>
      </c>
      <c r="H432" s="234">
        <v>7410010020</v>
      </c>
      <c r="I432" s="313" t="str">
        <f t="shared" si="45"/>
        <v>7410010020</v>
      </c>
      <c r="J432" s="30" t="str">
        <f t="shared" si="46"/>
        <v>60501137410010020000</v>
      </c>
    </row>
    <row r="433" spans="1:10" s="3" customFormat="1">
      <c r="A433" s="236" t="s">
        <v>107</v>
      </c>
      <c r="B433" s="233" t="s">
        <v>68</v>
      </c>
      <c r="C433" s="234" t="s">
        <v>65</v>
      </c>
      <c r="D433" s="234" t="s">
        <v>84</v>
      </c>
      <c r="E433" s="234" t="s">
        <v>326</v>
      </c>
      <c r="F433" s="234" t="s">
        <v>115</v>
      </c>
      <c r="G433" s="235">
        <f>SUM(G434:G435)</f>
        <v>25220040</v>
      </c>
      <c r="H433" s="234">
        <v>7410010020</v>
      </c>
      <c r="I433" s="313" t="str">
        <f t="shared" si="45"/>
        <v>7410010020</v>
      </c>
      <c r="J433" s="30" t="str">
        <f t="shared" si="46"/>
        <v>60501137410010020120</v>
      </c>
    </row>
    <row r="434" spans="1:10" s="4" customFormat="1">
      <c r="A434" s="236" t="s">
        <v>936</v>
      </c>
      <c r="B434" s="233" t="s">
        <v>68</v>
      </c>
      <c r="C434" s="234" t="s">
        <v>65</v>
      </c>
      <c r="D434" s="234" t="s">
        <v>84</v>
      </c>
      <c r="E434" s="234" t="s">
        <v>326</v>
      </c>
      <c r="F434" s="234" t="s">
        <v>1063</v>
      </c>
      <c r="G434" s="235">
        <f>VLOOKUP(J434,'исх АС БЮДЖЕТ'!$A$10:$H$568,6,0)</f>
        <v>19370230</v>
      </c>
      <c r="H434" s="234">
        <v>7410010020</v>
      </c>
      <c r="I434" s="313" t="str">
        <f t="shared" si="45"/>
        <v>7410010020</v>
      </c>
      <c r="J434" s="30" t="str">
        <f t="shared" si="46"/>
        <v>60501137410010020121</v>
      </c>
    </row>
    <row r="435" spans="1:10" s="4" customFormat="1" ht="38.25">
      <c r="A435" s="236" t="s">
        <v>939</v>
      </c>
      <c r="B435" s="233" t="s">
        <v>68</v>
      </c>
      <c r="C435" s="234" t="s">
        <v>65</v>
      </c>
      <c r="D435" s="234" t="s">
        <v>84</v>
      </c>
      <c r="E435" s="234" t="s">
        <v>326</v>
      </c>
      <c r="F435" s="234" t="s">
        <v>1060</v>
      </c>
      <c r="G435" s="235">
        <f>VLOOKUP(J435,'исх АС БЮДЖЕТ'!$A$10:$H$568,6,0)</f>
        <v>5849810</v>
      </c>
      <c r="H435" s="234">
        <v>7410010020</v>
      </c>
      <c r="I435" s="313" t="str">
        <f t="shared" si="45"/>
        <v>7410010020</v>
      </c>
      <c r="J435" s="30" t="str">
        <f t="shared" si="46"/>
        <v>60501137410010020129</v>
      </c>
    </row>
    <row r="436" spans="1:10" s="3" customFormat="1">
      <c r="A436" s="224" t="s">
        <v>499</v>
      </c>
      <c r="B436" s="225" t="s">
        <v>68</v>
      </c>
      <c r="C436" s="226" t="s">
        <v>50</v>
      </c>
      <c r="D436" s="226" t="s">
        <v>51</v>
      </c>
      <c r="E436" s="226" t="s">
        <v>196</v>
      </c>
      <c r="F436" s="226" t="s">
        <v>58</v>
      </c>
      <c r="G436" s="227">
        <f t="shared" ref="G436:G440" si="51">G437</f>
        <v>1096200</v>
      </c>
      <c r="H436" s="226">
        <v>0</v>
      </c>
      <c r="I436" s="313" t="str">
        <f t="shared" si="45"/>
        <v>0000000000</v>
      </c>
      <c r="J436" s="30" t="str">
        <f t="shared" si="46"/>
        <v>60508000000000000000</v>
      </c>
    </row>
    <row r="437" spans="1:10" s="3" customFormat="1">
      <c r="A437" s="228" t="s">
        <v>27</v>
      </c>
      <c r="B437" s="229" t="s">
        <v>68</v>
      </c>
      <c r="C437" s="230" t="s">
        <v>50</v>
      </c>
      <c r="D437" s="230" t="s">
        <v>65</v>
      </c>
      <c r="E437" s="230" t="s">
        <v>196</v>
      </c>
      <c r="F437" s="230" t="s">
        <v>58</v>
      </c>
      <c r="G437" s="231">
        <f t="shared" si="51"/>
        <v>1096200</v>
      </c>
      <c r="H437" s="230">
        <v>0</v>
      </c>
      <c r="I437" s="313" t="str">
        <f t="shared" si="45"/>
        <v>0000000000</v>
      </c>
      <c r="J437" s="30" t="str">
        <f t="shared" si="46"/>
        <v>60508010000000000000</v>
      </c>
    </row>
    <row r="438" spans="1:10" s="3" customFormat="1">
      <c r="A438" s="232" t="s">
        <v>739</v>
      </c>
      <c r="B438" s="241" t="s">
        <v>68</v>
      </c>
      <c r="C438" s="242" t="s">
        <v>50</v>
      </c>
      <c r="D438" s="242" t="s">
        <v>65</v>
      </c>
      <c r="E438" s="242" t="s">
        <v>277</v>
      </c>
      <c r="F438" s="242" t="s">
        <v>58</v>
      </c>
      <c r="G438" s="243">
        <f t="shared" si="51"/>
        <v>1096200</v>
      </c>
      <c r="H438" s="242">
        <v>700000000</v>
      </c>
      <c r="I438" s="313" t="str">
        <f t="shared" si="45"/>
        <v>0700000000</v>
      </c>
      <c r="J438" s="30" t="str">
        <f t="shared" si="46"/>
        <v>60508010700000000000</v>
      </c>
    </row>
    <row r="439" spans="1:10" s="3" customFormat="1" ht="38.25">
      <c r="A439" s="232" t="s">
        <v>194</v>
      </c>
      <c r="B439" s="241" t="s">
        <v>68</v>
      </c>
      <c r="C439" s="242" t="s">
        <v>50</v>
      </c>
      <c r="D439" s="242" t="s">
        <v>65</v>
      </c>
      <c r="E439" s="242" t="s">
        <v>278</v>
      </c>
      <c r="F439" s="242" t="s">
        <v>58</v>
      </c>
      <c r="G439" s="243">
        <f t="shared" si="51"/>
        <v>1096200</v>
      </c>
      <c r="H439" s="242">
        <v>710000000</v>
      </c>
      <c r="I439" s="313" t="str">
        <f t="shared" si="45"/>
        <v>0710000000</v>
      </c>
      <c r="J439" s="30" t="str">
        <f t="shared" si="46"/>
        <v>60508010710000000000</v>
      </c>
    </row>
    <row r="440" spans="1:10" s="3" customFormat="1" ht="51">
      <c r="A440" s="232" t="s">
        <v>605</v>
      </c>
      <c r="B440" s="241" t="s">
        <v>68</v>
      </c>
      <c r="C440" s="242" t="s">
        <v>50</v>
      </c>
      <c r="D440" s="242" t="s">
        <v>65</v>
      </c>
      <c r="E440" s="242" t="s">
        <v>319</v>
      </c>
      <c r="F440" s="242" t="s">
        <v>58</v>
      </c>
      <c r="G440" s="243">
        <f t="shared" si="51"/>
        <v>1096200</v>
      </c>
      <c r="H440" s="242">
        <v>710100000</v>
      </c>
      <c r="I440" s="313" t="str">
        <f t="shared" si="45"/>
        <v>0710100000</v>
      </c>
      <c r="J440" s="30" t="str">
        <f t="shared" si="46"/>
        <v>60508010710100000000</v>
      </c>
    </row>
    <row r="441" spans="1:10" s="3" customFormat="1">
      <c r="A441" s="232" t="s">
        <v>161</v>
      </c>
      <c r="B441" s="241" t="s">
        <v>68</v>
      </c>
      <c r="C441" s="242" t="s">
        <v>50</v>
      </c>
      <c r="D441" s="242" t="s">
        <v>65</v>
      </c>
      <c r="E441" s="242" t="s">
        <v>320</v>
      </c>
      <c r="F441" s="242" t="s">
        <v>58</v>
      </c>
      <c r="G441" s="243">
        <f>G442</f>
        <v>1096200</v>
      </c>
      <c r="H441" s="242">
        <v>710120060</v>
      </c>
      <c r="I441" s="313" t="str">
        <f t="shared" si="45"/>
        <v>0710120060</v>
      </c>
      <c r="J441" s="30" t="str">
        <f t="shared" si="46"/>
        <v>60508010710120060000</v>
      </c>
    </row>
    <row r="442" spans="1:10" s="3" customFormat="1" ht="25.5">
      <c r="A442" s="232" t="s">
        <v>108</v>
      </c>
      <c r="B442" s="241" t="s">
        <v>68</v>
      </c>
      <c r="C442" s="242" t="s">
        <v>50</v>
      </c>
      <c r="D442" s="242" t="s">
        <v>65</v>
      </c>
      <c r="E442" s="242" t="s">
        <v>320</v>
      </c>
      <c r="F442" s="242" t="s">
        <v>116</v>
      </c>
      <c r="G442" s="235">
        <f>G443</f>
        <v>1096200</v>
      </c>
      <c r="H442" s="242">
        <v>710120060</v>
      </c>
      <c r="I442" s="313" t="str">
        <f t="shared" si="45"/>
        <v>0710120060</v>
      </c>
      <c r="J442" s="30" t="str">
        <f t="shared" si="46"/>
        <v>60508010710120060240</v>
      </c>
    </row>
    <row r="443" spans="1:10" s="4" customFormat="1" ht="25.5">
      <c r="A443" s="236" t="s">
        <v>973</v>
      </c>
      <c r="B443" s="241" t="s">
        <v>68</v>
      </c>
      <c r="C443" s="242" t="s">
        <v>50</v>
      </c>
      <c r="D443" s="242" t="s">
        <v>65</v>
      </c>
      <c r="E443" s="242" t="s">
        <v>320</v>
      </c>
      <c r="F443" s="242" t="s">
        <v>1043</v>
      </c>
      <c r="G443" s="235">
        <f>VLOOKUP(J443,'исх АС БЮДЖЕТ'!$A$10:$H$568,6,0)</f>
        <v>1096200</v>
      </c>
      <c r="H443" s="242">
        <v>710120060</v>
      </c>
      <c r="I443" s="313" t="str">
        <f t="shared" si="45"/>
        <v>0710120060</v>
      </c>
      <c r="J443" s="30" t="str">
        <f t="shared" si="46"/>
        <v>60508010710120060244</v>
      </c>
    </row>
    <row r="444" spans="1:10" s="116" customFormat="1">
      <c r="A444" s="224" t="s">
        <v>49</v>
      </c>
      <c r="B444" s="225" t="s">
        <v>68</v>
      </c>
      <c r="C444" s="226" t="s">
        <v>14</v>
      </c>
      <c r="D444" s="226" t="s">
        <v>51</v>
      </c>
      <c r="E444" s="226" t="s">
        <v>196</v>
      </c>
      <c r="F444" s="226" t="s">
        <v>58</v>
      </c>
      <c r="G444" s="227">
        <f t="shared" ref="G444:G449" si="52">G445</f>
        <v>2647440</v>
      </c>
      <c r="H444" s="226">
        <v>0</v>
      </c>
      <c r="I444" s="313" t="str">
        <f t="shared" si="45"/>
        <v>0000000000</v>
      </c>
      <c r="J444" s="30" t="str">
        <f t="shared" si="46"/>
        <v>60510000000000000000</v>
      </c>
    </row>
    <row r="445" spans="1:10" s="4" customFormat="1">
      <c r="A445" s="228" t="s">
        <v>63</v>
      </c>
      <c r="B445" s="229" t="s">
        <v>68</v>
      </c>
      <c r="C445" s="230" t="s">
        <v>14</v>
      </c>
      <c r="D445" s="230" t="s">
        <v>53</v>
      </c>
      <c r="E445" s="230" t="s">
        <v>196</v>
      </c>
      <c r="F445" s="230" t="s">
        <v>58</v>
      </c>
      <c r="G445" s="231">
        <f t="shared" si="52"/>
        <v>2647440</v>
      </c>
      <c r="H445" s="230">
        <v>0</v>
      </c>
      <c r="I445" s="313" t="str">
        <f t="shared" si="45"/>
        <v>0000000000</v>
      </c>
      <c r="J445" s="30" t="str">
        <f t="shared" si="46"/>
        <v>60510030000000000000</v>
      </c>
    </row>
    <row r="446" spans="1:10" s="3" customFormat="1">
      <c r="A446" s="248" t="s">
        <v>727</v>
      </c>
      <c r="B446" s="233" t="s">
        <v>68</v>
      </c>
      <c r="C446" s="234" t="s">
        <v>14</v>
      </c>
      <c r="D446" s="234" t="s">
        <v>53</v>
      </c>
      <c r="E446" s="234" t="s">
        <v>327</v>
      </c>
      <c r="F446" s="234" t="s">
        <v>58</v>
      </c>
      <c r="G446" s="235">
        <f t="shared" si="52"/>
        <v>2647440</v>
      </c>
      <c r="H446" s="234">
        <v>300000000</v>
      </c>
      <c r="I446" s="313" t="str">
        <f t="shared" si="45"/>
        <v>0300000000</v>
      </c>
      <c r="J446" s="30" t="str">
        <f t="shared" si="46"/>
        <v>60510030300000000000</v>
      </c>
    </row>
    <row r="447" spans="1:10" s="3" customFormat="1" ht="38.25">
      <c r="A447" s="248" t="s">
        <v>842</v>
      </c>
      <c r="B447" s="233" t="s">
        <v>68</v>
      </c>
      <c r="C447" s="234" t="s">
        <v>14</v>
      </c>
      <c r="D447" s="234" t="s">
        <v>53</v>
      </c>
      <c r="E447" s="234" t="s">
        <v>328</v>
      </c>
      <c r="F447" s="234" t="s">
        <v>58</v>
      </c>
      <c r="G447" s="235">
        <f t="shared" si="52"/>
        <v>2647440</v>
      </c>
      <c r="H447" s="234">
        <v>320000000</v>
      </c>
      <c r="I447" s="313" t="str">
        <f t="shared" si="45"/>
        <v>0320000000</v>
      </c>
      <c r="J447" s="30" t="str">
        <f t="shared" si="46"/>
        <v>60510030320000000000</v>
      </c>
    </row>
    <row r="448" spans="1:10" s="3" customFormat="1" ht="25.5">
      <c r="A448" s="232" t="s">
        <v>635</v>
      </c>
      <c r="B448" s="233" t="s">
        <v>68</v>
      </c>
      <c r="C448" s="234" t="s">
        <v>14</v>
      </c>
      <c r="D448" s="234" t="s">
        <v>53</v>
      </c>
      <c r="E448" s="234" t="s">
        <v>560</v>
      </c>
      <c r="F448" s="234" t="s">
        <v>58</v>
      </c>
      <c r="G448" s="235">
        <f t="shared" si="52"/>
        <v>2647440</v>
      </c>
      <c r="H448" s="234">
        <v>320200000</v>
      </c>
      <c r="I448" s="313" t="str">
        <f t="shared" si="45"/>
        <v>0320200000</v>
      </c>
      <c r="J448" s="30" t="str">
        <f t="shared" si="46"/>
        <v>60510030320200000000</v>
      </c>
    </row>
    <row r="449" spans="1:10" s="3" customFormat="1" ht="25.5">
      <c r="A449" s="232" t="s">
        <v>329</v>
      </c>
      <c r="B449" s="233" t="s">
        <v>68</v>
      </c>
      <c r="C449" s="234" t="s">
        <v>14</v>
      </c>
      <c r="D449" s="234" t="s">
        <v>53</v>
      </c>
      <c r="E449" s="234" t="s">
        <v>330</v>
      </c>
      <c r="F449" s="234" t="s">
        <v>58</v>
      </c>
      <c r="G449" s="235">
        <f t="shared" si="52"/>
        <v>2647440</v>
      </c>
      <c r="H449" s="234">
        <v>320280240</v>
      </c>
      <c r="I449" s="313" t="str">
        <f t="shared" si="45"/>
        <v>0320280240</v>
      </c>
      <c r="J449" s="30" t="str">
        <f t="shared" si="46"/>
        <v>60510030320280240000</v>
      </c>
    </row>
    <row r="450" spans="1:10" s="3" customFormat="1" ht="38.25">
      <c r="A450" s="237" t="s">
        <v>561</v>
      </c>
      <c r="B450" s="233" t="s">
        <v>68</v>
      </c>
      <c r="C450" s="234" t="s">
        <v>14</v>
      </c>
      <c r="D450" s="234" t="s">
        <v>53</v>
      </c>
      <c r="E450" s="234" t="s">
        <v>330</v>
      </c>
      <c r="F450" s="234" t="s">
        <v>101</v>
      </c>
      <c r="G450" s="235">
        <f>G451</f>
        <v>2647440</v>
      </c>
      <c r="H450" s="234">
        <v>320280240</v>
      </c>
      <c r="I450" s="313" t="str">
        <f t="shared" si="45"/>
        <v>0320280240</v>
      </c>
      <c r="J450" s="30" t="str">
        <f t="shared" si="46"/>
        <v>60510030320280240810</v>
      </c>
    </row>
    <row r="451" spans="1:10" s="3" customFormat="1" ht="38.25">
      <c r="A451" s="232" t="s">
        <v>1047</v>
      </c>
      <c r="B451" s="233" t="s">
        <v>68</v>
      </c>
      <c r="C451" s="234" t="s">
        <v>14</v>
      </c>
      <c r="D451" s="234" t="s">
        <v>53</v>
      </c>
      <c r="E451" s="234" t="s">
        <v>330</v>
      </c>
      <c r="F451" s="234" t="s">
        <v>1050</v>
      </c>
      <c r="G451" s="235">
        <f>VLOOKUP(J451,'исх АС БЮДЖЕТ'!$A$10:$H$568,6,0)</f>
        <v>2647440</v>
      </c>
      <c r="H451" s="234">
        <v>320280240</v>
      </c>
      <c r="I451" s="313" t="str">
        <f t="shared" si="45"/>
        <v>0320280240</v>
      </c>
      <c r="J451" s="30" t="str">
        <f t="shared" si="46"/>
        <v>60510030320280240811</v>
      </c>
    </row>
    <row r="452" spans="1:10" s="71" customFormat="1">
      <c r="A452" s="249"/>
      <c r="B452" s="239"/>
      <c r="C452" s="240"/>
      <c r="D452" s="240"/>
      <c r="E452" s="240"/>
      <c r="F452" s="240"/>
      <c r="G452" s="235"/>
      <c r="H452" s="240"/>
      <c r="I452" s="313" t="str">
        <f t="shared" si="45"/>
        <v>0000000000</v>
      </c>
      <c r="J452" s="30" t="str">
        <f t="shared" si="46"/>
        <v>0000000000</v>
      </c>
    </row>
    <row r="453" spans="1:10" s="30" customFormat="1">
      <c r="A453" s="219" t="s">
        <v>179</v>
      </c>
      <c r="B453" s="220" t="s">
        <v>69</v>
      </c>
      <c r="C453" s="221" t="s">
        <v>51</v>
      </c>
      <c r="D453" s="221" t="s">
        <v>51</v>
      </c>
      <c r="E453" s="221" t="s">
        <v>196</v>
      </c>
      <c r="F453" s="221" t="s">
        <v>58</v>
      </c>
      <c r="G453" s="222">
        <f>G454+G657</f>
        <v>3422930324.0199995</v>
      </c>
      <c r="H453" s="221">
        <v>0</v>
      </c>
      <c r="I453" s="313" t="str">
        <f t="shared" si="45"/>
        <v>0000000000</v>
      </c>
      <c r="J453" s="30" t="str">
        <f t="shared" si="46"/>
        <v>60600000000000000000</v>
      </c>
    </row>
    <row r="454" spans="1:10" s="30" customFormat="1">
      <c r="A454" s="224" t="s">
        <v>70</v>
      </c>
      <c r="B454" s="225" t="s">
        <v>69</v>
      </c>
      <c r="C454" s="226" t="s">
        <v>71</v>
      </c>
      <c r="D454" s="226" t="s">
        <v>51</v>
      </c>
      <c r="E454" s="226" t="s">
        <v>196</v>
      </c>
      <c r="F454" s="226" t="s">
        <v>58</v>
      </c>
      <c r="G454" s="227">
        <f>G455+G492+G586+G605+G564</f>
        <v>3307901134.0199995</v>
      </c>
      <c r="H454" s="226">
        <v>0</v>
      </c>
      <c r="I454" s="313" t="str">
        <f t="shared" si="45"/>
        <v>0000000000</v>
      </c>
      <c r="J454" s="30" t="str">
        <f t="shared" si="46"/>
        <v>60607000000000000000</v>
      </c>
    </row>
    <row r="455" spans="1:10" s="30" customFormat="1">
      <c r="A455" s="228" t="s">
        <v>72</v>
      </c>
      <c r="B455" s="229" t="s">
        <v>69</v>
      </c>
      <c r="C455" s="230" t="s">
        <v>71</v>
      </c>
      <c r="D455" s="230" t="s">
        <v>65</v>
      </c>
      <c r="E455" s="230" t="s">
        <v>196</v>
      </c>
      <c r="F455" s="230" t="s">
        <v>58</v>
      </c>
      <c r="G455" s="231">
        <f>G456+G484</f>
        <v>1433504245.48</v>
      </c>
      <c r="H455" s="230">
        <v>0</v>
      </c>
      <c r="I455" s="313" t="str">
        <f t="shared" si="45"/>
        <v>0000000000</v>
      </c>
      <c r="J455" s="30" t="str">
        <f t="shared" si="46"/>
        <v>60607010000000000000</v>
      </c>
    </row>
    <row r="456" spans="1:10" s="30" customFormat="1">
      <c r="A456" s="244" t="s">
        <v>723</v>
      </c>
      <c r="B456" s="233" t="s">
        <v>69</v>
      </c>
      <c r="C456" s="234" t="s">
        <v>71</v>
      </c>
      <c r="D456" s="234" t="s">
        <v>65</v>
      </c>
      <c r="E456" s="234" t="s">
        <v>331</v>
      </c>
      <c r="F456" s="234" t="s">
        <v>58</v>
      </c>
      <c r="G456" s="235">
        <f>G457</f>
        <v>1429244675.48</v>
      </c>
      <c r="H456" s="234">
        <v>100000000</v>
      </c>
      <c r="I456" s="313" t="str">
        <f t="shared" si="45"/>
        <v>0100000000</v>
      </c>
      <c r="J456" s="30" t="str">
        <f t="shared" si="46"/>
        <v>60607010100000000000</v>
      </c>
    </row>
    <row r="457" spans="1:10" s="30" customFormat="1" ht="25.5">
      <c r="A457" s="244" t="s">
        <v>860</v>
      </c>
      <c r="B457" s="233" t="s">
        <v>69</v>
      </c>
      <c r="C457" s="234" t="s">
        <v>71</v>
      </c>
      <c r="D457" s="234" t="s">
        <v>65</v>
      </c>
      <c r="E457" s="234" t="s">
        <v>332</v>
      </c>
      <c r="F457" s="234" t="s">
        <v>58</v>
      </c>
      <c r="G457" s="235">
        <f>G458+G477</f>
        <v>1429244675.48</v>
      </c>
      <c r="H457" s="234">
        <v>110000000</v>
      </c>
      <c r="I457" s="313" t="str">
        <f t="shared" si="45"/>
        <v>0110000000</v>
      </c>
      <c r="J457" s="30" t="str">
        <f t="shared" si="46"/>
        <v>60607010110000000000</v>
      </c>
    </row>
    <row r="458" spans="1:10" s="30" customFormat="1" ht="25.5">
      <c r="A458" s="244" t="s">
        <v>607</v>
      </c>
      <c r="B458" s="233" t="s">
        <v>69</v>
      </c>
      <c r="C458" s="234" t="s">
        <v>71</v>
      </c>
      <c r="D458" s="234" t="s">
        <v>65</v>
      </c>
      <c r="E458" s="234" t="s">
        <v>333</v>
      </c>
      <c r="F458" s="234" t="s">
        <v>58</v>
      </c>
      <c r="G458" s="235">
        <f>G459+G465+G472</f>
        <v>1393414635.48</v>
      </c>
      <c r="H458" s="234">
        <v>110100000</v>
      </c>
      <c r="I458" s="313" t="str">
        <f t="shared" si="45"/>
        <v>0110100000</v>
      </c>
      <c r="J458" s="30" t="str">
        <f t="shared" si="46"/>
        <v>60607010110100000000</v>
      </c>
    </row>
    <row r="459" spans="1:10" s="30" customFormat="1">
      <c r="A459" s="244" t="s">
        <v>247</v>
      </c>
      <c r="B459" s="233" t="s">
        <v>69</v>
      </c>
      <c r="C459" s="234" t="s">
        <v>71</v>
      </c>
      <c r="D459" s="234" t="s">
        <v>65</v>
      </c>
      <c r="E459" s="234" t="s">
        <v>334</v>
      </c>
      <c r="F459" s="234" t="s">
        <v>58</v>
      </c>
      <c r="G459" s="235">
        <f>G460+G463</f>
        <v>686872576.08000004</v>
      </c>
      <c r="H459" s="234">
        <v>110111010</v>
      </c>
      <c r="I459" s="313" t="str">
        <f t="shared" si="45"/>
        <v>0110111010</v>
      </c>
      <c r="J459" s="30" t="str">
        <f t="shared" si="46"/>
        <v>60607010110111010000</v>
      </c>
    </row>
    <row r="460" spans="1:10" s="30" customFormat="1">
      <c r="A460" s="244" t="s">
        <v>92</v>
      </c>
      <c r="B460" s="233" t="s">
        <v>69</v>
      </c>
      <c r="C460" s="234" t="s">
        <v>71</v>
      </c>
      <c r="D460" s="234" t="s">
        <v>65</v>
      </c>
      <c r="E460" s="234" t="s">
        <v>334</v>
      </c>
      <c r="F460" s="234" t="s">
        <v>138</v>
      </c>
      <c r="G460" s="235">
        <f>SUM(G461:G462)</f>
        <v>657064200.08000004</v>
      </c>
      <c r="H460" s="234">
        <v>110111010</v>
      </c>
      <c r="I460" s="313" t="str">
        <f t="shared" si="45"/>
        <v>0110111010</v>
      </c>
      <c r="J460" s="30" t="str">
        <f t="shared" si="46"/>
        <v>60607010110111010610</v>
      </c>
    </row>
    <row r="461" spans="1:10" s="83" customFormat="1" ht="38.25">
      <c r="A461" s="236" t="s">
        <v>1015</v>
      </c>
      <c r="B461" s="233" t="s">
        <v>69</v>
      </c>
      <c r="C461" s="234" t="s">
        <v>71</v>
      </c>
      <c r="D461" s="234" t="s">
        <v>65</v>
      </c>
      <c r="E461" s="234" t="s">
        <v>334</v>
      </c>
      <c r="F461" s="234" t="s">
        <v>67</v>
      </c>
      <c r="G461" s="235">
        <f>VLOOKUP(J461,'исх АС БЮДЖЕТ'!$A$10:$H$568,6,0)</f>
        <v>653702600.08000004</v>
      </c>
      <c r="H461" s="234">
        <v>110111010</v>
      </c>
      <c r="I461" s="313" t="str">
        <f t="shared" si="45"/>
        <v>0110111010</v>
      </c>
      <c r="J461" s="30" t="str">
        <f t="shared" si="46"/>
        <v>60607010110111010611</v>
      </c>
    </row>
    <row r="462" spans="1:10" s="83" customFormat="1">
      <c r="A462" s="236" t="s">
        <v>1016</v>
      </c>
      <c r="B462" s="233" t="s">
        <v>69</v>
      </c>
      <c r="C462" s="234" t="s">
        <v>71</v>
      </c>
      <c r="D462" s="234" t="s">
        <v>65</v>
      </c>
      <c r="E462" s="234" t="s">
        <v>334</v>
      </c>
      <c r="F462" s="234" t="s">
        <v>1046</v>
      </c>
      <c r="G462" s="235">
        <f>VLOOKUP(J462,'исх АС БЮДЖЕТ'!$A$10:$H$568,6,0)</f>
        <v>3361600</v>
      </c>
      <c r="H462" s="234">
        <v>110111010</v>
      </c>
      <c r="I462" s="313" t="str">
        <f t="shared" si="45"/>
        <v>0110111010</v>
      </c>
      <c r="J462" s="30" t="str">
        <f t="shared" si="46"/>
        <v>60607010110111010612</v>
      </c>
    </row>
    <row r="463" spans="1:10" s="30" customFormat="1">
      <c r="A463" s="244" t="s">
        <v>93</v>
      </c>
      <c r="B463" s="233" t="s">
        <v>69</v>
      </c>
      <c r="C463" s="234" t="s">
        <v>71</v>
      </c>
      <c r="D463" s="234" t="s">
        <v>65</v>
      </c>
      <c r="E463" s="234" t="s">
        <v>334</v>
      </c>
      <c r="F463" s="234" t="s">
        <v>20</v>
      </c>
      <c r="G463" s="235">
        <f>G464</f>
        <v>29808376</v>
      </c>
      <c r="H463" s="234">
        <v>110111010</v>
      </c>
      <c r="I463" s="313" t="str">
        <f t="shared" ref="I463:I529" si="53">TEXT(H463,"0000000000")</f>
        <v>0110111010</v>
      </c>
      <c r="J463" s="30" t="str">
        <f t="shared" ref="J463:J529" si="54">CONCATENATE(B463,C463,D463,I463,F463)</f>
        <v>60607010110111010620</v>
      </c>
    </row>
    <row r="464" spans="1:10" s="83" customFormat="1" ht="38.25">
      <c r="A464" s="236" t="s">
        <v>1018</v>
      </c>
      <c r="B464" s="233" t="s">
        <v>69</v>
      </c>
      <c r="C464" s="234" t="s">
        <v>71</v>
      </c>
      <c r="D464" s="234" t="s">
        <v>65</v>
      </c>
      <c r="E464" s="234" t="s">
        <v>334</v>
      </c>
      <c r="F464" s="234" t="s">
        <v>16</v>
      </c>
      <c r="G464" s="235">
        <f>VLOOKUP(J464,'исх АС БЮДЖЕТ'!$A$10:$H$568,6,0)</f>
        <v>29808376</v>
      </c>
      <c r="H464" s="234">
        <v>110111010</v>
      </c>
      <c r="I464" s="313" t="str">
        <f t="shared" si="53"/>
        <v>0110111010</v>
      </c>
      <c r="J464" s="30" t="str">
        <f t="shared" si="54"/>
        <v>60607010110111010621</v>
      </c>
    </row>
    <row r="465" spans="1:10" s="30" customFormat="1" ht="63.75">
      <c r="A465" s="232" t="s">
        <v>335</v>
      </c>
      <c r="B465" s="233" t="s">
        <v>69</v>
      </c>
      <c r="C465" s="234" t="s">
        <v>71</v>
      </c>
      <c r="D465" s="234" t="s">
        <v>65</v>
      </c>
      <c r="E465" s="234" t="s">
        <v>336</v>
      </c>
      <c r="F465" s="234" t="s">
        <v>58</v>
      </c>
      <c r="G465" s="235">
        <f>G466+G468+G470</f>
        <v>705360889.79999995</v>
      </c>
      <c r="H465" s="234">
        <v>110177170</v>
      </c>
      <c r="I465" s="313" t="str">
        <f t="shared" si="53"/>
        <v>0110177170</v>
      </c>
      <c r="J465" s="30" t="str">
        <f t="shared" si="54"/>
        <v>60607010110177170000</v>
      </c>
    </row>
    <row r="466" spans="1:10" s="30" customFormat="1">
      <c r="A466" s="244" t="s">
        <v>92</v>
      </c>
      <c r="B466" s="233" t="s">
        <v>69</v>
      </c>
      <c r="C466" s="234" t="s">
        <v>71</v>
      </c>
      <c r="D466" s="234" t="s">
        <v>65</v>
      </c>
      <c r="E466" s="234" t="s">
        <v>336</v>
      </c>
      <c r="F466" s="234" t="s">
        <v>138</v>
      </c>
      <c r="G466" s="235">
        <f>G467</f>
        <v>673180779.79999995</v>
      </c>
      <c r="H466" s="234">
        <v>110177170</v>
      </c>
      <c r="I466" s="313" t="str">
        <f t="shared" si="53"/>
        <v>0110177170</v>
      </c>
      <c r="J466" s="30" t="str">
        <f t="shared" si="54"/>
        <v>60607010110177170610</v>
      </c>
    </row>
    <row r="467" spans="1:10" s="83" customFormat="1" ht="38.25">
      <c r="A467" s="236" t="s">
        <v>1015</v>
      </c>
      <c r="B467" s="233" t="s">
        <v>69</v>
      </c>
      <c r="C467" s="234" t="s">
        <v>71</v>
      </c>
      <c r="D467" s="234" t="s">
        <v>65</v>
      </c>
      <c r="E467" s="234" t="s">
        <v>336</v>
      </c>
      <c r="F467" s="234" t="s">
        <v>67</v>
      </c>
      <c r="G467" s="235">
        <f>VLOOKUP(J467,'исх АС БЮДЖЕТ'!$A$10:$H$568,6,0)</f>
        <v>673180779.79999995</v>
      </c>
      <c r="H467" s="234">
        <v>110177170</v>
      </c>
      <c r="I467" s="313" t="str">
        <f t="shared" si="53"/>
        <v>0110177170</v>
      </c>
      <c r="J467" s="30" t="str">
        <f t="shared" si="54"/>
        <v>60607010110177170611</v>
      </c>
    </row>
    <row r="468" spans="1:10" s="30" customFormat="1">
      <c r="A468" s="244" t="s">
        <v>93</v>
      </c>
      <c r="B468" s="233" t="s">
        <v>69</v>
      </c>
      <c r="C468" s="234" t="s">
        <v>71</v>
      </c>
      <c r="D468" s="234" t="s">
        <v>65</v>
      </c>
      <c r="E468" s="234" t="s">
        <v>336</v>
      </c>
      <c r="F468" s="234" t="s">
        <v>20</v>
      </c>
      <c r="G468" s="235">
        <f>G469</f>
        <v>27575850</v>
      </c>
      <c r="H468" s="234">
        <v>110177170</v>
      </c>
      <c r="I468" s="313" t="str">
        <f t="shared" si="53"/>
        <v>0110177170</v>
      </c>
      <c r="J468" s="30" t="str">
        <f t="shared" si="54"/>
        <v>60607010110177170620</v>
      </c>
    </row>
    <row r="469" spans="1:10" s="83" customFormat="1" ht="38.25">
      <c r="A469" s="236" t="s">
        <v>1018</v>
      </c>
      <c r="B469" s="233" t="s">
        <v>69</v>
      </c>
      <c r="C469" s="234" t="s">
        <v>71</v>
      </c>
      <c r="D469" s="234" t="s">
        <v>65</v>
      </c>
      <c r="E469" s="234" t="s">
        <v>336</v>
      </c>
      <c r="F469" s="234" t="s">
        <v>16</v>
      </c>
      <c r="G469" s="235">
        <f>VLOOKUP(J469,'исх АС БЮДЖЕТ'!$A$10:$H$568,6,0)</f>
        <v>27575850</v>
      </c>
      <c r="H469" s="234">
        <v>110177170</v>
      </c>
      <c r="I469" s="313" t="str">
        <f t="shared" si="53"/>
        <v>0110177170</v>
      </c>
      <c r="J469" s="30" t="str">
        <f t="shared" si="54"/>
        <v>60607010110177170621</v>
      </c>
    </row>
    <row r="470" spans="1:10" s="30" customFormat="1" ht="25.5">
      <c r="A470" s="232" t="s">
        <v>111</v>
      </c>
      <c r="B470" s="233" t="s">
        <v>69</v>
      </c>
      <c r="C470" s="234" t="s">
        <v>71</v>
      </c>
      <c r="D470" s="234" t="s">
        <v>65</v>
      </c>
      <c r="E470" s="234" t="s">
        <v>336</v>
      </c>
      <c r="F470" s="234" t="s">
        <v>104</v>
      </c>
      <c r="G470" s="235">
        <f>G471</f>
        <v>4604260</v>
      </c>
      <c r="H470" s="234">
        <v>110177170</v>
      </c>
      <c r="I470" s="313" t="str">
        <f t="shared" si="53"/>
        <v>0110177170</v>
      </c>
      <c r="J470" s="30" t="str">
        <f t="shared" si="54"/>
        <v>60607010110177170630</v>
      </c>
    </row>
    <row r="471" spans="1:10" s="83" customFormat="1" ht="63.75">
      <c r="A471" s="236" t="s">
        <v>1048</v>
      </c>
      <c r="B471" s="233" t="s">
        <v>69</v>
      </c>
      <c r="C471" s="234" t="s">
        <v>71</v>
      </c>
      <c r="D471" s="234" t="s">
        <v>65</v>
      </c>
      <c r="E471" s="234" t="s">
        <v>336</v>
      </c>
      <c r="F471" s="234" t="s">
        <v>1055</v>
      </c>
      <c r="G471" s="235">
        <f>VLOOKUP(J471,'исх АС БЮДЖЕТ'!$A$10:$H$568,6,0)</f>
        <v>4604260</v>
      </c>
      <c r="H471" s="234">
        <v>110177170</v>
      </c>
      <c r="I471" s="313" t="str">
        <f t="shared" si="53"/>
        <v>0110177170</v>
      </c>
      <c r="J471" s="30" t="str">
        <f t="shared" si="54"/>
        <v>60607010110177170632</v>
      </c>
    </row>
    <row r="472" spans="1:10" s="83" customFormat="1" ht="25.5">
      <c r="A472" s="236" t="s">
        <v>1132</v>
      </c>
      <c r="B472" s="233" t="s">
        <v>69</v>
      </c>
      <c r="C472" s="234" t="s">
        <v>71</v>
      </c>
      <c r="D472" s="234" t="s">
        <v>65</v>
      </c>
      <c r="E472" s="234" t="s">
        <v>1133</v>
      </c>
      <c r="F472" s="234" t="s">
        <v>58</v>
      </c>
      <c r="G472" s="235">
        <f>G473+G475</f>
        <v>1181169.5999999999</v>
      </c>
      <c r="H472" s="234">
        <v>110177250</v>
      </c>
      <c r="I472" s="313" t="str">
        <f t="shared" si="53"/>
        <v>0110177250</v>
      </c>
      <c r="J472" s="30" t="str">
        <f t="shared" si="54"/>
        <v>60607010110177250000</v>
      </c>
    </row>
    <row r="473" spans="1:10" s="83" customFormat="1">
      <c r="A473" s="236" t="s">
        <v>92</v>
      </c>
      <c r="B473" s="233" t="s">
        <v>69</v>
      </c>
      <c r="C473" s="234" t="s">
        <v>71</v>
      </c>
      <c r="D473" s="234" t="s">
        <v>65</v>
      </c>
      <c r="E473" s="234" t="s">
        <v>1133</v>
      </c>
      <c r="F473" s="234" t="s">
        <v>138</v>
      </c>
      <c r="G473" s="235">
        <f>G474</f>
        <v>1117892.3999999999</v>
      </c>
      <c r="H473" s="234">
        <v>110177250</v>
      </c>
      <c r="I473" s="313" t="str">
        <f t="shared" si="53"/>
        <v>0110177250</v>
      </c>
      <c r="J473" s="30" t="str">
        <f t="shared" si="54"/>
        <v>60607010110177250610</v>
      </c>
    </row>
    <row r="474" spans="1:10" s="83" customFormat="1" ht="38.25">
      <c r="A474" s="236" t="s">
        <v>1015</v>
      </c>
      <c r="B474" s="233" t="s">
        <v>69</v>
      </c>
      <c r="C474" s="234" t="s">
        <v>71</v>
      </c>
      <c r="D474" s="234" t="s">
        <v>65</v>
      </c>
      <c r="E474" s="234" t="s">
        <v>1133</v>
      </c>
      <c r="F474" s="234" t="s">
        <v>67</v>
      </c>
      <c r="G474" s="235">
        <f>VLOOKUP(J474,'исх АС БЮДЖЕТ'!$A$10:$H$568,6,0)</f>
        <v>1117892.3999999999</v>
      </c>
      <c r="H474" s="234">
        <v>110177250</v>
      </c>
      <c r="I474" s="313" t="str">
        <f t="shared" si="53"/>
        <v>0110177250</v>
      </c>
      <c r="J474" s="30" t="str">
        <f t="shared" si="54"/>
        <v>60607010110177250611</v>
      </c>
    </row>
    <row r="475" spans="1:10" s="83" customFormat="1">
      <c r="A475" s="236" t="s">
        <v>93</v>
      </c>
      <c r="B475" s="233" t="s">
        <v>69</v>
      </c>
      <c r="C475" s="234" t="s">
        <v>71</v>
      </c>
      <c r="D475" s="234" t="s">
        <v>65</v>
      </c>
      <c r="E475" s="234" t="s">
        <v>1133</v>
      </c>
      <c r="F475" s="234" t="s">
        <v>20</v>
      </c>
      <c r="G475" s="235">
        <f>G476</f>
        <v>63277.2</v>
      </c>
      <c r="H475" s="234">
        <v>110177250</v>
      </c>
      <c r="I475" s="313" t="str">
        <f t="shared" si="53"/>
        <v>0110177250</v>
      </c>
      <c r="J475" s="30" t="str">
        <f t="shared" si="54"/>
        <v>60607010110177250620</v>
      </c>
    </row>
    <row r="476" spans="1:10" s="83" customFormat="1" ht="38.25">
      <c r="A476" s="236" t="s">
        <v>1018</v>
      </c>
      <c r="B476" s="233" t="s">
        <v>69</v>
      </c>
      <c r="C476" s="234" t="s">
        <v>71</v>
      </c>
      <c r="D476" s="234" t="s">
        <v>65</v>
      </c>
      <c r="E476" s="234" t="s">
        <v>1133</v>
      </c>
      <c r="F476" s="234" t="s">
        <v>16</v>
      </c>
      <c r="G476" s="235">
        <f>VLOOKUP(J476,'исх АС БЮДЖЕТ'!$A$10:$H$568,6,0)</f>
        <v>63277.2</v>
      </c>
      <c r="H476" s="234">
        <v>110177250</v>
      </c>
      <c r="I476" s="313" t="str">
        <f t="shared" si="53"/>
        <v>0110177250</v>
      </c>
      <c r="J476" s="30" t="str">
        <f t="shared" si="54"/>
        <v>60607010110177250621</v>
      </c>
    </row>
    <row r="477" spans="1:10" s="30" customFormat="1" ht="38.25">
      <c r="A477" s="232" t="s">
        <v>629</v>
      </c>
      <c r="B477" s="233" t="s">
        <v>69</v>
      </c>
      <c r="C477" s="234" t="s">
        <v>71</v>
      </c>
      <c r="D477" s="234" t="s">
        <v>65</v>
      </c>
      <c r="E477" s="234" t="s">
        <v>337</v>
      </c>
      <c r="F477" s="234" t="s">
        <v>58</v>
      </c>
      <c r="G477" s="235">
        <f>G478+G481</f>
        <v>35830040</v>
      </c>
      <c r="H477" s="234">
        <v>110600000</v>
      </c>
      <c r="I477" s="313" t="str">
        <f t="shared" si="53"/>
        <v>0110600000</v>
      </c>
      <c r="J477" s="30" t="str">
        <f t="shared" si="54"/>
        <v>60607010110600000000</v>
      </c>
    </row>
    <row r="478" spans="1:10" s="30" customFormat="1">
      <c r="A478" s="244" t="s">
        <v>247</v>
      </c>
      <c r="B478" s="233" t="s">
        <v>69</v>
      </c>
      <c r="C478" s="234" t="s">
        <v>71</v>
      </c>
      <c r="D478" s="234" t="s">
        <v>65</v>
      </c>
      <c r="E478" s="234" t="s">
        <v>338</v>
      </c>
      <c r="F478" s="234" t="s">
        <v>58</v>
      </c>
      <c r="G478" s="235">
        <f>G479</f>
        <v>35580040</v>
      </c>
      <c r="H478" s="234">
        <v>110611010</v>
      </c>
      <c r="I478" s="313" t="str">
        <f t="shared" si="53"/>
        <v>0110611010</v>
      </c>
      <c r="J478" s="30" t="str">
        <f t="shared" si="54"/>
        <v>60607010110611010000</v>
      </c>
    </row>
    <row r="479" spans="1:10" s="30" customFormat="1">
      <c r="A479" s="244" t="s">
        <v>92</v>
      </c>
      <c r="B479" s="233" t="s">
        <v>69</v>
      </c>
      <c r="C479" s="234" t="s">
        <v>71</v>
      </c>
      <c r="D479" s="234" t="s">
        <v>65</v>
      </c>
      <c r="E479" s="234" t="s">
        <v>338</v>
      </c>
      <c r="F479" s="234" t="s">
        <v>138</v>
      </c>
      <c r="G479" s="235">
        <f>G480</f>
        <v>35580040</v>
      </c>
      <c r="H479" s="234">
        <v>110611010</v>
      </c>
      <c r="I479" s="313" t="str">
        <f t="shared" si="53"/>
        <v>0110611010</v>
      </c>
      <c r="J479" s="30" t="str">
        <f t="shared" si="54"/>
        <v>60607010110611010610</v>
      </c>
    </row>
    <row r="480" spans="1:10" s="83" customFormat="1">
      <c r="A480" s="236" t="s">
        <v>1016</v>
      </c>
      <c r="B480" s="233" t="s">
        <v>69</v>
      </c>
      <c r="C480" s="234" t="s">
        <v>71</v>
      </c>
      <c r="D480" s="234" t="s">
        <v>65</v>
      </c>
      <c r="E480" s="234" t="s">
        <v>338</v>
      </c>
      <c r="F480" s="234" t="s">
        <v>1046</v>
      </c>
      <c r="G480" s="235">
        <f>VLOOKUP(J480,'исх АС БЮДЖЕТ'!$A$10:$H$568,6,0)</f>
        <v>35580040</v>
      </c>
      <c r="H480" s="234">
        <v>110611010</v>
      </c>
      <c r="I480" s="313" t="str">
        <f t="shared" si="53"/>
        <v>0110611010</v>
      </c>
      <c r="J480" s="30" t="str">
        <f t="shared" si="54"/>
        <v>60607010110611010612</v>
      </c>
    </row>
    <row r="481" spans="1:10" s="30" customFormat="1" ht="25.5">
      <c r="A481" s="244" t="s">
        <v>702</v>
      </c>
      <c r="B481" s="233" t="s">
        <v>69</v>
      </c>
      <c r="C481" s="234" t="s">
        <v>71</v>
      </c>
      <c r="D481" s="234" t="s">
        <v>65</v>
      </c>
      <c r="E481" s="234" t="s">
        <v>701</v>
      </c>
      <c r="F481" s="234" t="s">
        <v>58</v>
      </c>
      <c r="G481" s="235">
        <f>G482</f>
        <v>250000</v>
      </c>
      <c r="H481" s="234" t="s">
        <v>1204</v>
      </c>
      <c r="I481" s="313" t="str">
        <f t="shared" si="53"/>
        <v>01106S6690</v>
      </c>
      <c r="J481" s="30" t="str">
        <f t="shared" si="54"/>
        <v>606070101106S6690000</v>
      </c>
    </row>
    <row r="482" spans="1:10" s="30" customFormat="1">
      <c r="A482" s="244" t="s">
        <v>92</v>
      </c>
      <c r="B482" s="233" t="s">
        <v>69</v>
      </c>
      <c r="C482" s="234" t="s">
        <v>71</v>
      </c>
      <c r="D482" s="234" t="s">
        <v>65</v>
      </c>
      <c r="E482" s="234" t="s">
        <v>701</v>
      </c>
      <c r="F482" s="234" t="s">
        <v>138</v>
      </c>
      <c r="G482" s="235">
        <f>G483</f>
        <v>250000</v>
      </c>
      <c r="H482" s="234" t="s">
        <v>1204</v>
      </c>
      <c r="I482" s="313" t="str">
        <f t="shared" si="53"/>
        <v>01106S6690</v>
      </c>
      <c r="J482" s="30" t="str">
        <f t="shared" si="54"/>
        <v>606070101106S6690610</v>
      </c>
    </row>
    <row r="483" spans="1:10" s="83" customFormat="1">
      <c r="A483" s="236" t="s">
        <v>1016</v>
      </c>
      <c r="B483" s="233" t="s">
        <v>69</v>
      </c>
      <c r="C483" s="234" t="s">
        <v>71</v>
      </c>
      <c r="D483" s="234" t="s">
        <v>65</v>
      </c>
      <c r="E483" s="234" t="s">
        <v>701</v>
      </c>
      <c r="F483" s="234" t="s">
        <v>1046</v>
      </c>
      <c r="G483" s="235">
        <f>VLOOKUP(J483,'исх АС БЮДЖЕТ'!$A$10:$H$568,6,0)</f>
        <v>250000</v>
      </c>
      <c r="H483" s="234" t="s">
        <v>1204</v>
      </c>
      <c r="I483" s="313" t="str">
        <f t="shared" si="53"/>
        <v>01106S6690</v>
      </c>
      <c r="J483" s="30" t="str">
        <f t="shared" si="54"/>
        <v>606070101106S6690612</v>
      </c>
    </row>
    <row r="484" spans="1:10" s="30" customFormat="1" ht="51">
      <c r="A484" s="232" t="s">
        <v>756</v>
      </c>
      <c r="B484" s="233" t="s">
        <v>69</v>
      </c>
      <c r="C484" s="234" t="s">
        <v>71</v>
      </c>
      <c r="D484" s="234" t="s">
        <v>65</v>
      </c>
      <c r="E484" s="234" t="s">
        <v>339</v>
      </c>
      <c r="F484" s="234" t="s">
        <v>58</v>
      </c>
      <c r="G484" s="235">
        <f t="shared" ref="G484:G486" si="55">G485</f>
        <v>4259570</v>
      </c>
      <c r="H484" s="234">
        <v>1600000000</v>
      </c>
      <c r="I484" s="313" t="str">
        <f t="shared" si="53"/>
        <v>1600000000</v>
      </c>
      <c r="J484" s="30" t="str">
        <f t="shared" si="54"/>
        <v>60607011600000000000</v>
      </c>
    </row>
    <row r="485" spans="1:10" s="30" customFormat="1" ht="25.5">
      <c r="A485" s="232" t="s">
        <v>136</v>
      </c>
      <c r="B485" s="233" t="s">
        <v>69</v>
      </c>
      <c r="C485" s="234" t="s">
        <v>71</v>
      </c>
      <c r="D485" s="234" t="s">
        <v>65</v>
      </c>
      <c r="E485" s="234" t="s">
        <v>340</v>
      </c>
      <c r="F485" s="234" t="s">
        <v>58</v>
      </c>
      <c r="G485" s="235">
        <f t="shared" si="55"/>
        <v>4259570</v>
      </c>
      <c r="H485" s="234">
        <v>1620000000</v>
      </c>
      <c r="I485" s="313" t="str">
        <f t="shared" si="53"/>
        <v>1620000000</v>
      </c>
      <c r="J485" s="30" t="str">
        <f t="shared" si="54"/>
        <v>60607011620000000000</v>
      </c>
    </row>
    <row r="486" spans="1:10" s="30" customFormat="1" ht="25.5">
      <c r="A486" s="232" t="s">
        <v>667</v>
      </c>
      <c r="B486" s="233" t="s">
        <v>69</v>
      </c>
      <c r="C486" s="234" t="s">
        <v>71</v>
      </c>
      <c r="D486" s="234" t="s">
        <v>65</v>
      </c>
      <c r="E486" s="234" t="s">
        <v>609</v>
      </c>
      <c r="F486" s="234" t="s">
        <v>58</v>
      </c>
      <c r="G486" s="235">
        <f t="shared" si="55"/>
        <v>4259570</v>
      </c>
      <c r="H486" s="234">
        <v>1620200000</v>
      </c>
      <c r="I486" s="313" t="str">
        <f t="shared" si="53"/>
        <v>1620200000</v>
      </c>
      <c r="J486" s="30" t="str">
        <f t="shared" si="54"/>
        <v>60607011620200000000</v>
      </c>
    </row>
    <row r="487" spans="1:10" s="30" customFormat="1" ht="25.5">
      <c r="A487" s="232" t="s">
        <v>177</v>
      </c>
      <c r="B487" s="233" t="s">
        <v>69</v>
      </c>
      <c r="C487" s="234" t="s">
        <v>71</v>
      </c>
      <c r="D487" s="234" t="s">
        <v>65</v>
      </c>
      <c r="E487" s="234" t="s">
        <v>610</v>
      </c>
      <c r="F487" s="234" t="s">
        <v>58</v>
      </c>
      <c r="G487" s="235">
        <f>G488+G490</f>
        <v>4259570</v>
      </c>
      <c r="H487" s="234">
        <v>1620220550</v>
      </c>
      <c r="I487" s="313" t="str">
        <f t="shared" si="53"/>
        <v>1620220550</v>
      </c>
      <c r="J487" s="30" t="str">
        <f t="shared" si="54"/>
        <v>60607011620220550000</v>
      </c>
    </row>
    <row r="488" spans="1:10" s="30" customFormat="1">
      <c r="A488" s="244" t="s">
        <v>92</v>
      </c>
      <c r="B488" s="233" t="s">
        <v>69</v>
      </c>
      <c r="C488" s="234" t="s">
        <v>71</v>
      </c>
      <c r="D488" s="234" t="s">
        <v>65</v>
      </c>
      <c r="E488" s="234" t="s">
        <v>610</v>
      </c>
      <c r="F488" s="234" t="s">
        <v>138</v>
      </c>
      <c r="G488" s="235">
        <f>G489</f>
        <v>4161070</v>
      </c>
      <c r="H488" s="234">
        <v>1620220550</v>
      </c>
      <c r="I488" s="313" t="str">
        <f t="shared" si="53"/>
        <v>1620220550</v>
      </c>
      <c r="J488" s="30" t="str">
        <f t="shared" si="54"/>
        <v>60607011620220550610</v>
      </c>
    </row>
    <row r="489" spans="1:10" s="83" customFormat="1">
      <c r="A489" s="236" t="s">
        <v>1016</v>
      </c>
      <c r="B489" s="233" t="s">
        <v>69</v>
      </c>
      <c r="C489" s="234" t="s">
        <v>71</v>
      </c>
      <c r="D489" s="234" t="s">
        <v>65</v>
      </c>
      <c r="E489" s="234" t="s">
        <v>610</v>
      </c>
      <c r="F489" s="234" t="s">
        <v>1046</v>
      </c>
      <c r="G489" s="235">
        <f>VLOOKUP(J489,'исх АС БЮДЖЕТ'!$A$10:$H$568,6,0)</f>
        <v>4161070</v>
      </c>
      <c r="H489" s="234">
        <v>1620220550</v>
      </c>
      <c r="I489" s="313" t="str">
        <f t="shared" si="53"/>
        <v>1620220550</v>
      </c>
      <c r="J489" s="30" t="str">
        <f t="shared" si="54"/>
        <v>60607011620220550612</v>
      </c>
    </row>
    <row r="490" spans="1:10" s="30" customFormat="1">
      <c r="A490" s="244" t="s">
        <v>93</v>
      </c>
      <c r="B490" s="233" t="s">
        <v>69</v>
      </c>
      <c r="C490" s="234" t="s">
        <v>71</v>
      </c>
      <c r="D490" s="234" t="s">
        <v>65</v>
      </c>
      <c r="E490" s="234" t="s">
        <v>610</v>
      </c>
      <c r="F490" s="234" t="s">
        <v>20</v>
      </c>
      <c r="G490" s="235">
        <f>G491</f>
        <v>98500</v>
      </c>
      <c r="H490" s="234">
        <v>1620220550</v>
      </c>
      <c r="I490" s="313" t="str">
        <f t="shared" si="53"/>
        <v>1620220550</v>
      </c>
      <c r="J490" s="30" t="str">
        <f t="shared" si="54"/>
        <v>60607011620220550620</v>
      </c>
    </row>
    <row r="491" spans="1:10" s="83" customFormat="1">
      <c r="A491" s="236" t="s">
        <v>1019</v>
      </c>
      <c r="B491" s="233" t="s">
        <v>69</v>
      </c>
      <c r="C491" s="234" t="s">
        <v>71</v>
      </c>
      <c r="D491" s="234" t="s">
        <v>65</v>
      </c>
      <c r="E491" s="234" t="s">
        <v>610</v>
      </c>
      <c r="F491" s="234" t="s">
        <v>1054</v>
      </c>
      <c r="G491" s="235">
        <f>VLOOKUP(J491,'исх АС БЮДЖЕТ'!$A$10:$H$568,6,0)</f>
        <v>98500</v>
      </c>
      <c r="H491" s="234">
        <v>1620220550</v>
      </c>
      <c r="I491" s="313" t="str">
        <f t="shared" si="53"/>
        <v>1620220550</v>
      </c>
      <c r="J491" s="30" t="str">
        <f t="shared" si="54"/>
        <v>60607011620220550622</v>
      </c>
    </row>
    <row r="492" spans="1:10" s="30" customFormat="1">
      <c r="A492" s="228" t="s">
        <v>61</v>
      </c>
      <c r="B492" s="229" t="s">
        <v>69</v>
      </c>
      <c r="C492" s="230" t="s">
        <v>71</v>
      </c>
      <c r="D492" s="230" t="s">
        <v>66</v>
      </c>
      <c r="E492" s="230" t="s">
        <v>196</v>
      </c>
      <c r="F492" s="230" t="s">
        <v>58</v>
      </c>
      <c r="G492" s="231">
        <f>G493+G537+G550+G558</f>
        <v>1641282091.9200001</v>
      </c>
      <c r="H492" s="230">
        <v>0</v>
      </c>
      <c r="I492" s="313" t="str">
        <f t="shared" si="53"/>
        <v>0000000000</v>
      </c>
      <c r="J492" s="30" t="str">
        <f t="shared" si="54"/>
        <v>60607020000000000000</v>
      </c>
    </row>
    <row r="493" spans="1:10" s="30" customFormat="1">
      <c r="A493" s="244" t="s">
        <v>723</v>
      </c>
      <c r="B493" s="233" t="s">
        <v>69</v>
      </c>
      <c r="C493" s="234" t="s">
        <v>71</v>
      </c>
      <c r="D493" s="234" t="s">
        <v>66</v>
      </c>
      <c r="E493" s="234" t="s">
        <v>331</v>
      </c>
      <c r="F493" s="234" t="s">
        <v>58</v>
      </c>
      <c r="G493" s="235">
        <f>G494+G532</f>
        <v>1635868531.9200001</v>
      </c>
      <c r="H493" s="234">
        <v>100000000</v>
      </c>
      <c r="I493" s="313" t="str">
        <f t="shared" si="53"/>
        <v>0100000000</v>
      </c>
      <c r="J493" s="30" t="str">
        <f t="shared" si="54"/>
        <v>60607020100000000000</v>
      </c>
    </row>
    <row r="494" spans="1:10" s="30" customFormat="1" ht="25.5">
      <c r="A494" s="244" t="s">
        <v>860</v>
      </c>
      <c r="B494" s="233" t="s">
        <v>69</v>
      </c>
      <c r="C494" s="234" t="s">
        <v>71</v>
      </c>
      <c r="D494" s="234" t="s">
        <v>66</v>
      </c>
      <c r="E494" s="234" t="s">
        <v>332</v>
      </c>
      <c r="F494" s="234" t="s">
        <v>58</v>
      </c>
      <c r="G494" s="235">
        <f>G495+G528</f>
        <v>1632148531.9200001</v>
      </c>
      <c r="H494" s="234">
        <v>110000000</v>
      </c>
      <c r="I494" s="313" t="str">
        <f t="shared" si="53"/>
        <v>0110000000</v>
      </c>
      <c r="J494" s="30" t="str">
        <f t="shared" si="54"/>
        <v>60607020110000000000</v>
      </c>
    </row>
    <row r="495" spans="1:10" s="30" customFormat="1" ht="38.25">
      <c r="A495" s="244" t="s">
        <v>663</v>
      </c>
      <c r="B495" s="233" t="s">
        <v>69</v>
      </c>
      <c r="C495" s="234" t="s">
        <v>71</v>
      </c>
      <c r="D495" s="234" t="s">
        <v>66</v>
      </c>
      <c r="E495" s="234" t="s">
        <v>347</v>
      </c>
      <c r="F495" s="234" t="s">
        <v>58</v>
      </c>
      <c r="G495" s="235">
        <f>G496+G510+G520</f>
        <v>1620810331.9200001</v>
      </c>
      <c r="H495" s="234">
        <v>110200000</v>
      </c>
      <c r="I495" s="313" t="str">
        <f t="shared" si="53"/>
        <v>0110200000</v>
      </c>
      <c r="J495" s="30" t="str">
        <f t="shared" si="54"/>
        <v>60607020110200000000</v>
      </c>
    </row>
    <row r="496" spans="1:10" s="30" customFormat="1">
      <c r="A496" s="244" t="s">
        <v>247</v>
      </c>
      <c r="B496" s="233" t="s">
        <v>69</v>
      </c>
      <c r="C496" s="234" t="s">
        <v>71</v>
      </c>
      <c r="D496" s="234" t="s">
        <v>66</v>
      </c>
      <c r="E496" s="234" t="s">
        <v>348</v>
      </c>
      <c r="F496" s="234" t="s">
        <v>58</v>
      </c>
      <c r="G496" s="235">
        <f>G497+G500+G502+G505+G508</f>
        <v>530228993.92000002</v>
      </c>
      <c r="H496" s="234">
        <v>110211010</v>
      </c>
      <c r="I496" s="313" t="str">
        <f t="shared" si="53"/>
        <v>0110211010</v>
      </c>
      <c r="J496" s="30" t="str">
        <f t="shared" si="54"/>
        <v>60607020110211010000</v>
      </c>
    </row>
    <row r="497" spans="1:10" s="30" customFormat="1">
      <c r="A497" s="244" t="s">
        <v>106</v>
      </c>
      <c r="B497" s="233" t="s">
        <v>69</v>
      </c>
      <c r="C497" s="234" t="s">
        <v>71</v>
      </c>
      <c r="D497" s="234" t="s">
        <v>66</v>
      </c>
      <c r="E497" s="234" t="s">
        <v>348</v>
      </c>
      <c r="F497" s="234" t="s">
        <v>121</v>
      </c>
      <c r="G497" s="235">
        <f>SUM(G498:G499)</f>
        <v>1601610</v>
      </c>
      <c r="H497" s="234">
        <v>110211010</v>
      </c>
      <c r="I497" s="313" t="str">
        <f t="shared" si="53"/>
        <v>0110211010</v>
      </c>
      <c r="J497" s="30" t="str">
        <f t="shared" si="54"/>
        <v>60607020110211010110</v>
      </c>
    </row>
    <row r="498" spans="1:10" s="83" customFormat="1">
      <c r="A498" s="236" t="s">
        <v>932</v>
      </c>
      <c r="B498" s="233" t="s">
        <v>69</v>
      </c>
      <c r="C498" s="234" t="s">
        <v>71</v>
      </c>
      <c r="D498" s="234" t="s">
        <v>66</v>
      </c>
      <c r="E498" s="234" t="s">
        <v>348</v>
      </c>
      <c r="F498" s="234" t="s">
        <v>1056</v>
      </c>
      <c r="G498" s="235">
        <f>VLOOKUP(J498,'исх АС БЮДЖЕТ'!$A$10:$H$568,6,0)</f>
        <v>1229440</v>
      </c>
      <c r="H498" s="234">
        <v>110211010</v>
      </c>
      <c r="I498" s="313" t="str">
        <f t="shared" si="53"/>
        <v>0110211010</v>
      </c>
      <c r="J498" s="30" t="str">
        <f t="shared" si="54"/>
        <v>60607020110211010111</v>
      </c>
    </row>
    <row r="499" spans="1:10" s="83" customFormat="1" ht="25.5">
      <c r="A499" s="236" t="s">
        <v>935</v>
      </c>
      <c r="B499" s="233" t="s">
        <v>69</v>
      </c>
      <c r="C499" s="234" t="s">
        <v>71</v>
      </c>
      <c r="D499" s="234" t="s">
        <v>66</v>
      </c>
      <c r="E499" s="234" t="s">
        <v>348</v>
      </c>
      <c r="F499" s="234" t="s">
        <v>1057</v>
      </c>
      <c r="G499" s="235">
        <f>VLOOKUP(J499,'исх АС БЮДЖЕТ'!$A$10:$H$568,6,0)</f>
        <v>372170</v>
      </c>
      <c r="H499" s="234">
        <v>110211010</v>
      </c>
      <c r="I499" s="313" t="str">
        <f t="shared" si="53"/>
        <v>0110211010</v>
      </c>
      <c r="J499" s="30" t="str">
        <f t="shared" si="54"/>
        <v>60607020110211010119</v>
      </c>
    </row>
    <row r="500" spans="1:10" s="30" customFormat="1" ht="25.5">
      <c r="A500" s="232" t="s">
        <v>108</v>
      </c>
      <c r="B500" s="233" t="s">
        <v>69</v>
      </c>
      <c r="C500" s="234" t="s">
        <v>71</v>
      </c>
      <c r="D500" s="234" t="s">
        <v>66</v>
      </c>
      <c r="E500" s="234" t="s">
        <v>348</v>
      </c>
      <c r="F500" s="234" t="s">
        <v>116</v>
      </c>
      <c r="G500" s="235">
        <f>G501</f>
        <v>70000</v>
      </c>
      <c r="H500" s="234">
        <v>110211010</v>
      </c>
      <c r="I500" s="313" t="str">
        <f t="shared" si="53"/>
        <v>0110211010</v>
      </c>
      <c r="J500" s="30" t="str">
        <f t="shared" si="54"/>
        <v>60607020110211010240</v>
      </c>
    </row>
    <row r="501" spans="1:10" s="83" customFormat="1" ht="25.5">
      <c r="A501" s="236" t="s">
        <v>973</v>
      </c>
      <c r="B501" s="233" t="s">
        <v>69</v>
      </c>
      <c r="C501" s="234" t="s">
        <v>71</v>
      </c>
      <c r="D501" s="234" t="s">
        <v>66</v>
      </c>
      <c r="E501" s="234" t="s">
        <v>348</v>
      </c>
      <c r="F501" s="234" t="s">
        <v>1043</v>
      </c>
      <c r="G501" s="235">
        <f>VLOOKUP(J501,'исх АС БЮДЖЕТ'!$A$10:$H$568,6,0)</f>
        <v>70000</v>
      </c>
      <c r="H501" s="234">
        <v>110211010</v>
      </c>
      <c r="I501" s="313" t="str">
        <f t="shared" si="53"/>
        <v>0110211010</v>
      </c>
      <c r="J501" s="30" t="str">
        <f t="shared" si="54"/>
        <v>60607020110211010244</v>
      </c>
    </row>
    <row r="502" spans="1:10" s="30" customFormat="1">
      <c r="A502" s="244" t="s">
        <v>92</v>
      </c>
      <c r="B502" s="233" t="s">
        <v>69</v>
      </c>
      <c r="C502" s="234" t="s">
        <v>71</v>
      </c>
      <c r="D502" s="234" t="s">
        <v>66</v>
      </c>
      <c r="E502" s="234" t="s">
        <v>348</v>
      </c>
      <c r="F502" s="234" t="s">
        <v>138</v>
      </c>
      <c r="G502" s="235">
        <f>SUM(G503:G504)</f>
        <v>488959959.14999998</v>
      </c>
      <c r="H502" s="234">
        <v>110211010</v>
      </c>
      <c r="I502" s="313" t="str">
        <f t="shared" si="53"/>
        <v>0110211010</v>
      </c>
      <c r="J502" s="30" t="str">
        <f t="shared" si="54"/>
        <v>60607020110211010610</v>
      </c>
    </row>
    <row r="503" spans="1:10" s="83" customFormat="1" ht="38.25">
      <c r="A503" s="236" t="s">
        <v>1015</v>
      </c>
      <c r="B503" s="233" t="s">
        <v>69</v>
      </c>
      <c r="C503" s="234" t="s">
        <v>71</v>
      </c>
      <c r="D503" s="234" t="s">
        <v>66</v>
      </c>
      <c r="E503" s="234" t="s">
        <v>348</v>
      </c>
      <c r="F503" s="234" t="s">
        <v>67</v>
      </c>
      <c r="G503" s="235">
        <f>VLOOKUP(J503,'исх АС БЮДЖЕТ'!$A$10:$H$568,6,0)</f>
        <v>485342359.14999998</v>
      </c>
      <c r="H503" s="234">
        <v>110211010</v>
      </c>
      <c r="I503" s="313" t="str">
        <f t="shared" si="53"/>
        <v>0110211010</v>
      </c>
      <c r="J503" s="30" t="str">
        <f t="shared" si="54"/>
        <v>60607020110211010611</v>
      </c>
    </row>
    <row r="504" spans="1:10" s="83" customFormat="1">
      <c r="A504" s="236" t="s">
        <v>1016</v>
      </c>
      <c r="B504" s="233" t="s">
        <v>69</v>
      </c>
      <c r="C504" s="234" t="s">
        <v>71</v>
      </c>
      <c r="D504" s="234" t="s">
        <v>66</v>
      </c>
      <c r="E504" s="234" t="s">
        <v>348</v>
      </c>
      <c r="F504" s="234" t="s">
        <v>1046</v>
      </c>
      <c r="G504" s="235">
        <f>VLOOKUP(J504,'исх АС БЮДЖЕТ'!$A$10:$H$568,6,0)</f>
        <v>3617600</v>
      </c>
      <c r="H504" s="234">
        <v>110211010</v>
      </c>
      <c r="I504" s="313" t="str">
        <f t="shared" si="53"/>
        <v>0110211010</v>
      </c>
      <c r="J504" s="30" t="str">
        <f t="shared" si="54"/>
        <v>60607020110211010612</v>
      </c>
    </row>
    <row r="505" spans="1:10" s="30" customFormat="1">
      <c r="A505" s="244" t="s">
        <v>93</v>
      </c>
      <c r="B505" s="233" t="s">
        <v>69</v>
      </c>
      <c r="C505" s="234" t="s">
        <v>71</v>
      </c>
      <c r="D505" s="234" t="s">
        <v>66</v>
      </c>
      <c r="E505" s="234" t="s">
        <v>348</v>
      </c>
      <c r="F505" s="234" t="s">
        <v>20</v>
      </c>
      <c r="G505" s="235">
        <f>G506+G507</f>
        <v>38902390.850000001</v>
      </c>
      <c r="H505" s="234">
        <v>110211010</v>
      </c>
      <c r="I505" s="313" t="str">
        <f t="shared" si="53"/>
        <v>0110211010</v>
      </c>
      <c r="J505" s="30" t="str">
        <f t="shared" si="54"/>
        <v>60607020110211010620</v>
      </c>
    </row>
    <row r="506" spans="1:10" s="83" customFormat="1" ht="38.25">
      <c r="A506" s="236" t="s">
        <v>1018</v>
      </c>
      <c r="B506" s="233" t="s">
        <v>69</v>
      </c>
      <c r="C506" s="234" t="s">
        <v>71</v>
      </c>
      <c r="D506" s="234" t="s">
        <v>66</v>
      </c>
      <c r="E506" s="234" t="s">
        <v>348</v>
      </c>
      <c r="F506" s="234" t="s">
        <v>16</v>
      </c>
      <c r="G506" s="235">
        <f>VLOOKUP(J506,'исх АС БЮДЖЕТ'!$A$10:$H$568,6,0)</f>
        <v>38135240.850000001</v>
      </c>
      <c r="H506" s="234">
        <v>110211010</v>
      </c>
      <c r="I506" s="313" t="str">
        <f t="shared" si="53"/>
        <v>0110211010</v>
      </c>
      <c r="J506" s="30" t="str">
        <f t="shared" si="54"/>
        <v>60607020110211010621</v>
      </c>
    </row>
    <row r="507" spans="1:10" s="83" customFormat="1">
      <c r="A507" s="236" t="s">
        <v>1019</v>
      </c>
      <c r="B507" s="233" t="s">
        <v>69</v>
      </c>
      <c r="C507" s="234" t="s">
        <v>71</v>
      </c>
      <c r="D507" s="234" t="s">
        <v>66</v>
      </c>
      <c r="E507" s="234" t="s">
        <v>348</v>
      </c>
      <c r="F507" s="234" t="s">
        <v>1054</v>
      </c>
      <c r="G507" s="235">
        <f>VLOOKUP(J507,'исх АС БЮДЖЕТ'!$A$10:$H$568,6,0)</f>
        <v>767150</v>
      </c>
      <c r="H507" s="234">
        <v>110211010</v>
      </c>
      <c r="I507" s="313" t="str">
        <f t="shared" ref="I507:I509" si="56">TEXT(H507,"0000000000")</f>
        <v>0110211010</v>
      </c>
      <c r="J507" s="30" t="str">
        <f t="shared" si="54"/>
        <v>60607020110211010622</v>
      </c>
    </row>
    <row r="508" spans="1:10" s="83" customFormat="1" ht="25.5">
      <c r="A508" s="232" t="s">
        <v>111</v>
      </c>
      <c r="B508" s="233" t="s">
        <v>69</v>
      </c>
      <c r="C508" s="234" t="s">
        <v>71</v>
      </c>
      <c r="D508" s="234" t="s">
        <v>66</v>
      </c>
      <c r="E508" s="234" t="s">
        <v>348</v>
      </c>
      <c r="F508" s="234" t="s">
        <v>104</v>
      </c>
      <c r="G508" s="235">
        <f>G509</f>
        <v>695033.92</v>
      </c>
      <c r="H508" s="234">
        <v>110211010</v>
      </c>
      <c r="I508" s="313" t="str">
        <f t="shared" si="56"/>
        <v>0110211010</v>
      </c>
      <c r="J508" s="30" t="str">
        <f t="shared" si="54"/>
        <v>60607020110211010630</v>
      </c>
    </row>
    <row r="509" spans="1:10" s="83" customFormat="1" ht="63.75">
      <c r="A509" s="236" t="s">
        <v>1048</v>
      </c>
      <c r="B509" s="233" t="s">
        <v>69</v>
      </c>
      <c r="C509" s="234" t="s">
        <v>71</v>
      </c>
      <c r="D509" s="234" t="s">
        <v>66</v>
      </c>
      <c r="E509" s="234" t="s">
        <v>348</v>
      </c>
      <c r="F509" s="234" t="s">
        <v>1055</v>
      </c>
      <c r="G509" s="235">
        <f>VLOOKUP(J509,'исх АС БЮДЖЕТ'!$A$10:$H$568,6,0)</f>
        <v>695033.92</v>
      </c>
      <c r="H509" s="234">
        <v>110211010</v>
      </c>
      <c r="I509" s="313" t="str">
        <f t="shared" si="56"/>
        <v>0110211010</v>
      </c>
      <c r="J509" s="30" t="str">
        <f t="shared" si="54"/>
        <v>60607020110211010632</v>
      </c>
    </row>
    <row r="510" spans="1:10" s="30" customFormat="1" ht="89.25">
      <c r="A510" s="236" t="s">
        <v>349</v>
      </c>
      <c r="B510" s="233" t="s">
        <v>69</v>
      </c>
      <c r="C510" s="234" t="s">
        <v>71</v>
      </c>
      <c r="D510" s="234" t="s">
        <v>66</v>
      </c>
      <c r="E510" s="234" t="s">
        <v>350</v>
      </c>
      <c r="F510" s="234" t="s">
        <v>58</v>
      </c>
      <c r="G510" s="235">
        <f>G511+G514+G516+G518</f>
        <v>1089810293.5999999</v>
      </c>
      <c r="H510" s="234">
        <v>110277160</v>
      </c>
      <c r="I510" s="313" t="str">
        <f t="shared" si="53"/>
        <v>0110277160</v>
      </c>
      <c r="J510" s="30" t="str">
        <f t="shared" si="54"/>
        <v>60607020110277160000</v>
      </c>
    </row>
    <row r="511" spans="1:10" s="30" customFormat="1">
      <c r="A511" s="236" t="s">
        <v>106</v>
      </c>
      <c r="B511" s="233" t="s">
        <v>69</v>
      </c>
      <c r="C511" s="234" t="s">
        <v>71</v>
      </c>
      <c r="D511" s="234" t="s">
        <v>66</v>
      </c>
      <c r="E511" s="234" t="s">
        <v>350</v>
      </c>
      <c r="F511" s="234" t="s">
        <v>121</v>
      </c>
      <c r="G511" s="235">
        <f>SUM(G512:G513)</f>
        <v>11605660</v>
      </c>
      <c r="H511" s="234">
        <v>110277160</v>
      </c>
      <c r="I511" s="313" t="str">
        <f t="shared" si="53"/>
        <v>0110277160</v>
      </c>
      <c r="J511" s="30" t="str">
        <f t="shared" si="54"/>
        <v>60607020110277160110</v>
      </c>
    </row>
    <row r="512" spans="1:10" s="83" customFormat="1">
      <c r="A512" s="236" t="s">
        <v>932</v>
      </c>
      <c r="B512" s="233" t="s">
        <v>69</v>
      </c>
      <c r="C512" s="234" t="s">
        <v>71</v>
      </c>
      <c r="D512" s="234" t="s">
        <v>66</v>
      </c>
      <c r="E512" s="234" t="s">
        <v>350</v>
      </c>
      <c r="F512" s="234" t="s">
        <v>1056</v>
      </c>
      <c r="G512" s="235">
        <f>VLOOKUP(J512,'исх АС БЮДЖЕТ'!$A$10:$H$568,6,0)</f>
        <v>8913720</v>
      </c>
      <c r="H512" s="234">
        <v>110277160</v>
      </c>
      <c r="I512" s="313" t="str">
        <f t="shared" si="53"/>
        <v>0110277160</v>
      </c>
      <c r="J512" s="30" t="str">
        <f t="shared" si="54"/>
        <v>60607020110277160111</v>
      </c>
    </row>
    <row r="513" spans="1:10" s="83" customFormat="1" ht="25.5">
      <c r="A513" s="236" t="s">
        <v>935</v>
      </c>
      <c r="B513" s="233" t="s">
        <v>69</v>
      </c>
      <c r="C513" s="234" t="s">
        <v>71</v>
      </c>
      <c r="D513" s="234" t="s">
        <v>66</v>
      </c>
      <c r="E513" s="234" t="s">
        <v>350</v>
      </c>
      <c r="F513" s="234" t="s">
        <v>1057</v>
      </c>
      <c r="G513" s="235">
        <f>VLOOKUP(J513,'исх АС БЮДЖЕТ'!$A$10:$H$568,6,0)</f>
        <v>2691940</v>
      </c>
      <c r="H513" s="234">
        <v>110277160</v>
      </c>
      <c r="I513" s="313" t="str">
        <f t="shared" si="53"/>
        <v>0110277160</v>
      </c>
      <c r="J513" s="30" t="str">
        <f t="shared" si="54"/>
        <v>60607020110277160119</v>
      </c>
    </row>
    <row r="514" spans="1:10" s="30" customFormat="1">
      <c r="A514" s="244" t="s">
        <v>92</v>
      </c>
      <c r="B514" s="233" t="s">
        <v>69</v>
      </c>
      <c r="C514" s="234" t="s">
        <v>71</v>
      </c>
      <c r="D514" s="234" t="s">
        <v>66</v>
      </c>
      <c r="E514" s="234" t="s">
        <v>350</v>
      </c>
      <c r="F514" s="234" t="s">
        <v>138</v>
      </c>
      <c r="G514" s="235">
        <f>G515</f>
        <v>975099626.60000002</v>
      </c>
      <c r="H514" s="234">
        <v>110277160</v>
      </c>
      <c r="I514" s="313" t="str">
        <f t="shared" si="53"/>
        <v>0110277160</v>
      </c>
      <c r="J514" s="30" t="str">
        <f t="shared" si="54"/>
        <v>60607020110277160610</v>
      </c>
    </row>
    <row r="515" spans="1:10" s="83" customFormat="1" ht="38.25">
      <c r="A515" s="236" t="s">
        <v>1015</v>
      </c>
      <c r="B515" s="233" t="s">
        <v>69</v>
      </c>
      <c r="C515" s="234" t="s">
        <v>71</v>
      </c>
      <c r="D515" s="234" t="s">
        <v>66</v>
      </c>
      <c r="E515" s="234" t="s">
        <v>350</v>
      </c>
      <c r="F515" s="234" t="s">
        <v>67</v>
      </c>
      <c r="G515" s="235">
        <f>VLOOKUP(J515,'исх АС БЮДЖЕТ'!$A$10:$H$568,6,0)</f>
        <v>975099626.60000002</v>
      </c>
      <c r="H515" s="234">
        <v>110277160</v>
      </c>
      <c r="I515" s="313" t="str">
        <f t="shared" si="53"/>
        <v>0110277160</v>
      </c>
      <c r="J515" s="30" t="str">
        <f t="shared" si="54"/>
        <v>60607020110277160611</v>
      </c>
    </row>
    <row r="516" spans="1:10" s="30" customFormat="1">
      <c r="A516" s="244" t="s">
        <v>93</v>
      </c>
      <c r="B516" s="233" t="s">
        <v>69</v>
      </c>
      <c r="C516" s="234" t="s">
        <v>71</v>
      </c>
      <c r="D516" s="234" t="s">
        <v>66</v>
      </c>
      <c r="E516" s="234" t="s">
        <v>350</v>
      </c>
      <c r="F516" s="234" t="s">
        <v>20</v>
      </c>
      <c r="G516" s="235">
        <f>G517</f>
        <v>98373167</v>
      </c>
      <c r="H516" s="234">
        <v>110277160</v>
      </c>
      <c r="I516" s="313" t="str">
        <f t="shared" si="53"/>
        <v>0110277160</v>
      </c>
      <c r="J516" s="30" t="str">
        <f t="shared" si="54"/>
        <v>60607020110277160620</v>
      </c>
    </row>
    <row r="517" spans="1:10" s="83" customFormat="1" ht="38.25">
      <c r="A517" s="236" t="s">
        <v>1018</v>
      </c>
      <c r="B517" s="233" t="s">
        <v>69</v>
      </c>
      <c r="C517" s="234" t="s">
        <v>71</v>
      </c>
      <c r="D517" s="234" t="s">
        <v>66</v>
      </c>
      <c r="E517" s="234" t="s">
        <v>350</v>
      </c>
      <c r="F517" s="234" t="s">
        <v>16</v>
      </c>
      <c r="G517" s="235">
        <f>VLOOKUP(J517,'исх АС БЮДЖЕТ'!$A$10:$H$568,6,0)</f>
        <v>98373167</v>
      </c>
      <c r="H517" s="234">
        <v>110277160</v>
      </c>
      <c r="I517" s="313" t="str">
        <f t="shared" si="53"/>
        <v>0110277160</v>
      </c>
      <c r="J517" s="30" t="str">
        <f t="shared" si="54"/>
        <v>60607020110277160621</v>
      </c>
    </row>
    <row r="518" spans="1:10" s="30" customFormat="1" ht="25.5">
      <c r="A518" s="232" t="s">
        <v>111</v>
      </c>
      <c r="B518" s="233" t="s">
        <v>69</v>
      </c>
      <c r="C518" s="234" t="s">
        <v>71</v>
      </c>
      <c r="D518" s="234" t="s">
        <v>66</v>
      </c>
      <c r="E518" s="234" t="s">
        <v>350</v>
      </c>
      <c r="F518" s="234" t="s">
        <v>104</v>
      </c>
      <c r="G518" s="235">
        <f>G519</f>
        <v>4731840</v>
      </c>
      <c r="H518" s="234">
        <v>110277160</v>
      </c>
      <c r="I518" s="313" t="str">
        <f t="shared" si="53"/>
        <v>0110277160</v>
      </c>
      <c r="J518" s="30" t="str">
        <f t="shared" si="54"/>
        <v>60607020110277160630</v>
      </c>
    </row>
    <row r="519" spans="1:10" s="83" customFormat="1" ht="63.75">
      <c r="A519" s="236" t="s">
        <v>1048</v>
      </c>
      <c r="B519" s="233" t="s">
        <v>69</v>
      </c>
      <c r="C519" s="234" t="s">
        <v>71</v>
      </c>
      <c r="D519" s="234" t="s">
        <v>66</v>
      </c>
      <c r="E519" s="234" t="s">
        <v>350</v>
      </c>
      <c r="F519" s="234" t="s">
        <v>1055</v>
      </c>
      <c r="G519" s="235">
        <f>VLOOKUP(J519,'исх АС БЮДЖЕТ'!$A$10:$H$568,6,0)</f>
        <v>4731840</v>
      </c>
      <c r="H519" s="234">
        <v>110277160</v>
      </c>
      <c r="I519" s="313" t="str">
        <f t="shared" si="53"/>
        <v>0110277160</v>
      </c>
      <c r="J519" s="30" t="str">
        <f t="shared" si="54"/>
        <v>60607020110277160632</v>
      </c>
    </row>
    <row r="520" spans="1:10" s="83" customFormat="1" ht="25.5">
      <c r="A520" s="236" t="s">
        <v>1132</v>
      </c>
      <c r="B520" s="233" t="s">
        <v>69</v>
      </c>
      <c r="C520" s="234" t="s">
        <v>71</v>
      </c>
      <c r="D520" s="234" t="s">
        <v>66</v>
      </c>
      <c r="E520" s="234" t="s">
        <v>1134</v>
      </c>
      <c r="F520" s="234" t="s">
        <v>58</v>
      </c>
      <c r="G520" s="235">
        <f>G524+G526+G521</f>
        <v>771044.4</v>
      </c>
      <c r="H520" s="234">
        <v>110277250</v>
      </c>
      <c r="I520" s="313" t="str">
        <f t="shared" si="53"/>
        <v>0110277250</v>
      </c>
      <c r="J520" s="30" t="str">
        <f t="shared" si="54"/>
        <v>60607020110277250000</v>
      </c>
    </row>
    <row r="521" spans="1:10" s="83" customFormat="1">
      <c r="A521" s="244" t="s">
        <v>106</v>
      </c>
      <c r="B521" s="233" t="s">
        <v>69</v>
      </c>
      <c r="C521" s="234" t="s">
        <v>71</v>
      </c>
      <c r="D521" s="234" t="s">
        <v>66</v>
      </c>
      <c r="E521" s="234" t="s">
        <v>1134</v>
      </c>
      <c r="F521" s="234" t="s">
        <v>121</v>
      </c>
      <c r="G521" s="235">
        <f>G522+G523</f>
        <v>4687.2</v>
      </c>
      <c r="H521" s="234">
        <v>110277250</v>
      </c>
      <c r="I521" s="313" t="str">
        <f t="shared" si="53"/>
        <v>0110277250</v>
      </c>
      <c r="J521" s="30" t="str">
        <f t="shared" si="54"/>
        <v>60607020110277250110</v>
      </c>
    </row>
    <row r="522" spans="1:10" s="83" customFormat="1">
      <c r="A522" s="236" t="s">
        <v>932</v>
      </c>
      <c r="B522" s="233" t="s">
        <v>69</v>
      </c>
      <c r="C522" s="234" t="s">
        <v>71</v>
      </c>
      <c r="D522" s="234" t="s">
        <v>66</v>
      </c>
      <c r="E522" s="234" t="s">
        <v>1134</v>
      </c>
      <c r="F522" s="234" t="s">
        <v>1056</v>
      </c>
      <c r="G522" s="235">
        <f>VLOOKUP(J522,'исх АС БЮДЖЕТ'!$A$10:$H$568,6,0)</f>
        <v>3600</v>
      </c>
      <c r="H522" s="234">
        <v>110277250</v>
      </c>
      <c r="I522" s="313" t="str">
        <f t="shared" si="53"/>
        <v>0110277250</v>
      </c>
      <c r="J522" s="30" t="str">
        <f t="shared" si="54"/>
        <v>60607020110277250111</v>
      </c>
    </row>
    <row r="523" spans="1:10" s="83" customFormat="1" ht="25.5">
      <c r="A523" s="236" t="s">
        <v>935</v>
      </c>
      <c r="B523" s="233" t="s">
        <v>69</v>
      </c>
      <c r="C523" s="234" t="s">
        <v>71</v>
      </c>
      <c r="D523" s="234" t="s">
        <v>66</v>
      </c>
      <c r="E523" s="234" t="s">
        <v>1134</v>
      </c>
      <c r="F523" s="234" t="s">
        <v>1057</v>
      </c>
      <c r="G523" s="235">
        <f>VLOOKUP(J523,'исх АС БЮДЖЕТ'!$A$10:$H$568,6,0)</f>
        <v>1087.2</v>
      </c>
      <c r="H523" s="234">
        <v>110277250</v>
      </c>
      <c r="I523" s="313" t="str">
        <f t="shared" si="53"/>
        <v>0110277250</v>
      </c>
      <c r="J523" s="30" t="str">
        <f t="shared" si="54"/>
        <v>60607020110277250119</v>
      </c>
    </row>
    <row r="524" spans="1:10" s="83" customFormat="1">
      <c r="A524" s="236" t="s">
        <v>92</v>
      </c>
      <c r="B524" s="233" t="s">
        <v>69</v>
      </c>
      <c r="C524" s="234" t="s">
        <v>71</v>
      </c>
      <c r="D524" s="234" t="s">
        <v>66</v>
      </c>
      <c r="E524" s="234" t="s">
        <v>1134</v>
      </c>
      <c r="F524" s="234" t="s">
        <v>138</v>
      </c>
      <c r="G524" s="235">
        <f>G525</f>
        <v>710110.8</v>
      </c>
      <c r="H524" s="234">
        <v>110277250</v>
      </c>
      <c r="I524" s="313" t="str">
        <f t="shared" si="53"/>
        <v>0110277250</v>
      </c>
      <c r="J524" s="30" t="str">
        <f t="shared" si="54"/>
        <v>60607020110277250610</v>
      </c>
    </row>
    <row r="525" spans="1:10" s="83" customFormat="1" ht="38.25">
      <c r="A525" s="236" t="s">
        <v>1015</v>
      </c>
      <c r="B525" s="233" t="s">
        <v>69</v>
      </c>
      <c r="C525" s="234" t="s">
        <v>71</v>
      </c>
      <c r="D525" s="234" t="s">
        <v>66</v>
      </c>
      <c r="E525" s="234" t="s">
        <v>1134</v>
      </c>
      <c r="F525" s="234" t="s">
        <v>67</v>
      </c>
      <c r="G525" s="235">
        <f>VLOOKUP(J525,'исх АС БЮДЖЕТ'!$A$10:$H$568,6,0)</f>
        <v>710110.8</v>
      </c>
      <c r="H525" s="234">
        <v>110277250</v>
      </c>
      <c r="I525" s="313" t="str">
        <f t="shared" si="53"/>
        <v>0110277250</v>
      </c>
      <c r="J525" s="30" t="str">
        <f t="shared" si="54"/>
        <v>60607020110277250611</v>
      </c>
    </row>
    <row r="526" spans="1:10" s="83" customFormat="1">
      <c r="A526" s="236" t="s">
        <v>93</v>
      </c>
      <c r="B526" s="233" t="s">
        <v>69</v>
      </c>
      <c r="C526" s="234" t="s">
        <v>71</v>
      </c>
      <c r="D526" s="234" t="s">
        <v>66</v>
      </c>
      <c r="E526" s="234" t="s">
        <v>1134</v>
      </c>
      <c r="F526" s="234" t="s">
        <v>20</v>
      </c>
      <c r="G526" s="235">
        <f>G527</f>
        <v>56246.400000000001</v>
      </c>
      <c r="H526" s="234">
        <v>110277250</v>
      </c>
      <c r="I526" s="313" t="str">
        <f t="shared" si="53"/>
        <v>0110277250</v>
      </c>
      <c r="J526" s="30" t="str">
        <f t="shared" si="54"/>
        <v>60607020110277250620</v>
      </c>
    </row>
    <row r="527" spans="1:10" s="83" customFormat="1" ht="38.25">
      <c r="A527" s="236" t="s">
        <v>1018</v>
      </c>
      <c r="B527" s="233" t="s">
        <v>69</v>
      </c>
      <c r="C527" s="234" t="s">
        <v>71</v>
      </c>
      <c r="D527" s="234" t="s">
        <v>66</v>
      </c>
      <c r="E527" s="234" t="s">
        <v>1134</v>
      </c>
      <c r="F527" s="234" t="s">
        <v>16</v>
      </c>
      <c r="G527" s="235">
        <f>VLOOKUP(J527,'исх АС БЮДЖЕТ'!$A$10:$H$568,6,0)</f>
        <v>56246.400000000001</v>
      </c>
      <c r="H527" s="234">
        <v>110277250</v>
      </c>
      <c r="I527" s="313" t="str">
        <f t="shared" si="53"/>
        <v>0110277250</v>
      </c>
      <c r="J527" s="30" t="str">
        <f t="shared" si="54"/>
        <v>60607020110277250621</v>
      </c>
    </row>
    <row r="528" spans="1:10" s="30" customFormat="1" ht="38.25">
      <c r="A528" s="232" t="s">
        <v>629</v>
      </c>
      <c r="B528" s="233" t="s">
        <v>69</v>
      </c>
      <c r="C528" s="234" t="s">
        <v>71</v>
      </c>
      <c r="D528" s="234" t="s">
        <v>66</v>
      </c>
      <c r="E528" s="234" t="s">
        <v>337</v>
      </c>
      <c r="F528" s="234" t="s">
        <v>58</v>
      </c>
      <c r="G528" s="235">
        <f t="shared" ref="G528:G529" si="57">G529</f>
        <v>11338200</v>
      </c>
      <c r="H528" s="234">
        <v>110600000</v>
      </c>
      <c r="I528" s="313" t="str">
        <f t="shared" si="53"/>
        <v>0110600000</v>
      </c>
      <c r="J528" s="30" t="str">
        <f t="shared" si="54"/>
        <v>60607020110600000000</v>
      </c>
    </row>
    <row r="529" spans="1:10" s="30" customFormat="1">
      <c r="A529" s="244" t="s">
        <v>247</v>
      </c>
      <c r="B529" s="233" t="s">
        <v>69</v>
      </c>
      <c r="C529" s="234" t="s">
        <v>71</v>
      </c>
      <c r="D529" s="234" t="s">
        <v>66</v>
      </c>
      <c r="E529" s="234" t="s">
        <v>338</v>
      </c>
      <c r="F529" s="234" t="s">
        <v>58</v>
      </c>
      <c r="G529" s="235">
        <f t="shared" si="57"/>
        <v>11338200</v>
      </c>
      <c r="H529" s="234">
        <v>110611010</v>
      </c>
      <c r="I529" s="313" t="str">
        <f t="shared" si="53"/>
        <v>0110611010</v>
      </c>
      <c r="J529" s="30" t="str">
        <f t="shared" si="54"/>
        <v>60607020110611010000</v>
      </c>
    </row>
    <row r="530" spans="1:10" s="30" customFormat="1">
      <c r="A530" s="244" t="s">
        <v>92</v>
      </c>
      <c r="B530" s="233" t="s">
        <v>69</v>
      </c>
      <c r="C530" s="234" t="s">
        <v>71</v>
      </c>
      <c r="D530" s="234" t="s">
        <v>66</v>
      </c>
      <c r="E530" s="234" t="s">
        <v>338</v>
      </c>
      <c r="F530" s="234" t="s">
        <v>138</v>
      </c>
      <c r="G530" s="235">
        <f>G531</f>
        <v>11338200</v>
      </c>
      <c r="H530" s="234">
        <v>110611010</v>
      </c>
      <c r="I530" s="313" t="str">
        <f t="shared" ref="I530:I595" si="58">TEXT(H530,"0000000000")</f>
        <v>0110611010</v>
      </c>
      <c r="J530" s="30" t="str">
        <f t="shared" ref="J530:J595" si="59">CONCATENATE(B530,C530,D530,I530,F530)</f>
        <v>60607020110611010610</v>
      </c>
    </row>
    <row r="531" spans="1:10" s="83" customFormat="1">
      <c r="A531" s="236" t="s">
        <v>1016</v>
      </c>
      <c r="B531" s="233" t="s">
        <v>69</v>
      </c>
      <c r="C531" s="234" t="s">
        <v>71</v>
      </c>
      <c r="D531" s="234" t="s">
        <v>66</v>
      </c>
      <c r="E531" s="234" t="s">
        <v>338</v>
      </c>
      <c r="F531" s="234" t="s">
        <v>1046</v>
      </c>
      <c r="G531" s="235">
        <f>VLOOKUP(J531,'исх АС БЮДЖЕТ'!$A$10:$H$568,6,0)</f>
        <v>11338200</v>
      </c>
      <c r="H531" s="234">
        <v>110611010</v>
      </c>
      <c r="I531" s="313" t="str">
        <f t="shared" si="58"/>
        <v>0110611010</v>
      </c>
      <c r="J531" s="30" t="str">
        <f t="shared" si="59"/>
        <v>60607020110611010612</v>
      </c>
    </row>
    <row r="532" spans="1:10" s="30" customFormat="1" ht="25.5">
      <c r="A532" s="244" t="s">
        <v>724</v>
      </c>
      <c r="B532" s="233" t="s">
        <v>69</v>
      </c>
      <c r="C532" s="234" t="s">
        <v>71</v>
      </c>
      <c r="D532" s="234" t="s">
        <v>66</v>
      </c>
      <c r="E532" s="234" t="s">
        <v>562</v>
      </c>
      <c r="F532" s="234" t="s">
        <v>58</v>
      </c>
      <c r="G532" s="235">
        <f>G533</f>
        <v>3720000</v>
      </c>
      <c r="H532" s="234">
        <v>120000000</v>
      </c>
      <c r="I532" s="313" t="str">
        <f t="shared" si="58"/>
        <v>0120000000</v>
      </c>
      <c r="J532" s="30" t="str">
        <f t="shared" si="59"/>
        <v>60607020120000000000</v>
      </c>
    </row>
    <row r="533" spans="1:10" s="30" customFormat="1" ht="38.25">
      <c r="A533" s="244" t="s">
        <v>642</v>
      </c>
      <c r="B533" s="233" t="s">
        <v>69</v>
      </c>
      <c r="C533" s="234" t="s">
        <v>71</v>
      </c>
      <c r="D533" s="234" t="s">
        <v>66</v>
      </c>
      <c r="E533" s="234" t="s">
        <v>563</v>
      </c>
      <c r="F533" s="234" t="s">
        <v>58</v>
      </c>
      <c r="G533" s="235">
        <f>G534</f>
        <v>3720000</v>
      </c>
      <c r="H533" s="234">
        <v>120100000</v>
      </c>
      <c r="I533" s="313" t="str">
        <f t="shared" si="58"/>
        <v>0120100000</v>
      </c>
      <c r="J533" s="30" t="str">
        <f t="shared" si="59"/>
        <v>60607020120100000000</v>
      </c>
    </row>
    <row r="534" spans="1:10" s="30" customFormat="1" ht="25.5">
      <c r="A534" s="244" t="s">
        <v>154</v>
      </c>
      <c r="B534" s="233" t="s">
        <v>69</v>
      </c>
      <c r="C534" s="234" t="s">
        <v>71</v>
      </c>
      <c r="D534" s="234" t="s">
        <v>66</v>
      </c>
      <c r="E534" s="234" t="s">
        <v>564</v>
      </c>
      <c r="F534" s="234" t="s">
        <v>58</v>
      </c>
      <c r="G534" s="235">
        <f>G535</f>
        <v>3720000</v>
      </c>
      <c r="H534" s="234">
        <v>120140010</v>
      </c>
      <c r="I534" s="313" t="str">
        <f t="shared" si="58"/>
        <v>0120140010</v>
      </c>
      <c r="J534" s="30" t="str">
        <f t="shared" si="59"/>
        <v>60607020120140010000</v>
      </c>
    </row>
    <row r="535" spans="1:10" s="30" customFormat="1" ht="76.5">
      <c r="A535" s="244" t="s">
        <v>868</v>
      </c>
      <c r="B535" s="233" t="s">
        <v>69</v>
      </c>
      <c r="C535" s="234" t="s">
        <v>71</v>
      </c>
      <c r="D535" s="234" t="s">
        <v>66</v>
      </c>
      <c r="E535" s="234" t="s">
        <v>564</v>
      </c>
      <c r="F535" s="234" t="s">
        <v>848</v>
      </c>
      <c r="G535" s="235">
        <f>G536</f>
        <v>3720000</v>
      </c>
      <c r="H535" s="234">
        <v>120140010</v>
      </c>
      <c r="I535" s="313" t="str">
        <f t="shared" si="58"/>
        <v>0120140010</v>
      </c>
      <c r="J535" s="30" t="str">
        <f t="shared" si="59"/>
        <v>60607020120140010460</v>
      </c>
    </row>
    <row r="536" spans="1:10" s="83" customFormat="1" ht="38.25">
      <c r="A536" s="236" t="s">
        <v>999</v>
      </c>
      <c r="B536" s="233" t="s">
        <v>69</v>
      </c>
      <c r="C536" s="234" t="s">
        <v>71</v>
      </c>
      <c r="D536" s="234" t="s">
        <v>66</v>
      </c>
      <c r="E536" s="234" t="s">
        <v>564</v>
      </c>
      <c r="F536" s="234" t="s">
        <v>1058</v>
      </c>
      <c r="G536" s="235">
        <f>VLOOKUP(J536,'исх АС БЮДЖЕТ'!$A$10:$H$568,6,0)</f>
        <v>3720000</v>
      </c>
      <c r="H536" s="234">
        <v>120140010</v>
      </c>
      <c r="I536" s="313" t="str">
        <f t="shared" si="58"/>
        <v>0120140010</v>
      </c>
      <c r="J536" s="30" t="str">
        <f t="shared" si="59"/>
        <v>60607020120140010465</v>
      </c>
    </row>
    <row r="537" spans="1:10" s="30" customFormat="1" ht="25.5">
      <c r="A537" s="236" t="s">
        <v>752</v>
      </c>
      <c r="B537" s="233" t="s">
        <v>69</v>
      </c>
      <c r="C537" s="234" t="s">
        <v>71</v>
      </c>
      <c r="D537" s="234" t="s">
        <v>66</v>
      </c>
      <c r="E537" s="234" t="s">
        <v>249</v>
      </c>
      <c r="F537" s="234" t="s">
        <v>58</v>
      </c>
      <c r="G537" s="235">
        <f>G538+G543</f>
        <v>2235500</v>
      </c>
      <c r="H537" s="234">
        <v>1500000000</v>
      </c>
      <c r="I537" s="313" t="str">
        <f t="shared" si="58"/>
        <v>1500000000</v>
      </c>
      <c r="J537" s="30" t="str">
        <f t="shared" si="59"/>
        <v>60607021500000000000</v>
      </c>
    </row>
    <row r="538" spans="1:10" s="30" customFormat="1">
      <c r="A538" s="236" t="s">
        <v>754</v>
      </c>
      <c r="B538" s="233" t="s">
        <v>69</v>
      </c>
      <c r="C538" s="234" t="s">
        <v>71</v>
      </c>
      <c r="D538" s="234" t="s">
        <v>66</v>
      </c>
      <c r="E538" s="234" t="s">
        <v>251</v>
      </c>
      <c r="F538" s="234" t="s">
        <v>58</v>
      </c>
      <c r="G538" s="235">
        <f t="shared" ref="G538:G540" si="60">G539</f>
        <v>263500</v>
      </c>
      <c r="H538" s="234">
        <v>1520000000</v>
      </c>
      <c r="I538" s="313" t="str">
        <f t="shared" si="58"/>
        <v>1520000000</v>
      </c>
      <c r="J538" s="30" t="str">
        <f t="shared" si="59"/>
        <v>60607021520000000000</v>
      </c>
    </row>
    <row r="539" spans="1:10" s="30" customFormat="1" ht="25.5">
      <c r="A539" s="236" t="s">
        <v>611</v>
      </c>
      <c r="B539" s="233" t="s">
        <v>69</v>
      </c>
      <c r="C539" s="234" t="s">
        <v>71</v>
      </c>
      <c r="D539" s="234" t="s">
        <v>66</v>
      </c>
      <c r="E539" s="234" t="s">
        <v>252</v>
      </c>
      <c r="F539" s="234" t="s">
        <v>58</v>
      </c>
      <c r="G539" s="235">
        <f t="shared" si="60"/>
        <v>263500</v>
      </c>
      <c r="H539" s="234">
        <v>1520200000</v>
      </c>
      <c r="I539" s="313" t="str">
        <f t="shared" si="58"/>
        <v>1520200000</v>
      </c>
      <c r="J539" s="30" t="str">
        <f t="shared" si="59"/>
        <v>60607021520200000000</v>
      </c>
    </row>
    <row r="540" spans="1:10" s="30" customFormat="1" ht="38.25">
      <c r="A540" s="237" t="s">
        <v>873</v>
      </c>
      <c r="B540" s="233" t="s">
        <v>69</v>
      </c>
      <c r="C540" s="234" t="s">
        <v>71</v>
      </c>
      <c r="D540" s="234" t="s">
        <v>66</v>
      </c>
      <c r="E540" s="234" t="s">
        <v>253</v>
      </c>
      <c r="F540" s="234" t="s">
        <v>58</v>
      </c>
      <c r="G540" s="235">
        <f t="shared" si="60"/>
        <v>263500</v>
      </c>
      <c r="H540" s="234">
        <v>1520220370</v>
      </c>
      <c r="I540" s="313" t="str">
        <f t="shared" si="58"/>
        <v>1520220370</v>
      </c>
      <c r="J540" s="30" t="str">
        <f t="shared" si="59"/>
        <v>60607021520220370000</v>
      </c>
    </row>
    <row r="541" spans="1:10" s="30" customFormat="1">
      <c r="A541" s="244" t="s">
        <v>92</v>
      </c>
      <c r="B541" s="233" t="s">
        <v>69</v>
      </c>
      <c r="C541" s="234" t="s">
        <v>71</v>
      </c>
      <c r="D541" s="234" t="s">
        <v>66</v>
      </c>
      <c r="E541" s="234" t="s">
        <v>253</v>
      </c>
      <c r="F541" s="234" t="s">
        <v>138</v>
      </c>
      <c r="G541" s="235">
        <f>G542</f>
        <v>263500</v>
      </c>
      <c r="H541" s="234">
        <v>1520220370</v>
      </c>
      <c r="I541" s="313" t="str">
        <f t="shared" si="58"/>
        <v>1520220370</v>
      </c>
      <c r="J541" s="30" t="str">
        <f t="shared" si="59"/>
        <v>60607021520220370610</v>
      </c>
    </row>
    <row r="542" spans="1:10" s="83" customFormat="1">
      <c r="A542" s="236" t="s">
        <v>1016</v>
      </c>
      <c r="B542" s="233" t="s">
        <v>69</v>
      </c>
      <c r="C542" s="234" t="s">
        <v>71</v>
      </c>
      <c r="D542" s="234" t="s">
        <v>66</v>
      </c>
      <c r="E542" s="234" t="s">
        <v>253</v>
      </c>
      <c r="F542" s="234" t="s">
        <v>1046</v>
      </c>
      <c r="G542" s="235">
        <f>VLOOKUP(J542,'исх АС БЮДЖЕТ'!$A$10:$H$568,6,0)</f>
        <v>263500</v>
      </c>
      <c r="H542" s="234">
        <v>1520220370</v>
      </c>
      <c r="I542" s="313" t="str">
        <f t="shared" si="58"/>
        <v>1520220370</v>
      </c>
      <c r="J542" s="30" t="str">
        <f t="shared" si="59"/>
        <v>60607021520220370612</v>
      </c>
    </row>
    <row r="543" spans="1:10" s="30" customFormat="1">
      <c r="A543" s="232" t="s">
        <v>755</v>
      </c>
      <c r="B543" s="233" t="s">
        <v>69</v>
      </c>
      <c r="C543" s="234" t="s">
        <v>71</v>
      </c>
      <c r="D543" s="234" t="s">
        <v>66</v>
      </c>
      <c r="E543" s="234" t="s">
        <v>256</v>
      </c>
      <c r="F543" s="234" t="s">
        <v>58</v>
      </c>
      <c r="G543" s="235">
        <f t="shared" ref="G543:G544" si="61">G544</f>
        <v>1972000</v>
      </c>
      <c r="H543" s="234">
        <v>1530000000</v>
      </c>
      <c r="I543" s="313" t="str">
        <f t="shared" si="58"/>
        <v>1530000000</v>
      </c>
      <c r="J543" s="30" t="str">
        <f t="shared" si="59"/>
        <v>60607021530000000000</v>
      </c>
    </row>
    <row r="544" spans="1:10" s="30" customFormat="1">
      <c r="A544" s="232" t="s">
        <v>616</v>
      </c>
      <c r="B544" s="233" t="s">
        <v>69</v>
      </c>
      <c r="C544" s="234" t="s">
        <v>71</v>
      </c>
      <c r="D544" s="234" t="s">
        <v>66</v>
      </c>
      <c r="E544" s="234" t="s">
        <v>321</v>
      </c>
      <c r="F544" s="234" t="s">
        <v>58</v>
      </c>
      <c r="G544" s="235">
        <f t="shared" si="61"/>
        <v>1972000</v>
      </c>
      <c r="H544" s="234">
        <v>1530100000</v>
      </c>
      <c r="I544" s="313" t="str">
        <f t="shared" si="58"/>
        <v>1530100000</v>
      </c>
      <c r="J544" s="30" t="str">
        <f t="shared" si="59"/>
        <v>60607021530100000000</v>
      </c>
    </row>
    <row r="545" spans="1:10" s="30" customFormat="1" ht="25.5">
      <c r="A545" s="232" t="s">
        <v>133</v>
      </c>
      <c r="B545" s="233" t="s">
        <v>69</v>
      </c>
      <c r="C545" s="234" t="s">
        <v>71</v>
      </c>
      <c r="D545" s="234" t="s">
        <v>66</v>
      </c>
      <c r="E545" s="234" t="s">
        <v>322</v>
      </c>
      <c r="F545" s="234" t="s">
        <v>58</v>
      </c>
      <c r="G545" s="235">
        <f>G546+G548</f>
        <v>1972000</v>
      </c>
      <c r="H545" s="234">
        <v>1530120660</v>
      </c>
      <c r="I545" s="313" t="str">
        <f t="shared" si="58"/>
        <v>1530120660</v>
      </c>
      <c r="J545" s="30" t="str">
        <f t="shared" si="59"/>
        <v>60607021530120660000</v>
      </c>
    </row>
    <row r="546" spans="1:10" s="30" customFormat="1">
      <c r="A546" s="244" t="s">
        <v>92</v>
      </c>
      <c r="B546" s="233" t="s">
        <v>69</v>
      </c>
      <c r="C546" s="234" t="s">
        <v>71</v>
      </c>
      <c r="D546" s="234" t="s">
        <v>66</v>
      </c>
      <c r="E546" s="234" t="s">
        <v>322</v>
      </c>
      <c r="F546" s="234" t="s">
        <v>138</v>
      </c>
      <c r="G546" s="235">
        <f>G547</f>
        <v>1949540.4</v>
      </c>
      <c r="H546" s="234">
        <v>1530120660</v>
      </c>
      <c r="I546" s="313" t="str">
        <f t="shared" si="58"/>
        <v>1530120660</v>
      </c>
      <c r="J546" s="30" t="str">
        <f t="shared" si="59"/>
        <v>60607021530120660610</v>
      </c>
    </row>
    <row r="547" spans="1:10" s="83" customFormat="1">
      <c r="A547" s="236" t="s">
        <v>1016</v>
      </c>
      <c r="B547" s="233" t="s">
        <v>69</v>
      </c>
      <c r="C547" s="234" t="s">
        <v>71</v>
      </c>
      <c r="D547" s="234" t="s">
        <v>66</v>
      </c>
      <c r="E547" s="234" t="s">
        <v>322</v>
      </c>
      <c r="F547" s="234" t="s">
        <v>1046</v>
      </c>
      <c r="G547" s="235">
        <f>VLOOKUP(J547,'исх АС БЮДЖЕТ'!$A$10:$H$568,6,0)</f>
        <v>1949540.4</v>
      </c>
      <c r="H547" s="234">
        <v>1530120660</v>
      </c>
      <c r="I547" s="313" t="str">
        <f t="shared" si="58"/>
        <v>1530120660</v>
      </c>
      <c r="J547" s="30" t="str">
        <f t="shared" si="59"/>
        <v>60607021530120660612</v>
      </c>
    </row>
    <row r="548" spans="1:10" s="83" customFormat="1">
      <c r="A548" s="244" t="s">
        <v>93</v>
      </c>
      <c r="B548" s="233" t="s">
        <v>69</v>
      </c>
      <c r="C548" s="234" t="s">
        <v>71</v>
      </c>
      <c r="D548" s="234" t="s">
        <v>66</v>
      </c>
      <c r="E548" s="234" t="s">
        <v>322</v>
      </c>
      <c r="F548" s="234" t="s">
        <v>20</v>
      </c>
      <c r="G548" s="235">
        <f>G549</f>
        <v>22459.599999999999</v>
      </c>
      <c r="H548" s="234">
        <v>1530120660</v>
      </c>
      <c r="I548" s="313" t="str">
        <f t="shared" ref="I548:I549" si="62">TEXT(H548,"0000000000")</f>
        <v>1530120660</v>
      </c>
      <c r="J548" s="30" t="str">
        <f t="shared" si="59"/>
        <v>60607021530120660620</v>
      </c>
    </row>
    <row r="549" spans="1:10" s="83" customFormat="1">
      <c r="A549" s="236" t="s">
        <v>1019</v>
      </c>
      <c r="B549" s="233" t="s">
        <v>69</v>
      </c>
      <c r="C549" s="234" t="s">
        <v>71</v>
      </c>
      <c r="D549" s="234" t="s">
        <v>66</v>
      </c>
      <c r="E549" s="234" t="s">
        <v>322</v>
      </c>
      <c r="F549" s="234" t="s">
        <v>1054</v>
      </c>
      <c r="G549" s="235">
        <f>VLOOKUP(J549,'исх АС БЮДЖЕТ'!$A$10:$H$568,6,0)</f>
        <v>22459.599999999999</v>
      </c>
      <c r="H549" s="234">
        <v>1530120660</v>
      </c>
      <c r="I549" s="313" t="str">
        <f t="shared" si="62"/>
        <v>1530120660</v>
      </c>
      <c r="J549" s="30" t="str">
        <f t="shared" si="59"/>
        <v>60607021530120660622</v>
      </c>
    </row>
    <row r="550" spans="1:10" s="30" customFormat="1" ht="51">
      <c r="A550" s="232" t="s">
        <v>756</v>
      </c>
      <c r="B550" s="233" t="s">
        <v>69</v>
      </c>
      <c r="C550" s="234" t="s">
        <v>71</v>
      </c>
      <c r="D550" s="234" t="s">
        <v>66</v>
      </c>
      <c r="E550" s="234" t="s">
        <v>339</v>
      </c>
      <c r="F550" s="234" t="s">
        <v>58</v>
      </c>
      <c r="G550" s="235">
        <f t="shared" ref="G550:G552" si="63">G551</f>
        <v>3076060</v>
      </c>
      <c r="H550" s="234">
        <v>1600000000</v>
      </c>
      <c r="I550" s="313" t="str">
        <f t="shared" si="58"/>
        <v>1600000000</v>
      </c>
      <c r="J550" s="30" t="str">
        <f t="shared" si="59"/>
        <v>60607021600000000000</v>
      </c>
    </row>
    <row r="551" spans="1:10" s="30" customFormat="1" ht="25.5">
      <c r="A551" s="232" t="s">
        <v>136</v>
      </c>
      <c r="B551" s="233" t="s">
        <v>69</v>
      </c>
      <c r="C551" s="234" t="s">
        <v>71</v>
      </c>
      <c r="D551" s="234" t="s">
        <v>66</v>
      </c>
      <c r="E551" s="234" t="s">
        <v>340</v>
      </c>
      <c r="F551" s="234" t="s">
        <v>58</v>
      </c>
      <c r="G551" s="235">
        <f t="shared" si="63"/>
        <v>3076060</v>
      </c>
      <c r="H551" s="234">
        <v>1620000000</v>
      </c>
      <c r="I551" s="313" t="str">
        <f t="shared" si="58"/>
        <v>1620000000</v>
      </c>
      <c r="J551" s="30" t="str">
        <f t="shared" si="59"/>
        <v>60607021620000000000</v>
      </c>
    </row>
    <row r="552" spans="1:10" s="30" customFormat="1" ht="25.5">
      <c r="A552" s="232" t="s">
        <v>667</v>
      </c>
      <c r="B552" s="233" t="s">
        <v>69</v>
      </c>
      <c r="C552" s="234" t="s">
        <v>71</v>
      </c>
      <c r="D552" s="234" t="s">
        <v>66</v>
      </c>
      <c r="E552" s="234" t="s">
        <v>609</v>
      </c>
      <c r="F552" s="234" t="s">
        <v>58</v>
      </c>
      <c r="G552" s="235">
        <f t="shared" si="63"/>
        <v>3076060</v>
      </c>
      <c r="H552" s="234">
        <v>1620200000</v>
      </c>
      <c r="I552" s="313" t="str">
        <f t="shared" si="58"/>
        <v>1620200000</v>
      </c>
      <c r="J552" s="30" t="str">
        <f t="shared" si="59"/>
        <v>60607021620200000000</v>
      </c>
    </row>
    <row r="553" spans="1:10" s="30" customFormat="1" ht="25.5">
      <c r="A553" s="232" t="s">
        <v>177</v>
      </c>
      <c r="B553" s="233" t="s">
        <v>69</v>
      </c>
      <c r="C553" s="234" t="s">
        <v>71</v>
      </c>
      <c r="D553" s="234" t="s">
        <v>66</v>
      </c>
      <c r="E553" s="234" t="s">
        <v>610</v>
      </c>
      <c r="F553" s="234" t="s">
        <v>58</v>
      </c>
      <c r="G553" s="235">
        <f>G554+G556</f>
        <v>3076060</v>
      </c>
      <c r="H553" s="234">
        <v>1620220550</v>
      </c>
      <c r="I553" s="313" t="str">
        <f t="shared" si="58"/>
        <v>1620220550</v>
      </c>
      <c r="J553" s="30" t="str">
        <f t="shared" si="59"/>
        <v>60607021620220550000</v>
      </c>
    </row>
    <row r="554" spans="1:10" s="30" customFormat="1">
      <c r="A554" s="244" t="s">
        <v>92</v>
      </c>
      <c r="B554" s="233" t="s">
        <v>69</v>
      </c>
      <c r="C554" s="234" t="s">
        <v>71</v>
      </c>
      <c r="D554" s="234" t="s">
        <v>66</v>
      </c>
      <c r="E554" s="234" t="s">
        <v>610</v>
      </c>
      <c r="F554" s="234" t="s">
        <v>138</v>
      </c>
      <c r="G554" s="235">
        <f>G555</f>
        <v>2927360</v>
      </c>
      <c r="H554" s="234">
        <v>1620220550</v>
      </c>
      <c r="I554" s="313" t="str">
        <f t="shared" si="58"/>
        <v>1620220550</v>
      </c>
      <c r="J554" s="30" t="str">
        <f t="shared" si="59"/>
        <v>60607021620220550610</v>
      </c>
    </row>
    <row r="555" spans="1:10" s="83" customFormat="1">
      <c r="A555" s="236" t="s">
        <v>1016</v>
      </c>
      <c r="B555" s="233" t="s">
        <v>69</v>
      </c>
      <c r="C555" s="234" t="s">
        <v>71</v>
      </c>
      <c r="D555" s="234" t="s">
        <v>66</v>
      </c>
      <c r="E555" s="234" t="s">
        <v>610</v>
      </c>
      <c r="F555" s="234" t="s">
        <v>1046</v>
      </c>
      <c r="G555" s="235">
        <f>VLOOKUP(J555,'исх АС БЮДЖЕТ'!$A$10:$H$568,6,0)</f>
        <v>2927360</v>
      </c>
      <c r="H555" s="234">
        <v>1620220550</v>
      </c>
      <c r="I555" s="313" t="str">
        <f t="shared" si="58"/>
        <v>1620220550</v>
      </c>
      <c r="J555" s="30" t="str">
        <f t="shared" si="59"/>
        <v>60607021620220550612</v>
      </c>
    </row>
    <row r="556" spans="1:10" s="30" customFormat="1">
      <c r="A556" s="244" t="s">
        <v>93</v>
      </c>
      <c r="B556" s="233" t="s">
        <v>69</v>
      </c>
      <c r="C556" s="234" t="s">
        <v>71</v>
      </c>
      <c r="D556" s="234" t="s">
        <v>66</v>
      </c>
      <c r="E556" s="234" t="s">
        <v>610</v>
      </c>
      <c r="F556" s="234" t="s">
        <v>20</v>
      </c>
      <c r="G556" s="235">
        <f>G557</f>
        <v>148700</v>
      </c>
      <c r="H556" s="234">
        <v>1620220550</v>
      </c>
      <c r="I556" s="313" t="str">
        <f t="shared" si="58"/>
        <v>1620220550</v>
      </c>
      <c r="J556" s="30" t="str">
        <f t="shared" si="59"/>
        <v>60607021620220550620</v>
      </c>
    </row>
    <row r="557" spans="1:10" s="83" customFormat="1">
      <c r="A557" s="236" t="s">
        <v>1019</v>
      </c>
      <c r="B557" s="233" t="s">
        <v>69</v>
      </c>
      <c r="C557" s="234" t="s">
        <v>71</v>
      </c>
      <c r="D557" s="234" t="s">
        <v>66</v>
      </c>
      <c r="E557" s="234" t="s">
        <v>610</v>
      </c>
      <c r="F557" s="234" t="s">
        <v>1054</v>
      </c>
      <c r="G557" s="235">
        <f>VLOOKUP(J557,'исх АС БЮДЖЕТ'!$A$10:$H$568,6,0)</f>
        <v>148700</v>
      </c>
      <c r="H557" s="234">
        <v>1620220550</v>
      </c>
      <c r="I557" s="313" t="str">
        <f t="shared" si="58"/>
        <v>1620220550</v>
      </c>
      <c r="J557" s="30" t="str">
        <f t="shared" si="59"/>
        <v>60607021620220550622</v>
      </c>
    </row>
    <row r="558" spans="1:10" s="30" customFormat="1">
      <c r="A558" s="244" t="s">
        <v>759</v>
      </c>
      <c r="B558" s="233" t="s">
        <v>69</v>
      </c>
      <c r="C558" s="234" t="s">
        <v>71</v>
      </c>
      <c r="D558" s="234" t="s">
        <v>66</v>
      </c>
      <c r="E558" s="234" t="s">
        <v>259</v>
      </c>
      <c r="F558" s="234" t="s">
        <v>58</v>
      </c>
      <c r="G558" s="235">
        <f t="shared" ref="G558:G561" si="64">G559</f>
        <v>102000</v>
      </c>
      <c r="H558" s="234">
        <v>1800000000</v>
      </c>
      <c r="I558" s="313" t="str">
        <f t="shared" si="58"/>
        <v>1800000000</v>
      </c>
      <c r="J558" s="30" t="str">
        <f t="shared" si="59"/>
        <v>60607021800000000000</v>
      </c>
    </row>
    <row r="559" spans="1:10" s="30" customFormat="1" ht="25.5">
      <c r="A559" s="244" t="s">
        <v>760</v>
      </c>
      <c r="B559" s="233" t="s">
        <v>69</v>
      </c>
      <c r="C559" s="234" t="s">
        <v>71</v>
      </c>
      <c r="D559" s="234" t="s">
        <v>66</v>
      </c>
      <c r="E559" s="234" t="s">
        <v>260</v>
      </c>
      <c r="F559" s="234" t="s">
        <v>58</v>
      </c>
      <c r="G559" s="235">
        <f t="shared" si="64"/>
        <v>102000</v>
      </c>
      <c r="H559" s="234" t="s">
        <v>1182</v>
      </c>
      <c r="I559" s="313" t="str">
        <f t="shared" si="58"/>
        <v>18Б0000000</v>
      </c>
      <c r="J559" s="30" t="str">
        <f t="shared" si="59"/>
        <v>606070218Б0000000000</v>
      </c>
    </row>
    <row r="560" spans="1:10" s="30" customFormat="1" ht="51">
      <c r="A560" s="232" t="s">
        <v>784</v>
      </c>
      <c r="B560" s="233" t="s">
        <v>69</v>
      </c>
      <c r="C560" s="234" t="s">
        <v>71</v>
      </c>
      <c r="D560" s="234" t="s">
        <v>66</v>
      </c>
      <c r="E560" s="234" t="s">
        <v>785</v>
      </c>
      <c r="F560" s="234" t="s">
        <v>58</v>
      </c>
      <c r="G560" s="235">
        <f t="shared" si="64"/>
        <v>102000</v>
      </c>
      <c r="H560" s="234" t="s">
        <v>1205</v>
      </c>
      <c r="I560" s="313" t="str">
        <f t="shared" si="58"/>
        <v>18Б0200000</v>
      </c>
      <c r="J560" s="30" t="str">
        <f t="shared" si="59"/>
        <v>606070218Б0200000000</v>
      </c>
    </row>
    <row r="561" spans="1:10" s="30" customFormat="1" ht="25.5">
      <c r="A561" s="232" t="s">
        <v>786</v>
      </c>
      <c r="B561" s="233" t="s">
        <v>69</v>
      </c>
      <c r="C561" s="234" t="s">
        <v>71</v>
      </c>
      <c r="D561" s="234" t="s">
        <v>66</v>
      </c>
      <c r="E561" s="234" t="s">
        <v>787</v>
      </c>
      <c r="F561" s="234" t="s">
        <v>58</v>
      </c>
      <c r="G561" s="235">
        <f t="shared" si="64"/>
        <v>102000</v>
      </c>
      <c r="H561" s="234" t="s">
        <v>1206</v>
      </c>
      <c r="I561" s="313" t="str">
        <f t="shared" si="58"/>
        <v>18Б0220360</v>
      </c>
      <c r="J561" s="30" t="str">
        <f t="shared" si="59"/>
        <v>606070218Б0220360000</v>
      </c>
    </row>
    <row r="562" spans="1:10" s="30" customFormat="1">
      <c r="A562" s="244" t="s">
        <v>92</v>
      </c>
      <c r="B562" s="233" t="s">
        <v>69</v>
      </c>
      <c r="C562" s="234" t="s">
        <v>71</v>
      </c>
      <c r="D562" s="234" t="s">
        <v>66</v>
      </c>
      <c r="E562" s="234" t="s">
        <v>787</v>
      </c>
      <c r="F562" s="234" t="s">
        <v>138</v>
      </c>
      <c r="G562" s="235">
        <f>G563</f>
        <v>102000</v>
      </c>
      <c r="H562" s="234" t="s">
        <v>1206</v>
      </c>
      <c r="I562" s="313" t="str">
        <f t="shared" si="58"/>
        <v>18Б0220360</v>
      </c>
      <c r="J562" s="30" t="str">
        <f t="shared" si="59"/>
        <v>606070218Б0220360610</v>
      </c>
    </row>
    <row r="563" spans="1:10" s="83" customFormat="1">
      <c r="A563" s="236" t="s">
        <v>1016</v>
      </c>
      <c r="B563" s="233" t="s">
        <v>69</v>
      </c>
      <c r="C563" s="234" t="s">
        <v>71</v>
      </c>
      <c r="D563" s="234" t="s">
        <v>66</v>
      </c>
      <c r="E563" s="234" t="s">
        <v>787</v>
      </c>
      <c r="F563" s="234" t="s">
        <v>1046</v>
      </c>
      <c r="G563" s="235">
        <f>VLOOKUP(J563,'исх АС БЮДЖЕТ'!$A$10:$H$568,6,0)</f>
        <v>102000</v>
      </c>
      <c r="H563" s="234" t="s">
        <v>1206</v>
      </c>
      <c r="I563" s="313" t="str">
        <f t="shared" si="58"/>
        <v>18Б0220360</v>
      </c>
      <c r="J563" s="30" t="str">
        <f t="shared" si="59"/>
        <v>606070218Б0220360612</v>
      </c>
    </row>
    <row r="564" spans="1:10" s="30" customFormat="1">
      <c r="A564" s="228" t="s">
        <v>779</v>
      </c>
      <c r="B564" s="229" t="s">
        <v>69</v>
      </c>
      <c r="C564" s="230" t="s">
        <v>71</v>
      </c>
      <c r="D564" s="230" t="s">
        <v>53</v>
      </c>
      <c r="E564" s="230" t="s">
        <v>196</v>
      </c>
      <c r="F564" s="230" t="s">
        <v>58</v>
      </c>
      <c r="G564" s="231">
        <f>G565+G578</f>
        <v>163921501.19999999</v>
      </c>
      <c r="H564" s="230">
        <v>0</v>
      </c>
      <c r="I564" s="313" t="str">
        <f t="shared" si="58"/>
        <v>0000000000</v>
      </c>
      <c r="J564" s="30" t="str">
        <f t="shared" si="59"/>
        <v>60607030000000000000</v>
      </c>
    </row>
    <row r="565" spans="1:10" s="30" customFormat="1">
      <c r="A565" s="244" t="s">
        <v>723</v>
      </c>
      <c r="B565" s="233" t="s">
        <v>69</v>
      </c>
      <c r="C565" s="234" t="s">
        <v>71</v>
      </c>
      <c r="D565" s="234" t="s">
        <v>53</v>
      </c>
      <c r="E565" s="234" t="s">
        <v>331</v>
      </c>
      <c r="F565" s="234" t="s">
        <v>58</v>
      </c>
      <c r="G565" s="235">
        <f>G566</f>
        <v>163576001.19999999</v>
      </c>
      <c r="H565" s="234">
        <v>100000000</v>
      </c>
      <c r="I565" s="313" t="str">
        <f t="shared" si="58"/>
        <v>0100000000</v>
      </c>
      <c r="J565" s="30" t="str">
        <f t="shared" si="59"/>
        <v>60607030100000000000</v>
      </c>
    </row>
    <row r="566" spans="1:10" s="30" customFormat="1" ht="25.5">
      <c r="A566" s="244" t="s">
        <v>860</v>
      </c>
      <c r="B566" s="233" t="s">
        <v>69</v>
      </c>
      <c r="C566" s="234" t="s">
        <v>71</v>
      </c>
      <c r="D566" s="234" t="s">
        <v>53</v>
      </c>
      <c r="E566" s="234" t="s">
        <v>332</v>
      </c>
      <c r="F566" s="234" t="s">
        <v>58</v>
      </c>
      <c r="G566" s="235">
        <f>G567</f>
        <v>163576001.19999999</v>
      </c>
      <c r="H566" s="234">
        <v>110000000</v>
      </c>
      <c r="I566" s="313" t="str">
        <f t="shared" si="58"/>
        <v>0110000000</v>
      </c>
      <c r="J566" s="30" t="str">
        <f t="shared" si="59"/>
        <v>60607030110000000000</v>
      </c>
    </row>
    <row r="567" spans="1:10" s="30" customFormat="1" ht="25.5">
      <c r="A567" s="237" t="s">
        <v>630</v>
      </c>
      <c r="B567" s="241" t="s">
        <v>69</v>
      </c>
      <c r="C567" s="242" t="s">
        <v>71</v>
      </c>
      <c r="D567" s="242" t="s">
        <v>53</v>
      </c>
      <c r="E567" s="242" t="s">
        <v>351</v>
      </c>
      <c r="F567" s="242" t="s">
        <v>58</v>
      </c>
      <c r="G567" s="243">
        <f>G568+G573</f>
        <v>163576001.19999999</v>
      </c>
      <c r="H567" s="242">
        <v>110300000</v>
      </c>
      <c r="I567" s="313" t="str">
        <f t="shared" si="58"/>
        <v>0110300000</v>
      </c>
      <c r="J567" s="30" t="str">
        <f t="shared" si="59"/>
        <v>60607030110300000000</v>
      </c>
    </row>
    <row r="568" spans="1:10" s="30" customFormat="1">
      <c r="A568" s="252" t="s">
        <v>247</v>
      </c>
      <c r="B568" s="241" t="s">
        <v>69</v>
      </c>
      <c r="C568" s="242" t="s">
        <v>71</v>
      </c>
      <c r="D568" s="242" t="s">
        <v>53</v>
      </c>
      <c r="E568" s="242" t="s">
        <v>352</v>
      </c>
      <c r="F568" s="242" t="s">
        <v>58</v>
      </c>
      <c r="G568" s="243">
        <f>G569+G571</f>
        <v>163360390</v>
      </c>
      <c r="H568" s="242">
        <v>110311010</v>
      </c>
      <c r="I568" s="313" t="str">
        <f t="shared" si="58"/>
        <v>0110311010</v>
      </c>
      <c r="J568" s="30" t="str">
        <f t="shared" si="59"/>
        <v>60607030110311010000</v>
      </c>
    </row>
    <row r="569" spans="1:10" s="30" customFormat="1">
      <c r="A569" s="252" t="s">
        <v>92</v>
      </c>
      <c r="B569" s="241" t="s">
        <v>69</v>
      </c>
      <c r="C569" s="242" t="s">
        <v>71</v>
      </c>
      <c r="D569" s="242" t="s">
        <v>53</v>
      </c>
      <c r="E569" s="242" t="s">
        <v>352</v>
      </c>
      <c r="F569" s="242" t="s">
        <v>138</v>
      </c>
      <c r="G569" s="235">
        <f>G570</f>
        <v>145509430</v>
      </c>
      <c r="H569" s="242">
        <v>110311010</v>
      </c>
      <c r="I569" s="313" t="str">
        <f t="shared" si="58"/>
        <v>0110311010</v>
      </c>
      <c r="J569" s="30" t="str">
        <f t="shared" si="59"/>
        <v>60607030110311010610</v>
      </c>
    </row>
    <row r="570" spans="1:10" s="83" customFormat="1" ht="38.25">
      <c r="A570" s="236" t="s">
        <v>1015</v>
      </c>
      <c r="B570" s="241" t="s">
        <v>69</v>
      </c>
      <c r="C570" s="242" t="s">
        <v>71</v>
      </c>
      <c r="D570" s="242" t="s">
        <v>53</v>
      </c>
      <c r="E570" s="242" t="s">
        <v>352</v>
      </c>
      <c r="F570" s="242" t="s">
        <v>67</v>
      </c>
      <c r="G570" s="235">
        <f>VLOOKUP(J570,'исх АС БЮДЖЕТ'!$A$10:$H$568,6,0)</f>
        <v>145509430</v>
      </c>
      <c r="H570" s="242">
        <v>110311010</v>
      </c>
      <c r="I570" s="313" t="str">
        <f t="shared" si="58"/>
        <v>0110311010</v>
      </c>
      <c r="J570" s="30" t="str">
        <f t="shared" si="59"/>
        <v>60607030110311010611</v>
      </c>
    </row>
    <row r="571" spans="1:10" s="30" customFormat="1">
      <c r="A571" s="252" t="s">
        <v>93</v>
      </c>
      <c r="B571" s="241" t="s">
        <v>69</v>
      </c>
      <c r="C571" s="242" t="s">
        <v>71</v>
      </c>
      <c r="D571" s="242" t="s">
        <v>53</v>
      </c>
      <c r="E571" s="242" t="s">
        <v>352</v>
      </c>
      <c r="F571" s="242" t="s">
        <v>20</v>
      </c>
      <c r="G571" s="235">
        <f>G572</f>
        <v>17850960</v>
      </c>
      <c r="H571" s="242">
        <v>110311010</v>
      </c>
      <c r="I571" s="313" t="str">
        <f t="shared" si="58"/>
        <v>0110311010</v>
      </c>
      <c r="J571" s="30" t="str">
        <f t="shared" si="59"/>
        <v>60607030110311010620</v>
      </c>
    </row>
    <row r="572" spans="1:10" s="83" customFormat="1" ht="38.25">
      <c r="A572" s="236" t="s">
        <v>1018</v>
      </c>
      <c r="B572" s="241" t="s">
        <v>69</v>
      </c>
      <c r="C572" s="242" t="s">
        <v>71</v>
      </c>
      <c r="D572" s="242" t="s">
        <v>53</v>
      </c>
      <c r="E572" s="242" t="s">
        <v>352</v>
      </c>
      <c r="F572" s="242" t="s">
        <v>16</v>
      </c>
      <c r="G572" s="235">
        <f>VLOOKUP(J572,'исх АС БЮДЖЕТ'!$A$10:$H$568,6,0)</f>
        <v>17850960</v>
      </c>
      <c r="H572" s="242">
        <v>110311010</v>
      </c>
      <c r="I572" s="313" t="str">
        <f t="shared" si="58"/>
        <v>0110311010</v>
      </c>
      <c r="J572" s="30" t="str">
        <f t="shared" si="59"/>
        <v>60607030110311010621</v>
      </c>
    </row>
    <row r="573" spans="1:10" s="83" customFormat="1" ht="25.5">
      <c r="A573" s="236" t="s">
        <v>1132</v>
      </c>
      <c r="B573" s="233" t="s">
        <v>69</v>
      </c>
      <c r="C573" s="234" t="s">
        <v>71</v>
      </c>
      <c r="D573" s="242" t="s">
        <v>53</v>
      </c>
      <c r="E573" s="234" t="s">
        <v>1135</v>
      </c>
      <c r="F573" s="234" t="s">
        <v>58</v>
      </c>
      <c r="G573" s="235">
        <f>G574+G576</f>
        <v>215611.19999999998</v>
      </c>
      <c r="H573" s="234">
        <v>110377250</v>
      </c>
      <c r="I573" s="313" t="str">
        <f t="shared" si="58"/>
        <v>0110377250</v>
      </c>
      <c r="J573" s="30" t="str">
        <f t="shared" si="59"/>
        <v>60607030110377250000</v>
      </c>
    </row>
    <row r="574" spans="1:10" s="83" customFormat="1">
      <c r="A574" s="236" t="s">
        <v>92</v>
      </c>
      <c r="B574" s="233" t="s">
        <v>69</v>
      </c>
      <c r="C574" s="234" t="s">
        <v>71</v>
      </c>
      <c r="D574" s="242" t="s">
        <v>53</v>
      </c>
      <c r="E574" s="234" t="s">
        <v>1135</v>
      </c>
      <c r="F574" s="234" t="s">
        <v>138</v>
      </c>
      <c r="G574" s="235">
        <f>G575</f>
        <v>185144.4</v>
      </c>
      <c r="H574" s="234">
        <v>110377250</v>
      </c>
      <c r="I574" s="313" t="str">
        <f t="shared" si="58"/>
        <v>0110377250</v>
      </c>
      <c r="J574" s="30" t="str">
        <f t="shared" si="59"/>
        <v>60607030110377250610</v>
      </c>
    </row>
    <row r="575" spans="1:10" s="83" customFormat="1" ht="38.25">
      <c r="A575" s="236" t="s">
        <v>1015</v>
      </c>
      <c r="B575" s="233" t="s">
        <v>69</v>
      </c>
      <c r="C575" s="234" t="s">
        <v>71</v>
      </c>
      <c r="D575" s="242" t="s">
        <v>53</v>
      </c>
      <c r="E575" s="234" t="s">
        <v>1135</v>
      </c>
      <c r="F575" s="234" t="s">
        <v>67</v>
      </c>
      <c r="G575" s="235">
        <f>VLOOKUP(J575,'исх АС БЮДЖЕТ'!$A$10:$H$568,6,0)</f>
        <v>185144.4</v>
      </c>
      <c r="H575" s="234">
        <v>110377250</v>
      </c>
      <c r="I575" s="313" t="str">
        <f t="shared" si="58"/>
        <v>0110377250</v>
      </c>
      <c r="J575" s="30" t="str">
        <f t="shared" si="59"/>
        <v>60607030110377250611</v>
      </c>
    </row>
    <row r="576" spans="1:10" s="83" customFormat="1">
      <c r="A576" s="236" t="s">
        <v>93</v>
      </c>
      <c r="B576" s="233" t="s">
        <v>69</v>
      </c>
      <c r="C576" s="234" t="s">
        <v>71</v>
      </c>
      <c r="D576" s="242" t="s">
        <v>53</v>
      </c>
      <c r="E576" s="234" t="s">
        <v>1135</v>
      </c>
      <c r="F576" s="234" t="s">
        <v>20</v>
      </c>
      <c r="G576" s="235">
        <f>G577</f>
        <v>30466.799999999999</v>
      </c>
      <c r="H576" s="234">
        <v>110377250</v>
      </c>
      <c r="I576" s="313" t="str">
        <f t="shared" si="58"/>
        <v>0110377250</v>
      </c>
      <c r="J576" s="30" t="str">
        <f t="shared" si="59"/>
        <v>60607030110377250620</v>
      </c>
    </row>
    <row r="577" spans="1:10" s="83" customFormat="1" ht="38.25">
      <c r="A577" s="236" t="s">
        <v>1018</v>
      </c>
      <c r="B577" s="233" t="s">
        <v>69</v>
      </c>
      <c r="C577" s="234" t="s">
        <v>71</v>
      </c>
      <c r="D577" s="242" t="s">
        <v>53</v>
      </c>
      <c r="E577" s="234" t="s">
        <v>1135</v>
      </c>
      <c r="F577" s="234" t="s">
        <v>16</v>
      </c>
      <c r="G577" s="235">
        <f>VLOOKUP(J577,'исх АС БЮДЖЕТ'!$A$10:$H$568,6,0)</f>
        <v>30466.799999999999</v>
      </c>
      <c r="H577" s="234">
        <v>110377250</v>
      </c>
      <c r="I577" s="313" t="str">
        <f t="shared" si="58"/>
        <v>0110377250</v>
      </c>
      <c r="J577" s="30" t="str">
        <f t="shared" si="59"/>
        <v>60607030110377250621</v>
      </c>
    </row>
    <row r="578" spans="1:10" s="30" customFormat="1" ht="51">
      <c r="A578" s="232" t="s">
        <v>756</v>
      </c>
      <c r="B578" s="233" t="s">
        <v>69</v>
      </c>
      <c r="C578" s="242" t="s">
        <v>71</v>
      </c>
      <c r="D578" s="242" t="s">
        <v>53</v>
      </c>
      <c r="E578" s="234" t="s">
        <v>339</v>
      </c>
      <c r="F578" s="234" t="s">
        <v>58</v>
      </c>
      <c r="G578" s="235">
        <f t="shared" ref="G578:G580" si="65">G579</f>
        <v>345500</v>
      </c>
      <c r="H578" s="234">
        <v>1600000000</v>
      </c>
      <c r="I578" s="313" t="str">
        <f t="shared" si="58"/>
        <v>1600000000</v>
      </c>
      <c r="J578" s="30" t="str">
        <f t="shared" si="59"/>
        <v>60607031600000000000</v>
      </c>
    </row>
    <row r="579" spans="1:10" s="30" customFormat="1" ht="25.5">
      <c r="A579" s="232" t="s">
        <v>136</v>
      </c>
      <c r="B579" s="233" t="s">
        <v>69</v>
      </c>
      <c r="C579" s="242" t="s">
        <v>71</v>
      </c>
      <c r="D579" s="242" t="s">
        <v>53</v>
      </c>
      <c r="E579" s="234" t="s">
        <v>340</v>
      </c>
      <c r="F579" s="234" t="s">
        <v>58</v>
      </c>
      <c r="G579" s="235">
        <f t="shared" si="65"/>
        <v>345500</v>
      </c>
      <c r="H579" s="234">
        <v>1620000000</v>
      </c>
      <c r="I579" s="313" t="str">
        <f t="shared" si="58"/>
        <v>1620000000</v>
      </c>
      <c r="J579" s="30" t="str">
        <f t="shared" si="59"/>
        <v>60607031620000000000</v>
      </c>
    </row>
    <row r="580" spans="1:10" s="30" customFormat="1" ht="25.5">
      <c r="A580" s="232" t="s">
        <v>667</v>
      </c>
      <c r="B580" s="233" t="s">
        <v>69</v>
      </c>
      <c r="C580" s="242" t="s">
        <v>71</v>
      </c>
      <c r="D580" s="242" t="s">
        <v>53</v>
      </c>
      <c r="E580" s="234" t="s">
        <v>609</v>
      </c>
      <c r="F580" s="234" t="s">
        <v>58</v>
      </c>
      <c r="G580" s="235">
        <f t="shared" si="65"/>
        <v>345500</v>
      </c>
      <c r="H580" s="234">
        <v>1620200000</v>
      </c>
      <c r="I580" s="313" t="str">
        <f t="shared" si="58"/>
        <v>1620200000</v>
      </c>
      <c r="J580" s="30" t="str">
        <f t="shared" si="59"/>
        <v>60607031620200000000</v>
      </c>
    </row>
    <row r="581" spans="1:10" s="30" customFormat="1" ht="25.5">
      <c r="A581" s="232" t="s">
        <v>177</v>
      </c>
      <c r="B581" s="233" t="s">
        <v>69</v>
      </c>
      <c r="C581" s="242" t="s">
        <v>71</v>
      </c>
      <c r="D581" s="242" t="s">
        <v>53</v>
      </c>
      <c r="E581" s="234" t="s">
        <v>610</v>
      </c>
      <c r="F581" s="234" t="s">
        <v>58</v>
      </c>
      <c r="G581" s="235">
        <f>G582+G584</f>
        <v>345500</v>
      </c>
      <c r="H581" s="234">
        <v>1620220550</v>
      </c>
      <c r="I581" s="313" t="str">
        <f t="shared" si="58"/>
        <v>1620220550</v>
      </c>
      <c r="J581" s="30" t="str">
        <f t="shared" si="59"/>
        <v>60607031620220550000</v>
      </c>
    </row>
    <row r="582" spans="1:10" s="30" customFormat="1">
      <c r="A582" s="252" t="s">
        <v>92</v>
      </c>
      <c r="B582" s="233" t="s">
        <v>69</v>
      </c>
      <c r="C582" s="242" t="s">
        <v>71</v>
      </c>
      <c r="D582" s="242" t="s">
        <v>53</v>
      </c>
      <c r="E582" s="234" t="s">
        <v>610</v>
      </c>
      <c r="F582" s="234" t="s">
        <v>138</v>
      </c>
      <c r="G582" s="235">
        <f>G583</f>
        <v>286900</v>
      </c>
      <c r="H582" s="234">
        <v>1620220550</v>
      </c>
      <c r="I582" s="313" t="str">
        <f t="shared" si="58"/>
        <v>1620220550</v>
      </c>
      <c r="J582" s="30" t="str">
        <f t="shared" si="59"/>
        <v>60607031620220550610</v>
      </c>
    </row>
    <row r="583" spans="1:10" s="83" customFormat="1">
      <c r="A583" s="236" t="s">
        <v>1016</v>
      </c>
      <c r="B583" s="233" t="s">
        <v>69</v>
      </c>
      <c r="C583" s="242" t="s">
        <v>71</v>
      </c>
      <c r="D583" s="242" t="s">
        <v>53</v>
      </c>
      <c r="E583" s="234" t="s">
        <v>610</v>
      </c>
      <c r="F583" s="234" t="s">
        <v>1046</v>
      </c>
      <c r="G583" s="235">
        <f>VLOOKUP(J583,'исх АС БЮДЖЕТ'!$A$10:$H$568,6,0)</f>
        <v>286900</v>
      </c>
      <c r="H583" s="234">
        <v>1620220550</v>
      </c>
      <c r="I583" s="313" t="str">
        <f t="shared" si="58"/>
        <v>1620220550</v>
      </c>
      <c r="J583" s="30" t="str">
        <f t="shared" si="59"/>
        <v>60607031620220550612</v>
      </c>
    </row>
    <row r="584" spans="1:10" s="30" customFormat="1">
      <c r="A584" s="244" t="s">
        <v>93</v>
      </c>
      <c r="B584" s="233" t="s">
        <v>69</v>
      </c>
      <c r="C584" s="242" t="s">
        <v>71</v>
      </c>
      <c r="D584" s="242" t="s">
        <v>53</v>
      </c>
      <c r="E584" s="234" t="s">
        <v>610</v>
      </c>
      <c r="F584" s="234" t="s">
        <v>20</v>
      </c>
      <c r="G584" s="235">
        <f>G585</f>
        <v>58600</v>
      </c>
      <c r="H584" s="234">
        <v>1620220550</v>
      </c>
      <c r="I584" s="313" t="str">
        <f t="shared" si="58"/>
        <v>1620220550</v>
      </c>
      <c r="J584" s="30" t="str">
        <f t="shared" si="59"/>
        <v>60607031620220550620</v>
      </c>
    </row>
    <row r="585" spans="1:10" s="83" customFormat="1">
      <c r="A585" s="236" t="s">
        <v>1019</v>
      </c>
      <c r="B585" s="233" t="s">
        <v>69</v>
      </c>
      <c r="C585" s="242" t="s">
        <v>71</v>
      </c>
      <c r="D585" s="242" t="s">
        <v>53</v>
      </c>
      <c r="E585" s="234" t="s">
        <v>610</v>
      </c>
      <c r="F585" s="234" t="s">
        <v>1054</v>
      </c>
      <c r="G585" s="235">
        <f>VLOOKUP(J585,'исх АС БЮДЖЕТ'!$A$10:$H$568,6,0)</f>
        <v>58600</v>
      </c>
      <c r="H585" s="234">
        <v>1620220550</v>
      </c>
      <c r="I585" s="313" t="str">
        <f t="shared" si="58"/>
        <v>1620220550</v>
      </c>
      <c r="J585" s="30" t="str">
        <f t="shared" si="59"/>
        <v>60607031620220550622</v>
      </c>
    </row>
    <row r="586" spans="1:10" s="30" customFormat="1">
      <c r="A586" s="228" t="s">
        <v>783</v>
      </c>
      <c r="B586" s="229" t="s">
        <v>69</v>
      </c>
      <c r="C586" s="230" t="s">
        <v>71</v>
      </c>
      <c r="D586" s="230" t="s">
        <v>71</v>
      </c>
      <c r="E586" s="230" t="s">
        <v>196</v>
      </c>
      <c r="F586" s="230" t="s">
        <v>58</v>
      </c>
      <c r="G586" s="231">
        <f>G587+G599</f>
        <v>24997343.199999999</v>
      </c>
      <c r="H586" s="230">
        <v>0</v>
      </c>
      <c r="I586" s="313" t="str">
        <f t="shared" si="58"/>
        <v>0000000000</v>
      </c>
      <c r="J586" s="30" t="str">
        <f t="shared" si="59"/>
        <v>60607070000000000000</v>
      </c>
    </row>
    <row r="587" spans="1:10" s="30" customFormat="1">
      <c r="A587" s="244" t="s">
        <v>723</v>
      </c>
      <c r="B587" s="233" t="s">
        <v>69</v>
      </c>
      <c r="C587" s="234" t="s">
        <v>71</v>
      </c>
      <c r="D587" s="234" t="s">
        <v>71</v>
      </c>
      <c r="E587" s="234" t="s">
        <v>331</v>
      </c>
      <c r="F587" s="234" t="s">
        <v>58</v>
      </c>
      <c r="G587" s="235">
        <f t="shared" ref="G587:G588" si="66">G588</f>
        <v>24882143.199999999</v>
      </c>
      <c r="H587" s="234">
        <v>100000000</v>
      </c>
      <c r="I587" s="313" t="str">
        <f t="shared" si="58"/>
        <v>0100000000</v>
      </c>
      <c r="J587" s="30" t="str">
        <f t="shared" si="59"/>
        <v>60607070100000000000</v>
      </c>
    </row>
    <row r="588" spans="1:10" s="30" customFormat="1" ht="25.5">
      <c r="A588" s="244" t="s">
        <v>860</v>
      </c>
      <c r="B588" s="233" t="s">
        <v>69</v>
      </c>
      <c r="C588" s="234" t="s">
        <v>71</v>
      </c>
      <c r="D588" s="234" t="s">
        <v>71</v>
      </c>
      <c r="E588" s="234" t="s">
        <v>332</v>
      </c>
      <c r="F588" s="234" t="s">
        <v>58</v>
      </c>
      <c r="G588" s="235">
        <f t="shared" si="66"/>
        <v>24882143.199999999</v>
      </c>
      <c r="H588" s="234">
        <v>110000000</v>
      </c>
      <c r="I588" s="313" t="str">
        <f t="shared" si="58"/>
        <v>0110000000</v>
      </c>
      <c r="J588" s="30" t="str">
        <f t="shared" si="59"/>
        <v>60607070110000000000</v>
      </c>
    </row>
    <row r="589" spans="1:10" s="30" customFormat="1">
      <c r="A589" s="244" t="s">
        <v>631</v>
      </c>
      <c r="B589" s="233" t="s">
        <v>69</v>
      </c>
      <c r="C589" s="234" t="s">
        <v>71</v>
      </c>
      <c r="D589" s="234" t="s">
        <v>71</v>
      </c>
      <c r="E589" s="234" t="s">
        <v>353</v>
      </c>
      <c r="F589" s="234" t="s">
        <v>58</v>
      </c>
      <c r="G589" s="235">
        <f>G590+G593+G596</f>
        <v>24882143.199999999</v>
      </c>
      <c r="H589" s="234">
        <v>110400000</v>
      </c>
      <c r="I589" s="313" t="str">
        <f t="shared" si="58"/>
        <v>0110400000</v>
      </c>
      <c r="J589" s="30" t="str">
        <f t="shared" si="59"/>
        <v>60607070110400000000</v>
      </c>
    </row>
    <row r="590" spans="1:10" s="30" customFormat="1">
      <c r="A590" s="244" t="s">
        <v>247</v>
      </c>
      <c r="B590" s="233" t="s">
        <v>69</v>
      </c>
      <c r="C590" s="234" t="s">
        <v>71</v>
      </c>
      <c r="D590" s="234" t="s">
        <v>71</v>
      </c>
      <c r="E590" s="234" t="s">
        <v>354</v>
      </c>
      <c r="F590" s="234" t="s">
        <v>58</v>
      </c>
      <c r="G590" s="235">
        <f>G591</f>
        <v>6986650</v>
      </c>
      <c r="H590" s="234">
        <v>110411010</v>
      </c>
      <c r="I590" s="313" t="str">
        <f t="shared" si="58"/>
        <v>0110411010</v>
      </c>
      <c r="J590" s="30" t="str">
        <f t="shared" si="59"/>
        <v>60607070110411010000</v>
      </c>
    </row>
    <row r="591" spans="1:10" s="30" customFormat="1">
      <c r="A591" s="244" t="s">
        <v>93</v>
      </c>
      <c r="B591" s="233" t="s">
        <v>69</v>
      </c>
      <c r="C591" s="234" t="s">
        <v>71</v>
      </c>
      <c r="D591" s="234" t="s">
        <v>71</v>
      </c>
      <c r="E591" s="234" t="s">
        <v>354</v>
      </c>
      <c r="F591" s="234" t="s">
        <v>20</v>
      </c>
      <c r="G591" s="235">
        <f>G592</f>
        <v>6986650</v>
      </c>
      <c r="H591" s="234">
        <v>110411010</v>
      </c>
      <c r="I591" s="313" t="str">
        <f t="shared" si="58"/>
        <v>0110411010</v>
      </c>
      <c r="J591" s="30" t="str">
        <f t="shared" si="59"/>
        <v>60607070110411010620</v>
      </c>
    </row>
    <row r="592" spans="1:10" s="83" customFormat="1" ht="38.25">
      <c r="A592" s="236" t="s">
        <v>1018</v>
      </c>
      <c r="B592" s="233" t="s">
        <v>69</v>
      </c>
      <c r="C592" s="234" t="s">
        <v>71</v>
      </c>
      <c r="D592" s="234" t="s">
        <v>71</v>
      </c>
      <c r="E592" s="234" t="s">
        <v>354</v>
      </c>
      <c r="F592" s="234" t="s">
        <v>16</v>
      </c>
      <c r="G592" s="235">
        <f>VLOOKUP(J592,'исх АС БЮДЖЕТ'!$A$10:$H$568,6,0)</f>
        <v>6986650</v>
      </c>
      <c r="H592" s="234">
        <v>110411010</v>
      </c>
      <c r="I592" s="313" t="str">
        <f t="shared" si="58"/>
        <v>0110411010</v>
      </c>
      <c r="J592" s="30" t="str">
        <f t="shared" si="59"/>
        <v>60607070110411010621</v>
      </c>
    </row>
    <row r="593" spans="1:10" s="30" customFormat="1">
      <c r="A593" s="232" t="s">
        <v>355</v>
      </c>
      <c r="B593" s="233" t="s">
        <v>69</v>
      </c>
      <c r="C593" s="234" t="s">
        <v>71</v>
      </c>
      <c r="D593" s="234" t="s">
        <v>71</v>
      </c>
      <c r="E593" s="234" t="s">
        <v>356</v>
      </c>
      <c r="F593" s="234" t="s">
        <v>58</v>
      </c>
      <c r="G593" s="235">
        <f>G594</f>
        <v>17867370</v>
      </c>
      <c r="H593" s="234">
        <v>110420330</v>
      </c>
      <c r="I593" s="313" t="str">
        <f t="shared" si="58"/>
        <v>0110420330</v>
      </c>
      <c r="J593" s="30" t="str">
        <f t="shared" si="59"/>
        <v>60607070110420330000</v>
      </c>
    </row>
    <row r="594" spans="1:10" s="30" customFormat="1">
      <c r="A594" s="244" t="s">
        <v>92</v>
      </c>
      <c r="B594" s="233" t="s">
        <v>69</v>
      </c>
      <c r="C594" s="234" t="s">
        <v>71</v>
      </c>
      <c r="D594" s="234" t="s">
        <v>71</v>
      </c>
      <c r="E594" s="234" t="s">
        <v>356</v>
      </c>
      <c r="F594" s="234" t="s">
        <v>138</v>
      </c>
      <c r="G594" s="235">
        <f>G595</f>
        <v>17867370</v>
      </c>
      <c r="H594" s="234">
        <v>110420330</v>
      </c>
      <c r="I594" s="313" t="str">
        <f t="shared" si="58"/>
        <v>0110420330</v>
      </c>
      <c r="J594" s="30" t="str">
        <f t="shared" si="59"/>
        <v>60607070110420330610</v>
      </c>
    </row>
    <row r="595" spans="1:10" s="83" customFormat="1">
      <c r="A595" s="236" t="s">
        <v>1016</v>
      </c>
      <c r="B595" s="233" t="s">
        <v>69</v>
      </c>
      <c r="C595" s="234" t="s">
        <v>71</v>
      </c>
      <c r="D595" s="234" t="s">
        <v>71</v>
      </c>
      <c r="E595" s="234" t="s">
        <v>356</v>
      </c>
      <c r="F595" s="234" t="s">
        <v>1046</v>
      </c>
      <c r="G595" s="235">
        <f>VLOOKUP(J595,'исх АС БЮДЖЕТ'!$A$10:$H$568,6,0)</f>
        <v>17867370</v>
      </c>
      <c r="H595" s="234">
        <v>110420330</v>
      </c>
      <c r="I595" s="313" t="str">
        <f t="shared" si="58"/>
        <v>0110420330</v>
      </c>
      <c r="J595" s="30" t="str">
        <f t="shared" si="59"/>
        <v>60607070110420330612</v>
      </c>
    </row>
    <row r="596" spans="1:10" s="83" customFormat="1" ht="25.5">
      <c r="A596" s="236" t="s">
        <v>1132</v>
      </c>
      <c r="B596" s="233" t="s">
        <v>69</v>
      </c>
      <c r="C596" s="234" t="s">
        <v>71</v>
      </c>
      <c r="D596" s="234" t="s">
        <v>71</v>
      </c>
      <c r="E596" s="234" t="s">
        <v>1136</v>
      </c>
      <c r="F596" s="234" t="s">
        <v>58</v>
      </c>
      <c r="G596" s="235">
        <f t="shared" ref="G596:G597" si="67">G597</f>
        <v>28123.200000000001</v>
      </c>
      <c r="H596" s="234">
        <v>110477250</v>
      </c>
      <c r="I596" s="313" t="str">
        <f t="shared" ref="I596:I659" si="68">TEXT(H596,"0000000000")</f>
        <v>0110477250</v>
      </c>
      <c r="J596" s="30" t="str">
        <f t="shared" ref="J596:J659" si="69">CONCATENATE(B596,C596,D596,I596,F596)</f>
        <v>60607070110477250000</v>
      </c>
    </row>
    <row r="597" spans="1:10" s="83" customFormat="1">
      <c r="A597" s="236" t="s">
        <v>93</v>
      </c>
      <c r="B597" s="233" t="s">
        <v>69</v>
      </c>
      <c r="C597" s="234" t="s">
        <v>71</v>
      </c>
      <c r="D597" s="234" t="s">
        <v>71</v>
      </c>
      <c r="E597" s="234" t="s">
        <v>1136</v>
      </c>
      <c r="F597" s="234" t="s">
        <v>20</v>
      </c>
      <c r="G597" s="235">
        <f t="shared" si="67"/>
        <v>28123.200000000001</v>
      </c>
      <c r="H597" s="234">
        <v>110477250</v>
      </c>
      <c r="I597" s="313" t="str">
        <f t="shared" si="68"/>
        <v>0110477250</v>
      </c>
      <c r="J597" s="30" t="str">
        <f t="shared" si="69"/>
        <v>60607070110477250620</v>
      </c>
    </row>
    <row r="598" spans="1:10" s="83" customFormat="1" ht="38.25">
      <c r="A598" s="236" t="s">
        <v>1018</v>
      </c>
      <c r="B598" s="233" t="s">
        <v>69</v>
      </c>
      <c r="C598" s="234" t="s">
        <v>71</v>
      </c>
      <c r="D598" s="234" t="s">
        <v>71</v>
      </c>
      <c r="E598" s="234" t="s">
        <v>1136</v>
      </c>
      <c r="F598" s="234" t="s">
        <v>16</v>
      </c>
      <c r="G598" s="235">
        <f>VLOOKUP(J598,'исх АС БЮДЖЕТ'!$A$10:$H$568,6,0)</f>
        <v>28123.200000000001</v>
      </c>
      <c r="H598" s="234">
        <v>110477250</v>
      </c>
      <c r="I598" s="313" t="str">
        <f t="shared" si="68"/>
        <v>0110477250</v>
      </c>
      <c r="J598" s="30" t="str">
        <f t="shared" si="69"/>
        <v>60607070110477250621</v>
      </c>
    </row>
    <row r="599" spans="1:10" s="30" customFormat="1" ht="51">
      <c r="A599" s="232" t="s">
        <v>756</v>
      </c>
      <c r="B599" s="233" t="s">
        <v>69</v>
      </c>
      <c r="C599" s="234" t="s">
        <v>71</v>
      </c>
      <c r="D599" s="234" t="s">
        <v>71</v>
      </c>
      <c r="E599" s="234" t="s">
        <v>339</v>
      </c>
      <c r="F599" s="234" t="s">
        <v>58</v>
      </c>
      <c r="G599" s="235">
        <f t="shared" ref="G599:G602" si="70">G600</f>
        <v>115200</v>
      </c>
      <c r="H599" s="234">
        <v>1600000000</v>
      </c>
      <c r="I599" s="313" t="str">
        <f t="shared" si="68"/>
        <v>1600000000</v>
      </c>
      <c r="J599" s="30" t="str">
        <f t="shared" si="69"/>
        <v>60607071600000000000</v>
      </c>
    </row>
    <row r="600" spans="1:10" s="30" customFormat="1" ht="25.5">
      <c r="A600" s="232" t="s">
        <v>136</v>
      </c>
      <c r="B600" s="233" t="s">
        <v>69</v>
      </c>
      <c r="C600" s="234" t="s">
        <v>71</v>
      </c>
      <c r="D600" s="234" t="s">
        <v>71</v>
      </c>
      <c r="E600" s="234" t="s">
        <v>340</v>
      </c>
      <c r="F600" s="234" t="s">
        <v>58</v>
      </c>
      <c r="G600" s="235">
        <f t="shared" si="70"/>
        <v>115200</v>
      </c>
      <c r="H600" s="234">
        <v>1620000000</v>
      </c>
      <c r="I600" s="313" t="str">
        <f t="shared" si="68"/>
        <v>1620000000</v>
      </c>
      <c r="J600" s="30" t="str">
        <f t="shared" si="69"/>
        <v>60607071620000000000</v>
      </c>
    </row>
    <row r="601" spans="1:10" s="30" customFormat="1" ht="25.5">
      <c r="A601" s="232" t="s">
        <v>667</v>
      </c>
      <c r="B601" s="233" t="s">
        <v>69</v>
      </c>
      <c r="C601" s="234" t="s">
        <v>71</v>
      </c>
      <c r="D601" s="234" t="s">
        <v>71</v>
      </c>
      <c r="E601" s="234" t="s">
        <v>609</v>
      </c>
      <c r="F601" s="234" t="s">
        <v>58</v>
      </c>
      <c r="G601" s="235">
        <f t="shared" si="70"/>
        <v>115200</v>
      </c>
      <c r="H601" s="234">
        <v>1620200000</v>
      </c>
      <c r="I601" s="313" t="str">
        <f t="shared" si="68"/>
        <v>1620200000</v>
      </c>
      <c r="J601" s="30" t="str">
        <f t="shared" si="69"/>
        <v>60607071620200000000</v>
      </c>
    </row>
    <row r="602" spans="1:10" s="30" customFormat="1" ht="25.5">
      <c r="A602" s="232" t="s">
        <v>177</v>
      </c>
      <c r="B602" s="233" t="s">
        <v>69</v>
      </c>
      <c r="C602" s="234" t="s">
        <v>71</v>
      </c>
      <c r="D602" s="234" t="s">
        <v>71</v>
      </c>
      <c r="E602" s="234" t="s">
        <v>610</v>
      </c>
      <c r="F602" s="234" t="s">
        <v>58</v>
      </c>
      <c r="G602" s="235">
        <f t="shared" si="70"/>
        <v>115200</v>
      </c>
      <c r="H602" s="234">
        <v>1620220550</v>
      </c>
      <c r="I602" s="313" t="str">
        <f t="shared" si="68"/>
        <v>1620220550</v>
      </c>
      <c r="J602" s="30" t="str">
        <f t="shared" si="69"/>
        <v>60607071620220550000</v>
      </c>
    </row>
    <row r="603" spans="1:10" s="30" customFormat="1">
      <c r="A603" s="244" t="s">
        <v>93</v>
      </c>
      <c r="B603" s="233" t="s">
        <v>69</v>
      </c>
      <c r="C603" s="234" t="s">
        <v>71</v>
      </c>
      <c r="D603" s="234" t="s">
        <v>71</v>
      </c>
      <c r="E603" s="234" t="s">
        <v>610</v>
      </c>
      <c r="F603" s="234" t="s">
        <v>20</v>
      </c>
      <c r="G603" s="235">
        <f>G604</f>
        <v>115200</v>
      </c>
      <c r="H603" s="234">
        <v>1620220550</v>
      </c>
      <c r="I603" s="313" t="str">
        <f t="shared" si="68"/>
        <v>1620220550</v>
      </c>
      <c r="J603" s="30" t="str">
        <f t="shared" si="69"/>
        <v>60607071620220550620</v>
      </c>
    </row>
    <row r="604" spans="1:10" s="83" customFormat="1">
      <c r="A604" s="236" t="s">
        <v>1019</v>
      </c>
      <c r="B604" s="233" t="s">
        <v>69</v>
      </c>
      <c r="C604" s="234" t="s">
        <v>71</v>
      </c>
      <c r="D604" s="234" t="s">
        <v>71</v>
      </c>
      <c r="E604" s="234" t="s">
        <v>610</v>
      </c>
      <c r="F604" s="234" t="s">
        <v>1054</v>
      </c>
      <c r="G604" s="235">
        <f>VLOOKUP(J604,'исх АС БЮДЖЕТ'!$A$10:$H$568,6,0)</f>
        <v>115200</v>
      </c>
      <c r="H604" s="234">
        <v>1620220550</v>
      </c>
      <c r="I604" s="313" t="str">
        <f t="shared" si="68"/>
        <v>1620220550</v>
      </c>
      <c r="J604" s="30" t="str">
        <f t="shared" si="69"/>
        <v>60607071620220550622</v>
      </c>
    </row>
    <row r="605" spans="1:10" s="30" customFormat="1">
      <c r="A605" s="228" t="s">
        <v>24</v>
      </c>
      <c r="B605" s="229" t="s">
        <v>69</v>
      </c>
      <c r="C605" s="230" t="s">
        <v>71</v>
      </c>
      <c r="D605" s="230" t="s">
        <v>25</v>
      </c>
      <c r="E605" s="230" t="s">
        <v>196</v>
      </c>
      <c r="F605" s="230" t="s">
        <v>58</v>
      </c>
      <c r="G605" s="231">
        <f>G606+G630+G636</f>
        <v>44195952.219999999</v>
      </c>
      <c r="H605" s="230">
        <v>0</v>
      </c>
      <c r="I605" s="313" t="str">
        <f t="shared" si="68"/>
        <v>0000000000</v>
      </c>
      <c r="J605" s="30" t="str">
        <f t="shared" si="69"/>
        <v>60607090000000000000</v>
      </c>
    </row>
    <row r="606" spans="1:10" s="30" customFormat="1">
      <c r="A606" s="244" t="s">
        <v>723</v>
      </c>
      <c r="B606" s="233" t="s">
        <v>69</v>
      </c>
      <c r="C606" s="234" t="s">
        <v>71</v>
      </c>
      <c r="D606" s="234" t="s">
        <v>25</v>
      </c>
      <c r="E606" s="234" t="s">
        <v>331</v>
      </c>
      <c r="F606" s="234" t="s">
        <v>58</v>
      </c>
      <c r="G606" s="235">
        <f>G607</f>
        <v>18445779.600000001</v>
      </c>
      <c r="H606" s="234">
        <v>100000000</v>
      </c>
      <c r="I606" s="313" t="str">
        <f t="shared" si="68"/>
        <v>0100000000</v>
      </c>
      <c r="J606" s="30" t="str">
        <f t="shared" si="69"/>
        <v>60607090100000000000</v>
      </c>
    </row>
    <row r="607" spans="1:10" s="30" customFormat="1" ht="25.5">
      <c r="A607" s="244" t="s">
        <v>860</v>
      </c>
      <c r="B607" s="233" t="s">
        <v>69</v>
      </c>
      <c r="C607" s="234" t="s">
        <v>71</v>
      </c>
      <c r="D607" s="234" t="s">
        <v>25</v>
      </c>
      <c r="E607" s="234" t="s">
        <v>332</v>
      </c>
      <c r="F607" s="234" t="s">
        <v>58</v>
      </c>
      <c r="G607" s="235">
        <f>G608+G615+G623</f>
        <v>18445779.600000001</v>
      </c>
      <c r="H607" s="234">
        <v>110000000</v>
      </c>
      <c r="I607" s="313" t="str">
        <f t="shared" si="68"/>
        <v>0110000000</v>
      </c>
      <c r="J607" s="30" t="str">
        <f t="shared" si="69"/>
        <v>60607090110000000000</v>
      </c>
    </row>
    <row r="608" spans="1:10" s="30" customFormat="1" ht="25.5">
      <c r="A608" s="237" t="s">
        <v>630</v>
      </c>
      <c r="B608" s="241" t="s">
        <v>69</v>
      </c>
      <c r="C608" s="242" t="s">
        <v>71</v>
      </c>
      <c r="D608" s="242" t="s">
        <v>25</v>
      </c>
      <c r="E608" s="242" t="s">
        <v>351</v>
      </c>
      <c r="F608" s="242" t="s">
        <v>58</v>
      </c>
      <c r="G608" s="243">
        <f>G609+G612</f>
        <v>6768796</v>
      </c>
      <c r="H608" s="242">
        <v>110300000</v>
      </c>
      <c r="I608" s="313" t="str">
        <f t="shared" si="68"/>
        <v>0110300000</v>
      </c>
      <c r="J608" s="30" t="str">
        <f t="shared" si="69"/>
        <v>60607090110300000000</v>
      </c>
    </row>
    <row r="609" spans="1:10" s="30" customFormat="1">
      <c r="A609" s="252" t="s">
        <v>247</v>
      </c>
      <c r="B609" s="241" t="s">
        <v>69</v>
      </c>
      <c r="C609" s="242" t="s">
        <v>71</v>
      </c>
      <c r="D609" s="242" t="s">
        <v>25</v>
      </c>
      <c r="E609" s="242" t="s">
        <v>352</v>
      </c>
      <c r="F609" s="242" t="s">
        <v>58</v>
      </c>
      <c r="G609" s="243">
        <f>G610</f>
        <v>6745360</v>
      </c>
      <c r="H609" s="242">
        <v>110311010</v>
      </c>
      <c r="I609" s="313" t="str">
        <f t="shared" si="68"/>
        <v>0110311010</v>
      </c>
      <c r="J609" s="30" t="str">
        <f t="shared" si="69"/>
        <v>60607090110311010000</v>
      </c>
    </row>
    <row r="610" spans="1:10" s="30" customFormat="1">
      <c r="A610" s="252" t="s">
        <v>92</v>
      </c>
      <c r="B610" s="241" t="s">
        <v>69</v>
      </c>
      <c r="C610" s="242" t="s">
        <v>71</v>
      </c>
      <c r="D610" s="242" t="s">
        <v>25</v>
      </c>
      <c r="E610" s="242" t="s">
        <v>352</v>
      </c>
      <c r="F610" s="242" t="s">
        <v>138</v>
      </c>
      <c r="G610" s="235">
        <f>G611</f>
        <v>6745360</v>
      </c>
      <c r="H610" s="242">
        <v>110311010</v>
      </c>
      <c r="I610" s="313" t="str">
        <f t="shared" si="68"/>
        <v>0110311010</v>
      </c>
      <c r="J610" s="30" t="str">
        <f t="shared" si="69"/>
        <v>60607090110311010610</v>
      </c>
    </row>
    <row r="611" spans="1:10" s="83" customFormat="1" ht="38.25">
      <c r="A611" s="236" t="s">
        <v>1015</v>
      </c>
      <c r="B611" s="241" t="s">
        <v>69</v>
      </c>
      <c r="C611" s="242" t="s">
        <v>71</v>
      </c>
      <c r="D611" s="242" t="s">
        <v>25</v>
      </c>
      <c r="E611" s="242" t="s">
        <v>352</v>
      </c>
      <c r="F611" s="242" t="s">
        <v>67</v>
      </c>
      <c r="G611" s="235">
        <f>VLOOKUP(J611,'исх АС БЮДЖЕТ'!$A$10:$H$568,6,0)</f>
        <v>6745360</v>
      </c>
      <c r="H611" s="242">
        <v>110311010</v>
      </c>
      <c r="I611" s="313" t="str">
        <f t="shared" si="68"/>
        <v>0110311010</v>
      </c>
      <c r="J611" s="30" t="str">
        <f t="shared" si="69"/>
        <v>60607090110311010611</v>
      </c>
    </row>
    <row r="612" spans="1:10" s="83" customFormat="1" ht="25.5">
      <c r="A612" s="236" t="s">
        <v>1132</v>
      </c>
      <c r="B612" s="233" t="s">
        <v>69</v>
      </c>
      <c r="C612" s="234" t="s">
        <v>71</v>
      </c>
      <c r="D612" s="242" t="s">
        <v>25</v>
      </c>
      <c r="E612" s="234" t="s">
        <v>1135</v>
      </c>
      <c r="F612" s="234" t="s">
        <v>58</v>
      </c>
      <c r="G612" s="235">
        <f>G613</f>
        <v>23436</v>
      </c>
      <c r="H612" s="234">
        <v>110377250</v>
      </c>
      <c r="I612" s="313" t="str">
        <f t="shared" si="68"/>
        <v>0110377250</v>
      </c>
      <c r="J612" s="30" t="str">
        <f t="shared" si="69"/>
        <v>60607090110377250000</v>
      </c>
    </row>
    <row r="613" spans="1:10" s="83" customFormat="1">
      <c r="A613" s="236" t="s">
        <v>92</v>
      </c>
      <c r="B613" s="233" t="s">
        <v>69</v>
      </c>
      <c r="C613" s="234" t="s">
        <v>71</v>
      </c>
      <c r="D613" s="242" t="s">
        <v>25</v>
      </c>
      <c r="E613" s="234" t="s">
        <v>1135</v>
      </c>
      <c r="F613" s="234" t="s">
        <v>138</v>
      </c>
      <c r="G613" s="235">
        <f>G614</f>
        <v>23436</v>
      </c>
      <c r="H613" s="234">
        <v>110377250</v>
      </c>
      <c r="I613" s="313" t="str">
        <f t="shared" si="68"/>
        <v>0110377250</v>
      </c>
      <c r="J613" s="30" t="str">
        <f t="shared" si="69"/>
        <v>60607090110377250610</v>
      </c>
    </row>
    <row r="614" spans="1:10" s="83" customFormat="1" ht="38.25">
      <c r="A614" s="236" t="s">
        <v>1015</v>
      </c>
      <c r="B614" s="233" t="s">
        <v>69</v>
      </c>
      <c r="C614" s="234" t="s">
        <v>71</v>
      </c>
      <c r="D614" s="242" t="s">
        <v>25</v>
      </c>
      <c r="E614" s="234" t="s">
        <v>1135</v>
      </c>
      <c r="F614" s="234" t="s">
        <v>67</v>
      </c>
      <c r="G614" s="235">
        <f>VLOOKUP(J614,'исх АС БЮДЖЕТ'!$A$10:$H$568,6,0)</f>
        <v>23436</v>
      </c>
      <c r="H614" s="234">
        <v>110377250</v>
      </c>
      <c r="I614" s="313" t="str">
        <f t="shared" si="68"/>
        <v>0110377250</v>
      </c>
      <c r="J614" s="30" t="str">
        <f t="shared" si="69"/>
        <v>60607090110377250611</v>
      </c>
    </row>
    <row r="615" spans="1:10" s="30" customFormat="1" ht="38.25">
      <c r="A615" s="244" t="s">
        <v>633</v>
      </c>
      <c r="B615" s="233" t="s">
        <v>69</v>
      </c>
      <c r="C615" s="234" t="s">
        <v>71</v>
      </c>
      <c r="D615" s="234" t="s">
        <v>25</v>
      </c>
      <c r="E615" s="234" t="s">
        <v>357</v>
      </c>
      <c r="F615" s="234" t="s">
        <v>58</v>
      </c>
      <c r="G615" s="235">
        <f>G616</f>
        <v>4728790</v>
      </c>
      <c r="H615" s="234">
        <v>110500000</v>
      </c>
      <c r="I615" s="313" t="str">
        <f t="shared" si="68"/>
        <v>0110500000</v>
      </c>
      <c r="J615" s="30" t="str">
        <f t="shared" si="69"/>
        <v>60607090110500000000</v>
      </c>
    </row>
    <row r="616" spans="1:10" s="30" customFormat="1">
      <c r="A616" s="244" t="s">
        <v>139</v>
      </c>
      <c r="B616" s="233" t="s">
        <v>69</v>
      </c>
      <c r="C616" s="234" t="s">
        <v>71</v>
      </c>
      <c r="D616" s="234" t="s">
        <v>25</v>
      </c>
      <c r="E616" s="234" t="s">
        <v>632</v>
      </c>
      <c r="F616" s="234" t="s">
        <v>58</v>
      </c>
      <c r="G616" s="235">
        <f>G617+G619+G621</f>
        <v>4728790</v>
      </c>
      <c r="H616" s="234">
        <v>110520240</v>
      </c>
      <c r="I616" s="313" t="str">
        <f t="shared" si="68"/>
        <v>0110520240</v>
      </c>
      <c r="J616" s="30" t="str">
        <f t="shared" si="69"/>
        <v>60607090110520240000</v>
      </c>
    </row>
    <row r="617" spans="1:10" s="30" customFormat="1" ht="25.5">
      <c r="A617" s="232" t="s">
        <v>108</v>
      </c>
      <c r="B617" s="233" t="s">
        <v>69</v>
      </c>
      <c r="C617" s="234" t="s">
        <v>71</v>
      </c>
      <c r="D617" s="234" t="s">
        <v>25</v>
      </c>
      <c r="E617" s="234" t="s">
        <v>632</v>
      </c>
      <c r="F617" s="234" t="s">
        <v>116</v>
      </c>
      <c r="G617" s="235">
        <f>G618</f>
        <v>200000</v>
      </c>
      <c r="H617" s="234">
        <v>110520240</v>
      </c>
      <c r="I617" s="313" t="str">
        <f t="shared" si="68"/>
        <v>0110520240</v>
      </c>
      <c r="J617" s="30" t="str">
        <f t="shared" si="69"/>
        <v>60607090110520240240</v>
      </c>
    </row>
    <row r="618" spans="1:10" s="83" customFormat="1" ht="25.5">
      <c r="A618" s="236" t="s">
        <v>973</v>
      </c>
      <c r="B618" s="233" t="s">
        <v>69</v>
      </c>
      <c r="C618" s="234" t="s">
        <v>71</v>
      </c>
      <c r="D618" s="234" t="s">
        <v>25</v>
      </c>
      <c r="E618" s="234" t="s">
        <v>632</v>
      </c>
      <c r="F618" s="234" t="s">
        <v>1043</v>
      </c>
      <c r="G618" s="235">
        <f>VLOOKUP(J618,'исх АС БЮДЖЕТ'!$A$10:$H$568,6,0)</f>
        <v>200000</v>
      </c>
      <c r="H618" s="234">
        <v>110520240</v>
      </c>
      <c r="I618" s="313" t="str">
        <f t="shared" si="68"/>
        <v>0110520240</v>
      </c>
      <c r="J618" s="30" t="str">
        <f t="shared" si="69"/>
        <v>60607090110520240244</v>
      </c>
    </row>
    <row r="619" spans="1:10" s="30" customFormat="1">
      <c r="A619" s="244" t="s">
        <v>92</v>
      </c>
      <c r="B619" s="233" t="s">
        <v>69</v>
      </c>
      <c r="C619" s="234" t="s">
        <v>71</v>
      </c>
      <c r="D619" s="234" t="s">
        <v>25</v>
      </c>
      <c r="E619" s="234" t="s">
        <v>632</v>
      </c>
      <c r="F619" s="234" t="s">
        <v>138</v>
      </c>
      <c r="G619" s="235">
        <f>G620</f>
        <v>4099960</v>
      </c>
      <c r="H619" s="234">
        <v>110520240</v>
      </c>
      <c r="I619" s="313" t="str">
        <f t="shared" si="68"/>
        <v>0110520240</v>
      </c>
      <c r="J619" s="30" t="str">
        <f t="shared" si="69"/>
        <v>60607090110520240610</v>
      </c>
    </row>
    <row r="620" spans="1:10" s="83" customFormat="1">
      <c r="A620" s="236" t="s">
        <v>1016</v>
      </c>
      <c r="B620" s="233" t="s">
        <v>69</v>
      </c>
      <c r="C620" s="234" t="s">
        <v>71</v>
      </c>
      <c r="D620" s="234" t="s">
        <v>25</v>
      </c>
      <c r="E620" s="234" t="s">
        <v>632</v>
      </c>
      <c r="F620" s="234" t="s">
        <v>1046</v>
      </c>
      <c r="G620" s="235">
        <f>VLOOKUP(J620,'исх АС БЮДЖЕТ'!$A$10:$H$568,6,0)</f>
        <v>4099960</v>
      </c>
      <c r="H620" s="234">
        <v>110520240</v>
      </c>
      <c r="I620" s="313" t="str">
        <f t="shared" si="68"/>
        <v>0110520240</v>
      </c>
      <c r="J620" s="30" t="str">
        <f t="shared" si="69"/>
        <v>60607090110520240612</v>
      </c>
    </row>
    <row r="621" spans="1:10" s="30" customFormat="1">
      <c r="A621" s="244" t="s">
        <v>93</v>
      </c>
      <c r="B621" s="233" t="s">
        <v>69</v>
      </c>
      <c r="C621" s="234" t="s">
        <v>71</v>
      </c>
      <c r="D621" s="234" t="s">
        <v>25</v>
      </c>
      <c r="E621" s="234" t="s">
        <v>632</v>
      </c>
      <c r="F621" s="234" t="s">
        <v>20</v>
      </c>
      <c r="G621" s="235">
        <f>G622</f>
        <v>428830</v>
      </c>
      <c r="H621" s="234">
        <v>110520240</v>
      </c>
      <c r="I621" s="313" t="str">
        <f t="shared" si="68"/>
        <v>0110520240</v>
      </c>
      <c r="J621" s="30" t="str">
        <f t="shared" si="69"/>
        <v>60607090110520240620</v>
      </c>
    </row>
    <row r="622" spans="1:10" s="83" customFormat="1">
      <c r="A622" s="236" t="s">
        <v>1019</v>
      </c>
      <c r="B622" s="233" t="s">
        <v>69</v>
      </c>
      <c r="C622" s="234" t="s">
        <v>71</v>
      </c>
      <c r="D622" s="234" t="s">
        <v>25</v>
      </c>
      <c r="E622" s="234" t="s">
        <v>632</v>
      </c>
      <c r="F622" s="234" t="s">
        <v>1054</v>
      </c>
      <c r="G622" s="235">
        <f>VLOOKUP(J622,'исх АС БЮДЖЕТ'!$A$10:$H$568,6,0)</f>
        <v>428830</v>
      </c>
      <c r="H622" s="234">
        <v>110520240</v>
      </c>
      <c r="I622" s="313" t="str">
        <f t="shared" si="68"/>
        <v>0110520240</v>
      </c>
      <c r="J622" s="30" t="str">
        <f t="shared" si="69"/>
        <v>60607090110520240622</v>
      </c>
    </row>
    <row r="623" spans="1:10" s="30" customFormat="1" ht="25.5">
      <c r="A623" s="237" t="s">
        <v>674</v>
      </c>
      <c r="B623" s="241" t="s">
        <v>69</v>
      </c>
      <c r="C623" s="242" t="s">
        <v>71</v>
      </c>
      <c r="D623" s="242" t="s">
        <v>25</v>
      </c>
      <c r="E623" s="242" t="s">
        <v>665</v>
      </c>
      <c r="F623" s="242" t="s">
        <v>58</v>
      </c>
      <c r="G623" s="243">
        <f>G624+G627</f>
        <v>6948193.5999999996</v>
      </c>
      <c r="H623" s="242">
        <v>110800000</v>
      </c>
      <c r="I623" s="313" t="str">
        <f t="shared" si="68"/>
        <v>0110800000</v>
      </c>
      <c r="J623" s="30" t="str">
        <f t="shared" si="69"/>
        <v>60607090110800000000</v>
      </c>
    </row>
    <row r="624" spans="1:10" s="30" customFormat="1">
      <c r="A624" s="252" t="s">
        <v>247</v>
      </c>
      <c r="B624" s="241" t="s">
        <v>69</v>
      </c>
      <c r="C624" s="242" t="s">
        <v>71</v>
      </c>
      <c r="D624" s="242" t="s">
        <v>25</v>
      </c>
      <c r="E624" s="242" t="s">
        <v>666</v>
      </c>
      <c r="F624" s="242" t="s">
        <v>58</v>
      </c>
      <c r="G624" s="243">
        <f>SUM(G625:G625)</f>
        <v>6945850</v>
      </c>
      <c r="H624" s="242">
        <v>110811010</v>
      </c>
      <c r="I624" s="313" t="str">
        <f t="shared" si="68"/>
        <v>0110811010</v>
      </c>
      <c r="J624" s="30" t="str">
        <f t="shared" si="69"/>
        <v>60607090110811010000</v>
      </c>
    </row>
    <row r="625" spans="1:10" s="30" customFormat="1">
      <c r="A625" s="252" t="s">
        <v>92</v>
      </c>
      <c r="B625" s="241" t="s">
        <v>69</v>
      </c>
      <c r="C625" s="242" t="s">
        <v>71</v>
      </c>
      <c r="D625" s="242" t="s">
        <v>25</v>
      </c>
      <c r="E625" s="242" t="s">
        <v>666</v>
      </c>
      <c r="F625" s="242" t="s">
        <v>138</v>
      </c>
      <c r="G625" s="235">
        <f>G626</f>
        <v>6945850</v>
      </c>
      <c r="H625" s="242">
        <v>110811010</v>
      </c>
      <c r="I625" s="313" t="str">
        <f t="shared" si="68"/>
        <v>0110811010</v>
      </c>
      <c r="J625" s="30" t="str">
        <f t="shared" si="69"/>
        <v>60607090110811010610</v>
      </c>
    </row>
    <row r="626" spans="1:10" s="83" customFormat="1" ht="38.25">
      <c r="A626" s="236" t="s">
        <v>1015</v>
      </c>
      <c r="B626" s="241" t="s">
        <v>69</v>
      </c>
      <c r="C626" s="242" t="s">
        <v>71</v>
      </c>
      <c r="D626" s="242" t="s">
        <v>25</v>
      </c>
      <c r="E626" s="242" t="s">
        <v>666</v>
      </c>
      <c r="F626" s="242" t="s">
        <v>67</v>
      </c>
      <c r="G626" s="235">
        <f>VLOOKUP(J626,'исх АС БЮДЖЕТ'!$A$10:$H$568,6,0)</f>
        <v>6945850</v>
      </c>
      <c r="H626" s="242">
        <v>110811010</v>
      </c>
      <c r="I626" s="313" t="str">
        <f t="shared" si="68"/>
        <v>0110811010</v>
      </c>
      <c r="J626" s="30" t="str">
        <f t="shared" si="69"/>
        <v>60607090110811010611</v>
      </c>
    </row>
    <row r="627" spans="1:10" s="83" customFormat="1" ht="25.5">
      <c r="A627" s="236" t="s">
        <v>1132</v>
      </c>
      <c r="B627" s="241" t="s">
        <v>69</v>
      </c>
      <c r="C627" s="242" t="s">
        <v>71</v>
      </c>
      <c r="D627" s="242" t="s">
        <v>25</v>
      </c>
      <c r="E627" s="242" t="s">
        <v>1137</v>
      </c>
      <c r="F627" s="242" t="s">
        <v>58</v>
      </c>
      <c r="G627" s="243">
        <f>G628</f>
        <v>2343.6</v>
      </c>
      <c r="H627" s="242">
        <v>110877250</v>
      </c>
      <c r="I627" s="313" t="str">
        <f t="shared" si="68"/>
        <v>0110877250</v>
      </c>
      <c r="J627" s="30" t="str">
        <f t="shared" si="69"/>
        <v>60607090110877250000</v>
      </c>
    </row>
    <row r="628" spans="1:10" s="83" customFormat="1">
      <c r="A628" s="252" t="s">
        <v>92</v>
      </c>
      <c r="B628" s="241" t="s">
        <v>69</v>
      </c>
      <c r="C628" s="242" t="s">
        <v>71</v>
      </c>
      <c r="D628" s="242" t="s">
        <v>25</v>
      </c>
      <c r="E628" s="242" t="s">
        <v>1137</v>
      </c>
      <c r="F628" s="242" t="s">
        <v>138</v>
      </c>
      <c r="G628" s="235">
        <f>G629</f>
        <v>2343.6</v>
      </c>
      <c r="H628" s="242">
        <v>110877250</v>
      </c>
      <c r="I628" s="313" t="str">
        <f t="shared" si="68"/>
        <v>0110877250</v>
      </c>
      <c r="J628" s="30" t="str">
        <f t="shared" si="69"/>
        <v>60607090110877250610</v>
      </c>
    </row>
    <row r="629" spans="1:10" s="83" customFormat="1" ht="38.25">
      <c r="A629" s="236" t="s">
        <v>1015</v>
      </c>
      <c r="B629" s="241" t="s">
        <v>69</v>
      </c>
      <c r="C629" s="242" t="s">
        <v>71</v>
      </c>
      <c r="D629" s="242" t="s">
        <v>25</v>
      </c>
      <c r="E629" s="242" t="s">
        <v>1137</v>
      </c>
      <c r="F629" s="242" t="s">
        <v>67</v>
      </c>
      <c r="G629" s="235">
        <f>VLOOKUP(J629,'исх АС БЮДЖЕТ'!$A$10:$H$568,6,0)</f>
        <v>2343.6</v>
      </c>
      <c r="H629" s="242">
        <v>110877250</v>
      </c>
      <c r="I629" s="313" t="str">
        <f t="shared" si="68"/>
        <v>0110877250</v>
      </c>
      <c r="J629" s="30" t="str">
        <f t="shared" si="69"/>
        <v>60607090110877250611</v>
      </c>
    </row>
    <row r="630" spans="1:10" s="30" customFormat="1" ht="51">
      <c r="A630" s="232" t="s">
        <v>756</v>
      </c>
      <c r="B630" s="233" t="s">
        <v>69</v>
      </c>
      <c r="C630" s="234" t="s">
        <v>71</v>
      </c>
      <c r="D630" s="234" t="s">
        <v>25</v>
      </c>
      <c r="E630" s="234" t="s">
        <v>339</v>
      </c>
      <c r="F630" s="234" t="s">
        <v>58</v>
      </c>
      <c r="G630" s="235">
        <f t="shared" ref="G630:G633" si="71">G631</f>
        <v>73000</v>
      </c>
      <c r="H630" s="234">
        <v>1600000000</v>
      </c>
      <c r="I630" s="313" t="str">
        <f t="shared" si="68"/>
        <v>1600000000</v>
      </c>
      <c r="J630" s="30" t="str">
        <f t="shared" si="69"/>
        <v>60607091600000000000</v>
      </c>
    </row>
    <row r="631" spans="1:10" s="30" customFormat="1" ht="25.5">
      <c r="A631" s="232" t="s">
        <v>136</v>
      </c>
      <c r="B631" s="233" t="s">
        <v>69</v>
      </c>
      <c r="C631" s="234" t="s">
        <v>71</v>
      </c>
      <c r="D631" s="234" t="s">
        <v>25</v>
      </c>
      <c r="E631" s="234" t="s">
        <v>340</v>
      </c>
      <c r="F631" s="234" t="s">
        <v>58</v>
      </c>
      <c r="G631" s="235">
        <f t="shared" si="71"/>
        <v>73000</v>
      </c>
      <c r="H631" s="234">
        <v>1620000000</v>
      </c>
      <c r="I631" s="313" t="str">
        <f t="shared" si="68"/>
        <v>1620000000</v>
      </c>
      <c r="J631" s="30" t="str">
        <f t="shared" si="69"/>
        <v>60607091620000000000</v>
      </c>
    </row>
    <row r="632" spans="1:10" s="30" customFormat="1" ht="25.5">
      <c r="A632" s="232" t="s">
        <v>667</v>
      </c>
      <c r="B632" s="233" t="s">
        <v>69</v>
      </c>
      <c r="C632" s="234" t="s">
        <v>71</v>
      </c>
      <c r="D632" s="234" t="s">
        <v>25</v>
      </c>
      <c r="E632" s="234" t="s">
        <v>609</v>
      </c>
      <c r="F632" s="234" t="s">
        <v>58</v>
      </c>
      <c r="G632" s="235">
        <f t="shared" si="71"/>
        <v>73000</v>
      </c>
      <c r="H632" s="234">
        <v>1620200000</v>
      </c>
      <c r="I632" s="313" t="str">
        <f t="shared" si="68"/>
        <v>1620200000</v>
      </c>
      <c r="J632" s="30" t="str">
        <f t="shared" si="69"/>
        <v>60607091620200000000</v>
      </c>
    </row>
    <row r="633" spans="1:10" s="30" customFormat="1" ht="25.5">
      <c r="A633" s="232" t="s">
        <v>177</v>
      </c>
      <c r="B633" s="233" t="s">
        <v>69</v>
      </c>
      <c r="C633" s="234" t="s">
        <v>71</v>
      </c>
      <c r="D633" s="234" t="s">
        <v>25</v>
      </c>
      <c r="E633" s="234" t="s">
        <v>610</v>
      </c>
      <c r="F633" s="234" t="s">
        <v>58</v>
      </c>
      <c r="G633" s="235">
        <f t="shared" si="71"/>
        <v>73000</v>
      </c>
      <c r="H633" s="234">
        <v>1620220550</v>
      </c>
      <c r="I633" s="313" t="str">
        <f t="shared" si="68"/>
        <v>1620220550</v>
      </c>
      <c r="J633" s="30" t="str">
        <f t="shared" si="69"/>
        <v>60607091620220550000</v>
      </c>
    </row>
    <row r="634" spans="1:10" s="30" customFormat="1">
      <c r="A634" s="244" t="s">
        <v>92</v>
      </c>
      <c r="B634" s="233" t="s">
        <v>69</v>
      </c>
      <c r="C634" s="234" t="s">
        <v>71</v>
      </c>
      <c r="D634" s="234" t="s">
        <v>25</v>
      </c>
      <c r="E634" s="234" t="s">
        <v>610</v>
      </c>
      <c r="F634" s="234" t="s">
        <v>138</v>
      </c>
      <c r="G634" s="235">
        <f>G635</f>
        <v>73000</v>
      </c>
      <c r="H634" s="234">
        <v>1620220550</v>
      </c>
      <c r="I634" s="313" t="str">
        <f t="shared" si="68"/>
        <v>1620220550</v>
      </c>
      <c r="J634" s="30" t="str">
        <f t="shared" si="69"/>
        <v>60607091620220550610</v>
      </c>
    </row>
    <row r="635" spans="1:10" s="83" customFormat="1">
      <c r="A635" s="236" t="s">
        <v>1016</v>
      </c>
      <c r="B635" s="233" t="s">
        <v>69</v>
      </c>
      <c r="C635" s="234" t="s">
        <v>71</v>
      </c>
      <c r="D635" s="234" t="s">
        <v>25</v>
      </c>
      <c r="E635" s="234" t="s">
        <v>610</v>
      </c>
      <c r="F635" s="234" t="s">
        <v>1046</v>
      </c>
      <c r="G635" s="235">
        <f>VLOOKUP(J635,'исх АС БЮДЖЕТ'!$A$10:$H$568,6,0)</f>
        <v>73000</v>
      </c>
      <c r="H635" s="234">
        <v>1620220550</v>
      </c>
      <c r="I635" s="313" t="str">
        <f t="shared" si="68"/>
        <v>1620220550</v>
      </c>
      <c r="J635" s="30" t="str">
        <f t="shared" si="69"/>
        <v>60607091620220550612</v>
      </c>
    </row>
    <row r="636" spans="1:10" s="30" customFormat="1" ht="25.5">
      <c r="A636" s="232" t="s">
        <v>183</v>
      </c>
      <c r="B636" s="233" t="s">
        <v>69</v>
      </c>
      <c r="C636" s="234" t="s">
        <v>71</v>
      </c>
      <c r="D636" s="234" t="s">
        <v>25</v>
      </c>
      <c r="E636" s="234" t="s">
        <v>358</v>
      </c>
      <c r="F636" s="234" t="s">
        <v>58</v>
      </c>
      <c r="G636" s="235">
        <f>G637</f>
        <v>25677172.620000001</v>
      </c>
      <c r="H636" s="234">
        <v>7500000000</v>
      </c>
      <c r="I636" s="313" t="str">
        <f t="shared" si="68"/>
        <v>7500000000</v>
      </c>
      <c r="J636" s="30" t="str">
        <f t="shared" si="69"/>
        <v>60607097500000000000</v>
      </c>
    </row>
    <row r="637" spans="1:10" s="30" customFormat="1" ht="25.5">
      <c r="A637" s="232" t="s">
        <v>184</v>
      </c>
      <c r="B637" s="233" t="s">
        <v>69</v>
      </c>
      <c r="C637" s="234" t="s">
        <v>71</v>
      </c>
      <c r="D637" s="234" t="s">
        <v>25</v>
      </c>
      <c r="E637" s="234" t="s">
        <v>359</v>
      </c>
      <c r="F637" s="234" t="s">
        <v>58</v>
      </c>
      <c r="G637" s="235">
        <f>G638+G647+G651</f>
        <v>25677172.620000001</v>
      </c>
      <c r="H637" s="234">
        <v>7510000000</v>
      </c>
      <c r="I637" s="313" t="str">
        <f t="shared" si="68"/>
        <v>7510000000</v>
      </c>
      <c r="J637" s="30" t="str">
        <f t="shared" si="69"/>
        <v>60607097510000000000</v>
      </c>
    </row>
    <row r="638" spans="1:10" s="30" customFormat="1" ht="25.5">
      <c r="A638" s="232" t="s">
        <v>114</v>
      </c>
      <c r="B638" s="233" t="s">
        <v>69</v>
      </c>
      <c r="C638" s="234" t="s">
        <v>71</v>
      </c>
      <c r="D638" s="234" t="s">
        <v>25</v>
      </c>
      <c r="E638" s="234" t="s">
        <v>360</v>
      </c>
      <c r="F638" s="234" t="s">
        <v>58</v>
      </c>
      <c r="G638" s="235">
        <f>G639+G642+G644</f>
        <v>2408170</v>
      </c>
      <c r="H638" s="234">
        <v>7510010010</v>
      </c>
      <c r="I638" s="313" t="str">
        <f t="shared" si="68"/>
        <v>7510010010</v>
      </c>
      <c r="J638" s="30" t="str">
        <f t="shared" si="69"/>
        <v>60607097510010010000</v>
      </c>
    </row>
    <row r="639" spans="1:10" s="30" customFormat="1">
      <c r="A639" s="232" t="s">
        <v>362</v>
      </c>
      <c r="B639" s="233" t="s">
        <v>69</v>
      </c>
      <c r="C639" s="234" t="s">
        <v>71</v>
      </c>
      <c r="D639" s="234" t="s">
        <v>25</v>
      </c>
      <c r="E639" s="234" t="s">
        <v>360</v>
      </c>
      <c r="F639" s="234" t="s">
        <v>115</v>
      </c>
      <c r="G639" s="235">
        <f>SUM(G640:G641)</f>
        <v>680160</v>
      </c>
      <c r="H639" s="234">
        <v>7510010010</v>
      </c>
      <c r="I639" s="313" t="str">
        <f t="shared" si="68"/>
        <v>7510010010</v>
      </c>
      <c r="J639" s="30" t="str">
        <f t="shared" si="69"/>
        <v>60607097510010010120</v>
      </c>
    </row>
    <row r="640" spans="1:10" s="83" customFormat="1" ht="25.5">
      <c r="A640" s="236" t="s">
        <v>937</v>
      </c>
      <c r="B640" s="233" t="s">
        <v>69</v>
      </c>
      <c r="C640" s="234" t="s">
        <v>71</v>
      </c>
      <c r="D640" s="234" t="s">
        <v>25</v>
      </c>
      <c r="E640" s="234" t="s">
        <v>360</v>
      </c>
      <c r="F640" s="234" t="s">
        <v>1059</v>
      </c>
      <c r="G640" s="235">
        <f>VLOOKUP(J640,'исх АС БЮДЖЕТ'!$A$10:$H$568,6,0)</f>
        <v>522400</v>
      </c>
      <c r="H640" s="234">
        <v>7510010010</v>
      </c>
      <c r="I640" s="313" t="str">
        <f t="shared" si="68"/>
        <v>7510010010</v>
      </c>
      <c r="J640" s="30" t="str">
        <f t="shared" si="69"/>
        <v>60607097510010010122</v>
      </c>
    </row>
    <row r="641" spans="1:10" s="83" customFormat="1" ht="38.25">
      <c r="A641" s="236" t="s">
        <v>939</v>
      </c>
      <c r="B641" s="233" t="s">
        <v>69</v>
      </c>
      <c r="C641" s="234" t="s">
        <v>71</v>
      </c>
      <c r="D641" s="234" t="s">
        <v>25</v>
      </c>
      <c r="E641" s="234" t="s">
        <v>360</v>
      </c>
      <c r="F641" s="234" t="s">
        <v>1060</v>
      </c>
      <c r="G641" s="235">
        <f>VLOOKUP(J641,'исх АС БЮДЖЕТ'!$A$10:$H$568,6,0)</f>
        <v>157760</v>
      </c>
      <c r="H641" s="234">
        <v>7510010010</v>
      </c>
      <c r="I641" s="313" t="str">
        <f t="shared" si="68"/>
        <v>7510010010</v>
      </c>
      <c r="J641" s="30" t="str">
        <f t="shared" si="69"/>
        <v>60607097510010010129</v>
      </c>
    </row>
    <row r="642" spans="1:10" s="30" customFormat="1" ht="25.5">
      <c r="A642" s="232" t="s">
        <v>108</v>
      </c>
      <c r="B642" s="233" t="s">
        <v>69</v>
      </c>
      <c r="C642" s="234" t="s">
        <v>71</v>
      </c>
      <c r="D642" s="234" t="s">
        <v>25</v>
      </c>
      <c r="E642" s="234" t="s">
        <v>360</v>
      </c>
      <c r="F642" s="234" t="s">
        <v>116</v>
      </c>
      <c r="G642" s="235">
        <f>G643</f>
        <v>1685870</v>
      </c>
      <c r="H642" s="234">
        <v>7510010010</v>
      </c>
      <c r="I642" s="313" t="str">
        <f t="shared" si="68"/>
        <v>7510010010</v>
      </c>
      <c r="J642" s="30" t="str">
        <f t="shared" si="69"/>
        <v>60607097510010010240</v>
      </c>
    </row>
    <row r="643" spans="1:10" s="83" customFormat="1" ht="25.5">
      <c r="A643" s="236" t="s">
        <v>973</v>
      </c>
      <c r="B643" s="233" t="s">
        <v>69</v>
      </c>
      <c r="C643" s="234" t="s">
        <v>71</v>
      </c>
      <c r="D643" s="234" t="s">
        <v>25</v>
      </c>
      <c r="E643" s="234" t="s">
        <v>360</v>
      </c>
      <c r="F643" s="234" t="s">
        <v>1043</v>
      </c>
      <c r="G643" s="235">
        <f>VLOOKUP(J643,'исх АС БЮДЖЕТ'!$A$10:$H$568,6,0)</f>
        <v>1685870</v>
      </c>
      <c r="H643" s="234">
        <v>7510010010</v>
      </c>
      <c r="I643" s="313" t="str">
        <f t="shared" si="68"/>
        <v>7510010010</v>
      </c>
      <c r="J643" s="30" t="str">
        <f t="shared" si="69"/>
        <v>60607097510010010244</v>
      </c>
    </row>
    <row r="644" spans="1:10" s="30" customFormat="1">
      <c r="A644" s="232" t="s">
        <v>97</v>
      </c>
      <c r="B644" s="233" t="s">
        <v>69</v>
      </c>
      <c r="C644" s="234" t="s">
        <v>71</v>
      </c>
      <c r="D644" s="234" t="s">
        <v>25</v>
      </c>
      <c r="E644" s="234" t="s">
        <v>360</v>
      </c>
      <c r="F644" s="234" t="s">
        <v>118</v>
      </c>
      <c r="G644" s="235">
        <f>SUM(G645:G646)</f>
        <v>42140</v>
      </c>
      <c r="H644" s="234">
        <v>7510010010</v>
      </c>
      <c r="I644" s="313" t="str">
        <f t="shared" si="68"/>
        <v>7510010010</v>
      </c>
      <c r="J644" s="30" t="str">
        <f t="shared" si="69"/>
        <v>60607097510010010850</v>
      </c>
    </row>
    <row r="645" spans="1:10" s="83" customFormat="1">
      <c r="A645" s="236" t="s">
        <v>1036</v>
      </c>
      <c r="B645" s="233" t="s">
        <v>69</v>
      </c>
      <c r="C645" s="234" t="s">
        <v>71</v>
      </c>
      <c r="D645" s="234" t="s">
        <v>25</v>
      </c>
      <c r="E645" s="234" t="s">
        <v>360</v>
      </c>
      <c r="F645" s="234" t="s">
        <v>1061</v>
      </c>
      <c r="G645" s="235">
        <f>VLOOKUP(J645,'исх АС БЮДЖЕТ'!$A$10:$H$568,6,0)</f>
        <v>40240</v>
      </c>
      <c r="H645" s="234">
        <v>7510010010</v>
      </c>
      <c r="I645" s="313" t="str">
        <f t="shared" si="68"/>
        <v>7510010010</v>
      </c>
      <c r="J645" s="30" t="str">
        <f t="shared" si="69"/>
        <v>60607097510010010851</v>
      </c>
    </row>
    <row r="646" spans="1:10" s="83" customFormat="1">
      <c r="A646" s="236" t="s">
        <v>1037</v>
      </c>
      <c r="B646" s="233" t="s">
        <v>69</v>
      </c>
      <c r="C646" s="234" t="s">
        <v>71</v>
      </c>
      <c r="D646" s="234" t="s">
        <v>25</v>
      </c>
      <c r="E646" s="234" t="s">
        <v>360</v>
      </c>
      <c r="F646" s="234" t="s">
        <v>1062</v>
      </c>
      <c r="G646" s="235">
        <f>VLOOKUP(J646,'исх АС БЮДЖЕТ'!$A$10:$H$568,6,0)</f>
        <v>1900</v>
      </c>
      <c r="H646" s="234">
        <v>7510010010</v>
      </c>
      <c r="I646" s="313" t="str">
        <f t="shared" si="68"/>
        <v>7510010010</v>
      </c>
      <c r="J646" s="30" t="str">
        <f t="shared" si="69"/>
        <v>60607097510010010852</v>
      </c>
    </row>
    <row r="647" spans="1:10" s="30" customFormat="1" ht="25.5">
      <c r="A647" s="232" t="s">
        <v>126</v>
      </c>
      <c r="B647" s="233" t="s">
        <v>69</v>
      </c>
      <c r="C647" s="234" t="s">
        <v>71</v>
      </c>
      <c r="D647" s="234" t="s">
        <v>25</v>
      </c>
      <c r="E647" s="234" t="s">
        <v>361</v>
      </c>
      <c r="F647" s="234" t="s">
        <v>58</v>
      </c>
      <c r="G647" s="235">
        <f>G648</f>
        <v>21297580</v>
      </c>
      <c r="H647" s="234">
        <v>7510010020</v>
      </c>
      <c r="I647" s="313" t="str">
        <f t="shared" si="68"/>
        <v>7510010020</v>
      </c>
      <c r="J647" s="30" t="str">
        <f t="shared" si="69"/>
        <v>60607097510010020000</v>
      </c>
    </row>
    <row r="648" spans="1:10" s="30" customFormat="1">
      <c r="A648" s="232" t="s">
        <v>362</v>
      </c>
      <c r="B648" s="233" t="s">
        <v>69</v>
      </c>
      <c r="C648" s="234" t="s">
        <v>71</v>
      </c>
      <c r="D648" s="234" t="s">
        <v>25</v>
      </c>
      <c r="E648" s="234" t="s">
        <v>361</v>
      </c>
      <c r="F648" s="234" t="s">
        <v>115</v>
      </c>
      <c r="G648" s="235">
        <f>SUM(G649:G650)</f>
        <v>21297580</v>
      </c>
      <c r="H648" s="234">
        <v>7510010020</v>
      </c>
      <c r="I648" s="313" t="str">
        <f t="shared" si="68"/>
        <v>7510010020</v>
      </c>
      <c r="J648" s="30" t="str">
        <f t="shared" si="69"/>
        <v>60607097510010020120</v>
      </c>
    </row>
    <row r="649" spans="1:10" s="83" customFormat="1">
      <c r="A649" s="236" t="s">
        <v>936</v>
      </c>
      <c r="B649" s="233" t="s">
        <v>69</v>
      </c>
      <c r="C649" s="234" t="s">
        <v>71</v>
      </c>
      <c r="D649" s="234" t="s">
        <v>25</v>
      </c>
      <c r="E649" s="234" t="s">
        <v>361</v>
      </c>
      <c r="F649" s="234" t="s">
        <v>1063</v>
      </c>
      <c r="G649" s="235">
        <f>VLOOKUP(J649,'исх АС БЮДЖЕТ'!$A$10:$H$568,6,0)</f>
        <v>16357590</v>
      </c>
      <c r="H649" s="234">
        <v>7510010020</v>
      </c>
      <c r="I649" s="313" t="str">
        <f t="shared" si="68"/>
        <v>7510010020</v>
      </c>
      <c r="J649" s="30" t="str">
        <f t="shared" si="69"/>
        <v>60607097510010020121</v>
      </c>
    </row>
    <row r="650" spans="1:10" s="83" customFormat="1" ht="38.25">
      <c r="A650" s="236" t="s">
        <v>939</v>
      </c>
      <c r="B650" s="233" t="s">
        <v>69</v>
      </c>
      <c r="C650" s="234" t="s">
        <v>71</v>
      </c>
      <c r="D650" s="234" t="s">
        <v>25</v>
      </c>
      <c r="E650" s="234" t="s">
        <v>361</v>
      </c>
      <c r="F650" s="234" t="s">
        <v>1060</v>
      </c>
      <c r="G650" s="235">
        <f>VLOOKUP(J650,'исх АС БЮДЖЕТ'!$A$10:$H$568,6,0)</f>
        <v>4939990</v>
      </c>
      <c r="H650" s="234">
        <v>7510010020</v>
      </c>
      <c r="I650" s="313" t="str">
        <f t="shared" si="68"/>
        <v>7510010020</v>
      </c>
      <c r="J650" s="30" t="str">
        <f t="shared" si="69"/>
        <v>60607097510010020129</v>
      </c>
    </row>
    <row r="651" spans="1:10" s="30" customFormat="1" ht="38.25">
      <c r="A651" s="232" t="s">
        <v>598</v>
      </c>
      <c r="B651" s="233" t="s">
        <v>69</v>
      </c>
      <c r="C651" s="234" t="s">
        <v>71</v>
      </c>
      <c r="D651" s="234" t="s">
        <v>25</v>
      </c>
      <c r="E651" s="234" t="s">
        <v>363</v>
      </c>
      <c r="F651" s="234" t="s">
        <v>58</v>
      </c>
      <c r="G651" s="235">
        <f>G652</f>
        <v>1971422.62</v>
      </c>
      <c r="H651" s="234">
        <v>7510076200</v>
      </c>
      <c r="I651" s="313" t="str">
        <f t="shared" si="68"/>
        <v>7510076200</v>
      </c>
      <c r="J651" s="30" t="str">
        <f t="shared" si="69"/>
        <v>60607097510076200000</v>
      </c>
    </row>
    <row r="652" spans="1:10" s="30" customFormat="1">
      <c r="A652" s="232" t="s">
        <v>362</v>
      </c>
      <c r="B652" s="233" t="s">
        <v>69</v>
      </c>
      <c r="C652" s="234" t="s">
        <v>71</v>
      </c>
      <c r="D652" s="234" t="s">
        <v>25</v>
      </c>
      <c r="E652" s="234" t="s">
        <v>363</v>
      </c>
      <c r="F652" s="234" t="s">
        <v>115</v>
      </c>
      <c r="G652" s="235">
        <f>SUM(G653:G655)</f>
        <v>1971422.62</v>
      </c>
      <c r="H652" s="234">
        <v>7510076200</v>
      </c>
      <c r="I652" s="313" t="str">
        <f t="shared" si="68"/>
        <v>7510076200</v>
      </c>
      <c r="J652" s="30" t="str">
        <f t="shared" si="69"/>
        <v>60607097510076200120</v>
      </c>
    </row>
    <row r="653" spans="1:10" s="83" customFormat="1">
      <c r="A653" s="236" t="s">
        <v>936</v>
      </c>
      <c r="B653" s="233" t="s">
        <v>69</v>
      </c>
      <c r="C653" s="234" t="s">
        <v>71</v>
      </c>
      <c r="D653" s="234" t="s">
        <v>25</v>
      </c>
      <c r="E653" s="234" t="s">
        <v>363</v>
      </c>
      <c r="F653" s="234" t="s">
        <v>1063</v>
      </c>
      <c r="G653" s="235">
        <f>VLOOKUP(J653,'исх АС БЮДЖЕТ'!$A$10:$H$568,6,0)</f>
        <v>1449862.62</v>
      </c>
      <c r="H653" s="234">
        <v>7510076200</v>
      </c>
      <c r="I653" s="313" t="str">
        <f t="shared" si="68"/>
        <v>7510076200</v>
      </c>
      <c r="J653" s="30" t="str">
        <f t="shared" si="69"/>
        <v>60607097510076200121</v>
      </c>
    </row>
    <row r="654" spans="1:10" s="83" customFormat="1" ht="25.5">
      <c r="A654" s="236" t="s">
        <v>937</v>
      </c>
      <c r="B654" s="233" t="s">
        <v>69</v>
      </c>
      <c r="C654" s="234" t="s">
        <v>71</v>
      </c>
      <c r="D654" s="234" t="s">
        <v>25</v>
      </c>
      <c r="E654" s="234" t="s">
        <v>363</v>
      </c>
      <c r="F654" s="234" t="s">
        <v>1059</v>
      </c>
      <c r="G654" s="235">
        <f>VLOOKUP(J654,'исх АС БЮДЖЕТ'!$A$10:$H$568,6,0)</f>
        <v>64430</v>
      </c>
      <c r="H654" s="234">
        <v>7510076200</v>
      </c>
      <c r="I654" s="313" t="str">
        <f t="shared" si="68"/>
        <v>7510076200</v>
      </c>
      <c r="J654" s="30" t="str">
        <f t="shared" si="69"/>
        <v>60607097510076200122</v>
      </c>
    </row>
    <row r="655" spans="1:10" s="83" customFormat="1" ht="38.25">
      <c r="A655" s="236" t="s">
        <v>939</v>
      </c>
      <c r="B655" s="233" t="s">
        <v>69</v>
      </c>
      <c r="C655" s="234" t="s">
        <v>71</v>
      </c>
      <c r="D655" s="234" t="s">
        <v>25</v>
      </c>
      <c r="E655" s="234" t="s">
        <v>363</v>
      </c>
      <c r="F655" s="234" t="s">
        <v>1060</v>
      </c>
      <c r="G655" s="235">
        <f>VLOOKUP(J655,'исх АС БЮДЖЕТ'!$A$10:$H$568,6,0)</f>
        <v>457130</v>
      </c>
      <c r="H655" s="234">
        <v>7510076200</v>
      </c>
      <c r="I655" s="313" t="str">
        <f t="shared" si="68"/>
        <v>7510076200</v>
      </c>
      <c r="J655" s="30" t="str">
        <f t="shared" si="69"/>
        <v>60607097510076200129</v>
      </c>
    </row>
    <row r="656" spans="1:10" s="30" customFormat="1">
      <c r="A656" s="224" t="s">
        <v>49</v>
      </c>
      <c r="B656" s="225" t="s">
        <v>69</v>
      </c>
      <c r="C656" s="226" t="s">
        <v>14</v>
      </c>
      <c r="D656" s="226" t="s">
        <v>51</v>
      </c>
      <c r="E656" s="226" t="s">
        <v>196</v>
      </c>
      <c r="F656" s="226" t="s">
        <v>58</v>
      </c>
      <c r="G656" s="227">
        <f t="shared" ref="G656:G658" si="72">G657</f>
        <v>115029190</v>
      </c>
      <c r="H656" s="226">
        <v>0</v>
      </c>
      <c r="I656" s="313" t="str">
        <f t="shared" si="68"/>
        <v>0000000000</v>
      </c>
      <c r="J656" s="30" t="str">
        <f t="shared" si="69"/>
        <v>60610000000000000000</v>
      </c>
    </row>
    <row r="657" spans="1:10" s="30" customFormat="1">
      <c r="A657" s="228" t="s">
        <v>22</v>
      </c>
      <c r="B657" s="229" t="s">
        <v>69</v>
      </c>
      <c r="C657" s="230" t="s">
        <v>14</v>
      </c>
      <c r="D657" s="230" t="s">
        <v>37</v>
      </c>
      <c r="E657" s="230" t="s">
        <v>196</v>
      </c>
      <c r="F657" s="230" t="s">
        <v>58</v>
      </c>
      <c r="G657" s="231">
        <f t="shared" si="72"/>
        <v>115029190</v>
      </c>
      <c r="H657" s="230">
        <v>0</v>
      </c>
      <c r="I657" s="313" t="str">
        <f t="shared" si="68"/>
        <v>0000000000</v>
      </c>
      <c r="J657" s="30" t="str">
        <f t="shared" si="69"/>
        <v>60610040000000000000</v>
      </c>
    </row>
    <row r="658" spans="1:10" s="30" customFormat="1">
      <c r="A658" s="244" t="s">
        <v>723</v>
      </c>
      <c r="B658" s="233" t="s">
        <v>69</v>
      </c>
      <c r="C658" s="234" t="s">
        <v>14</v>
      </c>
      <c r="D658" s="234" t="s">
        <v>37</v>
      </c>
      <c r="E658" s="234" t="s">
        <v>331</v>
      </c>
      <c r="F658" s="234" t="s">
        <v>58</v>
      </c>
      <c r="G658" s="235">
        <f t="shared" si="72"/>
        <v>115029190</v>
      </c>
      <c r="H658" s="234">
        <v>100000000</v>
      </c>
      <c r="I658" s="313" t="str">
        <f t="shared" si="68"/>
        <v>0100000000</v>
      </c>
      <c r="J658" s="30" t="str">
        <f t="shared" si="69"/>
        <v>60610040100000000000</v>
      </c>
    </row>
    <row r="659" spans="1:10" s="30" customFormat="1" ht="25.5">
      <c r="A659" s="244" t="s">
        <v>860</v>
      </c>
      <c r="B659" s="233" t="s">
        <v>69</v>
      </c>
      <c r="C659" s="234" t="s">
        <v>14</v>
      </c>
      <c r="D659" s="234" t="s">
        <v>37</v>
      </c>
      <c r="E659" s="234" t="s">
        <v>332</v>
      </c>
      <c r="F659" s="234" t="s">
        <v>58</v>
      </c>
      <c r="G659" s="235">
        <f>G660+G666</f>
        <v>115029190</v>
      </c>
      <c r="H659" s="234">
        <v>110000000</v>
      </c>
      <c r="I659" s="313" t="str">
        <f t="shared" si="68"/>
        <v>0110000000</v>
      </c>
      <c r="J659" s="30" t="str">
        <f t="shared" si="69"/>
        <v>60610040110000000000</v>
      </c>
    </row>
    <row r="660" spans="1:10" s="30" customFormat="1" ht="25.5">
      <c r="A660" s="244" t="s">
        <v>607</v>
      </c>
      <c r="B660" s="233" t="s">
        <v>69</v>
      </c>
      <c r="C660" s="234" t="s">
        <v>14</v>
      </c>
      <c r="D660" s="234" t="s">
        <v>37</v>
      </c>
      <c r="E660" s="234" t="s">
        <v>333</v>
      </c>
      <c r="F660" s="234" t="s">
        <v>58</v>
      </c>
      <c r="G660" s="235">
        <f>G661</f>
        <v>80815450</v>
      </c>
      <c r="H660" s="234">
        <v>110100000</v>
      </c>
      <c r="I660" s="313" t="str">
        <f t="shared" ref="I660:I723" si="73">TEXT(H660,"0000000000")</f>
        <v>0110100000</v>
      </c>
      <c r="J660" s="30" t="str">
        <f t="shared" ref="J660:J723" si="74">CONCATENATE(B660,C660,D660,I660,F660)</f>
        <v>60610040110100000000</v>
      </c>
    </row>
    <row r="661" spans="1:10" s="30" customFormat="1" ht="38.25">
      <c r="A661" s="244" t="s">
        <v>364</v>
      </c>
      <c r="B661" s="233" t="s">
        <v>69</v>
      </c>
      <c r="C661" s="234" t="s">
        <v>14</v>
      </c>
      <c r="D661" s="234" t="s">
        <v>37</v>
      </c>
      <c r="E661" s="234" t="s">
        <v>365</v>
      </c>
      <c r="F661" s="234" t="s">
        <v>58</v>
      </c>
      <c r="G661" s="235">
        <f>G662+G664</f>
        <v>80815450</v>
      </c>
      <c r="H661" s="234">
        <v>110176140</v>
      </c>
      <c r="I661" s="313" t="str">
        <f t="shared" si="73"/>
        <v>0110176140</v>
      </c>
      <c r="J661" s="30" t="str">
        <f t="shared" si="74"/>
        <v>60610040110176140000</v>
      </c>
    </row>
    <row r="662" spans="1:10" s="30" customFormat="1" ht="25.5">
      <c r="A662" s="232" t="s">
        <v>108</v>
      </c>
      <c r="B662" s="233" t="s">
        <v>69</v>
      </c>
      <c r="C662" s="234" t="s">
        <v>14</v>
      </c>
      <c r="D662" s="234" t="s">
        <v>37</v>
      </c>
      <c r="E662" s="234" t="s">
        <v>365</v>
      </c>
      <c r="F662" s="234" t="s">
        <v>116</v>
      </c>
      <c r="G662" s="235">
        <f>G663</f>
        <v>1212230</v>
      </c>
      <c r="H662" s="234">
        <v>110176140</v>
      </c>
      <c r="I662" s="313" t="str">
        <f t="shared" si="73"/>
        <v>0110176140</v>
      </c>
      <c r="J662" s="30" t="str">
        <f t="shared" si="74"/>
        <v>60610040110176140240</v>
      </c>
    </row>
    <row r="663" spans="1:10" s="83" customFormat="1" ht="25.5">
      <c r="A663" s="236" t="s">
        <v>973</v>
      </c>
      <c r="B663" s="233" t="s">
        <v>69</v>
      </c>
      <c r="C663" s="234" t="s">
        <v>14</v>
      </c>
      <c r="D663" s="234" t="s">
        <v>37</v>
      </c>
      <c r="E663" s="234" t="s">
        <v>365</v>
      </c>
      <c r="F663" s="234" t="s">
        <v>1043</v>
      </c>
      <c r="G663" s="235">
        <f>VLOOKUP(J663,'исх АС БЮДЖЕТ'!$A$10:$H$568,6,0)</f>
        <v>1212230</v>
      </c>
      <c r="H663" s="234">
        <v>110176140</v>
      </c>
      <c r="I663" s="313" t="str">
        <f t="shared" si="73"/>
        <v>0110176140</v>
      </c>
      <c r="J663" s="30" t="str">
        <f t="shared" si="74"/>
        <v>60610040110176140244</v>
      </c>
    </row>
    <row r="664" spans="1:10" s="30" customFormat="1">
      <c r="A664" s="244" t="s">
        <v>109</v>
      </c>
      <c r="B664" s="233" t="s">
        <v>69</v>
      </c>
      <c r="C664" s="234" t="s">
        <v>14</v>
      </c>
      <c r="D664" s="234" t="s">
        <v>37</v>
      </c>
      <c r="E664" s="234" t="s">
        <v>365</v>
      </c>
      <c r="F664" s="234" t="s">
        <v>134</v>
      </c>
      <c r="G664" s="235">
        <f>G665</f>
        <v>79603220</v>
      </c>
      <c r="H664" s="234">
        <v>110176140</v>
      </c>
      <c r="I664" s="313" t="str">
        <f t="shared" si="73"/>
        <v>0110176140</v>
      </c>
      <c r="J664" s="30" t="str">
        <f t="shared" si="74"/>
        <v>60610040110176140310</v>
      </c>
    </row>
    <row r="665" spans="1:10" s="83" customFormat="1" ht="25.5">
      <c r="A665" s="236" t="s">
        <v>978</v>
      </c>
      <c r="B665" s="233" t="s">
        <v>69</v>
      </c>
      <c r="C665" s="234" t="s">
        <v>14</v>
      </c>
      <c r="D665" s="234" t="s">
        <v>37</v>
      </c>
      <c r="E665" s="234" t="s">
        <v>365</v>
      </c>
      <c r="F665" s="234" t="s">
        <v>1064</v>
      </c>
      <c r="G665" s="235">
        <f>VLOOKUP(J665,'исх АС БЮДЖЕТ'!$A$10:$H$568,6,0)</f>
        <v>79603220</v>
      </c>
      <c r="H665" s="234">
        <v>110176140</v>
      </c>
      <c r="I665" s="313" t="str">
        <f t="shared" si="73"/>
        <v>0110176140</v>
      </c>
      <c r="J665" s="30" t="str">
        <f t="shared" si="74"/>
        <v>60610040110176140313</v>
      </c>
    </row>
    <row r="666" spans="1:10" s="30" customFormat="1" ht="25.5">
      <c r="A666" s="244" t="s">
        <v>584</v>
      </c>
      <c r="B666" s="233" t="s">
        <v>69</v>
      </c>
      <c r="C666" s="234" t="s">
        <v>14</v>
      </c>
      <c r="D666" s="234" t="s">
        <v>37</v>
      </c>
      <c r="E666" s="234" t="s">
        <v>366</v>
      </c>
      <c r="F666" s="234" t="s">
        <v>58</v>
      </c>
      <c r="G666" s="235">
        <f>G667+G670+G673+G676</f>
        <v>34213740</v>
      </c>
      <c r="H666" s="234">
        <v>110700000</v>
      </c>
      <c r="I666" s="313" t="str">
        <f t="shared" si="73"/>
        <v>0110700000</v>
      </c>
      <c r="J666" s="30" t="str">
        <f t="shared" si="74"/>
        <v>60610040110700000000</v>
      </c>
    </row>
    <row r="667" spans="1:10" s="30" customFormat="1" ht="25.5">
      <c r="A667" s="244" t="s">
        <v>367</v>
      </c>
      <c r="B667" s="233" t="s">
        <v>69</v>
      </c>
      <c r="C667" s="234" t="s">
        <v>14</v>
      </c>
      <c r="D667" s="234" t="s">
        <v>37</v>
      </c>
      <c r="E667" s="234" t="s">
        <v>788</v>
      </c>
      <c r="F667" s="234" t="s">
        <v>58</v>
      </c>
      <c r="G667" s="235">
        <f>G668</f>
        <v>19920790</v>
      </c>
      <c r="H667" s="234">
        <v>110778110</v>
      </c>
      <c r="I667" s="313" t="str">
        <f t="shared" si="73"/>
        <v>0110778110</v>
      </c>
      <c r="J667" s="30" t="str">
        <f t="shared" si="74"/>
        <v>60610040110778110000</v>
      </c>
    </row>
    <row r="668" spans="1:10" s="30" customFormat="1" ht="25.5">
      <c r="A668" s="244" t="s">
        <v>110</v>
      </c>
      <c r="B668" s="233" t="s">
        <v>69</v>
      </c>
      <c r="C668" s="234" t="s">
        <v>14</v>
      </c>
      <c r="D668" s="234" t="s">
        <v>37</v>
      </c>
      <c r="E668" s="234" t="s">
        <v>788</v>
      </c>
      <c r="F668" s="234" t="s">
        <v>117</v>
      </c>
      <c r="G668" s="235">
        <f>G669</f>
        <v>19920790</v>
      </c>
      <c r="H668" s="234">
        <v>110778110</v>
      </c>
      <c r="I668" s="313" t="str">
        <f t="shared" si="73"/>
        <v>0110778110</v>
      </c>
      <c r="J668" s="30" t="str">
        <f t="shared" si="74"/>
        <v>60610040110778110320</v>
      </c>
    </row>
    <row r="669" spans="1:10" s="83" customFormat="1" ht="25.5">
      <c r="A669" s="236" t="s">
        <v>981</v>
      </c>
      <c r="B669" s="233" t="s">
        <v>69</v>
      </c>
      <c r="C669" s="234" t="s">
        <v>14</v>
      </c>
      <c r="D669" s="234" t="s">
        <v>37</v>
      </c>
      <c r="E669" s="234" t="s">
        <v>788</v>
      </c>
      <c r="F669" s="234" t="s">
        <v>1065</v>
      </c>
      <c r="G669" s="235">
        <f>VLOOKUP(J669,'исх АС БЮДЖЕТ'!$A$10:$H$568,6,0)</f>
        <v>19920790</v>
      </c>
      <c r="H669" s="234">
        <v>110778110</v>
      </c>
      <c r="I669" s="313" t="str">
        <f t="shared" si="73"/>
        <v>0110778110</v>
      </c>
      <c r="J669" s="30" t="str">
        <f t="shared" si="74"/>
        <v>60610040110778110323</v>
      </c>
    </row>
    <row r="670" spans="1:10" s="30" customFormat="1" ht="38.25">
      <c r="A670" s="232" t="s">
        <v>594</v>
      </c>
      <c r="B670" s="233" t="s">
        <v>69</v>
      </c>
      <c r="C670" s="234" t="s">
        <v>14</v>
      </c>
      <c r="D670" s="234" t="s">
        <v>37</v>
      </c>
      <c r="E670" s="234" t="s">
        <v>789</v>
      </c>
      <c r="F670" s="234" t="s">
        <v>58</v>
      </c>
      <c r="G670" s="235">
        <f>G671</f>
        <v>1543310</v>
      </c>
      <c r="H670" s="234">
        <v>110778120</v>
      </c>
      <c r="I670" s="313" t="str">
        <f t="shared" si="73"/>
        <v>0110778120</v>
      </c>
      <c r="J670" s="30" t="str">
        <f t="shared" si="74"/>
        <v>60610040110778120000</v>
      </c>
    </row>
    <row r="671" spans="1:10" s="30" customFormat="1" ht="25.5">
      <c r="A671" s="244" t="s">
        <v>110</v>
      </c>
      <c r="B671" s="233" t="s">
        <v>69</v>
      </c>
      <c r="C671" s="234" t="s">
        <v>14</v>
      </c>
      <c r="D671" s="234" t="s">
        <v>37</v>
      </c>
      <c r="E671" s="234" t="s">
        <v>789</v>
      </c>
      <c r="F671" s="234" t="s">
        <v>117</v>
      </c>
      <c r="G671" s="235">
        <f>G672</f>
        <v>1543310</v>
      </c>
      <c r="H671" s="234">
        <v>110778120</v>
      </c>
      <c r="I671" s="313" t="str">
        <f t="shared" si="73"/>
        <v>0110778120</v>
      </c>
      <c r="J671" s="30" t="str">
        <f t="shared" si="74"/>
        <v>60610040110778120320</v>
      </c>
    </row>
    <row r="672" spans="1:10" s="83" customFormat="1" ht="25.5">
      <c r="A672" s="236" t="s">
        <v>981</v>
      </c>
      <c r="B672" s="233" t="s">
        <v>69</v>
      </c>
      <c r="C672" s="234" t="s">
        <v>14</v>
      </c>
      <c r="D672" s="234" t="s">
        <v>37</v>
      </c>
      <c r="E672" s="234" t="s">
        <v>789</v>
      </c>
      <c r="F672" s="234" t="s">
        <v>1065</v>
      </c>
      <c r="G672" s="235">
        <f>VLOOKUP(J672,'исх АС БЮДЖЕТ'!$A$10:$H$568,6,0)</f>
        <v>1543310</v>
      </c>
      <c r="H672" s="234">
        <v>110778120</v>
      </c>
      <c r="I672" s="313" t="str">
        <f t="shared" si="73"/>
        <v>0110778120</v>
      </c>
      <c r="J672" s="30" t="str">
        <f t="shared" si="74"/>
        <v>60610040110778120323</v>
      </c>
    </row>
    <row r="673" spans="1:10" s="30" customFormat="1" ht="38.25">
      <c r="A673" s="232" t="s">
        <v>368</v>
      </c>
      <c r="B673" s="233" t="s">
        <v>69</v>
      </c>
      <c r="C673" s="234" t="s">
        <v>14</v>
      </c>
      <c r="D673" s="234" t="s">
        <v>37</v>
      </c>
      <c r="E673" s="234" t="s">
        <v>790</v>
      </c>
      <c r="F673" s="234" t="s">
        <v>58</v>
      </c>
      <c r="G673" s="235">
        <f>G674</f>
        <v>8474640</v>
      </c>
      <c r="H673" s="234">
        <v>110778130</v>
      </c>
      <c r="I673" s="313" t="str">
        <f t="shared" si="73"/>
        <v>0110778130</v>
      </c>
      <c r="J673" s="30" t="str">
        <f t="shared" si="74"/>
        <v>60610040110778130000</v>
      </c>
    </row>
    <row r="674" spans="1:10" s="30" customFormat="1" ht="25.5">
      <c r="A674" s="244" t="s">
        <v>110</v>
      </c>
      <c r="B674" s="233" t="s">
        <v>69</v>
      </c>
      <c r="C674" s="234" t="s">
        <v>14</v>
      </c>
      <c r="D674" s="234" t="s">
        <v>37</v>
      </c>
      <c r="E674" s="234" t="s">
        <v>790</v>
      </c>
      <c r="F674" s="234" t="s">
        <v>117</v>
      </c>
      <c r="G674" s="235">
        <f>G675</f>
        <v>8474640</v>
      </c>
      <c r="H674" s="234">
        <v>110778130</v>
      </c>
      <c r="I674" s="313" t="str">
        <f t="shared" si="73"/>
        <v>0110778130</v>
      </c>
      <c r="J674" s="30" t="str">
        <f t="shared" si="74"/>
        <v>60610040110778130320</v>
      </c>
    </row>
    <row r="675" spans="1:10" s="83" customFormat="1" ht="25.5">
      <c r="A675" s="236" t="s">
        <v>981</v>
      </c>
      <c r="B675" s="233" t="s">
        <v>69</v>
      </c>
      <c r="C675" s="234" t="s">
        <v>14</v>
      </c>
      <c r="D675" s="234" t="s">
        <v>37</v>
      </c>
      <c r="E675" s="234" t="s">
        <v>790</v>
      </c>
      <c r="F675" s="234" t="s">
        <v>1065</v>
      </c>
      <c r="G675" s="235">
        <f>VLOOKUP(J675,'исх АС БЮДЖЕТ'!$A$10:$H$568,6,0)</f>
        <v>8474640</v>
      </c>
      <c r="H675" s="234">
        <v>110778130</v>
      </c>
      <c r="I675" s="313" t="str">
        <f t="shared" si="73"/>
        <v>0110778130</v>
      </c>
      <c r="J675" s="30" t="str">
        <f t="shared" si="74"/>
        <v>60610040110778130323</v>
      </c>
    </row>
    <row r="676" spans="1:10" s="30" customFormat="1">
      <c r="A676" s="232" t="s">
        <v>369</v>
      </c>
      <c r="B676" s="233" t="s">
        <v>69</v>
      </c>
      <c r="C676" s="234" t="s">
        <v>14</v>
      </c>
      <c r="D676" s="234" t="s">
        <v>37</v>
      </c>
      <c r="E676" s="234" t="s">
        <v>791</v>
      </c>
      <c r="F676" s="234" t="s">
        <v>58</v>
      </c>
      <c r="G676" s="235">
        <f>G677</f>
        <v>4275000</v>
      </c>
      <c r="H676" s="234">
        <v>110778140</v>
      </c>
      <c r="I676" s="313" t="str">
        <f t="shared" si="73"/>
        <v>0110778140</v>
      </c>
      <c r="J676" s="30" t="str">
        <f t="shared" si="74"/>
        <v>60610040110778140000</v>
      </c>
    </row>
    <row r="677" spans="1:10" s="30" customFormat="1" ht="25.5">
      <c r="A677" s="244" t="s">
        <v>110</v>
      </c>
      <c r="B677" s="233" t="s">
        <v>69</v>
      </c>
      <c r="C677" s="234" t="s">
        <v>14</v>
      </c>
      <c r="D677" s="234" t="s">
        <v>37</v>
      </c>
      <c r="E677" s="234" t="s">
        <v>791</v>
      </c>
      <c r="F677" s="234" t="s">
        <v>117</v>
      </c>
      <c r="G677" s="235">
        <f>G678</f>
        <v>4275000</v>
      </c>
      <c r="H677" s="234">
        <v>110778140</v>
      </c>
      <c r="I677" s="313" t="str">
        <f t="shared" si="73"/>
        <v>0110778140</v>
      </c>
      <c r="J677" s="30" t="str">
        <f t="shared" si="74"/>
        <v>60610040110778140320</v>
      </c>
    </row>
    <row r="678" spans="1:10" s="83" customFormat="1" ht="25.5">
      <c r="A678" s="236" t="s">
        <v>981</v>
      </c>
      <c r="B678" s="233" t="s">
        <v>69</v>
      </c>
      <c r="C678" s="234" t="s">
        <v>14</v>
      </c>
      <c r="D678" s="234" t="s">
        <v>37</v>
      </c>
      <c r="E678" s="234" t="s">
        <v>791</v>
      </c>
      <c r="F678" s="234" t="s">
        <v>1065</v>
      </c>
      <c r="G678" s="235">
        <f>VLOOKUP(J678,'исх АС БЮДЖЕТ'!$A$10:$H$568,6,0)</f>
        <v>4275000</v>
      </c>
      <c r="H678" s="234">
        <v>110778140</v>
      </c>
      <c r="I678" s="313" t="str">
        <f t="shared" si="73"/>
        <v>0110778140</v>
      </c>
      <c r="J678" s="30" t="str">
        <f t="shared" si="74"/>
        <v>60610040110778140323</v>
      </c>
    </row>
    <row r="679" spans="1:10" s="30" customFormat="1">
      <c r="A679" s="244"/>
      <c r="B679" s="233"/>
      <c r="C679" s="234"/>
      <c r="D679" s="234"/>
      <c r="E679" s="234"/>
      <c r="F679" s="234"/>
      <c r="G679" s="235"/>
      <c r="H679" s="234"/>
      <c r="I679" s="313" t="str">
        <f t="shared" si="73"/>
        <v>0000000000</v>
      </c>
      <c r="J679" s="30" t="str">
        <f t="shared" si="74"/>
        <v>0000000000</v>
      </c>
    </row>
    <row r="680" spans="1:10" s="3" customFormat="1">
      <c r="A680" s="219" t="s">
        <v>687</v>
      </c>
      <c r="B680" s="220" t="s">
        <v>26</v>
      </c>
      <c r="C680" s="221" t="s">
        <v>51</v>
      </c>
      <c r="D680" s="221" t="s">
        <v>51</v>
      </c>
      <c r="E680" s="221" t="s">
        <v>196</v>
      </c>
      <c r="F680" s="221" t="s">
        <v>58</v>
      </c>
      <c r="G680" s="222">
        <f>G681+G693+G784</f>
        <v>450330864.69999999</v>
      </c>
      <c r="H680" s="221">
        <v>0</v>
      </c>
      <c r="I680" s="313" t="str">
        <f t="shared" si="73"/>
        <v>0000000000</v>
      </c>
      <c r="J680" s="30" t="str">
        <f t="shared" si="74"/>
        <v>60700000000000000000</v>
      </c>
    </row>
    <row r="681" spans="1:10" s="3" customFormat="1">
      <c r="A681" s="224" t="s">
        <v>64</v>
      </c>
      <c r="B681" s="225" t="s">
        <v>26</v>
      </c>
      <c r="C681" s="226" t="s">
        <v>65</v>
      </c>
      <c r="D681" s="226" t="s">
        <v>51</v>
      </c>
      <c r="E681" s="226" t="s">
        <v>196</v>
      </c>
      <c r="F681" s="226" t="s">
        <v>58</v>
      </c>
      <c r="G681" s="227">
        <f t="shared" ref="G681:G684" si="75">G682</f>
        <v>1386700</v>
      </c>
      <c r="H681" s="226">
        <v>0</v>
      </c>
      <c r="I681" s="313" t="str">
        <f t="shared" si="73"/>
        <v>0000000000</v>
      </c>
      <c r="J681" s="30" t="str">
        <f t="shared" si="74"/>
        <v>60701000000000000000</v>
      </c>
    </row>
    <row r="682" spans="1:10" s="3" customFormat="1">
      <c r="A682" s="228" t="s">
        <v>38</v>
      </c>
      <c r="B682" s="229" t="s">
        <v>26</v>
      </c>
      <c r="C682" s="230" t="s">
        <v>65</v>
      </c>
      <c r="D682" s="230" t="s">
        <v>84</v>
      </c>
      <c r="E682" s="230" t="s">
        <v>196</v>
      </c>
      <c r="F682" s="230" t="s">
        <v>58</v>
      </c>
      <c r="G682" s="231">
        <f t="shared" si="75"/>
        <v>1386700</v>
      </c>
      <c r="H682" s="230">
        <v>0</v>
      </c>
      <c r="I682" s="313" t="str">
        <f t="shared" si="73"/>
        <v>0000000000</v>
      </c>
      <c r="J682" s="30" t="str">
        <f t="shared" si="74"/>
        <v>60701130000000000000</v>
      </c>
    </row>
    <row r="683" spans="1:10" s="3" customFormat="1" ht="25.5">
      <c r="A683" s="232" t="s">
        <v>683</v>
      </c>
      <c r="B683" s="233" t="s">
        <v>26</v>
      </c>
      <c r="C683" s="234" t="s">
        <v>65</v>
      </c>
      <c r="D683" s="234" t="s">
        <v>84</v>
      </c>
      <c r="E683" s="234" t="s">
        <v>680</v>
      </c>
      <c r="F683" s="234" t="s">
        <v>58</v>
      </c>
      <c r="G683" s="235">
        <f t="shared" si="75"/>
        <v>1386700</v>
      </c>
      <c r="H683" s="234">
        <v>9800000000</v>
      </c>
      <c r="I683" s="313" t="str">
        <f t="shared" si="73"/>
        <v>9800000000</v>
      </c>
      <c r="J683" s="30" t="str">
        <f t="shared" si="74"/>
        <v>60701139800000000000</v>
      </c>
    </row>
    <row r="684" spans="1:10" s="3" customFormat="1">
      <c r="A684" s="232" t="s">
        <v>684</v>
      </c>
      <c r="B684" s="233" t="s">
        <v>26</v>
      </c>
      <c r="C684" s="234" t="s">
        <v>65</v>
      </c>
      <c r="D684" s="234" t="s">
        <v>84</v>
      </c>
      <c r="E684" s="234" t="s">
        <v>681</v>
      </c>
      <c r="F684" s="234" t="s">
        <v>58</v>
      </c>
      <c r="G684" s="235">
        <f t="shared" si="75"/>
        <v>1386700</v>
      </c>
      <c r="H684" s="234">
        <v>9810000000</v>
      </c>
      <c r="I684" s="313" t="str">
        <f t="shared" si="73"/>
        <v>9810000000</v>
      </c>
      <c r="J684" s="30" t="str">
        <f t="shared" si="74"/>
        <v>60701139810000000000</v>
      </c>
    </row>
    <row r="685" spans="1:10" s="3" customFormat="1">
      <c r="A685" s="232" t="s">
        <v>123</v>
      </c>
      <c r="B685" s="233" t="s">
        <v>26</v>
      </c>
      <c r="C685" s="234" t="s">
        <v>65</v>
      </c>
      <c r="D685" s="234" t="s">
        <v>84</v>
      </c>
      <c r="E685" s="234" t="s">
        <v>688</v>
      </c>
      <c r="F685" s="234" t="s">
        <v>58</v>
      </c>
      <c r="G685" s="235">
        <f>G686+G688+G689+G691</f>
        <v>1386700</v>
      </c>
      <c r="H685" s="234">
        <v>9810020110</v>
      </c>
      <c r="I685" s="313" t="str">
        <f t="shared" si="73"/>
        <v>9810020110</v>
      </c>
      <c r="J685" s="30" t="str">
        <f t="shared" si="74"/>
        <v>60701139810020110000</v>
      </c>
    </row>
    <row r="686" spans="1:10" s="3" customFormat="1" ht="25.5">
      <c r="A686" s="232" t="s">
        <v>108</v>
      </c>
      <c r="B686" s="233" t="s">
        <v>26</v>
      </c>
      <c r="C686" s="234" t="s">
        <v>65</v>
      </c>
      <c r="D686" s="234" t="s">
        <v>84</v>
      </c>
      <c r="E686" s="234" t="s">
        <v>688</v>
      </c>
      <c r="F686" s="234" t="s">
        <v>116</v>
      </c>
      <c r="G686" s="235">
        <f>G687</f>
        <v>1058300</v>
      </c>
      <c r="H686" s="234">
        <v>9810020110</v>
      </c>
      <c r="I686" s="313" t="str">
        <f t="shared" si="73"/>
        <v>9810020110</v>
      </c>
      <c r="J686" s="30" t="str">
        <f t="shared" si="74"/>
        <v>60701139810020110240</v>
      </c>
    </row>
    <row r="687" spans="1:10" s="4" customFormat="1" ht="25.5">
      <c r="A687" s="236" t="s">
        <v>973</v>
      </c>
      <c r="B687" s="233" t="s">
        <v>26</v>
      </c>
      <c r="C687" s="234" t="s">
        <v>65</v>
      </c>
      <c r="D687" s="234" t="s">
        <v>84</v>
      </c>
      <c r="E687" s="234" t="s">
        <v>688</v>
      </c>
      <c r="F687" s="234" t="s">
        <v>1043</v>
      </c>
      <c r="G687" s="235">
        <f>VLOOKUP(J687,'исх АС БЮДЖЕТ'!$A$10:$H$568,6,0)</f>
        <v>1058300</v>
      </c>
      <c r="H687" s="234">
        <v>9810020110</v>
      </c>
      <c r="I687" s="313" t="str">
        <f t="shared" si="73"/>
        <v>9810020110</v>
      </c>
      <c r="J687" s="30" t="str">
        <f t="shared" si="74"/>
        <v>60701139810020110244</v>
      </c>
    </row>
    <row r="688" spans="1:10" s="3" customFormat="1">
      <c r="A688" s="232" t="s">
        <v>91</v>
      </c>
      <c r="B688" s="233" t="s">
        <v>26</v>
      </c>
      <c r="C688" s="234" t="s">
        <v>65</v>
      </c>
      <c r="D688" s="234" t="s">
        <v>84</v>
      </c>
      <c r="E688" s="234" t="s">
        <v>688</v>
      </c>
      <c r="F688" s="234" t="s">
        <v>100</v>
      </c>
      <c r="G688" s="235">
        <f>VLOOKUP(J688,'исх АС БЮДЖЕТ'!$A$10:$H$568,6,0)</f>
        <v>26400</v>
      </c>
      <c r="H688" s="234">
        <v>9810020110</v>
      </c>
      <c r="I688" s="313" t="str">
        <f t="shared" si="73"/>
        <v>9810020110</v>
      </c>
      <c r="J688" s="30" t="str">
        <f t="shared" si="74"/>
        <v>60701139810020110360</v>
      </c>
    </row>
    <row r="689" spans="1:10" s="3" customFormat="1">
      <c r="A689" s="232" t="s">
        <v>97</v>
      </c>
      <c r="B689" s="233" t="s">
        <v>26</v>
      </c>
      <c r="C689" s="234" t="s">
        <v>65</v>
      </c>
      <c r="D689" s="234" t="s">
        <v>84</v>
      </c>
      <c r="E689" s="234" t="s">
        <v>688</v>
      </c>
      <c r="F689" s="234" t="s">
        <v>118</v>
      </c>
      <c r="G689" s="235">
        <f>G690</f>
        <v>42000</v>
      </c>
      <c r="H689" s="234">
        <v>9810020110</v>
      </c>
      <c r="I689" s="313" t="str">
        <f t="shared" si="73"/>
        <v>9810020110</v>
      </c>
      <c r="J689" s="30" t="str">
        <f t="shared" si="74"/>
        <v>60701139810020110850</v>
      </c>
    </row>
    <row r="690" spans="1:10" s="4" customFormat="1">
      <c r="A690" s="236" t="s">
        <v>1038</v>
      </c>
      <c r="B690" s="233" t="s">
        <v>26</v>
      </c>
      <c r="C690" s="234" t="s">
        <v>65</v>
      </c>
      <c r="D690" s="234" t="s">
        <v>84</v>
      </c>
      <c r="E690" s="234" t="s">
        <v>688</v>
      </c>
      <c r="F690" s="234" t="s">
        <v>1066</v>
      </c>
      <c r="G690" s="235">
        <f>VLOOKUP(J690,'исх АС БЮДЖЕТ'!$A$10:$H$568,6,0)</f>
        <v>42000</v>
      </c>
      <c r="H690" s="234">
        <v>9810020110</v>
      </c>
      <c r="I690" s="313" t="str">
        <f t="shared" si="73"/>
        <v>9810020110</v>
      </c>
      <c r="J690" s="30" t="str">
        <f t="shared" si="74"/>
        <v>60701139810020110853</v>
      </c>
    </row>
    <row r="691" spans="1:10" s="3" customFormat="1" ht="25.5">
      <c r="A691" s="232" t="s">
        <v>704</v>
      </c>
      <c r="B691" s="233" t="s">
        <v>26</v>
      </c>
      <c r="C691" s="234" t="s">
        <v>65</v>
      </c>
      <c r="D691" s="234" t="s">
        <v>84</v>
      </c>
      <c r="E691" s="234" t="s">
        <v>688</v>
      </c>
      <c r="F691" s="234" t="s">
        <v>703</v>
      </c>
      <c r="G691" s="235">
        <f>G692</f>
        <v>260000</v>
      </c>
      <c r="H691" s="234">
        <v>9810020110</v>
      </c>
      <c r="I691" s="313" t="str">
        <f t="shared" si="73"/>
        <v>9810020110</v>
      </c>
      <c r="J691" s="30" t="str">
        <f t="shared" si="74"/>
        <v>60701139810020110860</v>
      </c>
    </row>
    <row r="692" spans="1:10" s="4" customFormat="1">
      <c r="A692" s="236" t="s">
        <v>1041</v>
      </c>
      <c r="B692" s="233" t="s">
        <v>26</v>
      </c>
      <c r="C692" s="234" t="s">
        <v>65</v>
      </c>
      <c r="D692" s="234" t="s">
        <v>84</v>
      </c>
      <c r="E692" s="234" t="s">
        <v>688</v>
      </c>
      <c r="F692" s="234" t="s">
        <v>1067</v>
      </c>
      <c r="G692" s="235">
        <f>VLOOKUP(J692,'исх АС БЮДЖЕТ'!$A$10:$H$568,6,0)</f>
        <v>260000</v>
      </c>
      <c r="H692" s="234">
        <v>9810020110</v>
      </c>
      <c r="I692" s="313" t="str">
        <f t="shared" si="73"/>
        <v>9810020110</v>
      </c>
      <c r="J692" s="30" t="str">
        <f t="shared" si="74"/>
        <v>60701139810020110862</v>
      </c>
    </row>
    <row r="693" spans="1:10" s="3" customFormat="1">
      <c r="A693" s="224" t="s">
        <v>70</v>
      </c>
      <c r="B693" s="225" t="s">
        <v>26</v>
      </c>
      <c r="C693" s="226" t="s">
        <v>71</v>
      </c>
      <c r="D693" s="226" t="s">
        <v>51</v>
      </c>
      <c r="E693" s="226" t="s">
        <v>196</v>
      </c>
      <c r="F693" s="226" t="s">
        <v>58</v>
      </c>
      <c r="G693" s="227">
        <f>G694+G747</f>
        <v>129780969.58</v>
      </c>
      <c r="H693" s="226">
        <v>0</v>
      </c>
      <c r="I693" s="313" t="str">
        <f t="shared" si="73"/>
        <v>0000000000</v>
      </c>
      <c r="J693" s="30" t="str">
        <f t="shared" si="74"/>
        <v>60707000000000000000</v>
      </c>
    </row>
    <row r="694" spans="1:10" s="3" customFormat="1">
      <c r="A694" s="228" t="s">
        <v>779</v>
      </c>
      <c r="B694" s="229" t="s">
        <v>26</v>
      </c>
      <c r="C694" s="230" t="s">
        <v>71</v>
      </c>
      <c r="D694" s="230" t="s">
        <v>53</v>
      </c>
      <c r="E694" s="230" t="s">
        <v>196</v>
      </c>
      <c r="F694" s="230" t="s">
        <v>58</v>
      </c>
      <c r="G694" s="231">
        <f>G695+G733+G741</f>
        <v>122774459.58</v>
      </c>
      <c r="H694" s="230">
        <v>0</v>
      </c>
      <c r="I694" s="313" t="str">
        <f t="shared" si="73"/>
        <v>0000000000</v>
      </c>
      <c r="J694" s="30" t="str">
        <f t="shared" si="74"/>
        <v>60707030000000000000</v>
      </c>
    </row>
    <row r="695" spans="1:10" s="3" customFormat="1">
      <c r="A695" s="232" t="s">
        <v>739</v>
      </c>
      <c r="B695" s="233" t="s">
        <v>26</v>
      </c>
      <c r="C695" s="234" t="s">
        <v>71</v>
      </c>
      <c r="D695" s="234" t="s">
        <v>53</v>
      </c>
      <c r="E695" s="234" t="s">
        <v>277</v>
      </c>
      <c r="F695" s="234" t="s">
        <v>58</v>
      </c>
      <c r="G695" s="235">
        <f>G696+G703</f>
        <v>121386019.58</v>
      </c>
      <c r="H695" s="234">
        <v>700000000</v>
      </c>
      <c r="I695" s="313" t="str">
        <f t="shared" si="73"/>
        <v>0700000000</v>
      </c>
      <c r="J695" s="30" t="str">
        <f t="shared" si="74"/>
        <v>60707030700000000000</v>
      </c>
    </row>
    <row r="696" spans="1:10" s="3" customFormat="1" ht="38.25">
      <c r="A696" s="232" t="s">
        <v>191</v>
      </c>
      <c r="B696" s="233" t="s">
        <v>26</v>
      </c>
      <c r="C696" s="234" t="s">
        <v>71</v>
      </c>
      <c r="D696" s="234" t="s">
        <v>53</v>
      </c>
      <c r="E696" s="234" t="s">
        <v>278</v>
      </c>
      <c r="F696" s="234" t="s">
        <v>58</v>
      </c>
      <c r="G696" s="235">
        <f t="shared" ref="G696:G697" si="76">G697</f>
        <v>412000</v>
      </c>
      <c r="H696" s="234">
        <v>710000000</v>
      </c>
      <c r="I696" s="313" t="str">
        <f t="shared" si="73"/>
        <v>0710000000</v>
      </c>
      <c r="J696" s="30" t="str">
        <f t="shared" si="74"/>
        <v>60707030710000000000</v>
      </c>
    </row>
    <row r="697" spans="1:10" s="3" customFormat="1" ht="51">
      <c r="A697" s="232" t="s">
        <v>605</v>
      </c>
      <c r="B697" s="233" t="s">
        <v>26</v>
      </c>
      <c r="C697" s="234" t="s">
        <v>71</v>
      </c>
      <c r="D697" s="234" t="s">
        <v>53</v>
      </c>
      <c r="E697" s="234" t="s">
        <v>279</v>
      </c>
      <c r="F697" s="234" t="s">
        <v>58</v>
      </c>
      <c r="G697" s="235">
        <f t="shared" si="76"/>
        <v>412000</v>
      </c>
      <c r="H697" s="234">
        <v>710100000</v>
      </c>
      <c r="I697" s="313" t="str">
        <f t="shared" si="73"/>
        <v>0710100000</v>
      </c>
      <c r="J697" s="30" t="str">
        <f t="shared" si="74"/>
        <v>60707030710100000000</v>
      </c>
    </row>
    <row r="698" spans="1:10" s="3" customFormat="1">
      <c r="A698" s="232" t="s">
        <v>161</v>
      </c>
      <c r="B698" s="233" t="s">
        <v>26</v>
      </c>
      <c r="C698" s="234" t="s">
        <v>71</v>
      </c>
      <c r="D698" s="234" t="s">
        <v>53</v>
      </c>
      <c r="E698" s="234" t="s">
        <v>320</v>
      </c>
      <c r="F698" s="234" t="s">
        <v>58</v>
      </c>
      <c r="G698" s="235">
        <f>G699+G701</f>
        <v>412000</v>
      </c>
      <c r="H698" s="234">
        <v>710120060</v>
      </c>
      <c r="I698" s="313" t="str">
        <f t="shared" si="73"/>
        <v>0710120060</v>
      </c>
      <c r="J698" s="30" t="str">
        <f t="shared" si="74"/>
        <v>60707030710120060000</v>
      </c>
    </row>
    <row r="699" spans="1:10" s="3" customFormat="1">
      <c r="A699" s="244" t="s">
        <v>92</v>
      </c>
      <c r="B699" s="233" t="s">
        <v>26</v>
      </c>
      <c r="C699" s="234" t="s">
        <v>71</v>
      </c>
      <c r="D699" s="234" t="s">
        <v>53</v>
      </c>
      <c r="E699" s="234" t="s">
        <v>320</v>
      </c>
      <c r="F699" s="234" t="s">
        <v>138</v>
      </c>
      <c r="G699" s="235">
        <f>G700</f>
        <v>347000</v>
      </c>
      <c r="H699" s="234">
        <v>710120060</v>
      </c>
      <c r="I699" s="313" t="str">
        <f t="shared" si="73"/>
        <v>0710120060</v>
      </c>
      <c r="J699" s="30" t="str">
        <f t="shared" si="74"/>
        <v>60707030710120060610</v>
      </c>
    </row>
    <row r="700" spans="1:10" s="4" customFormat="1" ht="38.25">
      <c r="A700" s="236" t="s">
        <v>1015</v>
      </c>
      <c r="B700" s="233" t="s">
        <v>26</v>
      </c>
      <c r="C700" s="234" t="s">
        <v>71</v>
      </c>
      <c r="D700" s="234" t="s">
        <v>53</v>
      </c>
      <c r="E700" s="234" t="s">
        <v>320</v>
      </c>
      <c r="F700" s="234" t="s">
        <v>67</v>
      </c>
      <c r="G700" s="235">
        <f>VLOOKUP(J700,'исх АС БЮДЖЕТ'!$A$10:$H$568,6,0)</f>
        <v>347000</v>
      </c>
      <c r="H700" s="234">
        <v>710120060</v>
      </c>
      <c r="I700" s="313" t="str">
        <f t="shared" si="73"/>
        <v>0710120060</v>
      </c>
      <c r="J700" s="30" t="str">
        <f t="shared" si="74"/>
        <v>60707030710120060611</v>
      </c>
    </row>
    <row r="701" spans="1:10" s="3" customFormat="1">
      <c r="A701" s="252" t="s">
        <v>93</v>
      </c>
      <c r="B701" s="233" t="s">
        <v>26</v>
      </c>
      <c r="C701" s="234" t="s">
        <v>71</v>
      </c>
      <c r="D701" s="234" t="s">
        <v>53</v>
      </c>
      <c r="E701" s="234" t="s">
        <v>320</v>
      </c>
      <c r="F701" s="234" t="s">
        <v>20</v>
      </c>
      <c r="G701" s="235">
        <f>G702</f>
        <v>65000</v>
      </c>
      <c r="H701" s="234">
        <v>710120060</v>
      </c>
      <c r="I701" s="313" t="str">
        <f t="shared" si="73"/>
        <v>0710120060</v>
      </c>
      <c r="J701" s="30" t="str">
        <f t="shared" si="74"/>
        <v>60707030710120060620</v>
      </c>
    </row>
    <row r="702" spans="1:10" s="4" customFormat="1" ht="38.25">
      <c r="A702" s="236" t="s">
        <v>1018</v>
      </c>
      <c r="B702" s="233" t="s">
        <v>26</v>
      </c>
      <c r="C702" s="234" t="s">
        <v>71</v>
      </c>
      <c r="D702" s="234" t="s">
        <v>53</v>
      </c>
      <c r="E702" s="234" t="s">
        <v>320</v>
      </c>
      <c r="F702" s="234" t="s">
        <v>16</v>
      </c>
      <c r="G702" s="235">
        <f>VLOOKUP(J702,'исх АС БЮДЖЕТ'!$A$10:$H$568,6,0)</f>
        <v>65000</v>
      </c>
      <c r="H702" s="234">
        <v>710120060</v>
      </c>
      <c r="I702" s="313" t="str">
        <f t="shared" si="73"/>
        <v>0710120060</v>
      </c>
      <c r="J702" s="30" t="str">
        <f t="shared" si="74"/>
        <v>60707030710120060621</v>
      </c>
    </row>
    <row r="703" spans="1:10" s="3" customFormat="1">
      <c r="A703" s="232" t="s">
        <v>140</v>
      </c>
      <c r="B703" s="233" t="s">
        <v>26</v>
      </c>
      <c r="C703" s="234" t="s">
        <v>71</v>
      </c>
      <c r="D703" s="234" t="s">
        <v>53</v>
      </c>
      <c r="E703" s="234" t="s">
        <v>372</v>
      </c>
      <c r="F703" s="234" t="s">
        <v>58</v>
      </c>
      <c r="G703" s="235">
        <f>G704+G719+G723+G729+G715</f>
        <v>120974019.58</v>
      </c>
      <c r="H703" s="234">
        <v>720000000</v>
      </c>
      <c r="I703" s="313" t="str">
        <f t="shared" si="73"/>
        <v>0720000000</v>
      </c>
      <c r="J703" s="30" t="str">
        <f t="shared" si="74"/>
        <v>60707030720000000000</v>
      </c>
    </row>
    <row r="704" spans="1:10" s="3" customFormat="1" ht="25.5">
      <c r="A704" s="232" t="s">
        <v>780</v>
      </c>
      <c r="B704" s="233" t="s">
        <v>26</v>
      </c>
      <c r="C704" s="234" t="s">
        <v>71</v>
      </c>
      <c r="D704" s="234" t="s">
        <v>53</v>
      </c>
      <c r="E704" s="234" t="s">
        <v>373</v>
      </c>
      <c r="F704" s="234" t="s">
        <v>58</v>
      </c>
      <c r="G704" s="235">
        <f>G705+G710</f>
        <v>117949232</v>
      </c>
      <c r="H704" s="234">
        <v>720100000</v>
      </c>
      <c r="I704" s="313" t="str">
        <f t="shared" si="73"/>
        <v>0720100000</v>
      </c>
      <c r="J704" s="30" t="str">
        <f t="shared" si="74"/>
        <v>60707030720100000000</v>
      </c>
    </row>
    <row r="705" spans="1:10" s="3" customFormat="1">
      <c r="A705" s="232" t="s">
        <v>247</v>
      </c>
      <c r="B705" s="233" t="s">
        <v>26</v>
      </c>
      <c r="C705" s="234" t="s">
        <v>71</v>
      </c>
      <c r="D705" s="234" t="s">
        <v>53</v>
      </c>
      <c r="E705" s="234" t="s">
        <v>374</v>
      </c>
      <c r="F705" s="234" t="s">
        <v>58</v>
      </c>
      <c r="G705" s="235">
        <f>G706+G708</f>
        <v>117785180</v>
      </c>
      <c r="H705" s="234">
        <v>720111010</v>
      </c>
      <c r="I705" s="313" t="str">
        <f t="shared" si="73"/>
        <v>0720111010</v>
      </c>
      <c r="J705" s="30" t="str">
        <f t="shared" si="74"/>
        <v>60707030720111010000</v>
      </c>
    </row>
    <row r="706" spans="1:10" s="3" customFormat="1">
      <c r="A706" s="244" t="s">
        <v>92</v>
      </c>
      <c r="B706" s="233" t="s">
        <v>26</v>
      </c>
      <c r="C706" s="234" t="s">
        <v>71</v>
      </c>
      <c r="D706" s="234" t="s">
        <v>53</v>
      </c>
      <c r="E706" s="234" t="s">
        <v>374</v>
      </c>
      <c r="F706" s="234" t="s">
        <v>138</v>
      </c>
      <c r="G706" s="235">
        <f>G707</f>
        <v>104835600</v>
      </c>
      <c r="H706" s="234">
        <v>720111010</v>
      </c>
      <c r="I706" s="313" t="str">
        <f t="shared" si="73"/>
        <v>0720111010</v>
      </c>
      <c r="J706" s="30" t="str">
        <f t="shared" si="74"/>
        <v>60707030720111010610</v>
      </c>
    </row>
    <row r="707" spans="1:10" s="4" customFormat="1" ht="38.25">
      <c r="A707" s="236" t="s">
        <v>1015</v>
      </c>
      <c r="B707" s="233" t="s">
        <v>26</v>
      </c>
      <c r="C707" s="234" t="s">
        <v>71</v>
      </c>
      <c r="D707" s="234" t="s">
        <v>53</v>
      </c>
      <c r="E707" s="234" t="s">
        <v>374</v>
      </c>
      <c r="F707" s="234" t="s">
        <v>67</v>
      </c>
      <c r="G707" s="235">
        <f>VLOOKUP(J707,'исх АС БЮДЖЕТ'!$A$10:$H$568,6,0)</f>
        <v>104835600</v>
      </c>
      <c r="H707" s="234">
        <v>720111010</v>
      </c>
      <c r="I707" s="313" t="str">
        <f t="shared" si="73"/>
        <v>0720111010</v>
      </c>
      <c r="J707" s="30" t="str">
        <f t="shared" si="74"/>
        <v>60707030720111010611</v>
      </c>
    </row>
    <row r="708" spans="1:10" s="30" customFormat="1">
      <c r="A708" s="244" t="s">
        <v>93</v>
      </c>
      <c r="B708" s="233" t="s">
        <v>26</v>
      </c>
      <c r="C708" s="234" t="s">
        <v>71</v>
      </c>
      <c r="D708" s="234" t="s">
        <v>53</v>
      </c>
      <c r="E708" s="234" t="s">
        <v>374</v>
      </c>
      <c r="F708" s="234" t="s">
        <v>20</v>
      </c>
      <c r="G708" s="235">
        <f>G709</f>
        <v>12949580</v>
      </c>
      <c r="H708" s="234">
        <v>720111010</v>
      </c>
      <c r="I708" s="313" t="str">
        <f t="shared" si="73"/>
        <v>0720111010</v>
      </c>
      <c r="J708" s="30" t="str">
        <f t="shared" si="74"/>
        <v>60707030720111010620</v>
      </c>
    </row>
    <row r="709" spans="1:10" s="83" customFormat="1" ht="38.25">
      <c r="A709" s="236" t="s">
        <v>1018</v>
      </c>
      <c r="B709" s="233" t="s">
        <v>26</v>
      </c>
      <c r="C709" s="234" t="s">
        <v>71</v>
      </c>
      <c r="D709" s="234" t="s">
        <v>53</v>
      </c>
      <c r="E709" s="234" t="s">
        <v>374</v>
      </c>
      <c r="F709" s="234" t="s">
        <v>16</v>
      </c>
      <c r="G709" s="235">
        <f>VLOOKUP(J709,'исх АС БЮДЖЕТ'!$A$10:$H$568,6,0)</f>
        <v>12949580</v>
      </c>
      <c r="H709" s="234">
        <v>720111010</v>
      </c>
      <c r="I709" s="313" t="str">
        <f t="shared" si="73"/>
        <v>0720111010</v>
      </c>
      <c r="J709" s="30" t="str">
        <f t="shared" si="74"/>
        <v>60707030720111010621</v>
      </c>
    </row>
    <row r="710" spans="1:10" s="83" customFormat="1" ht="25.5">
      <c r="A710" s="236" t="s">
        <v>1132</v>
      </c>
      <c r="B710" s="233" t="s">
        <v>26</v>
      </c>
      <c r="C710" s="234" t="s">
        <v>71</v>
      </c>
      <c r="D710" s="234" t="s">
        <v>53</v>
      </c>
      <c r="E710" s="242" t="s">
        <v>1140</v>
      </c>
      <c r="F710" s="242" t="s">
        <v>58</v>
      </c>
      <c r="G710" s="243">
        <f>G711+G713</f>
        <v>164052</v>
      </c>
      <c r="H710" s="242">
        <v>720177250</v>
      </c>
      <c r="I710" s="313" t="str">
        <f t="shared" si="73"/>
        <v>0720177250</v>
      </c>
      <c r="J710" s="30" t="str">
        <f t="shared" si="74"/>
        <v>60707030720177250000</v>
      </c>
    </row>
    <row r="711" spans="1:10" s="83" customFormat="1">
      <c r="A711" s="236" t="s">
        <v>92</v>
      </c>
      <c r="B711" s="233" t="s">
        <v>26</v>
      </c>
      <c r="C711" s="234" t="s">
        <v>71</v>
      </c>
      <c r="D711" s="234" t="s">
        <v>53</v>
      </c>
      <c r="E711" s="242" t="s">
        <v>1140</v>
      </c>
      <c r="F711" s="242" t="s">
        <v>138</v>
      </c>
      <c r="G711" s="235">
        <f>G712</f>
        <v>152334</v>
      </c>
      <c r="H711" s="242">
        <v>720177250</v>
      </c>
      <c r="I711" s="313" t="str">
        <f t="shared" si="73"/>
        <v>0720177250</v>
      </c>
      <c r="J711" s="30" t="str">
        <f t="shared" si="74"/>
        <v>60707030720177250610</v>
      </c>
    </row>
    <row r="712" spans="1:10" s="83" customFormat="1" ht="38.25">
      <c r="A712" s="236" t="s">
        <v>1015</v>
      </c>
      <c r="B712" s="233" t="s">
        <v>26</v>
      </c>
      <c r="C712" s="234" t="s">
        <v>71</v>
      </c>
      <c r="D712" s="234" t="s">
        <v>53</v>
      </c>
      <c r="E712" s="242" t="s">
        <v>1140</v>
      </c>
      <c r="F712" s="242" t="s">
        <v>67</v>
      </c>
      <c r="G712" s="235">
        <f>VLOOKUP(J712,'исх АС БЮДЖЕТ'!$A$10:$H$568,6,0)</f>
        <v>152334</v>
      </c>
      <c r="H712" s="242">
        <v>720177250</v>
      </c>
      <c r="I712" s="313" t="str">
        <f t="shared" si="73"/>
        <v>0720177250</v>
      </c>
      <c r="J712" s="30" t="str">
        <f t="shared" si="74"/>
        <v>60707030720177250611</v>
      </c>
    </row>
    <row r="713" spans="1:10" s="83" customFormat="1">
      <c r="A713" s="236" t="s">
        <v>93</v>
      </c>
      <c r="B713" s="233" t="s">
        <v>26</v>
      </c>
      <c r="C713" s="234" t="s">
        <v>71</v>
      </c>
      <c r="D713" s="234" t="s">
        <v>53</v>
      </c>
      <c r="E713" s="242" t="s">
        <v>1140</v>
      </c>
      <c r="F713" s="234" t="s">
        <v>20</v>
      </c>
      <c r="G713" s="235">
        <f>G714</f>
        <v>11718</v>
      </c>
      <c r="H713" s="242">
        <v>720177250</v>
      </c>
      <c r="I713" s="313" t="str">
        <f t="shared" si="73"/>
        <v>0720177250</v>
      </c>
      <c r="J713" s="30" t="str">
        <f t="shared" si="74"/>
        <v>60707030720177250620</v>
      </c>
    </row>
    <row r="714" spans="1:10" s="83" customFormat="1" ht="38.25">
      <c r="A714" s="236" t="s">
        <v>1018</v>
      </c>
      <c r="B714" s="233" t="s">
        <v>26</v>
      </c>
      <c r="C714" s="234" t="s">
        <v>71</v>
      </c>
      <c r="D714" s="234" t="s">
        <v>53</v>
      </c>
      <c r="E714" s="242" t="s">
        <v>1140</v>
      </c>
      <c r="F714" s="234" t="s">
        <v>16</v>
      </c>
      <c r="G714" s="235">
        <f>VLOOKUP(J714,'исх АС БЮДЖЕТ'!$A$10:$H$568,6,0)</f>
        <v>11718</v>
      </c>
      <c r="H714" s="242">
        <v>720177250</v>
      </c>
      <c r="I714" s="313" t="str">
        <f t="shared" si="73"/>
        <v>0720177250</v>
      </c>
      <c r="J714" s="30" t="str">
        <f t="shared" si="74"/>
        <v>60707030720177250621</v>
      </c>
    </row>
    <row r="715" spans="1:10" s="83" customFormat="1" ht="38.25">
      <c r="A715" s="232" t="s">
        <v>621</v>
      </c>
      <c r="B715" s="233" t="s">
        <v>26</v>
      </c>
      <c r="C715" s="234" t="s">
        <v>71</v>
      </c>
      <c r="D715" s="234" t="s">
        <v>53</v>
      </c>
      <c r="E715" s="234" t="s">
        <v>375</v>
      </c>
      <c r="F715" s="234" t="s">
        <v>58</v>
      </c>
      <c r="G715" s="235">
        <f>G716</f>
        <v>74837.58</v>
      </c>
      <c r="H715" s="234">
        <v>720600000</v>
      </c>
      <c r="I715" s="313" t="str">
        <f t="shared" si="73"/>
        <v>0720600000</v>
      </c>
      <c r="J715" s="30" t="str">
        <f t="shared" si="74"/>
        <v>60707030720600000000</v>
      </c>
    </row>
    <row r="716" spans="1:10" s="83" customFormat="1" ht="25.5">
      <c r="A716" s="232" t="s">
        <v>162</v>
      </c>
      <c r="B716" s="233" t="s">
        <v>26</v>
      </c>
      <c r="C716" s="234" t="s">
        <v>71</v>
      </c>
      <c r="D716" s="234" t="s">
        <v>53</v>
      </c>
      <c r="E716" s="234" t="s">
        <v>376</v>
      </c>
      <c r="F716" s="234" t="s">
        <v>58</v>
      </c>
      <c r="G716" s="235">
        <f>G717</f>
        <v>74837.58</v>
      </c>
      <c r="H716" s="234">
        <v>720620400</v>
      </c>
      <c r="I716" s="313" t="str">
        <f t="shared" si="73"/>
        <v>0720620400</v>
      </c>
      <c r="J716" s="30" t="str">
        <f t="shared" si="74"/>
        <v>60707030720620400000</v>
      </c>
    </row>
    <row r="717" spans="1:10" s="83" customFormat="1">
      <c r="A717" s="244" t="s">
        <v>92</v>
      </c>
      <c r="B717" s="233" t="s">
        <v>26</v>
      </c>
      <c r="C717" s="234" t="s">
        <v>71</v>
      </c>
      <c r="D717" s="234" t="s">
        <v>53</v>
      </c>
      <c r="E717" s="234" t="s">
        <v>376</v>
      </c>
      <c r="F717" s="234" t="s">
        <v>138</v>
      </c>
      <c r="G717" s="235">
        <f>G718</f>
        <v>74837.58</v>
      </c>
      <c r="H717" s="234">
        <v>720620400</v>
      </c>
      <c r="I717" s="313" t="str">
        <f t="shared" si="73"/>
        <v>0720620400</v>
      </c>
      <c r="J717" s="30" t="str">
        <f t="shared" si="74"/>
        <v>60707030720620400610</v>
      </c>
    </row>
    <row r="718" spans="1:10" s="83" customFormat="1">
      <c r="A718" s="232" t="s">
        <v>1016</v>
      </c>
      <c r="B718" s="233" t="s">
        <v>26</v>
      </c>
      <c r="C718" s="234" t="s">
        <v>71</v>
      </c>
      <c r="D718" s="234" t="s">
        <v>53</v>
      </c>
      <c r="E718" s="234" t="s">
        <v>376</v>
      </c>
      <c r="F718" s="234" t="s">
        <v>1046</v>
      </c>
      <c r="G718" s="235">
        <f>VLOOKUP(J718,'исх АС БЮДЖЕТ'!$A$10:$H$568,6,0)</f>
        <v>74837.58</v>
      </c>
      <c r="H718" s="234">
        <v>720620400</v>
      </c>
      <c r="I718" s="313" t="str">
        <f t="shared" si="73"/>
        <v>0720620400</v>
      </c>
      <c r="J718" s="30" t="str">
        <f t="shared" si="74"/>
        <v>60707030720620400612</v>
      </c>
    </row>
    <row r="719" spans="1:10" s="3" customFormat="1" ht="63.75">
      <c r="A719" s="244" t="s">
        <v>850</v>
      </c>
      <c r="B719" s="233" t="s">
        <v>26</v>
      </c>
      <c r="C719" s="234" t="s">
        <v>71</v>
      </c>
      <c r="D719" s="234" t="s">
        <v>53</v>
      </c>
      <c r="E719" s="234" t="s">
        <v>622</v>
      </c>
      <c r="F719" s="234" t="s">
        <v>58</v>
      </c>
      <c r="G719" s="235">
        <f t="shared" ref="G719:G720" si="77">G720</f>
        <v>150000</v>
      </c>
      <c r="H719" s="234">
        <v>720800000</v>
      </c>
      <c r="I719" s="313" t="str">
        <f t="shared" si="73"/>
        <v>0720800000</v>
      </c>
      <c r="J719" s="30" t="str">
        <f t="shared" si="74"/>
        <v>60707030720800000000</v>
      </c>
    </row>
    <row r="720" spans="1:10" s="3" customFormat="1" ht="63.75">
      <c r="A720" s="232" t="s">
        <v>853</v>
      </c>
      <c r="B720" s="233" t="s">
        <v>26</v>
      </c>
      <c r="C720" s="234" t="s">
        <v>71</v>
      </c>
      <c r="D720" s="234" t="s">
        <v>53</v>
      </c>
      <c r="E720" s="234" t="s">
        <v>623</v>
      </c>
      <c r="F720" s="234" t="s">
        <v>58</v>
      </c>
      <c r="G720" s="235">
        <f t="shared" si="77"/>
        <v>150000</v>
      </c>
      <c r="H720" s="234">
        <v>720821230</v>
      </c>
      <c r="I720" s="313" t="str">
        <f t="shared" si="73"/>
        <v>0720821230</v>
      </c>
      <c r="J720" s="30" t="str">
        <f t="shared" si="74"/>
        <v>60707030720821230000</v>
      </c>
    </row>
    <row r="721" spans="1:10" s="3" customFormat="1">
      <c r="A721" s="244" t="s">
        <v>92</v>
      </c>
      <c r="B721" s="233" t="s">
        <v>26</v>
      </c>
      <c r="C721" s="234" t="s">
        <v>71</v>
      </c>
      <c r="D721" s="234" t="s">
        <v>53</v>
      </c>
      <c r="E721" s="234" t="s">
        <v>623</v>
      </c>
      <c r="F721" s="234" t="s">
        <v>138</v>
      </c>
      <c r="G721" s="235">
        <f>G722</f>
        <v>150000</v>
      </c>
      <c r="H721" s="234">
        <v>720821230</v>
      </c>
      <c r="I721" s="313" t="str">
        <f t="shared" si="73"/>
        <v>0720821230</v>
      </c>
      <c r="J721" s="30" t="str">
        <f t="shared" si="74"/>
        <v>60707030720821230610</v>
      </c>
    </row>
    <row r="722" spans="1:10" s="4" customFormat="1">
      <c r="A722" s="232" t="s">
        <v>1016</v>
      </c>
      <c r="B722" s="233" t="s">
        <v>26</v>
      </c>
      <c r="C722" s="234" t="s">
        <v>71</v>
      </c>
      <c r="D722" s="234" t="s">
        <v>53</v>
      </c>
      <c r="E722" s="234" t="s">
        <v>623</v>
      </c>
      <c r="F722" s="234" t="s">
        <v>1046</v>
      </c>
      <c r="G722" s="235">
        <f>VLOOKUP(J722,'исх АС БЮДЖЕТ'!$A$10:$H$568,6,0)</f>
        <v>150000</v>
      </c>
      <c r="H722" s="234">
        <v>720821230</v>
      </c>
      <c r="I722" s="313" t="str">
        <f t="shared" si="73"/>
        <v>0720821230</v>
      </c>
      <c r="J722" s="30" t="str">
        <f t="shared" si="74"/>
        <v>60707030720821230612</v>
      </c>
    </row>
    <row r="723" spans="1:10" s="3" customFormat="1" ht="25.5">
      <c r="A723" s="244" t="s">
        <v>854</v>
      </c>
      <c r="B723" s="233" t="s">
        <v>26</v>
      </c>
      <c r="C723" s="234" t="s">
        <v>71</v>
      </c>
      <c r="D723" s="234" t="s">
        <v>53</v>
      </c>
      <c r="E723" s="234" t="s">
        <v>624</v>
      </c>
      <c r="F723" s="234" t="s">
        <v>58</v>
      </c>
      <c r="G723" s="235">
        <f>G724</f>
        <v>300000</v>
      </c>
      <c r="H723" s="234">
        <v>720900000</v>
      </c>
      <c r="I723" s="313" t="str">
        <f t="shared" si="73"/>
        <v>0720900000</v>
      </c>
      <c r="J723" s="30" t="str">
        <f t="shared" si="74"/>
        <v>60707030720900000000</v>
      </c>
    </row>
    <row r="724" spans="1:10" s="3" customFormat="1" ht="25.5">
      <c r="A724" s="244" t="s">
        <v>855</v>
      </c>
      <c r="B724" s="233" t="s">
        <v>26</v>
      </c>
      <c r="C724" s="234" t="s">
        <v>71</v>
      </c>
      <c r="D724" s="234" t="s">
        <v>53</v>
      </c>
      <c r="E724" s="234" t="s">
        <v>690</v>
      </c>
      <c r="F724" s="234" t="s">
        <v>58</v>
      </c>
      <c r="G724" s="235">
        <f>G725+G727</f>
        <v>300000</v>
      </c>
      <c r="H724" s="234">
        <v>720921280</v>
      </c>
      <c r="I724" s="313" t="str">
        <f t="shared" ref="I724:I787" si="78">TEXT(H724,"0000000000")</f>
        <v>0720921280</v>
      </c>
      <c r="J724" s="30" t="str">
        <f t="shared" ref="J724:J787" si="79">CONCATENATE(B724,C724,D724,I724,F724)</f>
        <v>60707030720921280000</v>
      </c>
    </row>
    <row r="725" spans="1:10" s="3" customFormat="1">
      <c r="A725" s="244" t="s">
        <v>92</v>
      </c>
      <c r="B725" s="233" t="s">
        <v>26</v>
      </c>
      <c r="C725" s="234" t="s">
        <v>71</v>
      </c>
      <c r="D725" s="234" t="s">
        <v>53</v>
      </c>
      <c r="E725" s="234" t="s">
        <v>690</v>
      </c>
      <c r="F725" s="234" t="s">
        <v>138</v>
      </c>
      <c r="G725" s="235">
        <f>G726</f>
        <v>225000</v>
      </c>
      <c r="H725" s="234">
        <v>720921280</v>
      </c>
      <c r="I725" s="313" t="str">
        <f t="shared" si="78"/>
        <v>0720921280</v>
      </c>
      <c r="J725" s="30" t="str">
        <f t="shared" si="79"/>
        <v>60707030720921280610</v>
      </c>
    </row>
    <row r="726" spans="1:10" s="4" customFormat="1">
      <c r="A726" s="232" t="s">
        <v>1016</v>
      </c>
      <c r="B726" s="233" t="s">
        <v>26</v>
      </c>
      <c r="C726" s="234" t="s">
        <v>71</v>
      </c>
      <c r="D726" s="234" t="s">
        <v>53</v>
      </c>
      <c r="E726" s="234" t="s">
        <v>690</v>
      </c>
      <c r="F726" s="234" t="s">
        <v>1046</v>
      </c>
      <c r="G726" s="235">
        <f>VLOOKUP(J726,'исх АС БЮДЖЕТ'!$A$10:$H$568,6,0)</f>
        <v>225000</v>
      </c>
      <c r="H726" s="234">
        <v>720921280</v>
      </c>
      <c r="I726" s="313" t="str">
        <f t="shared" si="78"/>
        <v>0720921280</v>
      </c>
      <c r="J726" s="30" t="str">
        <f t="shared" si="79"/>
        <v>60707030720921280612</v>
      </c>
    </row>
    <row r="727" spans="1:10" s="3" customFormat="1">
      <c r="A727" s="244" t="s">
        <v>93</v>
      </c>
      <c r="B727" s="233" t="s">
        <v>26</v>
      </c>
      <c r="C727" s="234" t="s">
        <v>71</v>
      </c>
      <c r="D727" s="234" t="s">
        <v>53</v>
      </c>
      <c r="E727" s="234" t="s">
        <v>690</v>
      </c>
      <c r="F727" s="234" t="s">
        <v>20</v>
      </c>
      <c r="G727" s="235">
        <f>G728</f>
        <v>75000</v>
      </c>
      <c r="H727" s="234">
        <v>720921280</v>
      </c>
      <c r="I727" s="313" t="str">
        <f t="shared" si="78"/>
        <v>0720921280</v>
      </c>
      <c r="J727" s="30" t="str">
        <f t="shared" si="79"/>
        <v>60707030720921280620</v>
      </c>
    </row>
    <row r="728" spans="1:10" s="4" customFormat="1">
      <c r="A728" s="236" t="s">
        <v>1019</v>
      </c>
      <c r="B728" s="233" t="s">
        <v>26</v>
      </c>
      <c r="C728" s="234" t="s">
        <v>71</v>
      </c>
      <c r="D728" s="234" t="s">
        <v>53</v>
      </c>
      <c r="E728" s="234" t="s">
        <v>690</v>
      </c>
      <c r="F728" s="234" t="s">
        <v>1054</v>
      </c>
      <c r="G728" s="235">
        <f>VLOOKUP(J728,'исх АС БЮДЖЕТ'!$A$10:$H$568,6,0)</f>
        <v>75000</v>
      </c>
      <c r="H728" s="234">
        <v>720921280</v>
      </c>
      <c r="I728" s="313" t="str">
        <f t="shared" si="78"/>
        <v>0720921280</v>
      </c>
      <c r="J728" s="30" t="str">
        <f t="shared" si="79"/>
        <v>60707030720921280622</v>
      </c>
    </row>
    <row r="729" spans="1:10" s="3" customFormat="1" ht="38.25">
      <c r="A729" s="244" t="s">
        <v>856</v>
      </c>
      <c r="B729" s="233" t="s">
        <v>26</v>
      </c>
      <c r="C729" s="234" t="s">
        <v>71</v>
      </c>
      <c r="D729" s="234" t="s">
        <v>53</v>
      </c>
      <c r="E729" s="234" t="s">
        <v>781</v>
      </c>
      <c r="F729" s="234" t="s">
        <v>58</v>
      </c>
      <c r="G729" s="235">
        <f>G730</f>
        <v>2499950</v>
      </c>
      <c r="H729" s="234">
        <v>721200000</v>
      </c>
      <c r="I729" s="313" t="str">
        <f t="shared" si="78"/>
        <v>0721200000</v>
      </c>
      <c r="J729" s="30" t="str">
        <f t="shared" si="79"/>
        <v>60707030721200000000</v>
      </c>
    </row>
    <row r="730" spans="1:10" s="3" customFormat="1" ht="63.75">
      <c r="A730" s="244" t="s">
        <v>888</v>
      </c>
      <c r="B730" s="233" t="s">
        <v>26</v>
      </c>
      <c r="C730" s="234" t="s">
        <v>71</v>
      </c>
      <c r="D730" s="234" t="s">
        <v>53</v>
      </c>
      <c r="E730" s="234" t="s">
        <v>782</v>
      </c>
      <c r="F730" s="234" t="s">
        <v>58</v>
      </c>
      <c r="G730" s="235">
        <f>G731</f>
        <v>2499950</v>
      </c>
      <c r="H730" s="234">
        <v>721221260</v>
      </c>
      <c r="I730" s="313" t="str">
        <f t="shared" si="78"/>
        <v>0721221260</v>
      </c>
      <c r="J730" s="30" t="str">
        <f t="shared" si="79"/>
        <v>60707030721221260000</v>
      </c>
    </row>
    <row r="731" spans="1:10" s="3" customFormat="1">
      <c r="A731" s="244" t="s">
        <v>93</v>
      </c>
      <c r="B731" s="233" t="s">
        <v>26</v>
      </c>
      <c r="C731" s="234" t="s">
        <v>71</v>
      </c>
      <c r="D731" s="234" t="s">
        <v>53</v>
      </c>
      <c r="E731" s="234" t="s">
        <v>782</v>
      </c>
      <c r="F731" s="234" t="s">
        <v>20</v>
      </c>
      <c r="G731" s="235">
        <f>G732</f>
        <v>2499950</v>
      </c>
      <c r="H731" s="234">
        <v>721221260</v>
      </c>
      <c r="I731" s="313" t="str">
        <f t="shared" si="78"/>
        <v>0721221260</v>
      </c>
      <c r="J731" s="30" t="str">
        <f t="shared" si="79"/>
        <v>60707030721221260620</v>
      </c>
    </row>
    <row r="732" spans="1:10" s="4" customFormat="1">
      <c r="A732" s="236" t="s">
        <v>1019</v>
      </c>
      <c r="B732" s="233" t="s">
        <v>26</v>
      </c>
      <c r="C732" s="234" t="s">
        <v>71</v>
      </c>
      <c r="D732" s="234" t="s">
        <v>53</v>
      </c>
      <c r="E732" s="234" t="s">
        <v>782</v>
      </c>
      <c r="F732" s="234" t="s">
        <v>1054</v>
      </c>
      <c r="G732" s="235">
        <f>VLOOKUP(J732,'исх АС БЮДЖЕТ'!$A$10:$H$568,6,0)</f>
        <v>2499950</v>
      </c>
      <c r="H732" s="234">
        <v>721221260</v>
      </c>
      <c r="I732" s="313" t="str">
        <f t="shared" si="78"/>
        <v>0721221260</v>
      </c>
      <c r="J732" s="30" t="str">
        <f t="shared" si="79"/>
        <v>60707030721221260622</v>
      </c>
    </row>
    <row r="733" spans="1:10" s="3" customFormat="1" ht="51">
      <c r="A733" s="232" t="s">
        <v>756</v>
      </c>
      <c r="B733" s="233" t="s">
        <v>26</v>
      </c>
      <c r="C733" s="234" t="s">
        <v>71</v>
      </c>
      <c r="D733" s="234" t="s">
        <v>53</v>
      </c>
      <c r="E733" s="234" t="s">
        <v>339</v>
      </c>
      <c r="F733" s="234" t="s">
        <v>58</v>
      </c>
      <c r="G733" s="235">
        <f t="shared" ref="G733:G735" si="80">G734</f>
        <v>392800</v>
      </c>
      <c r="H733" s="234">
        <v>1600000000</v>
      </c>
      <c r="I733" s="313" t="str">
        <f t="shared" si="78"/>
        <v>1600000000</v>
      </c>
      <c r="J733" s="30" t="str">
        <f t="shared" si="79"/>
        <v>60707031600000000000</v>
      </c>
    </row>
    <row r="734" spans="1:10" s="3" customFormat="1" ht="25.5">
      <c r="A734" s="232" t="s">
        <v>136</v>
      </c>
      <c r="B734" s="233" t="s">
        <v>26</v>
      </c>
      <c r="C734" s="234" t="s">
        <v>71</v>
      </c>
      <c r="D734" s="234" t="s">
        <v>53</v>
      </c>
      <c r="E734" s="234" t="s">
        <v>340</v>
      </c>
      <c r="F734" s="234" t="s">
        <v>58</v>
      </c>
      <c r="G734" s="235">
        <f t="shared" si="80"/>
        <v>392800</v>
      </c>
      <c r="H734" s="234">
        <v>1620000000</v>
      </c>
      <c r="I734" s="313" t="str">
        <f t="shared" si="78"/>
        <v>1620000000</v>
      </c>
      <c r="J734" s="30" t="str">
        <f t="shared" si="79"/>
        <v>60707031620000000000</v>
      </c>
    </row>
    <row r="735" spans="1:10" s="3" customFormat="1" ht="25.5">
      <c r="A735" s="232" t="s">
        <v>667</v>
      </c>
      <c r="B735" s="233" t="s">
        <v>26</v>
      </c>
      <c r="C735" s="234" t="s">
        <v>71</v>
      </c>
      <c r="D735" s="234" t="s">
        <v>53</v>
      </c>
      <c r="E735" s="234" t="s">
        <v>609</v>
      </c>
      <c r="F735" s="234" t="s">
        <v>58</v>
      </c>
      <c r="G735" s="235">
        <f t="shared" si="80"/>
        <v>392800</v>
      </c>
      <c r="H735" s="234">
        <v>1620200000</v>
      </c>
      <c r="I735" s="313" t="str">
        <f t="shared" si="78"/>
        <v>1620200000</v>
      </c>
      <c r="J735" s="30" t="str">
        <f t="shared" si="79"/>
        <v>60707031620200000000</v>
      </c>
    </row>
    <row r="736" spans="1:10" s="3" customFormat="1" ht="25.5">
      <c r="A736" s="232" t="s">
        <v>177</v>
      </c>
      <c r="B736" s="233" t="s">
        <v>26</v>
      </c>
      <c r="C736" s="234" t="s">
        <v>71</v>
      </c>
      <c r="D736" s="234" t="s">
        <v>53</v>
      </c>
      <c r="E736" s="234" t="s">
        <v>610</v>
      </c>
      <c r="F736" s="234" t="s">
        <v>58</v>
      </c>
      <c r="G736" s="235">
        <f>G737+G739</f>
        <v>392800</v>
      </c>
      <c r="H736" s="234">
        <v>1620220550</v>
      </c>
      <c r="I736" s="313" t="str">
        <f t="shared" si="78"/>
        <v>1620220550</v>
      </c>
      <c r="J736" s="30" t="str">
        <f t="shared" si="79"/>
        <v>60707031620220550000</v>
      </c>
    </row>
    <row r="737" spans="1:10" s="3" customFormat="1">
      <c r="A737" s="244" t="s">
        <v>92</v>
      </c>
      <c r="B737" s="233" t="s">
        <v>26</v>
      </c>
      <c r="C737" s="234" t="s">
        <v>71</v>
      </c>
      <c r="D737" s="234" t="s">
        <v>53</v>
      </c>
      <c r="E737" s="234" t="s">
        <v>610</v>
      </c>
      <c r="F737" s="234" t="s">
        <v>138</v>
      </c>
      <c r="G737" s="235">
        <f>G738</f>
        <v>344800</v>
      </c>
      <c r="H737" s="234">
        <v>1620220550</v>
      </c>
      <c r="I737" s="313" t="str">
        <f t="shared" si="78"/>
        <v>1620220550</v>
      </c>
      <c r="J737" s="30" t="str">
        <f t="shared" si="79"/>
        <v>60707031620220550610</v>
      </c>
    </row>
    <row r="738" spans="1:10" s="4" customFormat="1">
      <c r="A738" s="236" t="s">
        <v>1016</v>
      </c>
      <c r="B738" s="233" t="s">
        <v>26</v>
      </c>
      <c r="C738" s="234" t="s">
        <v>71</v>
      </c>
      <c r="D738" s="234" t="s">
        <v>53</v>
      </c>
      <c r="E738" s="234" t="s">
        <v>610</v>
      </c>
      <c r="F738" s="234" t="s">
        <v>1046</v>
      </c>
      <c r="G738" s="235">
        <f>VLOOKUP(J738,'исх АС БЮДЖЕТ'!$A$10:$H$568,6,0)</f>
        <v>344800</v>
      </c>
      <c r="H738" s="234">
        <v>1620220550</v>
      </c>
      <c r="I738" s="313" t="str">
        <f t="shared" si="78"/>
        <v>1620220550</v>
      </c>
      <c r="J738" s="30" t="str">
        <f t="shared" si="79"/>
        <v>60707031620220550612</v>
      </c>
    </row>
    <row r="739" spans="1:10" s="30" customFormat="1">
      <c r="A739" s="244" t="s">
        <v>93</v>
      </c>
      <c r="B739" s="233" t="s">
        <v>26</v>
      </c>
      <c r="C739" s="234" t="s">
        <v>71</v>
      </c>
      <c r="D739" s="234" t="s">
        <v>53</v>
      </c>
      <c r="E739" s="234" t="s">
        <v>610</v>
      </c>
      <c r="F739" s="234" t="s">
        <v>20</v>
      </c>
      <c r="G739" s="235">
        <f>G740</f>
        <v>48000</v>
      </c>
      <c r="H739" s="234">
        <v>1620220550</v>
      </c>
      <c r="I739" s="313" t="str">
        <f t="shared" si="78"/>
        <v>1620220550</v>
      </c>
      <c r="J739" s="30" t="str">
        <f t="shared" si="79"/>
        <v>60707031620220550620</v>
      </c>
    </row>
    <row r="740" spans="1:10" s="83" customFormat="1">
      <c r="A740" s="236" t="s">
        <v>1019</v>
      </c>
      <c r="B740" s="233" t="s">
        <v>26</v>
      </c>
      <c r="C740" s="234" t="s">
        <v>71</v>
      </c>
      <c r="D740" s="234" t="s">
        <v>53</v>
      </c>
      <c r="E740" s="234" t="s">
        <v>610</v>
      </c>
      <c r="F740" s="234" t="s">
        <v>1054</v>
      </c>
      <c r="G740" s="235">
        <f>VLOOKUP(J740,'исх АС БЮДЖЕТ'!$A$10:$H$568,6,0)</f>
        <v>48000</v>
      </c>
      <c r="H740" s="234">
        <v>1620220550</v>
      </c>
      <c r="I740" s="313" t="str">
        <f t="shared" si="78"/>
        <v>1620220550</v>
      </c>
      <c r="J740" s="30" t="str">
        <f t="shared" si="79"/>
        <v>60707031620220550622</v>
      </c>
    </row>
    <row r="741" spans="1:10" s="30" customFormat="1" ht="25.5">
      <c r="A741" s="232" t="s">
        <v>757</v>
      </c>
      <c r="B741" s="233" t="s">
        <v>26</v>
      </c>
      <c r="C741" s="234" t="s">
        <v>71</v>
      </c>
      <c r="D741" s="234" t="s">
        <v>53</v>
      </c>
      <c r="E741" s="234" t="s">
        <v>342</v>
      </c>
      <c r="F741" s="234" t="s">
        <v>58</v>
      </c>
      <c r="G741" s="235">
        <f t="shared" ref="G741:G744" si="81">G742</f>
        <v>995640</v>
      </c>
      <c r="H741" s="234">
        <v>1700000000</v>
      </c>
      <c r="I741" s="313" t="str">
        <f t="shared" si="78"/>
        <v>1700000000</v>
      </c>
      <c r="J741" s="30" t="str">
        <f t="shared" si="79"/>
        <v>60707031700000000000</v>
      </c>
    </row>
    <row r="742" spans="1:10" s="30" customFormat="1" ht="25.5">
      <c r="A742" s="237" t="s">
        <v>758</v>
      </c>
      <c r="B742" s="233" t="s">
        <v>26</v>
      </c>
      <c r="C742" s="234" t="s">
        <v>71</v>
      </c>
      <c r="D742" s="234" t="s">
        <v>53</v>
      </c>
      <c r="E742" s="234" t="s">
        <v>343</v>
      </c>
      <c r="F742" s="234" t="s">
        <v>58</v>
      </c>
      <c r="G742" s="235">
        <f t="shared" si="81"/>
        <v>995640</v>
      </c>
      <c r="H742" s="234" t="s">
        <v>1207</v>
      </c>
      <c r="I742" s="313" t="str">
        <f t="shared" si="78"/>
        <v>17Б0000000</v>
      </c>
      <c r="J742" s="30" t="str">
        <f t="shared" si="79"/>
        <v>607070317Б0000000000</v>
      </c>
    </row>
    <row r="743" spans="1:10" s="30" customFormat="1" ht="25.5">
      <c r="A743" s="232" t="s">
        <v>344</v>
      </c>
      <c r="B743" s="233" t="s">
        <v>26</v>
      </c>
      <c r="C743" s="234" t="s">
        <v>71</v>
      </c>
      <c r="D743" s="234" t="s">
        <v>53</v>
      </c>
      <c r="E743" s="234" t="s">
        <v>345</v>
      </c>
      <c r="F743" s="234" t="s">
        <v>58</v>
      </c>
      <c r="G743" s="235">
        <f t="shared" si="81"/>
        <v>995640</v>
      </c>
      <c r="H743" s="234" t="s">
        <v>1208</v>
      </c>
      <c r="I743" s="313" t="str">
        <f t="shared" si="78"/>
        <v>17Б0100000</v>
      </c>
      <c r="J743" s="30" t="str">
        <f t="shared" si="79"/>
        <v>607070317Б0100000000</v>
      </c>
    </row>
    <row r="744" spans="1:10" s="30" customFormat="1" ht="25.5">
      <c r="A744" s="232" t="s">
        <v>174</v>
      </c>
      <c r="B744" s="233" t="s">
        <v>26</v>
      </c>
      <c r="C744" s="234" t="s">
        <v>71</v>
      </c>
      <c r="D744" s="234" t="s">
        <v>53</v>
      </c>
      <c r="E744" s="234" t="s">
        <v>346</v>
      </c>
      <c r="F744" s="234" t="s">
        <v>58</v>
      </c>
      <c r="G744" s="235">
        <f t="shared" si="81"/>
        <v>995640</v>
      </c>
      <c r="H744" s="234" t="s">
        <v>1209</v>
      </c>
      <c r="I744" s="313" t="str">
        <f t="shared" si="78"/>
        <v>17Б0120490</v>
      </c>
      <c r="J744" s="30" t="str">
        <f t="shared" si="79"/>
        <v>607070317Б0120490000</v>
      </c>
    </row>
    <row r="745" spans="1:10" s="30" customFormat="1">
      <c r="A745" s="244" t="s">
        <v>93</v>
      </c>
      <c r="B745" s="233" t="s">
        <v>26</v>
      </c>
      <c r="C745" s="234" t="s">
        <v>71</v>
      </c>
      <c r="D745" s="234" t="s">
        <v>53</v>
      </c>
      <c r="E745" s="234" t="s">
        <v>346</v>
      </c>
      <c r="F745" s="234" t="s">
        <v>20</v>
      </c>
      <c r="G745" s="235">
        <f>G746</f>
        <v>995640</v>
      </c>
      <c r="H745" s="234" t="s">
        <v>1209</v>
      </c>
      <c r="I745" s="313" t="str">
        <f t="shared" si="78"/>
        <v>17Б0120490</v>
      </c>
      <c r="J745" s="30" t="str">
        <f t="shared" si="79"/>
        <v>607070317Б0120490620</v>
      </c>
    </row>
    <row r="746" spans="1:10" s="83" customFormat="1">
      <c r="A746" s="236" t="s">
        <v>1019</v>
      </c>
      <c r="B746" s="233" t="s">
        <v>26</v>
      </c>
      <c r="C746" s="234" t="s">
        <v>71</v>
      </c>
      <c r="D746" s="234" t="s">
        <v>53</v>
      </c>
      <c r="E746" s="234" t="s">
        <v>346</v>
      </c>
      <c r="F746" s="234" t="s">
        <v>1054</v>
      </c>
      <c r="G746" s="235">
        <f>VLOOKUP(J746,'исх АС БЮДЖЕТ'!$A$10:$H$568,6,0)</f>
        <v>995640</v>
      </c>
      <c r="H746" s="234" t="s">
        <v>1209</v>
      </c>
      <c r="I746" s="313" t="str">
        <f t="shared" si="78"/>
        <v>17Б0120490</v>
      </c>
      <c r="J746" s="30" t="str">
        <f t="shared" si="79"/>
        <v>607070317Б0120490622</v>
      </c>
    </row>
    <row r="747" spans="1:10" s="30" customFormat="1">
      <c r="A747" s="228" t="s">
        <v>783</v>
      </c>
      <c r="B747" s="229" t="s">
        <v>26</v>
      </c>
      <c r="C747" s="230" t="s">
        <v>71</v>
      </c>
      <c r="D747" s="230" t="s">
        <v>71</v>
      </c>
      <c r="E747" s="230" t="s">
        <v>196</v>
      </c>
      <c r="F747" s="230" t="s">
        <v>58</v>
      </c>
      <c r="G747" s="231">
        <f>G754+G748</f>
        <v>7006510</v>
      </c>
      <c r="H747" s="230">
        <v>0</v>
      </c>
      <c r="I747" s="313" t="str">
        <f t="shared" si="78"/>
        <v>0000000000</v>
      </c>
      <c r="J747" s="30" t="str">
        <f t="shared" si="79"/>
        <v>60707070000000000000</v>
      </c>
    </row>
    <row r="748" spans="1:10" s="30" customFormat="1" ht="38.25">
      <c r="A748" s="236" t="s">
        <v>722</v>
      </c>
      <c r="B748" s="233" t="s">
        <v>26</v>
      </c>
      <c r="C748" s="234" t="s">
        <v>71</v>
      </c>
      <c r="D748" s="234" t="s">
        <v>71</v>
      </c>
      <c r="E748" s="234" t="s">
        <v>300</v>
      </c>
      <c r="F748" s="234" t="s">
        <v>58</v>
      </c>
      <c r="G748" s="235">
        <f t="shared" ref="G748:G751" si="82">G749</f>
        <v>212500</v>
      </c>
      <c r="H748" s="234">
        <v>400000000</v>
      </c>
      <c r="I748" s="313" t="str">
        <f t="shared" si="78"/>
        <v>0400000000</v>
      </c>
      <c r="J748" s="30" t="str">
        <f t="shared" si="79"/>
        <v>60707070400000000000</v>
      </c>
    </row>
    <row r="749" spans="1:10" s="30" customFormat="1">
      <c r="A749" s="236" t="s">
        <v>142</v>
      </c>
      <c r="B749" s="233" t="s">
        <v>26</v>
      </c>
      <c r="C749" s="234" t="s">
        <v>71</v>
      </c>
      <c r="D749" s="234" t="s">
        <v>71</v>
      </c>
      <c r="E749" s="234" t="s">
        <v>453</v>
      </c>
      <c r="F749" s="234" t="s">
        <v>58</v>
      </c>
      <c r="G749" s="235">
        <f t="shared" si="82"/>
        <v>212500</v>
      </c>
      <c r="H749" s="234">
        <v>430000000</v>
      </c>
      <c r="I749" s="313" t="str">
        <f t="shared" si="78"/>
        <v>0430000000</v>
      </c>
      <c r="J749" s="30" t="str">
        <f t="shared" si="79"/>
        <v>60707070430000000000</v>
      </c>
    </row>
    <row r="750" spans="1:10" s="30" customFormat="1">
      <c r="A750" s="236" t="s">
        <v>454</v>
      </c>
      <c r="B750" s="233" t="s">
        <v>26</v>
      </c>
      <c r="C750" s="234" t="s">
        <v>71</v>
      </c>
      <c r="D750" s="234" t="s">
        <v>71</v>
      </c>
      <c r="E750" s="234" t="s">
        <v>645</v>
      </c>
      <c r="F750" s="234" t="s">
        <v>58</v>
      </c>
      <c r="G750" s="235">
        <f t="shared" si="82"/>
        <v>212500</v>
      </c>
      <c r="H750" s="234">
        <v>430400000</v>
      </c>
      <c r="I750" s="313" t="str">
        <f t="shared" si="78"/>
        <v>0430400000</v>
      </c>
      <c r="J750" s="30" t="str">
        <f t="shared" si="79"/>
        <v>60707070430400000000</v>
      </c>
    </row>
    <row r="751" spans="1:10" s="30" customFormat="1">
      <c r="A751" s="236" t="s">
        <v>158</v>
      </c>
      <c r="B751" s="233" t="s">
        <v>26</v>
      </c>
      <c r="C751" s="234" t="s">
        <v>71</v>
      </c>
      <c r="D751" s="234" t="s">
        <v>71</v>
      </c>
      <c r="E751" s="234" t="s">
        <v>646</v>
      </c>
      <c r="F751" s="234" t="s">
        <v>58</v>
      </c>
      <c r="G751" s="235">
        <f t="shared" si="82"/>
        <v>212500</v>
      </c>
      <c r="H751" s="234">
        <v>430420300</v>
      </c>
      <c r="I751" s="313" t="str">
        <f t="shared" si="78"/>
        <v>0430420300</v>
      </c>
      <c r="J751" s="30" t="str">
        <f t="shared" si="79"/>
        <v>60707070430420300000</v>
      </c>
    </row>
    <row r="752" spans="1:10" s="30" customFormat="1" ht="25.5">
      <c r="A752" s="232" t="s">
        <v>108</v>
      </c>
      <c r="B752" s="233" t="s">
        <v>26</v>
      </c>
      <c r="C752" s="234" t="s">
        <v>71</v>
      </c>
      <c r="D752" s="234" t="s">
        <v>71</v>
      </c>
      <c r="E752" s="234" t="s">
        <v>646</v>
      </c>
      <c r="F752" s="234" t="s">
        <v>116</v>
      </c>
      <c r="G752" s="235">
        <f>G753</f>
        <v>212500</v>
      </c>
      <c r="H752" s="234">
        <v>430420300</v>
      </c>
      <c r="I752" s="313" t="str">
        <f t="shared" si="78"/>
        <v>0430420300</v>
      </c>
      <c r="J752" s="30" t="str">
        <f t="shared" si="79"/>
        <v>60707070430420300240</v>
      </c>
    </row>
    <row r="753" spans="1:10" s="83" customFormat="1" ht="25.5">
      <c r="A753" s="236" t="s">
        <v>973</v>
      </c>
      <c r="B753" s="233" t="s">
        <v>26</v>
      </c>
      <c r="C753" s="234" t="s">
        <v>71</v>
      </c>
      <c r="D753" s="234" t="s">
        <v>71</v>
      </c>
      <c r="E753" s="234" t="s">
        <v>646</v>
      </c>
      <c r="F753" s="234" t="s">
        <v>1043</v>
      </c>
      <c r="G753" s="235">
        <f>VLOOKUP(J753,'исх АС БЮДЖЕТ'!$A$10:$H$568,6,0)</f>
        <v>212500</v>
      </c>
      <c r="H753" s="234">
        <v>430420300</v>
      </c>
      <c r="I753" s="313" t="str">
        <f t="shared" si="78"/>
        <v>0430420300</v>
      </c>
      <c r="J753" s="30" t="str">
        <f t="shared" si="79"/>
        <v>60707070430420300244</v>
      </c>
    </row>
    <row r="754" spans="1:10" s="30" customFormat="1">
      <c r="A754" s="255" t="s">
        <v>741</v>
      </c>
      <c r="B754" s="233" t="s">
        <v>26</v>
      </c>
      <c r="C754" s="234" t="s">
        <v>71</v>
      </c>
      <c r="D754" s="234" t="s">
        <v>71</v>
      </c>
      <c r="E754" s="234" t="s">
        <v>456</v>
      </c>
      <c r="F754" s="234" t="s">
        <v>58</v>
      </c>
      <c r="G754" s="235">
        <f>G755</f>
        <v>6794010</v>
      </c>
      <c r="H754" s="234">
        <v>900000000</v>
      </c>
      <c r="I754" s="313" t="str">
        <f t="shared" si="78"/>
        <v>0900000000</v>
      </c>
      <c r="J754" s="30" t="str">
        <f t="shared" si="79"/>
        <v>60707070900000000000</v>
      </c>
    </row>
    <row r="755" spans="1:10" s="30" customFormat="1" ht="25.5">
      <c r="A755" s="255" t="s">
        <v>742</v>
      </c>
      <c r="B755" s="233" t="s">
        <v>26</v>
      </c>
      <c r="C755" s="234" t="s">
        <v>71</v>
      </c>
      <c r="D755" s="234" t="s">
        <v>71</v>
      </c>
      <c r="E755" s="234" t="s">
        <v>457</v>
      </c>
      <c r="F755" s="234" t="s">
        <v>58</v>
      </c>
      <c r="G755" s="235">
        <f>G756+G760+G768+G772+G776+G780</f>
        <v>6794010</v>
      </c>
      <c r="H755" s="234" t="s">
        <v>1210</v>
      </c>
      <c r="I755" s="313" t="str">
        <f t="shared" si="78"/>
        <v>09Б0000000</v>
      </c>
      <c r="J755" s="30" t="str">
        <f t="shared" si="79"/>
        <v>607070709Б0000000000</v>
      </c>
    </row>
    <row r="756" spans="1:10" s="30" customFormat="1" ht="25.5">
      <c r="A756" s="236" t="s">
        <v>458</v>
      </c>
      <c r="B756" s="233" t="s">
        <v>26</v>
      </c>
      <c r="C756" s="234" t="s">
        <v>71</v>
      </c>
      <c r="D756" s="234" t="s">
        <v>71</v>
      </c>
      <c r="E756" s="234" t="s">
        <v>459</v>
      </c>
      <c r="F756" s="234" t="s">
        <v>58</v>
      </c>
      <c r="G756" s="235">
        <f t="shared" ref="G756:G757" si="83">G757</f>
        <v>779000</v>
      </c>
      <c r="H756" s="234" t="s">
        <v>1211</v>
      </c>
      <c r="I756" s="313" t="str">
        <f t="shared" si="78"/>
        <v>09Б0100000</v>
      </c>
      <c r="J756" s="30" t="str">
        <f t="shared" si="79"/>
        <v>607070709Б0100000000</v>
      </c>
    </row>
    <row r="757" spans="1:10" s="30" customFormat="1" ht="38.25">
      <c r="A757" s="232" t="s">
        <v>164</v>
      </c>
      <c r="B757" s="233" t="s">
        <v>26</v>
      </c>
      <c r="C757" s="234" t="s">
        <v>71</v>
      </c>
      <c r="D757" s="234" t="s">
        <v>71</v>
      </c>
      <c r="E757" s="234" t="s">
        <v>460</v>
      </c>
      <c r="F757" s="234" t="s">
        <v>58</v>
      </c>
      <c r="G757" s="235">
        <f t="shared" si="83"/>
        <v>779000</v>
      </c>
      <c r="H757" s="234" t="s">
        <v>1212</v>
      </c>
      <c r="I757" s="313" t="str">
        <f t="shared" si="78"/>
        <v>09Б0120460</v>
      </c>
      <c r="J757" s="30" t="str">
        <f t="shared" si="79"/>
        <v>607070709Б0120460000</v>
      </c>
    </row>
    <row r="758" spans="1:10" s="30" customFormat="1">
      <c r="A758" s="244" t="s">
        <v>92</v>
      </c>
      <c r="B758" s="233" t="s">
        <v>26</v>
      </c>
      <c r="C758" s="234" t="s">
        <v>71</v>
      </c>
      <c r="D758" s="234" t="s">
        <v>71</v>
      </c>
      <c r="E758" s="234" t="s">
        <v>460</v>
      </c>
      <c r="F758" s="234" t="s">
        <v>138</v>
      </c>
      <c r="G758" s="235">
        <f>G759</f>
        <v>779000</v>
      </c>
      <c r="H758" s="234" t="s">
        <v>1212</v>
      </c>
      <c r="I758" s="313" t="str">
        <f t="shared" si="78"/>
        <v>09Б0120460</v>
      </c>
      <c r="J758" s="30" t="str">
        <f t="shared" si="79"/>
        <v>607070709Б0120460610</v>
      </c>
    </row>
    <row r="759" spans="1:10" s="83" customFormat="1" ht="38.25">
      <c r="A759" s="236" t="s">
        <v>1015</v>
      </c>
      <c r="B759" s="233" t="s">
        <v>26</v>
      </c>
      <c r="C759" s="234" t="s">
        <v>71</v>
      </c>
      <c r="D759" s="234" t="s">
        <v>71</v>
      </c>
      <c r="E759" s="234" t="s">
        <v>460</v>
      </c>
      <c r="F759" s="234" t="s">
        <v>67</v>
      </c>
      <c r="G759" s="235">
        <f>VLOOKUP(J759,'исх АС БЮДЖЕТ'!$A$10:$H$568,6,0)</f>
        <v>779000</v>
      </c>
      <c r="H759" s="234" t="s">
        <v>1212</v>
      </c>
      <c r="I759" s="313" t="str">
        <f t="shared" si="78"/>
        <v>09Б0120460</v>
      </c>
      <c r="J759" s="30" t="str">
        <f t="shared" si="79"/>
        <v>607070709Б0120460611</v>
      </c>
    </row>
    <row r="760" spans="1:10" s="30" customFormat="1" ht="25.5">
      <c r="A760" s="236" t="s">
        <v>461</v>
      </c>
      <c r="B760" s="233" t="s">
        <v>26</v>
      </c>
      <c r="C760" s="234" t="s">
        <v>71</v>
      </c>
      <c r="D760" s="234" t="s">
        <v>71</v>
      </c>
      <c r="E760" s="234" t="s">
        <v>567</v>
      </c>
      <c r="F760" s="234" t="s">
        <v>58</v>
      </c>
      <c r="G760" s="235">
        <f>G761</f>
        <v>2340000</v>
      </c>
      <c r="H760" s="234" t="s">
        <v>1213</v>
      </c>
      <c r="I760" s="313" t="str">
        <f t="shared" si="78"/>
        <v>09Б0200000</v>
      </c>
      <c r="J760" s="30" t="str">
        <f t="shared" si="79"/>
        <v>607070709Б0200000000</v>
      </c>
    </row>
    <row r="761" spans="1:10" s="30" customFormat="1" ht="38.25">
      <c r="A761" s="232" t="s">
        <v>164</v>
      </c>
      <c r="B761" s="233" t="s">
        <v>26</v>
      </c>
      <c r="C761" s="234" t="s">
        <v>71</v>
      </c>
      <c r="D761" s="234" t="s">
        <v>71</v>
      </c>
      <c r="E761" s="234" t="s">
        <v>462</v>
      </c>
      <c r="F761" s="234" t="s">
        <v>58</v>
      </c>
      <c r="G761" s="235">
        <f>G762+G766+G765+G764</f>
        <v>2340000</v>
      </c>
      <c r="H761" s="234" t="s">
        <v>1214</v>
      </c>
      <c r="I761" s="313" t="str">
        <f t="shared" si="78"/>
        <v>09Б0220460</v>
      </c>
      <c r="J761" s="30" t="str">
        <f t="shared" si="79"/>
        <v>607070709Б0220460000</v>
      </c>
    </row>
    <row r="762" spans="1:10" s="30" customFormat="1" ht="25.5">
      <c r="A762" s="232" t="s">
        <v>108</v>
      </c>
      <c r="B762" s="233" t="s">
        <v>26</v>
      </c>
      <c r="C762" s="234" t="s">
        <v>71</v>
      </c>
      <c r="D762" s="234" t="s">
        <v>71</v>
      </c>
      <c r="E762" s="234" t="s">
        <v>462</v>
      </c>
      <c r="F762" s="234" t="s">
        <v>116</v>
      </c>
      <c r="G762" s="235">
        <f>G763</f>
        <v>549500</v>
      </c>
      <c r="H762" s="234" t="s">
        <v>1214</v>
      </c>
      <c r="I762" s="313" t="str">
        <f t="shared" si="78"/>
        <v>09Б0220460</v>
      </c>
      <c r="J762" s="30" t="str">
        <f t="shared" si="79"/>
        <v>607070709Б0220460240</v>
      </c>
    </row>
    <row r="763" spans="1:10" s="83" customFormat="1" ht="25.5">
      <c r="A763" s="236" t="s">
        <v>973</v>
      </c>
      <c r="B763" s="233" t="s">
        <v>26</v>
      </c>
      <c r="C763" s="234" t="s">
        <v>71</v>
      </c>
      <c r="D763" s="234" t="s">
        <v>71</v>
      </c>
      <c r="E763" s="234" t="s">
        <v>462</v>
      </c>
      <c r="F763" s="234" t="s">
        <v>1043</v>
      </c>
      <c r="G763" s="235">
        <f>VLOOKUP(J763,'исх АС БЮДЖЕТ'!$A$10:$H$568,6,0)</f>
        <v>549500</v>
      </c>
      <c r="H763" s="234" t="s">
        <v>1214</v>
      </c>
      <c r="I763" s="313" t="str">
        <f t="shared" si="78"/>
        <v>09Б0220460</v>
      </c>
      <c r="J763" s="30" t="str">
        <f t="shared" si="79"/>
        <v>607070709Б0220460244</v>
      </c>
    </row>
    <row r="764" spans="1:10" s="30" customFormat="1">
      <c r="A764" s="232" t="s">
        <v>89</v>
      </c>
      <c r="B764" s="233" t="s">
        <v>26</v>
      </c>
      <c r="C764" s="234" t="s">
        <v>71</v>
      </c>
      <c r="D764" s="234" t="s">
        <v>71</v>
      </c>
      <c r="E764" s="234" t="s">
        <v>462</v>
      </c>
      <c r="F764" s="234" t="s">
        <v>182</v>
      </c>
      <c r="G764" s="235">
        <f>VLOOKUP(J764,'исх АС БЮДЖЕТ'!$A$10:$H$568,6,0)</f>
        <v>600500</v>
      </c>
      <c r="H764" s="234" t="s">
        <v>1214</v>
      </c>
      <c r="I764" s="313" t="str">
        <f t="shared" si="78"/>
        <v>09Б0220460</v>
      </c>
      <c r="J764" s="30" t="str">
        <f t="shared" si="79"/>
        <v>607070709Б0220460340</v>
      </c>
    </row>
    <row r="765" spans="1:10" s="30" customFormat="1">
      <c r="A765" s="232" t="s">
        <v>90</v>
      </c>
      <c r="B765" s="233" t="s">
        <v>26</v>
      </c>
      <c r="C765" s="234" t="s">
        <v>71</v>
      </c>
      <c r="D765" s="234" t="s">
        <v>71</v>
      </c>
      <c r="E765" s="234" t="s">
        <v>462</v>
      </c>
      <c r="F765" s="234" t="s">
        <v>181</v>
      </c>
      <c r="G765" s="235">
        <f>VLOOKUP(J765,'исх АС БЮДЖЕТ'!$A$10:$H$568,6,0)</f>
        <v>60000</v>
      </c>
      <c r="H765" s="234" t="s">
        <v>1214</v>
      </c>
      <c r="I765" s="313" t="str">
        <f t="shared" si="78"/>
        <v>09Б0220460</v>
      </c>
      <c r="J765" s="30" t="str">
        <f t="shared" si="79"/>
        <v>607070709Б0220460350</v>
      </c>
    </row>
    <row r="766" spans="1:10" s="30" customFormat="1">
      <c r="A766" s="244" t="s">
        <v>92</v>
      </c>
      <c r="B766" s="233" t="s">
        <v>26</v>
      </c>
      <c r="C766" s="234" t="s">
        <v>71</v>
      </c>
      <c r="D766" s="234" t="s">
        <v>71</v>
      </c>
      <c r="E766" s="234" t="s">
        <v>462</v>
      </c>
      <c r="F766" s="234" t="s">
        <v>138</v>
      </c>
      <c r="G766" s="235">
        <f>G767</f>
        <v>1130000</v>
      </c>
      <c r="H766" s="234" t="s">
        <v>1214</v>
      </c>
      <c r="I766" s="313" t="str">
        <f t="shared" si="78"/>
        <v>09Б0220460</v>
      </c>
      <c r="J766" s="30" t="str">
        <f t="shared" si="79"/>
        <v>607070709Б0220460610</v>
      </c>
    </row>
    <row r="767" spans="1:10" s="83" customFormat="1" ht="38.25">
      <c r="A767" s="236" t="s">
        <v>1015</v>
      </c>
      <c r="B767" s="233" t="s">
        <v>26</v>
      </c>
      <c r="C767" s="234" t="s">
        <v>71</v>
      </c>
      <c r="D767" s="234" t="s">
        <v>71</v>
      </c>
      <c r="E767" s="234" t="s">
        <v>462</v>
      </c>
      <c r="F767" s="234" t="s">
        <v>67</v>
      </c>
      <c r="G767" s="235">
        <f>VLOOKUP(J767,'исх АС БЮДЖЕТ'!$A$10:$H$568,6,0)</f>
        <v>1130000</v>
      </c>
      <c r="H767" s="234" t="s">
        <v>1214</v>
      </c>
      <c r="I767" s="313" t="str">
        <f t="shared" si="78"/>
        <v>09Б0220460</v>
      </c>
      <c r="J767" s="30" t="str">
        <f t="shared" si="79"/>
        <v>607070709Б0220460611</v>
      </c>
    </row>
    <row r="768" spans="1:10" s="30" customFormat="1" ht="25.5">
      <c r="A768" s="236" t="s">
        <v>463</v>
      </c>
      <c r="B768" s="233" t="s">
        <v>26</v>
      </c>
      <c r="C768" s="234" t="s">
        <v>71</v>
      </c>
      <c r="D768" s="234" t="s">
        <v>71</v>
      </c>
      <c r="E768" s="234" t="s">
        <v>464</v>
      </c>
      <c r="F768" s="234" t="s">
        <v>58</v>
      </c>
      <c r="G768" s="235">
        <f t="shared" ref="G768:G769" si="84">G769</f>
        <v>180000</v>
      </c>
      <c r="H768" s="234" t="s">
        <v>1215</v>
      </c>
      <c r="I768" s="313" t="str">
        <f t="shared" si="78"/>
        <v>09Б0300000</v>
      </c>
      <c r="J768" s="30" t="str">
        <f t="shared" si="79"/>
        <v>607070709Б0300000000</v>
      </c>
    </row>
    <row r="769" spans="1:10" s="30" customFormat="1" ht="38.25">
      <c r="A769" s="232" t="s">
        <v>164</v>
      </c>
      <c r="B769" s="233" t="s">
        <v>26</v>
      </c>
      <c r="C769" s="234" t="s">
        <v>71</v>
      </c>
      <c r="D769" s="234" t="s">
        <v>71</v>
      </c>
      <c r="E769" s="234" t="s">
        <v>465</v>
      </c>
      <c r="F769" s="234" t="s">
        <v>58</v>
      </c>
      <c r="G769" s="235">
        <f t="shared" si="84"/>
        <v>180000</v>
      </c>
      <c r="H769" s="234" t="s">
        <v>1216</v>
      </c>
      <c r="I769" s="313" t="str">
        <f t="shared" si="78"/>
        <v>09Б0320460</v>
      </c>
      <c r="J769" s="30" t="str">
        <f t="shared" si="79"/>
        <v>607070709Б0320460000</v>
      </c>
    </row>
    <row r="770" spans="1:10" s="30" customFormat="1">
      <c r="A770" s="244" t="s">
        <v>92</v>
      </c>
      <c r="B770" s="233" t="s">
        <v>26</v>
      </c>
      <c r="C770" s="234" t="s">
        <v>71</v>
      </c>
      <c r="D770" s="234" t="s">
        <v>71</v>
      </c>
      <c r="E770" s="234" t="s">
        <v>465</v>
      </c>
      <c r="F770" s="234" t="s">
        <v>138</v>
      </c>
      <c r="G770" s="235">
        <f>G771</f>
        <v>180000</v>
      </c>
      <c r="H770" s="234" t="s">
        <v>1216</v>
      </c>
      <c r="I770" s="313" t="str">
        <f t="shared" si="78"/>
        <v>09Б0320460</v>
      </c>
      <c r="J770" s="30" t="str">
        <f t="shared" si="79"/>
        <v>607070709Б0320460610</v>
      </c>
    </row>
    <row r="771" spans="1:10" s="83" customFormat="1" ht="38.25">
      <c r="A771" s="236" t="s">
        <v>1015</v>
      </c>
      <c r="B771" s="233" t="s">
        <v>26</v>
      </c>
      <c r="C771" s="234" t="s">
        <v>71</v>
      </c>
      <c r="D771" s="234" t="s">
        <v>71</v>
      </c>
      <c r="E771" s="234" t="s">
        <v>465</v>
      </c>
      <c r="F771" s="234" t="s">
        <v>67</v>
      </c>
      <c r="G771" s="235">
        <f>VLOOKUP(J771,'исх АС БЮДЖЕТ'!$A$10:$H$568,6,0)</f>
        <v>180000</v>
      </c>
      <c r="H771" s="234" t="s">
        <v>1216</v>
      </c>
      <c r="I771" s="313" t="str">
        <f t="shared" si="78"/>
        <v>09Б0320460</v>
      </c>
      <c r="J771" s="30" t="str">
        <f t="shared" si="79"/>
        <v>607070709Б0320460611</v>
      </c>
    </row>
    <row r="772" spans="1:10" s="30" customFormat="1" ht="25.5">
      <c r="A772" s="236" t="s">
        <v>466</v>
      </c>
      <c r="B772" s="233" t="s">
        <v>26</v>
      </c>
      <c r="C772" s="234" t="s">
        <v>71</v>
      </c>
      <c r="D772" s="234" t="s">
        <v>71</v>
      </c>
      <c r="E772" s="234" t="s">
        <v>467</v>
      </c>
      <c r="F772" s="234" t="s">
        <v>58</v>
      </c>
      <c r="G772" s="235">
        <f t="shared" ref="G772:G773" si="85">G773</f>
        <v>310000</v>
      </c>
      <c r="H772" s="234" t="s">
        <v>1217</v>
      </c>
      <c r="I772" s="313" t="str">
        <f t="shared" si="78"/>
        <v>09Б0400000</v>
      </c>
      <c r="J772" s="30" t="str">
        <f t="shared" si="79"/>
        <v>607070709Б0400000000</v>
      </c>
    </row>
    <row r="773" spans="1:10" s="30" customFormat="1" ht="38.25">
      <c r="A773" s="232" t="s">
        <v>164</v>
      </c>
      <c r="B773" s="233" t="s">
        <v>26</v>
      </c>
      <c r="C773" s="234" t="s">
        <v>71</v>
      </c>
      <c r="D773" s="234" t="s">
        <v>71</v>
      </c>
      <c r="E773" s="234" t="s">
        <v>468</v>
      </c>
      <c r="F773" s="234" t="s">
        <v>58</v>
      </c>
      <c r="G773" s="235">
        <f t="shared" si="85"/>
        <v>310000</v>
      </c>
      <c r="H773" s="234" t="s">
        <v>1218</v>
      </c>
      <c r="I773" s="313" t="str">
        <f t="shared" si="78"/>
        <v>09Б0420460</v>
      </c>
      <c r="J773" s="30" t="str">
        <f t="shared" si="79"/>
        <v>607070709Б0420460000</v>
      </c>
    </row>
    <row r="774" spans="1:10" s="30" customFormat="1">
      <c r="A774" s="244" t="s">
        <v>92</v>
      </c>
      <c r="B774" s="233" t="s">
        <v>26</v>
      </c>
      <c r="C774" s="234" t="s">
        <v>71</v>
      </c>
      <c r="D774" s="234" t="s">
        <v>71</v>
      </c>
      <c r="E774" s="234" t="s">
        <v>468</v>
      </c>
      <c r="F774" s="234" t="s">
        <v>138</v>
      </c>
      <c r="G774" s="235">
        <f>G775</f>
        <v>310000</v>
      </c>
      <c r="H774" s="234" t="s">
        <v>1218</v>
      </c>
      <c r="I774" s="313" t="str">
        <f t="shared" si="78"/>
        <v>09Б0420460</v>
      </c>
      <c r="J774" s="30" t="str">
        <f t="shared" si="79"/>
        <v>607070709Б0420460610</v>
      </c>
    </row>
    <row r="775" spans="1:10" s="83" customFormat="1" ht="38.25">
      <c r="A775" s="236" t="s">
        <v>1015</v>
      </c>
      <c r="B775" s="233" t="s">
        <v>26</v>
      </c>
      <c r="C775" s="234" t="s">
        <v>71</v>
      </c>
      <c r="D775" s="234" t="s">
        <v>71</v>
      </c>
      <c r="E775" s="234" t="s">
        <v>468</v>
      </c>
      <c r="F775" s="234" t="s">
        <v>67</v>
      </c>
      <c r="G775" s="235">
        <f>VLOOKUP(J775,'исх АС БЮДЖЕТ'!$A$10:$H$568,6,0)</f>
        <v>310000</v>
      </c>
      <c r="H775" s="234" t="s">
        <v>1218</v>
      </c>
      <c r="I775" s="313" t="str">
        <f t="shared" si="78"/>
        <v>09Б0420460</v>
      </c>
      <c r="J775" s="30" t="str">
        <f t="shared" si="79"/>
        <v>607070709Б0420460611</v>
      </c>
    </row>
    <row r="776" spans="1:10" s="30" customFormat="1" ht="25.5">
      <c r="A776" s="236" t="s">
        <v>469</v>
      </c>
      <c r="B776" s="233" t="s">
        <v>26</v>
      </c>
      <c r="C776" s="234" t="s">
        <v>71</v>
      </c>
      <c r="D776" s="234" t="s">
        <v>71</v>
      </c>
      <c r="E776" s="234" t="s">
        <v>470</v>
      </c>
      <c r="F776" s="234" t="s">
        <v>58</v>
      </c>
      <c r="G776" s="235">
        <f t="shared" ref="G776:G777" si="86">G777</f>
        <v>429350</v>
      </c>
      <c r="H776" s="234" t="s">
        <v>1219</v>
      </c>
      <c r="I776" s="313" t="str">
        <f t="shared" si="78"/>
        <v>09Б0500000</v>
      </c>
      <c r="J776" s="30" t="str">
        <f t="shared" si="79"/>
        <v>607070709Б0500000000</v>
      </c>
    </row>
    <row r="777" spans="1:10" s="30" customFormat="1" ht="38.25">
      <c r="A777" s="232" t="s">
        <v>164</v>
      </c>
      <c r="B777" s="233" t="s">
        <v>26</v>
      </c>
      <c r="C777" s="234" t="s">
        <v>71</v>
      </c>
      <c r="D777" s="234" t="s">
        <v>71</v>
      </c>
      <c r="E777" s="234" t="s">
        <v>471</v>
      </c>
      <c r="F777" s="234" t="s">
        <v>58</v>
      </c>
      <c r="G777" s="235">
        <f t="shared" si="86"/>
        <v>429350</v>
      </c>
      <c r="H777" s="234" t="s">
        <v>1220</v>
      </c>
      <c r="I777" s="313" t="str">
        <f t="shared" si="78"/>
        <v>09Б0520460</v>
      </c>
      <c r="J777" s="30" t="str">
        <f t="shared" si="79"/>
        <v>607070709Б0520460000</v>
      </c>
    </row>
    <row r="778" spans="1:10" s="30" customFormat="1">
      <c r="A778" s="244" t="s">
        <v>92</v>
      </c>
      <c r="B778" s="233" t="s">
        <v>26</v>
      </c>
      <c r="C778" s="234" t="s">
        <v>71</v>
      </c>
      <c r="D778" s="234" t="s">
        <v>71</v>
      </c>
      <c r="E778" s="234" t="s">
        <v>471</v>
      </c>
      <c r="F778" s="234" t="s">
        <v>138</v>
      </c>
      <c r="G778" s="235">
        <f>G779</f>
        <v>429350</v>
      </c>
      <c r="H778" s="234" t="s">
        <v>1220</v>
      </c>
      <c r="I778" s="313" t="str">
        <f t="shared" si="78"/>
        <v>09Б0520460</v>
      </c>
      <c r="J778" s="30" t="str">
        <f t="shared" si="79"/>
        <v>607070709Б0520460610</v>
      </c>
    </row>
    <row r="779" spans="1:10" s="83" customFormat="1" ht="38.25">
      <c r="A779" s="236" t="s">
        <v>1015</v>
      </c>
      <c r="B779" s="233" t="s">
        <v>26</v>
      </c>
      <c r="C779" s="234" t="s">
        <v>71</v>
      </c>
      <c r="D779" s="234" t="s">
        <v>71</v>
      </c>
      <c r="E779" s="234" t="s">
        <v>471</v>
      </c>
      <c r="F779" s="234" t="s">
        <v>67</v>
      </c>
      <c r="G779" s="235">
        <f>VLOOKUP(J779,'исх АС БЮДЖЕТ'!$A$10:$H$568,6,0)</f>
        <v>429350</v>
      </c>
      <c r="H779" s="234" t="s">
        <v>1220</v>
      </c>
      <c r="I779" s="313" t="str">
        <f t="shared" si="78"/>
        <v>09Б0520460</v>
      </c>
      <c r="J779" s="30" t="str">
        <f t="shared" si="79"/>
        <v>607070709Б0520460611</v>
      </c>
    </row>
    <row r="780" spans="1:10" s="30" customFormat="1" ht="25.5">
      <c r="A780" s="236" t="s">
        <v>472</v>
      </c>
      <c r="B780" s="233" t="s">
        <v>26</v>
      </c>
      <c r="C780" s="234" t="s">
        <v>71</v>
      </c>
      <c r="D780" s="234" t="s">
        <v>71</v>
      </c>
      <c r="E780" s="234" t="s">
        <v>473</v>
      </c>
      <c r="F780" s="234" t="s">
        <v>58</v>
      </c>
      <c r="G780" s="235">
        <f t="shared" ref="G780:G781" si="87">G781</f>
        <v>2755660</v>
      </c>
      <c r="H780" s="234" t="s">
        <v>1221</v>
      </c>
      <c r="I780" s="313" t="str">
        <f t="shared" si="78"/>
        <v>09Б0600000</v>
      </c>
      <c r="J780" s="30" t="str">
        <f t="shared" si="79"/>
        <v>607070709Б0600000000</v>
      </c>
    </row>
    <row r="781" spans="1:10" s="30" customFormat="1">
      <c r="A781" s="236" t="s">
        <v>247</v>
      </c>
      <c r="B781" s="233" t="s">
        <v>26</v>
      </c>
      <c r="C781" s="234" t="s">
        <v>71</v>
      </c>
      <c r="D781" s="234" t="s">
        <v>71</v>
      </c>
      <c r="E781" s="234" t="s">
        <v>474</v>
      </c>
      <c r="F781" s="234" t="s">
        <v>58</v>
      </c>
      <c r="G781" s="235">
        <f t="shared" si="87"/>
        <v>2755660</v>
      </c>
      <c r="H781" s="234" t="s">
        <v>1222</v>
      </c>
      <c r="I781" s="313" t="str">
        <f t="shared" si="78"/>
        <v>09Б0611010</v>
      </c>
      <c r="J781" s="30" t="str">
        <f t="shared" si="79"/>
        <v>607070709Б0611010000</v>
      </c>
    </row>
    <row r="782" spans="1:10" s="30" customFormat="1">
      <c r="A782" s="244" t="s">
        <v>92</v>
      </c>
      <c r="B782" s="233" t="s">
        <v>26</v>
      </c>
      <c r="C782" s="234" t="s">
        <v>71</v>
      </c>
      <c r="D782" s="234" t="s">
        <v>71</v>
      </c>
      <c r="E782" s="234" t="s">
        <v>474</v>
      </c>
      <c r="F782" s="234" t="s">
        <v>138</v>
      </c>
      <c r="G782" s="235">
        <f>G783</f>
        <v>2755660</v>
      </c>
      <c r="H782" s="234" t="s">
        <v>1222</v>
      </c>
      <c r="I782" s="313" t="str">
        <f t="shared" si="78"/>
        <v>09Б0611010</v>
      </c>
      <c r="J782" s="30" t="str">
        <f t="shared" si="79"/>
        <v>607070709Б0611010610</v>
      </c>
    </row>
    <row r="783" spans="1:10" s="83" customFormat="1" ht="38.25">
      <c r="A783" s="236" t="s">
        <v>1015</v>
      </c>
      <c r="B783" s="233" t="s">
        <v>26</v>
      </c>
      <c r="C783" s="234" t="s">
        <v>71</v>
      </c>
      <c r="D783" s="234" t="s">
        <v>71</v>
      </c>
      <c r="E783" s="234" t="s">
        <v>474</v>
      </c>
      <c r="F783" s="234" t="s">
        <v>67</v>
      </c>
      <c r="G783" s="235">
        <f>VLOOKUP(J783,'исх АС БЮДЖЕТ'!$A$10:$H$568,6,0)</f>
        <v>2755660</v>
      </c>
      <c r="H783" s="234" t="s">
        <v>1222</v>
      </c>
      <c r="I783" s="313" t="str">
        <f t="shared" si="78"/>
        <v>09Б0611010</v>
      </c>
      <c r="J783" s="30" t="str">
        <f t="shared" si="79"/>
        <v>607070709Б0611010611</v>
      </c>
    </row>
    <row r="784" spans="1:10" s="3" customFormat="1">
      <c r="A784" s="224" t="s">
        <v>83</v>
      </c>
      <c r="B784" s="225" t="s">
        <v>26</v>
      </c>
      <c r="C784" s="226" t="s">
        <v>50</v>
      </c>
      <c r="D784" s="226" t="s">
        <v>51</v>
      </c>
      <c r="E784" s="226" t="s">
        <v>196</v>
      </c>
      <c r="F784" s="226" t="s">
        <v>58</v>
      </c>
      <c r="G784" s="227">
        <f>G785+G858</f>
        <v>319163195.12</v>
      </c>
      <c r="H784" s="226">
        <v>0</v>
      </c>
      <c r="I784" s="313" t="str">
        <f t="shared" si="78"/>
        <v>0000000000</v>
      </c>
      <c r="J784" s="30" t="str">
        <f t="shared" si="79"/>
        <v>60708000000000000000</v>
      </c>
    </row>
    <row r="785" spans="1:10" s="3" customFormat="1">
      <c r="A785" s="228" t="s">
        <v>27</v>
      </c>
      <c r="B785" s="229" t="s">
        <v>26</v>
      </c>
      <c r="C785" s="230" t="s">
        <v>50</v>
      </c>
      <c r="D785" s="230" t="s">
        <v>65</v>
      </c>
      <c r="E785" s="230" t="s">
        <v>196</v>
      </c>
      <c r="F785" s="230" t="s">
        <v>58</v>
      </c>
      <c r="G785" s="231">
        <f>G792+G846+G840+G786+G852</f>
        <v>305560755.12</v>
      </c>
      <c r="H785" s="230">
        <v>0</v>
      </c>
      <c r="I785" s="313" t="str">
        <f t="shared" si="78"/>
        <v>0000000000</v>
      </c>
      <c r="J785" s="30" t="str">
        <f t="shared" si="79"/>
        <v>60708010000000000000</v>
      </c>
    </row>
    <row r="786" spans="1:10" s="3" customFormat="1">
      <c r="A786" s="248" t="s">
        <v>727</v>
      </c>
      <c r="B786" s="233" t="s">
        <v>26</v>
      </c>
      <c r="C786" s="234" t="s">
        <v>50</v>
      </c>
      <c r="D786" s="234" t="s">
        <v>65</v>
      </c>
      <c r="E786" s="234" t="s">
        <v>327</v>
      </c>
      <c r="F786" s="234" t="s">
        <v>58</v>
      </c>
      <c r="G786" s="235">
        <f>G787</f>
        <v>448920</v>
      </c>
      <c r="H786" s="234">
        <v>300000000</v>
      </c>
      <c r="I786" s="313" t="str">
        <f t="shared" si="78"/>
        <v>0300000000</v>
      </c>
      <c r="J786" s="30" t="str">
        <f t="shared" si="79"/>
        <v>60708010300000000000</v>
      </c>
    </row>
    <row r="787" spans="1:10" s="3" customFormat="1">
      <c r="A787" s="248" t="s">
        <v>145</v>
      </c>
      <c r="B787" s="233" t="s">
        <v>26</v>
      </c>
      <c r="C787" s="234" t="s">
        <v>50</v>
      </c>
      <c r="D787" s="234" t="s">
        <v>65</v>
      </c>
      <c r="E787" s="234" t="s">
        <v>437</v>
      </c>
      <c r="F787" s="234" t="s">
        <v>58</v>
      </c>
      <c r="G787" s="235">
        <f>G788</f>
        <v>448920</v>
      </c>
      <c r="H787" s="234">
        <v>330000000</v>
      </c>
      <c r="I787" s="313" t="str">
        <f t="shared" si="78"/>
        <v>0330000000</v>
      </c>
      <c r="J787" s="30" t="str">
        <f t="shared" si="79"/>
        <v>60708010330000000000</v>
      </c>
    </row>
    <row r="788" spans="1:10" s="3" customFormat="1" ht="25.5">
      <c r="A788" s="248" t="s">
        <v>513</v>
      </c>
      <c r="B788" s="233" t="s">
        <v>26</v>
      </c>
      <c r="C788" s="234" t="s">
        <v>50</v>
      </c>
      <c r="D788" s="234" t="s">
        <v>65</v>
      </c>
      <c r="E788" s="234" t="s">
        <v>438</v>
      </c>
      <c r="F788" s="234" t="s">
        <v>58</v>
      </c>
      <c r="G788" s="235">
        <f>G789</f>
        <v>448920</v>
      </c>
      <c r="H788" s="234">
        <v>330100000</v>
      </c>
      <c r="I788" s="313" t="str">
        <f t="shared" ref="I788:I855" si="88">TEXT(H788,"0000000000")</f>
        <v>0330100000</v>
      </c>
      <c r="J788" s="30" t="str">
        <f t="shared" ref="J788:J855" si="89">CONCATENATE(B788,C788,D788,I788,F788)</f>
        <v>60708010330100000000</v>
      </c>
    </row>
    <row r="789" spans="1:10" s="3" customFormat="1" ht="25.5">
      <c r="A789" s="248" t="s">
        <v>706</v>
      </c>
      <c r="B789" s="233" t="s">
        <v>26</v>
      </c>
      <c r="C789" s="234" t="s">
        <v>50</v>
      </c>
      <c r="D789" s="234" t="s">
        <v>65</v>
      </c>
      <c r="E789" s="234" t="s">
        <v>766</v>
      </c>
      <c r="F789" s="234" t="s">
        <v>58</v>
      </c>
      <c r="G789" s="235">
        <f>G790</f>
        <v>448920</v>
      </c>
      <c r="H789" s="234" t="s">
        <v>1223</v>
      </c>
      <c r="I789" s="313" t="str">
        <f t="shared" si="88"/>
        <v>03301L0270</v>
      </c>
      <c r="J789" s="30" t="str">
        <f t="shared" si="89"/>
        <v>607080103301L0270000</v>
      </c>
    </row>
    <row r="790" spans="1:10" s="3" customFormat="1">
      <c r="A790" s="244" t="s">
        <v>92</v>
      </c>
      <c r="B790" s="233" t="s">
        <v>26</v>
      </c>
      <c r="C790" s="234" t="s">
        <v>50</v>
      </c>
      <c r="D790" s="234" t="s">
        <v>65</v>
      </c>
      <c r="E790" s="234" t="s">
        <v>766</v>
      </c>
      <c r="F790" s="234" t="s">
        <v>138</v>
      </c>
      <c r="G790" s="235">
        <f>G791</f>
        <v>448920</v>
      </c>
      <c r="H790" s="234" t="s">
        <v>1223</v>
      </c>
      <c r="I790" s="313" t="str">
        <f t="shared" si="88"/>
        <v>03301L0270</v>
      </c>
      <c r="J790" s="30" t="str">
        <f t="shared" si="89"/>
        <v>607080103301L0270610</v>
      </c>
    </row>
    <row r="791" spans="1:10" s="3" customFormat="1">
      <c r="A791" s="232" t="s">
        <v>1016</v>
      </c>
      <c r="B791" s="233" t="s">
        <v>26</v>
      </c>
      <c r="C791" s="234" t="s">
        <v>50</v>
      </c>
      <c r="D791" s="234" t="s">
        <v>65</v>
      </c>
      <c r="E791" s="234" t="s">
        <v>766</v>
      </c>
      <c r="F791" s="234" t="s">
        <v>1046</v>
      </c>
      <c r="G791" s="235">
        <f>VLOOKUP(J791,'исх АС БЮДЖЕТ'!$A$10:$H$568,6,0)</f>
        <v>448920</v>
      </c>
      <c r="H791" s="234" t="s">
        <v>1223</v>
      </c>
      <c r="I791" s="313" t="str">
        <f t="shared" si="88"/>
        <v>03301L0270</v>
      </c>
      <c r="J791" s="30" t="str">
        <f t="shared" si="89"/>
        <v>607080103301L0270612</v>
      </c>
    </row>
    <row r="792" spans="1:10" s="3" customFormat="1">
      <c r="A792" s="232" t="s">
        <v>739</v>
      </c>
      <c r="B792" s="233" t="s">
        <v>26</v>
      </c>
      <c r="C792" s="234" t="s">
        <v>50</v>
      </c>
      <c r="D792" s="234" t="s">
        <v>65</v>
      </c>
      <c r="E792" s="234" t="s">
        <v>277</v>
      </c>
      <c r="F792" s="234" t="s">
        <v>58</v>
      </c>
      <c r="G792" s="235">
        <f>G793+G800</f>
        <v>304190140</v>
      </c>
      <c r="H792" s="234">
        <v>700000000</v>
      </c>
      <c r="I792" s="313" t="str">
        <f t="shared" si="88"/>
        <v>0700000000</v>
      </c>
      <c r="J792" s="30" t="str">
        <f t="shared" si="89"/>
        <v>60708010700000000000</v>
      </c>
    </row>
    <row r="793" spans="1:10" s="3" customFormat="1" ht="38.25">
      <c r="A793" s="232" t="s">
        <v>191</v>
      </c>
      <c r="B793" s="233" t="s">
        <v>26</v>
      </c>
      <c r="C793" s="234" t="s">
        <v>50</v>
      </c>
      <c r="D793" s="234" t="s">
        <v>65</v>
      </c>
      <c r="E793" s="234" t="s">
        <v>278</v>
      </c>
      <c r="F793" s="234" t="s">
        <v>58</v>
      </c>
      <c r="G793" s="235">
        <f t="shared" ref="G793:G794" si="90">G794</f>
        <v>5593500</v>
      </c>
      <c r="H793" s="234">
        <v>710000000</v>
      </c>
      <c r="I793" s="313" t="str">
        <f t="shared" si="88"/>
        <v>0710000000</v>
      </c>
      <c r="J793" s="30" t="str">
        <f t="shared" si="89"/>
        <v>60708010710000000000</v>
      </c>
    </row>
    <row r="794" spans="1:10" s="3" customFormat="1" ht="51">
      <c r="A794" s="232" t="s">
        <v>605</v>
      </c>
      <c r="B794" s="233" t="s">
        <v>26</v>
      </c>
      <c r="C794" s="234" t="s">
        <v>50</v>
      </c>
      <c r="D794" s="234" t="s">
        <v>65</v>
      </c>
      <c r="E794" s="234" t="s">
        <v>279</v>
      </c>
      <c r="F794" s="234" t="s">
        <v>58</v>
      </c>
      <c r="G794" s="235">
        <f t="shared" si="90"/>
        <v>5593500</v>
      </c>
      <c r="H794" s="234">
        <v>710100000</v>
      </c>
      <c r="I794" s="313" t="str">
        <f t="shared" si="88"/>
        <v>0710100000</v>
      </c>
      <c r="J794" s="30" t="str">
        <f t="shared" si="89"/>
        <v>60708010710100000000</v>
      </c>
    </row>
    <row r="795" spans="1:10" s="3" customFormat="1">
      <c r="A795" s="232" t="s">
        <v>161</v>
      </c>
      <c r="B795" s="233" t="s">
        <v>26</v>
      </c>
      <c r="C795" s="234" t="s">
        <v>50</v>
      </c>
      <c r="D795" s="234" t="s">
        <v>65</v>
      </c>
      <c r="E795" s="234" t="s">
        <v>320</v>
      </c>
      <c r="F795" s="234" t="s">
        <v>58</v>
      </c>
      <c r="G795" s="235">
        <f>G796+G798</f>
        <v>5593500</v>
      </c>
      <c r="H795" s="234">
        <v>710120060</v>
      </c>
      <c r="I795" s="313" t="str">
        <f t="shared" si="88"/>
        <v>0710120060</v>
      </c>
      <c r="J795" s="30" t="str">
        <f t="shared" si="89"/>
        <v>60708010710120060000</v>
      </c>
    </row>
    <row r="796" spans="1:10" s="3" customFormat="1">
      <c r="A796" s="244" t="s">
        <v>92</v>
      </c>
      <c r="B796" s="233" t="s">
        <v>26</v>
      </c>
      <c r="C796" s="234" t="s">
        <v>50</v>
      </c>
      <c r="D796" s="234" t="s">
        <v>65</v>
      </c>
      <c r="E796" s="234" t="s">
        <v>320</v>
      </c>
      <c r="F796" s="234" t="s">
        <v>138</v>
      </c>
      <c r="G796" s="235">
        <f>G797</f>
        <v>3642500</v>
      </c>
      <c r="H796" s="234">
        <v>710120060</v>
      </c>
      <c r="I796" s="313" t="str">
        <f t="shared" si="88"/>
        <v>0710120060</v>
      </c>
      <c r="J796" s="30" t="str">
        <f t="shared" si="89"/>
        <v>60708010710120060610</v>
      </c>
    </row>
    <row r="797" spans="1:10" s="4" customFormat="1" ht="38.25">
      <c r="A797" s="236" t="s">
        <v>1015</v>
      </c>
      <c r="B797" s="233" t="s">
        <v>26</v>
      </c>
      <c r="C797" s="234" t="s">
        <v>50</v>
      </c>
      <c r="D797" s="234" t="s">
        <v>65</v>
      </c>
      <c r="E797" s="234" t="s">
        <v>320</v>
      </c>
      <c r="F797" s="234" t="s">
        <v>67</v>
      </c>
      <c r="G797" s="235">
        <f>VLOOKUP(J797,'исх АС БЮДЖЕТ'!$A$10:$H$568,6,0)</f>
        <v>3642500</v>
      </c>
      <c r="H797" s="234">
        <v>710120060</v>
      </c>
      <c r="I797" s="313" t="str">
        <f t="shared" si="88"/>
        <v>0710120060</v>
      </c>
      <c r="J797" s="30" t="str">
        <f t="shared" si="89"/>
        <v>60708010710120060611</v>
      </c>
    </row>
    <row r="798" spans="1:10" s="3" customFormat="1">
      <c r="A798" s="244" t="s">
        <v>93</v>
      </c>
      <c r="B798" s="233" t="s">
        <v>26</v>
      </c>
      <c r="C798" s="234" t="s">
        <v>50</v>
      </c>
      <c r="D798" s="234" t="s">
        <v>65</v>
      </c>
      <c r="E798" s="234" t="s">
        <v>320</v>
      </c>
      <c r="F798" s="234" t="s">
        <v>20</v>
      </c>
      <c r="G798" s="235">
        <f>G799</f>
        <v>1951000</v>
      </c>
      <c r="H798" s="234">
        <v>710120060</v>
      </c>
      <c r="I798" s="313" t="str">
        <f t="shared" si="88"/>
        <v>0710120060</v>
      </c>
      <c r="J798" s="30" t="str">
        <f t="shared" si="89"/>
        <v>60708010710120060620</v>
      </c>
    </row>
    <row r="799" spans="1:10" s="4" customFormat="1" ht="38.25">
      <c r="A799" s="236" t="s">
        <v>1018</v>
      </c>
      <c r="B799" s="233" t="s">
        <v>26</v>
      </c>
      <c r="C799" s="234" t="s">
        <v>50</v>
      </c>
      <c r="D799" s="234" t="s">
        <v>65</v>
      </c>
      <c r="E799" s="234" t="s">
        <v>320</v>
      </c>
      <c r="F799" s="234" t="s">
        <v>16</v>
      </c>
      <c r="G799" s="235">
        <f>VLOOKUP(J799,'исх АС БЮДЖЕТ'!$A$10:$H$568,6,0)</f>
        <v>1951000</v>
      </c>
      <c r="H799" s="234">
        <v>710120060</v>
      </c>
      <c r="I799" s="313" t="str">
        <f t="shared" si="88"/>
        <v>0710120060</v>
      </c>
      <c r="J799" s="30" t="str">
        <f t="shared" si="89"/>
        <v>60708010710120060621</v>
      </c>
    </row>
    <row r="800" spans="1:10" s="3" customFormat="1">
      <c r="A800" s="232" t="s">
        <v>140</v>
      </c>
      <c r="B800" s="233" t="s">
        <v>26</v>
      </c>
      <c r="C800" s="234" t="s">
        <v>50</v>
      </c>
      <c r="D800" s="234" t="s">
        <v>65</v>
      </c>
      <c r="E800" s="234" t="s">
        <v>372</v>
      </c>
      <c r="F800" s="234" t="s">
        <v>58</v>
      </c>
      <c r="G800" s="235">
        <f>G801+G807+G811+G818+G824+G828+G832+G836</f>
        <v>298596640</v>
      </c>
      <c r="H800" s="234">
        <v>720000000</v>
      </c>
      <c r="I800" s="313" t="str">
        <f t="shared" si="88"/>
        <v>0720000000</v>
      </c>
      <c r="J800" s="30" t="str">
        <f t="shared" si="89"/>
        <v>60708010720000000000</v>
      </c>
    </row>
    <row r="801" spans="1:10" s="3" customFormat="1" ht="25.5">
      <c r="A801" s="232" t="s">
        <v>377</v>
      </c>
      <c r="B801" s="233" t="s">
        <v>26</v>
      </c>
      <c r="C801" s="234" t="s">
        <v>50</v>
      </c>
      <c r="D801" s="234" t="s">
        <v>65</v>
      </c>
      <c r="E801" s="234" t="s">
        <v>378</v>
      </c>
      <c r="F801" s="234" t="s">
        <v>58</v>
      </c>
      <c r="G801" s="235">
        <f>G802</f>
        <v>49690560</v>
      </c>
      <c r="H801" s="234">
        <v>720200000</v>
      </c>
      <c r="I801" s="313" t="str">
        <f t="shared" si="88"/>
        <v>0720200000</v>
      </c>
      <c r="J801" s="30" t="str">
        <f t="shared" si="89"/>
        <v>60708010720200000000</v>
      </c>
    </row>
    <row r="802" spans="1:10" s="3" customFormat="1">
      <c r="A802" s="232" t="s">
        <v>247</v>
      </c>
      <c r="B802" s="233" t="s">
        <v>26</v>
      </c>
      <c r="C802" s="234" t="s">
        <v>50</v>
      </c>
      <c r="D802" s="234" t="s">
        <v>65</v>
      </c>
      <c r="E802" s="234" t="s">
        <v>379</v>
      </c>
      <c r="F802" s="234" t="s">
        <v>58</v>
      </c>
      <c r="G802" s="235">
        <f>G803+G805</f>
        <v>49690560</v>
      </c>
      <c r="H802" s="234">
        <v>720211010</v>
      </c>
      <c r="I802" s="313" t="str">
        <f t="shared" si="88"/>
        <v>0720211010</v>
      </c>
      <c r="J802" s="30" t="str">
        <f t="shared" si="89"/>
        <v>60708010720211010000</v>
      </c>
    </row>
    <row r="803" spans="1:10" s="3" customFormat="1">
      <c r="A803" s="244" t="s">
        <v>92</v>
      </c>
      <c r="B803" s="233" t="s">
        <v>26</v>
      </c>
      <c r="C803" s="234" t="s">
        <v>50</v>
      </c>
      <c r="D803" s="234" t="s">
        <v>65</v>
      </c>
      <c r="E803" s="234" t="s">
        <v>379</v>
      </c>
      <c r="F803" s="234" t="s">
        <v>138</v>
      </c>
      <c r="G803" s="235">
        <f>G804</f>
        <v>32804000</v>
      </c>
      <c r="H803" s="234">
        <v>720211010</v>
      </c>
      <c r="I803" s="313" t="str">
        <f t="shared" si="88"/>
        <v>0720211010</v>
      </c>
      <c r="J803" s="30" t="str">
        <f t="shared" si="89"/>
        <v>60708010720211010610</v>
      </c>
    </row>
    <row r="804" spans="1:10" s="4" customFormat="1" ht="38.25">
      <c r="A804" s="236" t="s">
        <v>1015</v>
      </c>
      <c r="B804" s="233" t="s">
        <v>26</v>
      </c>
      <c r="C804" s="234" t="s">
        <v>50</v>
      </c>
      <c r="D804" s="234" t="s">
        <v>65</v>
      </c>
      <c r="E804" s="234" t="s">
        <v>379</v>
      </c>
      <c r="F804" s="234" t="s">
        <v>67</v>
      </c>
      <c r="G804" s="235">
        <f>VLOOKUP(J804,'исх АС БЮДЖЕТ'!$A$10:$H$568,6,0)</f>
        <v>32804000</v>
      </c>
      <c r="H804" s="234">
        <v>720211010</v>
      </c>
      <c r="I804" s="313" t="str">
        <f t="shared" si="88"/>
        <v>0720211010</v>
      </c>
      <c r="J804" s="30" t="str">
        <f t="shared" si="89"/>
        <v>60708010720211010611</v>
      </c>
    </row>
    <row r="805" spans="1:10" s="3" customFormat="1">
      <c r="A805" s="244" t="s">
        <v>93</v>
      </c>
      <c r="B805" s="233" t="s">
        <v>26</v>
      </c>
      <c r="C805" s="234" t="s">
        <v>50</v>
      </c>
      <c r="D805" s="234" t="s">
        <v>65</v>
      </c>
      <c r="E805" s="234" t="s">
        <v>379</v>
      </c>
      <c r="F805" s="234" t="s">
        <v>20</v>
      </c>
      <c r="G805" s="235">
        <f>G806</f>
        <v>16886560</v>
      </c>
      <c r="H805" s="234">
        <v>720211010</v>
      </c>
      <c r="I805" s="313" t="str">
        <f t="shared" si="88"/>
        <v>0720211010</v>
      </c>
      <c r="J805" s="30" t="str">
        <f t="shared" si="89"/>
        <v>60708010720211010620</v>
      </c>
    </row>
    <row r="806" spans="1:10" s="4" customFormat="1" ht="38.25">
      <c r="A806" s="236" t="s">
        <v>1018</v>
      </c>
      <c r="B806" s="233" t="s">
        <v>26</v>
      </c>
      <c r="C806" s="234" t="s">
        <v>50</v>
      </c>
      <c r="D806" s="234" t="s">
        <v>65</v>
      </c>
      <c r="E806" s="234" t="s">
        <v>379</v>
      </c>
      <c r="F806" s="234" t="s">
        <v>16</v>
      </c>
      <c r="G806" s="235">
        <f>VLOOKUP(J806,'исх АС БЮДЖЕТ'!$A$10:$H$568,6,0)</f>
        <v>16886560</v>
      </c>
      <c r="H806" s="234">
        <v>720211010</v>
      </c>
      <c r="I806" s="313" t="str">
        <f t="shared" si="88"/>
        <v>0720211010</v>
      </c>
      <c r="J806" s="30" t="str">
        <f t="shared" si="89"/>
        <v>60708010720211010621</v>
      </c>
    </row>
    <row r="807" spans="1:10" s="3" customFormat="1" ht="25.5">
      <c r="A807" s="232" t="s">
        <v>380</v>
      </c>
      <c r="B807" s="233" t="s">
        <v>26</v>
      </c>
      <c r="C807" s="234" t="s">
        <v>50</v>
      </c>
      <c r="D807" s="234" t="s">
        <v>65</v>
      </c>
      <c r="E807" s="234" t="s">
        <v>381</v>
      </c>
      <c r="F807" s="234" t="s">
        <v>58</v>
      </c>
      <c r="G807" s="235">
        <f t="shared" ref="G807:G808" si="91">G808</f>
        <v>3081380</v>
      </c>
      <c r="H807" s="234">
        <v>720300000</v>
      </c>
      <c r="I807" s="313" t="str">
        <f t="shared" si="88"/>
        <v>0720300000</v>
      </c>
      <c r="J807" s="30" t="str">
        <f t="shared" si="89"/>
        <v>60708010720300000000</v>
      </c>
    </row>
    <row r="808" spans="1:10" s="3" customFormat="1">
      <c r="A808" s="232" t="s">
        <v>247</v>
      </c>
      <c r="B808" s="233" t="s">
        <v>26</v>
      </c>
      <c r="C808" s="234" t="s">
        <v>50</v>
      </c>
      <c r="D808" s="234" t="s">
        <v>65</v>
      </c>
      <c r="E808" s="234" t="s">
        <v>382</v>
      </c>
      <c r="F808" s="234" t="s">
        <v>58</v>
      </c>
      <c r="G808" s="235">
        <f t="shared" si="91"/>
        <v>3081380</v>
      </c>
      <c r="H808" s="234">
        <v>720311010</v>
      </c>
      <c r="I808" s="313" t="str">
        <f t="shared" si="88"/>
        <v>0720311010</v>
      </c>
      <c r="J808" s="30" t="str">
        <f t="shared" si="89"/>
        <v>60708010720311010000</v>
      </c>
    </row>
    <row r="809" spans="1:10" s="3" customFormat="1">
      <c r="A809" s="244" t="s">
        <v>92</v>
      </c>
      <c r="B809" s="233" t="s">
        <v>26</v>
      </c>
      <c r="C809" s="234" t="s">
        <v>50</v>
      </c>
      <c r="D809" s="234" t="s">
        <v>65</v>
      </c>
      <c r="E809" s="234" t="s">
        <v>382</v>
      </c>
      <c r="F809" s="234" t="s">
        <v>138</v>
      </c>
      <c r="G809" s="235">
        <f>G810</f>
        <v>3081380</v>
      </c>
      <c r="H809" s="234">
        <v>720311010</v>
      </c>
      <c r="I809" s="313" t="str">
        <f t="shared" si="88"/>
        <v>0720311010</v>
      </c>
      <c r="J809" s="30" t="str">
        <f t="shared" si="89"/>
        <v>60708010720311010610</v>
      </c>
    </row>
    <row r="810" spans="1:10" s="4" customFormat="1" ht="38.25">
      <c r="A810" s="236" t="s">
        <v>1015</v>
      </c>
      <c r="B810" s="233" t="s">
        <v>26</v>
      </c>
      <c r="C810" s="234" t="s">
        <v>50</v>
      </c>
      <c r="D810" s="234" t="s">
        <v>65</v>
      </c>
      <c r="E810" s="234" t="s">
        <v>382</v>
      </c>
      <c r="F810" s="234" t="s">
        <v>67</v>
      </c>
      <c r="G810" s="235">
        <f>VLOOKUP(J810,'исх АС БЮДЖЕТ'!$A$10:$H$568,6,0)</f>
        <v>3081380</v>
      </c>
      <c r="H810" s="234">
        <v>720311010</v>
      </c>
      <c r="I810" s="313" t="str">
        <f t="shared" si="88"/>
        <v>0720311010</v>
      </c>
      <c r="J810" s="30" t="str">
        <f t="shared" si="89"/>
        <v>60708010720311010611</v>
      </c>
    </row>
    <row r="811" spans="1:10" s="3" customFormat="1" ht="25.5">
      <c r="A811" s="232" t="s">
        <v>383</v>
      </c>
      <c r="B811" s="233" t="s">
        <v>26</v>
      </c>
      <c r="C811" s="234" t="s">
        <v>50</v>
      </c>
      <c r="D811" s="234" t="s">
        <v>65</v>
      </c>
      <c r="E811" s="234" t="s">
        <v>384</v>
      </c>
      <c r="F811" s="234" t="s">
        <v>58</v>
      </c>
      <c r="G811" s="235">
        <f>G812+G815</f>
        <v>39368700</v>
      </c>
      <c r="H811" s="234">
        <v>720400000</v>
      </c>
      <c r="I811" s="313" t="str">
        <f t="shared" si="88"/>
        <v>0720400000</v>
      </c>
      <c r="J811" s="30" t="str">
        <f t="shared" si="89"/>
        <v>60708010720400000000</v>
      </c>
    </row>
    <row r="812" spans="1:10" s="3" customFormat="1">
      <c r="A812" s="232" t="s">
        <v>247</v>
      </c>
      <c r="B812" s="233" t="s">
        <v>26</v>
      </c>
      <c r="C812" s="234" t="s">
        <v>50</v>
      </c>
      <c r="D812" s="234" t="s">
        <v>65</v>
      </c>
      <c r="E812" s="234" t="s">
        <v>385</v>
      </c>
      <c r="F812" s="234" t="s">
        <v>58</v>
      </c>
      <c r="G812" s="235">
        <f>G813</f>
        <v>38768700</v>
      </c>
      <c r="H812" s="234">
        <v>720411010</v>
      </c>
      <c r="I812" s="313" t="str">
        <f t="shared" si="88"/>
        <v>0720411010</v>
      </c>
      <c r="J812" s="30" t="str">
        <f t="shared" si="89"/>
        <v>60708010720411010000</v>
      </c>
    </row>
    <row r="813" spans="1:10" s="3" customFormat="1">
      <c r="A813" s="244" t="s">
        <v>92</v>
      </c>
      <c r="B813" s="233" t="s">
        <v>26</v>
      </c>
      <c r="C813" s="234" t="s">
        <v>50</v>
      </c>
      <c r="D813" s="234" t="s">
        <v>65</v>
      </c>
      <c r="E813" s="234" t="s">
        <v>385</v>
      </c>
      <c r="F813" s="234" t="s">
        <v>138</v>
      </c>
      <c r="G813" s="235">
        <f>G814</f>
        <v>38768700</v>
      </c>
      <c r="H813" s="234">
        <v>720411010</v>
      </c>
      <c r="I813" s="313" t="str">
        <f t="shared" si="88"/>
        <v>0720411010</v>
      </c>
      <c r="J813" s="30" t="str">
        <f t="shared" si="89"/>
        <v>60708010720411010610</v>
      </c>
    </row>
    <row r="814" spans="1:10" s="4" customFormat="1" ht="38.25">
      <c r="A814" s="236" t="s">
        <v>1015</v>
      </c>
      <c r="B814" s="233" t="s">
        <v>26</v>
      </c>
      <c r="C814" s="234" t="s">
        <v>50</v>
      </c>
      <c r="D814" s="234" t="s">
        <v>65</v>
      </c>
      <c r="E814" s="234" t="s">
        <v>385</v>
      </c>
      <c r="F814" s="234" t="s">
        <v>67</v>
      </c>
      <c r="G814" s="235">
        <f>VLOOKUP(J814,'исх АС БЮДЖЕТ'!$A$10:$H$568,6,0)</f>
        <v>38768700</v>
      </c>
      <c r="H814" s="234">
        <v>720411010</v>
      </c>
      <c r="I814" s="313" t="str">
        <f t="shared" si="88"/>
        <v>0720411010</v>
      </c>
      <c r="J814" s="30" t="str">
        <f t="shared" si="89"/>
        <v>60708010720411010611</v>
      </c>
    </row>
    <row r="815" spans="1:10" s="3" customFormat="1" ht="25.5">
      <c r="A815" s="244" t="s">
        <v>919</v>
      </c>
      <c r="B815" s="233" t="s">
        <v>26</v>
      </c>
      <c r="C815" s="234" t="s">
        <v>50</v>
      </c>
      <c r="D815" s="234" t="s">
        <v>65</v>
      </c>
      <c r="E815" s="234" t="s">
        <v>918</v>
      </c>
      <c r="F815" s="234" t="s">
        <v>58</v>
      </c>
      <c r="G815" s="235">
        <f>G816</f>
        <v>600000</v>
      </c>
      <c r="H815" s="234" t="s">
        <v>1224</v>
      </c>
      <c r="I815" s="313" t="str">
        <f t="shared" si="88"/>
        <v>07204L5194</v>
      </c>
      <c r="J815" s="30" t="str">
        <f t="shared" si="89"/>
        <v>607080107204L5194000</v>
      </c>
    </row>
    <row r="816" spans="1:10" s="3" customFormat="1">
      <c r="A816" s="244" t="s">
        <v>92</v>
      </c>
      <c r="B816" s="233" t="s">
        <v>26</v>
      </c>
      <c r="C816" s="234" t="s">
        <v>50</v>
      </c>
      <c r="D816" s="234" t="s">
        <v>65</v>
      </c>
      <c r="E816" s="234" t="s">
        <v>918</v>
      </c>
      <c r="F816" s="234" t="s">
        <v>138</v>
      </c>
      <c r="G816" s="235">
        <f>G817</f>
        <v>600000</v>
      </c>
      <c r="H816" s="234" t="s">
        <v>1224</v>
      </c>
      <c r="I816" s="313" t="str">
        <f t="shared" si="88"/>
        <v>07204L5194</v>
      </c>
      <c r="J816" s="30" t="str">
        <f t="shared" si="89"/>
        <v>607080107204L5194610</v>
      </c>
    </row>
    <row r="817" spans="1:10" s="4" customFormat="1" ht="38.25">
      <c r="A817" s="236" t="s">
        <v>1015</v>
      </c>
      <c r="B817" s="233" t="s">
        <v>26</v>
      </c>
      <c r="C817" s="234" t="s">
        <v>50</v>
      </c>
      <c r="D817" s="234" t="s">
        <v>65</v>
      </c>
      <c r="E817" s="234" t="s">
        <v>918</v>
      </c>
      <c r="F817" s="234" t="s">
        <v>67</v>
      </c>
      <c r="G817" s="235">
        <f>VLOOKUP(J817,'исх АС БЮДЖЕТ'!$A$10:$H$568,6,0)</f>
        <v>600000</v>
      </c>
      <c r="H817" s="234" t="s">
        <v>1224</v>
      </c>
      <c r="I817" s="313" t="str">
        <f t="shared" si="88"/>
        <v>07204L5194</v>
      </c>
      <c r="J817" s="30" t="str">
        <f t="shared" si="89"/>
        <v>607080107204L5194611</v>
      </c>
    </row>
    <row r="818" spans="1:10" s="3" customFormat="1" ht="25.5">
      <c r="A818" s="232" t="s">
        <v>386</v>
      </c>
      <c r="B818" s="233" t="s">
        <v>26</v>
      </c>
      <c r="C818" s="234" t="s">
        <v>50</v>
      </c>
      <c r="D818" s="234" t="s">
        <v>65</v>
      </c>
      <c r="E818" s="234" t="s">
        <v>387</v>
      </c>
      <c r="F818" s="234" t="s">
        <v>58</v>
      </c>
      <c r="G818" s="235">
        <f>G819</f>
        <v>48765980</v>
      </c>
      <c r="H818" s="234">
        <v>720500000</v>
      </c>
      <c r="I818" s="313" t="str">
        <f t="shared" si="88"/>
        <v>0720500000</v>
      </c>
      <c r="J818" s="30" t="str">
        <f t="shared" si="89"/>
        <v>60708010720500000000</v>
      </c>
    </row>
    <row r="819" spans="1:10" s="3" customFormat="1">
      <c r="A819" s="232" t="s">
        <v>247</v>
      </c>
      <c r="B819" s="233" t="s">
        <v>26</v>
      </c>
      <c r="C819" s="234" t="s">
        <v>50</v>
      </c>
      <c r="D819" s="234" t="s">
        <v>65</v>
      </c>
      <c r="E819" s="234" t="s">
        <v>388</v>
      </c>
      <c r="F819" s="234" t="s">
        <v>58</v>
      </c>
      <c r="G819" s="235">
        <f>G820+G822</f>
        <v>48765980</v>
      </c>
      <c r="H819" s="234">
        <v>720511010</v>
      </c>
      <c r="I819" s="313" t="str">
        <f t="shared" si="88"/>
        <v>0720511010</v>
      </c>
      <c r="J819" s="30" t="str">
        <f t="shared" si="89"/>
        <v>60708010720511010000</v>
      </c>
    </row>
    <row r="820" spans="1:10" s="3" customFormat="1">
      <c r="A820" s="244" t="s">
        <v>92</v>
      </c>
      <c r="B820" s="233" t="s">
        <v>26</v>
      </c>
      <c r="C820" s="234" t="s">
        <v>50</v>
      </c>
      <c r="D820" s="234" t="s">
        <v>65</v>
      </c>
      <c r="E820" s="234" t="s">
        <v>388</v>
      </c>
      <c r="F820" s="234" t="s">
        <v>138</v>
      </c>
      <c r="G820" s="235">
        <f>G821</f>
        <v>40597320</v>
      </c>
      <c r="H820" s="234">
        <v>720511010</v>
      </c>
      <c r="I820" s="313" t="str">
        <f t="shared" si="88"/>
        <v>0720511010</v>
      </c>
      <c r="J820" s="30" t="str">
        <f t="shared" si="89"/>
        <v>60708010720511010610</v>
      </c>
    </row>
    <row r="821" spans="1:10" s="4" customFormat="1" ht="38.25">
      <c r="A821" s="236" t="s">
        <v>1015</v>
      </c>
      <c r="B821" s="233" t="s">
        <v>26</v>
      </c>
      <c r="C821" s="234" t="s">
        <v>50</v>
      </c>
      <c r="D821" s="234" t="s">
        <v>65</v>
      </c>
      <c r="E821" s="234" t="s">
        <v>388</v>
      </c>
      <c r="F821" s="234" t="s">
        <v>67</v>
      </c>
      <c r="G821" s="235">
        <f>VLOOKUP(J821,'исх АС БЮДЖЕТ'!$A$10:$H$568,6,0)</f>
        <v>40597320</v>
      </c>
      <c r="H821" s="234">
        <v>720511010</v>
      </c>
      <c r="I821" s="313" t="str">
        <f t="shared" si="88"/>
        <v>0720511010</v>
      </c>
      <c r="J821" s="30" t="str">
        <f t="shared" si="89"/>
        <v>60708010720511010611</v>
      </c>
    </row>
    <row r="822" spans="1:10" s="3" customFormat="1">
      <c r="A822" s="244" t="s">
        <v>93</v>
      </c>
      <c r="B822" s="233" t="s">
        <v>26</v>
      </c>
      <c r="C822" s="234" t="s">
        <v>50</v>
      </c>
      <c r="D822" s="234" t="s">
        <v>65</v>
      </c>
      <c r="E822" s="234" t="s">
        <v>388</v>
      </c>
      <c r="F822" s="234" t="s">
        <v>20</v>
      </c>
      <c r="G822" s="235">
        <f>G823</f>
        <v>8168660</v>
      </c>
      <c r="H822" s="234">
        <v>720511010</v>
      </c>
      <c r="I822" s="313" t="str">
        <f t="shared" si="88"/>
        <v>0720511010</v>
      </c>
      <c r="J822" s="30" t="str">
        <f t="shared" si="89"/>
        <v>60708010720511010620</v>
      </c>
    </row>
    <row r="823" spans="1:10" s="4" customFormat="1" ht="38.25">
      <c r="A823" s="236" t="s">
        <v>1018</v>
      </c>
      <c r="B823" s="233" t="s">
        <v>26</v>
      </c>
      <c r="C823" s="234" t="s">
        <v>50</v>
      </c>
      <c r="D823" s="234" t="s">
        <v>65</v>
      </c>
      <c r="E823" s="234" t="s">
        <v>388</v>
      </c>
      <c r="F823" s="234" t="s">
        <v>16</v>
      </c>
      <c r="G823" s="235">
        <f>VLOOKUP(J823,'исх АС БЮДЖЕТ'!$A$10:$H$568,6,0)</f>
        <v>8168660</v>
      </c>
      <c r="H823" s="234">
        <v>720511010</v>
      </c>
      <c r="I823" s="313" t="str">
        <f t="shared" si="88"/>
        <v>0720511010</v>
      </c>
      <c r="J823" s="30" t="str">
        <f t="shared" si="89"/>
        <v>60708010720511010621</v>
      </c>
    </row>
    <row r="824" spans="1:10" s="3" customFormat="1" ht="63.75">
      <c r="A824" s="244" t="s">
        <v>850</v>
      </c>
      <c r="B824" s="233" t="s">
        <v>26</v>
      </c>
      <c r="C824" s="234" t="s">
        <v>50</v>
      </c>
      <c r="D824" s="234" t="s">
        <v>65</v>
      </c>
      <c r="E824" s="234" t="s">
        <v>622</v>
      </c>
      <c r="F824" s="234" t="s">
        <v>58</v>
      </c>
      <c r="G824" s="235">
        <f t="shared" ref="G824:G825" si="92">G825</f>
        <v>150000</v>
      </c>
      <c r="H824" s="234">
        <v>720800000</v>
      </c>
      <c r="I824" s="313" t="str">
        <f t="shared" si="88"/>
        <v>0720800000</v>
      </c>
      <c r="J824" s="30" t="str">
        <f t="shared" si="89"/>
        <v>60708010720800000000</v>
      </c>
    </row>
    <row r="825" spans="1:10" s="3" customFormat="1" ht="63.75">
      <c r="A825" s="232" t="s">
        <v>853</v>
      </c>
      <c r="B825" s="233" t="s">
        <v>26</v>
      </c>
      <c r="C825" s="234" t="s">
        <v>50</v>
      </c>
      <c r="D825" s="234" t="s">
        <v>65</v>
      </c>
      <c r="E825" s="234" t="s">
        <v>623</v>
      </c>
      <c r="F825" s="234" t="s">
        <v>58</v>
      </c>
      <c r="G825" s="235">
        <f t="shared" si="92"/>
        <v>150000</v>
      </c>
      <c r="H825" s="234">
        <v>720821230</v>
      </c>
      <c r="I825" s="313" t="str">
        <f t="shared" si="88"/>
        <v>0720821230</v>
      </c>
      <c r="J825" s="30" t="str">
        <f t="shared" si="89"/>
        <v>60708010720821230000</v>
      </c>
    </row>
    <row r="826" spans="1:10" s="3" customFormat="1">
      <c r="A826" s="244" t="s">
        <v>92</v>
      </c>
      <c r="B826" s="233" t="s">
        <v>26</v>
      </c>
      <c r="C826" s="234" t="s">
        <v>50</v>
      </c>
      <c r="D826" s="234" t="s">
        <v>65</v>
      </c>
      <c r="E826" s="234" t="s">
        <v>623</v>
      </c>
      <c r="F826" s="234" t="s">
        <v>138</v>
      </c>
      <c r="G826" s="235">
        <f>G827</f>
        <v>150000</v>
      </c>
      <c r="H826" s="234">
        <v>720821230</v>
      </c>
      <c r="I826" s="313" t="str">
        <f t="shared" si="88"/>
        <v>0720821230</v>
      </c>
      <c r="J826" s="30" t="str">
        <f t="shared" si="89"/>
        <v>60708010720821230610</v>
      </c>
    </row>
    <row r="827" spans="1:10" s="4" customFormat="1">
      <c r="A827" s="236" t="s">
        <v>1016</v>
      </c>
      <c r="B827" s="233" t="s">
        <v>26</v>
      </c>
      <c r="C827" s="234" t="s">
        <v>50</v>
      </c>
      <c r="D827" s="234" t="s">
        <v>65</v>
      </c>
      <c r="E827" s="234" t="s">
        <v>623</v>
      </c>
      <c r="F827" s="234" t="s">
        <v>1046</v>
      </c>
      <c r="G827" s="235">
        <f>VLOOKUP(J827,'исх АС БЮДЖЕТ'!$A$10:$H$568,6,0)</f>
        <v>150000</v>
      </c>
      <c r="H827" s="234">
        <v>720821230</v>
      </c>
      <c r="I827" s="313" t="str">
        <f t="shared" si="88"/>
        <v>0720821230</v>
      </c>
      <c r="J827" s="30" t="str">
        <f t="shared" si="89"/>
        <v>60708010720821230612</v>
      </c>
    </row>
    <row r="828" spans="1:10" s="3" customFormat="1" ht="25.5">
      <c r="A828" s="244" t="s">
        <v>854</v>
      </c>
      <c r="B828" s="233" t="s">
        <v>26</v>
      </c>
      <c r="C828" s="234" t="s">
        <v>50</v>
      </c>
      <c r="D828" s="234" t="s">
        <v>65</v>
      </c>
      <c r="E828" s="234" t="s">
        <v>624</v>
      </c>
      <c r="F828" s="234" t="s">
        <v>58</v>
      </c>
      <c r="G828" s="235">
        <f t="shared" ref="G828:G829" si="93">G829</f>
        <v>940000</v>
      </c>
      <c r="H828" s="234">
        <v>720900000</v>
      </c>
      <c r="I828" s="313" t="str">
        <f t="shared" si="88"/>
        <v>0720900000</v>
      </c>
      <c r="J828" s="30" t="str">
        <f t="shared" si="89"/>
        <v>60708010720900000000</v>
      </c>
    </row>
    <row r="829" spans="1:10" s="3" customFormat="1" ht="25.5">
      <c r="A829" s="244" t="s">
        <v>855</v>
      </c>
      <c r="B829" s="233" t="s">
        <v>26</v>
      </c>
      <c r="C829" s="234" t="s">
        <v>50</v>
      </c>
      <c r="D829" s="234" t="s">
        <v>65</v>
      </c>
      <c r="E829" s="234" t="s">
        <v>690</v>
      </c>
      <c r="F829" s="234" t="s">
        <v>58</v>
      </c>
      <c r="G829" s="235">
        <f t="shared" si="93"/>
        <v>940000</v>
      </c>
      <c r="H829" s="234">
        <v>720921280</v>
      </c>
      <c r="I829" s="313" t="str">
        <f t="shared" si="88"/>
        <v>0720921280</v>
      </c>
      <c r="J829" s="30" t="str">
        <f t="shared" si="89"/>
        <v>60708010720921280000</v>
      </c>
    </row>
    <row r="830" spans="1:10" s="3" customFormat="1">
      <c r="A830" s="244" t="s">
        <v>92</v>
      </c>
      <c r="B830" s="233" t="s">
        <v>26</v>
      </c>
      <c r="C830" s="234" t="s">
        <v>50</v>
      </c>
      <c r="D830" s="234" t="s">
        <v>65</v>
      </c>
      <c r="E830" s="234" t="s">
        <v>690</v>
      </c>
      <c r="F830" s="234" t="s">
        <v>138</v>
      </c>
      <c r="G830" s="235">
        <f>G831</f>
        <v>940000</v>
      </c>
      <c r="H830" s="234">
        <v>720921280</v>
      </c>
      <c r="I830" s="313" t="str">
        <f t="shared" si="88"/>
        <v>0720921280</v>
      </c>
      <c r="J830" s="30" t="str">
        <f t="shared" si="89"/>
        <v>60708010720921280610</v>
      </c>
    </row>
    <row r="831" spans="1:10" s="4" customFormat="1">
      <c r="A831" s="236" t="s">
        <v>1016</v>
      </c>
      <c r="B831" s="233" t="s">
        <v>26</v>
      </c>
      <c r="C831" s="234" t="s">
        <v>50</v>
      </c>
      <c r="D831" s="234" t="s">
        <v>65</v>
      </c>
      <c r="E831" s="234" t="s">
        <v>690</v>
      </c>
      <c r="F831" s="234" t="s">
        <v>1046</v>
      </c>
      <c r="G831" s="235">
        <f>VLOOKUP(J831,'исх АС БЮДЖЕТ'!$A$10:$H$568,6,0)</f>
        <v>940000</v>
      </c>
      <c r="H831" s="234">
        <v>720921280</v>
      </c>
      <c r="I831" s="313" t="str">
        <f t="shared" si="88"/>
        <v>0720921280</v>
      </c>
      <c r="J831" s="30" t="str">
        <f t="shared" si="89"/>
        <v>60708010720921280612</v>
      </c>
    </row>
    <row r="832" spans="1:10" s="3" customFormat="1" ht="38.25">
      <c r="A832" s="244" t="s">
        <v>715</v>
      </c>
      <c r="B832" s="233" t="s">
        <v>26</v>
      </c>
      <c r="C832" s="234" t="s">
        <v>50</v>
      </c>
      <c r="D832" s="234" t="s">
        <v>65</v>
      </c>
      <c r="E832" s="234" t="s">
        <v>714</v>
      </c>
      <c r="F832" s="234" t="s">
        <v>58</v>
      </c>
      <c r="G832" s="235">
        <f t="shared" ref="G832:G833" si="94">G833</f>
        <v>156160020</v>
      </c>
      <c r="H832" s="234">
        <v>721100000</v>
      </c>
      <c r="I832" s="313" t="str">
        <f t="shared" si="88"/>
        <v>0721100000</v>
      </c>
      <c r="J832" s="30" t="str">
        <f t="shared" si="89"/>
        <v>60708010721100000000</v>
      </c>
    </row>
    <row r="833" spans="1:10" s="3" customFormat="1" ht="38.25">
      <c r="A833" s="244" t="s">
        <v>717</v>
      </c>
      <c r="B833" s="233" t="s">
        <v>26</v>
      </c>
      <c r="C833" s="234" t="s">
        <v>50</v>
      </c>
      <c r="D833" s="234" t="s">
        <v>65</v>
      </c>
      <c r="E833" s="234" t="s">
        <v>716</v>
      </c>
      <c r="F833" s="234" t="s">
        <v>58</v>
      </c>
      <c r="G833" s="235">
        <f t="shared" si="94"/>
        <v>156160020</v>
      </c>
      <c r="H833" s="234">
        <v>721160160</v>
      </c>
      <c r="I833" s="313" t="str">
        <f t="shared" si="88"/>
        <v>0721160160</v>
      </c>
      <c r="J833" s="30" t="str">
        <f t="shared" si="89"/>
        <v>60708010721160160000</v>
      </c>
    </row>
    <row r="834" spans="1:10" s="3" customFormat="1" ht="25.5">
      <c r="A834" s="244" t="s">
        <v>111</v>
      </c>
      <c r="B834" s="233" t="s">
        <v>26</v>
      </c>
      <c r="C834" s="234" t="s">
        <v>50</v>
      </c>
      <c r="D834" s="234" t="s">
        <v>65</v>
      </c>
      <c r="E834" s="234" t="s">
        <v>716</v>
      </c>
      <c r="F834" s="234" t="s">
        <v>104</v>
      </c>
      <c r="G834" s="235">
        <f>G835</f>
        <v>156160020</v>
      </c>
      <c r="H834" s="234">
        <v>721160160</v>
      </c>
      <c r="I834" s="313" t="str">
        <f t="shared" si="88"/>
        <v>0721160160</v>
      </c>
      <c r="J834" s="30" t="str">
        <f t="shared" si="89"/>
        <v>60708010721160160630</v>
      </c>
    </row>
    <row r="835" spans="1:10" s="4" customFormat="1" ht="63.75">
      <c r="A835" s="236" t="s">
        <v>1048</v>
      </c>
      <c r="B835" s="233" t="s">
        <v>26</v>
      </c>
      <c r="C835" s="234" t="s">
        <v>50</v>
      </c>
      <c r="D835" s="234" t="s">
        <v>65</v>
      </c>
      <c r="E835" s="234" t="s">
        <v>716</v>
      </c>
      <c r="F835" s="234" t="s">
        <v>1055</v>
      </c>
      <c r="G835" s="235">
        <f>VLOOKUP(J835,'исх АС БЮДЖЕТ'!$A$10:$H$568,6,0)</f>
        <v>156160020</v>
      </c>
      <c r="H835" s="234">
        <v>721160160</v>
      </c>
      <c r="I835" s="313" t="str">
        <f t="shared" si="88"/>
        <v>0721160160</v>
      </c>
      <c r="J835" s="30" t="str">
        <f t="shared" si="89"/>
        <v>60708010721160160632</v>
      </c>
    </row>
    <row r="836" spans="1:10" s="4" customFormat="1" ht="38.25">
      <c r="A836" s="244" t="s">
        <v>856</v>
      </c>
      <c r="B836" s="233" t="s">
        <v>26</v>
      </c>
      <c r="C836" s="234" t="s">
        <v>50</v>
      </c>
      <c r="D836" s="234" t="s">
        <v>65</v>
      </c>
      <c r="E836" s="234" t="s">
        <v>781</v>
      </c>
      <c r="F836" s="234" t="s">
        <v>58</v>
      </c>
      <c r="G836" s="235">
        <f>G837</f>
        <v>440000</v>
      </c>
      <c r="H836" s="234"/>
      <c r="I836" s="313"/>
      <c r="J836" s="30"/>
    </row>
    <row r="837" spans="1:10" s="4" customFormat="1" ht="25.5">
      <c r="A837" s="244" t="s">
        <v>1499</v>
      </c>
      <c r="B837" s="233" t="s">
        <v>26</v>
      </c>
      <c r="C837" s="234" t="s">
        <v>50</v>
      </c>
      <c r="D837" s="234" t="s">
        <v>65</v>
      </c>
      <c r="E837" s="234" t="s">
        <v>1500</v>
      </c>
      <c r="F837" s="234" t="s">
        <v>58</v>
      </c>
      <c r="G837" s="235">
        <f>G838</f>
        <v>440000</v>
      </c>
      <c r="H837" s="234"/>
      <c r="I837" s="313"/>
      <c r="J837" s="30"/>
    </row>
    <row r="838" spans="1:10" s="4" customFormat="1">
      <c r="A838" s="244" t="s">
        <v>92</v>
      </c>
      <c r="B838" s="233" t="s">
        <v>26</v>
      </c>
      <c r="C838" s="234" t="s">
        <v>50</v>
      </c>
      <c r="D838" s="234" t="s">
        <v>65</v>
      </c>
      <c r="E838" s="234" t="s">
        <v>1500</v>
      </c>
      <c r="F838" s="234" t="s">
        <v>138</v>
      </c>
      <c r="G838" s="235">
        <f>G839</f>
        <v>440000</v>
      </c>
      <c r="H838" s="234"/>
      <c r="I838" s="313"/>
      <c r="J838" s="30"/>
    </row>
    <row r="839" spans="1:10" s="4" customFormat="1">
      <c r="A839" s="236" t="s">
        <v>1016</v>
      </c>
      <c r="B839" s="233" t="s">
        <v>26</v>
      </c>
      <c r="C839" s="234" t="s">
        <v>50</v>
      </c>
      <c r="D839" s="234" t="s">
        <v>65</v>
      </c>
      <c r="E839" s="234" t="s">
        <v>1500</v>
      </c>
      <c r="F839" s="234" t="s">
        <v>1046</v>
      </c>
      <c r="G839" s="235">
        <f>440000</f>
        <v>440000</v>
      </c>
      <c r="H839" s="234"/>
      <c r="I839" s="313"/>
      <c r="J839" s="30"/>
    </row>
    <row r="840" spans="1:10" s="3" customFormat="1" ht="25.5">
      <c r="A840" s="236" t="s">
        <v>752</v>
      </c>
      <c r="B840" s="233" t="s">
        <v>26</v>
      </c>
      <c r="C840" s="234" t="s">
        <v>50</v>
      </c>
      <c r="D840" s="234" t="s">
        <v>65</v>
      </c>
      <c r="E840" s="241" t="s">
        <v>249</v>
      </c>
      <c r="F840" s="241" t="s">
        <v>58</v>
      </c>
      <c r="G840" s="247">
        <f>G841</f>
        <v>85000</v>
      </c>
      <c r="H840" s="241">
        <v>1500000000</v>
      </c>
      <c r="I840" s="313" t="str">
        <f t="shared" si="88"/>
        <v>1500000000</v>
      </c>
      <c r="J840" s="30" t="str">
        <f t="shared" si="89"/>
        <v>60708011500000000000</v>
      </c>
    </row>
    <row r="841" spans="1:10" s="3" customFormat="1">
      <c r="A841" s="232" t="s">
        <v>753</v>
      </c>
      <c r="B841" s="233" t="s">
        <v>26</v>
      </c>
      <c r="C841" s="234" t="s">
        <v>50</v>
      </c>
      <c r="D841" s="234" t="s">
        <v>65</v>
      </c>
      <c r="E841" s="241" t="s">
        <v>250</v>
      </c>
      <c r="F841" s="241" t="s">
        <v>58</v>
      </c>
      <c r="G841" s="247">
        <f>G842</f>
        <v>85000</v>
      </c>
      <c r="H841" s="241">
        <v>1510000000</v>
      </c>
      <c r="I841" s="313" t="str">
        <f t="shared" si="88"/>
        <v>1510000000</v>
      </c>
      <c r="J841" s="30" t="str">
        <f t="shared" si="89"/>
        <v>60708011510000000000</v>
      </c>
    </row>
    <row r="842" spans="1:10" s="3" customFormat="1" ht="38.25">
      <c r="A842" s="237" t="s">
        <v>880</v>
      </c>
      <c r="B842" s="233" t="s">
        <v>26</v>
      </c>
      <c r="C842" s="234" t="s">
        <v>50</v>
      </c>
      <c r="D842" s="234" t="s">
        <v>65</v>
      </c>
      <c r="E842" s="241" t="s">
        <v>538</v>
      </c>
      <c r="F842" s="241" t="s">
        <v>58</v>
      </c>
      <c r="G842" s="247">
        <f>G843</f>
        <v>85000</v>
      </c>
      <c r="H842" s="241">
        <v>1510100000</v>
      </c>
      <c r="I842" s="313" t="str">
        <f t="shared" si="88"/>
        <v>1510100000</v>
      </c>
      <c r="J842" s="30" t="str">
        <f t="shared" si="89"/>
        <v>60708011510100000000</v>
      </c>
    </row>
    <row r="843" spans="1:10" s="3" customFormat="1" ht="25.5">
      <c r="A843" s="237" t="s">
        <v>122</v>
      </c>
      <c r="B843" s="233" t="s">
        <v>26</v>
      </c>
      <c r="C843" s="234" t="s">
        <v>50</v>
      </c>
      <c r="D843" s="234" t="s">
        <v>65</v>
      </c>
      <c r="E843" s="241" t="s">
        <v>539</v>
      </c>
      <c r="F843" s="241" t="s">
        <v>58</v>
      </c>
      <c r="G843" s="247">
        <f>SUM(G844:G844)</f>
        <v>85000</v>
      </c>
      <c r="H843" s="241">
        <v>1510120350</v>
      </c>
      <c r="I843" s="313" t="str">
        <f t="shared" si="88"/>
        <v>1510120350</v>
      </c>
      <c r="J843" s="30" t="str">
        <f t="shared" si="89"/>
        <v>60708011510120350000</v>
      </c>
    </row>
    <row r="844" spans="1:10" s="3" customFormat="1">
      <c r="A844" s="244" t="s">
        <v>92</v>
      </c>
      <c r="B844" s="233" t="s">
        <v>26</v>
      </c>
      <c r="C844" s="234" t="s">
        <v>50</v>
      </c>
      <c r="D844" s="234" t="s">
        <v>65</v>
      </c>
      <c r="E844" s="241" t="s">
        <v>539</v>
      </c>
      <c r="F844" s="241" t="s">
        <v>138</v>
      </c>
      <c r="G844" s="235">
        <f>G845</f>
        <v>85000</v>
      </c>
      <c r="H844" s="241">
        <v>1510120350</v>
      </c>
      <c r="I844" s="313" t="str">
        <f t="shared" si="88"/>
        <v>1510120350</v>
      </c>
      <c r="J844" s="30" t="str">
        <f t="shared" si="89"/>
        <v>60708011510120350610</v>
      </c>
    </row>
    <row r="845" spans="1:10" s="4" customFormat="1">
      <c r="A845" s="236" t="s">
        <v>1016</v>
      </c>
      <c r="B845" s="233" t="s">
        <v>26</v>
      </c>
      <c r="C845" s="234" t="s">
        <v>50</v>
      </c>
      <c r="D845" s="234" t="s">
        <v>65</v>
      </c>
      <c r="E845" s="241" t="s">
        <v>539</v>
      </c>
      <c r="F845" s="241" t="s">
        <v>1046</v>
      </c>
      <c r="G845" s="235">
        <f>VLOOKUP(J845,'исх АС БЮДЖЕТ'!$A$10:$H$568,6,0)</f>
        <v>85000</v>
      </c>
      <c r="H845" s="241">
        <v>1510120350</v>
      </c>
      <c r="I845" s="313" t="str">
        <f t="shared" si="88"/>
        <v>1510120350</v>
      </c>
      <c r="J845" s="30" t="str">
        <f t="shared" si="89"/>
        <v>60708011510120350612</v>
      </c>
    </row>
    <row r="846" spans="1:10" s="3" customFormat="1" ht="51">
      <c r="A846" s="232" t="s">
        <v>756</v>
      </c>
      <c r="B846" s="233" t="s">
        <v>26</v>
      </c>
      <c r="C846" s="234" t="s">
        <v>50</v>
      </c>
      <c r="D846" s="234" t="s">
        <v>65</v>
      </c>
      <c r="E846" s="234" t="s">
        <v>339</v>
      </c>
      <c r="F846" s="234" t="s">
        <v>58</v>
      </c>
      <c r="G846" s="235">
        <f t="shared" ref="G846:G849" si="95">G847</f>
        <v>652360</v>
      </c>
      <c r="H846" s="234">
        <v>1600000000</v>
      </c>
      <c r="I846" s="313" t="str">
        <f t="shared" si="88"/>
        <v>1600000000</v>
      </c>
      <c r="J846" s="30" t="str">
        <f t="shared" si="89"/>
        <v>60708011600000000000</v>
      </c>
    </row>
    <row r="847" spans="1:10" s="3" customFormat="1" ht="25.5">
      <c r="A847" s="232" t="s">
        <v>136</v>
      </c>
      <c r="B847" s="233" t="s">
        <v>26</v>
      </c>
      <c r="C847" s="234" t="s">
        <v>50</v>
      </c>
      <c r="D847" s="234" t="s">
        <v>65</v>
      </c>
      <c r="E847" s="234" t="s">
        <v>340</v>
      </c>
      <c r="F847" s="234" t="s">
        <v>58</v>
      </c>
      <c r="G847" s="235">
        <f t="shared" si="95"/>
        <v>652360</v>
      </c>
      <c r="H847" s="234">
        <v>1620000000</v>
      </c>
      <c r="I847" s="313" t="str">
        <f t="shared" si="88"/>
        <v>1620000000</v>
      </c>
      <c r="J847" s="30" t="str">
        <f t="shared" si="89"/>
        <v>60708011620000000000</v>
      </c>
    </row>
    <row r="848" spans="1:10" s="3" customFormat="1" ht="25.5">
      <c r="A848" s="232" t="s">
        <v>667</v>
      </c>
      <c r="B848" s="233" t="s">
        <v>26</v>
      </c>
      <c r="C848" s="234" t="s">
        <v>50</v>
      </c>
      <c r="D848" s="234" t="s">
        <v>65</v>
      </c>
      <c r="E848" s="234" t="s">
        <v>609</v>
      </c>
      <c r="F848" s="234" t="s">
        <v>58</v>
      </c>
      <c r="G848" s="235">
        <f t="shared" si="95"/>
        <v>652360</v>
      </c>
      <c r="H848" s="234">
        <v>1620200000</v>
      </c>
      <c r="I848" s="313" t="str">
        <f t="shared" si="88"/>
        <v>1620200000</v>
      </c>
      <c r="J848" s="30" t="str">
        <f t="shared" si="89"/>
        <v>60708011620200000000</v>
      </c>
    </row>
    <row r="849" spans="1:10" s="3" customFormat="1" ht="25.5">
      <c r="A849" s="232" t="s">
        <v>177</v>
      </c>
      <c r="B849" s="233" t="s">
        <v>26</v>
      </c>
      <c r="C849" s="234" t="s">
        <v>50</v>
      </c>
      <c r="D849" s="234" t="s">
        <v>65</v>
      </c>
      <c r="E849" s="234" t="s">
        <v>610</v>
      </c>
      <c r="F849" s="234" t="s">
        <v>58</v>
      </c>
      <c r="G849" s="235">
        <f t="shared" si="95"/>
        <v>652360</v>
      </c>
      <c r="H849" s="234">
        <v>1620220550</v>
      </c>
      <c r="I849" s="313" t="str">
        <f t="shared" si="88"/>
        <v>1620220550</v>
      </c>
      <c r="J849" s="30" t="str">
        <f t="shared" si="89"/>
        <v>60708011620220550000</v>
      </c>
    </row>
    <row r="850" spans="1:10" s="3" customFormat="1">
      <c r="A850" s="244" t="s">
        <v>92</v>
      </c>
      <c r="B850" s="233" t="s">
        <v>26</v>
      </c>
      <c r="C850" s="234" t="s">
        <v>50</v>
      </c>
      <c r="D850" s="234" t="s">
        <v>65</v>
      </c>
      <c r="E850" s="234" t="s">
        <v>610</v>
      </c>
      <c r="F850" s="234" t="s">
        <v>138</v>
      </c>
      <c r="G850" s="235">
        <f>G851</f>
        <v>652360</v>
      </c>
      <c r="H850" s="234">
        <v>1620220550</v>
      </c>
      <c r="I850" s="313" t="str">
        <f t="shared" si="88"/>
        <v>1620220550</v>
      </c>
      <c r="J850" s="30" t="str">
        <f t="shared" si="89"/>
        <v>60708011620220550610</v>
      </c>
    </row>
    <row r="851" spans="1:10" s="4" customFormat="1">
      <c r="A851" s="236" t="s">
        <v>1016</v>
      </c>
      <c r="B851" s="233" t="s">
        <v>26</v>
      </c>
      <c r="C851" s="234" t="s">
        <v>50</v>
      </c>
      <c r="D851" s="234" t="s">
        <v>65</v>
      </c>
      <c r="E851" s="234" t="s">
        <v>610</v>
      </c>
      <c r="F851" s="234" t="s">
        <v>1046</v>
      </c>
      <c r="G851" s="235">
        <f>VLOOKUP(J851,'исх АС БЮДЖЕТ'!$A$10:$H$568,6,0)</f>
        <v>652360</v>
      </c>
      <c r="H851" s="234">
        <v>1620220550</v>
      </c>
      <c r="I851" s="313" t="str">
        <f t="shared" si="88"/>
        <v>1620220550</v>
      </c>
      <c r="J851" s="30" t="str">
        <f t="shared" si="89"/>
        <v>60708011620220550612</v>
      </c>
    </row>
    <row r="852" spans="1:10" s="4" customFormat="1" ht="25.5">
      <c r="A852" s="232" t="s">
        <v>757</v>
      </c>
      <c r="B852" s="233" t="s">
        <v>26</v>
      </c>
      <c r="C852" s="234" t="s">
        <v>50</v>
      </c>
      <c r="D852" s="234" t="s">
        <v>65</v>
      </c>
      <c r="E852" s="234" t="s">
        <v>342</v>
      </c>
      <c r="F852" s="234" t="s">
        <v>58</v>
      </c>
      <c r="G852" s="235">
        <f>G853</f>
        <v>184335.12</v>
      </c>
      <c r="H852" s="234">
        <v>1700000000</v>
      </c>
      <c r="I852" s="313" t="str">
        <f t="shared" si="88"/>
        <v>1700000000</v>
      </c>
      <c r="J852" s="30" t="str">
        <f t="shared" si="89"/>
        <v>60708011700000000000</v>
      </c>
    </row>
    <row r="853" spans="1:10" s="4" customFormat="1" ht="25.5">
      <c r="A853" s="232" t="s">
        <v>758</v>
      </c>
      <c r="B853" s="233" t="s">
        <v>26</v>
      </c>
      <c r="C853" s="234" t="s">
        <v>50</v>
      </c>
      <c r="D853" s="234" t="s">
        <v>65</v>
      </c>
      <c r="E853" s="234" t="s">
        <v>343</v>
      </c>
      <c r="F853" s="234" t="s">
        <v>58</v>
      </c>
      <c r="G853" s="235">
        <f>G854</f>
        <v>184335.12</v>
      </c>
      <c r="H853" s="234" t="s">
        <v>1207</v>
      </c>
      <c r="I853" s="313" t="str">
        <f t="shared" si="88"/>
        <v>17Б0000000</v>
      </c>
      <c r="J853" s="30" t="str">
        <f t="shared" si="89"/>
        <v>607080117Б0000000000</v>
      </c>
    </row>
    <row r="854" spans="1:10" s="4" customFormat="1" ht="25.5">
      <c r="A854" s="232" t="s">
        <v>344</v>
      </c>
      <c r="B854" s="233" t="s">
        <v>26</v>
      </c>
      <c r="C854" s="234" t="s">
        <v>50</v>
      </c>
      <c r="D854" s="234" t="s">
        <v>65</v>
      </c>
      <c r="E854" s="234" t="s">
        <v>345</v>
      </c>
      <c r="F854" s="234" t="s">
        <v>58</v>
      </c>
      <c r="G854" s="235">
        <f>G855</f>
        <v>184335.12</v>
      </c>
      <c r="H854" s="234" t="s">
        <v>1208</v>
      </c>
      <c r="I854" s="313" t="str">
        <f t="shared" si="88"/>
        <v>17Б0100000</v>
      </c>
      <c r="J854" s="30" t="str">
        <f t="shared" si="89"/>
        <v>607080117Б0100000000</v>
      </c>
    </row>
    <row r="855" spans="1:10" s="4" customFormat="1" ht="25.5">
      <c r="A855" s="232" t="s">
        <v>174</v>
      </c>
      <c r="B855" s="233" t="s">
        <v>26</v>
      </c>
      <c r="C855" s="234" t="s">
        <v>50</v>
      </c>
      <c r="D855" s="234" t="s">
        <v>65</v>
      </c>
      <c r="E855" s="234" t="s">
        <v>346</v>
      </c>
      <c r="F855" s="234" t="s">
        <v>58</v>
      </c>
      <c r="G855" s="235">
        <f>G856</f>
        <v>184335.12</v>
      </c>
      <c r="H855" s="234" t="s">
        <v>1209</v>
      </c>
      <c r="I855" s="313" t="str">
        <f t="shared" si="88"/>
        <v>17Б0120490</v>
      </c>
      <c r="J855" s="30" t="str">
        <f t="shared" si="89"/>
        <v>607080117Б0120490000</v>
      </c>
    </row>
    <row r="856" spans="1:10" s="4" customFormat="1">
      <c r="A856" s="232" t="s">
        <v>92</v>
      </c>
      <c r="B856" s="233" t="s">
        <v>26</v>
      </c>
      <c r="C856" s="234" t="s">
        <v>50</v>
      </c>
      <c r="D856" s="234" t="s">
        <v>65</v>
      </c>
      <c r="E856" s="234" t="s">
        <v>346</v>
      </c>
      <c r="F856" s="234" t="s">
        <v>138</v>
      </c>
      <c r="G856" s="235">
        <f>G857</f>
        <v>184335.12</v>
      </c>
      <c r="H856" s="234" t="s">
        <v>1209</v>
      </c>
      <c r="I856" s="313" t="str">
        <f t="shared" ref="I856:I919" si="96">TEXT(H856,"0000000000")</f>
        <v>17Б0120490</v>
      </c>
      <c r="J856" s="30" t="str">
        <f t="shared" ref="J856:J919" si="97">CONCATENATE(B856,C856,D856,I856,F856)</f>
        <v>607080117Б0120490610</v>
      </c>
    </row>
    <row r="857" spans="1:10" s="4" customFormat="1">
      <c r="A857" s="232" t="s">
        <v>1016</v>
      </c>
      <c r="B857" s="233" t="s">
        <v>26</v>
      </c>
      <c r="C857" s="234" t="s">
        <v>50</v>
      </c>
      <c r="D857" s="234" t="s">
        <v>65</v>
      </c>
      <c r="E857" s="234" t="s">
        <v>346</v>
      </c>
      <c r="F857" s="234" t="s">
        <v>1046</v>
      </c>
      <c r="G857" s="235">
        <f>VLOOKUP(J857,'исх АС БЮДЖЕТ'!$A$10:$H$568,6,0)</f>
        <v>184335.12</v>
      </c>
      <c r="H857" s="234" t="s">
        <v>1209</v>
      </c>
      <c r="I857" s="313" t="str">
        <f t="shared" si="96"/>
        <v>17Б0120490</v>
      </c>
      <c r="J857" s="30" t="str">
        <f t="shared" si="97"/>
        <v>607080117Б0120490612</v>
      </c>
    </row>
    <row r="858" spans="1:10" s="3" customFormat="1">
      <c r="A858" s="228" t="s">
        <v>676</v>
      </c>
      <c r="B858" s="229" t="s">
        <v>26</v>
      </c>
      <c r="C858" s="230" t="s">
        <v>50</v>
      </c>
      <c r="D858" s="230" t="s">
        <v>37</v>
      </c>
      <c r="E858" s="230" t="s">
        <v>196</v>
      </c>
      <c r="F858" s="230" t="s">
        <v>58</v>
      </c>
      <c r="G858" s="231">
        <f>G859</f>
        <v>13602440</v>
      </c>
      <c r="H858" s="230">
        <v>0</v>
      </c>
      <c r="I858" s="313" t="str">
        <f t="shared" si="96"/>
        <v>0000000000</v>
      </c>
      <c r="J858" s="30" t="str">
        <f t="shared" si="97"/>
        <v>60708040000000000000</v>
      </c>
    </row>
    <row r="859" spans="1:10" s="3" customFormat="1" ht="25.5">
      <c r="A859" s="232" t="s">
        <v>695</v>
      </c>
      <c r="B859" s="233" t="s">
        <v>26</v>
      </c>
      <c r="C859" s="234" t="s">
        <v>50</v>
      </c>
      <c r="D859" s="234" t="s">
        <v>37</v>
      </c>
      <c r="E859" s="234" t="s">
        <v>370</v>
      </c>
      <c r="F859" s="234" t="s">
        <v>58</v>
      </c>
      <c r="G859" s="235">
        <f>G860+G874</f>
        <v>13602440</v>
      </c>
      <c r="H859" s="234">
        <v>7600000000</v>
      </c>
      <c r="I859" s="313" t="str">
        <f t="shared" si="96"/>
        <v>7600000000</v>
      </c>
      <c r="J859" s="30" t="str">
        <f t="shared" si="97"/>
        <v>60708047600000000000</v>
      </c>
    </row>
    <row r="860" spans="1:10" s="3" customFormat="1" ht="25.5">
      <c r="A860" s="232" t="s">
        <v>696</v>
      </c>
      <c r="B860" s="233" t="s">
        <v>26</v>
      </c>
      <c r="C860" s="234" t="s">
        <v>50</v>
      </c>
      <c r="D860" s="234" t="s">
        <v>37</v>
      </c>
      <c r="E860" s="234" t="s">
        <v>389</v>
      </c>
      <c r="F860" s="234" t="s">
        <v>58</v>
      </c>
      <c r="G860" s="235">
        <f>G861+G870</f>
        <v>13442440</v>
      </c>
      <c r="H860" s="234">
        <v>7610000000</v>
      </c>
      <c r="I860" s="313" t="str">
        <f t="shared" si="96"/>
        <v>7610000000</v>
      </c>
      <c r="J860" s="30" t="str">
        <f t="shared" si="97"/>
        <v>60708047610000000000</v>
      </c>
    </row>
    <row r="861" spans="1:10" s="3" customFormat="1" ht="25.5">
      <c r="A861" s="232" t="s">
        <v>114</v>
      </c>
      <c r="B861" s="233" t="s">
        <v>26</v>
      </c>
      <c r="C861" s="234" t="s">
        <v>50</v>
      </c>
      <c r="D861" s="234" t="s">
        <v>37</v>
      </c>
      <c r="E861" s="234" t="s">
        <v>390</v>
      </c>
      <c r="F861" s="234" t="s">
        <v>58</v>
      </c>
      <c r="G861" s="235">
        <f>G862+G865+G867</f>
        <v>1472320</v>
      </c>
      <c r="H861" s="234">
        <v>7610010010</v>
      </c>
      <c r="I861" s="313" t="str">
        <f t="shared" si="96"/>
        <v>7610010010</v>
      </c>
      <c r="J861" s="30" t="str">
        <f t="shared" si="97"/>
        <v>60708047610010010000</v>
      </c>
    </row>
    <row r="862" spans="1:10" s="3" customFormat="1">
      <c r="A862" s="236" t="s">
        <v>107</v>
      </c>
      <c r="B862" s="233" t="s">
        <v>26</v>
      </c>
      <c r="C862" s="234" t="s">
        <v>50</v>
      </c>
      <c r="D862" s="234" t="s">
        <v>37</v>
      </c>
      <c r="E862" s="234" t="s">
        <v>390</v>
      </c>
      <c r="F862" s="234" t="s">
        <v>115</v>
      </c>
      <c r="G862" s="235">
        <f>SUM(G863:G864)</f>
        <v>357330</v>
      </c>
      <c r="H862" s="234">
        <v>7610010010</v>
      </c>
      <c r="I862" s="313" t="str">
        <f t="shared" si="96"/>
        <v>7610010010</v>
      </c>
      <c r="J862" s="30" t="str">
        <f t="shared" si="97"/>
        <v>60708047610010010120</v>
      </c>
    </row>
    <row r="863" spans="1:10" s="4" customFormat="1" ht="25.5">
      <c r="A863" s="236" t="s">
        <v>937</v>
      </c>
      <c r="B863" s="233" t="s">
        <v>26</v>
      </c>
      <c r="C863" s="234" t="s">
        <v>50</v>
      </c>
      <c r="D863" s="234" t="s">
        <v>37</v>
      </c>
      <c r="E863" s="234" t="s">
        <v>390</v>
      </c>
      <c r="F863" s="234" t="s">
        <v>1059</v>
      </c>
      <c r="G863" s="235">
        <f>VLOOKUP(J863,'исх АС БЮДЖЕТ'!$A$10:$H$568,6,0)</f>
        <v>274450</v>
      </c>
      <c r="H863" s="234">
        <v>7610010010</v>
      </c>
      <c r="I863" s="313" t="str">
        <f t="shared" si="96"/>
        <v>7610010010</v>
      </c>
      <c r="J863" s="30" t="str">
        <f t="shared" si="97"/>
        <v>60708047610010010122</v>
      </c>
    </row>
    <row r="864" spans="1:10" s="4" customFormat="1" ht="38.25">
      <c r="A864" s="236" t="s">
        <v>939</v>
      </c>
      <c r="B864" s="233" t="s">
        <v>26</v>
      </c>
      <c r="C864" s="234" t="s">
        <v>50</v>
      </c>
      <c r="D864" s="234" t="s">
        <v>37</v>
      </c>
      <c r="E864" s="234" t="s">
        <v>390</v>
      </c>
      <c r="F864" s="234" t="s">
        <v>1060</v>
      </c>
      <c r="G864" s="235">
        <f>VLOOKUP(J864,'исх АС БЮДЖЕТ'!$A$10:$H$568,6,0)</f>
        <v>82880</v>
      </c>
      <c r="H864" s="234">
        <v>7610010010</v>
      </c>
      <c r="I864" s="313" t="str">
        <f t="shared" si="96"/>
        <v>7610010010</v>
      </c>
      <c r="J864" s="30" t="str">
        <f t="shared" si="97"/>
        <v>60708047610010010129</v>
      </c>
    </row>
    <row r="865" spans="1:10" s="3" customFormat="1" ht="25.5">
      <c r="A865" s="232" t="s">
        <v>108</v>
      </c>
      <c r="B865" s="233" t="s">
        <v>26</v>
      </c>
      <c r="C865" s="234" t="s">
        <v>50</v>
      </c>
      <c r="D865" s="234" t="s">
        <v>37</v>
      </c>
      <c r="E865" s="234" t="s">
        <v>390</v>
      </c>
      <c r="F865" s="234" t="s">
        <v>116</v>
      </c>
      <c r="G865" s="235">
        <f>G866</f>
        <v>933790</v>
      </c>
      <c r="H865" s="234">
        <v>7610010010</v>
      </c>
      <c r="I865" s="313" t="str">
        <f t="shared" si="96"/>
        <v>7610010010</v>
      </c>
      <c r="J865" s="30" t="str">
        <f t="shared" si="97"/>
        <v>60708047610010010240</v>
      </c>
    </row>
    <row r="866" spans="1:10" s="4" customFormat="1" ht="25.5">
      <c r="A866" s="236" t="s">
        <v>973</v>
      </c>
      <c r="B866" s="233" t="s">
        <v>26</v>
      </c>
      <c r="C866" s="234" t="s">
        <v>50</v>
      </c>
      <c r="D866" s="234" t="s">
        <v>37</v>
      </c>
      <c r="E866" s="234" t="s">
        <v>390</v>
      </c>
      <c r="F866" s="234" t="s">
        <v>1043</v>
      </c>
      <c r="G866" s="235">
        <f>VLOOKUP(J866,'исх АС БЮДЖЕТ'!$A$10:$H$568,6,0)</f>
        <v>933790</v>
      </c>
      <c r="H866" s="234">
        <v>7610010010</v>
      </c>
      <c r="I866" s="313" t="str">
        <f t="shared" si="96"/>
        <v>7610010010</v>
      </c>
      <c r="J866" s="30" t="str">
        <f t="shared" si="97"/>
        <v>60708047610010010244</v>
      </c>
    </row>
    <row r="867" spans="1:10" s="3" customFormat="1">
      <c r="A867" s="232" t="s">
        <v>97</v>
      </c>
      <c r="B867" s="233" t="s">
        <v>26</v>
      </c>
      <c r="C867" s="234" t="s">
        <v>50</v>
      </c>
      <c r="D867" s="234" t="s">
        <v>37</v>
      </c>
      <c r="E867" s="234" t="s">
        <v>390</v>
      </c>
      <c r="F867" s="234" t="s">
        <v>118</v>
      </c>
      <c r="G867" s="235">
        <f>SUM(G868:G869)</f>
        <v>181200</v>
      </c>
      <c r="H867" s="234">
        <v>7610010010</v>
      </c>
      <c r="I867" s="313" t="str">
        <f t="shared" si="96"/>
        <v>7610010010</v>
      </c>
      <c r="J867" s="30" t="str">
        <f t="shared" si="97"/>
        <v>60708047610010010850</v>
      </c>
    </row>
    <row r="868" spans="1:10" s="4" customFormat="1">
      <c r="A868" s="236" t="s">
        <v>1036</v>
      </c>
      <c r="B868" s="233" t="s">
        <v>26</v>
      </c>
      <c r="C868" s="234" t="s">
        <v>50</v>
      </c>
      <c r="D868" s="234" t="s">
        <v>37</v>
      </c>
      <c r="E868" s="234" t="s">
        <v>390</v>
      </c>
      <c r="F868" s="234" t="s">
        <v>1061</v>
      </c>
      <c r="G868" s="235">
        <f>VLOOKUP(J868,'исх АС БЮДЖЕТ'!$A$10:$H$568,6,0)</f>
        <v>174200</v>
      </c>
      <c r="H868" s="234">
        <v>7610010010</v>
      </c>
      <c r="I868" s="313" t="str">
        <f t="shared" si="96"/>
        <v>7610010010</v>
      </c>
      <c r="J868" s="30" t="str">
        <f t="shared" si="97"/>
        <v>60708047610010010851</v>
      </c>
    </row>
    <row r="869" spans="1:10" s="4" customFormat="1">
      <c r="A869" s="236" t="s">
        <v>1037</v>
      </c>
      <c r="B869" s="233" t="s">
        <v>26</v>
      </c>
      <c r="C869" s="234" t="s">
        <v>50</v>
      </c>
      <c r="D869" s="234" t="s">
        <v>37</v>
      </c>
      <c r="E869" s="234" t="s">
        <v>390</v>
      </c>
      <c r="F869" s="234" t="s">
        <v>1062</v>
      </c>
      <c r="G869" s="235">
        <f>VLOOKUP(J869,'исх АС БЮДЖЕТ'!$A$10:$H$568,6,0)</f>
        <v>7000</v>
      </c>
      <c r="H869" s="234">
        <v>7610010010</v>
      </c>
      <c r="I869" s="313" t="str">
        <f t="shared" si="96"/>
        <v>7610010010</v>
      </c>
      <c r="J869" s="30" t="str">
        <f t="shared" si="97"/>
        <v>60708047610010010852</v>
      </c>
    </row>
    <row r="870" spans="1:10" s="3" customFormat="1" ht="25.5">
      <c r="A870" s="232" t="s">
        <v>126</v>
      </c>
      <c r="B870" s="233" t="s">
        <v>26</v>
      </c>
      <c r="C870" s="234" t="s">
        <v>50</v>
      </c>
      <c r="D870" s="234" t="s">
        <v>37</v>
      </c>
      <c r="E870" s="234" t="s">
        <v>391</v>
      </c>
      <c r="F870" s="234" t="s">
        <v>58</v>
      </c>
      <c r="G870" s="235">
        <f>G871</f>
        <v>11970120</v>
      </c>
      <c r="H870" s="234">
        <v>7610010020</v>
      </c>
      <c r="I870" s="313" t="str">
        <f t="shared" si="96"/>
        <v>7610010020</v>
      </c>
      <c r="J870" s="30" t="str">
        <f t="shared" si="97"/>
        <v>60708047610010020000</v>
      </c>
    </row>
    <row r="871" spans="1:10" s="3" customFormat="1">
      <c r="A871" s="236" t="s">
        <v>107</v>
      </c>
      <c r="B871" s="233" t="s">
        <v>26</v>
      </c>
      <c r="C871" s="234" t="s">
        <v>50</v>
      </c>
      <c r="D871" s="234" t="s">
        <v>37</v>
      </c>
      <c r="E871" s="234" t="s">
        <v>391</v>
      </c>
      <c r="F871" s="234" t="s">
        <v>115</v>
      </c>
      <c r="G871" s="235">
        <f>SUM(G872:G873)</f>
        <v>11970120</v>
      </c>
      <c r="H871" s="234">
        <v>7610010020</v>
      </c>
      <c r="I871" s="313" t="str">
        <f t="shared" si="96"/>
        <v>7610010020</v>
      </c>
      <c r="J871" s="30" t="str">
        <f t="shared" si="97"/>
        <v>60708047610010020120</v>
      </c>
    </row>
    <row r="872" spans="1:10" s="4" customFormat="1">
      <c r="A872" s="236" t="s">
        <v>936</v>
      </c>
      <c r="B872" s="233" t="s">
        <v>26</v>
      </c>
      <c r="C872" s="234" t="s">
        <v>50</v>
      </c>
      <c r="D872" s="234" t="s">
        <v>37</v>
      </c>
      <c r="E872" s="234" t="s">
        <v>391</v>
      </c>
      <c r="F872" s="234" t="s">
        <v>1063</v>
      </c>
      <c r="G872" s="235">
        <f>VLOOKUP(J872,'исх АС БЮДЖЕТ'!$A$10:$H$568,6,0)</f>
        <v>9193640</v>
      </c>
      <c r="H872" s="234">
        <v>7610010020</v>
      </c>
      <c r="I872" s="313" t="str">
        <f t="shared" si="96"/>
        <v>7610010020</v>
      </c>
      <c r="J872" s="30" t="str">
        <f t="shared" si="97"/>
        <v>60708047610010020121</v>
      </c>
    </row>
    <row r="873" spans="1:10" s="4" customFormat="1" ht="38.25">
      <c r="A873" s="236" t="s">
        <v>939</v>
      </c>
      <c r="B873" s="233" t="s">
        <v>26</v>
      </c>
      <c r="C873" s="234" t="s">
        <v>50</v>
      </c>
      <c r="D873" s="234" t="s">
        <v>37</v>
      </c>
      <c r="E873" s="234" t="s">
        <v>391</v>
      </c>
      <c r="F873" s="234" t="s">
        <v>1060</v>
      </c>
      <c r="G873" s="235">
        <f>VLOOKUP(J873,'исх АС БЮДЖЕТ'!$A$10:$H$568,6,0)</f>
        <v>2776480</v>
      </c>
      <c r="H873" s="234">
        <v>7610010020</v>
      </c>
      <c r="I873" s="313" t="str">
        <f t="shared" si="96"/>
        <v>7610010020</v>
      </c>
      <c r="J873" s="30" t="str">
        <f t="shared" si="97"/>
        <v>60708047610010020129</v>
      </c>
    </row>
    <row r="874" spans="1:10" s="3" customFormat="1">
      <c r="A874" s="236" t="s">
        <v>175</v>
      </c>
      <c r="B874" s="233" t="s">
        <v>26</v>
      </c>
      <c r="C874" s="234" t="s">
        <v>50</v>
      </c>
      <c r="D874" s="234" t="s">
        <v>37</v>
      </c>
      <c r="E874" s="234" t="s">
        <v>371</v>
      </c>
      <c r="F874" s="234" t="s">
        <v>58</v>
      </c>
      <c r="G874" s="235">
        <f t="shared" ref="G874:G875" si="98">G875</f>
        <v>160000</v>
      </c>
      <c r="H874" s="234">
        <v>7620000000</v>
      </c>
      <c r="I874" s="313" t="str">
        <f t="shared" si="96"/>
        <v>7620000000</v>
      </c>
      <c r="J874" s="30" t="str">
        <f t="shared" si="97"/>
        <v>60708047620000000000</v>
      </c>
    </row>
    <row r="875" spans="1:10" s="3" customFormat="1" ht="25.5">
      <c r="A875" s="232" t="s">
        <v>697</v>
      </c>
      <c r="B875" s="233" t="s">
        <v>26</v>
      </c>
      <c r="C875" s="234" t="s">
        <v>50</v>
      </c>
      <c r="D875" s="234" t="s">
        <v>37</v>
      </c>
      <c r="E875" s="234" t="s">
        <v>689</v>
      </c>
      <c r="F875" s="234" t="s">
        <v>58</v>
      </c>
      <c r="G875" s="235">
        <f t="shared" si="98"/>
        <v>160000</v>
      </c>
      <c r="H875" s="234">
        <v>7620020250</v>
      </c>
      <c r="I875" s="313" t="str">
        <f t="shared" si="96"/>
        <v>7620020250</v>
      </c>
      <c r="J875" s="30" t="str">
        <f t="shared" si="97"/>
        <v>60708047620020250000</v>
      </c>
    </row>
    <row r="876" spans="1:10" s="3" customFormat="1" ht="25.5">
      <c r="A876" s="232" t="s">
        <v>108</v>
      </c>
      <c r="B876" s="233" t="s">
        <v>26</v>
      </c>
      <c r="C876" s="234" t="s">
        <v>50</v>
      </c>
      <c r="D876" s="234" t="s">
        <v>37</v>
      </c>
      <c r="E876" s="234" t="s">
        <v>689</v>
      </c>
      <c r="F876" s="234" t="s">
        <v>116</v>
      </c>
      <c r="G876" s="235">
        <f>G877</f>
        <v>160000</v>
      </c>
      <c r="H876" s="234">
        <v>7620020250</v>
      </c>
      <c r="I876" s="313" t="str">
        <f t="shared" si="96"/>
        <v>7620020250</v>
      </c>
      <c r="J876" s="30" t="str">
        <f t="shared" si="97"/>
        <v>60708047620020250240</v>
      </c>
    </row>
    <row r="877" spans="1:10" s="4" customFormat="1" ht="25.5">
      <c r="A877" s="236" t="s">
        <v>973</v>
      </c>
      <c r="B877" s="233" t="s">
        <v>26</v>
      </c>
      <c r="C877" s="234" t="s">
        <v>50</v>
      </c>
      <c r="D877" s="234" t="s">
        <v>37</v>
      </c>
      <c r="E877" s="234" t="s">
        <v>689</v>
      </c>
      <c r="F877" s="234" t="s">
        <v>1043</v>
      </c>
      <c r="G877" s="235">
        <f>VLOOKUP(J877,'исх АС БЮДЖЕТ'!$A$10:$H$568,6,0)</f>
        <v>160000</v>
      </c>
      <c r="H877" s="234">
        <v>7620020250</v>
      </c>
      <c r="I877" s="313" t="str">
        <f t="shared" si="96"/>
        <v>7620020250</v>
      </c>
      <c r="J877" s="30" t="str">
        <f t="shared" si="97"/>
        <v>60708047620020250244</v>
      </c>
    </row>
    <row r="878" spans="1:10" s="3" customFormat="1">
      <c r="A878" s="232"/>
      <c r="B878" s="233"/>
      <c r="C878" s="234"/>
      <c r="D878" s="234"/>
      <c r="E878" s="234"/>
      <c r="F878" s="234"/>
      <c r="G878" s="235"/>
      <c r="H878" s="234"/>
      <c r="I878" s="313" t="str">
        <f t="shared" si="96"/>
        <v>0000000000</v>
      </c>
      <c r="J878" s="30" t="str">
        <f t="shared" si="97"/>
        <v>0000000000</v>
      </c>
    </row>
    <row r="879" spans="1:10" s="259" customFormat="1" ht="21.75" customHeight="1">
      <c r="A879" s="219" t="s">
        <v>178</v>
      </c>
      <c r="B879" s="220" t="s">
        <v>62</v>
      </c>
      <c r="C879" s="221" t="s">
        <v>51</v>
      </c>
      <c r="D879" s="221" t="s">
        <v>51</v>
      </c>
      <c r="E879" s="221" t="s">
        <v>196</v>
      </c>
      <c r="F879" s="221" t="s">
        <v>58</v>
      </c>
      <c r="G879" s="258">
        <f>G894+G880</f>
        <v>1861627218.79</v>
      </c>
      <c r="H879" s="221">
        <v>0</v>
      </c>
      <c r="I879" s="313" t="str">
        <f t="shared" si="96"/>
        <v>0000000000</v>
      </c>
      <c r="J879" s="30" t="str">
        <f t="shared" si="97"/>
        <v>60900000000000000000</v>
      </c>
    </row>
    <row r="880" spans="1:10" s="109" customFormat="1">
      <c r="A880" s="224" t="s">
        <v>64</v>
      </c>
      <c r="B880" s="225" t="s">
        <v>62</v>
      </c>
      <c r="C880" s="226" t="s">
        <v>65</v>
      </c>
      <c r="D880" s="226" t="s">
        <v>51</v>
      </c>
      <c r="E880" s="226" t="s">
        <v>196</v>
      </c>
      <c r="F880" s="226" t="s">
        <v>58</v>
      </c>
      <c r="G880" s="227">
        <f t="shared" ref="G880:G885" si="99">G881</f>
        <v>390940.71</v>
      </c>
      <c r="H880" s="226">
        <v>0</v>
      </c>
      <c r="I880" s="313" t="str">
        <f t="shared" si="96"/>
        <v>0000000000</v>
      </c>
      <c r="J880" s="30" t="str">
        <f t="shared" si="97"/>
        <v>60901000000000000000</v>
      </c>
    </row>
    <row r="881" spans="1:10" s="109" customFormat="1">
      <c r="A881" s="228" t="s">
        <v>38</v>
      </c>
      <c r="B881" s="229" t="s">
        <v>62</v>
      </c>
      <c r="C881" s="230" t="s">
        <v>65</v>
      </c>
      <c r="D881" s="230" t="s">
        <v>84</v>
      </c>
      <c r="E881" s="230" t="s">
        <v>196</v>
      </c>
      <c r="F881" s="230" t="s">
        <v>58</v>
      </c>
      <c r="G881" s="231">
        <f>G882+G888</f>
        <v>390940.71</v>
      </c>
      <c r="H881" s="230">
        <v>0</v>
      </c>
      <c r="I881" s="313" t="str">
        <f t="shared" si="96"/>
        <v>0000000000</v>
      </c>
      <c r="J881" s="30" t="str">
        <f t="shared" si="97"/>
        <v>60901130000000000000</v>
      </c>
    </row>
    <row r="882" spans="1:10" s="109" customFormat="1" ht="38.25">
      <c r="A882" s="244" t="s">
        <v>745</v>
      </c>
      <c r="B882" s="233" t="s">
        <v>62</v>
      </c>
      <c r="C882" s="234" t="s">
        <v>65</v>
      </c>
      <c r="D882" s="234" t="s">
        <v>84</v>
      </c>
      <c r="E882" s="234" t="s">
        <v>280</v>
      </c>
      <c r="F882" s="234" t="s">
        <v>58</v>
      </c>
      <c r="G882" s="235">
        <f t="shared" si="99"/>
        <v>6594</v>
      </c>
      <c r="H882" s="234">
        <v>1100000000</v>
      </c>
      <c r="I882" s="313" t="str">
        <f t="shared" si="96"/>
        <v>1100000000</v>
      </c>
      <c r="J882" s="30" t="str">
        <f t="shared" si="97"/>
        <v>60901131100000000000</v>
      </c>
    </row>
    <row r="883" spans="1:10" s="109" customFormat="1" ht="38.25">
      <c r="A883" s="244" t="s">
        <v>746</v>
      </c>
      <c r="B883" s="233" t="s">
        <v>62</v>
      </c>
      <c r="C883" s="234" t="s">
        <v>65</v>
      </c>
      <c r="D883" s="234" t="s">
        <v>84</v>
      </c>
      <c r="E883" s="234" t="s">
        <v>281</v>
      </c>
      <c r="F883" s="234" t="s">
        <v>58</v>
      </c>
      <c r="G883" s="235">
        <f t="shared" si="99"/>
        <v>6594</v>
      </c>
      <c r="H883" s="234" t="s">
        <v>1185</v>
      </c>
      <c r="I883" s="313" t="str">
        <f t="shared" si="96"/>
        <v>11Б0000000</v>
      </c>
      <c r="J883" s="30" t="str">
        <f t="shared" si="97"/>
        <v>609011311Б0000000000</v>
      </c>
    </row>
    <row r="884" spans="1:10" s="109" customFormat="1" ht="25.5">
      <c r="A884" s="232" t="s">
        <v>282</v>
      </c>
      <c r="B884" s="233" t="s">
        <v>62</v>
      </c>
      <c r="C884" s="234" t="s">
        <v>65</v>
      </c>
      <c r="D884" s="234" t="s">
        <v>84</v>
      </c>
      <c r="E884" s="234" t="s">
        <v>283</v>
      </c>
      <c r="F884" s="234" t="s">
        <v>58</v>
      </c>
      <c r="G884" s="235">
        <f t="shared" si="99"/>
        <v>6594</v>
      </c>
      <c r="H884" s="234" t="s">
        <v>1186</v>
      </c>
      <c r="I884" s="313" t="str">
        <f t="shared" si="96"/>
        <v>11Б0100000</v>
      </c>
      <c r="J884" s="30" t="str">
        <f t="shared" si="97"/>
        <v>609011311Б0100000000</v>
      </c>
    </row>
    <row r="885" spans="1:10" s="259" customFormat="1" ht="25.5">
      <c r="A885" s="232" t="s">
        <v>859</v>
      </c>
      <c r="B885" s="233" t="s">
        <v>62</v>
      </c>
      <c r="C885" s="234" t="s">
        <v>65</v>
      </c>
      <c r="D885" s="234" t="s">
        <v>84</v>
      </c>
      <c r="E885" s="234" t="s">
        <v>858</v>
      </c>
      <c r="F885" s="234" t="s">
        <v>58</v>
      </c>
      <c r="G885" s="235">
        <f t="shared" si="99"/>
        <v>6594</v>
      </c>
      <c r="H885" s="234" t="s">
        <v>1189</v>
      </c>
      <c r="I885" s="313" t="str">
        <f t="shared" si="96"/>
        <v>11Б0121120</v>
      </c>
      <c r="J885" s="30" t="str">
        <f t="shared" si="97"/>
        <v>609011311Б0121120000</v>
      </c>
    </row>
    <row r="886" spans="1:10" s="259" customFormat="1" ht="25.5">
      <c r="A886" s="232" t="s">
        <v>108</v>
      </c>
      <c r="B886" s="233" t="s">
        <v>62</v>
      </c>
      <c r="C886" s="234" t="s">
        <v>65</v>
      </c>
      <c r="D886" s="234" t="s">
        <v>84</v>
      </c>
      <c r="E886" s="234" t="s">
        <v>858</v>
      </c>
      <c r="F886" s="234" t="s">
        <v>116</v>
      </c>
      <c r="G886" s="235">
        <f>G887</f>
        <v>6594</v>
      </c>
      <c r="H886" s="234" t="s">
        <v>1189</v>
      </c>
      <c r="I886" s="313" t="str">
        <f t="shared" si="96"/>
        <v>11Б0121120</v>
      </c>
      <c r="J886" s="30" t="str">
        <f t="shared" si="97"/>
        <v>609011311Б0121120240</v>
      </c>
    </row>
    <row r="887" spans="1:10" s="260" customFormat="1" ht="25.5">
      <c r="A887" s="236" t="s">
        <v>973</v>
      </c>
      <c r="B887" s="233" t="s">
        <v>62</v>
      </c>
      <c r="C887" s="234" t="s">
        <v>65</v>
      </c>
      <c r="D887" s="234" t="s">
        <v>84</v>
      </c>
      <c r="E887" s="234" t="s">
        <v>858</v>
      </c>
      <c r="F887" s="234" t="s">
        <v>1043</v>
      </c>
      <c r="G887" s="235">
        <f>VLOOKUP(J887,'исх АС БЮДЖЕТ'!$A$10:$H$568,6,0)</f>
        <v>6594</v>
      </c>
      <c r="H887" s="234" t="s">
        <v>1189</v>
      </c>
      <c r="I887" s="313" t="str">
        <f t="shared" si="96"/>
        <v>11Б0121120</v>
      </c>
      <c r="J887" s="30" t="str">
        <f t="shared" si="97"/>
        <v>609011311Б0121120244</v>
      </c>
    </row>
    <row r="888" spans="1:10" s="260" customFormat="1" ht="25.5">
      <c r="A888" s="262" t="s">
        <v>186</v>
      </c>
      <c r="B888" s="233" t="s">
        <v>62</v>
      </c>
      <c r="C888" s="234" t="s">
        <v>65</v>
      </c>
      <c r="D888" s="234" t="s">
        <v>84</v>
      </c>
      <c r="E888" s="234" t="s">
        <v>1175</v>
      </c>
      <c r="F888" s="234" t="s">
        <v>58</v>
      </c>
      <c r="G888" s="235">
        <f>G889</f>
        <v>384346.71</v>
      </c>
      <c r="H888" s="234">
        <v>7700000000</v>
      </c>
      <c r="I888" s="313" t="str">
        <f t="shared" si="96"/>
        <v>7700000000</v>
      </c>
      <c r="J888" s="30" t="str">
        <f t="shared" si="97"/>
        <v>60901137700000000000</v>
      </c>
    </row>
    <row r="889" spans="1:10" s="260" customFormat="1" ht="25.5">
      <c r="A889" s="262" t="s">
        <v>189</v>
      </c>
      <c r="B889" s="233" t="s">
        <v>62</v>
      </c>
      <c r="C889" s="234" t="s">
        <v>65</v>
      </c>
      <c r="D889" s="234" t="s">
        <v>84</v>
      </c>
      <c r="E889" s="234" t="s">
        <v>444</v>
      </c>
      <c r="F889" s="234" t="s">
        <v>58</v>
      </c>
      <c r="G889" s="235">
        <f>G890</f>
        <v>384346.71</v>
      </c>
      <c r="H889" s="234">
        <v>7710000000</v>
      </c>
      <c r="I889" s="313" t="str">
        <f t="shared" si="96"/>
        <v>7710000000</v>
      </c>
      <c r="J889" s="30" t="str">
        <f t="shared" si="97"/>
        <v>60901137710000000000</v>
      </c>
    </row>
    <row r="890" spans="1:10" s="260" customFormat="1" ht="25.5">
      <c r="A890" s="232" t="s">
        <v>602</v>
      </c>
      <c r="B890" s="233" t="s">
        <v>62</v>
      </c>
      <c r="C890" s="234" t="s">
        <v>65</v>
      </c>
      <c r="D890" s="234" t="s">
        <v>84</v>
      </c>
      <c r="E890" s="234" t="s">
        <v>1176</v>
      </c>
      <c r="F890" s="234" t="s">
        <v>58</v>
      </c>
      <c r="G890" s="235">
        <f>G891</f>
        <v>384346.71</v>
      </c>
      <c r="H890" s="234">
        <v>7710010050</v>
      </c>
      <c r="I890" s="313" t="str">
        <f t="shared" si="96"/>
        <v>7710010050</v>
      </c>
      <c r="J890" s="30" t="str">
        <f t="shared" si="97"/>
        <v>60901137710010050000</v>
      </c>
    </row>
    <row r="891" spans="1:10" s="260" customFormat="1">
      <c r="A891" s="236" t="s">
        <v>107</v>
      </c>
      <c r="B891" s="233" t="s">
        <v>62</v>
      </c>
      <c r="C891" s="242" t="s">
        <v>65</v>
      </c>
      <c r="D891" s="242" t="s">
        <v>84</v>
      </c>
      <c r="E891" s="234" t="s">
        <v>1176</v>
      </c>
      <c r="F891" s="242" t="s">
        <v>115</v>
      </c>
      <c r="G891" s="235">
        <f>SUM(G892:G893)</f>
        <v>384346.71</v>
      </c>
      <c r="H891" s="234">
        <v>7710010050</v>
      </c>
      <c r="I891" s="313" t="str">
        <f t="shared" si="96"/>
        <v>7710010050</v>
      </c>
      <c r="J891" s="30" t="str">
        <f t="shared" si="97"/>
        <v>60901137710010050120</v>
      </c>
    </row>
    <row r="892" spans="1:10" s="260" customFormat="1" ht="25.5">
      <c r="A892" s="236" t="s">
        <v>937</v>
      </c>
      <c r="B892" s="233" t="s">
        <v>62</v>
      </c>
      <c r="C892" s="242" t="s">
        <v>65</v>
      </c>
      <c r="D892" s="242" t="s">
        <v>84</v>
      </c>
      <c r="E892" s="234" t="s">
        <v>1176</v>
      </c>
      <c r="F892" s="242" t="s">
        <v>1059</v>
      </c>
      <c r="G892" s="235">
        <f>VLOOKUP(J892,'исх АС БЮДЖЕТ'!$A$10:$H$568,6,0)</f>
        <v>301922</v>
      </c>
      <c r="H892" s="234">
        <v>7710010050</v>
      </c>
      <c r="I892" s="313" t="str">
        <f t="shared" si="96"/>
        <v>7710010050</v>
      </c>
      <c r="J892" s="30" t="str">
        <f t="shared" si="97"/>
        <v>60901137710010050122</v>
      </c>
    </row>
    <row r="893" spans="1:10" s="260" customFormat="1" ht="38.25">
      <c r="A893" s="236" t="s">
        <v>939</v>
      </c>
      <c r="B893" s="233" t="s">
        <v>62</v>
      </c>
      <c r="C893" s="242" t="s">
        <v>65</v>
      </c>
      <c r="D893" s="242" t="s">
        <v>84</v>
      </c>
      <c r="E893" s="234" t="s">
        <v>1176</v>
      </c>
      <c r="F893" s="242" t="s">
        <v>1060</v>
      </c>
      <c r="G893" s="235">
        <f>VLOOKUP(J893,'исх АС БЮДЖЕТ'!$A$10:$H$568,6,0)</f>
        <v>82424.710000000006</v>
      </c>
      <c r="H893" s="234">
        <v>7710010050</v>
      </c>
      <c r="I893" s="313" t="str">
        <f t="shared" si="96"/>
        <v>7710010050</v>
      </c>
      <c r="J893" s="30" t="str">
        <f t="shared" si="97"/>
        <v>60901137710010050129</v>
      </c>
    </row>
    <row r="894" spans="1:10" s="30" customFormat="1">
      <c r="A894" s="224" t="s">
        <v>49</v>
      </c>
      <c r="B894" s="225" t="s">
        <v>62</v>
      </c>
      <c r="C894" s="226" t="s">
        <v>14</v>
      </c>
      <c r="D894" s="226" t="s">
        <v>51</v>
      </c>
      <c r="E894" s="226" t="s">
        <v>196</v>
      </c>
      <c r="F894" s="226" t="s">
        <v>58</v>
      </c>
      <c r="G894" s="227">
        <f>G895+G1039+G1049</f>
        <v>1861236278.0799999</v>
      </c>
      <c r="H894" s="226">
        <v>0</v>
      </c>
      <c r="I894" s="313" t="str">
        <f t="shared" si="96"/>
        <v>0000000000</v>
      </c>
      <c r="J894" s="30" t="str">
        <f t="shared" si="97"/>
        <v>60910000000000000000</v>
      </c>
    </row>
    <row r="895" spans="1:10" s="30" customFormat="1">
      <c r="A895" s="228" t="s">
        <v>63</v>
      </c>
      <c r="B895" s="229" t="s">
        <v>62</v>
      </c>
      <c r="C895" s="230" t="s">
        <v>14</v>
      </c>
      <c r="D895" s="230" t="s">
        <v>53</v>
      </c>
      <c r="E895" s="230" t="s">
        <v>196</v>
      </c>
      <c r="F895" s="230" t="s">
        <v>58</v>
      </c>
      <c r="G895" s="231">
        <f>G896+G1034</f>
        <v>1646789209.05</v>
      </c>
      <c r="H895" s="230">
        <v>0</v>
      </c>
      <c r="I895" s="313" t="str">
        <f t="shared" si="96"/>
        <v>0000000000</v>
      </c>
      <c r="J895" s="30" t="str">
        <f t="shared" si="97"/>
        <v>60910030000000000000</v>
      </c>
    </row>
    <row r="896" spans="1:10" s="30" customFormat="1">
      <c r="A896" s="248" t="s">
        <v>727</v>
      </c>
      <c r="B896" s="233" t="s">
        <v>62</v>
      </c>
      <c r="C896" s="234" t="s">
        <v>14</v>
      </c>
      <c r="D896" s="234" t="s">
        <v>53</v>
      </c>
      <c r="E896" s="234" t="s">
        <v>327</v>
      </c>
      <c r="F896" s="234" t="s">
        <v>58</v>
      </c>
      <c r="G896" s="235">
        <f>G897+G980+G1029</f>
        <v>1646756040.21</v>
      </c>
      <c r="H896" s="234">
        <v>300000000</v>
      </c>
      <c r="I896" s="313" t="str">
        <f t="shared" si="96"/>
        <v>0300000000</v>
      </c>
      <c r="J896" s="30" t="str">
        <f t="shared" si="97"/>
        <v>60910030300000000000</v>
      </c>
    </row>
    <row r="897" spans="1:10" s="30" customFormat="1" ht="25.5">
      <c r="A897" s="262" t="s">
        <v>728</v>
      </c>
      <c r="B897" s="233" t="s">
        <v>62</v>
      </c>
      <c r="C897" s="234" t="s">
        <v>14</v>
      </c>
      <c r="D897" s="234" t="s">
        <v>53</v>
      </c>
      <c r="E897" s="234" t="s">
        <v>392</v>
      </c>
      <c r="F897" s="234" t="s">
        <v>58</v>
      </c>
      <c r="G897" s="235">
        <f>G898+G958</f>
        <v>1623217145.21</v>
      </c>
      <c r="H897" s="234">
        <v>310000000</v>
      </c>
      <c r="I897" s="313" t="str">
        <f t="shared" si="96"/>
        <v>0310000000</v>
      </c>
      <c r="J897" s="30" t="str">
        <f t="shared" si="97"/>
        <v>60910030310000000000</v>
      </c>
    </row>
    <row r="898" spans="1:10" s="30" customFormat="1" ht="25.5">
      <c r="A898" s="263" t="s">
        <v>393</v>
      </c>
      <c r="B898" s="233" t="s">
        <v>62</v>
      </c>
      <c r="C898" s="234" t="s">
        <v>14</v>
      </c>
      <c r="D898" s="234" t="s">
        <v>53</v>
      </c>
      <c r="E898" s="234" t="s">
        <v>394</v>
      </c>
      <c r="F898" s="234" t="s">
        <v>58</v>
      </c>
      <c r="G898" s="235">
        <f>G899+G904+G912+G917+G923+G928+G933+G938+G943+G948+G953+G920</f>
        <v>1301930435.21</v>
      </c>
      <c r="H898" s="234">
        <v>310100000</v>
      </c>
      <c r="I898" s="313" t="str">
        <f t="shared" si="96"/>
        <v>0310100000</v>
      </c>
      <c r="J898" s="30" t="str">
        <f t="shared" si="97"/>
        <v>60910030310100000000</v>
      </c>
    </row>
    <row r="899" spans="1:10" s="30" customFormat="1" ht="25.5">
      <c r="A899" s="248" t="s">
        <v>593</v>
      </c>
      <c r="B899" s="233" t="s">
        <v>62</v>
      </c>
      <c r="C899" s="234" t="s">
        <v>14</v>
      </c>
      <c r="D899" s="234" t="s">
        <v>53</v>
      </c>
      <c r="E899" s="234" t="s">
        <v>395</v>
      </c>
      <c r="F899" s="234" t="s">
        <v>58</v>
      </c>
      <c r="G899" s="235">
        <f>G900+G902</f>
        <v>15594207.209999999</v>
      </c>
      <c r="H899" s="234">
        <v>310152200</v>
      </c>
      <c r="I899" s="313" t="str">
        <f t="shared" si="96"/>
        <v>0310152200</v>
      </c>
      <c r="J899" s="30" t="str">
        <f t="shared" si="97"/>
        <v>60910030310152200000</v>
      </c>
    </row>
    <row r="900" spans="1:10" s="30" customFormat="1" ht="25.5">
      <c r="A900" s="232" t="s">
        <v>108</v>
      </c>
      <c r="B900" s="233" t="s">
        <v>62</v>
      </c>
      <c r="C900" s="234" t="s">
        <v>14</v>
      </c>
      <c r="D900" s="234" t="s">
        <v>53</v>
      </c>
      <c r="E900" s="234" t="s">
        <v>395</v>
      </c>
      <c r="F900" s="234" t="s">
        <v>116</v>
      </c>
      <c r="G900" s="235">
        <f>G901</f>
        <v>230456.26</v>
      </c>
      <c r="H900" s="234">
        <v>310152200</v>
      </c>
      <c r="I900" s="313" t="str">
        <f t="shared" si="96"/>
        <v>0310152200</v>
      </c>
      <c r="J900" s="30" t="str">
        <f t="shared" si="97"/>
        <v>60910030310152200240</v>
      </c>
    </row>
    <row r="901" spans="1:10" s="83" customFormat="1" ht="25.5">
      <c r="A901" s="236" t="s">
        <v>973</v>
      </c>
      <c r="B901" s="233" t="s">
        <v>62</v>
      </c>
      <c r="C901" s="234" t="s">
        <v>14</v>
      </c>
      <c r="D901" s="234" t="s">
        <v>53</v>
      </c>
      <c r="E901" s="234" t="s">
        <v>395</v>
      </c>
      <c r="F901" s="234" t="s">
        <v>1043</v>
      </c>
      <c r="G901" s="235">
        <f>VLOOKUP(J901,'исх АС БЮДЖЕТ'!$A$10:$H$568,6,0)</f>
        <v>230456.26</v>
      </c>
      <c r="H901" s="234">
        <v>310152200</v>
      </c>
      <c r="I901" s="313" t="str">
        <f t="shared" si="96"/>
        <v>0310152200</v>
      </c>
      <c r="J901" s="30" t="str">
        <f t="shared" si="97"/>
        <v>60910030310152200244</v>
      </c>
    </row>
    <row r="902" spans="1:10" s="30" customFormat="1">
      <c r="A902" s="244" t="s">
        <v>109</v>
      </c>
      <c r="B902" s="233" t="s">
        <v>62</v>
      </c>
      <c r="C902" s="234" t="s">
        <v>14</v>
      </c>
      <c r="D902" s="234" t="s">
        <v>53</v>
      </c>
      <c r="E902" s="234" t="s">
        <v>395</v>
      </c>
      <c r="F902" s="234" t="s">
        <v>134</v>
      </c>
      <c r="G902" s="235">
        <f>G903</f>
        <v>15363750.949999999</v>
      </c>
      <c r="H902" s="234">
        <v>310152200</v>
      </c>
      <c r="I902" s="313" t="str">
        <f t="shared" si="96"/>
        <v>0310152200</v>
      </c>
      <c r="J902" s="30" t="str">
        <f t="shared" si="97"/>
        <v>60910030310152200310</v>
      </c>
    </row>
    <row r="903" spans="1:10" s="83" customFormat="1" ht="25.5">
      <c r="A903" s="236" t="s">
        <v>978</v>
      </c>
      <c r="B903" s="233" t="s">
        <v>62</v>
      </c>
      <c r="C903" s="234" t="s">
        <v>14</v>
      </c>
      <c r="D903" s="234" t="s">
        <v>53</v>
      </c>
      <c r="E903" s="234" t="s">
        <v>395</v>
      </c>
      <c r="F903" s="234" t="s">
        <v>1064</v>
      </c>
      <c r="G903" s="235">
        <f>VLOOKUP(J903,'исх АС БЮДЖЕТ'!$A$10:$H$568,6,0)</f>
        <v>15363750.949999999</v>
      </c>
      <c r="H903" s="234">
        <v>310152200</v>
      </c>
      <c r="I903" s="313" t="str">
        <f t="shared" si="96"/>
        <v>0310152200</v>
      </c>
      <c r="J903" s="30" t="str">
        <f t="shared" si="97"/>
        <v>60910030310152200313</v>
      </c>
    </row>
    <row r="904" spans="1:10" s="30" customFormat="1" ht="25.5">
      <c r="A904" s="248" t="s">
        <v>396</v>
      </c>
      <c r="B904" s="233" t="s">
        <v>62</v>
      </c>
      <c r="C904" s="234" t="s">
        <v>14</v>
      </c>
      <c r="D904" s="234" t="s">
        <v>53</v>
      </c>
      <c r="E904" s="234" t="s">
        <v>397</v>
      </c>
      <c r="F904" s="234" t="s">
        <v>58</v>
      </c>
      <c r="G904" s="235">
        <f>G905+G908+G910</f>
        <v>340047600</v>
      </c>
      <c r="H904" s="234">
        <v>310152500</v>
      </c>
      <c r="I904" s="313" t="str">
        <f t="shared" si="96"/>
        <v>0310152500</v>
      </c>
      <c r="J904" s="30" t="str">
        <f t="shared" si="97"/>
        <v>60910030310152500000</v>
      </c>
    </row>
    <row r="905" spans="1:10" s="30" customFormat="1">
      <c r="A905" s="236" t="s">
        <v>107</v>
      </c>
      <c r="B905" s="233" t="s">
        <v>62</v>
      </c>
      <c r="C905" s="234" t="s">
        <v>14</v>
      </c>
      <c r="D905" s="234" t="s">
        <v>53</v>
      </c>
      <c r="E905" s="234" t="s">
        <v>397</v>
      </c>
      <c r="F905" s="234" t="s">
        <v>115</v>
      </c>
      <c r="G905" s="235">
        <f>SUM(G906:G907)</f>
        <v>1654900</v>
      </c>
      <c r="H905" s="234">
        <v>310152500</v>
      </c>
      <c r="I905" s="313" t="str">
        <f t="shared" si="96"/>
        <v>0310152500</v>
      </c>
      <c r="J905" s="30" t="str">
        <f t="shared" si="97"/>
        <v>60910030310152500120</v>
      </c>
    </row>
    <row r="906" spans="1:10" s="83" customFormat="1">
      <c r="A906" s="236" t="s">
        <v>936</v>
      </c>
      <c r="B906" s="233" t="s">
        <v>62</v>
      </c>
      <c r="C906" s="234" t="s">
        <v>14</v>
      </c>
      <c r="D906" s="234" t="s">
        <v>53</v>
      </c>
      <c r="E906" s="234" t="s">
        <v>397</v>
      </c>
      <c r="F906" s="234" t="s">
        <v>1063</v>
      </c>
      <c r="G906" s="235">
        <f>VLOOKUP(J906,'исх АС БЮДЖЕТ'!$A$10:$H$568,6,0)</f>
        <v>1300000</v>
      </c>
      <c r="H906" s="234">
        <v>310152500</v>
      </c>
      <c r="I906" s="313" t="str">
        <f t="shared" si="96"/>
        <v>0310152500</v>
      </c>
      <c r="J906" s="30" t="str">
        <f t="shared" si="97"/>
        <v>60910030310152500121</v>
      </c>
    </row>
    <row r="907" spans="1:10" s="83" customFormat="1" ht="38.25">
      <c r="A907" s="236" t="s">
        <v>939</v>
      </c>
      <c r="B907" s="233" t="s">
        <v>62</v>
      </c>
      <c r="C907" s="234" t="s">
        <v>14</v>
      </c>
      <c r="D907" s="234" t="s">
        <v>53</v>
      </c>
      <c r="E907" s="234" t="s">
        <v>397</v>
      </c>
      <c r="F907" s="234" t="s">
        <v>1060</v>
      </c>
      <c r="G907" s="235">
        <f>VLOOKUP(J907,'исх АС БЮДЖЕТ'!$A$10:$H$568,6,0)</f>
        <v>354900</v>
      </c>
      <c r="H907" s="234">
        <v>310152500</v>
      </c>
      <c r="I907" s="313" t="str">
        <f t="shared" si="96"/>
        <v>0310152500</v>
      </c>
      <c r="J907" s="30" t="str">
        <f t="shared" si="97"/>
        <v>60910030310152500129</v>
      </c>
    </row>
    <row r="908" spans="1:10" s="30" customFormat="1" ht="25.5">
      <c r="A908" s="232" t="s">
        <v>108</v>
      </c>
      <c r="B908" s="233" t="s">
        <v>62</v>
      </c>
      <c r="C908" s="234" t="s">
        <v>14</v>
      </c>
      <c r="D908" s="234" t="s">
        <v>53</v>
      </c>
      <c r="E908" s="234" t="s">
        <v>397</v>
      </c>
      <c r="F908" s="234" t="s">
        <v>116</v>
      </c>
      <c r="G908" s="235">
        <f>G909</f>
        <v>3369700</v>
      </c>
      <c r="H908" s="234">
        <v>310152500</v>
      </c>
      <c r="I908" s="313" t="str">
        <f t="shared" si="96"/>
        <v>0310152500</v>
      </c>
      <c r="J908" s="30" t="str">
        <f t="shared" si="97"/>
        <v>60910030310152500240</v>
      </c>
    </row>
    <row r="909" spans="1:10" s="83" customFormat="1" ht="25.5">
      <c r="A909" s="236" t="s">
        <v>973</v>
      </c>
      <c r="B909" s="233" t="s">
        <v>62</v>
      </c>
      <c r="C909" s="234" t="s">
        <v>14</v>
      </c>
      <c r="D909" s="234" t="s">
        <v>53</v>
      </c>
      <c r="E909" s="234" t="s">
        <v>397</v>
      </c>
      <c r="F909" s="234" t="s">
        <v>1043</v>
      </c>
      <c r="G909" s="235">
        <f>VLOOKUP(J909,'исх АС БЮДЖЕТ'!$A$10:$H$568,6,0)</f>
        <v>3369700</v>
      </c>
      <c r="H909" s="234">
        <v>310152500</v>
      </c>
      <c r="I909" s="313" t="str">
        <f t="shared" si="96"/>
        <v>0310152500</v>
      </c>
      <c r="J909" s="30" t="str">
        <f t="shared" si="97"/>
        <v>60910030310152500244</v>
      </c>
    </row>
    <row r="910" spans="1:10" s="30" customFormat="1">
      <c r="A910" s="244" t="s">
        <v>109</v>
      </c>
      <c r="B910" s="233" t="s">
        <v>62</v>
      </c>
      <c r="C910" s="234" t="s">
        <v>14</v>
      </c>
      <c r="D910" s="234" t="s">
        <v>53</v>
      </c>
      <c r="E910" s="234" t="s">
        <v>397</v>
      </c>
      <c r="F910" s="234" t="s">
        <v>134</v>
      </c>
      <c r="G910" s="235">
        <f>G911</f>
        <v>335023000</v>
      </c>
      <c r="H910" s="234">
        <v>310152500</v>
      </c>
      <c r="I910" s="313" t="str">
        <f t="shared" si="96"/>
        <v>0310152500</v>
      </c>
      <c r="J910" s="30" t="str">
        <f t="shared" si="97"/>
        <v>60910030310152500310</v>
      </c>
    </row>
    <row r="911" spans="1:10" s="83" customFormat="1" ht="25.5">
      <c r="A911" s="236" t="s">
        <v>978</v>
      </c>
      <c r="B911" s="233" t="s">
        <v>62</v>
      </c>
      <c r="C911" s="234" t="s">
        <v>14</v>
      </c>
      <c r="D911" s="234" t="s">
        <v>53</v>
      </c>
      <c r="E911" s="234" t="s">
        <v>397</v>
      </c>
      <c r="F911" s="234" t="s">
        <v>1064</v>
      </c>
      <c r="G911" s="235">
        <f>VLOOKUP(J911,'исх АС БЮДЖЕТ'!$A$10:$H$568,6,0)</f>
        <v>335023000</v>
      </c>
      <c r="H911" s="234">
        <v>310152500</v>
      </c>
      <c r="I911" s="313" t="str">
        <f t="shared" si="96"/>
        <v>0310152500</v>
      </c>
      <c r="J911" s="30" t="str">
        <f t="shared" si="97"/>
        <v>60910030310152500313</v>
      </c>
    </row>
    <row r="912" spans="1:10" s="30" customFormat="1" ht="89.25">
      <c r="A912" s="310" t="s">
        <v>887</v>
      </c>
      <c r="B912" s="233" t="s">
        <v>62</v>
      </c>
      <c r="C912" s="234" t="s">
        <v>14</v>
      </c>
      <c r="D912" s="234" t="s">
        <v>53</v>
      </c>
      <c r="E912" s="234" t="s">
        <v>398</v>
      </c>
      <c r="F912" s="234" t="s">
        <v>58</v>
      </c>
      <c r="G912" s="235">
        <f>G913+G915</f>
        <v>120100</v>
      </c>
      <c r="H912" s="234">
        <v>310152800</v>
      </c>
      <c r="I912" s="313" t="str">
        <f t="shared" si="96"/>
        <v>0310152800</v>
      </c>
      <c r="J912" s="30" t="str">
        <f t="shared" si="97"/>
        <v>60910030310152800000</v>
      </c>
    </row>
    <row r="913" spans="1:10" s="30" customFormat="1" ht="25.5">
      <c r="A913" s="232" t="s">
        <v>108</v>
      </c>
      <c r="B913" s="233" t="s">
        <v>62</v>
      </c>
      <c r="C913" s="234" t="s">
        <v>14</v>
      </c>
      <c r="D913" s="234" t="s">
        <v>53</v>
      </c>
      <c r="E913" s="234" t="s">
        <v>398</v>
      </c>
      <c r="F913" s="234" t="s">
        <v>116</v>
      </c>
      <c r="G913" s="235">
        <f>G914</f>
        <v>1600</v>
      </c>
      <c r="H913" s="234">
        <v>310152800</v>
      </c>
      <c r="I913" s="313" t="str">
        <f t="shared" si="96"/>
        <v>0310152800</v>
      </c>
      <c r="J913" s="30" t="str">
        <f t="shared" si="97"/>
        <v>60910030310152800240</v>
      </c>
    </row>
    <row r="914" spans="1:10" s="83" customFormat="1" ht="25.5">
      <c r="A914" s="236" t="s">
        <v>973</v>
      </c>
      <c r="B914" s="233" t="s">
        <v>62</v>
      </c>
      <c r="C914" s="234" t="s">
        <v>14</v>
      </c>
      <c r="D914" s="234" t="s">
        <v>53</v>
      </c>
      <c r="E914" s="234" t="s">
        <v>398</v>
      </c>
      <c r="F914" s="234" t="s">
        <v>1043</v>
      </c>
      <c r="G914" s="235">
        <f>VLOOKUP(J914,'исх АС БЮДЖЕТ'!$A$10:$H$568,6,0)</f>
        <v>1600</v>
      </c>
      <c r="H914" s="234">
        <v>310152800</v>
      </c>
      <c r="I914" s="313" t="str">
        <f t="shared" si="96"/>
        <v>0310152800</v>
      </c>
      <c r="J914" s="30" t="str">
        <f t="shared" si="97"/>
        <v>60910030310152800244</v>
      </c>
    </row>
    <row r="915" spans="1:10" s="30" customFormat="1">
      <c r="A915" s="244" t="s">
        <v>109</v>
      </c>
      <c r="B915" s="233" t="s">
        <v>62</v>
      </c>
      <c r="C915" s="234" t="s">
        <v>14</v>
      </c>
      <c r="D915" s="234" t="s">
        <v>53</v>
      </c>
      <c r="E915" s="234" t="s">
        <v>398</v>
      </c>
      <c r="F915" s="234" t="s">
        <v>134</v>
      </c>
      <c r="G915" s="235">
        <f>G916</f>
        <v>118500</v>
      </c>
      <c r="H915" s="234">
        <v>310152800</v>
      </c>
      <c r="I915" s="313" t="str">
        <f t="shared" si="96"/>
        <v>0310152800</v>
      </c>
      <c r="J915" s="30" t="str">
        <f t="shared" si="97"/>
        <v>60910030310152800310</v>
      </c>
    </row>
    <row r="916" spans="1:10" s="83" customFormat="1" ht="25.5">
      <c r="A916" s="236" t="s">
        <v>978</v>
      </c>
      <c r="B916" s="233" t="s">
        <v>62</v>
      </c>
      <c r="C916" s="234" t="s">
        <v>14</v>
      </c>
      <c r="D916" s="234" t="s">
        <v>53</v>
      </c>
      <c r="E916" s="234" t="s">
        <v>398</v>
      </c>
      <c r="F916" s="234" t="s">
        <v>1064</v>
      </c>
      <c r="G916" s="235">
        <f>VLOOKUP(J916,'исх АС БЮДЖЕТ'!$A$10:$H$568,6,0)</f>
        <v>118500</v>
      </c>
      <c r="H916" s="234">
        <v>310152800</v>
      </c>
      <c r="I916" s="313" t="str">
        <f t="shared" si="96"/>
        <v>0310152800</v>
      </c>
      <c r="J916" s="30" t="str">
        <f t="shared" si="97"/>
        <v>60910030310152800313</v>
      </c>
    </row>
    <row r="917" spans="1:10" s="30" customFormat="1" ht="25.5">
      <c r="A917" s="266" t="s">
        <v>401</v>
      </c>
      <c r="B917" s="233" t="s">
        <v>62</v>
      </c>
      <c r="C917" s="234" t="s">
        <v>14</v>
      </c>
      <c r="D917" s="234" t="s">
        <v>53</v>
      </c>
      <c r="E917" s="234" t="s">
        <v>402</v>
      </c>
      <c r="F917" s="234" t="s">
        <v>58</v>
      </c>
      <c r="G917" s="235">
        <f>G918</f>
        <v>7891750</v>
      </c>
      <c r="H917" s="234">
        <v>310176240</v>
      </c>
      <c r="I917" s="313" t="str">
        <f t="shared" si="96"/>
        <v>0310176240</v>
      </c>
      <c r="J917" s="30" t="str">
        <f t="shared" si="97"/>
        <v>60910030310176240000</v>
      </c>
    </row>
    <row r="918" spans="1:10" s="30" customFormat="1">
      <c r="A918" s="244" t="s">
        <v>109</v>
      </c>
      <c r="B918" s="233" t="s">
        <v>62</v>
      </c>
      <c r="C918" s="234" t="s">
        <v>14</v>
      </c>
      <c r="D918" s="234" t="s">
        <v>53</v>
      </c>
      <c r="E918" s="234" t="s">
        <v>402</v>
      </c>
      <c r="F918" s="234" t="s">
        <v>134</v>
      </c>
      <c r="G918" s="235">
        <f>G919</f>
        <v>7891750</v>
      </c>
      <c r="H918" s="234">
        <v>310176240</v>
      </c>
      <c r="I918" s="313" t="str">
        <f t="shared" si="96"/>
        <v>0310176240</v>
      </c>
      <c r="J918" s="30" t="str">
        <f t="shared" si="97"/>
        <v>60910030310176240310</v>
      </c>
    </row>
    <row r="919" spans="1:10" s="83" customFormat="1" ht="25.5">
      <c r="A919" s="236" t="s">
        <v>978</v>
      </c>
      <c r="B919" s="233" t="s">
        <v>62</v>
      </c>
      <c r="C919" s="234" t="s">
        <v>14</v>
      </c>
      <c r="D919" s="234" t="s">
        <v>53</v>
      </c>
      <c r="E919" s="234" t="s">
        <v>402</v>
      </c>
      <c r="F919" s="234" t="s">
        <v>1064</v>
      </c>
      <c r="G919" s="235">
        <f>VLOOKUP(J919,'исх АС БЮДЖЕТ'!$A$10:$H$568,6,0)</f>
        <v>7891750</v>
      </c>
      <c r="H919" s="234">
        <v>310176240</v>
      </c>
      <c r="I919" s="313" t="str">
        <f t="shared" si="96"/>
        <v>0310176240</v>
      </c>
      <c r="J919" s="30" t="str">
        <f t="shared" si="97"/>
        <v>60910030310176240313</v>
      </c>
    </row>
    <row r="920" spans="1:10" s="83" customFormat="1">
      <c r="A920" s="262" t="s">
        <v>1502</v>
      </c>
      <c r="B920" s="233" t="s">
        <v>62</v>
      </c>
      <c r="C920" s="234" t="s">
        <v>14</v>
      </c>
      <c r="D920" s="234" t="s">
        <v>53</v>
      </c>
      <c r="E920" s="234" t="s">
        <v>1503</v>
      </c>
      <c r="F920" s="234" t="s">
        <v>58</v>
      </c>
      <c r="G920" s="235">
        <f t="shared" ref="G920:G921" si="100">G921</f>
        <v>443418</v>
      </c>
      <c r="H920" s="234"/>
      <c r="I920" s="313"/>
      <c r="J920" s="30"/>
    </row>
    <row r="921" spans="1:10" s="83" customFormat="1">
      <c r="A921" s="252" t="s">
        <v>109</v>
      </c>
      <c r="B921" s="233" t="s">
        <v>62</v>
      </c>
      <c r="C921" s="234" t="s">
        <v>14</v>
      </c>
      <c r="D921" s="234" t="s">
        <v>53</v>
      </c>
      <c r="E921" s="234" t="s">
        <v>1503</v>
      </c>
      <c r="F921" s="234" t="s">
        <v>134</v>
      </c>
      <c r="G921" s="235">
        <f t="shared" si="100"/>
        <v>443418</v>
      </c>
      <c r="H921" s="234"/>
      <c r="I921" s="313"/>
      <c r="J921" s="30"/>
    </row>
    <row r="922" spans="1:10" s="83" customFormat="1" ht="25.5">
      <c r="A922" s="236" t="s">
        <v>978</v>
      </c>
      <c r="B922" s="233" t="s">
        <v>62</v>
      </c>
      <c r="C922" s="234" t="s">
        <v>14</v>
      </c>
      <c r="D922" s="234" t="s">
        <v>53</v>
      </c>
      <c r="E922" s="234" t="s">
        <v>1503</v>
      </c>
      <c r="F922" s="234" t="s">
        <v>1064</v>
      </c>
      <c r="G922" s="235">
        <f>443418</f>
        <v>443418</v>
      </c>
      <c r="H922" s="234"/>
      <c r="I922" s="313"/>
      <c r="J922" s="30"/>
    </row>
    <row r="923" spans="1:10" s="30" customFormat="1" ht="63.75">
      <c r="A923" s="266" t="s">
        <v>668</v>
      </c>
      <c r="B923" s="233" t="s">
        <v>62</v>
      </c>
      <c r="C923" s="234" t="s">
        <v>14</v>
      </c>
      <c r="D923" s="234" t="s">
        <v>53</v>
      </c>
      <c r="E923" s="234" t="s">
        <v>792</v>
      </c>
      <c r="F923" s="234" t="s">
        <v>58</v>
      </c>
      <c r="G923" s="235">
        <f>G924+G926</f>
        <v>353789140</v>
      </c>
      <c r="H923" s="234">
        <v>310178210</v>
      </c>
      <c r="I923" s="313" t="str">
        <f t="shared" ref="I923:I986" si="101">TEXT(H923,"0000000000")</f>
        <v>0310178210</v>
      </c>
      <c r="J923" s="30" t="str">
        <f t="shared" ref="J923:J986" si="102">CONCATENATE(B923,C923,D923,I923,F923)</f>
        <v>60910030310178210000</v>
      </c>
    </row>
    <row r="924" spans="1:10" s="30" customFormat="1" ht="25.5">
      <c r="A924" s="232" t="s">
        <v>108</v>
      </c>
      <c r="B924" s="233" t="s">
        <v>62</v>
      </c>
      <c r="C924" s="234" t="s">
        <v>14</v>
      </c>
      <c r="D924" s="234" t="s">
        <v>53</v>
      </c>
      <c r="E924" s="234" t="s">
        <v>792</v>
      </c>
      <c r="F924" s="234" t="s">
        <v>116</v>
      </c>
      <c r="G924" s="235">
        <f>G925</f>
        <v>5354776</v>
      </c>
      <c r="H924" s="234">
        <v>310178210</v>
      </c>
      <c r="I924" s="313" t="str">
        <f t="shared" si="101"/>
        <v>0310178210</v>
      </c>
      <c r="J924" s="30" t="str">
        <f t="shared" si="102"/>
        <v>60910030310178210240</v>
      </c>
    </row>
    <row r="925" spans="1:10" s="83" customFormat="1" ht="25.5">
      <c r="A925" s="236" t="s">
        <v>973</v>
      </c>
      <c r="B925" s="233" t="s">
        <v>62</v>
      </c>
      <c r="C925" s="234" t="s">
        <v>14</v>
      </c>
      <c r="D925" s="234" t="s">
        <v>53</v>
      </c>
      <c r="E925" s="234" t="s">
        <v>792</v>
      </c>
      <c r="F925" s="234" t="s">
        <v>1043</v>
      </c>
      <c r="G925" s="235">
        <f>VLOOKUP(J925,'исх АС БЮДЖЕТ'!$A$10:$H$568,6,0)</f>
        <v>5354776</v>
      </c>
      <c r="H925" s="234">
        <v>310178210</v>
      </c>
      <c r="I925" s="313" t="str">
        <f t="shared" si="101"/>
        <v>0310178210</v>
      </c>
      <c r="J925" s="30" t="str">
        <f t="shared" si="102"/>
        <v>60910030310178210244</v>
      </c>
    </row>
    <row r="926" spans="1:10" s="30" customFormat="1">
      <c r="A926" s="244" t="s">
        <v>109</v>
      </c>
      <c r="B926" s="233" t="s">
        <v>62</v>
      </c>
      <c r="C926" s="234" t="s">
        <v>14</v>
      </c>
      <c r="D926" s="234" t="s">
        <v>53</v>
      </c>
      <c r="E926" s="234" t="s">
        <v>792</v>
      </c>
      <c r="F926" s="234" t="s">
        <v>134</v>
      </c>
      <c r="G926" s="235">
        <f>G927</f>
        <v>348434364</v>
      </c>
      <c r="H926" s="234">
        <v>310178210</v>
      </c>
      <c r="I926" s="313" t="str">
        <f t="shared" si="101"/>
        <v>0310178210</v>
      </c>
      <c r="J926" s="30" t="str">
        <f t="shared" si="102"/>
        <v>60910030310178210310</v>
      </c>
    </row>
    <row r="927" spans="1:10" s="83" customFormat="1" ht="25.5">
      <c r="A927" s="236" t="s">
        <v>978</v>
      </c>
      <c r="B927" s="233" t="s">
        <v>62</v>
      </c>
      <c r="C927" s="234" t="s">
        <v>14</v>
      </c>
      <c r="D927" s="234" t="s">
        <v>53</v>
      </c>
      <c r="E927" s="234" t="s">
        <v>792</v>
      </c>
      <c r="F927" s="234" t="s">
        <v>1064</v>
      </c>
      <c r="G927" s="235">
        <f>VLOOKUP(J927,'исх АС БЮДЖЕТ'!$A$10:$H$568,6,0)</f>
        <v>348434364</v>
      </c>
      <c r="H927" s="234">
        <v>310178210</v>
      </c>
      <c r="I927" s="313" t="str">
        <f t="shared" si="101"/>
        <v>0310178210</v>
      </c>
      <c r="J927" s="30" t="str">
        <f t="shared" si="102"/>
        <v>60910030310178210313</v>
      </c>
    </row>
    <row r="928" spans="1:10" s="30" customFormat="1" ht="25.5">
      <c r="A928" s="244" t="s">
        <v>399</v>
      </c>
      <c r="B928" s="233" t="s">
        <v>62</v>
      </c>
      <c r="C928" s="234" t="s">
        <v>14</v>
      </c>
      <c r="D928" s="234" t="s">
        <v>53</v>
      </c>
      <c r="E928" s="234" t="s">
        <v>793</v>
      </c>
      <c r="F928" s="234" t="s">
        <v>58</v>
      </c>
      <c r="G928" s="235">
        <f>G929+G931</f>
        <v>258131090</v>
      </c>
      <c r="H928" s="234">
        <v>310178220</v>
      </c>
      <c r="I928" s="313" t="str">
        <f t="shared" si="101"/>
        <v>0310178220</v>
      </c>
      <c r="J928" s="30" t="str">
        <f t="shared" si="102"/>
        <v>60910030310178220000</v>
      </c>
    </row>
    <row r="929" spans="1:10" s="30" customFormat="1" ht="25.5">
      <c r="A929" s="244" t="s">
        <v>108</v>
      </c>
      <c r="B929" s="233" t="s">
        <v>62</v>
      </c>
      <c r="C929" s="234" t="s">
        <v>14</v>
      </c>
      <c r="D929" s="234" t="s">
        <v>53</v>
      </c>
      <c r="E929" s="234" t="s">
        <v>793</v>
      </c>
      <c r="F929" s="234" t="s">
        <v>116</v>
      </c>
      <c r="G929" s="235">
        <f>G930</f>
        <v>3549363</v>
      </c>
      <c r="H929" s="234">
        <v>310178220</v>
      </c>
      <c r="I929" s="313" t="str">
        <f t="shared" si="101"/>
        <v>0310178220</v>
      </c>
      <c r="J929" s="30" t="str">
        <f t="shared" si="102"/>
        <v>60910030310178220240</v>
      </c>
    </row>
    <row r="930" spans="1:10" s="83" customFormat="1" ht="25.5">
      <c r="A930" s="236" t="s">
        <v>973</v>
      </c>
      <c r="B930" s="233" t="s">
        <v>62</v>
      </c>
      <c r="C930" s="234" t="s">
        <v>14</v>
      </c>
      <c r="D930" s="234" t="s">
        <v>53</v>
      </c>
      <c r="E930" s="234" t="s">
        <v>793</v>
      </c>
      <c r="F930" s="234" t="s">
        <v>1043</v>
      </c>
      <c r="G930" s="235">
        <f>VLOOKUP(J930,'исх АС БЮДЖЕТ'!$A$10:$H$568,6,0)</f>
        <v>3549363</v>
      </c>
      <c r="H930" s="234">
        <v>310178220</v>
      </c>
      <c r="I930" s="313" t="str">
        <f t="shared" si="101"/>
        <v>0310178220</v>
      </c>
      <c r="J930" s="30" t="str">
        <f t="shared" si="102"/>
        <v>60910030310178220244</v>
      </c>
    </row>
    <row r="931" spans="1:10" s="30" customFormat="1">
      <c r="A931" s="244" t="s">
        <v>109</v>
      </c>
      <c r="B931" s="233" t="s">
        <v>62</v>
      </c>
      <c r="C931" s="234" t="s">
        <v>14</v>
      </c>
      <c r="D931" s="234" t="s">
        <v>53</v>
      </c>
      <c r="E931" s="234" t="s">
        <v>793</v>
      </c>
      <c r="F931" s="234" t="s">
        <v>134</v>
      </c>
      <c r="G931" s="235">
        <f>G932</f>
        <v>254581727</v>
      </c>
      <c r="H931" s="234">
        <v>310178220</v>
      </c>
      <c r="I931" s="313" t="str">
        <f t="shared" si="101"/>
        <v>0310178220</v>
      </c>
      <c r="J931" s="30" t="str">
        <f t="shared" si="102"/>
        <v>60910030310178220310</v>
      </c>
    </row>
    <row r="932" spans="1:10" s="103" customFormat="1" ht="25.5">
      <c r="A932" s="236" t="s">
        <v>978</v>
      </c>
      <c r="B932" s="233" t="s">
        <v>62</v>
      </c>
      <c r="C932" s="234" t="s">
        <v>14</v>
      </c>
      <c r="D932" s="234" t="s">
        <v>53</v>
      </c>
      <c r="E932" s="234" t="s">
        <v>793</v>
      </c>
      <c r="F932" s="234" t="s">
        <v>1064</v>
      </c>
      <c r="G932" s="235">
        <f>VLOOKUP(J932,'исх АС БЮДЖЕТ'!$A$10:$H$568,6,0)</f>
        <v>254581727</v>
      </c>
      <c r="H932" s="234">
        <v>310178220</v>
      </c>
      <c r="I932" s="313" t="str">
        <f t="shared" si="101"/>
        <v>0310178220</v>
      </c>
      <c r="J932" s="30" t="str">
        <f t="shared" si="102"/>
        <v>60910030310178220313</v>
      </c>
    </row>
    <row r="933" spans="1:10" s="30" customFormat="1" ht="25.5">
      <c r="A933" s="266" t="s">
        <v>400</v>
      </c>
      <c r="B933" s="233" t="s">
        <v>62</v>
      </c>
      <c r="C933" s="234" t="s">
        <v>14</v>
      </c>
      <c r="D933" s="234" t="s">
        <v>53</v>
      </c>
      <c r="E933" s="234" t="s">
        <v>794</v>
      </c>
      <c r="F933" s="234" t="s">
        <v>58</v>
      </c>
      <c r="G933" s="235">
        <f>G934+G936</f>
        <v>6055600</v>
      </c>
      <c r="H933" s="234">
        <v>310178230</v>
      </c>
      <c r="I933" s="313" t="str">
        <f t="shared" si="101"/>
        <v>0310178230</v>
      </c>
      <c r="J933" s="30" t="str">
        <f t="shared" si="102"/>
        <v>60910030310178230000</v>
      </c>
    </row>
    <row r="934" spans="1:10" s="30" customFormat="1" ht="25.5">
      <c r="A934" s="232" t="s">
        <v>108</v>
      </c>
      <c r="B934" s="233" t="s">
        <v>62</v>
      </c>
      <c r="C934" s="234" t="s">
        <v>14</v>
      </c>
      <c r="D934" s="234" t="s">
        <v>53</v>
      </c>
      <c r="E934" s="234" t="s">
        <v>794</v>
      </c>
      <c r="F934" s="234" t="s">
        <v>116</v>
      </c>
      <c r="G934" s="235">
        <f>G935</f>
        <v>93840</v>
      </c>
      <c r="H934" s="234">
        <v>310178230</v>
      </c>
      <c r="I934" s="313" t="str">
        <f t="shared" si="101"/>
        <v>0310178230</v>
      </c>
      <c r="J934" s="30" t="str">
        <f t="shared" si="102"/>
        <v>60910030310178230240</v>
      </c>
    </row>
    <row r="935" spans="1:10" s="83" customFormat="1" ht="25.5">
      <c r="A935" s="236" t="s">
        <v>973</v>
      </c>
      <c r="B935" s="233" t="s">
        <v>62</v>
      </c>
      <c r="C935" s="234" t="s">
        <v>14</v>
      </c>
      <c r="D935" s="234" t="s">
        <v>53</v>
      </c>
      <c r="E935" s="234" t="s">
        <v>794</v>
      </c>
      <c r="F935" s="234" t="s">
        <v>1043</v>
      </c>
      <c r="G935" s="235">
        <f>VLOOKUP(J935,'исх АС БЮДЖЕТ'!$A$10:$H$568,6,0)</f>
        <v>93840</v>
      </c>
      <c r="H935" s="234">
        <v>310178230</v>
      </c>
      <c r="I935" s="313" t="str">
        <f t="shared" si="101"/>
        <v>0310178230</v>
      </c>
      <c r="J935" s="30" t="str">
        <f t="shared" si="102"/>
        <v>60910030310178230244</v>
      </c>
    </row>
    <row r="936" spans="1:10" s="30" customFormat="1">
      <c r="A936" s="244" t="s">
        <v>109</v>
      </c>
      <c r="B936" s="233" t="s">
        <v>62</v>
      </c>
      <c r="C936" s="234" t="s">
        <v>14</v>
      </c>
      <c r="D936" s="234" t="s">
        <v>53</v>
      </c>
      <c r="E936" s="234" t="s">
        <v>794</v>
      </c>
      <c r="F936" s="234" t="s">
        <v>134</v>
      </c>
      <c r="G936" s="235">
        <f>G937</f>
        <v>5961760</v>
      </c>
      <c r="H936" s="234">
        <v>310178230</v>
      </c>
      <c r="I936" s="313" t="str">
        <f t="shared" si="101"/>
        <v>0310178230</v>
      </c>
      <c r="J936" s="30" t="str">
        <f t="shared" si="102"/>
        <v>60910030310178230310</v>
      </c>
    </row>
    <row r="937" spans="1:10" s="83" customFormat="1" ht="25.5">
      <c r="A937" s="236" t="s">
        <v>978</v>
      </c>
      <c r="B937" s="233" t="s">
        <v>62</v>
      </c>
      <c r="C937" s="234" t="s">
        <v>14</v>
      </c>
      <c r="D937" s="234" t="s">
        <v>53</v>
      </c>
      <c r="E937" s="234" t="s">
        <v>794</v>
      </c>
      <c r="F937" s="234" t="s">
        <v>1064</v>
      </c>
      <c r="G937" s="235">
        <f>VLOOKUP(J937,'исх АС БЮДЖЕТ'!$A$10:$H$568,6,0)</f>
        <v>5961760</v>
      </c>
      <c r="H937" s="234">
        <v>310178230</v>
      </c>
      <c r="I937" s="313" t="str">
        <f t="shared" si="101"/>
        <v>0310178230</v>
      </c>
      <c r="J937" s="30" t="str">
        <f t="shared" si="102"/>
        <v>60910030310178230313</v>
      </c>
    </row>
    <row r="938" spans="1:10" s="30" customFormat="1" ht="25.5">
      <c r="A938" s="266" t="s">
        <v>404</v>
      </c>
      <c r="B938" s="233" t="s">
        <v>62</v>
      </c>
      <c r="C938" s="234" t="s">
        <v>14</v>
      </c>
      <c r="D938" s="234" t="s">
        <v>53</v>
      </c>
      <c r="E938" s="234" t="s">
        <v>795</v>
      </c>
      <c r="F938" s="234" t="s">
        <v>58</v>
      </c>
      <c r="G938" s="235">
        <f>G939+G941</f>
        <v>200800</v>
      </c>
      <c r="H938" s="234">
        <v>310178240</v>
      </c>
      <c r="I938" s="313" t="str">
        <f t="shared" si="101"/>
        <v>0310178240</v>
      </c>
      <c r="J938" s="30" t="str">
        <f t="shared" si="102"/>
        <v>60910030310178240000</v>
      </c>
    </row>
    <row r="939" spans="1:10" s="30" customFormat="1" ht="25.5">
      <c r="A939" s="232" t="s">
        <v>108</v>
      </c>
      <c r="B939" s="233" t="s">
        <v>62</v>
      </c>
      <c r="C939" s="234" t="s">
        <v>14</v>
      </c>
      <c r="D939" s="234" t="s">
        <v>53</v>
      </c>
      <c r="E939" s="234" t="s">
        <v>795</v>
      </c>
      <c r="F939" s="234" t="s">
        <v>116</v>
      </c>
      <c r="G939" s="235">
        <f>G940</f>
        <v>1081</v>
      </c>
      <c r="H939" s="234">
        <v>310178240</v>
      </c>
      <c r="I939" s="313" t="str">
        <f t="shared" si="101"/>
        <v>0310178240</v>
      </c>
      <c r="J939" s="30" t="str">
        <f t="shared" si="102"/>
        <v>60910030310178240240</v>
      </c>
    </row>
    <row r="940" spans="1:10" s="83" customFormat="1" ht="25.5">
      <c r="A940" s="236" t="s">
        <v>973</v>
      </c>
      <c r="B940" s="233" t="s">
        <v>62</v>
      </c>
      <c r="C940" s="234" t="s">
        <v>14</v>
      </c>
      <c r="D940" s="234" t="s">
        <v>53</v>
      </c>
      <c r="E940" s="234" t="s">
        <v>795</v>
      </c>
      <c r="F940" s="234" t="s">
        <v>1043</v>
      </c>
      <c r="G940" s="235">
        <f>VLOOKUP(J940,'исх АС БЮДЖЕТ'!$A$10:$H$568,6,0)</f>
        <v>1081</v>
      </c>
      <c r="H940" s="234">
        <v>310178240</v>
      </c>
      <c r="I940" s="313" t="str">
        <f t="shared" si="101"/>
        <v>0310178240</v>
      </c>
      <c r="J940" s="30" t="str">
        <f t="shared" si="102"/>
        <v>60910030310178240244</v>
      </c>
    </row>
    <row r="941" spans="1:10" s="30" customFormat="1">
      <c r="A941" s="244" t="s">
        <v>109</v>
      </c>
      <c r="B941" s="233" t="s">
        <v>62</v>
      </c>
      <c r="C941" s="234" t="s">
        <v>14</v>
      </c>
      <c r="D941" s="234" t="s">
        <v>53</v>
      </c>
      <c r="E941" s="234" t="s">
        <v>795</v>
      </c>
      <c r="F941" s="234" t="s">
        <v>134</v>
      </c>
      <c r="G941" s="235">
        <f>G942</f>
        <v>199719</v>
      </c>
      <c r="H941" s="234">
        <v>310178240</v>
      </c>
      <c r="I941" s="313" t="str">
        <f t="shared" si="101"/>
        <v>0310178240</v>
      </c>
      <c r="J941" s="30" t="str">
        <f t="shared" si="102"/>
        <v>60910030310178240310</v>
      </c>
    </row>
    <row r="942" spans="1:10" s="83" customFormat="1" ht="25.5">
      <c r="A942" s="236" t="s">
        <v>978</v>
      </c>
      <c r="B942" s="233" t="s">
        <v>62</v>
      </c>
      <c r="C942" s="234" t="s">
        <v>14</v>
      </c>
      <c r="D942" s="234" t="s">
        <v>53</v>
      </c>
      <c r="E942" s="234" t="s">
        <v>795</v>
      </c>
      <c r="F942" s="234" t="s">
        <v>1064</v>
      </c>
      <c r="G942" s="235">
        <f>VLOOKUP(J942,'исх АС БЮДЖЕТ'!$A$10:$H$568,6,0)</f>
        <v>199719</v>
      </c>
      <c r="H942" s="234">
        <v>310178240</v>
      </c>
      <c r="I942" s="313" t="str">
        <f t="shared" si="101"/>
        <v>0310178240</v>
      </c>
      <c r="J942" s="30" t="str">
        <f t="shared" si="102"/>
        <v>60910030310178240313</v>
      </c>
    </row>
    <row r="943" spans="1:10" s="30" customFormat="1">
      <c r="A943" s="266" t="s">
        <v>405</v>
      </c>
      <c r="B943" s="233" t="s">
        <v>62</v>
      </c>
      <c r="C943" s="234" t="s">
        <v>14</v>
      </c>
      <c r="D943" s="234" t="s">
        <v>53</v>
      </c>
      <c r="E943" s="234" t="s">
        <v>796</v>
      </c>
      <c r="F943" s="234" t="s">
        <v>58</v>
      </c>
      <c r="G943" s="235">
        <f>G944+G946</f>
        <v>567500</v>
      </c>
      <c r="H943" s="234">
        <v>310178250</v>
      </c>
      <c r="I943" s="313" t="str">
        <f t="shared" si="101"/>
        <v>0310178250</v>
      </c>
      <c r="J943" s="30" t="str">
        <f t="shared" si="102"/>
        <v>60910030310178250000</v>
      </c>
    </row>
    <row r="944" spans="1:10" s="30" customFormat="1" ht="25.5">
      <c r="A944" s="232" t="s">
        <v>108</v>
      </c>
      <c r="B944" s="233" t="s">
        <v>62</v>
      </c>
      <c r="C944" s="234" t="s">
        <v>14</v>
      </c>
      <c r="D944" s="234" t="s">
        <v>53</v>
      </c>
      <c r="E944" s="234" t="s">
        <v>796</v>
      </c>
      <c r="F944" s="234" t="s">
        <v>116</v>
      </c>
      <c r="G944" s="235">
        <f>G945</f>
        <v>7558</v>
      </c>
      <c r="H944" s="234">
        <v>310178250</v>
      </c>
      <c r="I944" s="313" t="str">
        <f t="shared" si="101"/>
        <v>0310178250</v>
      </c>
      <c r="J944" s="30" t="str">
        <f t="shared" si="102"/>
        <v>60910030310178250240</v>
      </c>
    </row>
    <row r="945" spans="1:10" s="83" customFormat="1" ht="25.5">
      <c r="A945" s="236" t="s">
        <v>973</v>
      </c>
      <c r="B945" s="233" t="s">
        <v>62</v>
      </c>
      <c r="C945" s="234" t="s">
        <v>14</v>
      </c>
      <c r="D945" s="234" t="s">
        <v>53</v>
      </c>
      <c r="E945" s="234" t="s">
        <v>796</v>
      </c>
      <c r="F945" s="234" t="s">
        <v>1043</v>
      </c>
      <c r="G945" s="235">
        <f>VLOOKUP(J945,'исх АС БЮДЖЕТ'!$A$10:$H$568,6,0)</f>
        <v>7558</v>
      </c>
      <c r="H945" s="234">
        <v>310178250</v>
      </c>
      <c r="I945" s="313" t="str">
        <f t="shared" si="101"/>
        <v>0310178250</v>
      </c>
      <c r="J945" s="30" t="str">
        <f t="shared" si="102"/>
        <v>60910030310178250244</v>
      </c>
    </row>
    <row r="946" spans="1:10" s="30" customFormat="1">
      <c r="A946" s="244" t="s">
        <v>109</v>
      </c>
      <c r="B946" s="233" t="s">
        <v>62</v>
      </c>
      <c r="C946" s="234" t="s">
        <v>14</v>
      </c>
      <c r="D946" s="234" t="s">
        <v>53</v>
      </c>
      <c r="E946" s="234" t="s">
        <v>796</v>
      </c>
      <c r="F946" s="234" t="s">
        <v>134</v>
      </c>
      <c r="G946" s="235">
        <f>G947</f>
        <v>559942</v>
      </c>
      <c r="H946" s="234">
        <v>310178250</v>
      </c>
      <c r="I946" s="313" t="str">
        <f t="shared" si="101"/>
        <v>0310178250</v>
      </c>
      <c r="J946" s="30" t="str">
        <f t="shared" si="102"/>
        <v>60910030310178250310</v>
      </c>
    </row>
    <row r="947" spans="1:10" s="83" customFormat="1" ht="25.5">
      <c r="A947" s="236" t="s">
        <v>978</v>
      </c>
      <c r="B947" s="233" t="s">
        <v>62</v>
      </c>
      <c r="C947" s="234" t="s">
        <v>14</v>
      </c>
      <c r="D947" s="234" t="s">
        <v>53</v>
      </c>
      <c r="E947" s="234" t="s">
        <v>796</v>
      </c>
      <c r="F947" s="234" t="s">
        <v>1064</v>
      </c>
      <c r="G947" s="235">
        <f>VLOOKUP(J947,'исх АС БЮДЖЕТ'!$A$10:$H$568,6,0)</f>
        <v>559942</v>
      </c>
      <c r="H947" s="234">
        <v>310178250</v>
      </c>
      <c r="I947" s="313" t="str">
        <f t="shared" si="101"/>
        <v>0310178250</v>
      </c>
      <c r="J947" s="30" t="str">
        <f t="shared" si="102"/>
        <v>60910030310178250313</v>
      </c>
    </row>
    <row r="948" spans="1:10" s="30" customFormat="1" ht="25.5">
      <c r="A948" s="266" t="s">
        <v>403</v>
      </c>
      <c r="B948" s="233" t="s">
        <v>62</v>
      </c>
      <c r="C948" s="234" t="s">
        <v>14</v>
      </c>
      <c r="D948" s="234" t="s">
        <v>53</v>
      </c>
      <c r="E948" s="234" t="s">
        <v>797</v>
      </c>
      <c r="F948" s="234" t="s">
        <v>58</v>
      </c>
      <c r="G948" s="235">
        <f>G949+G951</f>
        <v>311768000</v>
      </c>
      <c r="H948" s="234">
        <v>310178260</v>
      </c>
      <c r="I948" s="313" t="str">
        <f t="shared" si="101"/>
        <v>0310178260</v>
      </c>
      <c r="J948" s="30" t="str">
        <f t="shared" si="102"/>
        <v>60910030310178260000</v>
      </c>
    </row>
    <row r="949" spans="1:10" s="30" customFormat="1" ht="25.5">
      <c r="A949" s="232" t="s">
        <v>108</v>
      </c>
      <c r="B949" s="233" t="s">
        <v>62</v>
      </c>
      <c r="C949" s="234" t="s">
        <v>14</v>
      </c>
      <c r="D949" s="234" t="s">
        <v>53</v>
      </c>
      <c r="E949" s="234" t="s">
        <v>797</v>
      </c>
      <c r="F949" s="234" t="s">
        <v>116</v>
      </c>
      <c r="G949" s="235">
        <f>G950</f>
        <v>4159539</v>
      </c>
      <c r="H949" s="234">
        <v>310178260</v>
      </c>
      <c r="I949" s="313" t="str">
        <f t="shared" si="101"/>
        <v>0310178260</v>
      </c>
      <c r="J949" s="30" t="str">
        <f t="shared" si="102"/>
        <v>60910030310178260240</v>
      </c>
    </row>
    <row r="950" spans="1:10" s="83" customFormat="1" ht="25.5">
      <c r="A950" s="236" t="s">
        <v>973</v>
      </c>
      <c r="B950" s="233" t="s">
        <v>62</v>
      </c>
      <c r="C950" s="234" t="s">
        <v>14</v>
      </c>
      <c r="D950" s="234" t="s">
        <v>53</v>
      </c>
      <c r="E950" s="234" t="s">
        <v>797</v>
      </c>
      <c r="F950" s="234" t="s">
        <v>1043</v>
      </c>
      <c r="G950" s="235">
        <f>VLOOKUP(J950,'исх АС БЮДЖЕТ'!$A$10:$H$568,6,0)</f>
        <v>4159539</v>
      </c>
      <c r="H950" s="234">
        <v>310178260</v>
      </c>
      <c r="I950" s="313" t="str">
        <f t="shared" si="101"/>
        <v>0310178260</v>
      </c>
      <c r="J950" s="30" t="str">
        <f t="shared" si="102"/>
        <v>60910030310178260244</v>
      </c>
    </row>
    <row r="951" spans="1:10" s="30" customFormat="1">
      <c r="A951" s="244" t="s">
        <v>109</v>
      </c>
      <c r="B951" s="233" t="s">
        <v>62</v>
      </c>
      <c r="C951" s="234" t="s">
        <v>14</v>
      </c>
      <c r="D951" s="234" t="s">
        <v>53</v>
      </c>
      <c r="E951" s="234" t="s">
        <v>797</v>
      </c>
      <c r="F951" s="234" t="s">
        <v>134</v>
      </c>
      <c r="G951" s="235">
        <f>G952</f>
        <v>307608461</v>
      </c>
      <c r="H951" s="234">
        <v>310178260</v>
      </c>
      <c r="I951" s="313" t="str">
        <f t="shared" si="101"/>
        <v>0310178260</v>
      </c>
      <c r="J951" s="30" t="str">
        <f t="shared" si="102"/>
        <v>60910030310178260310</v>
      </c>
    </row>
    <row r="952" spans="1:10" s="83" customFormat="1" ht="25.5">
      <c r="A952" s="236" t="s">
        <v>978</v>
      </c>
      <c r="B952" s="233" t="s">
        <v>62</v>
      </c>
      <c r="C952" s="234" t="s">
        <v>14</v>
      </c>
      <c r="D952" s="234" t="s">
        <v>53</v>
      </c>
      <c r="E952" s="234" t="s">
        <v>797</v>
      </c>
      <c r="F952" s="234" t="s">
        <v>1064</v>
      </c>
      <c r="G952" s="235">
        <f>VLOOKUP(J952,'исх АС БЮДЖЕТ'!$A$10:$H$568,6,0)</f>
        <v>307608461</v>
      </c>
      <c r="H952" s="234">
        <v>310178260</v>
      </c>
      <c r="I952" s="313" t="str">
        <f t="shared" si="101"/>
        <v>0310178260</v>
      </c>
      <c r="J952" s="30" t="str">
        <f t="shared" si="102"/>
        <v>60910030310178260313</v>
      </c>
    </row>
    <row r="953" spans="1:10" s="83" customFormat="1" ht="25.5">
      <c r="A953" s="232" t="s">
        <v>693</v>
      </c>
      <c r="B953" s="233" t="s">
        <v>62</v>
      </c>
      <c r="C953" s="234" t="s">
        <v>14</v>
      </c>
      <c r="D953" s="234" t="s">
        <v>53</v>
      </c>
      <c r="E953" s="234" t="s">
        <v>1501</v>
      </c>
      <c r="F953" s="234" t="s">
        <v>58</v>
      </c>
      <c r="G953" s="235">
        <f>G954+G956</f>
        <v>7321230</v>
      </c>
      <c r="H953" s="234"/>
      <c r="I953" s="313"/>
      <c r="J953" s="30"/>
    </row>
    <row r="954" spans="1:10" s="83" customFormat="1" ht="25.5">
      <c r="A954" s="236" t="s">
        <v>108</v>
      </c>
      <c r="B954" s="233" t="s">
        <v>62</v>
      </c>
      <c r="C954" s="234" t="s">
        <v>14</v>
      </c>
      <c r="D954" s="234" t="s">
        <v>53</v>
      </c>
      <c r="E954" s="234" t="s">
        <v>1501</v>
      </c>
      <c r="F954" s="234" t="s">
        <v>116</v>
      </c>
      <c r="G954" s="235">
        <f>G955</f>
        <v>84300</v>
      </c>
      <c r="H954" s="234"/>
      <c r="I954" s="313"/>
      <c r="J954" s="30"/>
    </row>
    <row r="955" spans="1:10" s="83" customFormat="1" ht="25.5">
      <c r="A955" s="232" t="s">
        <v>973</v>
      </c>
      <c r="B955" s="233" t="s">
        <v>62</v>
      </c>
      <c r="C955" s="234" t="s">
        <v>14</v>
      </c>
      <c r="D955" s="234" t="s">
        <v>53</v>
      </c>
      <c r="E955" s="234" t="s">
        <v>1501</v>
      </c>
      <c r="F955" s="234" t="s">
        <v>1043</v>
      </c>
      <c r="G955" s="235">
        <f>17880+43120+23300</f>
        <v>84300</v>
      </c>
      <c r="H955" s="234"/>
      <c r="I955" s="313"/>
      <c r="J955" s="30"/>
    </row>
    <row r="956" spans="1:10" s="83" customFormat="1">
      <c r="A956" s="236" t="s">
        <v>109</v>
      </c>
      <c r="B956" s="233" t="s">
        <v>62</v>
      </c>
      <c r="C956" s="234" t="s">
        <v>14</v>
      </c>
      <c r="D956" s="234" t="s">
        <v>53</v>
      </c>
      <c r="E956" s="234" t="s">
        <v>1501</v>
      </c>
      <c r="F956" s="234" t="s">
        <v>134</v>
      </c>
      <c r="G956" s="235">
        <f>G957</f>
        <v>7236930</v>
      </c>
      <c r="H956" s="234"/>
      <c r="I956" s="313"/>
      <c r="J956" s="30"/>
    </row>
    <row r="957" spans="1:10" s="83" customFormat="1" ht="25.5">
      <c r="A957" s="236" t="s">
        <v>978</v>
      </c>
      <c r="B957" s="233" t="s">
        <v>62</v>
      </c>
      <c r="C957" s="234" t="s">
        <v>14</v>
      </c>
      <c r="D957" s="234" t="s">
        <v>53</v>
      </c>
      <c r="E957" s="234" t="s">
        <v>1501</v>
      </c>
      <c r="F957" s="234" t="s">
        <v>1064</v>
      </c>
      <c r="G957" s="235">
        <f>5318230+1918700</f>
        <v>7236930</v>
      </c>
      <c r="H957" s="234"/>
      <c r="I957" s="313"/>
      <c r="J957" s="30"/>
    </row>
    <row r="958" spans="1:10" s="30" customFormat="1" ht="25.5">
      <c r="A958" s="263" t="s">
        <v>406</v>
      </c>
      <c r="B958" s="233" t="s">
        <v>62</v>
      </c>
      <c r="C958" s="234" t="s">
        <v>14</v>
      </c>
      <c r="D958" s="234" t="s">
        <v>53</v>
      </c>
      <c r="E958" s="234" t="s">
        <v>407</v>
      </c>
      <c r="F958" s="234" t="s">
        <v>58</v>
      </c>
      <c r="G958" s="235">
        <f>G959+G967+G975+G962+G970</f>
        <v>321286710</v>
      </c>
      <c r="H958" s="234">
        <v>310200000</v>
      </c>
      <c r="I958" s="313" t="str">
        <f t="shared" si="101"/>
        <v>0310200000</v>
      </c>
      <c r="J958" s="30" t="str">
        <f t="shared" si="102"/>
        <v>60910030310200000000</v>
      </c>
    </row>
    <row r="959" spans="1:10" s="30" customFormat="1" ht="51">
      <c r="A959" s="266" t="s">
        <v>408</v>
      </c>
      <c r="B959" s="233" t="s">
        <v>62</v>
      </c>
      <c r="C959" s="234" t="s">
        <v>14</v>
      </c>
      <c r="D959" s="234" t="s">
        <v>53</v>
      </c>
      <c r="E959" s="234" t="s">
        <v>409</v>
      </c>
      <c r="F959" s="234" t="s">
        <v>58</v>
      </c>
      <c r="G959" s="235">
        <f>G960</f>
        <v>168353500</v>
      </c>
      <c r="H959" s="234">
        <v>310253800</v>
      </c>
      <c r="I959" s="313" t="str">
        <f t="shared" si="101"/>
        <v>0310253800</v>
      </c>
      <c r="J959" s="30" t="str">
        <f t="shared" si="102"/>
        <v>60910030310253800000</v>
      </c>
    </row>
    <row r="960" spans="1:10" s="30" customFormat="1">
      <c r="A960" s="244" t="s">
        <v>109</v>
      </c>
      <c r="B960" s="233" t="s">
        <v>62</v>
      </c>
      <c r="C960" s="234" t="s">
        <v>14</v>
      </c>
      <c r="D960" s="234" t="s">
        <v>53</v>
      </c>
      <c r="E960" s="234" t="s">
        <v>409</v>
      </c>
      <c r="F960" s="234" t="s">
        <v>134</v>
      </c>
      <c r="G960" s="235">
        <f>G961</f>
        <v>168353500</v>
      </c>
      <c r="H960" s="234">
        <v>310253800</v>
      </c>
      <c r="I960" s="313" t="str">
        <f t="shared" si="101"/>
        <v>0310253800</v>
      </c>
      <c r="J960" s="30" t="str">
        <f t="shared" si="102"/>
        <v>60910030310253800310</v>
      </c>
    </row>
    <row r="961" spans="1:10" s="83" customFormat="1" ht="25.5">
      <c r="A961" s="236" t="s">
        <v>978</v>
      </c>
      <c r="B961" s="233" t="s">
        <v>62</v>
      </c>
      <c r="C961" s="234" t="s">
        <v>14</v>
      </c>
      <c r="D961" s="234" t="s">
        <v>53</v>
      </c>
      <c r="E961" s="234" t="s">
        <v>409</v>
      </c>
      <c r="F961" s="234" t="s">
        <v>1064</v>
      </c>
      <c r="G961" s="235">
        <f>VLOOKUP(J961,'исх АС БЮДЖЕТ'!$A$10:$H$568,6,0)</f>
        <v>168353500</v>
      </c>
      <c r="H961" s="234">
        <v>310253800</v>
      </c>
      <c r="I961" s="313" t="str">
        <f t="shared" si="101"/>
        <v>0310253800</v>
      </c>
      <c r="J961" s="30" t="str">
        <f t="shared" si="102"/>
        <v>60910030310253800313</v>
      </c>
    </row>
    <row r="962" spans="1:10" s="30" customFormat="1">
      <c r="A962" s="266" t="s">
        <v>410</v>
      </c>
      <c r="B962" s="233" t="s">
        <v>62</v>
      </c>
      <c r="C962" s="234" t="s">
        <v>14</v>
      </c>
      <c r="D962" s="234" t="s">
        <v>53</v>
      </c>
      <c r="E962" s="234" t="s">
        <v>411</v>
      </c>
      <c r="F962" s="234" t="s">
        <v>58</v>
      </c>
      <c r="G962" s="235">
        <f>G963+G965</f>
        <v>405610</v>
      </c>
      <c r="H962" s="234">
        <v>310276260</v>
      </c>
      <c r="I962" s="313" t="str">
        <f t="shared" si="101"/>
        <v>0310276260</v>
      </c>
      <c r="J962" s="30" t="str">
        <f t="shared" si="102"/>
        <v>60910030310276260000</v>
      </c>
    </row>
    <row r="963" spans="1:10" s="30" customFormat="1" ht="25.5">
      <c r="A963" s="232" t="s">
        <v>108</v>
      </c>
      <c r="B963" s="233" t="s">
        <v>62</v>
      </c>
      <c r="C963" s="234" t="s">
        <v>14</v>
      </c>
      <c r="D963" s="234" t="s">
        <v>53</v>
      </c>
      <c r="E963" s="234" t="s">
        <v>411</v>
      </c>
      <c r="F963" s="234" t="s">
        <v>116</v>
      </c>
      <c r="G963" s="235">
        <f>G964</f>
        <v>5402.79</v>
      </c>
      <c r="H963" s="234">
        <v>310276260</v>
      </c>
      <c r="I963" s="313" t="str">
        <f t="shared" si="101"/>
        <v>0310276260</v>
      </c>
      <c r="J963" s="30" t="str">
        <f t="shared" si="102"/>
        <v>60910030310276260240</v>
      </c>
    </row>
    <row r="964" spans="1:10" s="83" customFormat="1" ht="25.5">
      <c r="A964" s="236" t="s">
        <v>973</v>
      </c>
      <c r="B964" s="233" t="s">
        <v>62</v>
      </c>
      <c r="C964" s="234" t="s">
        <v>14</v>
      </c>
      <c r="D964" s="234" t="s">
        <v>53</v>
      </c>
      <c r="E964" s="234" t="s">
        <v>411</v>
      </c>
      <c r="F964" s="234" t="s">
        <v>1043</v>
      </c>
      <c r="G964" s="235">
        <f>VLOOKUP(J964,'исх АС БЮДЖЕТ'!$A$10:$H$568,6,0)</f>
        <v>5402.79</v>
      </c>
      <c r="H964" s="234">
        <v>310276260</v>
      </c>
      <c r="I964" s="313" t="str">
        <f t="shared" si="101"/>
        <v>0310276260</v>
      </c>
      <c r="J964" s="30" t="str">
        <f t="shared" si="102"/>
        <v>60910030310276260244</v>
      </c>
    </row>
    <row r="965" spans="1:10" s="30" customFormat="1">
      <c r="A965" s="244" t="s">
        <v>109</v>
      </c>
      <c r="B965" s="233" t="s">
        <v>62</v>
      </c>
      <c r="C965" s="234" t="s">
        <v>14</v>
      </c>
      <c r="D965" s="234" t="s">
        <v>53</v>
      </c>
      <c r="E965" s="234" t="s">
        <v>411</v>
      </c>
      <c r="F965" s="234" t="s">
        <v>134</v>
      </c>
      <c r="G965" s="235">
        <f>G966</f>
        <v>400207.21</v>
      </c>
      <c r="H965" s="234">
        <v>310276260</v>
      </c>
      <c r="I965" s="313" t="str">
        <f t="shared" si="101"/>
        <v>0310276260</v>
      </c>
      <c r="J965" s="30" t="str">
        <f t="shared" si="102"/>
        <v>60910030310276260310</v>
      </c>
    </row>
    <row r="966" spans="1:10" s="83" customFormat="1" ht="25.5">
      <c r="A966" s="236" t="s">
        <v>978</v>
      </c>
      <c r="B966" s="233" t="s">
        <v>62</v>
      </c>
      <c r="C966" s="234" t="s">
        <v>14</v>
      </c>
      <c r="D966" s="234" t="s">
        <v>53</v>
      </c>
      <c r="E966" s="234" t="s">
        <v>411</v>
      </c>
      <c r="F966" s="234" t="s">
        <v>1064</v>
      </c>
      <c r="G966" s="235">
        <f>VLOOKUP(J966,'исх АС БЮДЖЕТ'!$A$10:$H$568,6,0)</f>
        <v>400207.21</v>
      </c>
      <c r="H966" s="234">
        <v>310276260</v>
      </c>
      <c r="I966" s="313" t="str">
        <f t="shared" si="101"/>
        <v>0310276260</v>
      </c>
      <c r="J966" s="30" t="str">
        <f t="shared" si="102"/>
        <v>60910030310276260313</v>
      </c>
    </row>
    <row r="967" spans="1:10" s="30" customFormat="1">
      <c r="A967" s="266" t="s">
        <v>412</v>
      </c>
      <c r="B967" s="233" t="s">
        <v>62</v>
      </c>
      <c r="C967" s="234" t="s">
        <v>14</v>
      </c>
      <c r="D967" s="234" t="s">
        <v>53</v>
      </c>
      <c r="E967" s="234" t="s">
        <v>413</v>
      </c>
      <c r="F967" s="234" t="s">
        <v>58</v>
      </c>
      <c r="G967" s="235">
        <f>G968</f>
        <v>109869600</v>
      </c>
      <c r="H967" s="234">
        <v>310276270</v>
      </c>
      <c r="I967" s="313" t="str">
        <f t="shared" si="101"/>
        <v>0310276270</v>
      </c>
      <c r="J967" s="30" t="str">
        <f t="shared" si="102"/>
        <v>60910030310276270000</v>
      </c>
    </row>
    <row r="968" spans="1:10" s="30" customFormat="1">
      <c r="A968" s="244" t="s">
        <v>109</v>
      </c>
      <c r="B968" s="233" t="s">
        <v>62</v>
      </c>
      <c r="C968" s="234" t="s">
        <v>14</v>
      </c>
      <c r="D968" s="234" t="s">
        <v>53</v>
      </c>
      <c r="E968" s="234" t="s">
        <v>413</v>
      </c>
      <c r="F968" s="234" t="s">
        <v>134</v>
      </c>
      <c r="G968" s="235">
        <f>G969</f>
        <v>109869600</v>
      </c>
      <c r="H968" s="234">
        <v>310276270</v>
      </c>
      <c r="I968" s="313" t="str">
        <f t="shared" si="101"/>
        <v>0310276270</v>
      </c>
      <c r="J968" s="30" t="str">
        <f t="shared" si="102"/>
        <v>60910030310276270310</v>
      </c>
    </row>
    <row r="969" spans="1:10" s="83" customFormat="1" ht="25.5">
      <c r="A969" s="236" t="s">
        <v>978</v>
      </c>
      <c r="B969" s="233" t="s">
        <v>62</v>
      </c>
      <c r="C969" s="234" t="s">
        <v>14</v>
      </c>
      <c r="D969" s="234" t="s">
        <v>53</v>
      </c>
      <c r="E969" s="234" t="s">
        <v>413</v>
      </c>
      <c r="F969" s="234" t="s">
        <v>1064</v>
      </c>
      <c r="G969" s="235">
        <f>VLOOKUP(J969,'исх АС БЮДЖЕТ'!$A$10:$H$568,6,0)</f>
        <v>109869600</v>
      </c>
      <c r="H969" s="234">
        <v>310276270</v>
      </c>
      <c r="I969" s="313" t="str">
        <f t="shared" si="101"/>
        <v>0310276270</v>
      </c>
      <c r="J969" s="30" t="str">
        <f t="shared" si="102"/>
        <v>60910030310276270313</v>
      </c>
    </row>
    <row r="970" spans="1:10" s="30" customFormat="1" ht="51">
      <c r="A970" s="267" t="s">
        <v>673</v>
      </c>
      <c r="B970" s="241" t="s">
        <v>62</v>
      </c>
      <c r="C970" s="242" t="s">
        <v>14</v>
      </c>
      <c r="D970" s="242" t="s">
        <v>53</v>
      </c>
      <c r="E970" s="242" t="s">
        <v>672</v>
      </c>
      <c r="F970" s="242" t="s">
        <v>58</v>
      </c>
      <c r="G970" s="235">
        <f>G973+G971</f>
        <v>2625000</v>
      </c>
      <c r="H970" s="242">
        <v>310277190</v>
      </c>
      <c r="I970" s="313" t="str">
        <f t="shared" si="101"/>
        <v>0310277190</v>
      </c>
      <c r="J970" s="30" t="str">
        <f t="shared" si="102"/>
        <v>60910030310277190000</v>
      </c>
    </row>
    <row r="971" spans="1:10" s="30" customFormat="1" ht="25.5">
      <c r="A971" s="232" t="s">
        <v>108</v>
      </c>
      <c r="B971" s="241" t="s">
        <v>62</v>
      </c>
      <c r="C971" s="242" t="s">
        <v>14</v>
      </c>
      <c r="D971" s="242" t="s">
        <v>53</v>
      </c>
      <c r="E971" s="242" t="s">
        <v>672</v>
      </c>
      <c r="F971" s="242" t="s">
        <v>116</v>
      </c>
      <c r="G971" s="235">
        <f>G972</f>
        <v>26000</v>
      </c>
      <c r="H971" s="242">
        <v>310277190</v>
      </c>
      <c r="I971" s="313" t="str">
        <f t="shared" si="101"/>
        <v>0310277190</v>
      </c>
      <c r="J971" s="30" t="str">
        <f t="shared" si="102"/>
        <v>60910030310277190240</v>
      </c>
    </row>
    <row r="972" spans="1:10" s="83" customFormat="1" ht="25.5">
      <c r="A972" s="236" t="s">
        <v>973</v>
      </c>
      <c r="B972" s="241" t="s">
        <v>62</v>
      </c>
      <c r="C972" s="242" t="s">
        <v>14</v>
      </c>
      <c r="D972" s="242" t="s">
        <v>53</v>
      </c>
      <c r="E972" s="242" t="s">
        <v>672</v>
      </c>
      <c r="F972" s="242" t="s">
        <v>1043</v>
      </c>
      <c r="G972" s="235">
        <f>VLOOKUP(J972,'исх АС БЮДЖЕТ'!$A$10:$H$568,6,0)</f>
        <v>26000</v>
      </c>
      <c r="H972" s="242">
        <v>310277190</v>
      </c>
      <c r="I972" s="313" t="str">
        <f t="shared" si="101"/>
        <v>0310277190</v>
      </c>
      <c r="J972" s="30" t="str">
        <f t="shared" si="102"/>
        <v>60910030310277190244</v>
      </c>
    </row>
    <row r="973" spans="1:10" s="30" customFormat="1">
      <c r="A973" s="252" t="s">
        <v>109</v>
      </c>
      <c r="B973" s="241" t="s">
        <v>62</v>
      </c>
      <c r="C973" s="242" t="s">
        <v>14</v>
      </c>
      <c r="D973" s="242" t="s">
        <v>53</v>
      </c>
      <c r="E973" s="242" t="s">
        <v>672</v>
      </c>
      <c r="F973" s="242" t="s">
        <v>134</v>
      </c>
      <c r="G973" s="235">
        <f>G974</f>
        <v>2599000</v>
      </c>
      <c r="H973" s="242">
        <v>310277190</v>
      </c>
      <c r="I973" s="313" t="str">
        <f t="shared" si="101"/>
        <v>0310277190</v>
      </c>
      <c r="J973" s="30" t="str">
        <f t="shared" si="102"/>
        <v>60910030310277190310</v>
      </c>
    </row>
    <row r="974" spans="1:10" s="83" customFormat="1" ht="25.5">
      <c r="A974" s="236" t="s">
        <v>978</v>
      </c>
      <c r="B974" s="241" t="s">
        <v>62</v>
      </c>
      <c r="C974" s="242" t="s">
        <v>14</v>
      </c>
      <c r="D974" s="242" t="s">
        <v>53</v>
      </c>
      <c r="E974" s="242" t="s">
        <v>672</v>
      </c>
      <c r="F974" s="242" t="s">
        <v>1064</v>
      </c>
      <c r="G974" s="235">
        <f>VLOOKUP(J974,'исх АС БЮДЖЕТ'!$A$10:$H$568,6,0)</f>
        <v>2599000</v>
      </c>
      <c r="H974" s="242">
        <v>310277190</v>
      </c>
      <c r="I974" s="313" t="str">
        <f t="shared" si="101"/>
        <v>0310277190</v>
      </c>
      <c r="J974" s="30" t="str">
        <f t="shared" si="102"/>
        <v>60910030310277190313</v>
      </c>
    </row>
    <row r="975" spans="1:10" s="30" customFormat="1" ht="25.5">
      <c r="A975" s="267" t="s">
        <v>675</v>
      </c>
      <c r="B975" s="233" t="s">
        <v>62</v>
      </c>
      <c r="C975" s="234" t="s">
        <v>14</v>
      </c>
      <c r="D975" s="234" t="s">
        <v>53</v>
      </c>
      <c r="E975" s="234" t="s">
        <v>799</v>
      </c>
      <c r="F975" s="234" t="s">
        <v>58</v>
      </c>
      <c r="G975" s="235">
        <f>G976+G978</f>
        <v>40033000</v>
      </c>
      <c r="H975" s="234">
        <v>310278280</v>
      </c>
      <c r="I975" s="313" t="str">
        <f t="shared" si="101"/>
        <v>0310278280</v>
      </c>
      <c r="J975" s="30" t="str">
        <f t="shared" si="102"/>
        <v>60910030310278280000</v>
      </c>
    </row>
    <row r="976" spans="1:10" s="30" customFormat="1" ht="25.5">
      <c r="A976" s="232" t="s">
        <v>108</v>
      </c>
      <c r="B976" s="233" t="s">
        <v>62</v>
      </c>
      <c r="C976" s="234" t="s">
        <v>14</v>
      </c>
      <c r="D976" s="234" t="s">
        <v>53</v>
      </c>
      <c r="E976" s="234" t="s">
        <v>799</v>
      </c>
      <c r="F976" s="234" t="s">
        <v>116</v>
      </c>
      <c r="G976" s="235">
        <f>G977</f>
        <v>494273</v>
      </c>
      <c r="H976" s="234">
        <v>310278280</v>
      </c>
      <c r="I976" s="313" t="str">
        <f t="shared" si="101"/>
        <v>0310278280</v>
      </c>
      <c r="J976" s="30" t="str">
        <f t="shared" si="102"/>
        <v>60910030310278280240</v>
      </c>
    </row>
    <row r="977" spans="1:10" s="83" customFormat="1" ht="25.5">
      <c r="A977" s="236" t="s">
        <v>973</v>
      </c>
      <c r="B977" s="233" t="s">
        <v>62</v>
      </c>
      <c r="C977" s="234" t="s">
        <v>14</v>
      </c>
      <c r="D977" s="234" t="s">
        <v>53</v>
      </c>
      <c r="E977" s="234" t="s">
        <v>799</v>
      </c>
      <c r="F977" s="234" t="s">
        <v>1043</v>
      </c>
      <c r="G977" s="235">
        <f>VLOOKUP(J977,'исх АС БЮДЖЕТ'!$A$10:$H$568,6,0)</f>
        <v>494273</v>
      </c>
      <c r="H977" s="234">
        <v>310278280</v>
      </c>
      <c r="I977" s="313" t="str">
        <f t="shared" si="101"/>
        <v>0310278280</v>
      </c>
      <c r="J977" s="30" t="str">
        <f t="shared" si="102"/>
        <v>60910030310278280244</v>
      </c>
    </row>
    <row r="978" spans="1:10" s="30" customFormat="1">
      <c r="A978" s="244" t="s">
        <v>109</v>
      </c>
      <c r="B978" s="233" t="s">
        <v>62</v>
      </c>
      <c r="C978" s="234" t="s">
        <v>14</v>
      </c>
      <c r="D978" s="234" t="s">
        <v>53</v>
      </c>
      <c r="E978" s="234" t="s">
        <v>799</v>
      </c>
      <c r="F978" s="234" t="s">
        <v>134</v>
      </c>
      <c r="G978" s="235">
        <f>G979</f>
        <v>39538727</v>
      </c>
      <c r="H978" s="234">
        <v>310278280</v>
      </c>
      <c r="I978" s="313" t="str">
        <f t="shared" si="101"/>
        <v>0310278280</v>
      </c>
      <c r="J978" s="30" t="str">
        <f t="shared" si="102"/>
        <v>60910030310278280310</v>
      </c>
    </row>
    <row r="979" spans="1:10" s="83" customFormat="1" ht="25.5">
      <c r="A979" s="236" t="s">
        <v>978</v>
      </c>
      <c r="B979" s="233" t="s">
        <v>62</v>
      </c>
      <c r="C979" s="234" t="s">
        <v>14</v>
      </c>
      <c r="D979" s="234" t="s">
        <v>53</v>
      </c>
      <c r="E979" s="234" t="s">
        <v>799</v>
      </c>
      <c r="F979" s="234" t="s">
        <v>1064</v>
      </c>
      <c r="G979" s="235">
        <f>VLOOKUP(J979,'исх АС БЮДЖЕТ'!$A$10:$H$568,6,0)</f>
        <v>39538727</v>
      </c>
      <c r="H979" s="234">
        <v>310278280</v>
      </c>
      <c r="I979" s="313" t="str">
        <f t="shared" si="101"/>
        <v>0310278280</v>
      </c>
      <c r="J979" s="30" t="str">
        <f t="shared" si="102"/>
        <v>60910030310278280313</v>
      </c>
    </row>
    <row r="980" spans="1:10" s="30" customFormat="1" ht="38.25">
      <c r="A980" s="244" t="s">
        <v>842</v>
      </c>
      <c r="B980" s="233" t="s">
        <v>62</v>
      </c>
      <c r="C980" s="234" t="s">
        <v>14</v>
      </c>
      <c r="D980" s="234" t="s">
        <v>53</v>
      </c>
      <c r="E980" s="234" t="s">
        <v>414</v>
      </c>
      <c r="F980" s="234" t="s">
        <v>58</v>
      </c>
      <c r="G980" s="235">
        <f>G981+G1015+G1021+G1025</f>
        <v>21836370</v>
      </c>
      <c r="H980" s="234">
        <v>320000000</v>
      </c>
      <c r="I980" s="313" t="str">
        <f t="shared" si="101"/>
        <v>0320000000</v>
      </c>
      <c r="J980" s="30" t="str">
        <f t="shared" si="102"/>
        <v>60910030320000000000</v>
      </c>
    </row>
    <row r="981" spans="1:10" s="30" customFormat="1" ht="25.5">
      <c r="A981" s="263" t="s">
        <v>636</v>
      </c>
      <c r="B981" s="233" t="s">
        <v>62</v>
      </c>
      <c r="C981" s="234" t="s">
        <v>14</v>
      </c>
      <c r="D981" s="234" t="s">
        <v>53</v>
      </c>
      <c r="E981" s="234" t="s">
        <v>415</v>
      </c>
      <c r="F981" s="234" t="s">
        <v>58</v>
      </c>
      <c r="G981" s="235">
        <f>G982+G985+G988+G991+G994+G997+G1000+G1003+G1006+G1009+G1012</f>
        <v>19925740</v>
      </c>
      <c r="H981" s="234">
        <v>320100000</v>
      </c>
      <c r="I981" s="313" t="str">
        <f t="shared" si="101"/>
        <v>0320100000</v>
      </c>
      <c r="J981" s="30" t="str">
        <f t="shared" si="102"/>
        <v>60910030320100000000</v>
      </c>
    </row>
    <row r="982" spans="1:10" s="30" customFormat="1" ht="38.25">
      <c r="A982" s="266" t="s">
        <v>416</v>
      </c>
      <c r="B982" s="233" t="s">
        <v>62</v>
      </c>
      <c r="C982" s="234" t="s">
        <v>14</v>
      </c>
      <c r="D982" s="234" t="s">
        <v>53</v>
      </c>
      <c r="E982" s="234" t="s">
        <v>417</v>
      </c>
      <c r="F982" s="234" t="s">
        <v>58</v>
      </c>
      <c r="G982" s="235">
        <f>G983</f>
        <v>6350000</v>
      </c>
      <c r="H982" s="234">
        <v>320180030</v>
      </c>
      <c r="I982" s="313" t="str">
        <f t="shared" si="101"/>
        <v>0320180030</v>
      </c>
      <c r="J982" s="30" t="str">
        <f t="shared" si="102"/>
        <v>60910030320180030000</v>
      </c>
    </row>
    <row r="983" spans="1:10" s="30" customFormat="1">
      <c r="A983" s="244" t="s">
        <v>109</v>
      </c>
      <c r="B983" s="233" t="s">
        <v>62</v>
      </c>
      <c r="C983" s="234" t="s">
        <v>14</v>
      </c>
      <c r="D983" s="234" t="s">
        <v>53</v>
      </c>
      <c r="E983" s="234" t="s">
        <v>417</v>
      </c>
      <c r="F983" s="234" t="s">
        <v>134</v>
      </c>
      <c r="G983" s="235">
        <f>G984</f>
        <v>6350000</v>
      </c>
      <c r="H983" s="234">
        <v>320180030</v>
      </c>
      <c r="I983" s="313" t="str">
        <f t="shared" si="101"/>
        <v>0320180030</v>
      </c>
      <c r="J983" s="30" t="str">
        <f t="shared" si="102"/>
        <v>60910030320180030310</v>
      </c>
    </row>
    <row r="984" spans="1:10" s="83" customFormat="1" ht="25.5">
      <c r="A984" s="236" t="s">
        <v>978</v>
      </c>
      <c r="B984" s="233" t="s">
        <v>62</v>
      </c>
      <c r="C984" s="234" t="s">
        <v>14</v>
      </c>
      <c r="D984" s="234" t="s">
        <v>53</v>
      </c>
      <c r="E984" s="234" t="s">
        <v>417</v>
      </c>
      <c r="F984" s="234" t="s">
        <v>1064</v>
      </c>
      <c r="G984" s="235">
        <f>VLOOKUP(J984,'исх АС БЮДЖЕТ'!$A$10:$H$568,6,0)</f>
        <v>6350000</v>
      </c>
      <c r="H984" s="234">
        <v>320180030</v>
      </c>
      <c r="I984" s="313" t="str">
        <f t="shared" si="101"/>
        <v>0320180030</v>
      </c>
      <c r="J984" s="30" t="str">
        <f t="shared" si="102"/>
        <v>60910030320180030313</v>
      </c>
    </row>
    <row r="985" spans="1:10" s="30" customFormat="1" ht="38.25">
      <c r="A985" s="266" t="s">
        <v>418</v>
      </c>
      <c r="B985" s="233" t="s">
        <v>62</v>
      </c>
      <c r="C985" s="234" t="s">
        <v>14</v>
      </c>
      <c r="D985" s="234" t="s">
        <v>53</v>
      </c>
      <c r="E985" s="234" t="s">
        <v>419</v>
      </c>
      <c r="F985" s="234" t="s">
        <v>58</v>
      </c>
      <c r="G985" s="235">
        <f>G986</f>
        <v>694280</v>
      </c>
      <c r="H985" s="234">
        <v>320180070</v>
      </c>
      <c r="I985" s="313" t="str">
        <f t="shared" si="101"/>
        <v>0320180070</v>
      </c>
      <c r="J985" s="30" t="str">
        <f t="shared" si="102"/>
        <v>60910030320180070000</v>
      </c>
    </row>
    <row r="986" spans="1:10" s="30" customFormat="1">
      <c r="A986" s="244" t="s">
        <v>109</v>
      </c>
      <c r="B986" s="233" t="s">
        <v>62</v>
      </c>
      <c r="C986" s="234" t="s">
        <v>14</v>
      </c>
      <c r="D986" s="234" t="s">
        <v>53</v>
      </c>
      <c r="E986" s="234" t="s">
        <v>419</v>
      </c>
      <c r="F986" s="234" t="s">
        <v>134</v>
      </c>
      <c r="G986" s="235">
        <f>G987</f>
        <v>694280</v>
      </c>
      <c r="H986" s="234">
        <v>320180070</v>
      </c>
      <c r="I986" s="313" t="str">
        <f t="shared" si="101"/>
        <v>0320180070</v>
      </c>
      <c r="J986" s="30" t="str">
        <f t="shared" si="102"/>
        <v>60910030320180070310</v>
      </c>
    </row>
    <row r="987" spans="1:10" s="83" customFormat="1" ht="25.5">
      <c r="A987" s="236" t="s">
        <v>978</v>
      </c>
      <c r="B987" s="233" t="s">
        <v>62</v>
      </c>
      <c r="C987" s="234" t="s">
        <v>14</v>
      </c>
      <c r="D987" s="234" t="s">
        <v>53</v>
      </c>
      <c r="E987" s="234" t="s">
        <v>419</v>
      </c>
      <c r="F987" s="234" t="s">
        <v>1064</v>
      </c>
      <c r="G987" s="235">
        <f>VLOOKUP(J987,'исх АС БЮДЖЕТ'!$A$10:$H$568,6,0)</f>
        <v>694280</v>
      </c>
      <c r="H987" s="234">
        <v>320180070</v>
      </c>
      <c r="I987" s="313" t="str">
        <f t="shared" ref="I987:I1050" si="103">TEXT(H987,"0000000000")</f>
        <v>0320180070</v>
      </c>
      <c r="J987" s="30" t="str">
        <f t="shared" ref="J987:J1050" si="104">CONCATENATE(B987,C987,D987,I987,F987)</f>
        <v>60910030320180070313</v>
      </c>
    </row>
    <row r="988" spans="1:10" s="30" customFormat="1" ht="25.5">
      <c r="A988" s="266" t="s">
        <v>420</v>
      </c>
      <c r="B988" s="233" t="s">
        <v>62</v>
      </c>
      <c r="C988" s="234" t="s">
        <v>14</v>
      </c>
      <c r="D988" s="234" t="s">
        <v>53</v>
      </c>
      <c r="E988" s="234" t="s">
        <v>421</v>
      </c>
      <c r="F988" s="234" t="s">
        <v>58</v>
      </c>
      <c r="G988" s="235">
        <f>G989</f>
        <v>5718000</v>
      </c>
      <c r="H988" s="234">
        <v>320180100</v>
      </c>
      <c r="I988" s="313" t="str">
        <f t="shared" si="103"/>
        <v>0320180100</v>
      </c>
      <c r="J988" s="30" t="str">
        <f t="shared" si="104"/>
        <v>60910030320180100000</v>
      </c>
    </row>
    <row r="989" spans="1:10" s="30" customFormat="1">
      <c r="A989" s="244" t="s">
        <v>109</v>
      </c>
      <c r="B989" s="233" t="s">
        <v>62</v>
      </c>
      <c r="C989" s="234" t="s">
        <v>14</v>
      </c>
      <c r="D989" s="234" t="s">
        <v>53</v>
      </c>
      <c r="E989" s="234" t="s">
        <v>421</v>
      </c>
      <c r="F989" s="234" t="s">
        <v>134</v>
      </c>
      <c r="G989" s="235">
        <f>G990</f>
        <v>5718000</v>
      </c>
      <c r="H989" s="234">
        <v>320180100</v>
      </c>
      <c r="I989" s="313" t="str">
        <f t="shared" si="103"/>
        <v>0320180100</v>
      </c>
      <c r="J989" s="30" t="str">
        <f t="shared" si="104"/>
        <v>60910030320180100310</v>
      </c>
    </row>
    <row r="990" spans="1:10" s="83" customFormat="1" ht="25.5">
      <c r="A990" s="236" t="s">
        <v>978</v>
      </c>
      <c r="B990" s="233" t="s">
        <v>62</v>
      </c>
      <c r="C990" s="234" t="s">
        <v>14</v>
      </c>
      <c r="D990" s="234" t="s">
        <v>53</v>
      </c>
      <c r="E990" s="234" t="s">
        <v>421</v>
      </c>
      <c r="F990" s="234" t="s">
        <v>1064</v>
      </c>
      <c r="G990" s="235">
        <f>VLOOKUP(J990,'исх АС БЮДЖЕТ'!$A$10:$H$568,6,0)</f>
        <v>5718000</v>
      </c>
      <c r="H990" s="234">
        <v>320180100</v>
      </c>
      <c r="I990" s="313" t="str">
        <f t="shared" si="103"/>
        <v>0320180100</v>
      </c>
      <c r="J990" s="30" t="str">
        <f t="shared" si="104"/>
        <v>60910030320180100313</v>
      </c>
    </row>
    <row r="991" spans="1:10" s="30" customFormat="1" ht="25.5">
      <c r="A991" s="266" t="s">
        <v>422</v>
      </c>
      <c r="B991" s="233" t="s">
        <v>62</v>
      </c>
      <c r="C991" s="234" t="s">
        <v>14</v>
      </c>
      <c r="D991" s="234" t="s">
        <v>53</v>
      </c>
      <c r="E991" s="234" t="s">
        <v>423</v>
      </c>
      <c r="F991" s="234" t="s">
        <v>58</v>
      </c>
      <c r="G991" s="235">
        <f>G992</f>
        <v>1080000</v>
      </c>
      <c r="H991" s="234">
        <v>320180110</v>
      </c>
      <c r="I991" s="313" t="str">
        <f t="shared" si="103"/>
        <v>0320180110</v>
      </c>
      <c r="J991" s="30" t="str">
        <f t="shared" si="104"/>
        <v>60910030320180110000</v>
      </c>
    </row>
    <row r="992" spans="1:10" s="30" customFormat="1">
      <c r="A992" s="244" t="s">
        <v>109</v>
      </c>
      <c r="B992" s="233" t="s">
        <v>62</v>
      </c>
      <c r="C992" s="234" t="s">
        <v>14</v>
      </c>
      <c r="D992" s="234" t="s">
        <v>53</v>
      </c>
      <c r="E992" s="234" t="s">
        <v>423</v>
      </c>
      <c r="F992" s="234" t="s">
        <v>134</v>
      </c>
      <c r="G992" s="235">
        <f>G993</f>
        <v>1080000</v>
      </c>
      <c r="H992" s="234">
        <v>320180110</v>
      </c>
      <c r="I992" s="313" t="str">
        <f t="shared" si="103"/>
        <v>0320180110</v>
      </c>
      <c r="J992" s="30" t="str">
        <f t="shared" si="104"/>
        <v>60910030320180110310</v>
      </c>
    </row>
    <row r="993" spans="1:10" s="83" customFormat="1" ht="25.5">
      <c r="A993" s="236" t="s">
        <v>978</v>
      </c>
      <c r="B993" s="233" t="s">
        <v>62</v>
      </c>
      <c r="C993" s="234" t="s">
        <v>14</v>
      </c>
      <c r="D993" s="234" t="s">
        <v>53</v>
      </c>
      <c r="E993" s="234" t="s">
        <v>423</v>
      </c>
      <c r="F993" s="234" t="s">
        <v>1064</v>
      </c>
      <c r="G993" s="235">
        <f>VLOOKUP(J993,'исх АС БЮДЖЕТ'!$A$10:$H$568,6,0)</f>
        <v>1080000</v>
      </c>
      <c r="H993" s="234">
        <v>320180110</v>
      </c>
      <c r="I993" s="313" t="str">
        <f t="shared" si="103"/>
        <v>0320180110</v>
      </c>
      <c r="J993" s="30" t="str">
        <f t="shared" si="104"/>
        <v>60910030320180110313</v>
      </c>
    </row>
    <row r="994" spans="1:10" s="30" customFormat="1" ht="89.25">
      <c r="A994" s="266" t="s">
        <v>424</v>
      </c>
      <c r="B994" s="233" t="s">
        <v>62</v>
      </c>
      <c r="C994" s="234" t="s">
        <v>14</v>
      </c>
      <c r="D994" s="234" t="s">
        <v>53</v>
      </c>
      <c r="E994" s="234" t="s">
        <v>425</v>
      </c>
      <c r="F994" s="234" t="s">
        <v>58</v>
      </c>
      <c r="G994" s="235">
        <f>G995</f>
        <v>1025460</v>
      </c>
      <c r="H994" s="234">
        <v>320180120</v>
      </c>
      <c r="I994" s="313" t="str">
        <f t="shared" si="103"/>
        <v>0320180120</v>
      </c>
      <c r="J994" s="30" t="str">
        <f t="shared" si="104"/>
        <v>60910030320180120000</v>
      </c>
    </row>
    <row r="995" spans="1:10" s="30" customFormat="1">
      <c r="A995" s="244" t="s">
        <v>109</v>
      </c>
      <c r="B995" s="233" t="s">
        <v>62</v>
      </c>
      <c r="C995" s="234" t="s">
        <v>14</v>
      </c>
      <c r="D995" s="234" t="s">
        <v>53</v>
      </c>
      <c r="E995" s="234" t="s">
        <v>425</v>
      </c>
      <c r="F995" s="234" t="s">
        <v>134</v>
      </c>
      <c r="G995" s="235">
        <f>G996</f>
        <v>1025460</v>
      </c>
      <c r="H995" s="234">
        <v>320180120</v>
      </c>
      <c r="I995" s="313" t="str">
        <f t="shared" si="103"/>
        <v>0320180120</v>
      </c>
      <c r="J995" s="30" t="str">
        <f t="shared" si="104"/>
        <v>60910030320180120310</v>
      </c>
    </row>
    <row r="996" spans="1:10" s="103" customFormat="1" ht="25.5">
      <c r="A996" s="236" t="s">
        <v>978</v>
      </c>
      <c r="B996" s="233" t="s">
        <v>62</v>
      </c>
      <c r="C996" s="234" t="s">
        <v>14</v>
      </c>
      <c r="D996" s="234" t="s">
        <v>53</v>
      </c>
      <c r="E996" s="234" t="s">
        <v>425</v>
      </c>
      <c r="F996" s="234" t="s">
        <v>1064</v>
      </c>
      <c r="G996" s="235">
        <f>VLOOKUP(J996,'исх АС БЮДЖЕТ'!$A$10:$H$568,6,0)</f>
        <v>1025460</v>
      </c>
      <c r="H996" s="234">
        <v>320180120</v>
      </c>
      <c r="I996" s="313" t="str">
        <f t="shared" si="103"/>
        <v>0320180120</v>
      </c>
      <c r="J996" s="30" t="str">
        <f t="shared" si="104"/>
        <v>60910030320180120313</v>
      </c>
    </row>
    <row r="997" spans="1:10" s="30" customFormat="1" ht="25.5">
      <c r="A997" s="266" t="s">
        <v>426</v>
      </c>
      <c r="B997" s="233" t="s">
        <v>62</v>
      </c>
      <c r="C997" s="234" t="s">
        <v>14</v>
      </c>
      <c r="D997" s="234" t="s">
        <v>53</v>
      </c>
      <c r="E997" s="234" t="s">
        <v>427</v>
      </c>
      <c r="F997" s="234" t="s">
        <v>58</v>
      </c>
      <c r="G997" s="235">
        <f>G998</f>
        <v>714000</v>
      </c>
      <c r="H997" s="234">
        <v>320180140</v>
      </c>
      <c r="I997" s="313" t="str">
        <f t="shared" si="103"/>
        <v>0320180140</v>
      </c>
      <c r="J997" s="30" t="str">
        <f t="shared" si="104"/>
        <v>60910030320180140000</v>
      </c>
    </row>
    <row r="998" spans="1:10" s="30" customFormat="1">
      <c r="A998" s="244" t="s">
        <v>109</v>
      </c>
      <c r="B998" s="233" t="s">
        <v>62</v>
      </c>
      <c r="C998" s="234" t="s">
        <v>14</v>
      </c>
      <c r="D998" s="234" t="s">
        <v>53</v>
      </c>
      <c r="E998" s="234" t="s">
        <v>427</v>
      </c>
      <c r="F998" s="234" t="s">
        <v>134</v>
      </c>
      <c r="G998" s="235">
        <f>G999</f>
        <v>714000</v>
      </c>
      <c r="H998" s="234">
        <v>320180140</v>
      </c>
      <c r="I998" s="313" t="str">
        <f t="shared" si="103"/>
        <v>0320180140</v>
      </c>
      <c r="J998" s="30" t="str">
        <f t="shared" si="104"/>
        <v>60910030320180140310</v>
      </c>
    </row>
    <row r="999" spans="1:10" s="83" customFormat="1" ht="25.5">
      <c r="A999" s="236" t="s">
        <v>978</v>
      </c>
      <c r="B999" s="233" t="s">
        <v>62</v>
      </c>
      <c r="C999" s="234" t="s">
        <v>14</v>
      </c>
      <c r="D999" s="234" t="s">
        <v>53</v>
      </c>
      <c r="E999" s="234" t="s">
        <v>427</v>
      </c>
      <c r="F999" s="234" t="s">
        <v>1064</v>
      </c>
      <c r="G999" s="235">
        <f>VLOOKUP(J999,'исх АС БЮДЖЕТ'!$A$10:$H$568,6,0)</f>
        <v>714000</v>
      </c>
      <c r="H999" s="234">
        <v>320180140</v>
      </c>
      <c r="I999" s="313" t="str">
        <f t="shared" si="103"/>
        <v>0320180140</v>
      </c>
      <c r="J999" s="30" t="str">
        <f t="shared" si="104"/>
        <v>60910030320180140313</v>
      </c>
    </row>
    <row r="1000" spans="1:10" s="30" customFormat="1" ht="51">
      <c r="A1000" s="266" t="s">
        <v>428</v>
      </c>
      <c r="B1000" s="233" t="s">
        <v>62</v>
      </c>
      <c r="C1000" s="234" t="s">
        <v>14</v>
      </c>
      <c r="D1000" s="234" t="s">
        <v>53</v>
      </c>
      <c r="E1000" s="234" t="s">
        <v>429</v>
      </c>
      <c r="F1000" s="234" t="s">
        <v>58</v>
      </c>
      <c r="G1000" s="235">
        <f>G1001</f>
        <v>1350000</v>
      </c>
      <c r="H1000" s="234">
        <v>320180150</v>
      </c>
      <c r="I1000" s="313" t="str">
        <f t="shared" si="103"/>
        <v>0320180150</v>
      </c>
      <c r="J1000" s="30" t="str">
        <f t="shared" si="104"/>
        <v>60910030320180150000</v>
      </c>
    </row>
    <row r="1001" spans="1:10" s="30" customFormat="1">
      <c r="A1001" s="244" t="s">
        <v>109</v>
      </c>
      <c r="B1001" s="233" t="s">
        <v>62</v>
      </c>
      <c r="C1001" s="234" t="s">
        <v>14</v>
      </c>
      <c r="D1001" s="234" t="s">
        <v>53</v>
      </c>
      <c r="E1001" s="234" t="s">
        <v>429</v>
      </c>
      <c r="F1001" s="234" t="s">
        <v>134</v>
      </c>
      <c r="G1001" s="235">
        <f>G1002</f>
        <v>1350000</v>
      </c>
      <c r="H1001" s="234">
        <v>320180150</v>
      </c>
      <c r="I1001" s="313" t="str">
        <f t="shared" si="103"/>
        <v>0320180150</v>
      </c>
      <c r="J1001" s="30" t="str">
        <f t="shared" si="104"/>
        <v>60910030320180150310</v>
      </c>
    </row>
    <row r="1002" spans="1:10" s="83" customFormat="1" ht="25.5">
      <c r="A1002" s="236" t="s">
        <v>978</v>
      </c>
      <c r="B1002" s="233" t="s">
        <v>62</v>
      </c>
      <c r="C1002" s="234" t="s">
        <v>14</v>
      </c>
      <c r="D1002" s="234" t="s">
        <v>53</v>
      </c>
      <c r="E1002" s="234" t="s">
        <v>429</v>
      </c>
      <c r="F1002" s="234" t="s">
        <v>1064</v>
      </c>
      <c r="G1002" s="235">
        <f>VLOOKUP(J1002,'исх АС БЮДЖЕТ'!$A$10:$H$568,6,0)</f>
        <v>1350000</v>
      </c>
      <c r="H1002" s="234">
        <v>320180150</v>
      </c>
      <c r="I1002" s="313" t="str">
        <f t="shared" si="103"/>
        <v>0320180150</v>
      </c>
      <c r="J1002" s="30" t="str">
        <f t="shared" si="104"/>
        <v>60910030320180150313</v>
      </c>
    </row>
    <row r="1003" spans="1:10" s="30" customFormat="1" ht="25.5">
      <c r="A1003" s="266" t="s">
        <v>430</v>
      </c>
      <c r="B1003" s="233" t="s">
        <v>62</v>
      </c>
      <c r="C1003" s="234" t="s">
        <v>14</v>
      </c>
      <c r="D1003" s="234" t="s">
        <v>53</v>
      </c>
      <c r="E1003" s="234" t="s">
        <v>431</v>
      </c>
      <c r="F1003" s="234" t="s">
        <v>58</v>
      </c>
      <c r="G1003" s="235">
        <f>G1004</f>
        <v>1000000</v>
      </c>
      <c r="H1003" s="234">
        <v>320180160</v>
      </c>
      <c r="I1003" s="313" t="str">
        <f t="shared" si="103"/>
        <v>0320180160</v>
      </c>
      <c r="J1003" s="30" t="str">
        <f t="shared" si="104"/>
        <v>60910030320180160000</v>
      </c>
    </row>
    <row r="1004" spans="1:10" s="30" customFormat="1">
      <c r="A1004" s="244" t="s">
        <v>109</v>
      </c>
      <c r="B1004" s="233" t="s">
        <v>62</v>
      </c>
      <c r="C1004" s="234" t="s">
        <v>14</v>
      </c>
      <c r="D1004" s="234" t="s">
        <v>53</v>
      </c>
      <c r="E1004" s="234" t="s">
        <v>431</v>
      </c>
      <c r="F1004" s="234" t="s">
        <v>134</v>
      </c>
      <c r="G1004" s="235">
        <f>G1005</f>
        <v>1000000</v>
      </c>
      <c r="H1004" s="234">
        <v>320180160</v>
      </c>
      <c r="I1004" s="313" t="str">
        <f t="shared" si="103"/>
        <v>0320180160</v>
      </c>
      <c r="J1004" s="30" t="str">
        <f t="shared" si="104"/>
        <v>60910030320180160310</v>
      </c>
    </row>
    <row r="1005" spans="1:10" s="83" customFormat="1" ht="25.5">
      <c r="A1005" s="236" t="s">
        <v>978</v>
      </c>
      <c r="B1005" s="233" t="s">
        <v>62</v>
      </c>
      <c r="C1005" s="234" t="s">
        <v>14</v>
      </c>
      <c r="D1005" s="234" t="s">
        <v>53</v>
      </c>
      <c r="E1005" s="234" t="s">
        <v>431</v>
      </c>
      <c r="F1005" s="234" t="s">
        <v>1064</v>
      </c>
      <c r="G1005" s="235">
        <f>VLOOKUP(J1005,'исх АС БЮДЖЕТ'!$A$10:$H$568,6,0)</f>
        <v>1000000</v>
      </c>
      <c r="H1005" s="234">
        <v>320180160</v>
      </c>
      <c r="I1005" s="313" t="str">
        <f t="shared" si="103"/>
        <v>0320180160</v>
      </c>
      <c r="J1005" s="30" t="str">
        <f t="shared" si="104"/>
        <v>60910030320180160313</v>
      </c>
    </row>
    <row r="1006" spans="1:10" s="30" customFormat="1">
      <c r="A1006" s="266" t="s">
        <v>432</v>
      </c>
      <c r="B1006" s="233" t="s">
        <v>62</v>
      </c>
      <c r="C1006" s="234" t="s">
        <v>14</v>
      </c>
      <c r="D1006" s="234" t="s">
        <v>53</v>
      </c>
      <c r="E1006" s="234" t="s">
        <v>433</v>
      </c>
      <c r="F1006" s="234" t="s">
        <v>58</v>
      </c>
      <c r="G1006" s="235">
        <f>G1007</f>
        <v>1854000</v>
      </c>
      <c r="H1006" s="234">
        <v>320180180</v>
      </c>
      <c r="I1006" s="313" t="str">
        <f t="shared" si="103"/>
        <v>0320180180</v>
      </c>
      <c r="J1006" s="30" t="str">
        <f t="shared" si="104"/>
        <v>60910030320180180000</v>
      </c>
    </row>
    <row r="1007" spans="1:10" s="30" customFormat="1">
      <c r="A1007" s="244" t="s">
        <v>109</v>
      </c>
      <c r="B1007" s="233" t="s">
        <v>62</v>
      </c>
      <c r="C1007" s="234" t="s">
        <v>14</v>
      </c>
      <c r="D1007" s="234" t="s">
        <v>53</v>
      </c>
      <c r="E1007" s="234" t="s">
        <v>433</v>
      </c>
      <c r="F1007" s="234" t="s">
        <v>134</v>
      </c>
      <c r="G1007" s="235">
        <f>G1008</f>
        <v>1854000</v>
      </c>
      <c r="H1007" s="234">
        <v>320180180</v>
      </c>
      <c r="I1007" s="313" t="str">
        <f t="shared" si="103"/>
        <v>0320180180</v>
      </c>
      <c r="J1007" s="30" t="str">
        <f t="shared" si="104"/>
        <v>60910030320180180310</v>
      </c>
    </row>
    <row r="1008" spans="1:10" s="83" customFormat="1" ht="25.5">
      <c r="A1008" s="236" t="s">
        <v>978</v>
      </c>
      <c r="B1008" s="233" t="s">
        <v>62</v>
      </c>
      <c r="C1008" s="234" t="s">
        <v>14</v>
      </c>
      <c r="D1008" s="234" t="s">
        <v>53</v>
      </c>
      <c r="E1008" s="234" t="s">
        <v>433</v>
      </c>
      <c r="F1008" s="234" t="s">
        <v>1064</v>
      </c>
      <c r="G1008" s="235">
        <f>VLOOKUP(J1008,'исх АС БЮДЖЕТ'!$A$10:$H$568,6,0)</f>
        <v>1854000</v>
      </c>
      <c r="H1008" s="234">
        <v>320180180</v>
      </c>
      <c r="I1008" s="313" t="str">
        <f t="shared" si="103"/>
        <v>0320180180</v>
      </c>
      <c r="J1008" s="30" t="str">
        <f t="shared" si="104"/>
        <v>60910030320180180313</v>
      </c>
    </row>
    <row r="1009" spans="1:10" s="30" customFormat="1" ht="25.5">
      <c r="A1009" s="266" t="s">
        <v>434</v>
      </c>
      <c r="B1009" s="233" t="s">
        <v>62</v>
      </c>
      <c r="C1009" s="234" t="s">
        <v>14</v>
      </c>
      <c r="D1009" s="234" t="s">
        <v>53</v>
      </c>
      <c r="E1009" s="234" t="s">
        <v>435</v>
      </c>
      <c r="F1009" s="234" t="s">
        <v>58</v>
      </c>
      <c r="G1009" s="235">
        <f>G1010</f>
        <v>40000</v>
      </c>
      <c r="H1009" s="234">
        <v>320180190</v>
      </c>
      <c r="I1009" s="313" t="str">
        <f t="shared" si="103"/>
        <v>0320180190</v>
      </c>
      <c r="J1009" s="30" t="str">
        <f t="shared" si="104"/>
        <v>60910030320180190000</v>
      </c>
    </row>
    <row r="1010" spans="1:10" s="30" customFormat="1">
      <c r="A1010" s="244" t="s">
        <v>109</v>
      </c>
      <c r="B1010" s="233" t="s">
        <v>62</v>
      </c>
      <c r="C1010" s="234" t="s">
        <v>14</v>
      </c>
      <c r="D1010" s="234" t="s">
        <v>53</v>
      </c>
      <c r="E1010" s="234" t="s">
        <v>435</v>
      </c>
      <c r="F1010" s="234" t="s">
        <v>134</v>
      </c>
      <c r="G1010" s="235">
        <f>G1011</f>
        <v>40000</v>
      </c>
      <c r="H1010" s="234">
        <v>320180190</v>
      </c>
      <c r="I1010" s="313" t="str">
        <f t="shared" si="103"/>
        <v>0320180190</v>
      </c>
      <c r="J1010" s="30" t="str">
        <f t="shared" si="104"/>
        <v>60910030320180190310</v>
      </c>
    </row>
    <row r="1011" spans="1:10" s="83" customFormat="1" ht="25.5">
      <c r="A1011" s="236" t="s">
        <v>978</v>
      </c>
      <c r="B1011" s="233" t="s">
        <v>62</v>
      </c>
      <c r="C1011" s="234" t="s">
        <v>14</v>
      </c>
      <c r="D1011" s="234" t="s">
        <v>53</v>
      </c>
      <c r="E1011" s="234" t="s">
        <v>435</v>
      </c>
      <c r="F1011" s="234" t="s">
        <v>1064</v>
      </c>
      <c r="G1011" s="235">
        <f>VLOOKUP(J1011,'исх АС БЮДЖЕТ'!$A$10:$H$568,6,0)</f>
        <v>40000</v>
      </c>
      <c r="H1011" s="234">
        <v>320180190</v>
      </c>
      <c r="I1011" s="313" t="str">
        <f t="shared" si="103"/>
        <v>0320180190</v>
      </c>
      <c r="J1011" s="30" t="str">
        <f t="shared" si="104"/>
        <v>60910030320180190313</v>
      </c>
    </row>
    <row r="1012" spans="1:10" s="30" customFormat="1" ht="38.25">
      <c r="A1012" s="266" t="s">
        <v>804</v>
      </c>
      <c r="B1012" s="233" t="s">
        <v>62</v>
      </c>
      <c r="C1012" s="234" t="s">
        <v>14</v>
      </c>
      <c r="D1012" s="234" t="s">
        <v>53</v>
      </c>
      <c r="E1012" s="234" t="s">
        <v>436</v>
      </c>
      <c r="F1012" s="234" t="s">
        <v>58</v>
      </c>
      <c r="G1012" s="235">
        <f>G1013</f>
        <v>100000</v>
      </c>
      <c r="H1012" s="234">
        <v>320180210</v>
      </c>
      <c r="I1012" s="313" t="str">
        <f t="shared" si="103"/>
        <v>0320180210</v>
      </c>
      <c r="J1012" s="30" t="str">
        <f t="shared" si="104"/>
        <v>60910030320180210000</v>
      </c>
    </row>
    <row r="1013" spans="1:10" s="30" customFormat="1">
      <c r="A1013" s="244" t="s">
        <v>109</v>
      </c>
      <c r="B1013" s="233" t="s">
        <v>62</v>
      </c>
      <c r="C1013" s="234" t="s">
        <v>14</v>
      </c>
      <c r="D1013" s="234" t="s">
        <v>53</v>
      </c>
      <c r="E1013" s="234" t="s">
        <v>436</v>
      </c>
      <c r="F1013" s="234" t="s">
        <v>134</v>
      </c>
      <c r="G1013" s="235">
        <f>G1014</f>
        <v>100000</v>
      </c>
      <c r="H1013" s="234">
        <v>320180210</v>
      </c>
      <c r="I1013" s="313" t="str">
        <f t="shared" si="103"/>
        <v>0320180210</v>
      </c>
      <c r="J1013" s="30" t="str">
        <f t="shared" si="104"/>
        <v>60910030320180210310</v>
      </c>
    </row>
    <row r="1014" spans="1:10" s="83" customFormat="1" ht="25.5">
      <c r="A1014" s="236" t="s">
        <v>978</v>
      </c>
      <c r="B1014" s="233" t="s">
        <v>62</v>
      </c>
      <c r="C1014" s="234" t="s">
        <v>14</v>
      </c>
      <c r="D1014" s="234" t="s">
        <v>53</v>
      </c>
      <c r="E1014" s="234" t="s">
        <v>436</v>
      </c>
      <c r="F1014" s="234" t="s">
        <v>1064</v>
      </c>
      <c r="G1014" s="235">
        <f>VLOOKUP(J1014,'исх АС БЮДЖЕТ'!$A$10:$H$568,6,0)</f>
        <v>100000</v>
      </c>
      <c r="H1014" s="234">
        <v>320180210</v>
      </c>
      <c r="I1014" s="313" t="str">
        <f t="shared" si="103"/>
        <v>0320180210</v>
      </c>
      <c r="J1014" s="30" t="str">
        <f t="shared" si="104"/>
        <v>60910030320180210313</v>
      </c>
    </row>
    <row r="1015" spans="1:10" s="30" customFormat="1">
      <c r="A1015" s="266" t="s">
        <v>800</v>
      </c>
      <c r="B1015" s="233" t="s">
        <v>62</v>
      </c>
      <c r="C1015" s="234" t="s">
        <v>14</v>
      </c>
      <c r="D1015" s="234" t="s">
        <v>53</v>
      </c>
      <c r="E1015" s="234" t="s">
        <v>801</v>
      </c>
      <c r="F1015" s="234" t="s">
        <v>58</v>
      </c>
      <c r="G1015" s="235">
        <f>G1016</f>
        <v>1287750</v>
      </c>
      <c r="H1015" s="234">
        <v>320500000</v>
      </c>
      <c r="I1015" s="313" t="str">
        <f t="shared" si="103"/>
        <v>0320500000</v>
      </c>
      <c r="J1015" s="30" t="str">
        <f t="shared" si="104"/>
        <v>60910030320500000000</v>
      </c>
    </row>
    <row r="1016" spans="1:10" s="30" customFormat="1" ht="25.5">
      <c r="A1016" s="248" t="s">
        <v>192</v>
      </c>
      <c r="B1016" s="233" t="s">
        <v>62</v>
      </c>
      <c r="C1016" s="234" t="s">
        <v>14</v>
      </c>
      <c r="D1016" s="234" t="s">
        <v>53</v>
      </c>
      <c r="E1016" s="234" t="s">
        <v>802</v>
      </c>
      <c r="F1016" s="234" t="s">
        <v>58</v>
      </c>
      <c r="G1016" s="235">
        <f>G1017+G1019</f>
        <v>1287750</v>
      </c>
      <c r="H1016" s="234">
        <v>320520500</v>
      </c>
      <c r="I1016" s="313" t="str">
        <f t="shared" si="103"/>
        <v>0320520500</v>
      </c>
      <c r="J1016" s="30" t="str">
        <f t="shared" si="104"/>
        <v>60910030320520500000</v>
      </c>
    </row>
    <row r="1017" spans="1:10" s="30" customFormat="1" ht="25.5">
      <c r="A1017" s="232" t="s">
        <v>108</v>
      </c>
      <c r="B1017" s="233" t="s">
        <v>62</v>
      </c>
      <c r="C1017" s="234" t="s">
        <v>14</v>
      </c>
      <c r="D1017" s="234" t="s">
        <v>53</v>
      </c>
      <c r="E1017" s="234" t="s">
        <v>802</v>
      </c>
      <c r="F1017" s="234" t="s">
        <v>116</v>
      </c>
      <c r="G1017" s="235">
        <f>G1018</f>
        <v>1209000</v>
      </c>
      <c r="H1017" s="234">
        <v>320520500</v>
      </c>
      <c r="I1017" s="313" t="str">
        <f t="shared" si="103"/>
        <v>0320520500</v>
      </c>
      <c r="J1017" s="30" t="str">
        <f t="shared" si="104"/>
        <v>60910030320520500240</v>
      </c>
    </row>
    <row r="1018" spans="1:10" s="83" customFormat="1" ht="25.5">
      <c r="A1018" s="236" t="s">
        <v>973</v>
      </c>
      <c r="B1018" s="233" t="s">
        <v>62</v>
      </c>
      <c r="C1018" s="234" t="s">
        <v>14</v>
      </c>
      <c r="D1018" s="234" t="s">
        <v>53</v>
      </c>
      <c r="E1018" s="234" t="s">
        <v>802</v>
      </c>
      <c r="F1018" s="234" t="s">
        <v>1043</v>
      </c>
      <c r="G1018" s="235">
        <f>VLOOKUP(J1018,'исх АС БЮДЖЕТ'!$A$10:$H$568,6,0)</f>
        <v>1209000</v>
      </c>
      <c r="H1018" s="234">
        <v>320520500</v>
      </c>
      <c r="I1018" s="313" t="str">
        <f t="shared" si="103"/>
        <v>0320520500</v>
      </c>
      <c r="J1018" s="30" t="str">
        <f t="shared" si="104"/>
        <v>60910030320520500244</v>
      </c>
    </row>
    <row r="1019" spans="1:10" s="30" customFormat="1" ht="25.5">
      <c r="A1019" s="244" t="s">
        <v>110</v>
      </c>
      <c r="B1019" s="233" t="s">
        <v>62</v>
      </c>
      <c r="C1019" s="234" t="s">
        <v>14</v>
      </c>
      <c r="D1019" s="234" t="s">
        <v>53</v>
      </c>
      <c r="E1019" s="234" t="s">
        <v>802</v>
      </c>
      <c r="F1019" s="234" t="s">
        <v>117</v>
      </c>
      <c r="G1019" s="235">
        <f>G1020</f>
        <v>78750</v>
      </c>
      <c r="H1019" s="234">
        <v>320520500</v>
      </c>
      <c r="I1019" s="313" t="str">
        <f t="shared" si="103"/>
        <v>0320520500</v>
      </c>
      <c r="J1019" s="30" t="str">
        <f t="shared" si="104"/>
        <v>60910030320520500320</v>
      </c>
    </row>
    <row r="1020" spans="1:10" s="83" customFormat="1" ht="25.5">
      <c r="A1020" s="236" t="s">
        <v>981</v>
      </c>
      <c r="B1020" s="233" t="s">
        <v>62</v>
      </c>
      <c r="C1020" s="234" t="s">
        <v>14</v>
      </c>
      <c r="D1020" s="234" t="s">
        <v>53</v>
      </c>
      <c r="E1020" s="234" t="s">
        <v>802</v>
      </c>
      <c r="F1020" s="234" t="s">
        <v>1065</v>
      </c>
      <c r="G1020" s="235">
        <f>VLOOKUP(J1020,'исх АС БЮДЖЕТ'!$A$10:$H$568,6,0)</f>
        <v>78750</v>
      </c>
      <c r="H1020" s="234">
        <v>320520500</v>
      </c>
      <c r="I1020" s="313" t="str">
        <f t="shared" si="103"/>
        <v>0320520500</v>
      </c>
      <c r="J1020" s="30" t="str">
        <f t="shared" si="104"/>
        <v>60910030320520500323</v>
      </c>
    </row>
    <row r="1021" spans="1:10" s="30" customFormat="1" ht="25.5">
      <c r="A1021" s="266" t="s">
        <v>803</v>
      </c>
      <c r="B1021" s="233" t="s">
        <v>62</v>
      </c>
      <c r="C1021" s="234" t="s">
        <v>14</v>
      </c>
      <c r="D1021" s="234" t="s">
        <v>53</v>
      </c>
      <c r="E1021" s="234" t="s">
        <v>805</v>
      </c>
      <c r="F1021" s="234" t="s">
        <v>58</v>
      </c>
      <c r="G1021" s="235">
        <f>G1022</f>
        <v>251000</v>
      </c>
      <c r="H1021" s="234">
        <v>320600000</v>
      </c>
      <c r="I1021" s="313" t="str">
        <f t="shared" si="103"/>
        <v>0320600000</v>
      </c>
      <c r="J1021" s="30" t="str">
        <f t="shared" si="104"/>
        <v>60910030320600000000</v>
      </c>
    </row>
    <row r="1022" spans="1:10" s="30" customFormat="1" ht="38.25">
      <c r="A1022" s="248" t="s">
        <v>881</v>
      </c>
      <c r="B1022" s="233" t="s">
        <v>62</v>
      </c>
      <c r="C1022" s="234" t="s">
        <v>14</v>
      </c>
      <c r="D1022" s="234" t="s">
        <v>53</v>
      </c>
      <c r="E1022" s="234" t="s">
        <v>806</v>
      </c>
      <c r="F1022" s="234" t="s">
        <v>58</v>
      </c>
      <c r="G1022" s="235">
        <f>G1023</f>
        <v>251000</v>
      </c>
      <c r="H1022" s="234">
        <v>320620520</v>
      </c>
      <c r="I1022" s="313" t="str">
        <f t="shared" si="103"/>
        <v>0320620520</v>
      </c>
      <c r="J1022" s="30" t="str">
        <f t="shared" si="104"/>
        <v>60910030320620520000</v>
      </c>
    </row>
    <row r="1023" spans="1:10" s="30" customFormat="1" ht="25.5">
      <c r="A1023" s="232" t="s">
        <v>108</v>
      </c>
      <c r="B1023" s="233" t="s">
        <v>62</v>
      </c>
      <c r="C1023" s="234" t="s">
        <v>14</v>
      </c>
      <c r="D1023" s="234" t="s">
        <v>53</v>
      </c>
      <c r="E1023" s="234" t="s">
        <v>806</v>
      </c>
      <c r="F1023" s="234" t="s">
        <v>116</v>
      </c>
      <c r="G1023" s="235">
        <f>G1024</f>
        <v>251000</v>
      </c>
      <c r="H1023" s="234">
        <v>320620520</v>
      </c>
      <c r="I1023" s="313" t="str">
        <f t="shared" si="103"/>
        <v>0320620520</v>
      </c>
      <c r="J1023" s="30" t="str">
        <f t="shared" si="104"/>
        <v>60910030320620520240</v>
      </c>
    </row>
    <row r="1024" spans="1:10" s="83" customFormat="1" ht="25.5">
      <c r="A1024" s="236" t="s">
        <v>973</v>
      </c>
      <c r="B1024" s="233" t="s">
        <v>62</v>
      </c>
      <c r="C1024" s="234" t="s">
        <v>14</v>
      </c>
      <c r="D1024" s="234" t="s">
        <v>53</v>
      </c>
      <c r="E1024" s="234" t="s">
        <v>806</v>
      </c>
      <c r="F1024" s="234" t="s">
        <v>1043</v>
      </c>
      <c r="G1024" s="235">
        <f>VLOOKUP(J1024,'исх АС БЮДЖЕТ'!$A$10:$H$568,6,0)</f>
        <v>251000</v>
      </c>
      <c r="H1024" s="234">
        <v>320620520</v>
      </c>
      <c r="I1024" s="313" t="str">
        <f t="shared" si="103"/>
        <v>0320620520</v>
      </c>
      <c r="J1024" s="30" t="str">
        <f t="shared" si="104"/>
        <v>60910030320620520244</v>
      </c>
    </row>
    <row r="1025" spans="1:10" s="30" customFormat="1" ht="25.5">
      <c r="A1025" s="232" t="s">
        <v>843</v>
      </c>
      <c r="B1025" s="233" t="s">
        <v>62</v>
      </c>
      <c r="C1025" s="234" t="s">
        <v>14</v>
      </c>
      <c r="D1025" s="234" t="s">
        <v>53</v>
      </c>
      <c r="E1025" s="234" t="s">
        <v>807</v>
      </c>
      <c r="F1025" s="234" t="s">
        <v>58</v>
      </c>
      <c r="G1025" s="235">
        <f>G1026</f>
        <v>371880</v>
      </c>
      <c r="H1025" s="234">
        <v>320800000</v>
      </c>
      <c r="I1025" s="313" t="str">
        <f t="shared" si="103"/>
        <v>0320800000</v>
      </c>
      <c r="J1025" s="30" t="str">
        <f t="shared" si="104"/>
        <v>60910030320800000000</v>
      </c>
    </row>
    <row r="1026" spans="1:10" s="30" customFormat="1">
      <c r="A1026" s="248" t="s">
        <v>882</v>
      </c>
      <c r="B1026" s="233" t="s">
        <v>62</v>
      </c>
      <c r="C1026" s="234" t="s">
        <v>14</v>
      </c>
      <c r="D1026" s="234" t="s">
        <v>53</v>
      </c>
      <c r="E1026" s="234" t="s">
        <v>808</v>
      </c>
      <c r="F1026" s="234" t="s">
        <v>58</v>
      </c>
      <c r="G1026" s="235">
        <f t="shared" ref="G1026" si="105">G1027</f>
        <v>371880</v>
      </c>
      <c r="H1026" s="234">
        <v>320820510</v>
      </c>
      <c r="I1026" s="313" t="str">
        <f t="shared" si="103"/>
        <v>0320820510</v>
      </c>
      <c r="J1026" s="30" t="str">
        <f t="shared" si="104"/>
        <v>60910030320820510000</v>
      </c>
    </row>
    <row r="1027" spans="1:10" s="30" customFormat="1" ht="25.5">
      <c r="A1027" s="232" t="s">
        <v>108</v>
      </c>
      <c r="B1027" s="233" t="s">
        <v>62</v>
      </c>
      <c r="C1027" s="234" t="s">
        <v>14</v>
      </c>
      <c r="D1027" s="234" t="s">
        <v>53</v>
      </c>
      <c r="E1027" s="234" t="s">
        <v>808</v>
      </c>
      <c r="F1027" s="234" t="s">
        <v>116</v>
      </c>
      <c r="G1027" s="235">
        <f>G1028</f>
        <v>371880</v>
      </c>
      <c r="H1027" s="234">
        <v>320820510</v>
      </c>
      <c r="I1027" s="313" t="str">
        <f t="shared" si="103"/>
        <v>0320820510</v>
      </c>
      <c r="J1027" s="30" t="str">
        <f t="shared" si="104"/>
        <v>60910030320820510240</v>
      </c>
    </row>
    <row r="1028" spans="1:10" s="83" customFormat="1" ht="25.5">
      <c r="A1028" s="236" t="s">
        <v>973</v>
      </c>
      <c r="B1028" s="233" t="s">
        <v>62</v>
      </c>
      <c r="C1028" s="234" t="s">
        <v>14</v>
      </c>
      <c r="D1028" s="234" t="s">
        <v>53</v>
      </c>
      <c r="E1028" s="234" t="s">
        <v>808</v>
      </c>
      <c r="F1028" s="234" t="s">
        <v>1043</v>
      </c>
      <c r="G1028" s="235">
        <f>VLOOKUP(J1028,'исх АС БЮДЖЕТ'!$A$10:$H$568,6,0)</f>
        <v>371880</v>
      </c>
      <c r="H1028" s="234">
        <v>320820510</v>
      </c>
      <c r="I1028" s="313" t="str">
        <f t="shared" si="103"/>
        <v>0320820510</v>
      </c>
      <c r="J1028" s="30" t="str">
        <f t="shared" si="104"/>
        <v>60910030320820510244</v>
      </c>
    </row>
    <row r="1029" spans="1:10" s="30" customFormat="1">
      <c r="A1029" s="248" t="s">
        <v>145</v>
      </c>
      <c r="B1029" s="233" t="s">
        <v>62</v>
      </c>
      <c r="C1029" s="234" t="s">
        <v>14</v>
      </c>
      <c r="D1029" s="234" t="s">
        <v>53</v>
      </c>
      <c r="E1029" s="234" t="s">
        <v>437</v>
      </c>
      <c r="F1029" s="234" t="s">
        <v>58</v>
      </c>
      <c r="G1029" s="235">
        <f t="shared" ref="G1029:G1031" si="106">G1030</f>
        <v>1702525</v>
      </c>
      <c r="H1029" s="234">
        <v>330000000</v>
      </c>
      <c r="I1029" s="313" t="str">
        <f t="shared" si="103"/>
        <v>0330000000</v>
      </c>
      <c r="J1029" s="30" t="str">
        <f t="shared" si="104"/>
        <v>60910030330000000000</v>
      </c>
    </row>
    <row r="1030" spans="1:10" s="30" customFormat="1" ht="25.5">
      <c r="A1030" s="262" t="s">
        <v>439</v>
      </c>
      <c r="B1030" s="233" t="s">
        <v>62</v>
      </c>
      <c r="C1030" s="234" t="s">
        <v>14</v>
      </c>
      <c r="D1030" s="234" t="s">
        <v>53</v>
      </c>
      <c r="E1030" s="234" t="s">
        <v>438</v>
      </c>
      <c r="F1030" s="234" t="s">
        <v>58</v>
      </c>
      <c r="G1030" s="235">
        <f t="shared" si="106"/>
        <v>1702525</v>
      </c>
      <c r="H1030" s="234">
        <v>330100000</v>
      </c>
      <c r="I1030" s="313" t="str">
        <f t="shared" si="103"/>
        <v>0330100000</v>
      </c>
      <c r="J1030" s="30" t="str">
        <f t="shared" si="104"/>
        <v>60910030330100000000</v>
      </c>
    </row>
    <row r="1031" spans="1:10" s="30" customFormat="1" ht="25.5">
      <c r="A1031" s="248" t="s">
        <v>157</v>
      </c>
      <c r="B1031" s="233" t="s">
        <v>62</v>
      </c>
      <c r="C1031" s="234" t="s">
        <v>14</v>
      </c>
      <c r="D1031" s="234" t="s">
        <v>53</v>
      </c>
      <c r="E1031" s="234" t="s">
        <v>767</v>
      </c>
      <c r="F1031" s="234" t="s">
        <v>58</v>
      </c>
      <c r="G1031" s="235">
        <f t="shared" si="106"/>
        <v>1702525</v>
      </c>
      <c r="H1031" s="234">
        <v>330120530</v>
      </c>
      <c r="I1031" s="313" t="str">
        <f t="shared" si="103"/>
        <v>0330120530</v>
      </c>
      <c r="J1031" s="30" t="str">
        <f t="shared" si="104"/>
        <v>60910030330120530000</v>
      </c>
    </row>
    <row r="1032" spans="1:10" s="30" customFormat="1" ht="25.5">
      <c r="A1032" s="244" t="s">
        <v>110</v>
      </c>
      <c r="B1032" s="233" t="s">
        <v>62</v>
      </c>
      <c r="C1032" s="234" t="s">
        <v>14</v>
      </c>
      <c r="D1032" s="234" t="s">
        <v>53</v>
      </c>
      <c r="E1032" s="234" t="s">
        <v>767</v>
      </c>
      <c r="F1032" s="234" t="s">
        <v>117</v>
      </c>
      <c r="G1032" s="235">
        <f>G1033</f>
        <v>1702525</v>
      </c>
      <c r="H1032" s="234">
        <v>330120530</v>
      </c>
      <c r="I1032" s="313" t="str">
        <f t="shared" si="103"/>
        <v>0330120530</v>
      </c>
      <c r="J1032" s="30" t="str">
        <f t="shared" si="104"/>
        <v>60910030330120530320</v>
      </c>
    </row>
    <row r="1033" spans="1:10" s="83" customFormat="1" ht="25.5">
      <c r="A1033" s="236" t="s">
        <v>981</v>
      </c>
      <c r="B1033" s="233" t="s">
        <v>62</v>
      </c>
      <c r="C1033" s="234" t="s">
        <v>14</v>
      </c>
      <c r="D1033" s="234" t="s">
        <v>53</v>
      </c>
      <c r="E1033" s="234" t="s">
        <v>767</v>
      </c>
      <c r="F1033" s="234" t="s">
        <v>1065</v>
      </c>
      <c r="G1033" s="235">
        <f>VLOOKUP(J1033,'исх АС БЮДЖЕТ'!$A$10:$H$568,6,0)</f>
        <v>1702525</v>
      </c>
      <c r="H1033" s="234">
        <v>330120530</v>
      </c>
      <c r="I1033" s="313" t="str">
        <f t="shared" si="103"/>
        <v>0330120530</v>
      </c>
      <c r="J1033" s="30" t="str">
        <f t="shared" si="104"/>
        <v>60910030330120530323</v>
      </c>
    </row>
    <row r="1034" spans="1:10" s="83" customFormat="1" ht="25.5">
      <c r="A1034" s="248" t="s">
        <v>683</v>
      </c>
      <c r="B1034" s="233" t="s">
        <v>62</v>
      </c>
      <c r="C1034" s="234" t="s">
        <v>14</v>
      </c>
      <c r="D1034" s="234" t="s">
        <v>53</v>
      </c>
      <c r="E1034" s="234" t="s">
        <v>680</v>
      </c>
      <c r="F1034" s="234" t="s">
        <v>58</v>
      </c>
      <c r="G1034" s="235">
        <f>G1035</f>
        <v>33168.839999999997</v>
      </c>
      <c r="H1034" s="234">
        <v>9800000000</v>
      </c>
      <c r="I1034" s="313" t="str">
        <f t="shared" si="103"/>
        <v>9800000000</v>
      </c>
      <c r="J1034" s="30" t="str">
        <f t="shared" si="104"/>
        <v>60910039800000000000</v>
      </c>
    </row>
    <row r="1035" spans="1:10" s="83" customFormat="1" ht="38.25">
      <c r="A1035" s="248" t="s">
        <v>1120</v>
      </c>
      <c r="B1035" s="233" t="s">
        <v>62</v>
      </c>
      <c r="C1035" s="234" t="s">
        <v>14</v>
      </c>
      <c r="D1035" s="234" t="s">
        <v>53</v>
      </c>
      <c r="E1035" s="234" t="s">
        <v>1121</v>
      </c>
      <c r="F1035" s="234" t="s">
        <v>58</v>
      </c>
      <c r="G1035" s="235">
        <f>G1036</f>
        <v>33168.839999999997</v>
      </c>
      <c r="H1035" s="234">
        <v>9820000000</v>
      </c>
      <c r="I1035" s="313" t="str">
        <f t="shared" si="103"/>
        <v>9820000000</v>
      </c>
      <c r="J1035" s="30" t="str">
        <f t="shared" si="104"/>
        <v>60910039820000000000</v>
      </c>
    </row>
    <row r="1036" spans="1:10" s="83" customFormat="1" ht="25.5">
      <c r="A1036" s="266" t="s">
        <v>1164</v>
      </c>
      <c r="B1036" s="233" t="s">
        <v>62</v>
      </c>
      <c r="C1036" s="234" t="s">
        <v>14</v>
      </c>
      <c r="D1036" s="234" t="s">
        <v>53</v>
      </c>
      <c r="E1036" s="234" t="s">
        <v>1165</v>
      </c>
      <c r="F1036" s="234" t="s">
        <v>58</v>
      </c>
      <c r="G1036" s="235">
        <f>G1037</f>
        <v>33168.839999999997</v>
      </c>
      <c r="H1036" s="234">
        <v>9820080080</v>
      </c>
      <c r="I1036" s="313" t="str">
        <f t="shared" si="103"/>
        <v>9820080080</v>
      </c>
      <c r="J1036" s="30" t="str">
        <f t="shared" si="104"/>
        <v>60910039820080080000</v>
      </c>
    </row>
    <row r="1037" spans="1:10" s="83" customFormat="1">
      <c r="A1037" s="244" t="s">
        <v>109</v>
      </c>
      <c r="B1037" s="233" t="s">
        <v>62</v>
      </c>
      <c r="C1037" s="234" t="s">
        <v>14</v>
      </c>
      <c r="D1037" s="234" t="s">
        <v>53</v>
      </c>
      <c r="E1037" s="234" t="s">
        <v>1165</v>
      </c>
      <c r="F1037" s="234" t="s">
        <v>134</v>
      </c>
      <c r="G1037" s="235">
        <f>G1038</f>
        <v>33168.839999999997</v>
      </c>
      <c r="H1037" s="234">
        <v>9820080080</v>
      </c>
      <c r="I1037" s="313" t="str">
        <f t="shared" si="103"/>
        <v>9820080080</v>
      </c>
      <c r="J1037" s="30" t="str">
        <f t="shared" si="104"/>
        <v>60910039820080080310</v>
      </c>
    </row>
    <row r="1038" spans="1:10" s="83" customFormat="1" ht="25.5">
      <c r="A1038" s="236" t="s">
        <v>978</v>
      </c>
      <c r="B1038" s="233" t="s">
        <v>62</v>
      </c>
      <c r="C1038" s="234" t="s">
        <v>14</v>
      </c>
      <c r="D1038" s="234" t="s">
        <v>53</v>
      </c>
      <c r="E1038" s="234" t="s">
        <v>1165</v>
      </c>
      <c r="F1038" s="234" t="s">
        <v>1064</v>
      </c>
      <c r="G1038" s="235">
        <f>VLOOKUP(J1038,'исх АС БЮДЖЕТ'!$A$10:$H$568,6,0)</f>
        <v>33168.839999999997</v>
      </c>
      <c r="H1038" s="234">
        <v>9820080080</v>
      </c>
      <c r="I1038" s="313" t="str">
        <f t="shared" si="103"/>
        <v>9820080080</v>
      </c>
      <c r="J1038" s="30" t="str">
        <f t="shared" si="104"/>
        <v>60910039820080080313</v>
      </c>
    </row>
    <row r="1039" spans="1:10" s="269" customFormat="1">
      <c r="A1039" s="228" t="s">
        <v>22</v>
      </c>
      <c r="B1039" s="229" t="s">
        <v>62</v>
      </c>
      <c r="C1039" s="230" t="s">
        <v>14</v>
      </c>
      <c r="D1039" s="230" t="s">
        <v>37</v>
      </c>
      <c r="E1039" s="230" t="s">
        <v>196</v>
      </c>
      <c r="F1039" s="230" t="s">
        <v>58</v>
      </c>
      <c r="G1039" s="364">
        <f t="shared" ref="G1039:G1041" si="107">G1040</f>
        <v>149715840</v>
      </c>
      <c r="H1039" s="230">
        <v>0</v>
      </c>
      <c r="I1039" s="313" t="str">
        <f t="shared" si="103"/>
        <v>0000000000</v>
      </c>
      <c r="J1039" s="30" t="str">
        <f t="shared" si="104"/>
        <v>60910040000000000000</v>
      </c>
    </row>
    <row r="1040" spans="1:10" s="269" customFormat="1">
      <c r="A1040" s="248" t="s">
        <v>727</v>
      </c>
      <c r="B1040" s="233" t="s">
        <v>62</v>
      </c>
      <c r="C1040" s="234" t="s">
        <v>14</v>
      </c>
      <c r="D1040" s="234" t="s">
        <v>37</v>
      </c>
      <c r="E1040" s="234" t="s">
        <v>327</v>
      </c>
      <c r="F1040" s="234" t="s">
        <v>58</v>
      </c>
      <c r="G1040" s="235">
        <f t="shared" si="107"/>
        <v>149715840</v>
      </c>
      <c r="H1040" s="234">
        <v>300000000</v>
      </c>
      <c r="I1040" s="313" t="str">
        <f t="shared" si="103"/>
        <v>0300000000</v>
      </c>
      <c r="J1040" s="30" t="str">
        <f t="shared" si="104"/>
        <v>60910040300000000000</v>
      </c>
    </row>
    <row r="1041" spans="1:10" s="269" customFormat="1" ht="25.5">
      <c r="A1041" s="262" t="s">
        <v>728</v>
      </c>
      <c r="B1041" s="233" t="s">
        <v>62</v>
      </c>
      <c r="C1041" s="234" t="s">
        <v>14</v>
      </c>
      <c r="D1041" s="234" t="s">
        <v>37</v>
      </c>
      <c r="E1041" s="234" t="s">
        <v>392</v>
      </c>
      <c r="F1041" s="234" t="s">
        <v>58</v>
      </c>
      <c r="G1041" s="235">
        <f t="shared" si="107"/>
        <v>149715840</v>
      </c>
      <c r="H1041" s="234">
        <v>310000000</v>
      </c>
      <c r="I1041" s="313" t="str">
        <f t="shared" si="103"/>
        <v>0310000000</v>
      </c>
      <c r="J1041" s="30" t="str">
        <f t="shared" si="104"/>
        <v>60910040310000000000</v>
      </c>
    </row>
    <row r="1042" spans="1:10" s="30" customFormat="1" ht="25.5">
      <c r="A1042" s="263" t="s">
        <v>406</v>
      </c>
      <c r="B1042" s="233" t="s">
        <v>62</v>
      </c>
      <c r="C1042" s="234" t="s">
        <v>14</v>
      </c>
      <c r="D1042" s="234" t="s">
        <v>37</v>
      </c>
      <c r="E1042" s="234" t="s">
        <v>407</v>
      </c>
      <c r="F1042" s="234" t="s">
        <v>58</v>
      </c>
      <c r="G1042" s="235">
        <f>G1043+G1046</f>
        <v>149715840</v>
      </c>
      <c r="H1042" s="234">
        <v>310200000</v>
      </c>
      <c r="I1042" s="313" t="str">
        <f t="shared" si="103"/>
        <v>0310200000</v>
      </c>
      <c r="J1042" s="30" t="str">
        <f t="shared" si="104"/>
        <v>60910040310200000000</v>
      </c>
    </row>
    <row r="1043" spans="1:10" s="30" customFormat="1" ht="38.25">
      <c r="A1043" s="266" t="s">
        <v>920</v>
      </c>
      <c r="B1043" s="233" t="s">
        <v>62</v>
      </c>
      <c r="C1043" s="234" t="s">
        <v>14</v>
      </c>
      <c r="D1043" s="234" t="s">
        <v>37</v>
      </c>
      <c r="E1043" s="234" t="s">
        <v>440</v>
      </c>
      <c r="F1043" s="234" t="s">
        <v>58</v>
      </c>
      <c r="G1043" s="235">
        <f>G1044</f>
        <v>148215740</v>
      </c>
      <c r="H1043" s="234" t="s">
        <v>1225</v>
      </c>
      <c r="I1043" s="313" t="str">
        <f t="shared" si="103"/>
        <v>03102R0840</v>
      </c>
      <c r="J1043" s="30" t="str">
        <f t="shared" si="104"/>
        <v>609100403102R0840000</v>
      </c>
    </row>
    <row r="1044" spans="1:10" s="30" customFormat="1">
      <c r="A1044" s="244" t="s">
        <v>109</v>
      </c>
      <c r="B1044" s="233" t="s">
        <v>62</v>
      </c>
      <c r="C1044" s="234" t="s">
        <v>14</v>
      </c>
      <c r="D1044" s="234" t="s">
        <v>37</v>
      </c>
      <c r="E1044" s="234" t="s">
        <v>440</v>
      </c>
      <c r="F1044" s="234" t="s">
        <v>134</v>
      </c>
      <c r="G1044" s="235">
        <f>G1045</f>
        <v>148215740</v>
      </c>
      <c r="H1044" s="234" t="s">
        <v>1225</v>
      </c>
      <c r="I1044" s="313" t="str">
        <f t="shared" si="103"/>
        <v>03102R0840</v>
      </c>
      <c r="J1044" s="30" t="str">
        <f t="shared" si="104"/>
        <v>609100403102R0840310</v>
      </c>
    </row>
    <row r="1045" spans="1:10" s="83" customFormat="1" ht="25.5">
      <c r="A1045" s="236" t="s">
        <v>978</v>
      </c>
      <c r="B1045" s="233" t="s">
        <v>62</v>
      </c>
      <c r="C1045" s="234" t="s">
        <v>14</v>
      </c>
      <c r="D1045" s="234" t="s">
        <v>37</v>
      </c>
      <c r="E1045" s="234" t="s">
        <v>440</v>
      </c>
      <c r="F1045" s="234" t="s">
        <v>1064</v>
      </c>
      <c r="G1045" s="235">
        <f>VLOOKUP(J1045,'исх АС БЮДЖЕТ'!$A$10:$H$568,6,0)</f>
        <v>148215740</v>
      </c>
      <c r="H1045" s="234" t="s">
        <v>1225</v>
      </c>
      <c r="I1045" s="313" t="str">
        <f t="shared" si="103"/>
        <v>03102R0840</v>
      </c>
      <c r="J1045" s="30" t="str">
        <f t="shared" si="104"/>
        <v>609100403102R0840313</v>
      </c>
    </row>
    <row r="1046" spans="1:10" s="30" customFormat="1" ht="38.25">
      <c r="A1046" s="266" t="s">
        <v>441</v>
      </c>
      <c r="B1046" s="233" t="s">
        <v>62</v>
      </c>
      <c r="C1046" s="234" t="s">
        <v>14</v>
      </c>
      <c r="D1046" s="234" t="s">
        <v>37</v>
      </c>
      <c r="E1046" s="234" t="s">
        <v>442</v>
      </c>
      <c r="F1046" s="234" t="s">
        <v>58</v>
      </c>
      <c r="G1046" s="235">
        <f>G1047</f>
        <v>1500100</v>
      </c>
      <c r="H1046" s="234">
        <v>310252700</v>
      </c>
      <c r="I1046" s="313" t="str">
        <f t="shared" si="103"/>
        <v>0310252700</v>
      </c>
      <c r="J1046" s="30" t="str">
        <f t="shared" si="104"/>
        <v>60910040310252700000</v>
      </c>
    </row>
    <row r="1047" spans="1:10" s="30" customFormat="1">
      <c r="A1047" s="244" t="s">
        <v>109</v>
      </c>
      <c r="B1047" s="233" t="s">
        <v>62</v>
      </c>
      <c r="C1047" s="234" t="s">
        <v>14</v>
      </c>
      <c r="D1047" s="234" t="s">
        <v>37</v>
      </c>
      <c r="E1047" s="234" t="s">
        <v>442</v>
      </c>
      <c r="F1047" s="234" t="s">
        <v>134</v>
      </c>
      <c r="G1047" s="235">
        <f>G1048</f>
        <v>1500100</v>
      </c>
      <c r="H1047" s="234">
        <v>310252700</v>
      </c>
      <c r="I1047" s="313" t="str">
        <f t="shared" si="103"/>
        <v>0310252700</v>
      </c>
      <c r="J1047" s="30" t="str">
        <f t="shared" si="104"/>
        <v>60910040310252700310</v>
      </c>
    </row>
    <row r="1048" spans="1:10" s="83" customFormat="1" ht="25.5">
      <c r="A1048" s="236" t="s">
        <v>978</v>
      </c>
      <c r="B1048" s="233" t="s">
        <v>62</v>
      </c>
      <c r="C1048" s="234" t="s">
        <v>14</v>
      </c>
      <c r="D1048" s="234" t="s">
        <v>37</v>
      </c>
      <c r="E1048" s="234" t="s">
        <v>442</v>
      </c>
      <c r="F1048" s="234" t="s">
        <v>1064</v>
      </c>
      <c r="G1048" s="235">
        <f>VLOOKUP(J1048,'исх АС БЮДЖЕТ'!$A$10:$H$568,6,0)</f>
        <v>1500100</v>
      </c>
      <c r="H1048" s="234">
        <v>310252700</v>
      </c>
      <c r="I1048" s="313" t="str">
        <f t="shared" si="103"/>
        <v>0310252700</v>
      </c>
      <c r="J1048" s="30" t="str">
        <f t="shared" si="104"/>
        <v>60910040310252700313</v>
      </c>
    </row>
    <row r="1049" spans="1:10" s="270" customFormat="1">
      <c r="A1049" s="228" t="s">
        <v>36</v>
      </c>
      <c r="B1049" s="229" t="s">
        <v>62</v>
      </c>
      <c r="C1049" s="230" t="s">
        <v>14</v>
      </c>
      <c r="D1049" s="230" t="s">
        <v>2</v>
      </c>
      <c r="E1049" s="230" t="s">
        <v>196</v>
      </c>
      <c r="F1049" s="230" t="s">
        <v>58</v>
      </c>
      <c r="G1049" s="364">
        <f>G1050+G1067+G1096</f>
        <v>64731229.030000001</v>
      </c>
      <c r="H1049" s="230">
        <v>0</v>
      </c>
      <c r="I1049" s="313" t="str">
        <f t="shared" si="103"/>
        <v>0000000000</v>
      </c>
      <c r="J1049" s="30" t="str">
        <f t="shared" si="104"/>
        <v>60910060000000000000</v>
      </c>
    </row>
    <row r="1050" spans="1:10" s="30" customFormat="1">
      <c r="A1050" s="248" t="s">
        <v>727</v>
      </c>
      <c r="B1050" s="233" t="s">
        <v>62</v>
      </c>
      <c r="C1050" s="234" t="s">
        <v>14</v>
      </c>
      <c r="D1050" s="234" t="s">
        <v>2</v>
      </c>
      <c r="E1050" s="234" t="s">
        <v>327</v>
      </c>
      <c r="F1050" s="234" t="s">
        <v>58</v>
      </c>
      <c r="G1050" s="235">
        <f>G1051+G1056</f>
        <v>2901770</v>
      </c>
      <c r="H1050" s="234">
        <v>300000000</v>
      </c>
      <c r="I1050" s="313" t="str">
        <f t="shared" si="103"/>
        <v>0300000000</v>
      </c>
      <c r="J1050" s="30" t="str">
        <f t="shared" si="104"/>
        <v>60910060300000000000</v>
      </c>
    </row>
    <row r="1051" spans="1:10" s="30" customFormat="1" ht="38.25">
      <c r="A1051" s="248" t="s">
        <v>842</v>
      </c>
      <c r="B1051" s="233" t="s">
        <v>62</v>
      </c>
      <c r="C1051" s="234" t="s">
        <v>14</v>
      </c>
      <c r="D1051" s="234" t="s">
        <v>2</v>
      </c>
      <c r="E1051" s="234" t="s">
        <v>328</v>
      </c>
      <c r="F1051" s="234" t="s">
        <v>58</v>
      </c>
      <c r="G1051" s="235">
        <f t="shared" ref="G1051:G1053" si="108">G1052</f>
        <v>1289450</v>
      </c>
      <c r="H1051" s="234">
        <v>320000000</v>
      </c>
      <c r="I1051" s="313" t="str">
        <f t="shared" ref="I1051:I1114" si="109">TEXT(H1051,"0000000000")</f>
        <v>0320000000</v>
      </c>
      <c r="J1051" s="30" t="str">
        <f t="shared" ref="J1051:J1114" si="110">CONCATENATE(B1051,C1051,D1051,I1051,F1051)</f>
        <v>60910060320000000000</v>
      </c>
    </row>
    <row r="1052" spans="1:10" s="30" customFormat="1" ht="25.5">
      <c r="A1052" s="248" t="s">
        <v>811</v>
      </c>
      <c r="B1052" s="233" t="s">
        <v>62</v>
      </c>
      <c r="C1052" s="234" t="s">
        <v>14</v>
      </c>
      <c r="D1052" s="234" t="s">
        <v>2</v>
      </c>
      <c r="E1052" s="234" t="s">
        <v>809</v>
      </c>
      <c r="F1052" s="234" t="s">
        <v>58</v>
      </c>
      <c r="G1052" s="235">
        <f t="shared" si="108"/>
        <v>1289450</v>
      </c>
      <c r="H1052" s="234">
        <v>320700000</v>
      </c>
      <c r="I1052" s="313" t="str">
        <f t="shared" si="109"/>
        <v>0320700000</v>
      </c>
      <c r="J1052" s="30" t="str">
        <f t="shared" si="110"/>
        <v>60910060320700000000</v>
      </c>
    </row>
    <row r="1053" spans="1:10" s="30" customFormat="1">
      <c r="A1053" s="248" t="s">
        <v>595</v>
      </c>
      <c r="B1053" s="233" t="s">
        <v>62</v>
      </c>
      <c r="C1053" s="234" t="s">
        <v>14</v>
      </c>
      <c r="D1053" s="234" t="s">
        <v>2</v>
      </c>
      <c r="E1053" s="234" t="s">
        <v>810</v>
      </c>
      <c r="F1053" s="234" t="s">
        <v>58</v>
      </c>
      <c r="G1053" s="235">
        <f t="shared" si="108"/>
        <v>1289450</v>
      </c>
      <c r="H1053" s="234">
        <v>320760040</v>
      </c>
      <c r="I1053" s="313" t="str">
        <f t="shared" si="109"/>
        <v>0320760040</v>
      </c>
      <c r="J1053" s="30" t="str">
        <f t="shared" si="110"/>
        <v>60910060320760040000</v>
      </c>
    </row>
    <row r="1054" spans="1:10" s="30" customFormat="1" ht="25.5">
      <c r="A1054" s="248" t="s">
        <v>111</v>
      </c>
      <c r="B1054" s="233" t="s">
        <v>62</v>
      </c>
      <c r="C1054" s="234" t="s">
        <v>14</v>
      </c>
      <c r="D1054" s="234" t="s">
        <v>2</v>
      </c>
      <c r="E1054" s="234" t="s">
        <v>810</v>
      </c>
      <c r="F1054" s="234" t="s">
        <v>104</v>
      </c>
      <c r="G1054" s="235">
        <f>G1055</f>
        <v>1289450</v>
      </c>
      <c r="H1054" s="234">
        <v>320760040</v>
      </c>
      <c r="I1054" s="313" t="str">
        <f t="shared" si="109"/>
        <v>0320760040</v>
      </c>
      <c r="J1054" s="30" t="str">
        <f t="shared" si="110"/>
        <v>60910060320760040630</v>
      </c>
    </row>
    <row r="1055" spans="1:10" s="83" customFormat="1" ht="63.75">
      <c r="A1055" s="236" t="s">
        <v>1048</v>
      </c>
      <c r="B1055" s="233" t="s">
        <v>62</v>
      </c>
      <c r="C1055" s="234" t="s">
        <v>14</v>
      </c>
      <c r="D1055" s="234" t="s">
        <v>2</v>
      </c>
      <c r="E1055" s="234" t="s">
        <v>810</v>
      </c>
      <c r="F1055" s="234" t="s">
        <v>1055</v>
      </c>
      <c r="G1055" s="235">
        <f>VLOOKUP(J1055,'исх АС БЮДЖЕТ'!$A$10:$H$568,6,0)</f>
        <v>1289450</v>
      </c>
      <c r="H1055" s="234">
        <v>320760040</v>
      </c>
      <c r="I1055" s="313" t="str">
        <f t="shared" si="109"/>
        <v>0320760040</v>
      </c>
      <c r="J1055" s="30" t="str">
        <f t="shared" si="110"/>
        <v>60910060320760040632</v>
      </c>
    </row>
    <row r="1056" spans="1:10" s="30" customFormat="1">
      <c r="A1056" s="248" t="s">
        <v>145</v>
      </c>
      <c r="B1056" s="233" t="s">
        <v>62</v>
      </c>
      <c r="C1056" s="234" t="s">
        <v>14</v>
      </c>
      <c r="D1056" s="234" t="s">
        <v>2</v>
      </c>
      <c r="E1056" s="234" t="s">
        <v>437</v>
      </c>
      <c r="F1056" s="234" t="s">
        <v>58</v>
      </c>
      <c r="G1056" s="235">
        <f>G1057</f>
        <v>1612320</v>
      </c>
      <c r="H1056" s="234">
        <v>330000000</v>
      </c>
      <c r="I1056" s="313" t="str">
        <f t="shared" si="109"/>
        <v>0330000000</v>
      </c>
      <c r="J1056" s="30" t="str">
        <f t="shared" si="110"/>
        <v>60910060330000000000</v>
      </c>
    </row>
    <row r="1057" spans="1:10" s="30" customFormat="1" ht="25.5">
      <c r="A1057" s="248" t="s">
        <v>439</v>
      </c>
      <c r="B1057" s="233" t="s">
        <v>62</v>
      </c>
      <c r="C1057" s="234" t="s">
        <v>14</v>
      </c>
      <c r="D1057" s="234" t="s">
        <v>2</v>
      </c>
      <c r="E1057" s="234" t="s">
        <v>438</v>
      </c>
      <c r="F1057" s="234" t="s">
        <v>58</v>
      </c>
      <c r="G1057" s="235">
        <f>G1058+G1064</f>
        <v>1612320</v>
      </c>
      <c r="H1057" s="234">
        <v>330100000</v>
      </c>
      <c r="I1057" s="313" t="str">
        <f t="shared" si="109"/>
        <v>0330100000</v>
      </c>
      <c r="J1057" s="30" t="str">
        <f t="shared" si="110"/>
        <v>60910060330100000000</v>
      </c>
    </row>
    <row r="1058" spans="1:10" s="30" customFormat="1" ht="25.5">
      <c r="A1058" s="248" t="s">
        <v>157</v>
      </c>
      <c r="B1058" s="233" t="s">
        <v>62</v>
      </c>
      <c r="C1058" s="234" t="s">
        <v>14</v>
      </c>
      <c r="D1058" s="234" t="s">
        <v>2</v>
      </c>
      <c r="E1058" s="234" t="s">
        <v>767</v>
      </c>
      <c r="F1058" s="234" t="s">
        <v>58</v>
      </c>
      <c r="G1058" s="235">
        <f>G1059+G1061</f>
        <v>639070</v>
      </c>
      <c r="H1058" s="234">
        <v>330120530</v>
      </c>
      <c r="I1058" s="313" t="str">
        <f t="shared" si="109"/>
        <v>0330120530</v>
      </c>
      <c r="J1058" s="30" t="str">
        <f t="shared" si="110"/>
        <v>60910060330120530000</v>
      </c>
    </row>
    <row r="1059" spans="1:10" s="30" customFormat="1" ht="25.5">
      <c r="A1059" s="232" t="s">
        <v>108</v>
      </c>
      <c r="B1059" s="233" t="s">
        <v>62</v>
      </c>
      <c r="C1059" s="234" t="s">
        <v>14</v>
      </c>
      <c r="D1059" s="234" t="s">
        <v>2</v>
      </c>
      <c r="E1059" s="234" t="s">
        <v>767</v>
      </c>
      <c r="F1059" s="234" t="s">
        <v>116</v>
      </c>
      <c r="G1059" s="235">
        <f>G1060</f>
        <v>608590</v>
      </c>
      <c r="H1059" s="234">
        <v>330120530</v>
      </c>
      <c r="I1059" s="313" t="str">
        <f t="shared" si="109"/>
        <v>0330120530</v>
      </c>
      <c r="J1059" s="30" t="str">
        <f t="shared" si="110"/>
        <v>60910060330120530240</v>
      </c>
    </row>
    <row r="1060" spans="1:10" s="83" customFormat="1" ht="25.5">
      <c r="A1060" s="236" t="s">
        <v>973</v>
      </c>
      <c r="B1060" s="233" t="s">
        <v>62</v>
      </c>
      <c r="C1060" s="234" t="s">
        <v>14</v>
      </c>
      <c r="D1060" s="234" t="s">
        <v>2</v>
      </c>
      <c r="E1060" s="234" t="s">
        <v>767</v>
      </c>
      <c r="F1060" s="234" t="s">
        <v>1043</v>
      </c>
      <c r="G1060" s="235">
        <f>VLOOKUP(J1060,'исх АС БЮДЖЕТ'!$A$10:$H$568,6,0)</f>
        <v>608590</v>
      </c>
      <c r="H1060" s="234">
        <v>330120530</v>
      </c>
      <c r="I1060" s="313" t="str">
        <f t="shared" si="109"/>
        <v>0330120530</v>
      </c>
      <c r="J1060" s="30" t="str">
        <f t="shared" si="110"/>
        <v>60910060330120530244</v>
      </c>
    </row>
    <row r="1061" spans="1:10" s="30" customFormat="1">
      <c r="A1061" s="232" t="s">
        <v>97</v>
      </c>
      <c r="B1061" s="233" t="s">
        <v>62</v>
      </c>
      <c r="C1061" s="234" t="s">
        <v>14</v>
      </c>
      <c r="D1061" s="234" t="s">
        <v>2</v>
      </c>
      <c r="E1061" s="234" t="s">
        <v>767</v>
      </c>
      <c r="F1061" s="234" t="s">
        <v>118</v>
      </c>
      <c r="G1061" s="235">
        <f>SUM(G1062:G1063)</f>
        <v>30480</v>
      </c>
      <c r="H1061" s="234">
        <v>330120530</v>
      </c>
      <c r="I1061" s="313" t="str">
        <f t="shared" si="109"/>
        <v>0330120530</v>
      </c>
      <c r="J1061" s="30" t="str">
        <f t="shared" si="110"/>
        <v>60910060330120530850</v>
      </c>
    </row>
    <row r="1062" spans="1:10" s="83" customFormat="1">
      <c r="A1062" s="236" t="s">
        <v>1036</v>
      </c>
      <c r="B1062" s="233" t="s">
        <v>62</v>
      </c>
      <c r="C1062" s="234" t="s">
        <v>14</v>
      </c>
      <c r="D1062" s="234" t="s">
        <v>2</v>
      </c>
      <c r="E1062" s="234" t="s">
        <v>767</v>
      </c>
      <c r="F1062" s="234" t="s">
        <v>1061</v>
      </c>
      <c r="G1062" s="235">
        <f>VLOOKUP(J1062,'исх АС БЮДЖЕТ'!$A$10:$H$568,6,0)</f>
        <v>25100</v>
      </c>
      <c r="H1062" s="234">
        <v>330120530</v>
      </c>
      <c r="I1062" s="313" t="str">
        <f t="shared" si="109"/>
        <v>0330120530</v>
      </c>
      <c r="J1062" s="30" t="str">
        <f t="shared" si="110"/>
        <v>60910060330120530851</v>
      </c>
    </row>
    <row r="1063" spans="1:10" s="83" customFormat="1">
      <c r="A1063" s="236" t="s">
        <v>1037</v>
      </c>
      <c r="B1063" s="233" t="s">
        <v>62</v>
      </c>
      <c r="C1063" s="234" t="s">
        <v>14</v>
      </c>
      <c r="D1063" s="234" t="s">
        <v>2</v>
      </c>
      <c r="E1063" s="234" t="s">
        <v>767</v>
      </c>
      <c r="F1063" s="234" t="s">
        <v>1062</v>
      </c>
      <c r="G1063" s="235">
        <f>VLOOKUP(J1063,'исх АС БЮДЖЕТ'!$A$10:$H$568,6,0)</f>
        <v>5380</v>
      </c>
      <c r="H1063" s="234">
        <v>330120530</v>
      </c>
      <c r="I1063" s="313" t="str">
        <f t="shared" si="109"/>
        <v>0330120530</v>
      </c>
      <c r="J1063" s="30" t="str">
        <f t="shared" si="110"/>
        <v>60910060330120530852</v>
      </c>
    </row>
    <row r="1064" spans="1:10" s="30" customFormat="1" ht="25.5">
      <c r="A1064" s="248" t="s">
        <v>706</v>
      </c>
      <c r="B1064" s="233" t="s">
        <v>62</v>
      </c>
      <c r="C1064" s="234" t="s">
        <v>14</v>
      </c>
      <c r="D1064" s="234" t="s">
        <v>2</v>
      </c>
      <c r="E1064" s="234" t="s">
        <v>766</v>
      </c>
      <c r="F1064" s="234" t="s">
        <v>58</v>
      </c>
      <c r="G1064" s="235">
        <f>G1065</f>
        <v>973250</v>
      </c>
      <c r="H1064" s="234" t="s">
        <v>1223</v>
      </c>
      <c r="I1064" s="313" t="str">
        <f t="shared" si="109"/>
        <v>03301L0270</v>
      </c>
      <c r="J1064" s="30" t="str">
        <f t="shared" si="110"/>
        <v>609100603301L0270000</v>
      </c>
    </row>
    <row r="1065" spans="1:10" s="30" customFormat="1" ht="25.5">
      <c r="A1065" s="248" t="s">
        <v>108</v>
      </c>
      <c r="B1065" s="233" t="s">
        <v>62</v>
      </c>
      <c r="C1065" s="234" t="s">
        <v>14</v>
      </c>
      <c r="D1065" s="234" t="s">
        <v>2</v>
      </c>
      <c r="E1065" s="234" t="s">
        <v>766</v>
      </c>
      <c r="F1065" s="234" t="s">
        <v>116</v>
      </c>
      <c r="G1065" s="235">
        <f>G1066</f>
        <v>973250</v>
      </c>
      <c r="H1065" s="234" t="s">
        <v>1223</v>
      </c>
      <c r="I1065" s="313" t="str">
        <f t="shared" si="109"/>
        <v>03301L0270</v>
      </c>
      <c r="J1065" s="30" t="str">
        <f t="shared" si="110"/>
        <v>609100603301L0270240</v>
      </c>
    </row>
    <row r="1066" spans="1:10" s="83" customFormat="1" ht="25.5">
      <c r="A1066" s="236" t="s">
        <v>973</v>
      </c>
      <c r="B1066" s="233" t="s">
        <v>62</v>
      </c>
      <c r="C1066" s="234" t="s">
        <v>14</v>
      </c>
      <c r="D1066" s="234" t="s">
        <v>2</v>
      </c>
      <c r="E1066" s="234" t="s">
        <v>766</v>
      </c>
      <c r="F1066" s="234" t="s">
        <v>1043</v>
      </c>
      <c r="G1066" s="235">
        <f>VLOOKUP(J1066,'исх АС БЮДЖЕТ'!$A$10:$H$568,6,0)</f>
        <v>973250</v>
      </c>
      <c r="H1066" s="234" t="s">
        <v>1223</v>
      </c>
      <c r="I1066" s="313" t="str">
        <f t="shared" si="109"/>
        <v>03301L0270</v>
      </c>
      <c r="J1066" s="30" t="str">
        <f t="shared" si="110"/>
        <v>609100603301L0270244</v>
      </c>
    </row>
    <row r="1067" spans="1:10" s="30" customFormat="1" ht="25.5">
      <c r="A1067" s="262" t="s">
        <v>186</v>
      </c>
      <c r="B1067" s="233" t="s">
        <v>62</v>
      </c>
      <c r="C1067" s="234" t="s">
        <v>14</v>
      </c>
      <c r="D1067" s="234" t="s">
        <v>2</v>
      </c>
      <c r="E1067" s="233" t="s">
        <v>443</v>
      </c>
      <c r="F1067" s="234" t="s">
        <v>58</v>
      </c>
      <c r="G1067" s="235">
        <f>G1068</f>
        <v>61825852.350000001</v>
      </c>
      <c r="H1067" s="233">
        <v>7700000000</v>
      </c>
      <c r="I1067" s="313" t="str">
        <f t="shared" si="109"/>
        <v>7700000000</v>
      </c>
      <c r="J1067" s="30" t="str">
        <f t="shared" si="110"/>
        <v>60910067700000000000</v>
      </c>
    </row>
    <row r="1068" spans="1:10" s="30" customFormat="1" ht="25.5">
      <c r="A1068" s="262" t="s">
        <v>189</v>
      </c>
      <c r="B1068" s="233" t="s">
        <v>62</v>
      </c>
      <c r="C1068" s="234" t="s">
        <v>14</v>
      </c>
      <c r="D1068" s="234" t="s">
        <v>2</v>
      </c>
      <c r="E1068" s="233" t="s">
        <v>444</v>
      </c>
      <c r="F1068" s="234" t="s">
        <v>58</v>
      </c>
      <c r="G1068" s="235">
        <f>G1069+G1077+G1081+G1086</f>
        <v>61825852.350000001</v>
      </c>
      <c r="H1068" s="233">
        <v>7710000000</v>
      </c>
      <c r="I1068" s="313" t="str">
        <f t="shared" si="109"/>
        <v>7710000000</v>
      </c>
      <c r="J1068" s="30" t="str">
        <f t="shared" si="110"/>
        <v>60910067710000000000</v>
      </c>
    </row>
    <row r="1069" spans="1:10" s="30" customFormat="1" ht="25.5">
      <c r="A1069" s="271" t="s">
        <v>114</v>
      </c>
      <c r="B1069" s="233" t="s">
        <v>62</v>
      </c>
      <c r="C1069" s="234" t="s">
        <v>14</v>
      </c>
      <c r="D1069" s="234" t="s">
        <v>2</v>
      </c>
      <c r="E1069" s="272" t="s">
        <v>445</v>
      </c>
      <c r="F1069" s="234" t="s">
        <v>58</v>
      </c>
      <c r="G1069" s="235">
        <f>G1070+G1073+G1075</f>
        <v>846886</v>
      </c>
      <c r="H1069" s="272">
        <v>7710010010</v>
      </c>
      <c r="I1069" s="313" t="str">
        <f t="shared" si="109"/>
        <v>7710010010</v>
      </c>
      <c r="J1069" s="30" t="str">
        <f t="shared" si="110"/>
        <v>60910067710010010000</v>
      </c>
    </row>
    <row r="1070" spans="1:10" s="30" customFormat="1">
      <c r="A1070" s="232" t="s">
        <v>107</v>
      </c>
      <c r="B1070" s="233" t="s">
        <v>62</v>
      </c>
      <c r="C1070" s="234" t="s">
        <v>14</v>
      </c>
      <c r="D1070" s="234" t="s">
        <v>2</v>
      </c>
      <c r="E1070" s="272" t="s">
        <v>445</v>
      </c>
      <c r="F1070" s="234" t="s">
        <v>115</v>
      </c>
      <c r="G1070" s="235">
        <f>SUM(G1071:G1072)</f>
        <v>132960</v>
      </c>
      <c r="H1070" s="272">
        <v>7710010010</v>
      </c>
      <c r="I1070" s="313" t="str">
        <f t="shared" si="109"/>
        <v>7710010010</v>
      </c>
      <c r="J1070" s="30" t="str">
        <f t="shared" si="110"/>
        <v>60910067710010010120</v>
      </c>
    </row>
    <row r="1071" spans="1:10" s="30" customFormat="1" ht="25.5">
      <c r="A1071" s="232" t="s">
        <v>937</v>
      </c>
      <c r="B1071" s="233" t="s">
        <v>62</v>
      </c>
      <c r="C1071" s="234" t="s">
        <v>14</v>
      </c>
      <c r="D1071" s="234" t="s">
        <v>2</v>
      </c>
      <c r="E1071" s="272" t="s">
        <v>445</v>
      </c>
      <c r="F1071" s="234" t="s">
        <v>1059</v>
      </c>
      <c r="G1071" s="235">
        <f>VLOOKUP(J1071,'исх АС БЮДЖЕТ'!$A$10:$H$568,6,0)</f>
        <v>102120</v>
      </c>
      <c r="H1071" s="272">
        <v>7710010010</v>
      </c>
      <c r="I1071" s="313" t="str">
        <f t="shared" si="109"/>
        <v>7710010010</v>
      </c>
      <c r="J1071" s="30" t="str">
        <f t="shared" si="110"/>
        <v>60910067710010010122</v>
      </c>
    </row>
    <row r="1072" spans="1:10" s="30" customFormat="1" ht="38.25">
      <c r="A1072" s="232" t="s">
        <v>939</v>
      </c>
      <c r="B1072" s="233" t="s">
        <v>62</v>
      </c>
      <c r="C1072" s="234" t="s">
        <v>14</v>
      </c>
      <c r="D1072" s="234" t="s">
        <v>2</v>
      </c>
      <c r="E1072" s="272" t="s">
        <v>445</v>
      </c>
      <c r="F1072" s="234" t="s">
        <v>1060</v>
      </c>
      <c r="G1072" s="235">
        <f>VLOOKUP(J1072,'исх АС БЮДЖЕТ'!$A$10:$H$568,6,0)</f>
        <v>30840</v>
      </c>
      <c r="H1072" s="272">
        <v>7710010010</v>
      </c>
      <c r="I1072" s="313" t="str">
        <f t="shared" si="109"/>
        <v>7710010010</v>
      </c>
      <c r="J1072" s="30" t="str">
        <f t="shared" si="110"/>
        <v>60910067710010010129</v>
      </c>
    </row>
    <row r="1073" spans="1:10" s="30" customFormat="1" ht="25.5">
      <c r="A1073" s="232" t="s">
        <v>108</v>
      </c>
      <c r="B1073" s="233" t="s">
        <v>62</v>
      </c>
      <c r="C1073" s="234" t="s">
        <v>14</v>
      </c>
      <c r="D1073" s="234" t="s">
        <v>2</v>
      </c>
      <c r="E1073" s="272" t="s">
        <v>445</v>
      </c>
      <c r="F1073" s="234" t="s">
        <v>116</v>
      </c>
      <c r="G1073" s="235">
        <f>G1074</f>
        <v>703926</v>
      </c>
      <c r="H1073" s="272">
        <v>7710010010</v>
      </c>
      <c r="I1073" s="313" t="str">
        <f t="shared" si="109"/>
        <v>7710010010</v>
      </c>
      <c r="J1073" s="30" t="str">
        <f t="shared" si="110"/>
        <v>60910067710010010240</v>
      </c>
    </row>
    <row r="1074" spans="1:10" s="103" customFormat="1" ht="25.5">
      <c r="A1074" s="236" t="s">
        <v>973</v>
      </c>
      <c r="B1074" s="233" t="s">
        <v>62</v>
      </c>
      <c r="C1074" s="234" t="s">
        <v>14</v>
      </c>
      <c r="D1074" s="234" t="s">
        <v>2</v>
      </c>
      <c r="E1074" s="272" t="s">
        <v>445</v>
      </c>
      <c r="F1074" s="234" t="s">
        <v>1043</v>
      </c>
      <c r="G1074" s="235">
        <f>VLOOKUP(J1074,'исх АС БЮДЖЕТ'!$A$10:$H$568,6,0)</f>
        <v>703926</v>
      </c>
      <c r="H1074" s="272">
        <v>7710010010</v>
      </c>
      <c r="I1074" s="313" t="str">
        <f t="shared" si="109"/>
        <v>7710010010</v>
      </c>
      <c r="J1074" s="30" t="str">
        <f t="shared" si="110"/>
        <v>60910067710010010244</v>
      </c>
    </row>
    <row r="1075" spans="1:10" s="30" customFormat="1">
      <c r="A1075" s="232" t="s">
        <v>97</v>
      </c>
      <c r="B1075" s="233" t="s">
        <v>62</v>
      </c>
      <c r="C1075" s="234" t="s">
        <v>14</v>
      </c>
      <c r="D1075" s="234" t="s">
        <v>2</v>
      </c>
      <c r="E1075" s="272" t="s">
        <v>445</v>
      </c>
      <c r="F1075" s="234" t="s">
        <v>118</v>
      </c>
      <c r="G1075" s="235">
        <f>G1076</f>
        <v>10000</v>
      </c>
      <c r="H1075" s="272">
        <v>7710010010</v>
      </c>
      <c r="I1075" s="313" t="str">
        <f t="shared" si="109"/>
        <v>7710010010</v>
      </c>
      <c r="J1075" s="30" t="str">
        <f t="shared" si="110"/>
        <v>60910067710010010850</v>
      </c>
    </row>
    <row r="1076" spans="1:10" s="30" customFormat="1">
      <c r="A1076" s="232" t="s">
        <v>1037</v>
      </c>
      <c r="B1076" s="233" t="s">
        <v>62</v>
      </c>
      <c r="C1076" s="234" t="s">
        <v>14</v>
      </c>
      <c r="D1076" s="234" t="s">
        <v>2</v>
      </c>
      <c r="E1076" s="272" t="s">
        <v>445</v>
      </c>
      <c r="F1076" s="234" t="s">
        <v>1062</v>
      </c>
      <c r="G1076" s="235">
        <f>VLOOKUP(J1076,'исх АС БЮДЖЕТ'!$A$10:$H$568,6,0)</f>
        <v>10000</v>
      </c>
      <c r="H1076" s="272">
        <v>7710010010</v>
      </c>
      <c r="I1076" s="313" t="str">
        <f t="shared" si="109"/>
        <v>7710010010</v>
      </c>
      <c r="J1076" s="30" t="str">
        <f t="shared" si="110"/>
        <v>60910067710010010852</v>
      </c>
    </row>
    <row r="1077" spans="1:10" s="30" customFormat="1" ht="25.5">
      <c r="A1077" s="271" t="s">
        <v>126</v>
      </c>
      <c r="B1077" s="233" t="s">
        <v>62</v>
      </c>
      <c r="C1077" s="234" t="s">
        <v>14</v>
      </c>
      <c r="D1077" s="234" t="s">
        <v>2</v>
      </c>
      <c r="E1077" s="272" t="s">
        <v>446</v>
      </c>
      <c r="F1077" s="234" t="s">
        <v>58</v>
      </c>
      <c r="G1077" s="235">
        <f>G1078</f>
        <v>6126950</v>
      </c>
      <c r="H1077" s="272">
        <v>7710010020</v>
      </c>
      <c r="I1077" s="313" t="str">
        <f t="shared" si="109"/>
        <v>7710010020</v>
      </c>
      <c r="J1077" s="30" t="str">
        <f t="shared" si="110"/>
        <v>60910067710010020000</v>
      </c>
    </row>
    <row r="1078" spans="1:10" s="30" customFormat="1">
      <c r="A1078" s="232" t="s">
        <v>107</v>
      </c>
      <c r="B1078" s="233" t="s">
        <v>62</v>
      </c>
      <c r="C1078" s="234" t="s">
        <v>14</v>
      </c>
      <c r="D1078" s="234" t="s">
        <v>2</v>
      </c>
      <c r="E1078" s="272" t="s">
        <v>446</v>
      </c>
      <c r="F1078" s="234" t="s">
        <v>115</v>
      </c>
      <c r="G1078" s="235">
        <f>SUM(G1079:G1080)</f>
        <v>6126950</v>
      </c>
      <c r="H1078" s="272">
        <v>7710010020</v>
      </c>
      <c r="I1078" s="313" t="str">
        <f t="shared" si="109"/>
        <v>7710010020</v>
      </c>
      <c r="J1078" s="30" t="str">
        <f t="shared" si="110"/>
        <v>60910067710010020120</v>
      </c>
    </row>
    <row r="1079" spans="1:10" s="30" customFormat="1">
      <c r="A1079" s="232" t="s">
        <v>936</v>
      </c>
      <c r="B1079" s="233" t="s">
        <v>62</v>
      </c>
      <c r="C1079" s="234" t="s">
        <v>14</v>
      </c>
      <c r="D1079" s="234" t="s">
        <v>2</v>
      </c>
      <c r="E1079" s="272" t="s">
        <v>446</v>
      </c>
      <c r="F1079" s="234" t="s">
        <v>1063</v>
      </c>
      <c r="G1079" s="235">
        <f>VLOOKUP(J1079,'исх АС БЮДЖЕТ'!$A$10:$H$568,6,0)</f>
        <v>4705800</v>
      </c>
      <c r="H1079" s="272">
        <v>7710010020</v>
      </c>
      <c r="I1079" s="313" t="str">
        <f t="shared" si="109"/>
        <v>7710010020</v>
      </c>
      <c r="J1079" s="30" t="str">
        <f t="shared" si="110"/>
        <v>60910067710010020121</v>
      </c>
    </row>
    <row r="1080" spans="1:10" s="30" customFormat="1" ht="38.25">
      <c r="A1080" s="232" t="s">
        <v>939</v>
      </c>
      <c r="B1080" s="233" t="s">
        <v>62</v>
      </c>
      <c r="C1080" s="234" t="s">
        <v>14</v>
      </c>
      <c r="D1080" s="234" t="s">
        <v>2</v>
      </c>
      <c r="E1080" s="272" t="s">
        <v>446</v>
      </c>
      <c r="F1080" s="234" t="s">
        <v>1060</v>
      </c>
      <c r="G1080" s="235">
        <f>VLOOKUP(J1080,'исх АС БЮДЖЕТ'!$A$10:$H$568,6,0)</f>
        <v>1421150</v>
      </c>
      <c r="H1080" s="272">
        <v>7710010020</v>
      </c>
      <c r="I1080" s="313" t="str">
        <f t="shared" si="109"/>
        <v>7710010020</v>
      </c>
      <c r="J1080" s="30" t="str">
        <f t="shared" si="110"/>
        <v>60910067710010020129</v>
      </c>
    </row>
    <row r="1081" spans="1:10" s="30" customFormat="1" ht="38.25">
      <c r="A1081" s="271" t="s">
        <v>599</v>
      </c>
      <c r="B1081" s="233" t="s">
        <v>62</v>
      </c>
      <c r="C1081" s="234" t="s">
        <v>14</v>
      </c>
      <c r="D1081" s="234" t="s">
        <v>2</v>
      </c>
      <c r="E1081" s="272" t="s">
        <v>447</v>
      </c>
      <c r="F1081" s="234" t="s">
        <v>58</v>
      </c>
      <c r="G1081" s="235">
        <f>G1082</f>
        <v>1452286.35</v>
      </c>
      <c r="H1081" s="272">
        <v>7710076100</v>
      </c>
      <c r="I1081" s="313" t="str">
        <f t="shared" si="109"/>
        <v>7710076100</v>
      </c>
      <c r="J1081" s="30" t="str">
        <f t="shared" si="110"/>
        <v>60910067710076100000</v>
      </c>
    </row>
    <row r="1082" spans="1:10" s="30" customFormat="1">
      <c r="A1082" s="232" t="s">
        <v>107</v>
      </c>
      <c r="B1082" s="233" t="s">
        <v>62</v>
      </c>
      <c r="C1082" s="234" t="s">
        <v>14</v>
      </c>
      <c r="D1082" s="234" t="s">
        <v>2</v>
      </c>
      <c r="E1082" s="272" t="s">
        <v>447</v>
      </c>
      <c r="F1082" s="234" t="s">
        <v>115</v>
      </c>
      <c r="G1082" s="235">
        <f>SUM(G1083:G1085)</f>
        <v>1452286.35</v>
      </c>
      <c r="H1082" s="272">
        <v>7710076100</v>
      </c>
      <c r="I1082" s="313" t="str">
        <f t="shared" si="109"/>
        <v>7710076100</v>
      </c>
      <c r="J1082" s="30" t="str">
        <f t="shared" si="110"/>
        <v>60910067710076100120</v>
      </c>
    </row>
    <row r="1083" spans="1:10" s="30" customFormat="1">
      <c r="A1083" s="232" t="s">
        <v>936</v>
      </c>
      <c r="B1083" s="233" t="s">
        <v>62</v>
      </c>
      <c r="C1083" s="234" t="s">
        <v>14</v>
      </c>
      <c r="D1083" s="234" t="s">
        <v>2</v>
      </c>
      <c r="E1083" s="272" t="s">
        <v>447</v>
      </c>
      <c r="F1083" s="234" t="s">
        <v>1063</v>
      </c>
      <c r="G1083" s="235">
        <f>VLOOKUP(J1083,'исх АС БЮДЖЕТ'!$A$10:$H$568,6,0)</f>
        <v>1077130</v>
      </c>
      <c r="H1083" s="272">
        <v>7710076100</v>
      </c>
      <c r="I1083" s="313" t="str">
        <f t="shared" si="109"/>
        <v>7710076100</v>
      </c>
      <c r="J1083" s="30" t="str">
        <f t="shared" si="110"/>
        <v>60910067710076100121</v>
      </c>
    </row>
    <row r="1084" spans="1:10" s="30" customFormat="1" ht="25.5">
      <c r="A1084" s="232" t="s">
        <v>937</v>
      </c>
      <c r="B1084" s="233" t="s">
        <v>62</v>
      </c>
      <c r="C1084" s="234" t="s">
        <v>14</v>
      </c>
      <c r="D1084" s="234" t="s">
        <v>2</v>
      </c>
      <c r="E1084" s="272" t="s">
        <v>447</v>
      </c>
      <c r="F1084" s="234" t="s">
        <v>1059</v>
      </c>
      <c r="G1084" s="235">
        <f>VLOOKUP(J1084,'исх АС БЮДЖЕТ'!$A$10:$H$568,6,0)</f>
        <v>38295</v>
      </c>
      <c r="H1084" s="272">
        <v>7710076100</v>
      </c>
      <c r="I1084" s="313" t="str">
        <f t="shared" si="109"/>
        <v>7710076100</v>
      </c>
      <c r="J1084" s="30" t="str">
        <f t="shared" si="110"/>
        <v>60910067710076100122</v>
      </c>
    </row>
    <row r="1085" spans="1:10" s="30" customFormat="1" ht="38.25">
      <c r="A1085" s="232" t="s">
        <v>939</v>
      </c>
      <c r="B1085" s="233" t="s">
        <v>62</v>
      </c>
      <c r="C1085" s="234" t="s">
        <v>14</v>
      </c>
      <c r="D1085" s="234" t="s">
        <v>2</v>
      </c>
      <c r="E1085" s="272" t="s">
        <v>447</v>
      </c>
      <c r="F1085" s="234" t="s">
        <v>1060</v>
      </c>
      <c r="G1085" s="235">
        <f>VLOOKUP(J1085,'исх АС БЮДЖЕТ'!$A$10:$H$568,6,0)</f>
        <v>336861.35</v>
      </c>
      <c r="H1085" s="272">
        <v>7710076100</v>
      </c>
      <c r="I1085" s="313" t="str">
        <f t="shared" si="109"/>
        <v>7710076100</v>
      </c>
      <c r="J1085" s="30" t="str">
        <f t="shared" si="110"/>
        <v>60910067710076100129</v>
      </c>
    </row>
    <row r="1086" spans="1:10" s="30" customFormat="1" ht="38.25">
      <c r="A1086" s="271" t="s">
        <v>600</v>
      </c>
      <c r="B1086" s="233" t="s">
        <v>62</v>
      </c>
      <c r="C1086" s="234" t="s">
        <v>14</v>
      </c>
      <c r="D1086" s="234" t="s">
        <v>2</v>
      </c>
      <c r="E1086" s="272" t="s">
        <v>448</v>
      </c>
      <c r="F1086" s="234" t="s">
        <v>58</v>
      </c>
      <c r="G1086" s="235">
        <f>G1087+G1091+G1093</f>
        <v>53399730</v>
      </c>
      <c r="H1086" s="272">
        <v>7710076210</v>
      </c>
      <c r="I1086" s="313" t="str">
        <f t="shared" si="109"/>
        <v>7710076210</v>
      </c>
      <c r="J1086" s="30" t="str">
        <f t="shared" si="110"/>
        <v>60910067710076210000</v>
      </c>
    </row>
    <row r="1087" spans="1:10" s="30" customFormat="1">
      <c r="A1087" s="232" t="s">
        <v>107</v>
      </c>
      <c r="B1087" s="233" t="s">
        <v>62</v>
      </c>
      <c r="C1087" s="234" t="s">
        <v>14</v>
      </c>
      <c r="D1087" s="234" t="s">
        <v>2</v>
      </c>
      <c r="E1087" s="272" t="s">
        <v>448</v>
      </c>
      <c r="F1087" s="234" t="s">
        <v>115</v>
      </c>
      <c r="G1087" s="235">
        <f>SUM(G1088:G1090)</f>
        <v>51830190</v>
      </c>
      <c r="H1087" s="272">
        <v>7710076210</v>
      </c>
      <c r="I1087" s="313" t="str">
        <f t="shared" si="109"/>
        <v>7710076210</v>
      </c>
      <c r="J1087" s="30" t="str">
        <f t="shared" si="110"/>
        <v>60910067710076210120</v>
      </c>
    </row>
    <row r="1088" spans="1:10" s="30" customFormat="1">
      <c r="A1088" s="232" t="s">
        <v>936</v>
      </c>
      <c r="B1088" s="233" t="s">
        <v>62</v>
      </c>
      <c r="C1088" s="234" t="s">
        <v>14</v>
      </c>
      <c r="D1088" s="234" t="s">
        <v>2</v>
      </c>
      <c r="E1088" s="272" t="s">
        <v>448</v>
      </c>
      <c r="F1088" s="234" t="s">
        <v>1063</v>
      </c>
      <c r="G1088" s="235">
        <f>VLOOKUP(J1088,'исх АС БЮДЖЕТ'!$A$10:$H$568,6,0)</f>
        <v>38700000</v>
      </c>
      <c r="H1088" s="272">
        <v>7710076210</v>
      </c>
      <c r="I1088" s="313" t="str">
        <f t="shared" si="109"/>
        <v>7710076210</v>
      </c>
      <c r="J1088" s="30" t="str">
        <f t="shared" si="110"/>
        <v>60910067710076210121</v>
      </c>
    </row>
    <row r="1089" spans="1:10" s="30" customFormat="1" ht="25.5">
      <c r="A1089" s="232" t="s">
        <v>937</v>
      </c>
      <c r="B1089" s="233" t="s">
        <v>62</v>
      </c>
      <c r="C1089" s="234" t="s">
        <v>14</v>
      </c>
      <c r="D1089" s="234" t="s">
        <v>2</v>
      </c>
      <c r="E1089" s="272" t="s">
        <v>448</v>
      </c>
      <c r="F1089" s="234" t="s">
        <v>1059</v>
      </c>
      <c r="G1089" s="235">
        <f>VLOOKUP(J1089,'исх АС БЮДЖЕТ'!$A$10:$H$568,6,0)</f>
        <v>1404150</v>
      </c>
      <c r="H1089" s="272">
        <v>7710076210</v>
      </c>
      <c r="I1089" s="313" t="str">
        <f t="shared" si="109"/>
        <v>7710076210</v>
      </c>
      <c r="J1089" s="30" t="str">
        <f t="shared" si="110"/>
        <v>60910067710076210122</v>
      </c>
    </row>
    <row r="1090" spans="1:10" s="30" customFormat="1" ht="38.25">
      <c r="A1090" s="232" t="s">
        <v>939</v>
      </c>
      <c r="B1090" s="233" t="s">
        <v>62</v>
      </c>
      <c r="C1090" s="234" t="s">
        <v>14</v>
      </c>
      <c r="D1090" s="234" t="s">
        <v>2</v>
      </c>
      <c r="E1090" s="272" t="s">
        <v>448</v>
      </c>
      <c r="F1090" s="234" t="s">
        <v>1060</v>
      </c>
      <c r="G1090" s="235">
        <f>VLOOKUP(J1090,'исх АС БЮДЖЕТ'!$A$10:$H$568,6,0)</f>
        <v>11726040</v>
      </c>
      <c r="H1090" s="272">
        <v>7710076210</v>
      </c>
      <c r="I1090" s="313" t="str">
        <f t="shared" si="109"/>
        <v>7710076210</v>
      </c>
      <c r="J1090" s="30" t="str">
        <f t="shared" si="110"/>
        <v>60910067710076210129</v>
      </c>
    </row>
    <row r="1091" spans="1:10" s="30" customFormat="1" ht="25.5">
      <c r="A1091" s="232" t="s">
        <v>108</v>
      </c>
      <c r="B1091" s="233" t="s">
        <v>62</v>
      </c>
      <c r="C1091" s="234" t="s">
        <v>14</v>
      </c>
      <c r="D1091" s="234" t="s">
        <v>2</v>
      </c>
      <c r="E1091" s="272" t="s">
        <v>448</v>
      </c>
      <c r="F1091" s="234" t="s">
        <v>116</v>
      </c>
      <c r="G1091" s="235">
        <f>G1092</f>
        <v>1459540</v>
      </c>
      <c r="H1091" s="272">
        <v>7710076210</v>
      </c>
      <c r="I1091" s="313" t="str">
        <f t="shared" si="109"/>
        <v>7710076210</v>
      </c>
      <c r="J1091" s="30" t="str">
        <f t="shared" si="110"/>
        <v>60910067710076210240</v>
      </c>
    </row>
    <row r="1092" spans="1:10" s="103" customFormat="1" ht="25.5">
      <c r="A1092" s="236" t="s">
        <v>973</v>
      </c>
      <c r="B1092" s="233" t="s">
        <v>62</v>
      </c>
      <c r="C1092" s="234" t="s">
        <v>14</v>
      </c>
      <c r="D1092" s="234" t="s">
        <v>2</v>
      </c>
      <c r="E1092" s="272" t="s">
        <v>448</v>
      </c>
      <c r="F1092" s="234" t="s">
        <v>1043</v>
      </c>
      <c r="G1092" s="235">
        <f>VLOOKUP(J1092,'исх АС БЮДЖЕТ'!$A$10:$H$568,6,0)</f>
        <v>1459540</v>
      </c>
      <c r="H1092" s="272">
        <v>7710076210</v>
      </c>
      <c r="I1092" s="313" t="str">
        <f t="shared" si="109"/>
        <v>7710076210</v>
      </c>
      <c r="J1092" s="30" t="str">
        <f t="shared" si="110"/>
        <v>60910067710076210244</v>
      </c>
    </row>
    <row r="1093" spans="1:10" s="30" customFormat="1">
      <c r="A1093" s="232" t="s">
        <v>97</v>
      </c>
      <c r="B1093" s="233" t="s">
        <v>62</v>
      </c>
      <c r="C1093" s="234" t="s">
        <v>14</v>
      </c>
      <c r="D1093" s="234" t="s">
        <v>2</v>
      </c>
      <c r="E1093" s="272" t="s">
        <v>448</v>
      </c>
      <c r="F1093" s="234" t="s">
        <v>118</v>
      </c>
      <c r="G1093" s="235">
        <f>SUM(G1094:G1095)</f>
        <v>110000</v>
      </c>
      <c r="H1093" s="272">
        <v>7710076210</v>
      </c>
      <c r="I1093" s="313" t="str">
        <f t="shared" si="109"/>
        <v>7710076210</v>
      </c>
      <c r="J1093" s="30" t="str">
        <f t="shared" si="110"/>
        <v>60910067710076210850</v>
      </c>
    </row>
    <row r="1094" spans="1:10" s="30" customFormat="1">
      <c r="A1094" s="232" t="s">
        <v>1036</v>
      </c>
      <c r="B1094" s="233" t="s">
        <v>62</v>
      </c>
      <c r="C1094" s="234" t="s">
        <v>14</v>
      </c>
      <c r="D1094" s="234" t="s">
        <v>2</v>
      </c>
      <c r="E1094" s="272" t="s">
        <v>448</v>
      </c>
      <c r="F1094" s="234" t="s">
        <v>1061</v>
      </c>
      <c r="G1094" s="235">
        <f>VLOOKUP(J1094,'исх АС БЮДЖЕТ'!$A$10:$H$568,6,0)</f>
        <v>100000</v>
      </c>
      <c r="H1094" s="272">
        <v>7710076210</v>
      </c>
      <c r="I1094" s="313" t="str">
        <f t="shared" si="109"/>
        <v>7710076210</v>
      </c>
      <c r="J1094" s="30" t="str">
        <f t="shared" si="110"/>
        <v>60910067710076210851</v>
      </c>
    </row>
    <row r="1095" spans="1:10" s="30" customFormat="1">
      <c r="A1095" s="232" t="s">
        <v>1037</v>
      </c>
      <c r="B1095" s="233" t="s">
        <v>62</v>
      </c>
      <c r="C1095" s="234" t="s">
        <v>14</v>
      </c>
      <c r="D1095" s="234" t="s">
        <v>2</v>
      </c>
      <c r="E1095" s="272" t="s">
        <v>448</v>
      </c>
      <c r="F1095" s="234" t="s">
        <v>1062</v>
      </c>
      <c r="G1095" s="235">
        <f>VLOOKUP(J1095,'исх АС БЮДЖЕТ'!$A$10:$H$568,6,0)</f>
        <v>10000</v>
      </c>
      <c r="H1095" s="272">
        <v>7710076210</v>
      </c>
      <c r="I1095" s="313" t="str">
        <f t="shared" si="109"/>
        <v>7710076210</v>
      </c>
      <c r="J1095" s="30" t="str">
        <f t="shared" si="110"/>
        <v>60910067710076210852</v>
      </c>
    </row>
    <row r="1096" spans="1:10" s="30" customFormat="1" ht="25.5">
      <c r="A1096" s="248" t="s">
        <v>683</v>
      </c>
      <c r="B1096" s="233" t="s">
        <v>62</v>
      </c>
      <c r="C1096" s="234" t="s">
        <v>14</v>
      </c>
      <c r="D1096" s="234" t="s">
        <v>2</v>
      </c>
      <c r="E1096" s="234" t="s">
        <v>680</v>
      </c>
      <c r="F1096" s="234" t="s">
        <v>58</v>
      </c>
      <c r="G1096" s="235">
        <f>G1097</f>
        <v>3606.68</v>
      </c>
      <c r="H1096" s="234">
        <v>9800000000</v>
      </c>
      <c r="I1096" s="313" t="str">
        <f t="shared" si="109"/>
        <v>9800000000</v>
      </c>
      <c r="J1096" s="30" t="str">
        <f t="shared" si="110"/>
        <v>60910069800000000000</v>
      </c>
    </row>
    <row r="1097" spans="1:10" s="30" customFormat="1" ht="38.25">
      <c r="A1097" s="248" t="s">
        <v>1120</v>
      </c>
      <c r="B1097" s="233" t="s">
        <v>62</v>
      </c>
      <c r="C1097" s="234" t="s">
        <v>14</v>
      </c>
      <c r="D1097" s="234" t="s">
        <v>2</v>
      </c>
      <c r="E1097" s="234" t="s">
        <v>1121</v>
      </c>
      <c r="F1097" s="234" t="s">
        <v>58</v>
      </c>
      <c r="G1097" s="235">
        <f>G1098</f>
        <v>3606.68</v>
      </c>
      <c r="H1097" s="234">
        <v>9820000000</v>
      </c>
      <c r="I1097" s="313" t="str">
        <f t="shared" si="109"/>
        <v>9820000000</v>
      </c>
      <c r="J1097" s="30" t="str">
        <f t="shared" si="110"/>
        <v>60910069820000000000</v>
      </c>
    </row>
    <row r="1098" spans="1:10" s="30" customFormat="1" ht="25.5">
      <c r="A1098" s="248" t="s">
        <v>157</v>
      </c>
      <c r="B1098" s="233" t="s">
        <v>62</v>
      </c>
      <c r="C1098" s="234" t="s">
        <v>14</v>
      </c>
      <c r="D1098" s="234" t="s">
        <v>2</v>
      </c>
      <c r="E1098" s="234" t="s">
        <v>1166</v>
      </c>
      <c r="F1098" s="234" t="s">
        <v>58</v>
      </c>
      <c r="G1098" s="235">
        <f>SUM(G1099:G1099)</f>
        <v>3606.68</v>
      </c>
      <c r="H1098" s="234">
        <v>9820020530</v>
      </c>
      <c r="I1098" s="313" t="str">
        <f t="shared" si="109"/>
        <v>9820020530</v>
      </c>
      <c r="J1098" s="30" t="str">
        <f t="shared" si="110"/>
        <v>60910069820020530000</v>
      </c>
    </row>
    <row r="1099" spans="1:10" s="30" customFormat="1" ht="25.5">
      <c r="A1099" s="232" t="s">
        <v>108</v>
      </c>
      <c r="B1099" s="233" t="s">
        <v>62</v>
      </c>
      <c r="C1099" s="234" t="s">
        <v>14</v>
      </c>
      <c r="D1099" s="234" t="s">
        <v>2</v>
      </c>
      <c r="E1099" s="234" t="s">
        <v>1166</v>
      </c>
      <c r="F1099" s="234" t="s">
        <v>116</v>
      </c>
      <c r="G1099" s="235">
        <f>G1100</f>
        <v>3606.68</v>
      </c>
      <c r="H1099" s="234">
        <v>9820020530</v>
      </c>
      <c r="I1099" s="313" t="str">
        <f t="shared" si="109"/>
        <v>9820020530</v>
      </c>
      <c r="J1099" s="30" t="str">
        <f t="shared" si="110"/>
        <v>60910069820020530240</v>
      </c>
    </row>
    <row r="1100" spans="1:10" s="30" customFormat="1" ht="25.5">
      <c r="A1100" s="236" t="s">
        <v>973</v>
      </c>
      <c r="B1100" s="233" t="s">
        <v>62</v>
      </c>
      <c r="C1100" s="234" t="s">
        <v>14</v>
      </c>
      <c r="D1100" s="234" t="s">
        <v>2</v>
      </c>
      <c r="E1100" s="234" t="s">
        <v>1166</v>
      </c>
      <c r="F1100" s="234" t="s">
        <v>1043</v>
      </c>
      <c r="G1100" s="235">
        <f>VLOOKUP(J1100,'исх АС БЮДЖЕТ'!$A$10:$H$568,6,0)</f>
        <v>3606.68</v>
      </c>
      <c r="H1100" s="234">
        <v>9820020530</v>
      </c>
      <c r="I1100" s="313" t="str">
        <f t="shared" si="109"/>
        <v>9820020530</v>
      </c>
      <c r="J1100" s="30" t="str">
        <f t="shared" si="110"/>
        <v>60910069820020530244</v>
      </c>
    </row>
    <row r="1101" spans="1:10" s="181" customFormat="1">
      <c r="A1101" s="238"/>
      <c r="B1101" s="239"/>
      <c r="C1101" s="240"/>
      <c r="D1101" s="240"/>
      <c r="E1101" s="273"/>
      <c r="F1101" s="240"/>
      <c r="G1101" s="235"/>
      <c r="H1101" s="273"/>
      <c r="I1101" s="313" t="str">
        <f t="shared" si="109"/>
        <v>0000000000</v>
      </c>
      <c r="J1101" s="30" t="str">
        <f t="shared" si="110"/>
        <v>0000000000</v>
      </c>
    </row>
    <row r="1102" spans="1:10" s="3" customFormat="1">
      <c r="A1102" s="219" t="s">
        <v>694</v>
      </c>
      <c r="B1102" s="220" t="s">
        <v>67</v>
      </c>
      <c r="C1102" s="221" t="s">
        <v>51</v>
      </c>
      <c r="D1102" s="221" t="s">
        <v>51</v>
      </c>
      <c r="E1102" s="221" t="s">
        <v>196</v>
      </c>
      <c r="F1102" s="221" t="s">
        <v>58</v>
      </c>
      <c r="G1102" s="222">
        <f>G1103+G1126</f>
        <v>195810090</v>
      </c>
      <c r="H1102" s="221">
        <v>0</v>
      </c>
      <c r="I1102" s="313" t="str">
        <f t="shared" si="109"/>
        <v>0000000000</v>
      </c>
      <c r="J1102" s="30" t="str">
        <f t="shared" si="110"/>
        <v>61100000000000000000</v>
      </c>
    </row>
    <row r="1103" spans="1:10" s="3" customFormat="1">
      <c r="A1103" s="224" t="s">
        <v>70</v>
      </c>
      <c r="B1103" s="225" t="s">
        <v>67</v>
      </c>
      <c r="C1103" s="226" t="s">
        <v>71</v>
      </c>
      <c r="D1103" s="226" t="s">
        <v>51</v>
      </c>
      <c r="E1103" s="226" t="s">
        <v>196</v>
      </c>
      <c r="F1103" s="226" t="s">
        <v>58</v>
      </c>
      <c r="G1103" s="227">
        <f>G1104</f>
        <v>148385260</v>
      </c>
      <c r="H1103" s="226">
        <v>0</v>
      </c>
      <c r="I1103" s="313" t="str">
        <f t="shared" si="109"/>
        <v>0000000000</v>
      </c>
      <c r="J1103" s="30" t="str">
        <f t="shared" si="110"/>
        <v>61107000000000000000</v>
      </c>
    </row>
    <row r="1104" spans="1:10" s="3" customFormat="1">
      <c r="A1104" s="228" t="s">
        <v>779</v>
      </c>
      <c r="B1104" s="229" t="s">
        <v>67</v>
      </c>
      <c r="C1104" s="230" t="s">
        <v>71</v>
      </c>
      <c r="D1104" s="230" t="s">
        <v>53</v>
      </c>
      <c r="E1104" s="230" t="s">
        <v>196</v>
      </c>
      <c r="F1104" s="230" t="s">
        <v>58</v>
      </c>
      <c r="G1104" s="231">
        <f>G1105+G1114+G1120</f>
        <v>148385260</v>
      </c>
      <c r="H1104" s="230">
        <v>0</v>
      </c>
      <c r="I1104" s="313" t="str">
        <f t="shared" si="109"/>
        <v>0000000000</v>
      </c>
      <c r="J1104" s="30" t="str">
        <f t="shared" si="110"/>
        <v>61107030000000000000</v>
      </c>
    </row>
    <row r="1105" spans="1:10" s="3" customFormat="1" ht="25.5">
      <c r="A1105" s="232" t="s">
        <v>740</v>
      </c>
      <c r="B1105" s="233" t="s">
        <v>67</v>
      </c>
      <c r="C1105" s="234" t="s">
        <v>71</v>
      </c>
      <c r="D1105" s="234" t="s">
        <v>53</v>
      </c>
      <c r="E1105" s="234" t="s">
        <v>449</v>
      </c>
      <c r="F1105" s="234" t="s">
        <v>58</v>
      </c>
      <c r="G1105" s="235">
        <f t="shared" ref="G1105:G1106" si="111">G1106</f>
        <v>147700770</v>
      </c>
      <c r="H1105" s="234">
        <v>800000000</v>
      </c>
      <c r="I1105" s="313" t="str">
        <f t="shared" si="109"/>
        <v>0800000000</v>
      </c>
      <c r="J1105" s="30" t="str">
        <f t="shared" si="110"/>
        <v>61107030800000000000</v>
      </c>
    </row>
    <row r="1106" spans="1:10" s="3" customFormat="1" ht="38.25">
      <c r="A1106" s="232" t="s">
        <v>141</v>
      </c>
      <c r="B1106" s="233" t="s">
        <v>67</v>
      </c>
      <c r="C1106" s="234" t="s">
        <v>71</v>
      </c>
      <c r="D1106" s="234" t="s">
        <v>53</v>
      </c>
      <c r="E1106" s="234" t="s">
        <v>450</v>
      </c>
      <c r="F1106" s="234" t="s">
        <v>58</v>
      </c>
      <c r="G1106" s="235">
        <f t="shared" si="111"/>
        <v>147700770</v>
      </c>
      <c r="H1106" s="234">
        <v>810000000</v>
      </c>
      <c r="I1106" s="313" t="str">
        <f t="shared" si="109"/>
        <v>0810000000</v>
      </c>
      <c r="J1106" s="30" t="str">
        <f t="shared" si="110"/>
        <v>61107030810000000000</v>
      </c>
    </row>
    <row r="1107" spans="1:10" s="3" customFormat="1" ht="38.25">
      <c r="A1107" s="232" t="s">
        <v>587</v>
      </c>
      <c r="B1107" s="233" t="s">
        <v>67</v>
      </c>
      <c r="C1107" s="234" t="s">
        <v>71</v>
      </c>
      <c r="D1107" s="234" t="s">
        <v>53</v>
      </c>
      <c r="E1107" s="234" t="s">
        <v>451</v>
      </c>
      <c r="F1107" s="234" t="s">
        <v>58</v>
      </c>
      <c r="G1107" s="235">
        <f>G1108+G1111</f>
        <v>147700770</v>
      </c>
      <c r="H1107" s="234">
        <v>810100000</v>
      </c>
      <c r="I1107" s="313" t="str">
        <f t="shared" si="109"/>
        <v>0810100000</v>
      </c>
      <c r="J1107" s="30" t="str">
        <f t="shared" si="110"/>
        <v>61107030810100000000</v>
      </c>
    </row>
    <row r="1108" spans="1:10" s="3" customFormat="1">
      <c r="A1108" s="236" t="s">
        <v>247</v>
      </c>
      <c r="B1108" s="233" t="s">
        <v>67</v>
      </c>
      <c r="C1108" s="234" t="s">
        <v>71</v>
      </c>
      <c r="D1108" s="234" t="s">
        <v>53</v>
      </c>
      <c r="E1108" s="234" t="s">
        <v>452</v>
      </c>
      <c r="F1108" s="234" t="s">
        <v>58</v>
      </c>
      <c r="G1108" s="235">
        <f>G1109</f>
        <v>147588280</v>
      </c>
      <c r="H1108" s="234">
        <v>810111010</v>
      </c>
      <c r="I1108" s="313" t="str">
        <f t="shared" si="109"/>
        <v>0810111010</v>
      </c>
      <c r="J1108" s="30" t="str">
        <f t="shared" si="110"/>
        <v>61107030810111010000</v>
      </c>
    </row>
    <row r="1109" spans="1:10" s="3" customFormat="1">
      <c r="A1109" s="244" t="s">
        <v>92</v>
      </c>
      <c r="B1109" s="233" t="s">
        <v>67</v>
      </c>
      <c r="C1109" s="234" t="s">
        <v>71</v>
      </c>
      <c r="D1109" s="234" t="s">
        <v>53</v>
      </c>
      <c r="E1109" s="234" t="s">
        <v>452</v>
      </c>
      <c r="F1109" s="234" t="s">
        <v>138</v>
      </c>
      <c r="G1109" s="235">
        <f>G1110</f>
        <v>147588280</v>
      </c>
      <c r="H1109" s="234">
        <v>810111010</v>
      </c>
      <c r="I1109" s="313" t="str">
        <f t="shared" si="109"/>
        <v>0810111010</v>
      </c>
      <c r="J1109" s="30" t="str">
        <f t="shared" si="110"/>
        <v>61107030810111010610</v>
      </c>
    </row>
    <row r="1110" spans="1:10" s="4" customFormat="1" ht="38.25">
      <c r="A1110" s="236" t="s">
        <v>1015</v>
      </c>
      <c r="B1110" s="233" t="s">
        <v>67</v>
      </c>
      <c r="C1110" s="234" t="s">
        <v>71</v>
      </c>
      <c r="D1110" s="234" t="s">
        <v>53</v>
      </c>
      <c r="E1110" s="234" t="s">
        <v>452</v>
      </c>
      <c r="F1110" s="234" t="s">
        <v>67</v>
      </c>
      <c r="G1110" s="235">
        <f>VLOOKUP(J1110,'исх АС БЮДЖЕТ'!$A$10:$H$568,6,0)</f>
        <v>147588280</v>
      </c>
      <c r="H1110" s="234">
        <v>810111010</v>
      </c>
      <c r="I1110" s="313" t="str">
        <f t="shared" si="109"/>
        <v>0810111010</v>
      </c>
      <c r="J1110" s="30" t="str">
        <f t="shared" si="110"/>
        <v>61107030810111010611</v>
      </c>
    </row>
    <row r="1111" spans="1:10" s="4" customFormat="1" ht="25.5">
      <c r="A1111" s="236" t="s">
        <v>1132</v>
      </c>
      <c r="B1111" s="233" t="s">
        <v>67</v>
      </c>
      <c r="C1111" s="234" t="s">
        <v>71</v>
      </c>
      <c r="D1111" s="234" t="s">
        <v>53</v>
      </c>
      <c r="E1111" s="234" t="s">
        <v>1138</v>
      </c>
      <c r="F1111" s="234" t="s">
        <v>58</v>
      </c>
      <c r="G1111" s="235">
        <f t="shared" ref="G1111:G1112" si="112">G1112</f>
        <v>112490</v>
      </c>
      <c r="H1111" s="234">
        <v>810177250</v>
      </c>
      <c r="I1111" s="313" t="str">
        <f t="shared" si="109"/>
        <v>0810177250</v>
      </c>
      <c r="J1111" s="30" t="str">
        <f t="shared" si="110"/>
        <v>61107030810177250000</v>
      </c>
    </row>
    <row r="1112" spans="1:10" s="4" customFormat="1">
      <c r="A1112" s="244" t="s">
        <v>92</v>
      </c>
      <c r="B1112" s="233" t="s">
        <v>67</v>
      </c>
      <c r="C1112" s="234" t="s">
        <v>71</v>
      </c>
      <c r="D1112" s="234" t="s">
        <v>53</v>
      </c>
      <c r="E1112" s="234" t="s">
        <v>1138</v>
      </c>
      <c r="F1112" s="234" t="s">
        <v>138</v>
      </c>
      <c r="G1112" s="235">
        <f t="shared" si="112"/>
        <v>112490</v>
      </c>
      <c r="H1112" s="234">
        <v>810177250</v>
      </c>
      <c r="I1112" s="313" t="str">
        <f t="shared" si="109"/>
        <v>0810177250</v>
      </c>
      <c r="J1112" s="30" t="str">
        <f t="shared" si="110"/>
        <v>61107030810177250610</v>
      </c>
    </row>
    <row r="1113" spans="1:10" s="4" customFormat="1" ht="38.25">
      <c r="A1113" s="236" t="s">
        <v>1015</v>
      </c>
      <c r="B1113" s="233" t="s">
        <v>67</v>
      </c>
      <c r="C1113" s="234" t="s">
        <v>71</v>
      </c>
      <c r="D1113" s="234" t="s">
        <v>53</v>
      </c>
      <c r="E1113" s="234" t="s">
        <v>1138</v>
      </c>
      <c r="F1113" s="234" t="s">
        <v>67</v>
      </c>
      <c r="G1113" s="235">
        <f>VLOOKUP(J1113,'исх АС БЮДЖЕТ'!$A$10:$H$568,6,0)</f>
        <v>112490</v>
      </c>
      <c r="H1113" s="234">
        <v>810177250</v>
      </c>
      <c r="I1113" s="313" t="str">
        <f t="shared" si="109"/>
        <v>0810177250</v>
      </c>
      <c r="J1113" s="30" t="str">
        <f t="shared" si="110"/>
        <v>61107030810177250611</v>
      </c>
    </row>
    <row r="1114" spans="1:10" s="3" customFormat="1" ht="51">
      <c r="A1114" s="232" t="s">
        <v>756</v>
      </c>
      <c r="B1114" s="233" t="s">
        <v>67</v>
      </c>
      <c r="C1114" s="234" t="s">
        <v>71</v>
      </c>
      <c r="D1114" s="234" t="s">
        <v>53</v>
      </c>
      <c r="E1114" s="234" t="s">
        <v>339</v>
      </c>
      <c r="F1114" s="234" t="s">
        <v>58</v>
      </c>
      <c r="G1114" s="235">
        <f t="shared" ref="G1114:G1117" si="113">G1115</f>
        <v>259490</v>
      </c>
      <c r="H1114" s="234">
        <v>1600000000</v>
      </c>
      <c r="I1114" s="313" t="str">
        <f t="shared" si="109"/>
        <v>1600000000</v>
      </c>
      <c r="J1114" s="30" t="str">
        <f t="shared" si="110"/>
        <v>61107031600000000000</v>
      </c>
    </row>
    <row r="1115" spans="1:10" s="3" customFormat="1" ht="25.5">
      <c r="A1115" s="232" t="s">
        <v>136</v>
      </c>
      <c r="B1115" s="233" t="s">
        <v>67</v>
      </c>
      <c r="C1115" s="234" t="s">
        <v>71</v>
      </c>
      <c r="D1115" s="234" t="s">
        <v>53</v>
      </c>
      <c r="E1115" s="234" t="s">
        <v>340</v>
      </c>
      <c r="F1115" s="234" t="s">
        <v>58</v>
      </c>
      <c r="G1115" s="235">
        <f t="shared" si="113"/>
        <v>259490</v>
      </c>
      <c r="H1115" s="234">
        <v>1620000000</v>
      </c>
      <c r="I1115" s="313" t="str">
        <f t="shared" ref="I1115:I1178" si="114">TEXT(H1115,"0000000000")</f>
        <v>1620000000</v>
      </c>
      <c r="J1115" s="30" t="str">
        <f t="shared" ref="J1115:J1178" si="115">CONCATENATE(B1115,C1115,D1115,I1115,F1115)</f>
        <v>61107031620000000000</v>
      </c>
    </row>
    <row r="1116" spans="1:10" s="3" customFormat="1" ht="25.5">
      <c r="A1116" s="232" t="s">
        <v>667</v>
      </c>
      <c r="B1116" s="233" t="s">
        <v>67</v>
      </c>
      <c r="C1116" s="234" t="s">
        <v>71</v>
      </c>
      <c r="D1116" s="234" t="s">
        <v>53</v>
      </c>
      <c r="E1116" s="234" t="s">
        <v>609</v>
      </c>
      <c r="F1116" s="234" t="s">
        <v>58</v>
      </c>
      <c r="G1116" s="235">
        <f t="shared" si="113"/>
        <v>259490</v>
      </c>
      <c r="H1116" s="234">
        <v>1620200000</v>
      </c>
      <c r="I1116" s="313" t="str">
        <f t="shared" si="114"/>
        <v>1620200000</v>
      </c>
      <c r="J1116" s="30" t="str">
        <f t="shared" si="115"/>
        <v>61107031620200000000</v>
      </c>
    </row>
    <row r="1117" spans="1:10" s="3" customFormat="1" ht="25.5">
      <c r="A1117" s="232" t="s">
        <v>177</v>
      </c>
      <c r="B1117" s="233" t="s">
        <v>67</v>
      </c>
      <c r="C1117" s="234" t="s">
        <v>71</v>
      </c>
      <c r="D1117" s="234" t="s">
        <v>53</v>
      </c>
      <c r="E1117" s="234" t="s">
        <v>610</v>
      </c>
      <c r="F1117" s="234" t="s">
        <v>58</v>
      </c>
      <c r="G1117" s="235">
        <f t="shared" si="113"/>
        <v>259490</v>
      </c>
      <c r="H1117" s="234">
        <v>1620220550</v>
      </c>
      <c r="I1117" s="313" t="str">
        <f t="shared" si="114"/>
        <v>1620220550</v>
      </c>
      <c r="J1117" s="30" t="str">
        <f t="shared" si="115"/>
        <v>61107031620220550000</v>
      </c>
    </row>
    <row r="1118" spans="1:10" s="3" customFormat="1">
      <c r="A1118" s="244" t="s">
        <v>92</v>
      </c>
      <c r="B1118" s="233" t="s">
        <v>67</v>
      </c>
      <c r="C1118" s="234" t="s">
        <v>71</v>
      </c>
      <c r="D1118" s="234" t="s">
        <v>53</v>
      </c>
      <c r="E1118" s="234" t="s">
        <v>610</v>
      </c>
      <c r="F1118" s="234" t="s">
        <v>138</v>
      </c>
      <c r="G1118" s="235">
        <f>G1119</f>
        <v>259490</v>
      </c>
      <c r="H1118" s="234">
        <v>1620220550</v>
      </c>
      <c r="I1118" s="313" t="str">
        <f t="shared" si="114"/>
        <v>1620220550</v>
      </c>
      <c r="J1118" s="30" t="str">
        <f t="shared" si="115"/>
        <v>61107031620220550610</v>
      </c>
    </row>
    <row r="1119" spans="1:10" s="4" customFormat="1">
      <c r="A1119" s="236" t="s">
        <v>1016</v>
      </c>
      <c r="B1119" s="233" t="s">
        <v>67</v>
      </c>
      <c r="C1119" s="234" t="s">
        <v>71</v>
      </c>
      <c r="D1119" s="234" t="s">
        <v>53</v>
      </c>
      <c r="E1119" s="234" t="s">
        <v>610</v>
      </c>
      <c r="F1119" s="234" t="s">
        <v>1046</v>
      </c>
      <c r="G1119" s="235">
        <f>VLOOKUP(J1119,'исх АС БЮДЖЕТ'!$A$10:$H$568,6,0)</f>
        <v>259490</v>
      </c>
      <c r="H1119" s="234">
        <v>1620220550</v>
      </c>
      <c r="I1119" s="313" t="str">
        <f t="shared" si="114"/>
        <v>1620220550</v>
      </c>
      <c r="J1119" s="30" t="str">
        <f t="shared" si="115"/>
        <v>61107031620220550612</v>
      </c>
    </row>
    <row r="1120" spans="1:10" s="3" customFormat="1" ht="25.5">
      <c r="A1120" s="232" t="s">
        <v>757</v>
      </c>
      <c r="B1120" s="233" t="s">
        <v>67</v>
      </c>
      <c r="C1120" s="234" t="s">
        <v>71</v>
      </c>
      <c r="D1120" s="234" t="s">
        <v>53</v>
      </c>
      <c r="E1120" s="234" t="s">
        <v>342</v>
      </c>
      <c r="F1120" s="234" t="s">
        <v>58</v>
      </c>
      <c r="G1120" s="235">
        <f t="shared" ref="G1120:G1121" si="116">G1121</f>
        <v>425000</v>
      </c>
      <c r="H1120" s="234">
        <v>1700000000</v>
      </c>
      <c r="I1120" s="313" t="str">
        <f t="shared" si="114"/>
        <v>1700000000</v>
      </c>
      <c r="J1120" s="30" t="str">
        <f t="shared" si="115"/>
        <v>61107031700000000000</v>
      </c>
    </row>
    <row r="1121" spans="1:10" s="3" customFormat="1" ht="25.5">
      <c r="A1121" s="237" t="s">
        <v>758</v>
      </c>
      <c r="B1121" s="233" t="s">
        <v>67</v>
      </c>
      <c r="C1121" s="234" t="s">
        <v>71</v>
      </c>
      <c r="D1121" s="234" t="s">
        <v>53</v>
      </c>
      <c r="E1121" s="234" t="s">
        <v>343</v>
      </c>
      <c r="F1121" s="234" t="s">
        <v>58</v>
      </c>
      <c r="G1121" s="235">
        <f t="shared" si="116"/>
        <v>425000</v>
      </c>
      <c r="H1121" s="234" t="s">
        <v>1207</v>
      </c>
      <c r="I1121" s="313" t="str">
        <f t="shared" si="114"/>
        <v>17Б0000000</v>
      </c>
      <c r="J1121" s="30" t="str">
        <f t="shared" si="115"/>
        <v>611070317Б0000000000</v>
      </c>
    </row>
    <row r="1122" spans="1:10" s="3" customFormat="1" ht="25.5">
      <c r="A1122" s="232" t="s">
        <v>344</v>
      </c>
      <c r="B1122" s="233" t="s">
        <v>67</v>
      </c>
      <c r="C1122" s="234" t="s">
        <v>71</v>
      </c>
      <c r="D1122" s="234" t="s">
        <v>53</v>
      </c>
      <c r="E1122" s="234" t="s">
        <v>345</v>
      </c>
      <c r="F1122" s="234" t="s">
        <v>58</v>
      </c>
      <c r="G1122" s="235">
        <f>G1124</f>
        <v>425000</v>
      </c>
      <c r="H1122" s="234" t="s">
        <v>1208</v>
      </c>
      <c r="I1122" s="313" t="str">
        <f t="shared" si="114"/>
        <v>17Б0100000</v>
      </c>
      <c r="J1122" s="30" t="str">
        <f t="shared" si="115"/>
        <v>611070317Б0100000000</v>
      </c>
    </row>
    <row r="1123" spans="1:10" s="3" customFormat="1" ht="25.5">
      <c r="A1123" s="244" t="s">
        <v>174</v>
      </c>
      <c r="B1123" s="233" t="s">
        <v>67</v>
      </c>
      <c r="C1123" s="234" t="s">
        <v>71</v>
      </c>
      <c r="D1123" s="234" t="s">
        <v>53</v>
      </c>
      <c r="E1123" s="234" t="s">
        <v>346</v>
      </c>
      <c r="F1123" s="234" t="s">
        <v>58</v>
      </c>
      <c r="G1123" s="235">
        <f>G1124</f>
        <v>425000</v>
      </c>
      <c r="H1123" s="234" t="s">
        <v>1209</v>
      </c>
      <c r="I1123" s="313" t="str">
        <f t="shared" si="114"/>
        <v>17Б0120490</v>
      </c>
      <c r="J1123" s="30" t="str">
        <f t="shared" si="115"/>
        <v>611070317Б0120490000</v>
      </c>
    </row>
    <row r="1124" spans="1:10" s="3" customFormat="1">
      <c r="A1124" s="244" t="s">
        <v>92</v>
      </c>
      <c r="B1124" s="233" t="s">
        <v>67</v>
      </c>
      <c r="C1124" s="234" t="s">
        <v>71</v>
      </c>
      <c r="D1124" s="234" t="s">
        <v>53</v>
      </c>
      <c r="E1124" s="234" t="s">
        <v>346</v>
      </c>
      <c r="F1124" s="234" t="s">
        <v>138</v>
      </c>
      <c r="G1124" s="235">
        <f>G1125</f>
        <v>425000</v>
      </c>
      <c r="H1124" s="234" t="s">
        <v>1209</v>
      </c>
      <c r="I1124" s="313" t="str">
        <f t="shared" si="114"/>
        <v>17Б0120490</v>
      </c>
      <c r="J1124" s="30" t="str">
        <f t="shared" si="115"/>
        <v>611070317Б0120490610</v>
      </c>
    </row>
    <row r="1125" spans="1:10" s="4" customFormat="1">
      <c r="A1125" s="236" t="s">
        <v>1016</v>
      </c>
      <c r="B1125" s="233" t="s">
        <v>67</v>
      </c>
      <c r="C1125" s="234" t="s">
        <v>71</v>
      </c>
      <c r="D1125" s="234" t="s">
        <v>53</v>
      </c>
      <c r="E1125" s="234" t="s">
        <v>346</v>
      </c>
      <c r="F1125" s="234" t="s">
        <v>1046</v>
      </c>
      <c r="G1125" s="235">
        <f>VLOOKUP(J1125,'исх АС БЮДЖЕТ'!$A$10:$H$568,6,0)</f>
        <v>425000</v>
      </c>
      <c r="H1125" s="234" t="s">
        <v>1209</v>
      </c>
      <c r="I1125" s="313" t="str">
        <f t="shared" si="114"/>
        <v>17Б0120490</v>
      </c>
      <c r="J1125" s="30" t="str">
        <f t="shared" si="115"/>
        <v>611070317Б0120490612</v>
      </c>
    </row>
    <row r="1126" spans="1:10" s="3" customFormat="1">
      <c r="A1126" s="224" t="s">
        <v>39</v>
      </c>
      <c r="B1126" s="225" t="s">
        <v>67</v>
      </c>
      <c r="C1126" s="226" t="s">
        <v>78</v>
      </c>
      <c r="D1126" s="226" t="s">
        <v>51</v>
      </c>
      <c r="E1126" s="226" t="s">
        <v>196</v>
      </c>
      <c r="F1126" s="226" t="s">
        <v>58</v>
      </c>
      <c r="G1126" s="227">
        <f>G1127+G1137+G1159+G1169</f>
        <v>47424830</v>
      </c>
      <c r="H1126" s="226">
        <v>0</v>
      </c>
      <c r="I1126" s="313" t="str">
        <f t="shared" si="114"/>
        <v>0000000000</v>
      </c>
      <c r="J1126" s="30" t="str">
        <f t="shared" si="115"/>
        <v>61111000000000000000</v>
      </c>
    </row>
    <row r="1127" spans="1:10" s="3" customFormat="1">
      <c r="A1127" s="228" t="s">
        <v>79</v>
      </c>
      <c r="B1127" s="229" t="s">
        <v>67</v>
      </c>
      <c r="C1127" s="230" t="s">
        <v>78</v>
      </c>
      <c r="D1127" s="230" t="s">
        <v>65</v>
      </c>
      <c r="E1127" s="230" t="s">
        <v>196</v>
      </c>
      <c r="F1127" s="230" t="s">
        <v>58</v>
      </c>
      <c r="G1127" s="231">
        <f t="shared" ref="G1127:G1131" si="117">G1128</f>
        <v>2980830</v>
      </c>
      <c r="H1127" s="230">
        <v>0</v>
      </c>
      <c r="I1127" s="313" t="str">
        <f t="shared" si="114"/>
        <v>0000000000</v>
      </c>
      <c r="J1127" s="30" t="str">
        <f t="shared" si="115"/>
        <v>61111010000000000000</v>
      </c>
    </row>
    <row r="1128" spans="1:10" s="3" customFormat="1" ht="25.5">
      <c r="A1128" s="232" t="s">
        <v>740</v>
      </c>
      <c r="B1128" s="233" t="s">
        <v>67</v>
      </c>
      <c r="C1128" s="234" t="s">
        <v>78</v>
      </c>
      <c r="D1128" s="234" t="s">
        <v>65</v>
      </c>
      <c r="E1128" s="234" t="s">
        <v>449</v>
      </c>
      <c r="F1128" s="234" t="s">
        <v>58</v>
      </c>
      <c r="G1128" s="235">
        <f t="shared" si="117"/>
        <v>2980830</v>
      </c>
      <c r="H1128" s="234">
        <v>800000000</v>
      </c>
      <c r="I1128" s="313" t="str">
        <f t="shared" si="114"/>
        <v>0800000000</v>
      </c>
      <c r="J1128" s="30" t="str">
        <f t="shared" si="115"/>
        <v>61111010800000000000</v>
      </c>
    </row>
    <row r="1129" spans="1:10" s="3" customFormat="1" ht="38.25">
      <c r="A1129" s="232" t="s">
        <v>141</v>
      </c>
      <c r="B1129" s="233" t="s">
        <v>67</v>
      </c>
      <c r="C1129" s="234" t="s">
        <v>78</v>
      </c>
      <c r="D1129" s="234" t="s">
        <v>65</v>
      </c>
      <c r="E1129" s="234" t="s">
        <v>450</v>
      </c>
      <c r="F1129" s="234" t="s">
        <v>58</v>
      </c>
      <c r="G1129" s="235">
        <f>G1130</f>
        <v>2980830</v>
      </c>
      <c r="H1129" s="234">
        <v>810000000</v>
      </c>
      <c r="I1129" s="313" t="str">
        <f t="shared" si="114"/>
        <v>0810000000</v>
      </c>
      <c r="J1129" s="30" t="str">
        <f t="shared" si="115"/>
        <v>61111010810000000000</v>
      </c>
    </row>
    <row r="1130" spans="1:10" s="3" customFormat="1" ht="25.5">
      <c r="A1130" s="237" t="s">
        <v>475</v>
      </c>
      <c r="B1130" s="241" t="s">
        <v>67</v>
      </c>
      <c r="C1130" s="242" t="s">
        <v>78</v>
      </c>
      <c r="D1130" s="242" t="s">
        <v>65</v>
      </c>
      <c r="E1130" s="242" t="s">
        <v>476</v>
      </c>
      <c r="F1130" s="242" t="s">
        <v>58</v>
      </c>
      <c r="G1130" s="243">
        <f>G1131+G1134</f>
        <v>2980830</v>
      </c>
      <c r="H1130" s="242">
        <v>810200000</v>
      </c>
      <c r="I1130" s="313" t="str">
        <f t="shared" si="114"/>
        <v>0810200000</v>
      </c>
      <c r="J1130" s="30" t="str">
        <f t="shared" si="115"/>
        <v>61111010810200000000</v>
      </c>
    </row>
    <row r="1131" spans="1:10" s="3" customFormat="1">
      <c r="A1131" s="236" t="s">
        <v>247</v>
      </c>
      <c r="B1131" s="241" t="s">
        <v>67</v>
      </c>
      <c r="C1131" s="242" t="s">
        <v>78</v>
      </c>
      <c r="D1131" s="242" t="s">
        <v>65</v>
      </c>
      <c r="E1131" s="242" t="s">
        <v>477</v>
      </c>
      <c r="F1131" s="242" t="s">
        <v>58</v>
      </c>
      <c r="G1131" s="243">
        <f t="shared" si="117"/>
        <v>2976140</v>
      </c>
      <c r="H1131" s="242">
        <v>810211010</v>
      </c>
      <c r="I1131" s="313" t="str">
        <f t="shared" si="114"/>
        <v>0810211010</v>
      </c>
      <c r="J1131" s="30" t="str">
        <f t="shared" si="115"/>
        <v>61111010810211010000</v>
      </c>
    </row>
    <row r="1132" spans="1:10" s="3" customFormat="1">
      <c r="A1132" s="244" t="s">
        <v>92</v>
      </c>
      <c r="B1132" s="241" t="s">
        <v>67</v>
      </c>
      <c r="C1132" s="242" t="s">
        <v>78</v>
      </c>
      <c r="D1132" s="242" t="s">
        <v>65</v>
      </c>
      <c r="E1132" s="242" t="s">
        <v>477</v>
      </c>
      <c r="F1132" s="242" t="s">
        <v>138</v>
      </c>
      <c r="G1132" s="235">
        <f>G1133</f>
        <v>2976140</v>
      </c>
      <c r="H1132" s="242">
        <v>810211010</v>
      </c>
      <c r="I1132" s="313" t="str">
        <f t="shared" si="114"/>
        <v>0810211010</v>
      </c>
      <c r="J1132" s="30" t="str">
        <f t="shared" si="115"/>
        <v>61111010810211010610</v>
      </c>
    </row>
    <row r="1133" spans="1:10" s="4" customFormat="1" ht="38.25">
      <c r="A1133" s="236" t="s">
        <v>1015</v>
      </c>
      <c r="B1133" s="241" t="s">
        <v>67</v>
      </c>
      <c r="C1133" s="242" t="s">
        <v>78</v>
      </c>
      <c r="D1133" s="242" t="s">
        <v>65</v>
      </c>
      <c r="E1133" s="242" t="s">
        <v>477</v>
      </c>
      <c r="F1133" s="242" t="s">
        <v>67</v>
      </c>
      <c r="G1133" s="235">
        <f>VLOOKUP(J1133,'исх АС БЮДЖЕТ'!$A$10:$H$568,6,0)</f>
        <v>2976140</v>
      </c>
      <c r="H1133" s="242">
        <v>810211010</v>
      </c>
      <c r="I1133" s="313" t="str">
        <f t="shared" si="114"/>
        <v>0810211010</v>
      </c>
      <c r="J1133" s="30" t="str">
        <f t="shared" si="115"/>
        <v>61111010810211010611</v>
      </c>
    </row>
    <row r="1134" spans="1:10" s="4" customFormat="1" ht="25.5">
      <c r="A1134" s="236" t="s">
        <v>1132</v>
      </c>
      <c r="B1134" s="241" t="s">
        <v>67</v>
      </c>
      <c r="C1134" s="242" t="s">
        <v>78</v>
      </c>
      <c r="D1134" s="242" t="s">
        <v>65</v>
      </c>
      <c r="E1134" s="242" t="s">
        <v>1139</v>
      </c>
      <c r="F1134" s="242" t="s">
        <v>58</v>
      </c>
      <c r="G1134" s="243">
        <f t="shared" ref="G1134:G1135" si="118">G1135</f>
        <v>4690</v>
      </c>
      <c r="H1134" s="242">
        <v>810277250</v>
      </c>
      <c r="I1134" s="313" t="str">
        <f t="shared" si="114"/>
        <v>0810277250</v>
      </c>
      <c r="J1134" s="30" t="str">
        <f t="shared" si="115"/>
        <v>61111010810277250000</v>
      </c>
    </row>
    <row r="1135" spans="1:10" s="4" customFormat="1">
      <c r="A1135" s="244" t="s">
        <v>92</v>
      </c>
      <c r="B1135" s="241" t="s">
        <v>67</v>
      </c>
      <c r="C1135" s="242" t="s">
        <v>78</v>
      </c>
      <c r="D1135" s="242" t="s">
        <v>65</v>
      </c>
      <c r="E1135" s="242" t="s">
        <v>1139</v>
      </c>
      <c r="F1135" s="242" t="s">
        <v>138</v>
      </c>
      <c r="G1135" s="235">
        <f t="shared" si="118"/>
        <v>4690</v>
      </c>
      <c r="H1135" s="242">
        <v>810277250</v>
      </c>
      <c r="I1135" s="313" t="str">
        <f t="shared" si="114"/>
        <v>0810277250</v>
      </c>
      <c r="J1135" s="30" t="str">
        <f t="shared" si="115"/>
        <v>61111010810277250610</v>
      </c>
    </row>
    <row r="1136" spans="1:10" s="4" customFormat="1" ht="38.25">
      <c r="A1136" s="236" t="s">
        <v>1015</v>
      </c>
      <c r="B1136" s="241" t="s">
        <v>67</v>
      </c>
      <c r="C1136" s="242" t="s">
        <v>78</v>
      </c>
      <c r="D1136" s="242" t="s">
        <v>65</v>
      </c>
      <c r="E1136" s="242" t="s">
        <v>1139</v>
      </c>
      <c r="F1136" s="242" t="s">
        <v>67</v>
      </c>
      <c r="G1136" s="235">
        <f>VLOOKUP(J1136,'исх АС БЮДЖЕТ'!$A$10:$H$568,6,0)</f>
        <v>4690</v>
      </c>
      <c r="H1136" s="242">
        <v>810277250</v>
      </c>
      <c r="I1136" s="313" t="str">
        <f t="shared" si="114"/>
        <v>0810277250</v>
      </c>
      <c r="J1136" s="30" t="str">
        <f t="shared" si="115"/>
        <v>61111010810277250611</v>
      </c>
    </row>
    <row r="1137" spans="1:10" s="3" customFormat="1">
      <c r="A1137" s="228" t="s">
        <v>80</v>
      </c>
      <c r="B1137" s="229" t="s">
        <v>67</v>
      </c>
      <c r="C1137" s="230" t="s">
        <v>78</v>
      </c>
      <c r="D1137" s="230" t="s">
        <v>66</v>
      </c>
      <c r="E1137" s="230" t="s">
        <v>196</v>
      </c>
      <c r="F1137" s="230" t="s">
        <v>58</v>
      </c>
      <c r="G1137" s="231">
        <f>G1138+G1144</f>
        <v>13046770</v>
      </c>
      <c r="H1137" s="230">
        <v>0</v>
      </c>
      <c r="I1137" s="313" t="str">
        <f t="shared" si="114"/>
        <v>0000000000</v>
      </c>
      <c r="J1137" s="30" t="str">
        <f t="shared" si="115"/>
        <v>61111020000000000000</v>
      </c>
    </row>
    <row r="1138" spans="1:10" s="3" customFormat="1" ht="25.5">
      <c r="A1138" s="232" t="s">
        <v>740</v>
      </c>
      <c r="B1138" s="233" t="s">
        <v>67</v>
      </c>
      <c r="C1138" s="234" t="s">
        <v>78</v>
      </c>
      <c r="D1138" s="234" t="s">
        <v>66</v>
      </c>
      <c r="E1138" s="234" t="s">
        <v>449</v>
      </c>
      <c r="F1138" s="234" t="s">
        <v>58</v>
      </c>
      <c r="G1138" s="235">
        <f t="shared" ref="G1138:G1139" si="119">G1139</f>
        <v>8206770</v>
      </c>
      <c r="H1138" s="234">
        <v>800000000</v>
      </c>
      <c r="I1138" s="313" t="str">
        <f t="shared" si="114"/>
        <v>0800000000</v>
      </c>
      <c r="J1138" s="30" t="str">
        <f t="shared" si="115"/>
        <v>61111020800000000000</v>
      </c>
    </row>
    <row r="1139" spans="1:10" s="3" customFormat="1" ht="38.25">
      <c r="A1139" s="232" t="s">
        <v>141</v>
      </c>
      <c r="B1139" s="233" t="s">
        <v>67</v>
      </c>
      <c r="C1139" s="234" t="s">
        <v>78</v>
      </c>
      <c r="D1139" s="234" t="s">
        <v>66</v>
      </c>
      <c r="E1139" s="234" t="s">
        <v>450</v>
      </c>
      <c r="F1139" s="234" t="s">
        <v>58</v>
      </c>
      <c r="G1139" s="235">
        <f t="shared" si="119"/>
        <v>8206770</v>
      </c>
      <c r="H1139" s="234">
        <v>810000000</v>
      </c>
      <c r="I1139" s="313" t="str">
        <f t="shared" si="114"/>
        <v>0810000000</v>
      </c>
      <c r="J1139" s="30" t="str">
        <f t="shared" si="115"/>
        <v>61111020810000000000</v>
      </c>
    </row>
    <row r="1140" spans="1:10" s="3" customFormat="1" ht="51">
      <c r="A1140" s="232" t="s">
        <v>884</v>
      </c>
      <c r="B1140" s="233" t="s">
        <v>67</v>
      </c>
      <c r="C1140" s="234" t="s">
        <v>78</v>
      </c>
      <c r="D1140" s="234" t="s">
        <v>66</v>
      </c>
      <c r="E1140" s="234" t="s">
        <v>812</v>
      </c>
      <c r="F1140" s="234" t="s">
        <v>58</v>
      </c>
      <c r="G1140" s="235">
        <f>G1141</f>
        <v>8206770</v>
      </c>
      <c r="H1140" s="234">
        <v>810300000</v>
      </c>
      <c r="I1140" s="313" t="str">
        <f t="shared" si="114"/>
        <v>0810300000</v>
      </c>
      <c r="J1140" s="30" t="str">
        <f t="shared" si="115"/>
        <v>61111020810300000000</v>
      </c>
    </row>
    <row r="1141" spans="1:10" s="3" customFormat="1">
      <c r="A1141" s="236" t="s">
        <v>247</v>
      </c>
      <c r="B1141" s="241" t="s">
        <v>67</v>
      </c>
      <c r="C1141" s="234" t="s">
        <v>78</v>
      </c>
      <c r="D1141" s="234" t="s">
        <v>66</v>
      </c>
      <c r="E1141" s="242" t="s">
        <v>813</v>
      </c>
      <c r="F1141" s="242" t="s">
        <v>58</v>
      </c>
      <c r="G1141" s="243">
        <f t="shared" ref="G1141" si="120">G1142</f>
        <v>8206770</v>
      </c>
      <c r="H1141" s="242">
        <v>810311010</v>
      </c>
      <c r="I1141" s="313" t="str">
        <f t="shared" si="114"/>
        <v>0810311010</v>
      </c>
      <c r="J1141" s="30" t="str">
        <f t="shared" si="115"/>
        <v>61111020810311010000</v>
      </c>
    </row>
    <row r="1142" spans="1:10" s="3" customFormat="1">
      <c r="A1142" s="244" t="s">
        <v>92</v>
      </c>
      <c r="B1142" s="241" t="s">
        <v>67</v>
      </c>
      <c r="C1142" s="234" t="s">
        <v>78</v>
      </c>
      <c r="D1142" s="234" t="s">
        <v>66</v>
      </c>
      <c r="E1142" s="242" t="s">
        <v>813</v>
      </c>
      <c r="F1142" s="242" t="s">
        <v>138</v>
      </c>
      <c r="G1142" s="235">
        <f>G1143</f>
        <v>8206770</v>
      </c>
      <c r="H1142" s="242">
        <v>810311010</v>
      </c>
      <c r="I1142" s="313" t="str">
        <f t="shared" si="114"/>
        <v>0810311010</v>
      </c>
      <c r="J1142" s="30" t="str">
        <f t="shared" si="115"/>
        <v>61111020810311010610</v>
      </c>
    </row>
    <row r="1143" spans="1:10" s="4" customFormat="1" ht="38.25">
      <c r="A1143" s="236" t="s">
        <v>1015</v>
      </c>
      <c r="B1143" s="241" t="s">
        <v>67</v>
      </c>
      <c r="C1143" s="234" t="s">
        <v>78</v>
      </c>
      <c r="D1143" s="234" t="s">
        <v>66</v>
      </c>
      <c r="E1143" s="242" t="s">
        <v>813</v>
      </c>
      <c r="F1143" s="242" t="s">
        <v>67</v>
      </c>
      <c r="G1143" s="235">
        <f>VLOOKUP(J1143,'исх АС БЮДЖЕТ'!$A$10:$H$568,6,0)</f>
        <v>8206770</v>
      </c>
      <c r="H1143" s="242">
        <v>810311010</v>
      </c>
      <c r="I1143" s="313" t="str">
        <f t="shared" si="114"/>
        <v>0810311010</v>
      </c>
      <c r="J1143" s="30" t="str">
        <f t="shared" si="115"/>
        <v>61111020810311010611</v>
      </c>
    </row>
    <row r="1144" spans="1:10" s="3" customFormat="1" ht="25.5">
      <c r="A1144" s="232" t="s">
        <v>883</v>
      </c>
      <c r="B1144" s="233" t="s">
        <v>67</v>
      </c>
      <c r="C1144" s="234" t="s">
        <v>78</v>
      </c>
      <c r="D1144" s="234" t="s">
        <v>66</v>
      </c>
      <c r="E1144" s="234" t="s">
        <v>478</v>
      </c>
      <c r="F1144" s="234" t="s">
        <v>58</v>
      </c>
      <c r="G1144" s="235">
        <f>G1145+G1151+G1155</f>
        <v>4840000</v>
      </c>
      <c r="H1144" s="234">
        <v>820000000</v>
      </c>
      <c r="I1144" s="313" t="str">
        <f t="shared" si="114"/>
        <v>0820000000</v>
      </c>
      <c r="J1144" s="30" t="str">
        <f t="shared" si="115"/>
        <v>61111020820000000000</v>
      </c>
    </row>
    <row r="1145" spans="1:10" s="3" customFormat="1" ht="25.5">
      <c r="A1145" s="232" t="s">
        <v>619</v>
      </c>
      <c r="B1145" s="233" t="s">
        <v>67</v>
      </c>
      <c r="C1145" s="234" t="s">
        <v>78</v>
      </c>
      <c r="D1145" s="234" t="s">
        <v>66</v>
      </c>
      <c r="E1145" s="234" t="s">
        <v>479</v>
      </c>
      <c r="F1145" s="234" t="s">
        <v>58</v>
      </c>
      <c r="G1145" s="235">
        <f>G1146</f>
        <v>4750000</v>
      </c>
      <c r="H1145" s="234">
        <v>820100000</v>
      </c>
      <c r="I1145" s="313" t="str">
        <f t="shared" si="114"/>
        <v>0820100000</v>
      </c>
      <c r="J1145" s="30" t="str">
        <f t="shared" si="115"/>
        <v>61111020820100000000</v>
      </c>
    </row>
    <row r="1146" spans="1:10" s="3" customFormat="1" ht="25.5">
      <c r="A1146" s="232" t="s">
        <v>163</v>
      </c>
      <c r="B1146" s="233" t="s">
        <v>67</v>
      </c>
      <c r="C1146" s="234" t="s">
        <v>78</v>
      </c>
      <c r="D1146" s="234" t="s">
        <v>66</v>
      </c>
      <c r="E1146" s="234" t="s">
        <v>480</v>
      </c>
      <c r="F1146" s="234" t="s">
        <v>58</v>
      </c>
      <c r="G1146" s="235">
        <f>G1149+G1147</f>
        <v>4750000</v>
      </c>
      <c r="H1146" s="234">
        <v>820120420</v>
      </c>
      <c r="I1146" s="313" t="str">
        <f t="shared" si="114"/>
        <v>0820120420</v>
      </c>
      <c r="J1146" s="30" t="str">
        <f t="shared" si="115"/>
        <v>61111020820120420000</v>
      </c>
    </row>
    <row r="1147" spans="1:10" s="3" customFormat="1">
      <c r="A1147" s="232" t="s">
        <v>106</v>
      </c>
      <c r="B1147" s="233" t="s">
        <v>67</v>
      </c>
      <c r="C1147" s="234" t="s">
        <v>78</v>
      </c>
      <c r="D1147" s="234" t="s">
        <v>66</v>
      </c>
      <c r="E1147" s="234" t="s">
        <v>480</v>
      </c>
      <c r="F1147" s="234" t="s">
        <v>121</v>
      </c>
      <c r="G1147" s="235">
        <f>G1148</f>
        <v>3052000</v>
      </c>
      <c r="H1147" s="234">
        <v>820120420</v>
      </c>
      <c r="I1147" s="313" t="str">
        <f t="shared" si="114"/>
        <v>0820120420</v>
      </c>
      <c r="J1147" s="30" t="str">
        <f t="shared" si="115"/>
        <v>61111020820120420110</v>
      </c>
    </row>
    <row r="1148" spans="1:10" s="4" customFormat="1" ht="25.5">
      <c r="A1148" s="236" t="s">
        <v>934</v>
      </c>
      <c r="B1148" s="233" t="s">
        <v>67</v>
      </c>
      <c r="C1148" s="234" t="s">
        <v>78</v>
      </c>
      <c r="D1148" s="234" t="s">
        <v>66</v>
      </c>
      <c r="E1148" s="234" t="s">
        <v>480</v>
      </c>
      <c r="F1148" s="234" t="s">
        <v>1071</v>
      </c>
      <c r="G1148" s="235">
        <f>VLOOKUP(J1148,'исх АС БЮДЖЕТ'!$A$10:$H$568,6,0)</f>
        <v>3052000</v>
      </c>
      <c r="H1148" s="234">
        <v>820120420</v>
      </c>
      <c r="I1148" s="313" t="str">
        <f t="shared" si="114"/>
        <v>0820120420</v>
      </c>
      <c r="J1148" s="30" t="str">
        <f t="shared" si="115"/>
        <v>61111020820120420113</v>
      </c>
    </row>
    <row r="1149" spans="1:10" s="3" customFormat="1" ht="25.5">
      <c r="A1149" s="232" t="s">
        <v>108</v>
      </c>
      <c r="B1149" s="233" t="s">
        <v>67</v>
      </c>
      <c r="C1149" s="234" t="s">
        <v>78</v>
      </c>
      <c r="D1149" s="234" t="s">
        <v>66</v>
      </c>
      <c r="E1149" s="234" t="s">
        <v>480</v>
      </c>
      <c r="F1149" s="234" t="s">
        <v>116</v>
      </c>
      <c r="G1149" s="235">
        <f>G1150</f>
        <v>1698000</v>
      </c>
      <c r="H1149" s="234">
        <v>820120420</v>
      </c>
      <c r="I1149" s="313" t="str">
        <f t="shared" si="114"/>
        <v>0820120420</v>
      </c>
      <c r="J1149" s="30" t="str">
        <f t="shared" si="115"/>
        <v>61111020820120420240</v>
      </c>
    </row>
    <row r="1150" spans="1:10" s="4" customFormat="1" ht="25.5">
      <c r="A1150" s="236" t="s">
        <v>973</v>
      </c>
      <c r="B1150" s="233" t="s">
        <v>67</v>
      </c>
      <c r="C1150" s="234" t="s">
        <v>78</v>
      </c>
      <c r="D1150" s="234" t="s">
        <v>66</v>
      </c>
      <c r="E1150" s="234" t="s">
        <v>480</v>
      </c>
      <c r="F1150" s="234" t="s">
        <v>1043</v>
      </c>
      <c r="G1150" s="235">
        <f>VLOOKUP(J1150,'исх АС БЮДЖЕТ'!$A$10:$H$568,6,0)</f>
        <v>1698000</v>
      </c>
      <c r="H1150" s="234">
        <v>820120420</v>
      </c>
      <c r="I1150" s="313" t="str">
        <f t="shared" si="114"/>
        <v>0820120420</v>
      </c>
      <c r="J1150" s="30" t="str">
        <f t="shared" si="115"/>
        <v>61111020820120420244</v>
      </c>
    </row>
    <row r="1151" spans="1:10" s="3" customFormat="1" ht="25.5">
      <c r="A1151" s="252" t="s">
        <v>814</v>
      </c>
      <c r="B1151" s="233" t="s">
        <v>67</v>
      </c>
      <c r="C1151" s="234" t="s">
        <v>78</v>
      </c>
      <c r="D1151" s="234" t="s">
        <v>66</v>
      </c>
      <c r="E1151" s="234" t="s">
        <v>815</v>
      </c>
      <c r="F1151" s="234" t="s">
        <v>58</v>
      </c>
      <c r="G1151" s="235">
        <f>G1152</f>
        <v>15000</v>
      </c>
      <c r="H1151" s="234">
        <v>820200000</v>
      </c>
      <c r="I1151" s="313" t="str">
        <f t="shared" si="114"/>
        <v>0820200000</v>
      </c>
      <c r="J1151" s="30" t="str">
        <f t="shared" si="115"/>
        <v>61111020820200000000</v>
      </c>
    </row>
    <row r="1152" spans="1:10" s="3" customFormat="1">
      <c r="A1152" s="236" t="s">
        <v>885</v>
      </c>
      <c r="B1152" s="233" t="s">
        <v>67</v>
      </c>
      <c r="C1152" s="234" t="s">
        <v>78</v>
      </c>
      <c r="D1152" s="234" t="s">
        <v>66</v>
      </c>
      <c r="E1152" s="234" t="s">
        <v>816</v>
      </c>
      <c r="F1152" s="234" t="s">
        <v>58</v>
      </c>
      <c r="G1152" s="235">
        <f>G1153</f>
        <v>15000</v>
      </c>
      <c r="H1152" s="234">
        <v>820220440</v>
      </c>
      <c r="I1152" s="313" t="str">
        <f t="shared" si="114"/>
        <v>0820220440</v>
      </c>
      <c r="J1152" s="30" t="str">
        <f t="shared" si="115"/>
        <v>61111020820220440000</v>
      </c>
    </row>
    <row r="1153" spans="1:10" s="3" customFormat="1" ht="25.5">
      <c r="A1153" s="232" t="s">
        <v>108</v>
      </c>
      <c r="B1153" s="233" t="s">
        <v>67</v>
      </c>
      <c r="C1153" s="234" t="s">
        <v>78</v>
      </c>
      <c r="D1153" s="234" t="s">
        <v>66</v>
      </c>
      <c r="E1153" s="234" t="s">
        <v>816</v>
      </c>
      <c r="F1153" s="234" t="s">
        <v>116</v>
      </c>
      <c r="G1153" s="235">
        <f>G1154</f>
        <v>15000</v>
      </c>
      <c r="H1153" s="234">
        <v>820220440</v>
      </c>
      <c r="I1153" s="313" t="str">
        <f t="shared" si="114"/>
        <v>0820220440</v>
      </c>
      <c r="J1153" s="30" t="str">
        <f t="shared" si="115"/>
        <v>61111020820220440240</v>
      </c>
    </row>
    <row r="1154" spans="1:10" s="4" customFormat="1" ht="25.5">
      <c r="A1154" s="236" t="s">
        <v>973</v>
      </c>
      <c r="B1154" s="233" t="s">
        <v>67</v>
      </c>
      <c r="C1154" s="234" t="s">
        <v>78</v>
      </c>
      <c r="D1154" s="234" t="s">
        <v>66</v>
      </c>
      <c r="E1154" s="234" t="s">
        <v>816</v>
      </c>
      <c r="F1154" s="234" t="s">
        <v>1043</v>
      </c>
      <c r="G1154" s="235">
        <f>VLOOKUP(J1154,'исх АС БЮДЖЕТ'!$A$10:$H$568,6,0)</f>
        <v>15000</v>
      </c>
      <c r="H1154" s="234">
        <v>820220440</v>
      </c>
      <c r="I1154" s="313" t="str">
        <f t="shared" si="114"/>
        <v>0820220440</v>
      </c>
      <c r="J1154" s="30" t="str">
        <f t="shared" si="115"/>
        <v>61111020820220440244</v>
      </c>
    </row>
    <row r="1155" spans="1:10" s="3" customFormat="1" ht="25.5">
      <c r="A1155" s="252" t="s">
        <v>817</v>
      </c>
      <c r="B1155" s="233" t="s">
        <v>67</v>
      </c>
      <c r="C1155" s="234" t="s">
        <v>78</v>
      </c>
      <c r="D1155" s="234" t="s">
        <v>66</v>
      </c>
      <c r="E1155" s="234" t="s">
        <v>818</v>
      </c>
      <c r="F1155" s="234" t="s">
        <v>58</v>
      </c>
      <c r="G1155" s="235">
        <f t="shared" ref="G1155" si="121">G1156</f>
        <v>75000</v>
      </c>
      <c r="H1155" s="234">
        <v>820300000</v>
      </c>
      <c r="I1155" s="313" t="str">
        <f t="shared" si="114"/>
        <v>0820300000</v>
      </c>
      <c r="J1155" s="30" t="str">
        <f t="shared" si="115"/>
        <v>61111020820300000000</v>
      </c>
    </row>
    <row r="1156" spans="1:10" s="3" customFormat="1" ht="25.5">
      <c r="A1156" s="236" t="s">
        <v>886</v>
      </c>
      <c r="B1156" s="233" t="s">
        <v>67</v>
      </c>
      <c r="C1156" s="234" t="s">
        <v>78</v>
      </c>
      <c r="D1156" s="234" t="s">
        <v>66</v>
      </c>
      <c r="E1156" s="234" t="s">
        <v>908</v>
      </c>
      <c r="F1156" s="234" t="s">
        <v>58</v>
      </c>
      <c r="G1156" s="235">
        <f>G1157</f>
        <v>75000</v>
      </c>
      <c r="H1156" s="234">
        <v>820321060</v>
      </c>
      <c r="I1156" s="313" t="str">
        <f t="shared" si="114"/>
        <v>0820321060</v>
      </c>
      <c r="J1156" s="30" t="str">
        <f t="shared" si="115"/>
        <v>61111020820321060000</v>
      </c>
    </row>
    <row r="1157" spans="1:10" s="3" customFormat="1" ht="25.5">
      <c r="A1157" s="232" t="s">
        <v>108</v>
      </c>
      <c r="B1157" s="233" t="s">
        <v>67</v>
      </c>
      <c r="C1157" s="234" t="s">
        <v>78</v>
      </c>
      <c r="D1157" s="234" t="s">
        <v>66</v>
      </c>
      <c r="E1157" s="234" t="s">
        <v>908</v>
      </c>
      <c r="F1157" s="234" t="s">
        <v>116</v>
      </c>
      <c r="G1157" s="235">
        <f>G1158</f>
        <v>75000</v>
      </c>
      <c r="H1157" s="234">
        <v>820321060</v>
      </c>
      <c r="I1157" s="313" t="str">
        <f t="shared" si="114"/>
        <v>0820321060</v>
      </c>
      <c r="J1157" s="30" t="str">
        <f t="shared" si="115"/>
        <v>61111020820321060240</v>
      </c>
    </row>
    <row r="1158" spans="1:10" s="4" customFormat="1" ht="25.5">
      <c r="A1158" s="236" t="s">
        <v>973</v>
      </c>
      <c r="B1158" s="233" t="s">
        <v>67</v>
      </c>
      <c r="C1158" s="234" t="s">
        <v>78</v>
      </c>
      <c r="D1158" s="234" t="s">
        <v>66</v>
      </c>
      <c r="E1158" s="234" t="s">
        <v>908</v>
      </c>
      <c r="F1158" s="234" t="s">
        <v>1043</v>
      </c>
      <c r="G1158" s="235">
        <f>VLOOKUP(J1158,'исх АС БЮДЖЕТ'!$A$10:$H$568,6,0)</f>
        <v>75000</v>
      </c>
      <c r="H1158" s="234">
        <v>820321060</v>
      </c>
      <c r="I1158" s="313" t="str">
        <f t="shared" si="114"/>
        <v>0820321060</v>
      </c>
      <c r="J1158" s="30" t="str">
        <f t="shared" si="115"/>
        <v>61111020820321060244</v>
      </c>
    </row>
    <row r="1159" spans="1:10" s="3" customFormat="1">
      <c r="A1159" s="228" t="s">
        <v>81</v>
      </c>
      <c r="B1159" s="229" t="s">
        <v>67</v>
      </c>
      <c r="C1159" s="230" t="s">
        <v>78</v>
      </c>
      <c r="D1159" s="230" t="s">
        <v>53</v>
      </c>
      <c r="E1159" s="230" t="s">
        <v>196</v>
      </c>
      <c r="F1159" s="230" t="s">
        <v>58</v>
      </c>
      <c r="G1159" s="231">
        <f>G1160</f>
        <v>21605000</v>
      </c>
      <c r="H1159" s="230">
        <v>0</v>
      </c>
      <c r="I1159" s="313" t="str">
        <f t="shared" si="114"/>
        <v>0000000000</v>
      </c>
      <c r="J1159" s="30" t="str">
        <f t="shared" si="115"/>
        <v>61111030000000000000</v>
      </c>
    </row>
    <row r="1160" spans="1:10" s="3" customFormat="1" ht="25.5">
      <c r="A1160" s="232" t="s">
        <v>740</v>
      </c>
      <c r="B1160" s="233" t="s">
        <v>67</v>
      </c>
      <c r="C1160" s="234" t="s">
        <v>78</v>
      </c>
      <c r="D1160" s="234" t="s">
        <v>53</v>
      </c>
      <c r="E1160" s="234" t="s">
        <v>449</v>
      </c>
      <c r="F1160" s="234" t="s">
        <v>58</v>
      </c>
      <c r="G1160" s="235">
        <f t="shared" ref="G1160:G1166" si="122">G1161</f>
        <v>21605000</v>
      </c>
      <c r="H1160" s="234">
        <v>800000000</v>
      </c>
      <c r="I1160" s="313" t="str">
        <f t="shared" si="114"/>
        <v>0800000000</v>
      </c>
      <c r="J1160" s="30" t="str">
        <f t="shared" si="115"/>
        <v>61111030800000000000</v>
      </c>
    </row>
    <row r="1161" spans="1:10" s="3" customFormat="1" ht="25.5">
      <c r="A1161" s="232" t="s">
        <v>883</v>
      </c>
      <c r="B1161" s="233" t="s">
        <v>67</v>
      </c>
      <c r="C1161" s="234" t="s">
        <v>78</v>
      </c>
      <c r="D1161" s="234" t="s">
        <v>53</v>
      </c>
      <c r="E1161" s="234" t="s">
        <v>478</v>
      </c>
      <c r="F1161" s="234" t="s">
        <v>58</v>
      </c>
      <c r="G1161" s="235">
        <f>G1162</f>
        <v>21605000</v>
      </c>
      <c r="H1161" s="234">
        <v>820000000</v>
      </c>
      <c r="I1161" s="313" t="str">
        <f t="shared" si="114"/>
        <v>0820000000</v>
      </c>
      <c r="J1161" s="30" t="str">
        <f t="shared" si="115"/>
        <v>61111030820000000000</v>
      </c>
    </row>
    <row r="1162" spans="1:10" s="3" customFormat="1" ht="38.25">
      <c r="A1162" s="232" t="s">
        <v>925</v>
      </c>
      <c r="B1162" s="233" t="s">
        <v>67</v>
      </c>
      <c r="C1162" s="234" t="s">
        <v>78</v>
      </c>
      <c r="D1162" s="234" t="s">
        <v>53</v>
      </c>
      <c r="E1162" s="234" t="s">
        <v>613</v>
      </c>
      <c r="F1162" s="234" t="s">
        <v>58</v>
      </c>
      <c r="G1162" s="235">
        <f>G1163+G1166</f>
        <v>21605000</v>
      </c>
      <c r="H1162" s="234">
        <v>820400000</v>
      </c>
      <c r="I1162" s="313" t="str">
        <f t="shared" si="114"/>
        <v>0820400000</v>
      </c>
      <c r="J1162" s="30" t="str">
        <f t="shared" si="115"/>
        <v>61111030820400000000</v>
      </c>
    </row>
    <row r="1163" spans="1:10" s="3" customFormat="1" ht="51">
      <c r="A1163" s="232" t="s">
        <v>904</v>
      </c>
      <c r="B1163" s="233" t="s">
        <v>67</v>
      </c>
      <c r="C1163" s="234" t="s">
        <v>78</v>
      </c>
      <c r="D1163" s="234" t="s">
        <v>53</v>
      </c>
      <c r="E1163" s="234" t="s">
        <v>614</v>
      </c>
      <c r="F1163" s="234" t="s">
        <v>58</v>
      </c>
      <c r="G1163" s="235">
        <f t="shared" si="122"/>
        <v>1105000</v>
      </c>
      <c r="H1163" s="234">
        <v>820460120</v>
      </c>
      <c r="I1163" s="313" t="str">
        <f t="shared" si="114"/>
        <v>0820460120</v>
      </c>
      <c r="J1163" s="30" t="str">
        <f t="shared" si="115"/>
        <v>61111030820460120000</v>
      </c>
    </row>
    <row r="1164" spans="1:10" s="3" customFormat="1" ht="25.5">
      <c r="A1164" s="232" t="s">
        <v>111</v>
      </c>
      <c r="B1164" s="233" t="s">
        <v>67</v>
      </c>
      <c r="C1164" s="234" t="s">
        <v>78</v>
      </c>
      <c r="D1164" s="234" t="s">
        <v>53</v>
      </c>
      <c r="E1164" s="234" t="s">
        <v>614</v>
      </c>
      <c r="F1164" s="234" t="s">
        <v>104</v>
      </c>
      <c r="G1164" s="235">
        <f>G1165</f>
        <v>1105000</v>
      </c>
      <c r="H1164" s="234">
        <v>820460120</v>
      </c>
      <c r="I1164" s="313" t="str">
        <f t="shared" si="114"/>
        <v>0820460120</v>
      </c>
      <c r="J1164" s="30" t="str">
        <f t="shared" si="115"/>
        <v>61111030820460120630</v>
      </c>
    </row>
    <row r="1165" spans="1:10" s="94" customFormat="1" ht="63.75">
      <c r="A1165" s="236" t="s">
        <v>1048</v>
      </c>
      <c r="B1165" s="233" t="s">
        <v>67</v>
      </c>
      <c r="C1165" s="234" t="s">
        <v>78</v>
      </c>
      <c r="D1165" s="234" t="s">
        <v>53</v>
      </c>
      <c r="E1165" s="234" t="s">
        <v>614</v>
      </c>
      <c r="F1165" s="234" t="s">
        <v>1055</v>
      </c>
      <c r="G1165" s="235">
        <f>VLOOKUP(J1165,'исх АС БЮДЖЕТ'!$A$10:$H$568,6,0)</f>
        <v>1105000</v>
      </c>
      <c r="H1165" s="234">
        <v>820460120</v>
      </c>
      <c r="I1165" s="313" t="str">
        <f t="shared" si="114"/>
        <v>0820460120</v>
      </c>
      <c r="J1165" s="30" t="str">
        <f t="shared" si="115"/>
        <v>61111030820460120632</v>
      </c>
    </row>
    <row r="1166" spans="1:10" s="3" customFormat="1" ht="38.25">
      <c r="A1166" s="232" t="s">
        <v>927</v>
      </c>
      <c r="B1166" s="233" t="s">
        <v>67</v>
      </c>
      <c r="C1166" s="234" t="s">
        <v>78</v>
      </c>
      <c r="D1166" s="234" t="s">
        <v>53</v>
      </c>
      <c r="E1166" s="234" t="s">
        <v>926</v>
      </c>
      <c r="F1166" s="234" t="s">
        <v>58</v>
      </c>
      <c r="G1166" s="235">
        <f t="shared" si="122"/>
        <v>20500000</v>
      </c>
      <c r="H1166" s="234">
        <v>820460150</v>
      </c>
      <c r="I1166" s="313" t="str">
        <f t="shared" si="114"/>
        <v>0820460150</v>
      </c>
      <c r="J1166" s="30" t="str">
        <f t="shared" si="115"/>
        <v>61111030820460150000</v>
      </c>
    </row>
    <row r="1167" spans="1:10" s="3" customFormat="1" ht="25.5">
      <c r="A1167" s="232" t="s">
        <v>111</v>
      </c>
      <c r="B1167" s="233" t="s">
        <v>67</v>
      </c>
      <c r="C1167" s="234" t="s">
        <v>78</v>
      </c>
      <c r="D1167" s="234" t="s">
        <v>53</v>
      </c>
      <c r="E1167" s="234" t="s">
        <v>926</v>
      </c>
      <c r="F1167" s="234" t="s">
        <v>104</v>
      </c>
      <c r="G1167" s="235">
        <f>G1168</f>
        <v>20500000</v>
      </c>
      <c r="H1167" s="234">
        <v>820460150</v>
      </c>
      <c r="I1167" s="313" t="str">
        <f t="shared" si="114"/>
        <v>0820460150</v>
      </c>
      <c r="J1167" s="30" t="str">
        <f t="shared" si="115"/>
        <v>61111030820460150630</v>
      </c>
    </row>
    <row r="1168" spans="1:10" s="4" customFormat="1" ht="63.75">
      <c r="A1168" s="236" t="s">
        <v>1048</v>
      </c>
      <c r="B1168" s="233" t="s">
        <v>67</v>
      </c>
      <c r="C1168" s="234" t="s">
        <v>78</v>
      </c>
      <c r="D1168" s="234" t="s">
        <v>53</v>
      </c>
      <c r="E1168" s="234" t="s">
        <v>926</v>
      </c>
      <c r="F1168" s="234" t="s">
        <v>1055</v>
      </c>
      <c r="G1168" s="235">
        <f>VLOOKUP(J1168,'исх АС БЮДЖЕТ'!$A$10:$H$568,6,0)</f>
        <v>20500000</v>
      </c>
      <c r="H1168" s="234">
        <v>820460150</v>
      </c>
      <c r="I1168" s="313" t="str">
        <f t="shared" si="114"/>
        <v>0820460150</v>
      </c>
      <c r="J1168" s="30" t="str">
        <f t="shared" si="115"/>
        <v>61111030820460150632</v>
      </c>
    </row>
    <row r="1169" spans="1:10" s="3" customFormat="1">
      <c r="A1169" s="228" t="s">
        <v>82</v>
      </c>
      <c r="B1169" s="229" t="s">
        <v>67</v>
      </c>
      <c r="C1169" s="230" t="s">
        <v>78</v>
      </c>
      <c r="D1169" s="230" t="s">
        <v>8</v>
      </c>
      <c r="E1169" s="230" t="s">
        <v>196</v>
      </c>
      <c r="F1169" s="230" t="s">
        <v>58</v>
      </c>
      <c r="G1169" s="231">
        <f t="shared" ref="G1169:G1170" si="123">G1170</f>
        <v>9792230</v>
      </c>
      <c r="H1169" s="230">
        <v>0</v>
      </c>
      <c r="I1169" s="313" t="str">
        <f t="shared" si="114"/>
        <v>0000000000</v>
      </c>
      <c r="J1169" s="30" t="str">
        <f t="shared" si="115"/>
        <v>61111050000000000000</v>
      </c>
    </row>
    <row r="1170" spans="1:10" s="3" customFormat="1" ht="25.5">
      <c r="A1170" s="232" t="s">
        <v>698</v>
      </c>
      <c r="B1170" s="233" t="s">
        <v>67</v>
      </c>
      <c r="C1170" s="234" t="s">
        <v>78</v>
      </c>
      <c r="D1170" s="234" t="s">
        <v>8</v>
      </c>
      <c r="E1170" s="234" t="s">
        <v>481</v>
      </c>
      <c r="F1170" s="234" t="s">
        <v>58</v>
      </c>
      <c r="G1170" s="235">
        <f t="shared" si="123"/>
        <v>9792230</v>
      </c>
      <c r="H1170" s="234">
        <v>7800000000</v>
      </c>
      <c r="I1170" s="313" t="str">
        <f t="shared" si="114"/>
        <v>7800000000</v>
      </c>
      <c r="J1170" s="30" t="str">
        <f t="shared" si="115"/>
        <v>61111057800000000000</v>
      </c>
    </row>
    <row r="1171" spans="1:10" s="3" customFormat="1" ht="25.5">
      <c r="A1171" s="232" t="s">
        <v>699</v>
      </c>
      <c r="B1171" s="233" t="s">
        <v>67</v>
      </c>
      <c r="C1171" s="234" t="s">
        <v>78</v>
      </c>
      <c r="D1171" s="234" t="s">
        <v>8</v>
      </c>
      <c r="E1171" s="234" t="s">
        <v>482</v>
      </c>
      <c r="F1171" s="234" t="s">
        <v>58</v>
      </c>
      <c r="G1171" s="235">
        <f>G1172+G1180</f>
        <v>9792230</v>
      </c>
      <c r="H1171" s="234">
        <v>7810000000</v>
      </c>
      <c r="I1171" s="313" t="str">
        <f t="shared" si="114"/>
        <v>7810000000</v>
      </c>
      <c r="J1171" s="30" t="str">
        <f t="shared" si="115"/>
        <v>61111057810000000000</v>
      </c>
    </row>
    <row r="1172" spans="1:10" s="3" customFormat="1" ht="25.5">
      <c r="A1172" s="232" t="s">
        <v>114</v>
      </c>
      <c r="B1172" s="233" t="s">
        <v>67</v>
      </c>
      <c r="C1172" s="234" t="s">
        <v>78</v>
      </c>
      <c r="D1172" s="234" t="s">
        <v>8</v>
      </c>
      <c r="E1172" s="234" t="s">
        <v>483</v>
      </c>
      <c r="F1172" s="234" t="s">
        <v>58</v>
      </c>
      <c r="G1172" s="235">
        <f>G1173+G1176+G1178</f>
        <v>1028750</v>
      </c>
      <c r="H1172" s="234">
        <v>7810010010</v>
      </c>
      <c r="I1172" s="313" t="str">
        <f t="shared" si="114"/>
        <v>7810010010</v>
      </c>
      <c r="J1172" s="30" t="str">
        <f t="shared" si="115"/>
        <v>61111057810010010000</v>
      </c>
    </row>
    <row r="1173" spans="1:10" s="3" customFormat="1">
      <c r="A1173" s="236" t="s">
        <v>107</v>
      </c>
      <c r="B1173" s="233" t="s">
        <v>67</v>
      </c>
      <c r="C1173" s="234" t="s">
        <v>78</v>
      </c>
      <c r="D1173" s="234" t="s">
        <v>8</v>
      </c>
      <c r="E1173" s="234" t="s">
        <v>483</v>
      </c>
      <c r="F1173" s="234" t="s">
        <v>115</v>
      </c>
      <c r="G1173" s="235">
        <f>SUM(G1174:G1175)</f>
        <v>235450</v>
      </c>
      <c r="H1173" s="234">
        <v>7810010010</v>
      </c>
      <c r="I1173" s="313" t="str">
        <f t="shared" si="114"/>
        <v>7810010010</v>
      </c>
      <c r="J1173" s="30" t="str">
        <f t="shared" si="115"/>
        <v>61111057810010010120</v>
      </c>
    </row>
    <row r="1174" spans="1:10" s="3" customFormat="1" ht="25.5">
      <c r="A1174" s="232" t="s">
        <v>937</v>
      </c>
      <c r="B1174" s="233" t="s">
        <v>67</v>
      </c>
      <c r="C1174" s="234" t="s">
        <v>78</v>
      </c>
      <c r="D1174" s="234" t="s">
        <v>8</v>
      </c>
      <c r="E1174" s="234" t="s">
        <v>483</v>
      </c>
      <c r="F1174" s="234" t="s">
        <v>1059</v>
      </c>
      <c r="G1174" s="235">
        <f>VLOOKUP(J1174,'исх АС БЮДЖЕТ'!$A$10:$H$568,6,0)</f>
        <v>180840</v>
      </c>
      <c r="H1174" s="234">
        <v>7810010010</v>
      </c>
      <c r="I1174" s="313" t="str">
        <f t="shared" si="114"/>
        <v>7810010010</v>
      </c>
      <c r="J1174" s="30" t="str">
        <f t="shared" si="115"/>
        <v>61111057810010010122</v>
      </c>
    </row>
    <row r="1175" spans="1:10" s="3" customFormat="1" ht="38.25">
      <c r="A1175" s="232" t="s">
        <v>939</v>
      </c>
      <c r="B1175" s="233" t="s">
        <v>67</v>
      </c>
      <c r="C1175" s="234" t="s">
        <v>78</v>
      </c>
      <c r="D1175" s="234" t="s">
        <v>8</v>
      </c>
      <c r="E1175" s="234" t="s">
        <v>483</v>
      </c>
      <c r="F1175" s="234" t="s">
        <v>1060</v>
      </c>
      <c r="G1175" s="235">
        <f>VLOOKUP(J1175,'исх АС БЮДЖЕТ'!$A$10:$H$568,6,0)</f>
        <v>54610</v>
      </c>
      <c r="H1175" s="234">
        <v>7810010010</v>
      </c>
      <c r="I1175" s="313" t="str">
        <f t="shared" si="114"/>
        <v>7810010010</v>
      </c>
      <c r="J1175" s="30" t="str">
        <f t="shared" si="115"/>
        <v>61111057810010010129</v>
      </c>
    </row>
    <row r="1176" spans="1:10" s="3" customFormat="1" ht="25.5">
      <c r="A1176" s="232" t="s">
        <v>108</v>
      </c>
      <c r="B1176" s="233" t="s">
        <v>67</v>
      </c>
      <c r="C1176" s="234" t="s">
        <v>78</v>
      </c>
      <c r="D1176" s="234" t="s">
        <v>8</v>
      </c>
      <c r="E1176" s="234" t="s">
        <v>483</v>
      </c>
      <c r="F1176" s="234" t="s">
        <v>116</v>
      </c>
      <c r="G1176" s="235">
        <f>G1177</f>
        <v>786300</v>
      </c>
      <c r="H1176" s="234">
        <v>7810010010</v>
      </c>
      <c r="I1176" s="313" t="str">
        <f t="shared" si="114"/>
        <v>7810010010</v>
      </c>
      <c r="J1176" s="30" t="str">
        <f t="shared" si="115"/>
        <v>61111057810010010240</v>
      </c>
    </row>
    <row r="1177" spans="1:10" s="94" customFormat="1" ht="25.5">
      <c r="A1177" s="236" t="s">
        <v>973</v>
      </c>
      <c r="B1177" s="233" t="s">
        <v>67</v>
      </c>
      <c r="C1177" s="234" t="s">
        <v>78</v>
      </c>
      <c r="D1177" s="234" t="s">
        <v>8</v>
      </c>
      <c r="E1177" s="234" t="s">
        <v>483</v>
      </c>
      <c r="F1177" s="234" t="s">
        <v>1043</v>
      </c>
      <c r="G1177" s="235">
        <f>VLOOKUP(J1177,'исх АС БЮДЖЕТ'!$A$10:$H$568,6,0)</f>
        <v>786300</v>
      </c>
      <c r="H1177" s="234">
        <v>7810010010</v>
      </c>
      <c r="I1177" s="313" t="str">
        <f t="shared" si="114"/>
        <v>7810010010</v>
      </c>
      <c r="J1177" s="30" t="str">
        <f t="shared" si="115"/>
        <v>61111057810010010244</v>
      </c>
    </row>
    <row r="1178" spans="1:10" s="3" customFormat="1">
      <c r="A1178" s="232" t="s">
        <v>97</v>
      </c>
      <c r="B1178" s="233" t="s">
        <v>67</v>
      </c>
      <c r="C1178" s="234" t="s">
        <v>78</v>
      </c>
      <c r="D1178" s="234" t="s">
        <v>8</v>
      </c>
      <c r="E1178" s="234" t="s">
        <v>483</v>
      </c>
      <c r="F1178" s="234" t="s">
        <v>118</v>
      </c>
      <c r="G1178" s="235">
        <f>SUM(G1179:G1179)</f>
        <v>7000</v>
      </c>
      <c r="H1178" s="234">
        <v>7810010010</v>
      </c>
      <c r="I1178" s="313" t="str">
        <f t="shared" si="114"/>
        <v>7810010010</v>
      </c>
      <c r="J1178" s="30" t="str">
        <f t="shared" si="115"/>
        <v>61111057810010010850</v>
      </c>
    </row>
    <row r="1179" spans="1:10" s="3" customFormat="1">
      <c r="A1179" s="232" t="s">
        <v>1036</v>
      </c>
      <c r="B1179" s="233" t="s">
        <v>67</v>
      </c>
      <c r="C1179" s="234" t="s">
        <v>78</v>
      </c>
      <c r="D1179" s="234" t="s">
        <v>8</v>
      </c>
      <c r="E1179" s="234" t="s">
        <v>483</v>
      </c>
      <c r="F1179" s="234" t="s">
        <v>1061</v>
      </c>
      <c r="G1179" s="235">
        <f>VLOOKUP(J1179,'исх АС БЮДЖЕТ'!$A$10:$H$568,6,0)</f>
        <v>7000</v>
      </c>
      <c r="H1179" s="234">
        <v>7810010010</v>
      </c>
      <c r="I1179" s="313" t="str">
        <f t="shared" ref="I1179:I1242" si="124">TEXT(H1179,"0000000000")</f>
        <v>7810010010</v>
      </c>
      <c r="J1179" s="30" t="str">
        <f t="shared" ref="J1179:J1242" si="125">CONCATENATE(B1179,C1179,D1179,I1179,F1179)</f>
        <v>61111057810010010851</v>
      </c>
    </row>
    <row r="1180" spans="1:10" s="3" customFormat="1" ht="25.5">
      <c r="A1180" s="232" t="s">
        <v>126</v>
      </c>
      <c r="B1180" s="233" t="s">
        <v>67</v>
      </c>
      <c r="C1180" s="234" t="s">
        <v>78</v>
      </c>
      <c r="D1180" s="234" t="s">
        <v>8</v>
      </c>
      <c r="E1180" s="234" t="s">
        <v>484</v>
      </c>
      <c r="F1180" s="234" t="s">
        <v>58</v>
      </c>
      <c r="G1180" s="235">
        <f>G1181</f>
        <v>8763480</v>
      </c>
      <c r="H1180" s="234">
        <v>7810010020</v>
      </c>
      <c r="I1180" s="313" t="str">
        <f t="shared" si="124"/>
        <v>7810010020</v>
      </c>
      <c r="J1180" s="30" t="str">
        <f t="shared" si="125"/>
        <v>61111057810010020000</v>
      </c>
    </row>
    <row r="1181" spans="1:10" s="3" customFormat="1">
      <c r="A1181" s="232" t="s">
        <v>107</v>
      </c>
      <c r="B1181" s="233" t="s">
        <v>67</v>
      </c>
      <c r="C1181" s="234" t="s">
        <v>78</v>
      </c>
      <c r="D1181" s="234" t="s">
        <v>8</v>
      </c>
      <c r="E1181" s="234" t="s">
        <v>484</v>
      </c>
      <c r="F1181" s="234" t="s">
        <v>115</v>
      </c>
      <c r="G1181" s="235">
        <f>SUM(G1182:G1183)</f>
        <v>8763480</v>
      </c>
      <c r="H1181" s="234">
        <v>7810010020</v>
      </c>
      <c r="I1181" s="313" t="str">
        <f t="shared" si="124"/>
        <v>7810010020</v>
      </c>
      <c r="J1181" s="30" t="str">
        <f t="shared" si="125"/>
        <v>61111057810010020120</v>
      </c>
    </row>
    <row r="1182" spans="1:10" s="3" customFormat="1">
      <c r="A1182" s="232" t="s">
        <v>936</v>
      </c>
      <c r="B1182" s="233" t="s">
        <v>67</v>
      </c>
      <c r="C1182" s="234" t="s">
        <v>78</v>
      </c>
      <c r="D1182" s="234" t="s">
        <v>8</v>
      </c>
      <c r="E1182" s="234" t="s">
        <v>484</v>
      </c>
      <c r="F1182" s="234" t="s">
        <v>1063</v>
      </c>
      <c r="G1182" s="235">
        <f>VLOOKUP(J1182,'исх АС БЮДЖЕТ'!$A$10:$H$568,6,0)</f>
        <v>6730780</v>
      </c>
      <c r="H1182" s="234">
        <v>7810010020</v>
      </c>
      <c r="I1182" s="313" t="str">
        <f t="shared" si="124"/>
        <v>7810010020</v>
      </c>
      <c r="J1182" s="30" t="str">
        <f t="shared" si="125"/>
        <v>61111057810010020121</v>
      </c>
    </row>
    <row r="1183" spans="1:10" s="3" customFormat="1" ht="38.25">
      <c r="A1183" s="232" t="s">
        <v>939</v>
      </c>
      <c r="B1183" s="233" t="s">
        <v>67</v>
      </c>
      <c r="C1183" s="234" t="s">
        <v>78</v>
      </c>
      <c r="D1183" s="234" t="s">
        <v>8</v>
      </c>
      <c r="E1183" s="234" t="s">
        <v>484</v>
      </c>
      <c r="F1183" s="234" t="s">
        <v>1060</v>
      </c>
      <c r="G1183" s="235">
        <f>VLOOKUP(J1183,'исх АС БЮДЖЕТ'!$A$10:$H$568,6,0)</f>
        <v>2032700</v>
      </c>
      <c r="H1183" s="234">
        <v>7810010020</v>
      </c>
      <c r="I1183" s="313" t="str">
        <f t="shared" si="124"/>
        <v>7810010020</v>
      </c>
      <c r="J1183" s="30" t="str">
        <f t="shared" si="125"/>
        <v>61111057810010020129</v>
      </c>
    </row>
    <row r="1184" spans="1:10" s="71" customFormat="1">
      <c r="A1184" s="257"/>
      <c r="B1184" s="239"/>
      <c r="C1184" s="240"/>
      <c r="D1184" s="240"/>
      <c r="E1184" s="240"/>
      <c r="F1184" s="240"/>
      <c r="G1184" s="235"/>
      <c r="H1184" s="240"/>
      <c r="I1184" s="313" t="str">
        <f t="shared" si="124"/>
        <v>0000000000</v>
      </c>
      <c r="J1184" s="30" t="str">
        <f t="shared" si="125"/>
        <v>0000000000</v>
      </c>
    </row>
    <row r="1185" spans="1:10" s="3" customFormat="1">
      <c r="A1185" s="219" t="s">
        <v>4</v>
      </c>
      <c r="B1185" s="220" t="s">
        <v>5</v>
      </c>
      <c r="C1185" s="221" t="s">
        <v>51</v>
      </c>
      <c r="D1185" s="221" t="s">
        <v>51</v>
      </c>
      <c r="E1185" s="221" t="s">
        <v>196</v>
      </c>
      <c r="F1185" s="221" t="s">
        <v>58</v>
      </c>
      <c r="G1185" s="222">
        <f>G1186+G1229+G1243+G1270</f>
        <v>120166541.88</v>
      </c>
      <c r="H1185" s="221">
        <v>0</v>
      </c>
      <c r="I1185" s="313" t="str">
        <f t="shared" si="124"/>
        <v>0000000000</v>
      </c>
      <c r="J1185" s="30" t="str">
        <f t="shared" si="125"/>
        <v>61700000000000000000</v>
      </c>
    </row>
    <row r="1186" spans="1:10" s="3" customFormat="1">
      <c r="A1186" s="224" t="s">
        <v>64</v>
      </c>
      <c r="B1186" s="225" t="s">
        <v>5</v>
      </c>
      <c r="C1186" s="226" t="s">
        <v>65</v>
      </c>
      <c r="D1186" s="226" t="s">
        <v>51</v>
      </c>
      <c r="E1186" s="226" t="s">
        <v>196</v>
      </c>
      <c r="F1186" s="226" t="s">
        <v>58</v>
      </c>
      <c r="G1186" s="227">
        <f>G1187+G1214</f>
        <v>32698800</v>
      </c>
      <c r="H1186" s="226">
        <v>0</v>
      </c>
      <c r="I1186" s="313" t="str">
        <f t="shared" si="124"/>
        <v>0000000000</v>
      </c>
      <c r="J1186" s="30" t="str">
        <f t="shared" si="125"/>
        <v>61701000000000000000</v>
      </c>
    </row>
    <row r="1187" spans="1:10" s="3" customFormat="1" ht="38.25">
      <c r="A1187" s="228" t="s">
        <v>31</v>
      </c>
      <c r="B1187" s="229" t="s">
        <v>5</v>
      </c>
      <c r="C1187" s="230" t="s">
        <v>65</v>
      </c>
      <c r="D1187" s="230" t="s">
        <v>37</v>
      </c>
      <c r="E1187" s="230" t="s">
        <v>196</v>
      </c>
      <c r="F1187" s="230" t="s">
        <v>58</v>
      </c>
      <c r="G1187" s="231">
        <f t="shared" ref="G1187:G1188" si="126">G1188</f>
        <v>32246585.559999999</v>
      </c>
      <c r="H1187" s="230">
        <v>0</v>
      </c>
      <c r="I1187" s="313" t="str">
        <f t="shared" si="124"/>
        <v>0000000000</v>
      </c>
      <c r="J1187" s="30" t="str">
        <f t="shared" si="125"/>
        <v>61701040000000000000</v>
      </c>
    </row>
    <row r="1188" spans="1:10" s="3" customFormat="1">
      <c r="A1188" s="252" t="s">
        <v>146</v>
      </c>
      <c r="B1188" s="241" t="s">
        <v>5</v>
      </c>
      <c r="C1188" s="242" t="s">
        <v>65</v>
      </c>
      <c r="D1188" s="242" t="s">
        <v>37</v>
      </c>
      <c r="E1188" s="242" t="s">
        <v>485</v>
      </c>
      <c r="F1188" s="242" t="s">
        <v>58</v>
      </c>
      <c r="G1188" s="243">
        <f t="shared" si="126"/>
        <v>32246585.559999999</v>
      </c>
      <c r="H1188" s="242">
        <v>8000000000</v>
      </c>
      <c r="I1188" s="313" t="str">
        <f t="shared" si="124"/>
        <v>8000000000</v>
      </c>
      <c r="J1188" s="30" t="str">
        <f t="shared" si="125"/>
        <v>61701048000000000000</v>
      </c>
    </row>
    <row r="1189" spans="1:10" s="3" customFormat="1" ht="25.5">
      <c r="A1189" s="252" t="s">
        <v>147</v>
      </c>
      <c r="B1189" s="241" t="s">
        <v>5</v>
      </c>
      <c r="C1189" s="242" t="s">
        <v>65</v>
      </c>
      <c r="D1189" s="242" t="s">
        <v>37</v>
      </c>
      <c r="E1189" s="242" t="s">
        <v>486</v>
      </c>
      <c r="F1189" s="242" t="s">
        <v>58</v>
      </c>
      <c r="G1189" s="243">
        <f>G1190+G1200+G1204+G1211</f>
        <v>32246585.559999999</v>
      </c>
      <c r="H1189" s="242">
        <v>8010000000</v>
      </c>
      <c r="I1189" s="313" t="str">
        <f t="shared" si="124"/>
        <v>8010000000</v>
      </c>
      <c r="J1189" s="30" t="str">
        <f t="shared" si="125"/>
        <v>61701048010000000000</v>
      </c>
    </row>
    <row r="1190" spans="1:10" s="3" customFormat="1" ht="25.5">
      <c r="A1190" s="232" t="s">
        <v>114</v>
      </c>
      <c r="B1190" s="241" t="s">
        <v>5</v>
      </c>
      <c r="C1190" s="242" t="s">
        <v>65</v>
      </c>
      <c r="D1190" s="242" t="s">
        <v>37</v>
      </c>
      <c r="E1190" s="242" t="s">
        <v>487</v>
      </c>
      <c r="F1190" s="242" t="s">
        <v>58</v>
      </c>
      <c r="G1190" s="243">
        <f>G1191+G1194+G1196</f>
        <v>3523330</v>
      </c>
      <c r="H1190" s="242">
        <v>8010010010</v>
      </c>
      <c r="I1190" s="313" t="str">
        <f t="shared" si="124"/>
        <v>8010010010</v>
      </c>
      <c r="J1190" s="30" t="str">
        <f t="shared" si="125"/>
        <v>61701048010010010000</v>
      </c>
    </row>
    <row r="1191" spans="1:10" s="3" customFormat="1">
      <c r="A1191" s="236" t="s">
        <v>107</v>
      </c>
      <c r="B1191" s="241" t="s">
        <v>5</v>
      </c>
      <c r="C1191" s="242" t="s">
        <v>65</v>
      </c>
      <c r="D1191" s="242" t="s">
        <v>37</v>
      </c>
      <c r="E1191" s="242" t="s">
        <v>487</v>
      </c>
      <c r="F1191" s="242" t="s">
        <v>115</v>
      </c>
      <c r="G1191" s="243">
        <f>SUM(G1192:G1193)</f>
        <v>620460</v>
      </c>
      <c r="H1191" s="242">
        <v>8010010010</v>
      </c>
      <c r="I1191" s="313" t="str">
        <f t="shared" si="124"/>
        <v>8010010010</v>
      </c>
      <c r="J1191" s="30" t="str">
        <f t="shared" si="125"/>
        <v>61701048010010010120</v>
      </c>
    </row>
    <row r="1192" spans="1:10" s="71" customFormat="1" ht="25.5">
      <c r="A1192" s="232" t="s">
        <v>937</v>
      </c>
      <c r="B1192" s="233" t="s">
        <v>5</v>
      </c>
      <c r="C1192" s="234" t="s">
        <v>65</v>
      </c>
      <c r="D1192" s="234" t="s">
        <v>37</v>
      </c>
      <c r="E1192" s="234" t="s">
        <v>487</v>
      </c>
      <c r="F1192" s="234" t="s">
        <v>1059</v>
      </c>
      <c r="G1192" s="235">
        <f>VLOOKUP(J1192,'исх АС БЮДЖЕТ'!$A$10:$H$568,6,0)</f>
        <v>476560</v>
      </c>
      <c r="H1192" s="234">
        <v>8010010010</v>
      </c>
      <c r="I1192" s="313" t="str">
        <f t="shared" si="124"/>
        <v>8010010010</v>
      </c>
      <c r="J1192" s="30" t="str">
        <f t="shared" si="125"/>
        <v>61701048010010010122</v>
      </c>
    </row>
    <row r="1193" spans="1:10" s="71" customFormat="1" ht="38.25">
      <c r="A1193" s="232" t="s">
        <v>939</v>
      </c>
      <c r="B1193" s="233" t="s">
        <v>5</v>
      </c>
      <c r="C1193" s="234" t="s">
        <v>65</v>
      </c>
      <c r="D1193" s="234" t="s">
        <v>37</v>
      </c>
      <c r="E1193" s="234" t="s">
        <v>487</v>
      </c>
      <c r="F1193" s="234" t="s">
        <v>1060</v>
      </c>
      <c r="G1193" s="235">
        <f>VLOOKUP(J1193,'исх АС БЮДЖЕТ'!$A$10:$H$568,6,0)</f>
        <v>143900</v>
      </c>
      <c r="H1193" s="234">
        <v>8010010010</v>
      </c>
      <c r="I1193" s="313" t="str">
        <f t="shared" si="124"/>
        <v>8010010010</v>
      </c>
      <c r="J1193" s="30" t="str">
        <f t="shared" si="125"/>
        <v>61701048010010010129</v>
      </c>
    </row>
    <row r="1194" spans="1:10" s="3" customFormat="1" ht="25.5">
      <c r="A1194" s="232" t="s">
        <v>108</v>
      </c>
      <c r="B1194" s="241" t="s">
        <v>5</v>
      </c>
      <c r="C1194" s="242" t="s">
        <v>65</v>
      </c>
      <c r="D1194" s="242" t="s">
        <v>37</v>
      </c>
      <c r="E1194" s="242" t="s">
        <v>487</v>
      </c>
      <c r="F1194" s="242" t="s">
        <v>116</v>
      </c>
      <c r="G1194" s="243">
        <f>G1195</f>
        <v>2805870</v>
      </c>
      <c r="H1194" s="242">
        <v>8010010010</v>
      </c>
      <c r="I1194" s="313" t="str">
        <f t="shared" si="124"/>
        <v>8010010010</v>
      </c>
      <c r="J1194" s="30" t="str">
        <f t="shared" si="125"/>
        <v>61701048010010010240</v>
      </c>
    </row>
    <row r="1195" spans="1:10" s="4" customFormat="1" ht="25.5">
      <c r="A1195" s="236" t="s">
        <v>973</v>
      </c>
      <c r="B1195" s="241" t="s">
        <v>5</v>
      </c>
      <c r="C1195" s="242" t="s">
        <v>65</v>
      </c>
      <c r="D1195" s="242" t="s">
        <v>37</v>
      </c>
      <c r="E1195" s="242" t="s">
        <v>487</v>
      </c>
      <c r="F1195" s="242" t="s">
        <v>1043</v>
      </c>
      <c r="G1195" s="235">
        <f>VLOOKUP(J1195,'исх АС БЮДЖЕТ'!$A$10:$H$568,6,0)</f>
        <v>2805870</v>
      </c>
      <c r="H1195" s="242">
        <v>8010010010</v>
      </c>
      <c r="I1195" s="313" t="str">
        <f t="shared" si="124"/>
        <v>8010010010</v>
      </c>
      <c r="J1195" s="30" t="str">
        <f t="shared" si="125"/>
        <v>61701048010010010244</v>
      </c>
    </row>
    <row r="1196" spans="1:10" s="3" customFormat="1">
      <c r="A1196" s="232" t="s">
        <v>97</v>
      </c>
      <c r="B1196" s="233" t="s">
        <v>5</v>
      </c>
      <c r="C1196" s="234" t="s">
        <v>65</v>
      </c>
      <c r="D1196" s="234" t="s">
        <v>37</v>
      </c>
      <c r="E1196" s="234" t="s">
        <v>487</v>
      </c>
      <c r="F1196" s="234" t="s">
        <v>118</v>
      </c>
      <c r="G1196" s="235">
        <f>SUM(G1197:G1199)</f>
        <v>97000</v>
      </c>
      <c r="H1196" s="234">
        <v>8010010010</v>
      </c>
      <c r="I1196" s="313" t="str">
        <f t="shared" si="124"/>
        <v>8010010010</v>
      </c>
      <c r="J1196" s="30" t="str">
        <f t="shared" si="125"/>
        <v>61701048010010010850</v>
      </c>
    </row>
    <row r="1197" spans="1:10" s="3" customFormat="1">
      <c r="A1197" s="232" t="s">
        <v>1036</v>
      </c>
      <c r="B1197" s="233" t="s">
        <v>5</v>
      </c>
      <c r="C1197" s="234" t="s">
        <v>65</v>
      </c>
      <c r="D1197" s="234" t="s">
        <v>37</v>
      </c>
      <c r="E1197" s="234" t="s">
        <v>487</v>
      </c>
      <c r="F1197" s="234" t="s">
        <v>1061</v>
      </c>
      <c r="G1197" s="235">
        <f>VLOOKUP(J1197,'исх АС БЮДЖЕТ'!$A$10:$H$568,6,0)</f>
        <v>77000</v>
      </c>
      <c r="H1197" s="234">
        <v>8010010010</v>
      </c>
      <c r="I1197" s="313" t="str">
        <f t="shared" si="124"/>
        <v>8010010010</v>
      </c>
      <c r="J1197" s="30" t="str">
        <f t="shared" si="125"/>
        <v>61701048010010010851</v>
      </c>
    </row>
    <row r="1198" spans="1:10" s="3" customFormat="1">
      <c r="A1198" s="232" t="s">
        <v>1037</v>
      </c>
      <c r="B1198" s="233" t="s">
        <v>5</v>
      </c>
      <c r="C1198" s="234" t="s">
        <v>65</v>
      </c>
      <c r="D1198" s="234" t="s">
        <v>37</v>
      </c>
      <c r="E1198" s="234" t="s">
        <v>487</v>
      </c>
      <c r="F1198" s="234" t="s">
        <v>1062</v>
      </c>
      <c r="G1198" s="235">
        <f>VLOOKUP(J1198,'исх АС БЮДЖЕТ'!$A$10:$H$568,6,0)</f>
        <v>16980.900000000001</v>
      </c>
      <c r="H1198" s="234">
        <v>8010010010</v>
      </c>
      <c r="I1198" s="313" t="str">
        <f t="shared" si="124"/>
        <v>8010010010</v>
      </c>
      <c r="J1198" s="30" t="str">
        <f t="shared" si="125"/>
        <v>61701048010010010852</v>
      </c>
    </row>
    <row r="1199" spans="1:10" s="3" customFormat="1">
      <c r="A1199" s="232" t="s">
        <v>1038</v>
      </c>
      <c r="B1199" s="233" t="s">
        <v>5</v>
      </c>
      <c r="C1199" s="234" t="s">
        <v>65</v>
      </c>
      <c r="D1199" s="234" t="s">
        <v>37</v>
      </c>
      <c r="E1199" s="234" t="s">
        <v>487</v>
      </c>
      <c r="F1199" s="234" t="s">
        <v>1066</v>
      </c>
      <c r="G1199" s="235">
        <f>VLOOKUP(J1199,'исх АС БЮДЖЕТ'!$A$10:$H$568,6,0)</f>
        <v>3019.1</v>
      </c>
      <c r="H1199" s="234">
        <v>8010010010</v>
      </c>
      <c r="I1199" s="313" t="str">
        <f t="shared" ref="I1199" si="127">TEXT(H1199,"0000000000")</f>
        <v>8010010010</v>
      </c>
      <c r="J1199" s="30" t="str">
        <f t="shared" si="125"/>
        <v>61701048010010010853</v>
      </c>
    </row>
    <row r="1200" spans="1:10" s="3" customFormat="1" ht="25.5">
      <c r="A1200" s="232" t="s">
        <v>126</v>
      </c>
      <c r="B1200" s="233" t="s">
        <v>5</v>
      </c>
      <c r="C1200" s="234" t="s">
        <v>65</v>
      </c>
      <c r="D1200" s="234" t="s">
        <v>37</v>
      </c>
      <c r="E1200" s="234" t="s">
        <v>488</v>
      </c>
      <c r="F1200" s="234" t="s">
        <v>58</v>
      </c>
      <c r="G1200" s="235">
        <f>G1201</f>
        <v>27623765.559999999</v>
      </c>
      <c r="H1200" s="234">
        <v>8010010020</v>
      </c>
      <c r="I1200" s="313" t="str">
        <f t="shared" si="124"/>
        <v>8010010020</v>
      </c>
      <c r="J1200" s="30" t="str">
        <f t="shared" si="125"/>
        <v>61701048010010020000</v>
      </c>
    </row>
    <row r="1201" spans="1:10" s="3" customFormat="1">
      <c r="A1201" s="232" t="s">
        <v>107</v>
      </c>
      <c r="B1201" s="233" t="s">
        <v>5</v>
      </c>
      <c r="C1201" s="234" t="s">
        <v>65</v>
      </c>
      <c r="D1201" s="234" t="s">
        <v>37</v>
      </c>
      <c r="E1201" s="234" t="s">
        <v>488</v>
      </c>
      <c r="F1201" s="234" t="s">
        <v>115</v>
      </c>
      <c r="G1201" s="235">
        <f>SUM(G1202:G1203)</f>
        <v>27623765.559999999</v>
      </c>
      <c r="H1201" s="234">
        <v>8010010020</v>
      </c>
      <c r="I1201" s="313" t="str">
        <f t="shared" si="124"/>
        <v>8010010020</v>
      </c>
      <c r="J1201" s="30" t="str">
        <f t="shared" si="125"/>
        <v>61701048010010020120</v>
      </c>
    </row>
    <row r="1202" spans="1:10" s="3" customFormat="1">
      <c r="A1202" s="232" t="s">
        <v>936</v>
      </c>
      <c r="B1202" s="233" t="s">
        <v>5</v>
      </c>
      <c r="C1202" s="234" t="s">
        <v>65</v>
      </c>
      <c r="D1202" s="234" t="s">
        <v>37</v>
      </c>
      <c r="E1202" s="234" t="s">
        <v>488</v>
      </c>
      <c r="F1202" s="234" t="s">
        <v>1063</v>
      </c>
      <c r="G1202" s="235">
        <f>VLOOKUP(J1202,'исх АС БЮДЖЕТ'!$A$10:$H$568,6,0)</f>
        <v>21264040</v>
      </c>
      <c r="H1202" s="234">
        <v>8010010020</v>
      </c>
      <c r="I1202" s="313" t="str">
        <f t="shared" si="124"/>
        <v>8010010020</v>
      </c>
      <c r="J1202" s="30" t="str">
        <f t="shared" si="125"/>
        <v>61701048010010020121</v>
      </c>
    </row>
    <row r="1203" spans="1:10" s="3" customFormat="1" ht="38.25">
      <c r="A1203" s="232" t="s">
        <v>939</v>
      </c>
      <c r="B1203" s="233" t="s">
        <v>5</v>
      </c>
      <c r="C1203" s="234" t="s">
        <v>65</v>
      </c>
      <c r="D1203" s="234" t="s">
        <v>37</v>
      </c>
      <c r="E1203" s="234" t="s">
        <v>488</v>
      </c>
      <c r="F1203" s="234" t="s">
        <v>1060</v>
      </c>
      <c r="G1203" s="235">
        <f>VLOOKUP(J1203,'исх АС БЮДЖЕТ'!$A$10:$H$568,6,0)</f>
        <v>6359725.5599999996</v>
      </c>
      <c r="H1203" s="234">
        <v>8010010020</v>
      </c>
      <c r="I1203" s="313" t="str">
        <f t="shared" si="124"/>
        <v>8010010020</v>
      </c>
      <c r="J1203" s="30" t="str">
        <f t="shared" si="125"/>
        <v>61701048010010020129</v>
      </c>
    </row>
    <row r="1204" spans="1:10" s="3" customFormat="1" ht="38.25">
      <c r="A1204" s="266" t="s">
        <v>598</v>
      </c>
      <c r="B1204" s="233" t="s">
        <v>5</v>
      </c>
      <c r="C1204" s="234" t="s">
        <v>65</v>
      </c>
      <c r="D1204" s="234" t="s">
        <v>37</v>
      </c>
      <c r="E1204" s="234" t="s">
        <v>489</v>
      </c>
      <c r="F1204" s="234" t="s">
        <v>58</v>
      </c>
      <c r="G1204" s="235">
        <f>G1205+G1209</f>
        <v>1047750</v>
      </c>
      <c r="H1204" s="234">
        <v>8010076200</v>
      </c>
      <c r="I1204" s="313" t="str">
        <f t="shared" si="124"/>
        <v>8010076200</v>
      </c>
      <c r="J1204" s="30" t="str">
        <f t="shared" si="125"/>
        <v>61701048010076200000</v>
      </c>
    </row>
    <row r="1205" spans="1:10" s="3" customFormat="1">
      <c r="A1205" s="232" t="s">
        <v>107</v>
      </c>
      <c r="B1205" s="233" t="s">
        <v>5</v>
      </c>
      <c r="C1205" s="234" t="s">
        <v>65</v>
      </c>
      <c r="D1205" s="234" t="s">
        <v>37</v>
      </c>
      <c r="E1205" s="234" t="s">
        <v>489</v>
      </c>
      <c r="F1205" s="234" t="s">
        <v>115</v>
      </c>
      <c r="G1205" s="235">
        <f>SUM(G1206:G1208)</f>
        <v>989330</v>
      </c>
      <c r="H1205" s="234">
        <v>8010076200</v>
      </c>
      <c r="I1205" s="313" t="str">
        <f t="shared" si="124"/>
        <v>8010076200</v>
      </c>
      <c r="J1205" s="30" t="str">
        <f t="shared" si="125"/>
        <v>61701048010076200120</v>
      </c>
    </row>
    <row r="1206" spans="1:10" s="3" customFormat="1">
      <c r="A1206" s="232" t="s">
        <v>936</v>
      </c>
      <c r="B1206" s="233" t="s">
        <v>5</v>
      </c>
      <c r="C1206" s="234" t="s">
        <v>65</v>
      </c>
      <c r="D1206" s="234" t="s">
        <v>37</v>
      </c>
      <c r="E1206" s="234" t="s">
        <v>489</v>
      </c>
      <c r="F1206" s="234" t="s">
        <v>1063</v>
      </c>
      <c r="G1206" s="235">
        <f>VLOOKUP(J1206,'исх АС БЮДЖЕТ'!$A$10:$H$568,6,0)</f>
        <v>721560</v>
      </c>
      <c r="H1206" s="234">
        <v>8010076200</v>
      </c>
      <c r="I1206" s="313" t="str">
        <f t="shared" si="124"/>
        <v>8010076200</v>
      </c>
      <c r="J1206" s="30" t="str">
        <f t="shared" si="125"/>
        <v>61701048010076200121</v>
      </c>
    </row>
    <row r="1207" spans="1:10" s="3" customFormat="1" ht="25.5">
      <c r="A1207" s="236" t="s">
        <v>937</v>
      </c>
      <c r="B1207" s="233" t="s">
        <v>5</v>
      </c>
      <c r="C1207" s="234" t="s">
        <v>65</v>
      </c>
      <c r="D1207" s="234" t="s">
        <v>37</v>
      </c>
      <c r="E1207" s="234" t="s">
        <v>489</v>
      </c>
      <c r="F1207" s="234" t="s">
        <v>1059</v>
      </c>
      <c r="G1207" s="235">
        <f>VLOOKUP(J1207,'исх АС БЮДЖЕТ'!$A$10:$H$568,6,0)</f>
        <v>38300</v>
      </c>
      <c r="H1207" s="234">
        <v>8010076200</v>
      </c>
      <c r="I1207" s="313" t="str">
        <f t="shared" si="124"/>
        <v>8010076200</v>
      </c>
      <c r="J1207" s="30" t="str">
        <f t="shared" si="125"/>
        <v>61701048010076200122</v>
      </c>
    </row>
    <row r="1208" spans="1:10" s="3" customFormat="1" ht="38.25">
      <c r="A1208" s="232" t="s">
        <v>939</v>
      </c>
      <c r="B1208" s="233" t="s">
        <v>5</v>
      </c>
      <c r="C1208" s="234" t="s">
        <v>65</v>
      </c>
      <c r="D1208" s="234" t="s">
        <v>37</v>
      </c>
      <c r="E1208" s="234" t="s">
        <v>489</v>
      </c>
      <c r="F1208" s="234" t="s">
        <v>1060</v>
      </c>
      <c r="G1208" s="235">
        <f>VLOOKUP(J1208,'исх АС БЮДЖЕТ'!$A$10:$H$568,6,0)</f>
        <v>229470</v>
      </c>
      <c r="H1208" s="234">
        <v>8010076200</v>
      </c>
      <c r="I1208" s="313" t="str">
        <f t="shared" si="124"/>
        <v>8010076200</v>
      </c>
      <c r="J1208" s="30" t="str">
        <f t="shared" si="125"/>
        <v>61701048010076200129</v>
      </c>
    </row>
    <row r="1209" spans="1:10" s="3" customFormat="1" ht="25.5">
      <c r="A1209" s="232" t="s">
        <v>108</v>
      </c>
      <c r="B1209" s="233" t="s">
        <v>5</v>
      </c>
      <c r="C1209" s="234" t="s">
        <v>65</v>
      </c>
      <c r="D1209" s="234" t="s">
        <v>37</v>
      </c>
      <c r="E1209" s="234" t="s">
        <v>489</v>
      </c>
      <c r="F1209" s="234" t="s">
        <v>116</v>
      </c>
      <c r="G1209" s="235">
        <f>G1210</f>
        <v>58420</v>
      </c>
      <c r="H1209" s="234">
        <v>8010076200</v>
      </c>
      <c r="I1209" s="313" t="str">
        <f t="shared" si="124"/>
        <v>8010076200</v>
      </c>
      <c r="J1209" s="30" t="str">
        <f t="shared" si="125"/>
        <v>61701048010076200240</v>
      </c>
    </row>
    <row r="1210" spans="1:10" s="94" customFormat="1" ht="25.5">
      <c r="A1210" s="236" t="s">
        <v>973</v>
      </c>
      <c r="B1210" s="233" t="s">
        <v>5</v>
      </c>
      <c r="C1210" s="234" t="s">
        <v>65</v>
      </c>
      <c r="D1210" s="234" t="s">
        <v>37</v>
      </c>
      <c r="E1210" s="234" t="s">
        <v>489</v>
      </c>
      <c r="F1210" s="234" t="s">
        <v>1043</v>
      </c>
      <c r="G1210" s="235">
        <f>VLOOKUP(J1210,'исх АС БЮДЖЕТ'!$A$10:$H$568,6,0)</f>
        <v>58420</v>
      </c>
      <c r="H1210" s="234">
        <v>8010076200</v>
      </c>
      <c r="I1210" s="313" t="str">
        <f t="shared" si="124"/>
        <v>8010076200</v>
      </c>
      <c r="J1210" s="30" t="str">
        <f t="shared" si="125"/>
        <v>61701048010076200244</v>
      </c>
    </row>
    <row r="1211" spans="1:10" s="3" customFormat="1" ht="38.25">
      <c r="A1211" s="237" t="s">
        <v>870</v>
      </c>
      <c r="B1211" s="241" t="s">
        <v>5</v>
      </c>
      <c r="C1211" s="242" t="s">
        <v>65</v>
      </c>
      <c r="D1211" s="242" t="s">
        <v>37</v>
      </c>
      <c r="E1211" s="242" t="s">
        <v>490</v>
      </c>
      <c r="F1211" s="242" t="s">
        <v>58</v>
      </c>
      <c r="G1211" s="243">
        <f>G1212</f>
        <v>51740</v>
      </c>
      <c r="H1211" s="242">
        <v>8010076360</v>
      </c>
      <c r="I1211" s="313" t="str">
        <f t="shared" si="124"/>
        <v>8010076360</v>
      </c>
      <c r="J1211" s="30" t="str">
        <f t="shared" si="125"/>
        <v>61701048010076360000</v>
      </c>
    </row>
    <row r="1212" spans="1:10" s="3" customFormat="1" ht="25.5">
      <c r="A1212" s="232" t="s">
        <v>108</v>
      </c>
      <c r="B1212" s="241" t="s">
        <v>5</v>
      </c>
      <c r="C1212" s="242" t="s">
        <v>65</v>
      </c>
      <c r="D1212" s="242" t="s">
        <v>37</v>
      </c>
      <c r="E1212" s="242" t="s">
        <v>490</v>
      </c>
      <c r="F1212" s="242" t="s">
        <v>116</v>
      </c>
      <c r="G1212" s="243">
        <f>G1213</f>
        <v>51740</v>
      </c>
      <c r="H1212" s="242">
        <v>8010076360</v>
      </c>
      <c r="I1212" s="313" t="str">
        <f t="shared" si="124"/>
        <v>8010076360</v>
      </c>
      <c r="J1212" s="30" t="str">
        <f t="shared" si="125"/>
        <v>61701048010076360240</v>
      </c>
    </row>
    <row r="1213" spans="1:10" s="4" customFormat="1" ht="25.5">
      <c r="A1213" s="236" t="s">
        <v>973</v>
      </c>
      <c r="B1213" s="241" t="s">
        <v>5</v>
      </c>
      <c r="C1213" s="242" t="s">
        <v>65</v>
      </c>
      <c r="D1213" s="242" t="s">
        <v>37</v>
      </c>
      <c r="E1213" s="242" t="s">
        <v>490</v>
      </c>
      <c r="F1213" s="242" t="s">
        <v>1043</v>
      </c>
      <c r="G1213" s="235">
        <f>VLOOKUP(J1213,'исх АС БЮДЖЕТ'!$A$10:$H$568,6,0)</f>
        <v>51740</v>
      </c>
      <c r="H1213" s="242">
        <v>8010076360</v>
      </c>
      <c r="I1213" s="313" t="str">
        <f t="shared" si="124"/>
        <v>8010076360</v>
      </c>
      <c r="J1213" s="30" t="str">
        <f t="shared" si="125"/>
        <v>61701048010076360244</v>
      </c>
    </row>
    <row r="1214" spans="1:10" s="3" customFormat="1">
      <c r="A1214" s="228" t="s">
        <v>38</v>
      </c>
      <c r="B1214" s="229" t="s">
        <v>5</v>
      </c>
      <c r="C1214" s="230" t="s">
        <v>65</v>
      </c>
      <c r="D1214" s="230" t="s">
        <v>84</v>
      </c>
      <c r="E1214" s="230" t="s">
        <v>196</v>
      </c>
      <c r="F1214" s="230" t="s">
        <v>58</v>
      </c>
      <c r="G1214" s="231">
        <f>G1215+G1224</f>
        <v>452214.44</v>
      </c>
      <c r="H1214" s="230">
        <v>0</v>
      </c>
      <c r="I1214" s="313" t="str">
        <f t="shared" si="124"/>
        <v>0000000000</v>
      </c>
      <c r="J1214" s="30" t="str">
        <f t="shared" si="125"/>
        <v>61701130000000000000</v>
      </c>
    </row>
    <row r="1215" spans="1:10" s="3" customFormat="1" ht="38.25">
      <c r="A1215" s="244" t="s">
        <v>745</v>
      </c>
      <c r="B1215" s="241" t="s">
        <v>5</v>
      </c>
      <c r="C1215" s="242" t="s">
        <v>65</v>
      </c>
      <c r="D1215" s="242" t="s">
        <v>84</v>
      </c>
      <c r="E1215" s="242" t="s">
        <v>280</v>
      </c>
      <c r="F1215" s="242" t="s">
        <v>58</v>
      </c>
      <c r="G1215" s="243">
        <f t="shared" ref="G1215:G1218" si="128">G1216</f>
        <v>390200</v>
      </c>
      <c r="H1215" s="242">
        <v>1100000000</v>
      </c>
      <c r="I1215" s="313" t="str">
        <f t="shared" si="124"/>
        <v>1100000000</v>
      </c>
      <c r="J1215" s="30" t="str">
        <f t="shared" si="125"/>
        <v>61701131100000000000</v>
      </c>
    </row>
    <row r="1216" spans="1:10" s="3" customFormat="1" ht="38.25">
      <c r="A1216" s="244" t="s">
        <v>746</v>
      </c>
      <c r="B1216" s="233" t="s">
        <v>5</v>
      </c>
      <c r="C1216" s="242" t="s">
        <v>65</v>
      </c>
      <c r="D1216" s="242" t="s">
        <v>84</v>
      </c>
      <c r="E1216" s="242" t="s">
        <v>281</v>
      </c>
      <c r="F1216" s="242" t="s">
        <v>58</v>
      </c>
      <c r="G1216" s="243">
        <f t="shared" si="128"/>
        <v>390200</v>
      </c>
      <c r="H1216" s="242" t="s">
        <v>1185</v>
      </c>
      <c r="I1216" s="313" t="str">
        <f t="shared" si="124"/>
        <v>11Б0000000</v>
      </c>
      <c r="J1216" s="30" t="str">
        <f t="shared" si="125"/>
        <v>617011311Б0000000000</v>
      </c>
    </row>
    <row r="1217" spans="1:10" s="3" customFormat="1" ht="25.5">
      <c r="A1217" s="232" t="s">
        <v>282</v>
      </c>
      <c r="B1217" s="233" t="s">
        <v>5</v>
      </c>
      <c r="C1217" s="242" t="s">
        <v>65</v>
      </c>
      <c r="D1217" s="242" t="s">
        <v>84</v>
      </c>
      <c r="E1217" s="242" t="s">
        <v>283</v>
      </c>
      <c r="F1217" s="242" t="s">
        <v>58</v>
      </c>
      <c r="G1217" s="243">
        <f>G1218+G1221</f>
        <v>390200</v>
      </c>
      <c r="H1217" s="242" t="s">
        <v>1186</v>
      </c>
      <c r="I1217" s="313" t="str">
        <f t="shared" si="124"/>
        <v>11Б0100000</v>
      </c>
      <c r="J1217" s="30" t="str">
        <f t="shared" si="125"/>
        <v>617011311Б0100000000</v>
      </c>
    </row>
    <row r="1218" spans="1:10" s="3" customFormat="1" ht="25.5">
      <c r="A1218" s="232" t="s">
        <v>167</v>
      </c>
      <c r="B1218" s="233" t="s">
        <v>5</v>
      </c>
      <c r="C1218" s="242" t="s">
        <v>65</v>
      </c>
      <c r="D1218" s="242" t="s">
        <v>84</v>
      </c>
      <c r="E1218" s="242" t="s">
        <v>491</v>
      </c>
      <c r="F1218" s="242" t="s">
        <v>58</v>
      </c>
      <c r="G1218" s="243">
        <f t="shared" si="128"/>
        <v>350000</v>
      </c>
      <c r="H1218" s="242" t="s">
        <v>1226</v>
      </c>
      <c r="I1218" s="313" t="str">
        <f t="shared" si="124"/>
        <v>11Б0120840</v>
      </c>
      <c r="J1218" s="30" t="str">
        <f t="shared" si="125"/>
        <v>617011311Б0120840000</v>
      </c>
    </row>
    <row r="1219" spans="1:10" s="3" customFormat="1" ht="25.5">
      <c r="A1219" s="232" t="s">
        <v>108</v>
      </c>
      <c r="B1219" s="233" t="s">
        <v>5</v>
      </c>
      <c r="C1219" s="242" t="s">
        <v>65</v>
      </c>
      <c r="D1219" s="242" t="s">
        <v>84</v>
      </c>
      <c r="E1219" s="242" t="s">
        <v>491</v>
      </c>
      <c r="F1219" s="242" t="s">
        <v>116</v>
      </c>
      <c r="G1219" s="243">
        <f>G1220</f>
        <v>350000</v>
      </c>
      <c r="H1219" s="242" t="s">
        <v>1226</v>
      </c>
      <c r="I1219" s="313" t="str">
        <f t="shared" si="124"/>
        <v>11Б0120840</v>
      </c>
      <c r="J1219" s="30" t="str">
        <f t="shared" si="125"/>
        <v>617011311Б0120840240</v>
      </c>
    </row>
    <row r="1220" spans="1:10" s="4" customFormat="1" ht="25.5">
      <c r="A1220" s="236" t="s">
        <v>973</v>
      </c>
      <c r="B1220" s="233" t="s">
        <v>5</v>
      </c>
      <c r="C1220" s="242" t="s">
        <v>65</v>
      </c>
      <c r="D1220" s="242" t="s">
        <v>84</v>
      </c>
      <c r="E1220" s="242" t="s">
        <v>491</v>
      </c>
      <c r="F1220" s="242" t="s">
        <v>1043</v>
      </c>
      <c r="G1220" s="235">
        <f>VLOOKUP(J1220,'исх АС БЮДЖЕТ'!$A$10:$H$568,6,0)</f>
        <v>350000</v>
      </c>
      <c r="H1220" s="242" t="s">
        <v>1226</v>
      </c>
      <c r="I1220" s="313" t="str">
        <f t="shared" si="124"/>
        <v>11Б0120840</v>
      </c>
      <c r="J1220" s="30" t="str">
        <f t="shared" si="125"/>
        <v>617011311Б0120840244</v>
      </c>
    </row>
    <row r="1221" spans="1:10" s="3" customFormat="1" ht="25.5">
      <c r="A1221" s="232" t="s">
        <v>859</v>
      </c>
      <c r="B1221" s="233" t="s">
        <v>5</v>
      </c>
      <c r="C1221" s="242" t="s">
        <v>65</v>
      </c>
      <c r="D1221" s="242" t="s">
        <v>84</v>
      </c>
      <c r="E1221" s="274" t="s">
        <v>858</v>
      </c>
      <c r="F1221" s="234" t="s">
        <v>58</v>
      </c>
      <c r="G1221" s="235">
        <f>G1222</f>
        <v>40200</v>
      </c>
      <c r="H1221" s="274" t="s">
        <v>1189</v>
      </c>
      <c r="I1221" s="313" t="str">
        <f t="shared" si="124"/>
        <v>11Б0121120</v>
      </c>
      <c r="J1221" s="30" t="str">
        <f t="shared" si="125"/>
        <v>617011311Б0121120000</v>
      </c>
    </row>
    <row r="1222" spans="1:10" s="3" customFormat="1" ht="25.5">
      <c r="A1222" s="232" t="s">
        <v>108</v>
      </c>
      <c r="B1222" s="233" t="s">
        <v>5</v>
      </c>
      <c r="C1222" s="242" t="s">
        <v>65</v>
      </c>
      <c r="D1222" s="242" t="s">
        <v>84</v>
      </c>
      <c r="E1222" s="274" t="s">
        <v>858</v>
      </c>
      <c r="F1222" s="234" t="s">
        <v>116</v>
      </c>
      <c r="G1222" s="235">
        <f>G1223</f>
        <v>40200</v>
      </c>
      <c r="H1222" s="274" t="s">
        <v>1189</v>
      </c>
      <c r="I1222" s="313" t="str">
        <f t="shared" si="124"/>
        <v>11Б0121120</v>
      </c>
      <c r="J1222" s="30" t="str">
        <f t="shared" si="125"/>
        <v>617011311Б0121120240</v>
      </c>
    </row>
    <row r="1223" spans="1:10" s="4" customFormat="1" ht="25.5">
      <c r="A1223" s="236" t="s">
        <v>973</v>
      </c>
      <c r="B1223" s="233" t="s">
        <v>5</v>
      </c>
      <c r="C1223" s="242" t="s">
        <v>65</v>
      </c>
      <c r="D1223" s="242" t="s">
        <v>84</v>
      </c>
      <c r="E1223" s="274" t="s">
        <v>858</v>
      </c>
      <c r="F1223" s="234" t="s">
        <v>1043</v>
      </c>
      <c r="G1223" s="235">
        <f>VLOOKUP(J1223,'исх АС БЮДЖЕТ'!$A$10:$H$568,6,0)</f>
        <v>40200</v>
      </c>
      <c r="H1223" s="274" t="s">
        <v>1189</v>
      </c>
      <c r="I1223" s="313" t="str">
        <f t="shared" si="124"/>
        <v>11Б0121120</v>
      </c>
      <c r="J1223" s="30" t="str">
        <f t="shared" si="125"/>
        <v>617011311Б0121120244</v>
      </c>
    </row>
    <row r="1224" spans="1:10" s="4" customFormat="1">
      <c r="A1224" s="252" t="s">
        <v>146</v>
      </c>
      <c r="B1224" s="241" t="s">
        <v>5</v>
      </c>
      <c r="C1224" s="242" t="s">
        <v>65</v>
      </c>
      <c r="D1224" s="242" t="s">
        <v>84</v>
      </c>
      <c r="E1224" s="242" t="s">
        <v>485</v>
      </c>
      <c r="F1224" s="242" t="s">
        <v>58</v>
      </c>
      <c r="G1224" s="243">
        <f t="shared" ref="G1224:G1227" si="129">G1225</f>
        <v>62014.44</v>
      </c>
      <c r="H1224" s="242">
        <v>8000000000</v>
      </c>
      <c r="I1224" s="313" t="str">
        <f t="shared" si="124"/>
        <v>8000000000</v>
      </c>
      <c r="J1224" s="30" t="str">
        <f t="shared" si="125"/>
        <v>61701138000000000000</v>
      </c>
    </row>
    <row r="1225" spans="1:10" s="4" customFormat="1" ht="25.5">
      <c r="A1225" s="252" t="s">
        <v>147</v>
      </c>
      <c r="B1225" s="241" t="s">
        <v>5</v>
      </c>
      <c r="C1225" s="242" t="s">
        <v>65</v>
      </c>
      <c r="D1225" s="242" t="s">
        <v>84</v>
      </c>
      <c r="E1225" s="242" t="s">
        <v>486</v>
      </c>
      <c r="F1225" s="242" t="s">
        <v>58</v>
      </c>
      <c r="G1225" s="243">
        <f>G1226</f>
        <v>62014.44</v>
      </c>
      <c r="H1225" s="242">
        <v>8010000000</v>
      </c>
      <c r="I1225" s="313" t="str">
        <f t="shared" si="124"/>
        <v>8010000000</v>
      </c>
      <c r="J1225" s="30" t="str">
        <f t="shared" si="125"/>
        <v>61701138010000000000</v>
      </c>
    </row>
    <row r="1226" spans="1:10" s="4" customFormat="1">
      <c r="A1226" s="237" t="s">
        <v>130</v>
      </c>
      <c r="B1226" s="241" t="s">
        <v>5</v>
      </c>
      <c r="C1226" s="242" t="s">
        <v>65</v>
      </c>
      <c r="D1226" s="242" t="s">
        <v>84</v>
      </c>
      <c r="E1226" s="242" t="s">
        <v>1169</v>
      </c>
      <c r="F1226" s="242" t="s">
        <v>58</v>
      </c>
      <c r="G1226" s="243">
        <f t="shared" si="129"/>
        <v>62014.44</v>
      </c>
      <c r="H1226" s="242">
        <v>8010020050</v>
      </c>
      <c r="I1226" s="313" t="str">
        <f t="shared" si="124"/>
        <v>8010020050</v>
      </c>
      <c r="J1226" s="30" t="str">
        <f t="shared" si="125"/>
        <v>61701138010020050000</v>
      </c>
    </row>
    <row r="1227" spans="1:10" s="4" customFormat="1">
      <c r="A1227" s="232" t="s">
        <v>96</v>
      </c>
      <c r="B1227" s="241" t="s">
        <v>5</v>
      </c>
      <c r="C1227" s="242" t="s">
        <v>65</v>
      </c>
      <c r="D1227" s="242" t="s">
        <v>84</v>
      </c>
      <c r="E1227" s="242" t="s">
        <v>1169</v>
      </c>
      <c r="F1227" s="234" t="s">
        <v>131</v>
      </c>
      <c r="G1227" s="312">
        <f t="shared" si="129"/>
        <v>62014.44</v>
      </c>
      <c r="H1227" s="242">
        <v>8010020050</v>
      </c>
      <c r="I1227" s="313" t="str">
        <f t="shared" si="124"/>
        <v>8010020050</v>
      </c>
      <c r="J1227" s="30" t="str">
        <f t="shared" si="125"/>
        <v>61701138010020050830</v>
      </c>
    </row>
    <row r="1228" spans="1:10" s="4" customFormat="1" ht="25.5">
      <c r="A1228" s="232" t="s">
        <v>1044</v>
      </c>
      <c r="B1228" s="241" t="s">
        <v>5</v>
      </c>
      <c r="C1228" s="242" t="s">
        <v>65</v>
      </c>
      <c r="D1228" s="242" t="s">
        <v>84</v>
      </c>
      <c r="E1228" s="242" t="s">
        <v>1169</v>
      </c>
      <c r="F1228" s="234" t="s">
        <v>1045</v>
      </c>
      <c r="G1228" s="235">
        <f>VLOOKUP(J1228,'исх АС БЮДЖЕТ'!$A$10:$H$568,6,0)</f>
        <v>62014.44</v>
      </c>
      <c r="H1228" s="242">
        <v>8010020050</v>
      </c>
      <c r="I1228" s="313" t="str">
        <f t="shared" si="124"/>
        <v>8010020050</v>
      </c>
      <c r="J1228" s="30" t="str">
        <f t="shared" si="125"/>
        <v>61701138010020050831</v>
      </c>
    </row>
    <row r="1229" spans="1:10" s="3" customFormat="1">
      <c r="A1229" s="224" t="s">
        <v>35</v>
      </c>
      <c r="B1229" s="225" t="s">
        <v>5</v>
      </c>
      <c r="C1229" s="226" t="s">
        <v>37</v>
      </c>
      <c r="D1229" s="226" t="s">
        <v>51</v>
      </c>
      <c r="E1229" s="226" t="s">
        <v>196</v>
      </c>
      <c r="F1229" s="226" t="s">
        <v>58</v>
      </c>
      <c r="G1229" s="227">
        <f t="shared" ref="G1229:G1232" si="130">G1230</f>
        <v>67497950</v>
      </c>
      <c r="H1229" s="226">
        <v>0</v>
      </c>
      <c r="I1229" s="313" t="str">
        <f t="shared" si="124"/>
        <v>0000000000</v>
      </c>
      <c r="J1229" s="30" t="str">
        <f t="shared" si="125"/>
        <v>61704000000000000000</v>
      </c>
    </row>
    <row r="1230" spans="1:10" s="3" customFormat="1">
      <c r="A1230" s="228" t="s">
        <v>88</v>
      </c>
      <c r="B1230" s="229" t="s">
        <v>5</v>
      </c>
      <c r="C1230" s="230" t="s">
        <v>37</v>
      </c>
      <c r="D1230" s="230" t="s">
        <v>25</v>
      </c>
      <c r="E1230" s="230" t="s">
        <v>196</v>
      </c>
      <c r="F1230" s="230" t="s">
        <v>58</v>
      </c>
      <c r="G1230" s="231">
        <f t="shared" si="130"/>
        <v>67497950</v>
      </c>
      <c r="H1230" s="230">
        <v>0</v>
      </c>
      <c r="I1230" s="313" t="str">
        <f t="shared" si="124"/>
        <v>0000000000</v>
      </c>
      <c r="J1230" s="30" t="str">
        <f t="shared" si="125"/>
        <v>61704090000000000000</v>
      </c>
    </row>
    <row r="1231" spans="1:10" s="3" customFormat="1" ht="38.25">
      <c r="A1231" s="236" t="s">
        <v>722</v>
      </c>
      <c r="B1231" s="241" t="s">
        <v>5</v>
      </c>
      <c r="C1231" s="242" t="s">
        <v>37</v>
      </c>
      <c r="D1231" s="242" t="s">
        <v>25</v>
      </c>
      <c r="E1231" s="242" t="s">
        <v>300</v>
      </c>
      <c r="F1231" s="242" t="s">
        <v>58</v>
      </c>
      <c r="G1231" s="243">
        <f t="shared" si="130"/>
        <v>67497950</v>
      </c>
      <c r="H1231" s="242">
        <v>400000000</v>
      </c>
      <c r="I1231" s="313" t="str">
        <f t="shared" si="124"/>
        <v>0400000000</v>
      </c>
      <c r="J1231" s="30" t="str">
        <f t="shared" si="125"/>
        <v>61704090400000000000</v>
      </c>
    </row>
    <row r="1232" spans="1:10" s="3" customFormat="1" ht="38.25">
      <c r="A1232" s="252" t="s">
        <v>729</v>
      </c>
      <c r="B1232" s="241" t="s">
        <v>5</v>
      </c>
      <c r="C1232" s="242" t="s">
        <v>37</v>
      </c>
      <c r="D1232" s="242" t="s">
        <v>25</v>
      </c>
      <c r="E1232" s="242" t="s">
        <v>301</v>
      </c>
      <c r="F1232" s="242" t="s">
        <v>58</v>
      </c>
      <c r="G1232" s="243">
        <f t="shared" si="130"/>
        <v>67497950</v>
      </c>
      <c r="H1232" s="242">
        <v>420000000</v>
      </c>
      <c r="I1232" s="313" t="str">
        <f t="shared" si="124"/>
        <v>0420000000</v>
      </c>
      <c r="J1232" s="30" t="str">
        <f t="shared" si="125"/>
        <v>61704090420000000000</v>
      </c>
    </row>
    <row r="1233" spans="1:10" s="3" customFormat="1" ht="38.25">
      <c r="A1233" s="252" t="s">
        <v>644</v>
      </c>
      <c r="B1233" s="241" t="s">
        <v>5</v>
      </c>
      <c r="C1233" s="242" t="s">
        <v>37</v>
      </c>
      <c r="D1233" s="242" t="s">
        <v>25</v>
      </c>
      <c r="E1233" s="242" t="s">
        <v>302</v>
      </c>
      <c r="F1233" s="242" t="s">
        <v>58</v>
      </c>
      <c r="G1233" s="243">
        <f>G1240+G1234+G1237</f>
        <v>67497950</v>
      </c>
      <c r="H1233" s="242">
        <v>420200000</v>
      </c>
      <c r="I1233" s="313" t="str">
        <f t="shared" si="124"/>
        <v>0420200000</v>
      </c>
      <c r="J1233" s="30" t="str">
        <f t="shared" si="125"/>
        <v>61704090420200000000</v>
      </c>
    </row>
    <row r="1234" spans="1:10" s="127" customFormat="1" ht="25.5">
      <c r="A1234" s="232" t="s">
        <v>493</v>
      </c>
      <c r="B1234" s="233" t="s">
        <v>5</v>
      </c>
      <c r="C1234" s="234" t="s">
        <v>37</v>
      </c>
      <c r="D1234" s="234" t="s">
        <v>25</v>
      </c>
      <c r="E1234" s="234" t="s">
        <v>494</v>
      </c>
      <c r="F1234" s="234" t="s">
        <v>58</v>
      </c>
      <c r="G1234" s="235">
        <f t="shared" ref="G1234:G1235" si="131">G1235</f>
        <v>10668700</v>
      </c>
      <c r="H1234" s="234">
        <v>420220820</v>
      </c>
      <c r="I1234" s="313" t="str">
        <f t="shared" si="124"/>
        <v>0420220820</v>
      </c>
      <c r="J1234" s="30" t="str">
        <f t="shared" si="125"/>
        <v>61704090420220820000</v>
      </c>
    </row>
    <row r="1235" spans="1:10" s="127" customFormat="1" ht="25.5">
      <c r="A1235" s="232" t="s">
        <v>108</v>
      </c>
      <c r="B1235" s="233" t="s">
        <v>5</v>
      </c>
      <c r="C1235" s="234" t="s">
        <v>37</v>
      </c>
      <c r="D1235" s="234" t="s">
        <v>25</v>
      </c>
      <c r="E1235" s="234" t="s">
        <v>494</v>
      </c>
      <c r="F1235" s="234" t="s">
        <v>116</v>
      </c>
      <c r="G1235" s="235">
        <f t="shared" si="131"/>
        <v>10668700</v>
      </c>
      <c r="H1235" s="234">
        <v>420220820</v>
      </c>
      <c r="I1235" s="313" t="str">
        <f t="shared" si="124"/>
        <v>0420220820</v>
      </c>
      <c r="J1235" s="30" t="str">
        <f t="shared" si="125"/>
        <v>61704090420220820240</v>
      </c>
    </row>
    <row r="1236" spans="1:10" s="4" customFormat="1" ht="25.5">
      <c r="A1236" s="236" t="s">
        <v>973</v>
      </c>
      <c r="B1236" s="233" t="s">
        <v>5</v>
      </c>
      <c r="C1236" s="234" t="s">
        <v>37</v>
      </c>
      <c r="D1236" s="234" t="s">
        <v>25</v>
      </c>
      <c r="E1236" s="234" t="s">
        <v>494</v>
      </c>
      <c r="F1236" s="234" t="s">
        <v>1043</v>
      </c>
      <c r="G1236" s="235">
        <f>VLOOKUP(J1236,'исх АС БЮДЖЕТ'!$A$10:$H$568,6,0)</f>
        <v>10668700</v>
      </c>
      <c r="H1236" s="234">
        <v>420220820</v>
      </c>
      <c r="I1236" s="313" t="str">
        <f t="shared" si="124"/>
        <v>0420220820</v>
      </c>
      <c r="J1236" s="30" t="str">
        <f t="shared" si="125"/>
        <v>61704090420220820244</v>
      </c>
    </row>
    <row r="1237" spans="1:10" s="127" customFormat="1" ht="76.5">
      <c r="A1237" s="232" t="s">
        <v>1180</v>
      </c>
      <c r="B1237" s="233" t="s">
        <v>5</v>
      </c>
      <c r="C1237" s="234" t="s">
        <v>37</v>
      </c>
      <c r="D1237" s="234" t="s">
        <v>25</v>
      </c>
      <c r="E1237" s="234" t="s">
        <v>834</v>
      </c>
      <c r="F1237" s="234" t="s">
        <v>58</v>
      </c>
      <c r="G1237" s="235">
        <f>G1238</f>
        <v>32839290</v>
      </c>
      <c r="H1237" s="234">
        <v>420221030</v>
      </c>
      <c r="I1237" s="313" t="str">
        <f t="shared" si="124"/>
        <v>0420221030</v>
      </c>
      <c r="J1237" s="30" t="str">
        <f t="shared" si="125"/>
        <v>61704090420221030000</v>
      </c>
    </row>
    <row r="1238" spans="1:10" s="127" customFormat="1" ht="25.5">
      <c r="A1238" s="232" t="s">
        <v>108</v>
      </c>
      <c r="B1238" s="233" t="s">
        <v>5</v>
      </c>
      <c r="C1238" s="234" t="s">
        <v>37</v>
      </c>
      <c r="D1238" s="234" t="s">
        <v>25</v>
      </c>
      <c r="E1238" s="234" t="s">
        <v>834</v>
      </c>
      <c r="F1238" s="234" t="s">
        <v>116</v>
      </c>
      <c r="G1238" s="235">
        <f>G1239</f>
        <v>32839290</v>
      </c>
      <c r="H1238" s="234">
        <v>420221030</v>
      </c>
      <c r="I1238" s="313" t="str">
        <f t="shared" si="124"/>
        <v>0420221030</v>
      </c>
      <c r="J1238" s="30" t="str">
        <f t="shared" si="125"/>
        <v>61704090420221030240</v>
      </c>
    </row>
    <row r="1239" spans="1:10" s="4" customFormat="1" ht="25.5">
      <c r="A1239" s="236" t="s">
        <v>973</v>
      </c>
      <c r="B1239" s="233" t="s">
        <v>5</v>
      </c>
      <c r="C1239" s="234" t="s">
        <v>37</v>
      </c>
      <c r="D1239" s="234" t="s">
        <v>25</v>
      </c>
      <c r="E1239" s="234" t="s">
        <v>834</v>
      </c>
      <c r="F1239" s="234" t="s">
        <v>1043</v>
      </c>
      <c r="G1239" s="235">
        <f>VLOOKUP(J1239,'исх АС БЮДЖЕТ'!$A$10:$H$568,6,0)</f>
        <v>32839290</v>
      </c>
      <c r="H1239" s="234">
        <v>420221030</v>
      </c>
      <c r="I1239" s="313" t="str">
        <f t="shared" si="124"/>
        <v>0420221030</v>
      </c>
      <c r="J1239" s="30" t="str">
        <f t="shared" si="125"/>
        <v>61704090420221030244</v>
      </c>
    </row>
    <row r="1240" spans="1:10" s="3" customFormat="1" ht="25.5">
      <c r="A1240" s="232" t="s">
        <v>902</v>
      </c>
      <c r="B1240" s="233" t="s">
        <v>5</v>
      </c>
      <c r="C1240" s="234" t="s">
        <v>37</v>
      </c>
      <c r="D1240" s="234" t="s">
        <v>25</v>
      </c>
      <c r="E1240" s="234" t="s">
        <v>909</v>
      </c>
      <c r="F1240" s="234" t="s">
        <v>58</v>
      </c>
      <c r="G1240" s="235">
        <f>G1241</f>
        <v>23989960</v>
      </c>
      <c r="H1240" s="234">
        <v>420221090</v>
      </c>
      <c r="I1240" s="313" t="str">
        <f t="shared" si="124"/>
        <v>0420221090</v>
      </c>
      <c r="J1240" s="30" t="str">
        <f t="shared" si="125"/>
        <v>61704090420221090000</v>
      </c>
    </row>
    <row r="1241" spans="1:10" s="3" customFormat="1" ht="25.5">
      <c r="A1241" s="232" t="s">
        <v>108</v>
      </c>
      <c r="B1241" s="233" t="s">
        <v>5</v>
      </c>
      <c r="C1241" s="234" t="s">
        <v>37</v>
      </c>
      <c r="D1241" s="234" t="s">
        <v>25</v>
      </c>
      <c r="E1241" s="234" t="s">
        <v>909</v>
      </c>
      <c r="F1241" s="234" t="s">
        <v>116</v>
      </c>
      <c r="G1241" s="235">
        <f>G1242</f>
        <v>23989960</v>
      </c>
      <c r="H1241" s="234">
        <v>420221090</v>
      </c>
      <c r="I1241" s="313" t="str">
        <f t="shared" si="124"/>
        <v>0420221090</v>
      </c>
      <c r="J1241" s="30" t="str">
        <f t="shared" si="125"/>
        <v>61704090420221090240</v>
      </c>
    </row>
    <row r="1242" spans="1:10" s="4" customFormat="1" ht="25.5">
      <c r="A1242" s="236" t="s">
        <v>973</v>
      </c>
      <c r="B1242" s="233" t="s">
        <v>5</v>
      </c>
      <c r="C1242" s="234" t="s">
        <v>37</v>
      </c>
      <c r="D1242" s="234" t="s">
        <v>25</v>
      </c>
      <c r="E1242" s="234" t="s">
        <v>909</v>
      </c>
      <c r="F1242" s="234" t="s">
        <v>1043</v>
      </c>
      <c r="G1242" s="235">
        <f>VLOOKUP(J1242,'исх АС БЮДЖЕТ'!$A$10:$H$568,6,0)</f>
        <v>23989960</v>
      </c>
      <c r="H1242" s="234">
        <v>420221090</v>
      </c>
      <c r="I1242" s="313" t="str">
        <f t="shared" si="124"/>
        <v>0420221090</v>
      </c>
      <c r="J1242" s="30" t="str">
        <f t="shared" si="125"/>
        <v>61704090420221090244</v>
      </c>
    </row>
    <row r="1243" spans="1:10" s="130" customFormat="1">
      <c r="A1243" s="224" t="s">
        <v>7</v>
      </c>
      <c r="B1243" s="225" t="s">
        <v>5</v>
      </c>
      <c r="C1243" s="226" t="s">
        <v>8</v>
      </c>
      <c r="D1243" s="226" t="s">
        <v>51</v>
      </c>
      <c r="E1243" s="226" t="s">
        <v>196</v>
      </c>
      <c r="F1243" s="226" t="s">
        <v>58</v>
      </c>
      <c r="G1243" s="227">
        <f>G1244+G1257</f>
        <v>18334791.879999999</v>
      </c>
      <c r="H1243" s="226">
        <v>0</v>
      </c>
      <c r="I1243" s="313" t="str">
        <f t="shared" ref="I1243:I1306" si="132">TEXT(H1243,"0000000000")</f>
        <v>0000000000</v>
      </c>
      <c r="J1243" s="30" t="str">
        <f t="shared" ref="J1243:J1306" si="133">CONCATENATE(B1243,C1243,D1243,I1243,F1243)</f>
        <v>61705000000000000000</v>
      </c>
    </row>
    <row r="1244" spans="1:10" s="3" customFormat="1">
      <c r="A1244" s="228" t="s">
        <v>9</v>
      </c>
      <c r="B1244" s="229" t="s">
        <v>5</v>
      </c>
      <c r="C1244" s="230" t="s">
        <v>8</v>
      </c>
      <c r="D1244" s="230" t="s">
        <v>65</v>
      </c>
      <c r="E1244" s="230" t="s">
        <v>196</v>
      </c>
      <c r="F1244" s="230" t="s">
        <v>58</v>
      </c>
      <c r="G1244" s="231">
        <f>G1245+G1252</f>
        <v>1614027.03</v>
      </c>
      <c r="H1244" s="230">
        <v>0</v>
      </c>
      <c r="I1244" s="313" t="str">
        <f t="shared" si="132"/>
        <v>0000000000</v>
      </c>
      <c r="J1244" s="30" t="str">
        <f t="shared" si="133"/>
        <v>61705010000000000000</v>
      </c>
    </row>
    <row r="1245" spans="1:10" s="3" customFormat="1" ht="38.25">
      <c r="A1245" s="232" t="s">
        <v>722</v>
      </c>
      <c r="B1245" s="233" t="s">
        <v>5</v>
      </c>
      <c r="C1245" s="234" t="s">
        <v>8</v>
      </c>
      <c r="D1245" s="234" t="s">
        <v>65</v>
      </c>
      <c r="E1245" s="234" t="s">
        <v>300</v>
      </c>
      <c r="F1245" s="234" t="s">
        <v>58</v>
      </c>
      <c r="G1245" s="235">
        <f t="shared" ref="G1245:G1248" si="134">G1246</f>
        <v>1601730</v>
      </c>
      <c r="H1245" s="234">
        <v>400000000</v>
      </c>
      <c r="I1245" s="313" t="str">
        <f t="shared" si="132"/>
        <v>0400000000</v>
      </c>
      <c r="J1245" s="30" t="str">
        <f t="shared" si="133"/>
        <v>61705010400000000000</v>
      </c>
    </row>
    <row r="1246" spans="1:10" s="3" customFormat="1" ht="25.5">
      <c r="A1246" s="244" t="s">
        <v>155</v>
      </c>
      <c r="B1246" s="233" t="s">
        <v>5</v>
      </c>
      <c r="C1246" s="234" t="s">
        <v>8</v>
      </c>
      <c r="D1246" s="234" t="s">
        <v>65</v>
      </c>
      <c r="E1246" s="234" t="s">
        <v>495</v>
      </c>
      <c r="F1246" s="234" t="s">
        <v>58</v>
      </c>
      <c r="G1246" s="235">
        <f t="shared" si="134"/>
        <v>1601730</v>
      </c>
      <c r="H1246" s="234">
        <v>410000000</v>
      </c>
      <c r="I1246" s="313" t="str">
        <f t="shared" si="132"/>
        <v>0410000000</v>
      </c>
      <c r="J1246" s="30" t="str">
        <f t="shared" si="133"/>
        <v>61705010410000000000</v>
      </c>
    </row>
    <row r="1247" spans="1:10" s="3" customFormat="1" ht="25.5">
      <c r="A1247" s="244" t="s">
        <v>496</v>
      </c>
      <c r="B1247" s="233" t="s">
        <v>5</v>
      </c>
      <c r="C1247" s="234" t="s">
        <v>8</v>
      </c>
      <c r="D1247" s="234" t="s">
        <v>65</v>
      </c>
      <c r="E1247" s="234" t="s">
        <v>497</v>
      </c>
      <c r="F1247" s="234" t="s">
        <v>58</v>
      </c>
      <c r="G1247" s="235">
        <f>G1248</f>
        <v>1601730</v>
      </c>
      <c r="H1247" s="234">
        <v>410100000</v>
      </c>
      <c r="I1247" s="313" t="str">
        <f t="shared" si="132"/>
        <v>0410100000</v>
      </c>
      <c r="J1247" s="30" t="str">
        <f t="shared" si="133"/>
        <v>61705010410100000000</v>
      </c>
    </row>
    <row r="1248" spans="1:10" s="3" customFormat="1">
      <c r="A1248" s="232" t="s">
        <v>148</v>
      </c>
      <c r="B1248" s="233" t="s">
        <v>5</v>
      </c>
      <c r="C1248" s="234" t="s">
        <v>8</v>
      </c>
      <c r="D1248" s="234" t="s">
        <v>65</v>
      </c>
      <c r="E1248" s="234" t="s">
        <v>498</v>
      </c>
      <c r="F1248" s="234" t="s">
        <v>58</v>
      </c>
      <c r="G1248" s="235">
        <f t="shared" si="134"/>
        <v>1601730</v>
      </c>
      <c r="H1248" s="234">
        <v>410120190</v>
      </c>
      <c r="I1248" s="313" t="str">
        <f t="shared" si="132"/>
        <v>0410120190</v>
      </c>
      <c r="J1248" s="30" t="str">
        <f t="shared" si="133"/>
        <v>61705010410120190000</v>
      </c>
    </row>
    <row r="1249" spans="1:10" s="3" customFormat="1" ht="25.5">
      <c r="A1249" s="232" t="s">
        <v>108</v>
      </c>
      <c r="B1249" s="233" t="s">
        <v>5</v>
      </c>
      <c r="C1249" s="234" t="s">
        <v>8</v>
      </c>
      <c r="D1249" s="234" t="s">
        <v>65</v>
      </c>
      <c r="E1249" s="234" t="s">
        <v>498</v>
      </c>
      <c r="F1249" s="234" t="s">
        <v>116</v>
      </c>
      <c r="G1249" s="235">
        <f>SUM(G1250:G1251)</f>
        <v>1601730</v>
      </c>
      <c r="H1249" s="234">
        <v>410120190</v>
      </c>
      <c r="I1249" s="313" t="str">
        <f t="shared" si="132"/>
        <v>0410120190</v>
      </c>
      <c r="J1249" s="30" t="str">
        <f t="shared" si="133"/>
        <v>61705010410120190240</v>
      </c>
    </row>
    <row r="1250" spans="1:10" s="3" customFormat="1" ht="25.5">
      <c r="A1250" s="236" t="s">
        <v>972</v>
      </c>
      <c r="B1250" s="233" t="s">
        <v>5</v>
      </c>
      <c r="C1250" s="234" t="s">
        <v>8</v>
      </c>
      <c r="D1250" s="234" t="s">
        <v>65</v>
      </c>
      <c r="E1250" s="234" t="s">
        <v>498</v>
      </c>
      <c r="F1250" s="234" t="s">
        <v>1070</v>
      </c>
      <c r="G1250" s="235">
        <f>VLOOKUP(J1250,'исх АС БЮДЖЕТ'!$A$10:$H$568,6,0)</f>
        <v>501730</v>
      </c>
      <c r="H1250" s="234">
        <v>410120190</v>
      </c>
      <c r="I1250" s="313" t="str">
        <f t="shared" si="132"/>
        <v>0410120190</v>
      </c>
      <c r="J1250" s="30" t="str">
        <f t="shared" si="133"/>
        <v>61705010410120190243</v>
      </c>
    </row>
    <row r="1251" spans="1:10" s="3" customFormat="1" ht="25.5">
      <c r="A1251" s="236" t="s">
        <v>973</v>
      </c>
      <c r="B1251" s="233" t="s">
        <v>5</v>
      </c>
      <c r="C1251" s="234" t="s">
        <v>8</v>
      </c>
      <c r="D1251" s="234" t="s">
        <v>65</v>
      </c>
      <c r="E1251" s="234" t="s">
        <v>498</v>
      </c>
      <c r="F1251" s="234" t="s">
        <v>1043</v>
      </c>
      <c r="G1251" s="235">
        <f>VLOOKUP(J1251,'исх АС БЮДЖЕТ'!$A$10:$H$568,6,0)</f>
        <v>1100000</v>
      </c>
      <c r="H1251" s="234">
        <v>410120190</v>
      </c>
      <c r="I1251" s="313" t="str">
        <f t="shared" si="132"/>
        <v>0410120190</v>
      </c>
      <c r="J1251" s="30" t="str">
        <f t="shared" si="133"/>
        <v>61705010410120190244</v>
      </c>
    </row>
    <row r="1252" spans="1:10" s="3" customFormat="1" ht="25.5">
      <c r="A1252" s="236" t="s">
        <v>683</v>
      </c>
      <c r="B1252" s="233" t="s">
        <v>5</v>
      </c>
      <c r="C1252" s="234" t="s">
        <v>8</v>
      </c>
      <c r="D1252" s="234" t="s">
        <v>65</v>
      </c>
      <c r="E1252" s="234" t="s">
        <v>680</v>
      </c>
      <c r="F1252" s="234" t="s">
        <v>58</v>
      </c>
      <c r="G1252" s="235">
        <f>G1253</f>
        <v>12297.03</v>
      </c>
      <c r="H1252" s="234">
        <v>9800000000</v>
      </c>
      <c r="I1252" s="313" t="str">
        <f t="shared" si="132"/>
        <v>9800000000</v>
      </c>
      <c r="J1252" s="30" t="str">
        <f t="shared" si="133"/>
        <v>61705019800000000000</v>
      </c>
    </row>
    <row r="1253" spans="1:10" s="3" customFormat="1" ht="38.25">
      <c r="A1253" s="236" t="s">
        <v>1120</v>
      </c>
      <c r="B1253" s="233" t="s">
        <v>5</v>
      </c>
      <c r="C1253" s="234" t="s">
        <v>8</v>
      </c>
      <c r="D1253" s="234" t="s">
        <v>65</v>
      </c>
      <c r="E1253" s="234" t="s">
        <v>1121</v>
      </c>
      <c r="F1253" s="234" t="s">
        <v>58</v>
      </c>
      <c r="G1253" s="235">
        <f>G1254</f>
        <v>12297.03</v>
      </c>
      <c r="H1253" s="234">
        <v>9820000000</v>
      </c>
      <c r="I1253" s="313" t="str">
        <f t="shared" si="132"/>
        <v>9820000000</v>
      </c>
      <c r="J1253" s="30" t="str">
        <f t="shared" si="133"/>
        <v>61705019820000000000</v>
      </c>
    </row>
    <row r="1254" spans="1:10" s="3" customFormat="1">
      <c r="A1254" s="236" t="s">
        <v>148</v>
      </c>
      <c r="B1254" s="233" t="s">
        <v>5</v>
      </c>
      <c r="C1254" s="234" t="s">
        <v>8</v>
      </c>
      <c r="D1254" s="234" t="s">
        <v>65</v>
      </c>
      <c r="E1254" s="234" t="s">
        <v>1122</v>
      </c>
      <c r="F1254" s="234" t="s">
        <v>58</v>
      </c>
      <c r="G1254" s="235">
        <f>G1255</f>
        <v>12297.03</v>
      </c>
      <c r="H1254" s="234">
        <v>9820020190</v>
      </c>
      <c r="I1254" s="313" t="str">
        <f t="shared" si="132"/>
        <v>9820020190</v>
      </c>
      <c r="J1254" s="30" t="str">
        <f t="shared" si="133"/>
        <v>61705019820020190000</v>
      </c>
    </row>
    <row r="1255" spans="1:10" s="3" customFormat="1" ht="25.5">
      <c r="A1255" s="236" t="s">
        <v>108</v>
      </c>
      <c r="B1255" s="233" t="s">
        <v>5</v>
      </c>
      <c r="C1255" s="234" t="s">
        <v>8</v>
      </c>
      <c r="D1255" s="234" t="s">
        <v>65</v>
      </c>
      <c r="E1255" s="234" t="s">
        <v>1122</v>
      </c>
      <c r="F1255" s="234" t="s">
        <v>116</v>
      </c>
      <c r="G1255" s="235">
        <f>G1256</f>
        <v>12297.03</v>
      </c>
      <c r="H1255" s="234">
        <v>9820020190</v>
      </c>
      <c r="I1255" s="313" t="str">
        <f t="shared" si="132"/>
        <v>9820020190</v>
      </c>
      <c r="J1255" s="30" t="str">
        <f t="shared" si="133"/>
        <v>61705019820020190240</v>
      </c>
    </row>
    <row r="1256" spans="1:10" s="3" customFormat="1" ht="25.5">
      <c r="A1256" s="236" t="s">
        <v>972</v>
      </c>
      <c r="B1256" s="233" t="s">
        <v>5</v>
      </c>
      <c r="C1256" s="234" t="s">
        <v>8</v>
      </c>
      <c r="D1256" s="234" t="s">
        <v>65</v>
      </c>
      <c r="E1256" s="234" t="s">
        <v>1122</v>
      </c>
      <c r="F1256" s="234" t="s">
        <v>1070</v>
      </c>
      <c r="G1256" s="235">
        <f>VLOOKUP(J1256,'исх АС БЮДЖЕТ'!$A$10:$H$568,6,0)</f>
        <v>12297.03</v>
      </c>
      <c r="H1256" s="234">
        <v>9820020190</v>
      </c>
      <c r="I1256" s="313" t="str">
        <f t="shared" si="132"/>
        <v>9820020190</v>
      </c>
      <c r="J1256" s="30" t="str">
        <f t="shared" si="133"/>
        <v>61705019820020190243</v>
      </c>
    </row>
    <row r="1257" spans="1:10" s="3" customFormat="1">
      <c r="A1257" s="228" t="s">
        <v>1</v>
      </c>
      <c r="B1257" s="229" t="s">
        <v>5</v>
      </c>
      <c r="C1257" s="230" t="s">
        <v>8</v>
      </c>
      <c r="D1257" s="230" t="s">
        <v>53</v>
      </c>
      <c r="E1257" s="230" t="s">
        <v>196</v>
      </c>
      <c r="F1257" s="230" t="s">
        <v>58</v>
      </c>
      <c r="G1257" s="231">
        <f t="shared" ref="G1257:G1259" si="135">G1258</f>
        <v>16720764.85</v>
      </c>
      <c r="H1257" s="230">
        <v>0</v>
      </c>
      <c r="I1257" s="313" t="str">
        <f t="shared" si="132"/>
        <v>0000000000</v>
      </c>
      <c r="J1257" s="30" t="str">
        <f t="shared" si="133"/>
        <v>61705030000000000000</v>
      </c>
    </row>
    <row r="1258" spans="1:10" s="3" customFormat="1" ht="38.25">
      <c r="A1258" s="236" t="s">
        <v>722</v>
      </c>
      <c r="B1258" s="241" t="s">
        <v>5</v>
      </c>
      <c r="C1258" s="242" t="s">
        <v>8</v>
      </c>
      <c r="D1258" s="242" t="s">
        <v>53</v>
      </c>
      <c r="E1258" s="242" t="s">
        <v>300</v>
      </c>
      <c r="F1258" s="242" t="s">
        <v>58</v>
      </c>
      <c r="G1258" s="243">
        <f t="shared" si="135"/>
        <v>16720764.85</v>
      </c>
      <c r="H1258" s="242">
        <v>400000000</v>
      </c>
      <c r="I1258" s="313" t="str">
        <f t="shared" si="132"/>
        <v>0400000000</v>
      </c>
      <c r="J1258" s="30" t="str">
        <f t="shared" si="133"/>
        <v>61705030400000000000</v>
      </c>
    </row>
    <row r="1259" spans="1:10" s="3" customFormat="1">
      <c r="A1259" s="252" t="s">
        <v>142</v>
      </c>
      <c r="B1259" s="241" t="s">
        <v>5</v>
      </c>
      <c r="C1259" s="242" t="s">
        <v>8</v>
      </c>
      <c r="D1259" s="242" t="s">
        <v>53</v>
      </c>
      <c r="E1259" s="242" t="s">
        <v>453</v>
      </c>
      <c r="F1259" s="242" t="s">
        <v>58</v>
      </c>
      <c r="G1259" s="243">
        <f t="shared" si="135"/>
        <v>16720764.85</v>
      </c>
      <c r="H1259" s="242">
        <v>430000000</v>
      </c>
      <c r="I1259" s="313" t="str">
        <f t="shared" si="132"/>
        <v>0430000000</v>
      </c>
      <c r="J1259" s="30" t="str">
        <f t="shared" si="133"/>
        <v>61705030430000000000</v>
      </c>
    </row>
    <row r="1260" spans="1:10" s="3" customFormat="1">
      <c r="A1260" s="252" t="s">
        <v>454</v>
      </c>
      <c r="B1260" s="241" t="s">
        <v>5</v>
      </c>
      <c r="C1260" s="242" t="s">
        <v>8</v>
      </c>
      <c r="D1260" s="242" t="s">
        <v>53</v>
      </c>
      <c r="E1260" s="234" t="s">
        <v>645</v>
      </c>
      <c r="F1260" s="242" t="s">
        <v>58</v>
      </c>
      <c r="G1260" s="243">
        <f>G1261+G1264+G1267</f>
        <v>16720764.85</v>
      </c>
      <c r="H1260" s="234">
        <v>430400000</v>
      </c>
      <c r="I1260" s="313" t="str">
        <f t="shared" si="132"/>
        <v>0430400000</v>
      </c>
      <c r="J1260" s="30" t="str">
        <f t="shared" si="133"/>
        <v>61705030430400000000</v>
      </c>
    </row>
    <row r="1261" spans="1:10" s="3" customFormat="1">
      <c r="A1261" s="232" t="s">
        <v>158</v>
      </c>
      <c r="B1261" s="241" t="s">
        <v>5</v>
      </c>
      <c r="C1261" s="242" t="s">
        <v>8</v>
      </c>
      <c r="D1261" s="242" t="s">
        <v>53</v>
      </c>
      <c r="E1261" s="242" t="s">
        <v>646</v>
      </c>
      <c r="F1261" s="242" t="s">
        <v>58</v>
      </c>
      <c r="G1261" s="243">
        <f>G1262</f>
        <v>6649916.5999999996</v>
      </c>
      <c r="H1261" s="242">
        <v>430420300</v>
      </c>
      <c r="I1261" s="313" t="str">
        <f t="shared" si="132"/>
        <v>0430420300</v>
      </c>
      <c r="J1261" s="30" t="str">
        <f t="shared" si="133"/>
        <v>61705030430420300000</v>
      </c>
    </row>
    <row r="1262" spans="1:10" s="3" customFormat="1" ht="25.5">
      <c r="A1262" s="232" t="s">
        <v>108</v>
      </c>
      <c r="B1262" s="241" t="s">
        <v>5</v>
      </c>
      <c r="C1262" s="242" t="s">
        <v>8</v>
      </c>
      <c r="D1262" s="242" t="s">
        <v>53</v>
      </c>
      <c r="E1262" s="242" t="s">
        <v>646</v>
      </c>
      <c r="F1262" s="242" t="s">
        <v>116</v>
      </c>
      <c r="G1262" s="243">
        <f>G1263</f>
        <v>6649916.5999999996</v>
      </c>
      <c r="H1262" s="242">
        <v>430420300</v>
      </c>
      <c r="I1262" s="313" t="str">
        <f t="shared" si="132"/>
        <v>0430420300</v>
      </c>
      <c r="J1262" s="30" t="str">
        <f t="shared" si="133"/>
        <v>61705030430420300240</v>
      </c>
    </row>
    <row r="1263" spans="1:10" s="4" customFormat="1" ht="25.5">
      <c r="A1263" s="236" t="s">
        <v>973</v>
      </c>
      <c r="B1263" s="241" t="s">
        <v>5</v>
      </c>
      <c r="C1263" s="242" t="s">
        <v>8</v>
      </c>
      <c r="D1263" s="242" t="s">
        <v>53</v>
      </c>
      <c r="E1263" s="242" t="s">
        <v>646</v>
      </c>
      <c r="F1263" s="242" t="s">
        <v>1043</v>
      </c>
      <c r="G1263" s="235">
        <f>VLOOKUP(J1263,'исх АС БЮДЖЕТ'!$A$10:$H$568,6,0)</f>
        <v>6649916.5999999996</v>
      </c>
      <c r="H1263" s="242">
        <v>430420300</v>
      </c>
      <c r="I1263" s="313" t="str">
        <f t="shared" si="132"/>
        <v>0430420300</v>
      </c>
      <c r="J1263" s="30" t="str">
        <f t="shared" si="133"/>
        <v>61705030430420300244</v>
      </c>
    </row>
    <row r="1264" spans="1:10" s="3" customFormat="1">
      <c r="A1264" s="236" t="s">
        <v>890</v>
      </c>
      <c r="B1264" s="241" t="s">
        <v>5</v>
      </c>
      <c r="C1264" s="242" t="s">
        <v>8</v>
      </c>
      <c r="D1264" s="242" t="s">
        <v>53</v>
      </c>
      <c r="E1264" s="242" t="s">
        <v>910</v>
      </c>
      <c r="F1264" s="242" t="s">
        <v>58</v>
      </c>
      <c r="G1264" s="243">
        <f>G1265</f>
        <v>594768.25</v>
      </c>
      <c r="H1264" s="242">
        <v>430421070</v>
      </c>
      <c r="I1264" s="313" t="str">
        <f t="shared" si="132"/>
        <v>0430421070</v>
      </c>
      <c r="J1264" s="30" t="str">
        <f t="shared" si="133"/>
        <v>61705030430421070000</v>
      </c>
    </row>
    <row r="1265" spans="1:10" s="3" customFormat="1" ht="25.5">
      <c r="A1265" s="232" t="s">
        <v>108</v>
      </c>
      <c r="B1265" s="241" t="s">
        <v>5</v>
      </c>
      <c r="C1265" s="242" t="s">
        <v>8</v>
      </c>
      <c r="D1265" s="242" t="s">
        <v>53</v>
      </c>
      <c r="E1265" s="242" t="s">
        <v>910</v>
      </c>
      <c r="F1265" s="242" t="s">
        <v>116</v>
      </c>
      <c r="G1265" s="243">
        <f>G1266</f>
        <v>594768.25</v>
      </c>
      <c r="H1265" s="242">
        <v>430421070</v>
      </c>
      <c r="I1265" s="313" t="str">
        <f t="shared" si="132"/>
        <v>0430421070</v>
      </c>
      <c r="J1265" s="30" t="str">
        <f t="shared" si="133"/>
        <v>61705030430421070240</v>
      </c>
    </row>
    <row r="1266" spans="1:10" s="4" customFormat="1" ht="25.5">
      <c r="A1266" s="236" t="s">
        <v>973</v>
      </c>
      <c r="B1266" s="241" t="s">
        <v>5</v>
      </c>
      <c r="C1266" s="242" t="s">
        <v>8</v>
      </c>
      <c r="D1266" s="242" t="s">
        <v>53</v>
      </c>
      <c r="E1266" s="242" t="s">
        <v>910</v>
      </c>
      <c r="F1266" s="242" t="s">
        <v>1043</v>
      </c>
      <c r="G1266" s="235">
        <f>VLOOKUP(J1266,'исх АС БЮДЖЕТ'!$A$10:$H$568,6,0)</f>
        <v>594768.25</v>
      </c>
      <c r="H1266" s="242">
        <v>430421070</v>
      </c>
      <c r="I1266" s="313" t="str">
        <f t="shared" si="132"/>
        <v>0430421070</v>
      </c>
      <c r="J1266" s="30" t="str">
        <f t="shared" si="133"/>
        <v>61705030430421070244</v>
      </c>
    </row>
    <row r="1267" spans="1:10" s="3" customFormat="1" ht="38.25">
      <c r="A1267" s="236" t="s">
        <v>891</v>
      </c>
      <c r="B1267" s="241" t="s">
        <v>5</v>
      </c>
      <c r="C1267" s="242" t="s">
        <v>8</v>
      </c>
      <c r="D1267" s="242" t="s">
        <v>53</v>
      </c>
      <c r="E1267" s="242" t="s">
        <v>911</v>
      </c>
      <c r="F1267" s="242" t="s">
        <v>58</v>
      </c>
      <c r="G1267" s="243">
        <f>G1268</f>
        <v>9476080</v>
      </c>
      <c r="H1267" s="242">
        <v>430421080</v>
      </c>
      <c r="I1267" s="313" t="str">
        <f t="shared" si="132"/>
        <v>0430421080</v>
      </c>
      <c r="J1267" s="30" t="str">
        <f t="shared" si="133"/>
        <v>61705030430421080000</v>
      </c>
    </row>
    <row r="1268" spans="1:10" s="3" customFormat="1" ht="25.5">
      <c r="A1268" s="232" t="s">
        <v>108</v>
      </c>
      <c r="B1268" s="241" t="s">
        <v>5</v>
      </c>
      <c r="C1268" s="242" t="s">
        <v>8</v>
      </c>
      <c r="D1268" s="242" t="s">
        <v>53</v>
      </c>
      <c r="E1268" s="242" t="s">
        <v>911</v>
      </c>
      <c r="F1268" s="242" t="s">
        <v>116</v>
      </c>
      <c r="G1268" s="243">
        <f>G1269</f>
        <v>9476080</v>
      </c>
      <c r="H1268" s="242">
        <v>430421080</v>
      </c>
      <c r="I1268" s="313" t="str">
        <f t="shared" si="132"/>
        <v>0430421080</v>
      </c>
      <c r="J1268" s="30" t="str">
        <f t="shared" si="133"/>
        <v>61705030430421080240</v>
      </c>
    </row>
    <row r="1269" spans="1:10" s="4" customFormat="1" ht="25.5">
      <c r="A1269" s="236" t="s">
        <v>973</v>
      </c>
      <c r="B1269" s="241" t="s">
        <v>5</v>
      </c>
      <c r="C1269" s="242" t="s">
        <v>8</v>
      </c>
      <c r="D1269" s="242" t="s">
        <v>53</v>
      </c>
      <c r="E1269" s="242" t="s">
        <v>911</v>
      </c>
      <c r="F1269" s="242" t="s">
        <v>1043</v>
      </c>
      <c r="G1269" s="235">
        <f>VLOOKUP(J1269,'исх АС БЮДЖЕТ'!$A$10:$H$568,6,0)</f>
        <v>9476080</v>
      </c>
      <c r="H1269" s="242">
        <v>430421080</v>
      </c>
      <c r="I1269" s="313" t="str">
        <f t="shared" si="132"/>
        <v>0430421080</v>
      </c>
      <c r="J1269" s="30" t="str">
        <f t="shared" si="133"/>
        <v>61705030430421080244</v>
      </c>
    </row>
    <row r="1270" spans="1:10" s="3" customFormat="1">
      <c r="A1270" s="224" t="s">
        <v>499</v>
      </c>
      <c r="B1270" s="225" t="s">
        <v>5</v>
      </c>
      <c r="C1270" s="226" t="s">
        <v>50</v>
      </c>
      <c r="D1270" s="226" t="s">
        <v>51</v>
      </c>
      <c r="E1270" s="226" t="s">
        <v>196</v>
      </c>
      <c r="F1270" s="226" t="s">
        <v>58</v>
      </c>
      <c r="G1270" s="227">
        <f t="shared" ref="G1270:G1273" si="136">G1271</f>
        <v>1635000</v>
      </c>
      <c r="H1270" s="226">
        <v>0</v>
      </c>
      <c r="I1270" s="313" t="str">
        <f t="shared" si="132"/>
        <v>0000000000</v>
      </c>
      <c r="J1270" s="30" t="str">
        <f t="shared" si="133"/>
        <v>61708000000000000000</v>
      </c>
    </row>
    <row r="1271" spans="1:10" s="3" customFormat="1">
      <c r="A1271" s="228" t="s">
        <v>27</v>
      </c>
      <c r="B1271" s="229" t="s">
        <v>5</v>
      </c>
      <c r="C1271" s="230" t="s">
        <v>50</v>
      </c>
      <c r="D1271" s="230" t="s">
        <v>65</v>
      </c>
      <c r="E1271" s="230" t="s">
        <v>196</v>
      </c>
      <c r="F1271" s="230" t="s">
        <v>58</v>
      </c>
      <c r="G1271" s="231">
        <f t="shared" si="136"/>
        <v>1635000</v>
      </c>
      <c r="H1271" s="230">
        <v>0</v>
      </c>
      <c r="I1271" s="313" t="str">
        <f t="shared" si="132"/>
        <v>0000000000</v>
      </c>
      <c r="J1271" s="30" t="str">
        <f t="shared" si="133"/>
        <v>61708010000000000000</v>
      </c>
    </row>
    <row r="1272" spans="1:10" s="3" customFormat="1">
      <c r="A1272" s="232" t="s">
        <v>739</v>
      </c>
      <c r="B1272" s="241" t="s">
        <v>5</v>
      </c>
      <c r="C1272" s="242" t="s">
        <v>50</v>
      </c>
      <c r="D1272" s="242" t="s">
        <v>65</v>
      </c>
      <c r="E1272" s="242" t="s">
        <v>277</v>
      </c>
      <c r="F1272" s="242" t="s">
        <v>58</v>
      </c>
      <c r="G1272" s="243">
        <f t="shared" si="136"/>
        <v>1635000</v>
      </c>
      <c r="H1272" s="242">
        <v>700000000</v>
      </c>
      <c r="I1272" s="313" t="str">
        <f t="shared" si="132"/>
        <v>0700000000</v>
      </c>
      <c r="J1272" s="30" t="str">
        <f t="shared" si="133"/>
        <v>61708010700000000000</v>
      </c>
    </row>
    <row r="1273" spans="1:10" s="3" customFormat="1" ht="38.25">
      <c r="A1273" s="252" t="s">
        <v>191</v>
      </c>
      <c r="B1273" s="241" t="s">
        <v>5</v>
      </c>
      <c r="C1273" s="242" t="s">
        <v>50</v>
      </c>
      <c r="D1273" s="242" t="s">
        <v>65</v>
      </c>
      <c r="E1273" s="242" t="s">
        <v>278</v>
      </c>
      <c r="F1273" s="242" t="s">
        <v>58</v>
      </c>
      <c r="G1273" s="243">
        <f t="shared" si="136"/>
        <v>1635000</v>
      </c>
      <c r="H1273" s="242">
        <v>710000000</v>
      </c>
      <c r="I1273" s="313" t="str">
        <f t="shared" si="132"/>
        <v>0710000000</v>
      </c>
      <c r="J1273" s="30" t="str">
        <f t="shared" si="133"/>
        <v>61708010710000000000</v>
      </c>
    </row>
    <row r="1274" spans="1:10" s="3" customFormat="1" ht="51">
      <c r="A1274" s="252" t="s">
        <v>605</v>
      </c>
      <c r="B1274" s="241" t="s">
        <v>5</v>
      </c>
      <c r="C1274" s="242" t="s">
        <v>50</v>
      </c>
      <c r="D1274" s="242" t="s">
        <v>65</v>
      </c>
      <c r="E1274" s="242" t="s">
        <v>279</v>
      </c>
      <c r="F1274" s="242" t="s">
        <v>58</v>
      </c>
      <c r="G1274" s="243">
        <f>G1275+G1278</f>
        <v>1635000</v>
      </c>
      <c r="H1274" s="242">
        <v>710100000</v>
      </c>
      <c r="I1274" s="313" t="str">
        <f t="shared" si="132"/>
        <v>0710100000</v>
      </c>
      <c r="J1274" s="30" t="str">
        <f t="shared" si="133"/>
        <v>61708010710100000000</v>
      </c>
    </row>
    <row r="1275" spans="1:10" s="3" customFormat="1">
      <c r="A1275" s="232" t="s">
        <v>161</v>
      </c>
      <c r="B1275" s="241" t="s">
        <v>5</v>
      </c>
      <c r="C1275" s="242" t="s">
        <v>50</v>
      </c>
      <c r="D1275" s="242" t="s">
        <v>65</v>
      </c>
      <c r="E1275" s="242" t="s">
        <v>320</v>
      </c>
      <c r="F1275" s="242" t="s">
        <v>58</v>
      </c>
      <c r="G1275" s="243">
        <f>G1276</f>
        <v>1145000</v>
      </c>
      <c r="H1275" s="242">
        <v>710120060</v>
      </c>
      <c r="I1275" s="313" t="str">
        <f t="shared" si="132"/>
        <v>0710120060</v>
      </c>
      <c r="J1275" s="30" t="str">
        <f t="shared" si="133"/>
        <v>61708010710120060000</v>
      </c>
    </row>
    <row r="1276" spans="1:10" s="3" customFormat="1" ht="25.5">
      <c r="A1276" s="232" t="s">
        <v>108</v>
      </c>
      <c r="B1276" s="241" t="s">
        <v>5</v>
      </c>
      <c r="C1276" s="242" t="s">
        <v>50</v>
      </c>
      <c r="D1276" s="242" t="s">
        <v>65</v>
      </c>
      <c r="E1276" s="242" t="s">
        <v>320</v>
      </c>
      <c r="F1276" s="242" t="s">
        <v>116</v>
      </c>
      <c r="G1276" s="243">
        <f>G1277</f>
        <v>1145000</v>
      </c>
      <c r="H1276" s="242">
        <v>710120060</v>
      </c>
      <c r="I1276" s="313" t="str">
        <f t="shared" si="132"/>
        <v>0710120060</v>
      </c>
      <c r="J1276" s="30" t="str">
        <f t="shared" si="133"/>
        <v>61708010710120060240</v>
      </c>
    </row>
    <row r="1277" spans="1:10" s="4" customFormat="1" ht="25.5">
      <c r="A1277" s="236" t="s">
        <v>973</v>
      </c>
      <c r="B1277" s="241" t="s">
        <v>5</v>
      </c>
      <c r="C1277" s="242" t="s">
        <v>50</v>
      </c>
      <c r="D1277" s="242" t="s">
        <v>65</v>
      </c>
      <c r="E1277" s="242" t="s">
        <v>320</v>
      </c>
      <c r="F1277" s="242" t="s">
        <v>1043</v>
      </c>
      <c r="G1277" s="235">
        <f>VLOOKUP(J1277,'исх АС БЮДЖЕТ'!$A$10:$H$568,6,0)</f>
        <v>1145000</v>
      </c>
      <c r="H1277" s="242">
        <v>710120060</v>
      </c>
      <c r="I1277" s="313" t="str">
        <f t="shared" si="132"/>
        <v>0710120060</v>
      </c>
      <c r="J1277" s="30" t="str">
        <f t="shared" si="133"/>
        <v>61708010710120060244</v>
      </c>
    </row>
    <row r="1278" spans="1:10" s="3" customFormat="1" ht="25.5">
      <c r="A1278" s="236" t="s">
        <v>892</v>
      </c>
      <c r="B1278" s="241" t="s">
        <v>5</v>
      </c>
      <c r="C1278" s="242" t="s">
        <v>50</v>
      </c>
      <c r="D1278" s="242" t="s">
        <v>65</v>
      </c>
      <c r="E1278" s="242" t="s">
        <v>500</v>
      </c>
      <c r="F1278" s="242" t="s">
        <v>58</v>
      </c>
      <c r="G1278" s="243">
        <f>G1279</f>
        <v>490000</v>
      </c>
      <c r="H1278" s="242">
        <v>710121130</v>
      </c>
      <c r="I1278" s="313" t="str">
        <f t="shared" si="132"/>
        <v>0710121130</v>
      </c>
      <c r="J1278" s="30" t="str">
        <f t="shared" si="133"/>
        <v>61708010710121130000</v>
      </c>
    </row>
    <row r="1279" spans="1:10" s="4" customFormat="1" ht="25.5">
      <c r="A1279" s="232" t="s">
        <v>108</v>
      </c>
      <c r="B1279" s="241" t="s">
        <v>5</v>
      </c>
      <c r="C1279" s="242" t="s">
        <v>50</v>
      </c>
      <c r="D1279" s="242" t="s">
        <v>65</v>
      </c>
      <c r="E1279" s="242" t="s">
        <v>500</v>
      </c>
      <c r="F1279" s="242" t="s">
        <v>116</v>
      </c>
      <c r="G1279" s="243">
        <f>G1280</f>
        <v>490000</v>
      </c>
      <c r="H1279" s="242">
        <v>710121130</v>
      </c>
      <c r="I1279" s="313" t="str">
        <f t="shared" si="132"/>
        <v>0710121130</v>
      </c>
      <c r="J1279" s="30" t="str">
        <f t="shared" si="133"/>
        <v>61708010710121130240</v>
      </c>
    </row>
    <row r="1280" spans="1:10" s="94" customFormat="1" ht="25.5">
      <c r="A1280" s="236" t="s">
        <v>973</v>
      </c>
      <c r="B1280" s="241" t="s">
        <v>5</v>
      </c>
      <c r="C1280" s="242" t="s">
        <v>50</v>
      </c>
      <c r="D1280" s="242" t="s">
        <v>65</v>
      </c>
      <c r="E1280" s="242" t="s">
        <v>500</v>
      </c>
      <c r="F1280" s="242" t="s">
        <v>1043</v>
      </c>
      <c r="G1280" s="235">
        <f>VLOOKUP(J1280,'исх АС БЮДЖЕТ'!$A$10:$H$568,6,0)</f>
        <v>490000</v>
      </c>
      <c r="H1280" s="242">
        <v>710121130</v>
      </c>
      <c r="I1280" s="313" t="str">
        <f t="shared" si="132"/>
        <v>0710121130</v>
      </c>
      <c r="J1280" s="30" t="str">
        <f t="shared" si="133"/>
        <v>61708010710121130244</v>
      </c>
    </row>
    <row r="1281" spans="1:10" s="94" customFormat="1">
      <c r="A1281" s="238"/>
      <c r="B1281" s="276"/>
      <c r="C1281" s="277"/>
      <c r="D1281" s="277"/>
      <c r="E1281" s="277"/>
      <c r="F1281" s="277"/>
      <c r="G1281" s="235"/>
      <c r="H1281" s="277"/>
      <c r="I1281" s="313" t="str">
        <f t="shared" si="132"/>
        <v>0000000000</v>
      </c>
      <c r="J1281" s="30" t="str">
        <f t="shared" si="133"/>
        <v>0000000000</v>
      </c>
    </row>
    <row r="1282" spans="1:10" s="3" customFormat="1">
      <c r="A1282" s="219" t="s">
        <v>11</v>
      </c>
      <c r="B1282" s="220" t="s">
        <v>12</v>
      </c>
      <c r="C1282" s="221" t="s">
        <v>51</v>
      </c>
      <c r="D1282" s="221" t="s">
        <v>51</v>
      </c>
      <c r="E1282" s="221" t="s">
        <v>196</v>
      </c>
      <c r="F1282" s="221" t="s">
        <v>58</v>
      </c>
      <c r="G1282" s="222">
        <f>G1283+G1317+G1331+G1358</f>
        <v>108638012.7</v>
      </c>
      <c r="H1282" s="221">
        <v>0</v>
      </c>
      <c r="I1282" s="313" t="str">
        <f t="shared" si="132"/>
        <v>0000000000</v>
      </c>
      <c r="J1282" s="30" t="str">
        <f t="shared" si="133"/>
        <v>61800000000000000000</v>
      </c>
    </row>
    <row r="1283" spans="1:10" s="3" customFormat="1">
      <c r="A1283" s="224" t="s">
        <v>64</v>
      </c>
      <c r="B1283" s="225" t="s">
        <v>12</v>
      </c>
      <c r="C1283" s="226" t="s">
        <v>65</v>
      </c>
      <c r="D1283" s="226" t="s">
        <v>51</v>
      </c>
      <c r="E1283" s="226" t="s">
        <v>196</v>
      </c>
      <c r="F1283" s="226" t="s">
        <v>58</v>
      </c>
      <c r="G1283" s="227">
        <f>G1284+G1310</f>
        <v>30927470</v>
      </c>
      <c r="H1283" s="226">
        <v>0</v>
      </c>
      <c r="I1283" s="313" t="str">
        <f t="shared" si="132"/>
        <v>0000000000</v>
      </c>
      <c r="J1283" s="30" t="str">
        <f t="shared" si="133"/>
        <v>61801000000000000000</v>
      </c>
    </row>
    <row r="1284" spans="1:10" s="3" customFormat="1" ht="38.25">
      <c r="A1284" s="228" t="s">
        <v>31</v>
      </c>
      <c r="B1284" s="229" t="s">
        <v>12</v>
      </c>
      <c r="C1284" s="230" t="s">
        <v>65</v>
      </c>
      <c r="D1284" s="230" t="s">
        <v>37</v>
      </c>
      <c r="E1284" s="230" t="s">
        <v>196</v>
      </c>
      <c r="F1284" s="230" t="s">
        <v>58</v>
      </c>
      <c r="G1284" s="231">
        <f t="shared" ref="G1284:G1285" si="137">G1285</f>
        <v>30573170</v>
      </c>
      <c r="H1284" s="230">
        <v>0</v>
      </c>
      <c r="I1284" s="313" t="str">
        <f t="shared" si="132"/>
        <v>0000000000</v>
      </c>
      <c r="J1284" s="30" t="str">
        <f t="shared" si="133"/>
        <v>61801040000000000000</v>
      </c>
    </row>
    <row r="1285" spans="1:10" s="3" customFormat="1">
      <c r="A1285" s="232" t="s">
        <v>149</v>
      </c>
      <c r="B1285" s="233" t="s">
        <v>12</v>
      </c>
      <c r="C1285" s="234" t="s">
        <v>65</v>
      </c>
      <c r="D1285" s="234" t="s">
        <v>37</v>
      </c>
      <c r="E1285" s="234" t="s">
        <v>501</v>
      </c>
      <c r="F1285" s="234" t="s">
        <v>58</v>
      </c>
      <c r="G1285" s="235">
        <f t="shared" si="137"/>
        <v>30573170</v>
      </c>
      <c r="H1285" s="234">
        <v>8100000000</v>
      </c>
      <c r="I1285" s="313" t="str">
        <f t="shared" si="132"/>
        <v>8100000000</v>
      </c>
      <c r="J1285" s="30" t="str">
        <f t="shared" si="133"/>
        <v>61801048100000000000</v>
      </c>
    </row>
    <row r="1286" spans="1:10" s="3" customFormat="1" ht="25.5">
      <c r="A1286" s="232" t="s">
        <v>150</v>
      </c>
      <c r="B1286" s="233" t="s">
        <v>12</v>
      </c>
      <c r="C1286" s="234" t="s">
        <v>65</v>
      </c>
      <c r="D1286" s="234" t="s">
        <v>37</v>
      </c>
      <c r="E1286" s="234" t="s">
        <v>502</v>
      </c>
      <c r="F1286" s="234" t="s">
        <v>58</v>
      </c>
      <c r="G1286" s="235">
        <f>G1287+G1296+G1300+G1307</f>
        <v>30573170</v>
      </c>
      <c r="H1286" s="234">
        <v>8110000000</v>
      </c>
      <c r="I1286" s="313" t="str">
        <f t="shared" si="132"/>
        <v>8110000000</v>
      </c>
      <c r="J1286" s="30" t="str">
        <f t="shared" si="133"/>
        <v>61801048110000000000</v>
      </c>
    </row>
    <row r="1287" spans="1:10" s="3" customFormat="1" ht="25.5">
      <c r="A1287" s="232" t="s">
        <v>114</v>
      </c>
      <c r="B1287" s="233" t="s">
        <v>12</v>
      </c>
      <c r="C1287" s="234" t="s">
        <v>65</v>
      </c>
      <c r="D1287" s="234" t="s">
        <v>37</v>
      </c>
      <c r="E1287" s="234" t="s">
        <v>503</v>
      </c>
      <c r="F1287" s="234" t="s">
        <v>58</v>
      </c>
      <c r="G1287" s="235">
        <f>G1288+G1291+G1293</f>
        <v>3759800</v>
      </c>
      <c r="H1287" s="234">
        <v>8110010010</v>
      </c>
      <c r="I1287" s="313" t="str">
        <f t="shared" si="132"/>
        <v>8110010010</v>
      </c>
      <c r="J1287" s="30" t="str">
        <f t="shared" si="133"/>
        <v>61801048110010010000</v>
      </c>
    </row>
    <row r="1288" spans="1:10" s="3" customFormat="1">
      <c r="A1288" s="237" t="s">
        <v>107</v>
      </c>
      <c r="B1288" s="233" t="s">
        <v>12</v>
      </c>
      <c r="C1288" s="234" t="s">
        <v>65</v>
      </c>
      <c r="D1288" s="234" t="s">
        <v>37</v>
      </c>
      <c r="E1288" s="234" t="s">
        <v>503</v>
      </c>
      <c r="F1288" s="234" t="s">
        <v>115</v>
      </c>
      <c r="G1288" s="235">
        <f>SUM(G1289:G1290)</f>
        <v>637110</v>
      </c>
      <c r="H1288" s="234">
        <v>8110010010</v>
      </c>
      <c r="I1288" s="313" t="str">
        <f t="shared" si="132"/>
        <v>8110010010</v>
      </c>
      <c r="J1288" s="30" t="str">
        <f t="shared" si="133"/>
        <v>61801048110010010120</v>
      </c>
    </row>
    <row r="1289" spans="1:10" s="71" customFormat="1" ht="25.5">
      <c r="A1289" s="236" t="s">
        <v>937</v>
      </c>
      <c r="B1289" s="233" t="s">
        <v>12</v>
      </c>
      <c r="C1289" s="234" t="s">
        <v>65</v>
      </c>
      <c r="D1289" s="234" t="s">
        <v>37</v>
      </c>
      <c r="E1289" s="234" t="s">
        <v>503</v>
      </c>
      <c r="F1289" s="234" t="s">
        <v>1059</v>
      </c>
      <c r="G1289" s="235">
        <f>VLOOKUP(J1289,'исх АС БЮДЖЕТ'!$A$10:$H$568,6,0)</f>
        <v>489330</v>
      </c>
      <c r="H1289" s="234">
        <v>8110010010</v>
      </c>
      <c r="I1289" s="313" t="str">
        <f t="shared" si="132"/>
        <v>8110010010</v>
      </c>
      <c r="J1289" s="30" t="str">
        <f t="shared" si="133"/>
        <v>61801048110010010122</v>
      </c>
    </row>
    <row r="1290" spans="1:10" s="71" customFormat="1" ht="38.25">
      <c r="A1290" s="236" t="s">
        <v>939</v>
      </c>
      <c r="B1290" s="233" t="s">
        <v>12</v>
      </c>
      <c r="C1290" s="234" t="s">
        <v>65</v>
      </c>
      <c r="D1290" s="234" t="s">
        <v>37</v>
      </c>
      <c r="E1290" s="234" t="s">
        <v>503</v>
      </c>
      <c r="F1290" s="234" t="s">
        <v>1060</v>
      </c>
      <c r="G1290" s="235">
        <f>VLOOKUP(J1290,'исх АС БЮДЖЕТ'!$A$10:$H$568,6,0)</f>
        <v>147780</v>
      </c>
      <c r="H1290" s="234">
        <v>8110010010</v>
      </c>
      <c r="I1290" s="313" t="str">
        <f t="shared" si="132"/>
        <v>8110010010</v>
      </c>
      <c r="J1290" s="30" t="str">
        <f t="shared" si="133"/>
        <v>61801048110010010129</v>
      </c>
    </row>
    <row r="1291" spans="1:10" s="3" customFormat="1" ht="25.5">
      <c r="A1291" s="232" t="s">
        <v>108</v>
      </c>
      <c r="B1291" s="233" t="s">
        <v>12</v>
      </c>
      <c r="C1291" s="234" t="s">
        <v>65</v>
      </c>
      <c r="D1291" s="234" t="s">
        <v>37</v>
      </c>
      <c r="E1291" s="234" t="s">
        <v>503</v>
      </c>
      <c r="F1291" s="234" t="s">
        <v>116</v>
      </c>
      <c r="G1291" s="235">
        <f>G1292</f>
        <v>3080790</v>
      </c>
      <c r="H1291" s="234">
        <v>8110010010</v>
      </c>
      <c r="I1291" s="313" t="str">
        <f t="shared" si="132"/>
        <v>8110010010</v>
      </c>
      <c r="J1291" s="30" t="str">
        <f t="shared" si="133"/>
        <v>61801048110010010240</v>
      </c>
    </row>
    <row r="1292" spans="1:10" s="4" customFormat="1" ht="25.5">
      <c r="A1292" s="236" t="s">
        <v>973</v>
      </c>
      <c r="B1292" s="233" t="s">
        <v>12</v>
      </c>
      <c r="C1292" s="234" t="s">
        <v>65</v>
      </c>
      <c r="D1292" s="234" t="s">
        <v>37</v>
      </c>
      <c r="E1292" s="234" t="s">
        <v>503</v>
      </c>
      <c r="F1292" s="234" t="s">
        <v>1043</v>
      </c>
      <c r="G1292" s="235">
        <f>VLOOKUP(J1292,'исх АС БЮДЖЕТ'!$A$10:$H$568,6,0)</f>
        <v>3080790</v>
      </c>
      <c r="H1292" s="234">
        <v>8110010010</v>
      </c>
      <c r="I1292" s="313" t="str">
        <f t="shared" si="132"/>
        <v>8110010010</v>
      </c>
      <c r="J1292" s="30" t="str">
        <f t="shared" si="133"/>
        <v>61801048110010010244</v>
      </c>
    </row>
    <row r="1293" spans="1:10" s="3" customFormat="1">
      <c r="A1293" s="232" t="s">
        <v>97</v>
      </c>
      <c r="B1293" s="233" t="s">
        <v>12</v>
      </c>
      <c r="C1293" s="234" t="s">
        <v>65</v>
      </c>
      <c r="D1293" s="234" t="s">
        <v>37</v>
      </c>
      <c r="E1293" s="234" t="s">
        <v>503</v>
      </c>
      <c r="F1293" s="234" t="s">
        <v>118</v>
      </c>
      <c r="G1293" s="235">
        <f>SUM(G1294:G1295)</f>
        <v>41900</v>
      </c>
      <c r="H1293" s="234">
        <v>8110010010</v>
      </c>
      <c r="I1293" s="313" t="str">
        <f t="shared" si="132"/>
        <v>8110010010</v>
      </c>
      <c r="J1293" s="30" t="str">
        <f t="shared" si="133"/>
        <v>61801048110010010850</v>
      </c>
    </row>
    <row r="1294" spans="1:10" s="3" customFormat="1">
      <c r="A1294" s="232" t="s">
        <v>1036</v>
      </c>
      <c r="B1294" s="233" t="s">
        <v>12</v>
      </c>
      <c r="C1294" s="234" t="s">
        <v>65</v>
      </c>
      <c r="D1294" s="234" t="s">
        <v>37</v>
      </c>
      <c r="E1294" s="234" t="s">
        <v>503</v>
      </c>
      <c r="F1294" s="234" t="s">
        <v>1061</v>
      </c>
      <c r="G1294" s="235">
        <f>VLOOKUP(J1294,'исх АС БЮДЖЕТ'!$A$10:$H$568,6,0)</f>
        <v>22800</v>
      </c>
      <c r="H1294" s="234">
        <v>8110010010</v>
      </c>
      <c r="I1294" s="313" t="str">
        <f t="shared" si="132"/>
        <v>8110010010</v>
      </c>
      <c r="J1294" s="30" t="str">
        <f t="shared" si="133"/>
        <v>61801048110010010851</v>
      </c>
    </row>
    <row r="1295" spans="1:10" s="3" customFormat="1">
      <c r="A1295" s="232" t="s">
        <v>1037</v>
      </c>
      <c r="B1295" s="233" t="s">
        <v>12</v>
      </c>
      <c r="C1295" s="234" t="s">
        <v>65</v>
      </c>
      <c r="D1295" s="234" t="s">
        <v>37</v>
      </c>
      <c r="E1295" s="234" t="s">
        <v>503</v>
      </c>
      <c r="F1295" s="234" t="s">
        <v>1062</v>
      </c>
      <c r="G1295" s="235">
        <f>VLOOKUP(J1295,'исх АС БЮДЖЕТ'!$A$10:$H$568,6,0)</f>
        <v>19100</v>
      </c>
      <c r="H1295" s="234">
        <v>8110010010</v>
      </c>
      <c r="I1295" s="313" t="str">
        <f t="shared" si="132"/>
        <v>8110010010</v>
      </c>
      <c r="J1295" s="30" t="str">
        <f t="shared" si="133"/>
        <v>61801048110010010852</v>
      </c>
    </row>
    <row r="1296" spans="1:10" s="3" customFormat="1" ht="25.5">
      <c r="A1296" s="237" t="s">
        <v>504</v>
      </c>
      <c r="B1296" s="233" t="s">
        <v>12</v>
      </c>
      <c r="C1296" s="234" t="s">
        <v>65</v>
      </c>
      <c r="D1296" s="234" t="s">
        <v>37</v>
      </c>
      <c r="E1296" s="234" t="s">
        <v>505</v>
      </c>
      <c r="F1296" s="234" t="s">
        <v>58</v>
      </c>
      <c r="G1296" s="235">
        <f>G1297</f>
        <v>25543000</v>
      </c>
      <c r="H1296" s="234">
        <v>8110010020</v>
      </c>
      <c r="I1296" s="313" t="str">
        <f t="shared" si="132"/>
        <v>8110010020</v>
      </c>
      <c r="J1296" s="30" t="str">
        <f t="shared" si="133"/>
        <v>61801048110010020000</v>
      </c>
    </row>
    <row r="1297" spans="1:10" s="3" customFormat="1">
      <c r="A1297" s="237" t="s">
        <v>107</v>
      </c>
      <c r="B1297" s="233" t="s">
        <v>12</v>
      </c>
      <c r="C1297" s="234" t="s">
        <v>65</v>
      </c>
      <c r="D1297" s="234" t="s">
        <v>37</v>
      </c>
      <c r="E1297" s="234" t="s">
        <v>505</v>
      </c>
      <c r="F1297" s="234" t="s">
        <v>115</v>
      </c>
      <c r="G1297" s="235">
        <f>SUM(G1298:G1299)</f>
        <v>25543000</v>
      </c>
      <c r="H1297" s="234">
        <v>8110010020</v>
      </c>
      <c r="I1297" s="313" t="str">
        <f t="shared" si="132"/>
        <v>8110010020</v>
      </c>
      <c r="J1297" s="30" t="str">
        <f t="shared" si="133"/>
        <v>61801048110010020120</v>
      </c>
    </row>
    <row r="1298" spans="1:10" s="94" customFormat="1">
      <c r="A1298" s="236" t="s">
        <v>936</v>
      </c>
      <c r="B1298" s="233" t="s">
        <v>12</v>
      </c>
      <c r="C1298" s="234" t="s">
        <v>65</v>
      </c>
      <c r="D1298" s="234" t="s">
        <v>37</v>
      </c>
      <c r="E1298" s="234" t="s">
        <v>505</v>
      </c>
      <c r="F1298" s="234" t="s">
        <v>1063</v>
      </c>
      <c r="G1298" s="235">
        <f>VLOOKUP(J1298,'исх АС БЮДЖЕТ'!$A$10:$H$568,6,0)</f>
        <v>19618280</v>
      </c>
      <c r="H1298" s="234">
        <v>8110010020</v>
      </c>
      <c r="I1298" s="313" t="str">
        <f t="shared" si="132"/>
        <v>8110010020</v>
      </c>
      <c r="J1298" s="30" t="str">
        <f t="shared" si="133"/>
        <v>61801048110010020121</v>
      </c>
    </row>
    <row r="1299" spans="1:10" s="94" customFormat="1" ht="38.25">
      <c r="A1299" s="236" t="s">
        <v>939</v>
      </c>
      <c r="B1299" s="233" t="s">
        <v>12</v>
      </c>
      <c r="C1299" s="234" t="s">
        <v>65</v>
      </c>
      <c r="D1299" s="234" t="s">
        <v>37</v>
      </c>
      <c r="E1299" s="234" t="s">
        <v>505</v>
      </c>
      <c r="F1299" s="234" t="s">
        <v>1060</v>
      </c>
      <c r="G1299" s="235">
        <f>VLOOKUP(J1299,'исх АС БЮДЖЕТ'!$A$10:$H$568,6,0)</f>
        <v>5924720</v>
      </c>
      <c r="H1299" s="234">
        <v>8110010020</v>
      </c>
      <c r="I1299" s="313" t="str">
        <f t="shared" si="132"/>
        <v>8110010020</v>
      </c>
      <c r="J1299" s="30" t="str">
        <f t="shared" si="133"/>
        <v>61801048110010020129</v>
      </c>
    </row>
    <row r="1300" spans="1:10" s="3" customFormat="1" ht="38.25">
      <c r="A1300" s="267" t="s">
        <v>598</v>
      </c>
      <c r="B1300" s="233" t="s">
        <v>12</v>
      </c>
      <c r="C1300" s="234" t="s">
        <v>65</v>
      </c>
      <c r="D1300" s="234" t="s">
        <v>37</v>
      </c>
      <c r="E1300" s="234" t="s">
        <v>506</v>
      </c>
      <c r="F1300" s="234" t="s">
        <v>58</v>
      </c>
      <c r="G1300" s="235">
        <f>G1301+G1305</f>
        <v>1218630</v>
      </c>
      <c r="H1300" s="234">
        <v>8110076200</v>
      </c>
      <c r="I1300" s="313" t="str">
        <f t="shared" si="132"/>
        <v>8110076200</v>
      </c>
      <c r="J1300" s="30" t="str">
        <f t="shared" si="133"/>
        <v>61801048110076200000</v>
      </c>
    </row>
    <row r="1301" spans="1:10" s="3" customFormat="1">
      <c r="A1301" s="237" t="s">
        <v>107</v>
      </c>
      <c r="B1301" s="233" t="s">
        <v>12</v>
      </c>
      <c r="C1301" s="234" t="s">
        <v>65</v>
      </c>
      <c r="D1301" s="234" t="s">
        <v>37</v>
      </c>
      <c r="E1301" s="234" t="s">
        <v>506</v>
      </c>
      <c r="F1301" s="234" t="s">
        <v>115</v>
      </c>
      <c r="G1301" s="235">
        <f>SUM(G1302:G1304)</f>
        <v>1059710</v>
      </c>
      <c r="H1301" s="234">
        <v>8110076200</v>
      </c>
      <c r="I1301" s="313" t="str">
        <f t="shared" si="132"/>
        <v>8110076200</v>
      </c>
      <c r="J1301" s="30" t="str">
        <f t="shared" si="133"/>
        <v>61801048110076200120</v>
      </c>
    </row>
    <row r="1302" spans="1:10" s="4" customFormat="1">
      <c r="A1302" s="232" t="s">
        <v>936</v>
      </c>
      <c r="B1302" s="233" t="s">
        <v>12</v>
      </c>
      <c r="C1302" s="234" t="s">
        <v>65</v>
      </c>
      <c r="D1302" s="234" t="s">
        <v>37</v>
      </c>
      <c r="E1302" s="234" t="s">
        <v>506</v>
      </c>
      <c r="F1302" s="234" t="s">
        <v>1063</v>
      </c>
      <c r="G1302" s="235">
        <f>VLOOKUP(J1302,'исх АС БЮДЖЕТ'!$A$10:$H$568,6,0)</f>
        <v>775600</v>
      </c>
      <c r="H1302" s="234">
        <v>8110076200</v>
      </c>
      <c r="I1302" s="313" t="str">
        <f t="shared" si="132"/>
        <v>8110076200</v>
      </c>
      <c r="J1302" s="30" t="str">
        <f t="shared" si="133"/>
        <v>61801048110076200121</v>
      </c>
    </row>
    <row r="1303" spans="1:10" s="4" customFormat="1" ht="25.5">
      <c r="A1303" s="236" t="s">
        <v>937</v>
      </c>
      <c r="B1303" s="233" t="s">
        <v>12</v>
      </c>
      <c r="C1303" s="234" t="s">
        <v>65</v>
      </c>
      <c r="D1303" s="234" t="s">
        <v>37</v>
      </c>
      <c r="E1303" s="234" t="s">
        <v>506</v>
      </c>
      <c r="F1303" s="234" t="s">
        <v>1059</v>
      </c>
      <c r="G1303" s="235">
        <f>VLOOKUP(J1303,'исх АС БЮДЖЕТ'!$A$10:$H$568,6,0)</f>
        <v>38300</v>
      </c>
      <c r="H1303" s="234">
        <v>8110076200</v>
      </c>
      <c r="I1303" s="313" t="str">
        <f t="shared" si="132"/>
        <v>8110076200</v>
      </c>
      <c r="J1303" s="30" t="str">
        <f t="shared" si="133"/>
        <v>61801048110076200122</v>
      </c>
    </row>
    <row r="1304" spans="1:10" s="4" customFormat="1" ht="38.25">
      <c r="A1304" s="232" t="s">
        <v>939</v>
      </c>
      <c r="B1304" s="233" t="s">
        <v>12</v>
      </c>
      <c r="C1304" s="234" t="s">
        <v>65</v>
      </c>
      <c r="D1304" s="234" t="s">
        <v>37</v>
      </c>
      <c r="E1304" s="234" t="s">
        <v>506</v>
      </c>
      <c r="F1304" s="234" t="s">
        <v>1060</v>
      </c>
      <c r="G1304" s="235">
        <f>VLOOKUP(J1304,'исх АС БЮДЖЕТ'!$A$10:$H$568,6,0)</f>
        <v>245810</v>
      </c>
      <c r="H1304" s="234">
        <v>8110076200</v>
      </c>
      <c r="I1304" s="313" t="str">
        <f t="shared" si="132"/>
        <v>8110076200</v>
      </c>
      <c r="J1304" s="30" t="str">
        <f t="shared" si="133"/>
        <v>61801048110076200129</v>
      </c>
    </row>
    <row r="1305" spans="1:10" s="3" customFormat="1" ht="25.5">
      <c r="A1305" s="232" t="s">
        <v>108</v>
      </c>
      <c r="B1305" s="233" t="s">
        <v>12</v>
      </c>
      <c r="C1305" s="234" t="s">
        <v>65</v>
      </c>
      <c r="D1305" s="234" t="s">
        <v>37</v>
      </c>
      <c r="E1305" s="234" t="s">
        <v>506</v>
      </c>
      <c r="F1305" s="234" t="s">
        <v>116</v>
      </c>
      <c r="G1305" s="235">
        <f>G1306</f>
        <v>158920</v>
      </c>
      <c r="H1305" s="234">
        <v>8110076200</v>
      </c>
      <c r="I1305" s="313" t="str">
        <f t="shared" si="132"/>
        <v>8110076200</v>
      </c>
      <c r="J1305" s="30" t="str">
        <f t="shared" si="133"/>
        <v>61801048110076200240</v>
      </c>
    </row>
    <row r="1306" spans="1:10" s="4" customFormat="1" ht="25.5">
      <c r="A1306" s="236" t="s">
        <v>973</v>
      </c>
      <c r="B1306" s="233" t="s">
        <v>12</v>
      </c>
      <c r="C1306" s="234" t="s">
        <v>65</v>
      </c>
      <c r="D1306" s="234" t="s">
        <v>37</v>
      </c>
      <c r="E1306" s="234" t="s">
        <v>506</v>
      </c>
      <c r="F1306" s="234" t="s">
        <v>1043</v>
      </c>
      <c r="G1306" s="235">
        <f>VLOOKUP(J1306,'исх АС БЮДЖЕТ'!$A$10:$H$568,6,0)</f>
        <v>158920</v>
      </c>
      <c r="H1306" s="234">
        <v>8110076200</v>
      </c>
      <c r="I1306" s="313" t="str">
        <f t="shared" si="132"/>
        <v>8110076200</v>
      </c>
      <c r="J1306" s="30" t="str">
        <f t="shared" si="133"/>
        <v>61801048110076200244</v>
      </c>
    </row>
    <row r="1307" spans="1:10" s="3" customFormat="1" ht="38.25">
      <c r="A1307" s="237" t="s">
        <v>870</v>
      </c>
      <c r="B1307" s="233" t="str">
        <f t="shared" ref="B1307:D1309" si="138">B1296</f>
        <v>618</v>
      </c>
      <c r="C1307" s="234" t="str">
        <f t="shared" si="138"/>
        <v>01</v>
      </c>
      <c r="D1307" s="234" t="str">
        <f t="shared" si="138"/>
        <v>04</v>
      </c>
      <c r="E1307" s="234" t="s">
        <v>507</v>
      </c>
      <c r="F1307" s="234" t="s">
        <v>58</v>
      </c>
      <c r="G1307" s="235">
        <f>G1308</f>
        <v>51740</v>
      </c>
      <c r="H1307" s="234">
        <v>8110076360</v>
      </c>
      <c r="I1307" s="313" t="str">
        <f t="shared" ref="I1307:I1370" si="139">TEXT(H1307,"0000000000")</f>
        <v>8110076360</v>
      </c>
      <c r="J1307" s="30" t="str">
        <f t="shared" ref="J1307:J1370" si="140">CONCATENATE(B1307,C1307,D1307,I1307,F1307)</f>
        <v>61801048110076360000</v>
      </c>
    </row>
    <row r="1308" spans="1:10" s="3" customFormat="1" ht="25.5">
      <c r="A1308" s="232" t="s">
        <v>108</v>
      </c>
      <c r="B1308" s="233" t="str">
        <f t="shared" si="138"/>
        <v>618</v>
      </c>
      <c r="C1308" s="234" t="str">
        <f t="shared" si="138"/>
        <v>01</v>
      </c>
      <c r="D1308" s="234" t="str">
        <f t="shared" si="138"/>
        <v>04</v>
      </c>
      <c r="E1308" s="234" t="s">
        <v>507</v>
      </c>
      <c r="F1308" s="234" t="s">
        <v>116</v>
      </c>
      <c r="G1308" s="235">
        <f>G1309</f>
        <v>51740</v>
      </c>
      <c r="H1308" s="234">
        <v>8110076360</v>
      </c>
      <c r="I1308" s="313" t="str">
        <f t="shared" si="139"/>
        <v>8110076360</v>
      </c>
      <c r="J1308" s="30" t="str">
        <f t="shared" si="140"/>
        <v>61801048110076360240</v>
      </c>
    </row>
    <row r="1309" spans="1:10" s="4" customFormat="1" ht="25.5">
      <c r="A1309" s="236" t="s">
        <v>973</v>
      </c>
      <c r="B1309" s="233" t="str">
        <f t="shared" si="138"/>
        <v>618</v>
      </c>
      <c r="C1309" s="234" t="str">
        <f t="shared" si="138"/>
        <v>01</v>
      </c>
      <c r="D1309" s="234" t="str">
        <f t="shared" si="138"/>
        <v>04</v>
      </c>
      <c r="E1309" s="234" t="s">
        <v>507</v>
      </c>
      <c r="F1309" s="234" t="s">
        <v>1043</v>
      </c>
      <c r="G1309" s="235">
        <f>VLOOKUP(J1309,'исх АС БЮДЖЕТ'!$A$10:$H$568,6,0)</f>
        <v>51740</v>
      </c>
      <c r="H1309" s="234">
        <v>8110076360</v>
      </c>
      <c r="I1309" s="313" t="str">
        <f t="shared" si="139"/>
        <v>8110076360</v>
      </c>
      <c r="J1309" s="30" t="str">
        <f t="shared" si="140"/>
        <v>61801048110076360244</v>
      </c>
    </row>
    <row r="1310" spans="1:10" s="3" customFormat="1">
      <c r="A1310" s="228" t="s">
        <v>38</v>
      </c>
      <c r="B1310" s="229" t="s">
        <v>12</v>
      </c>
      <c r="C1310" s="230" t="s">
        <v>65</v>
      </c>
      <c r="D1310" s="230" t="s">
        <v>84</v>
      </c>
      <c r="E1310" s="230" t="s">
        <v>196</v>
      </c>
      <c r="F1310" s="230" t="s">
        <v>58</v>
      </c>
      <c r="G1310" s="231">
        <f>G1311</f>
        <v>354300</v>
      </c>
      <c r="H1310" s="230">
        <v>0</v>
      </c>
      <c r="I1310" s="313" t="str">
        <f t="shared" si="139"/>
        <v>0000000000</v>
      </c>
      <c r="J1310" s="30" t="str">
        <f t="shared" si="140"/>
        <v>61801130000000000000</v>
      </c>
    </row>
    <row r="1311" spans="1:10" s="3" customFormat="1" ht="38.25">
      <c r="A1311" s="244" t="s">
        <v>745</v>
      </c>
      <c r="B1311" s="233" t="s">
        <v>12</v>
      </c>
      <c r="C1311" s="234" t="s">
        <v>65</v>
      </c>
      <c r="D1311" s="234" t="s">
        <v>84</v>
      </c>
      <c r="E1311" s="234" t="s">
        <v>280</v>
      </c>
      <c r="F1311" s="234" t="s">
        <v>58</v>
      </c>
      <c r="G1311" s="235">
        <f t="shared" ref="G1311:G1314" si="141">G1312</f>
        <v>354300</v>
      </c>
      <c r="H1311" s="234">
        <v>1100000000</v>
      </c>
      <c r="I1311" s="313" t="str">
        <f t="shared" si="139"/>
        <v>1100000000</v>
      </c>
      <c r="J1311" s="30" t="str">
        <f t="shared" si="140"/>
        <v>61801131100000000000</v>
      </c>
    </row>
    <row r="1312" spans="1:10" s="3" customFormat="1" ht="38.25">
      <c r="A1312" s="244" t="s">
        <v>746</v>
      </c>
      <c r="B1312" s="233" t="s">
        <v>12</v>
      </c>
      <c r="C1312" s="234" t="s">
        <v>65</v>
      </c>
      <c r="D1312" s="234" t="s">
        <v>84</v>
      </c>
      <c r="E1312" s="234" t="s">
        <v>281</v>
      </c>
      <c r="F1312" s="234" t="s">
        <v>58</v>
      </c>
      <c r="G1312" s="235">
        <f t="shared" si="141"/>
        <v>354300</v>
      </c>
      <c r="H1312" s="234" t="s">
        <v>1185</v>
      </c>
      <c r="I1312" s="313" t="str">
        <f t="shared" si="139"/>
        <v>11Б0000000</v>
      </c>
      <c r="J1312" s="30" t="str">
        <f t="shared" si="140"/>
        <v>618011311Б0000000000</v>
      </c>
    </row>
    <row r="1313" spans="1:10" s="3" customFormat="1" ht="25.5">
      <c r="A1313" s="278" t="s">
        <v>282</v>
      </c>
      <c r="B1313" s="234" t="s">
        <v>12</v>
      </c>
      <c r="C1313" s="234" t="s">
        <v>65</v>
      </c>
      <c r="D1313" s="234" t="s">
        <v>84</v>
      </c>
      <c r="E1313" s="234" t="s">
        <v>283</v>
      </c>
      <c r="F1313" s="234" t="s">
        <v>58</v>
      </c>
      <c r="G1313" s="235">
        <f t="shared" si="141"/>
        <v>354300</v>
      </c>
      <c r="H1313" s="234" t="s">
        <v>1186</v>
      </c>
      <c r="I1313" s="313" t="str">
        <f t="shared" si="139"/>
        <v>11Б0100000</v>
      </c>
      <c r="J1313" s="30" t="str">
        <f t="shared" si="140"/>
        <v>618011311Б0100000000</v>
      </c>
    </row>
    <row r="1314" spans="1:10" s="3" customFormat="1" ht="25.5">
      <c r="A1314" s="232" t="s">
        <v>167</v>
      </c>
      <c r="B1314" s="233" t="s">
        <v>12</v>
      </c>
      <c r="C1314" s="234" t="s">
        <v>65</v>
      </c>
      <c r="D1314" s="234" t="s">
        <v>84</v>
      </c>
      <c r="E1314" s="234" t="s">
        <v>491</v>
      </c>
      <c r="F1314" s="234" t="s">
        <v>58</v>
      </c>
      <c r="G1314" s="235">
        <f t="shared" si="141"/>
        <v>354300</v>
      </c>
      <c r="H1314" s="234" t="s">
        <v>1226</v>
      </c>
      <c r="I1314" s="313" t="str">
        <f t="shared" si="139"/>
        <v>11Б0120840</v>
      </c>
      <c r="J1314" s="30" t="str">
        <f t="shared" si="140"/>
        <v>618011311Б0120840000</v>
      </c>
    </row>
    <row r="1315" spans="1:10" s="3" customFormat="1" ht="25.5">
      <c r="A1315" s="232" t="s">
        <v>108</v>
      </c>
      <c r="B1315" s="233" t="s">
        <v>12</v>
      </c>
      <c r="C1315" s="234" t="s">
        <v>65</v>
      </c>
      <c r="D1315" s="234" t="s">
        <v>84</v>
      </c>
      <c r="E1315" s="234" t="s">
        <v>491</v>
      </c>
      <c r="F1315" s="234" t="s">
        <v>116</v>
      </c>
      <c r="G1315" s="235">
        <f>G1316</f>
        <v>354300</v>
      </c>
      <c r="H1315" s="234" t="s">
        <v>1226</v>
      </c>
      <c r="I1315" s="313" t="str">
        <f t="shared" si="139"/>
        <v>11Б0120840</v>
      </c>
      <c r="J1315" s="30" t="str">
        <f t="shared" si="140"/>
        <v>618011311Б0120840240</v>
      </c>
    </row>
    <row r="1316" spans="1:10" s="4" customFormat="1" ht="25.5">
      <c r="A1316" s="236" t="s">
        <v>973</v>
      </c>
      <c r="B1316" s="233" t="s">
        <v>12</v>
      </c>
      <c r="C1316" s="234" t="s">
        <v>65</v>
      </c>
      <c r="D1316" s="234" t="s">
        <v>84</v>
      </c>
      <c r="E1316" s="234" t="s">
        <v>491</v>
      </c>
      <c r="F1316" s="234" t="s">
        <v>1043</v>
      </c>
      <c r="G1316" s="235">
        <f>VLOOKUP(J1316,'исх АС БЮДЖЕТ'!$A$10:$H$568,6,0)</f>
        <v>354300</v>
      </c>
      <c r="H1316" s="234" t="s">
        <v>1226</v>
      </c>
      <c r="I1316" s="313" t="str">
        <f t="shared" si="139"/>
        <v>11Б0120840</v>
      </c>
      <c r="J1316" s="30" t="str">
        <f t="shared" si="140"/>
        <v>618011311Б0120840244</v>
      </c>
    </row>
    <row r="1317" spans="1:10" s="3" customFormat="1">
      <c r="A1317" s="224" t="s">
        <v>35</v>
      </c>
      <c r="B1317" s="225" t="s">
        <v>12</v>
      </c>
      <c r="C1317" s="226" t="s">
        <v>37</v>
      </c>
      <c r="D1317" s="226" t="s">
        <v>51</v>
      </c>
      <c r="E1317" s="226" t="s">
        <v>196</v>
      </c>
      <c r="F1317" s="226" t="s">
        <v>58</v>
      </c>
      <c r="G1317" s="227">
        <f t="shared" ref="G1317:G1320" si="142">G1318</f>
        <v>56780750</v>
      </c>
      <c r="H1317" s="226">
        <v>0</v>
      </c>
      <c r="I1317" s="313" t="str">
        <f t="shared" si="139"/>
        <v>0000000000</v>
      </c>
      <c r="J1317" s="30" t="str">
        <f t="shared" si="140"/>
        <v>61804000000000000000</v>
      </c>
    </row>
    <row r="1318" spans="1:10" s="3" customFormat="1">
      <c r="A1318" s="228" t="s">
        <v>88</v>
      </c>
      <c r="B1318" s="229" t="s">
        <v>12</v>
      </c>
      <c r="C1318" s="230" t="s">
        <v>37</v>
      </c>
      <c r="D1318" s="230" t="s">
        <v>25</v>
      </c>
      <c r="E1318" s="230" t="s">
        <v>196</v>
      </c>
      <c r="F1318" s="230" t="s">
        <v>58</v>
      </c>
      <c r="G1318" s="231">
        <f t="shared" si="142"/>
        <v>56780750</v>
      </c>
      <c r="H1318" s="230">
        <v>0</v>
      </c>
      <c r="I1318" s="313" t="str">
        <f t="shared" si="139"/>
        <v>0000000000</v>
      </c>
      <c r="J1318" s="30" t="str">
        <f t="shared" si="140"/>
        <v>61804090000000000000</v>
      </c>
    </row>
    <row r="1319" spans="1:10" s="3" customFormat="1" ht="38.25">
      <c r="A1319" s="236" t="s">
        <v>722</v>
      </c>
      <c r="B1319" s="233" t="s">
        <v>12</v>
      </c>
      <c r="C1319" s="234" t="s">
        <v>37</v>
      </c>
      <c r="D1319" s="234" t="s">
        <v>25</v>
      </c>
      <c r="E1319" s="234" t="s">
        <v>300</v>
      </c>
      <c r="F1319" s="234" t="s">
        <v>58</v>
      </c>
      <c r="G1319" s="235">
        <f t="shared" si="142"/>
        <v>56780750</v>
      </c>
      <c r="H1319" s="234">
        <v>400000000</v>
      </c>
      <c r="I1319" s="313" t="str">
        <f t="shared" si="139"/>
        <v>0400000000</v>
      </c>
      <c r="J1319" s="30" t="str">
        <f t="shared" si="140"/>
        <v>61804090400000000000</v>
      </c>
    </row>
    <row r="1320" spans="1:10" s="3" customFormat="1" ht="38.25">
      <c r="A1320" s="252" t="s">
        <v>729</v>
      </c>
      <c r="B1320" s="233" t="s">
        <v>12</v>
      </c>
      <c r="C1320" s="234" t="s">
        <v>37</v>
      </c>
      <c r="D1320" s="234" t="s">
        <v>25</v>
      </c>
      <c r="E1320" s="234" t="s">
        <v>301</v>
      </c>
      <c r="F1320" s="234" t="s">
        <v>58</v>
      </c>
      <c r="G1320" s="235">
        <f t="shared" si="142"/>
        <v>56780750</v>
      </c>
      <c r="H1320" s="234">
        <v>420000000</v>
      </c>
      <c r="I1320" s="313" t="str">
        <f t="shared" si="139"/>
        <v>0420000000</v>
      </c>
      <c r="J1320" s="30" t="str">
        <f t="shared" si="140"/>
        <v>61804090420000000000</v>
      </c>
    </row>
    <row r="1321" spans="1:10" s="3" customFormat="1" ht="38.25">
      <c r="A1321" s="252" t="s">
        <v>644</v>
      </c>
      <c r="B1321" s="233" t="s">
        <v>12</v>
      </c>
      <c r="C1321" s="234" t="s">
        <v>37</v>
      </c>
      <c r="D1321" s="234" t="s">
        <v>25</v>
      </c>
      <c r="E1321" s="234" t="s">
        <v>302</v>
      </c>
      <c r="F1321" s="234" t="s">
        <v>58</v>
      </c>
      <c r="G1321" s="235">
        <f>G1328+G1322+G1325</f>
        <v>56780750</v>
      </c>
      <c r="H1321" s="234">
        <v>420200000</v>
      </c>
      <c r="I1321" s="313" t="str">
        <f t="shared" si="139"/>
        <v>0420200000</v>
      </c>
      <c r="J1321" s="30" t="str">
        <f t="shared" si="140"/>
        <v>61804090420200000000</v>
      </c>
    </row>
    <row r="1322" spans="1:10" s="3" customFormat="1" ht="25.5">
      <c r="A1322" s="236" t="s">
        <v>493</v>
      </c>
      <c r="B1322" s="233" t="s">
        <v>12</v>
      </c>
      <c r="C1322" s="234" t="s">
        <v>37</v>
      </c>
      <c r="D1322" s="234" t="s">
        <v>25</v>
      </c>
      <c r="E1322" s="234" t="s">
        <v>494</v>
      </c>
      <c r="F1322" s="234" t="s">
        <v>58</v>
      </c>
      <c r="G1322" s="235">
        <f>G1323</f>
        <v>11400000</v>
      </c>
      <c r="H1322" s="234">
        <v>420220820</v>
      </c>
      <c r="I1322" s="313" t="str">
        <f t="shared" si="139"/>
        <v>0420220820</v>
      </c>
      <c r="J1322" s="30" t="str">
        <f t="shared" si="140"/>
        <v>61804090420220820000</v>
      </c>
    </row>
    <row r="1323" spans="1:10" s="3" customFormat="1" ht="25.5">
      <c r="A1323" s="232" t="s">
        <v>108</v>
      </c>
      <c r="B1323" s="233" t="s">
        <v>12</v>
      </c>
      <c r="C1323" s="234" t="s">
        <v>37</v>
      </c>
      <c r="D1323" s="234" t="s">
        <v>25</v>
      </c>
      <c r="E1323" s="234" t="s">
        <v>494</v>
      </c>
      <c r="F1323" s="234" t="s">
        <v>116</v>
      </c>
      <c r="G1323" s="235">
        <f>G1324</f>
        <v>11400000</v>
      </c>
      <c r="H1323" s="234">
        <v>420220820</v>
      </c>
      <c r="I1323" s="313" t="str">
        <f t="shared" si="139"/>
        <v>0420220820</v>
      </c>
      <c r="J1323" s="30" t="str">
        <f t="shared" si="140"/>
        <v>61804090420220820240</v>
      </c>
    </row>
    <row r="1324" spans="1:10" s="4" customFormat="1" ht="25.5">
      <c r="A1324" s="236" t="s">
        <v>973</v>
      </c>
      <c r="B1324" s="233" t="s">
        <v>12</v>
      </c>
      <c r="C1324" s="234" t="s">
        <v>37</v>
      </c>
      <c r="D1324" s="234" t="s">
        <v>25</v>
      </c>
      <c r="E1324" s="234" t="s">
        <v>494</v>
      </c>
      <c r="F1324" s="234" t="s">
        <v>1043</v>
      </c>
      <c r="G1324" s="235">
        <f>VLOOKUP(J1324,'исх АС БЮДЖЕТ'!$A$10:$H$568,6,0)</f>
        <v>11400000</v>
      </c>
      <c r="H1324" s="234">
        <v>420220820</v>
      </c>
      <c r="I1324" s="313" t="str">
        <f t="shared" si="139"/>
        <v>0420220820</v>
      </c>
      <c r="J1324" s="30" t="str">
        <f t="shared" si="140"/>
        <v>61804090420220820244</v>
      </c>
    </row>
    <row r="1325" spans="1:10" s="3" customFormat="1" ht="76.5">
      <c r="A1325" s="232" t="s">
        <v>1180</v>
      </c>
      <c r="B1325" s="233" t="s">
        <v>12</v>
      </c>
      <c r="C1325" s="234" t="s">
        <v>37</v>
      </c>
      <c r="D1325" s="234" t="s">
        <v>25</v>
      </c>
      <c r="E1325" s="234" t="s">
        <v>834</v>
      </c>
      <c r="F1325" s="234" t="s">
        <v>58</v>
      </c>
      <c r="G1325" s="235">
        <f>G1326</f>
        <v>25672000</v>
      </c>
      <c r="H1325" s="234">
        <v>420221030</v>
      </c>
      <c r="I1325" s="313" t="str">
        <f t="shared" si="139"/>
        <v>0420221030</v>
      </c>
      <c r="J1325" s="30" t="str">
        <f t="shared" si="140"/>
        <v>61804090420221030000</v>
      </c>
    </row>
    <row r="1326" spans="1:10" s="3" customFormat="1" ht="25.5">
      <c r="A1326" s="232" t="s">
        <v>108</v>
      </c>
      <c r="B1326" s="233" t="s">
        <v>12</v>
      </c>
      <c r="C1326" s="234" t="s">
        <v>37</v>
      </c>
      <c r="D1326" s="234" t="s">
        <v>25</v>
      </c>
      <c r="E1326" s="234" t="s">
        <v>834</v>
      </c>
      <c r="F1326" s="234" t="s">
        <v>116</v>
      </c>
      <c r="G1326" s="235">
        <f>G1327</f>
        <v>25672000</v>
      </c>
      <c r="H1326" s="234">
        <v>420221030</v>
      </c>
      <c r="I1326" s="313" t="str">
        <f t="shared" si="139"/>
        <v>0420221030</v>
      </c>
      <c r="J1326" s="30" t="str">
        <f t="shared" si="140"/>
        <v>61804090420221030240</v>
      </c>
    </row>
    <row r="1327" spans="1:10" s="4" customFormat="1" ht="25.5">
      <c r="A1327" s="236" t="s">
        <v>973</v>
      </c>
      <c r="B1327" s="233" t="s">
        <v>12</v>
      </c>
      <c r="C1327" s="234" t="s">
        <v>37</v>
      </c>
      <c r="D1327" s="234" t="s">
        <v>25</v>
      </c>
      <c r="E1327" s="234" t="s">
        <v>834</v>
      </c>
      <c r="F1327" s="234" t="s">
        <v>1043</v>
      </c>
      <c r="G1327" s="235">
        <f>VLOOKUP(J1327,'исх АС БЮДЖЕТ'!$A$10:$H$568,6,0)</f>
        <v>25672000</v>
      </c>
      <c r="H1327" s="234">
        <v>420221030</v>
      </c>
      <c r="I1327" s="313" t="str">
        <f t="shared" si="139"/>
        <v>0420221030</v>
      </c>
      <c r="J1327" s="30" t="str">
        <f t="shared" si="140"/>
        <v>61804090420221030244</v>
      </c>
    </row>
    <row r="1328" spans="1:10" s="3" customFormat="1" ht="25.5">
      <c r="A1328" s="232" t="s">
        <v>902</v>
      </c>
      <c r="B1328" s="233" t="s">
        <v>12</v>
      </c>
      <c r="C1328" s="234" t="s">
        <v>37</v>
      </c>
      <c r="D1328" s="234" t="s">
        <v>25</v>
      </c>
      <c r="E1328" s="234" t="s">
        <v>909</v>
      </c>
      <c r="F1328" s="234" t="s">
        <v>58</v>
      </c>
      <c r="G1328" s="235">
        <f>G1329</f>
        <v>19708750</v>
      </c>
      <c r="H1328" s="234">
        <v>420221090</v>
      </c>
      <c r="I1328" s="313" t="str">
        <f t="shared" si="139"/>
        <v>0420221090</v>
      </c>
      <c r="J1328" s="30" t="str">
        <f t="shared" si="140"/>
        <v>61804090420221090000</v>
      </c>
    </row>
    <row r="1329" spans="1:10" s="3" customFormat="1" ht="25.5">
      <c r="A1329" s="232" t="s">
        <v>108</v>
      </c>
      <c r="B1329" s="233" t="s">
        <v>12</v>
      </c>
      <c r="C1329" s="234" t="s">
        <v>37</v>
      </c>
      <c r="D1329" s="234" t="s">
        <v>25</v>
      </c>
      <c r="E1329" s="234" t="s">
        <v>909</v>
      </c>
      <c r="F1329" s="234" t="s">
        <v>116</v>
      </c>
      <c r="G1329" s="235">
        <f>G1330</f>
        <v>19708750</v>
      </c>
      <c r="H1329" s="234">
        <v>420221090</v>
      </c>
      <c r="I1329" s="313" t="str">
        <f t="shared" si="139"/>
        <v>0420221090</v>
      </c>
      <c r="J1329" s="30" t="str">
        <f t="shared" si="140"/>
        <v>61804090420221090240</v>
      </c>
    </row>
    <row r="1330" spans="1:10" s="4" customFormat="1" ht="25.5">
      <c r="A1330" s="236" t="s">
        <v>973</v>
      </c>
      <c r="B1330" s="233" t="s">
        <v>12</v>
      </c>
      <c r="C1330" s="234" t="s">
        <v>37</v>
      </c>
      <c r="D1330" s="234" t="s">
        <v>25</v>
      </c>
      <c r="E1330" s="234" t="s">
        <v>909</v>
      </c>
      <c r="F1330" s="234" t="s">
        <v>1043</v>
      </c>
      <c r="G1330" s="235">
        <f>VLOOKUP(J1330,'исх АС БЮДЖЕТ'!$A$10:$H$568,6,0)</f>
        <v>19708750</v>
      </c>
      <c r="H1330" s="234">
        <v>420221090</v>
      </c>
      <c r="I1330" s="313" t="str">
        <f t="shared" si="139"/>
        <v>0420221090</v>
      </c>
      <c r="J1330" s="30" t="str">
        <f t="shared" si="140"/>
        <v>61804090420221090244</v>
      </c>
    </row>
    <row r="1331" spans="1:10" s="3" customFormat="1">
      <c r="A1331" s="224" t="s">
        <v>7</v>
      </c>
      <c r="B1331" s="225" t="s">
        <v>12</v>
      </c>
      <c r="C1331" s="226" t="s">
        <v>8</v>
      </c>
      <c r="D1331" s="226" t="s">
        <v>51</v>
      </c>
      <c r="E1331" s="226" t="s">
        <v>196</v>
      </c>
      <c r="F1331" s="226" t="s">
        <v>58</v>
      </c>
      <c r="G1331" s="227">
        <f>G1332+G1345</f>
        <v>19393792.699999999</v>
      </c>
      <c r="H1331" s="226">
        <v>0</v>
      </c>
      <c r="I1331" s="313" t="str">
        <f t="shared" si="139"/>
        <v>0000000000</v>
      </c>
      <c r="J1331" s="30" t="str">
        <f t="shared" si="140"/>
        <v>61805000000000000000</v>
      </c>
    </row>
    <row r="1332" spans="1:10" s="3" customFormat="1">
      <c r="A1332" s="228" t="s">
        <v>9</v>
      </c>
      <c r="B1332" s="229" t="s">
        <v>12</v>
      </c>
      <c r="C1332" s="230" t="s">
        <v>8</v>
      </c>
      <c r="D1332" s="230" t="s">
        <v>65</v>
      </c>
      <c r="E1332" s="230" t="s">
        <v>196</v>
      </c>
      <c r="F1332" s="230" t="s">
        <v>58</v>
      </c>
      <c r="G1332" s="231">
        <f>G1333+G1340</f>
        <v>1443132.7</v>
      </c>
      <c r="H1332" s="230">
        <v>0</v>
      </c>
      <c r="I1332" s="313" t="str">
        <f t="shared" si="139"/>
        <v>0000000000</v>
      </c>
      <c r="J1332" s="30" t="str">
        <f t="shared" si="140"/>
        <v>61805010000000000000</v>
      </c>
    </row>
    <row r="1333" spans="1:10" s="3" customFormat="1" ht="38.25">
      <c r="A1333" s="236" t="s">
        <v>722</v>
      </c>
      <c r="B1333" s="233" t="s">
        <v>12</v>
      </c>
      <c r="C1333" s="234" t="s">
        <v>8</v>
      </c>
      <c r="D1333" s="234" t="s">
        <v>65</v>
      </c>
      <c r="E1333" s="234" t="s">
        <v>300</v>
      </c>
      <c r="F1333" s="234" t="s">
        <v>58</v>
      </c>
      <c r="G1333" s="235">
        <f t="shared" ref="G1333" si="143">G1334</f>
        <v>1256660</v>
      </c>
      <c r="H1333" s="234">
        <v>400000000</v>
      </c>
      <c r="I1333" s="313" t="str">
        <f t="shared" si="139"/>
        <v>0400000000</v>
      </c>
      <c r="J1333" s="30" t="str">
        <f t="shared" si="140"/>
        <v>61805010400000000000</v>
      </c>
    </row>
    <row r="1334" spans="1:10" s="3" customFormat="1" ht="25.5">
      <c r="A1334" s="232" t="s">
        <v>155</v>
      </c>
      <c r="B1334" s="233" t="s">
        <v>12</v>
      </c>
      <c r="C1334" s="234" t="s">
        <v>8</v>
      </c>
      <c r="D1334" s="234" t="s">
        <v>65</v>
      </c>
      <c r="E1334" s="234" t="s">
        <v>495</v>
      </c>
      <c r="F1334" s="234" t="s">
        <v>58</v>
      </c>
      <c r="G1334" s="235">
        <f>G1337</f>
        <v>1256660</v>
      </c>
      <c r="H1334" s="234">
        <v>410000000</v>
      </c>
      <c r="I1334" s="313" t="str">
        <f t="shared" si="139"/>
        <v>0410000000</v>
      </c>
      <c r="J1334" s="30" t="str">
        <f t="shared" si="140"/>
        <v>61805010410000000000</v>
      </c>
    </row>
    <row r="1335" spans="1:10" s="3" customFormat="1" ht="25.5">
      <c r="A1335" s="252" t="s">
        <v>522</v>
      </c>
      <c r="B1335" s="241" t="s">
        <v>12</v>
      </c>
      <c r="C1335" s="242" t="s">
        <v>8</v>
      </c>
      <c r="D1335" s="242" t="s">
        <v>65</v>
      </c>
      <c r="E1335" s="242" t="s">
        <v>497</v>
      </c>
      <c r="F1335" s="242" t="s">
        <v>58</v>
      </c>
      <c r="G1335" s="243">
        <f t="shared" ref="G1335:G1336" si="144">G1336</f>
        <v>1256660</v>
      </c>
      <c r="H1335" s="242">
        <v>410100000</v>
      </c>
      <c r="I1335" s="313" t="str">
        <f t="shared" si="139"/>
        <v>0410100000</v>
      </c>
      <c r="J1335" s="30" t="str">
        <f t="shared" si="140"/>
        <v>61805010410100000000</v>
      </c>
    </row>
    <row r="1336" spans="1:10" s="3" customFormat="1">
      <c r="A1336" s="236" t="s">
        <v>148</v>
      </c>
      <c r="B1336" s="233" t="s">
        <v>12</v>
      </c>
      <c r="C1336" s="234" t="s">
        <v>8</v>
      </c>
      <c r="D1336" s="234" t="s">
        <v>65</v>
      </c>
      <c r="E1336" s="234" t="s">
        <v>498</v>
      </c>
      <c r="F1336" s="234" t="s">
        <v>58</v>
      </c>
      <c r="G1336" s="235">
        <f t="shared" si="144"/>
        <v>1256660</v>
      </c>
      <c r="H1336" s="234">
        <v>410120190</v>
      </c>
      <c r="I1336" s="313" t="str">
        <f t="shared" si="139"/>
        <v>0410120190</v>
      </c>
      <c r="J1336" s="30" t="str">
        <f t="shared" si="140"/>
        <v>61805010410120190000</v>
      </c>
    </row>
    <row r="1337" spans="1:10" s="3" customFormat="1" ht="25.5">
      <c r="A1337" s="232" t="s">
        <v>108</v>
      </c>
      <c r="B1337" s="233" t="s">
        <v>12</v>
      </c>
      <c r="C1337" s="234" t="s">
        <v>8</v>
      </c>
      <c r="D1337" s="234" t="s">
        <v>65</v>
      </c>
      <c r="E1337" s="234" t="s">
        <v>498</v>
      </c>
      <c r="F1337" s="234" t="s">
        <v>116</v>
      </c>
      <c r="G1337" s="235">
        <f>SUM(G1338:G1339)</f>
        <v>1256660</v>
      </c>
      <c r="H1337" s="234">
        <v>410120190</v>
      </c>
      <c r="I1337" s="313" t="str">
        <f t="shared" si="139"/>
        <v>0410120190</v>
      </c>
      <c r="J1337" s="30" t="str">
        <f t="shared" si="140"/>
        <v>61805010410120190240</v>
      </c>
    </row>
    <row r="1338" spans="1:10" s="3" customFormat="1" ht="25.5">
      <c r="A1338" s="236" t="s">
        <v>972</v>
      </c>
      <c r="B1338" s="233" t="s">
        <v>12</v>
      </c>
      <c r="C1338" s="234" t="s">
        <v>8</v>
      </c>
      <c r="D1338" s="234" t="s">
        <v>65</v>
      </c>
      <c r="E1338" s="234" t="s">
        <v>498</v>
      </c>
      <c r="F1338" s="234" t="s">
        <v>1070</v>
      </c>
      <c r="G1338" s="235">
        <f>VLOOKUP(J1338,'исх АС БЮДЖЕТ'!$A$10:$H$568,6,0)</f>
        <v>259120</v>
      </c>
      <c r="H1338" s="234">
        <v>410120190</v>
      </c>
      <c r="I1338" s="313" t="str">
        <f t="shared" si="139"/>
        <v>0410120190</v>
      </c>
      <c r="J1338" s="30" t="str">
        <f t="shared" si="140"/>
        <v>61805010410120190243</v>
      </c>
    </row>
    <row r="1339" spans="1:10" s="3" customFormat="1" ht="25.5">
      <c r="A1339" s="236" t="s">
        <v>973</v>
      </c>
      <c r="B1339" s="233" t="s">
        <v>12</v>
      </c>
      <c r="C1339" s="234" t="s">
        <v>8</v>
      </c>
      <c r="D1339" s="234" t="s">
        <v>65</v>
      </c>
      <c r="E1339" s="234" t="s">
        <v>498</v>
      </c>
      <c r="F1339" s="234" t="s">
        <v>1043</v>
      </c>
      <c r="G1339" s="235">
        <f>VLOOKUP(J1339,'исх АС БЮДЖЕТ'!$A$10:$H$568,6,0)</f>
        <v>997540</v>
      </c>
      <c r="H1339" s="234">
        <v>410120190</v>
      </c>
      <c r="I1339" s="313" t="str">
        <f t="shared" si="139"/>
        <v>0410120190</v>
      </c>
      <c r="J1339" s="30" t="str">
        <f t="shared" si="140"/>
        <v>61805010410120190244</v>
      </c>
    </row>
    <row r="1340" spans="1:10" s="3" customFormat="1" ht="25.5">
      <c r="A1340" s="232" t="s">
        <v>683</v>
      </c>
      <c r="B1340" s="233" t="s">
        <v>12</v>
      </c>
      <c r="C1340" s="234" t="s">
        <v>8</v>
      </c>
      <c r="D1340" s="234" t="s">
        <v>65</v>
      </c>
      <c r="E1340" s="234" t="s">
        <v>680</v>
      </c>
      <c r="F1340" s="234" t="s">
        <v>58</v>
      </c>
      <c r="G1340" s="235">
        <f t="shared" ref="G1340:G1343" si="145">G1341</f>
        <v>186472.7</v>
      </c>
      <c r="H1340" s="234">
        <v>9800000000</v>
      </c>
      <c r="I1340" s="313" t="str">
        <f t="shared" si="139"/>
        <v>9800000000</v>
      </c>
      <c r="J1340" s="30" t="str">
        <f t="shared" si="140"/>
        <v>61805019800000000000</v>
      </c>
    </row>
    <row r="1341" spans="1:10" s="3" customFormat="1" ht="38.25">
      <c r="A1341" s="232" t="s">
        <v>1120</v>
      </c>
      <c r="B1341" s="233" t="s">
        <v>12</v>
      </c>
      <c r="C1341" s="234" t="s">
        <v>8</v>
      </c>
      <c r="D1341" s="234" t="s">
        <v>65</v>
      </c>
      <c r="E1341" s="234" t="s">
        <v>1121</v>
      </c>
      <c r="F1341" s="234" t="s">
        <v>58</v>
      </c>
      <c r="G1341" s="235">
        <f t="shared" si="145"/>
        <v>186472.7</v>
      </c>
      <c r="H1341" s="234">
        <v>9820000000</v>
      </c>
      <c r="I1341" s="313" t="str">
        <f t="shared" si="139"/>
        <v>9820000000</v>
      </c>
      <c r="J1341" s="30" t="str">
        <f t="shared" si="140"/>
        <v>61805019820000000000</v>
      </c>
    </row>
    <row r="1342" spans="1:10" s="3" customFormat="1">
      <c r="A1342" s="232" t="s">
        <v>148</v>
      </c>
      <c r="B1342" s="233" t="s">
        <v>12</v>
      </c>
      <c r="C1342" s="234" t="s">
        <v>8</v>
      </c>
      <c r="D1342" s="234" t="s">
        <v>65</v>
      </c>
      <c r="E1342" s="234" t="s">
        <v>1122</v>
      </c>
      <c r="F1342" s="234" t="s">
        <v>58</v>
      </c>
      <c r="G1342" s="235">
        <f t="shared" si="145"/>
        <v>186472.7</v>
      </c>
      <c r="H1342" s="234">
        <v>9820020190</v>
      </c>
      <c r="I1342" s="313" t="str">
        <f t="shared" si="139"/>
        <v>9820020190</v>
      </c>
      <c r="J1342" s="30" t="str">
        <f t="shared" si="140"/>
        <v>61805019820020190000</v>
      </c>
    </row>
    <row r="1343" spans="1:10" s="3" customFormat="1" ht="25.5">
      <c r="A1343" s="232" t="s">
        <v>108</v>
      </c>
      <c r="B1343" s="233" t="s">
        <v>12</v>
      </c>
      <c r="C1343" s="234" t="s">
        <v>8</v>
      </c>
      <c r="D1343" s="234" t="s">
        <v>65</v>
      </c>
      <c r="E1343" s="234" t="s">
        <v>1122</v>
      </c>
      <c r="F1343" s="234" t="s">
        <v>116</v>
      </c>
      <c r="G1343" s="235">
        <f t="shared" si="145"/>
        <v>186472.7</v>
      </c>
      <c r="H1343" s="234">
        <v>9820020190</v>
      </c>
      <c r="I1343" s="313" t="str">
        <f t="shared" si="139"/>
        <v>9820020190</v>
      </c>
      <c r="J1343" s="30" t="str">
        <f t="shared" si="140"/>
        <v>61805019820020190240</v>
      </c>
    </row>
    <row r="1344" spans="1:10" s="3" customFormat="1" ht="25.5">
      <c r="A1344" s="236" t="s">
        <v>972</v>
      </c>
      <c r="B1344" s="233" t="s">
        <v>12</v>
      </c>
      <c r="C1344" s="234" t="s">
        <v>8</v>
      </c>
      <c r="D1344" s="234" t="s">
        <v>65</v>
      </c>
      <c r="E1344" s="234" t="s">
        <v>1122</v>
      </c>
      <c r="F1344" s="234" t="s">
        <v>1070</v>
      </c>
      <c r="G1344" s="235">
        <f>VLOOKUP(J1344,'исх АС БЮДЖЕТ'!$A$10:$H$568,6,0)</f>
        <v>186472.7</v>
      </c>
      <c r="H1344" s="234">
        <v>9820020190</v>
      </c>
      <c r="I1344" s="313" t="str">
        <f t="shared" si="139"/>
        <v>9820020190</v>
      </c>
      <c r="J1344" s="30" t="str">
        <f t="shared" si="140"/>
        <v>61805019820020190243</v>
      </c>
    </row>
    <row r="1345" spans="1:10" s="3" customFormat="1">
      <c r="A1345" s="228" t="s">
        <v>1</v>
      </c>
      <c r="B1345" s="229" t="s">
        <v>12</v>
      </c>
      <c r="C1345" s="230" t="s">
        <v>8</v>
      </c>
      <c r="D1345" s="230" t="s">
        <v>53</v>
      </c>
      <c r="E1345" s="230" t="s">
        <v>196</v>
      </c>
      <c r="F1345" s="230" t="s">
        <v>58</v>
      </c>
      <c r="G1345" s="231">
        <f t="shared" ref="G1345:G1347" si="146">G1346</f>
        <v>17950660</v>
      </c>
      <c r="H1345" s="230">
        <v>0</v>
      </c>
      <c r="I1345" s="313" t="str">
        <f t="shared" si="139"/>
        <v>0000000000</v>
      </c>
      <c r="J1345" s="30" t="str">
        <f t="shared" si="140"/>
        <v>61805030000000000000</v>
      </c>
    </row>
    <row r="1346" spans="1:10" s="3" customFormat="1" ht="38.25">
      <c r="A1346" s="236" t="s">
        <v>722</v>
      </c>
      <c r="B1346" s="233" t="s">
        <v>12</v>
      </c>
      <c r="C1346" s="234" t="s">
        <v>8</v>
      </c>
      <c r="D1346" s="234" t="s">
        <v>53</v>
      </c>
      <c r="E1346" s="234" t="s">
        <v>300</v>
      </c>
      <c r="F1346" s="234" t="s">
        <v>58</v>
      </c>
      <c r="G1346" s="235">
        <f t="shared" si="146"/>
        <v>17950660</v>
      </c>
      <c r="H1346" s="234">
        <v>400000000</v>
      </c>
      <c r="I1346" s="313" t="str">
        <f t="shared" si="139"/>
        <v>0400000000</v>
      </c>
      <c r="J1346" s="30" t="str">
        <f t="shared" si="140"/>
        <v>61805030400000000000</v>
      </c>
    </row>
    <row r="1347" spans="1:10" s="3" customFormat="1">
      <c r="A1347" s="232" t="s">
        <v>142</v>
      </c>
      <c r="B1347" s="233" t="s">
        <v>12</v>
      </c>
      <c r="C1347" s="234" t="s">
        <v>8</v>
      </c>
      <c r="D1347" s="234" t="s">
        <v>53</v>
      </c>
      <c r="E1347" s="234" t="s">
        <v>453</v>
      </c>
      <c r="F1347" s="234" t="s">
        <v>58</v>
      </c>
      <c r="G1347" s="235">
        <f t="shared" si="146"/>
        <v>17950660</v>
      </c>
      <c r="H1347" s="234">
        <v>430000000</v>
      </c>
      <c r="I1347" s="313" t="str">
        <f t="shared" si="139"/>
        <v>0430000000</v>
      </c>
      <c r="J1347" s="30" t="str">
        <f t="shared" si="140"/>
        <v>61805030430000000000</v>
      </c>
    </row>
    <row r="1348" spans="1:10" s="3" customFormat="1">
      <c r="A1348" s="252" t="s">
        <v>454</v>
      </c>
      <c r="B1348" s="241" t="s">
        <v>12</v>
      </c>
      <c r="C1348" s="242" t="s">
        <v>8</v>
      </c>
      <c r="D1348" s="242" t="s">
        <v>53</v>
      </c>
      <c r="E1348" s="234" t="s">
        <v>645</v>
      </c>
      <c r="F1348" s="242" t="s">
        <v>58</v>
      </c>
      <c r="G1348" s="243">
        <f>G1349+G1352+G1355</f>
        <v>17950660</v>
      </c>
      <c r="H1348" s="234">
        <v>430400000</v>
      </c>
      <c r="I1348" s="313" t="str">
        <f t="shared" si="139"/>
        <v>0430400000</v>
      </c>
      <c r="J1348" s="30" t="str">
        <f t="shared" si="140"/>
        <v>61805030430400000000</v>
      </c>
    </row>
    <row r="1349" spans="1:10" s="3" customFormat="1">
      <c r="A1349" s="232" t="s">
        <v>158</v>
      </c>
      <c r="B1349" s="233" t="s">
        <v>12</v>
      </c>
      <c r="C1349" s="234" t="s">
        <v>8</v>
      </c>
      <c r="D1349" s="234" t="s">
        <v>53</v>
      </c>
      <c r="E1349" s="234" t="s">
        <v>646</v>
      </c>
      <c r="F1349" s="234" t="s">
        <v>58</v>
      </c>
      <c r="G1349" s="235">
        <f>G1350</f>
        <v>9907440</v>
      </c>
      <c r="H1349" s="234">
        <v>430420300</v>
      </c>
      <c r="I1349" s="313" t="str">
        <f t="shared" si="139"/>
        <v>0430420300</v>
      </c>
      <c r="J1349" s="30" t="str">
        <f t="shared" si="140"/>
        <v>61805030430420300000</v>
      </c>
    </row>
    <row r="1350" spans="1:10" s="3" customFormat="1" ht="25.5">
      <c r="A1350" s="232" t="s">
        <v>108</v>
      </c>
      <c r="B1350" s="233" t="s">
        <v>12</v>
      </c>
      <c r="C1350" s="234" t="s">
        <v>8</v>
      </c>
      <c r="D1350" s="234" t="s">
        <v>53</v>
      </c>
      <c r="E1350" s="234" t="s">
        <v>646</v>
      </c>
      <c r="F1350" s="234" t="s">
        <v>116</v>
      </c>
      <c r="G1350" s="235">
        <f>G1351</f>
        <v>9907440</v>
      </c>
      <c r="H1350" s="234">
        <v>430420300</v>
      </c>
      <c r="I1350" s="313" t="str">
        <f t="shared" si="139"/>
        <v>0430420300</v>
      </c>
      <c r="J1350" s="30" t="str">
        <f t="shared" si="140"/>
        <v>61805030430420300240</v>
      </c>
    </row>
    <row r="1351" spans="1:10" s="4" customFormat="1" ht="25.5">
      <c r="A1351" s="236" t="s">
        <v>973</v>
      </c>
      <c r="B1351" s="233" t="s">
        <v>12</v>
      </c>
      <c r="C1351" s="234" t="s">
        <v>8</v>
      </c>
      <c r="D1351" s="234" t="s">
        <v>53</v>
      </c>
      <c r="E1351" s="234" t="s">
        <v>646</v>
      </c>
      <c r="F1351" s="234" t="s">
        <v>1043</v>
      </c>
      <c r="G1351" s="235">
        <f>VLOOKUP(J1351,'исх АС БЮДЖЕТ'!$A$10:$H$568,6,0)</f>
        <v>9907440</v>
      </c>
      <c r="H1351" s="234">
        <v>430420300</v>
      </c>
      <c r="I1351" s="313" t="str">
        <f t="shared" si="139"/>
        <v>0430420300</v>
      </c>
      <c r="J1351" s="30" t="str">
        <f t="shared" si="140"/>
        <v>61805030430420300244</v>
      </c>
    </row>
    <row r="1352" spans="1:10" s="3" customFormat="1">
      <c r="A1352" s="236" t="s">
        <v>890</v>
      </c>
      <c r="B1352" s="233" t="s">
        <v>12</v>
      </c>
      <c r="C1352" s="242" t="s">
        <v>8</v>
      </c>
      <c r="D1352" s="242" t="s">
        <v>53</v>
      </c>
      <c r="E1352" s="242" t="s">
        <v>910</v>
      </c>
      <c r="F1352" s="242" t="s">
        <v>58</v>
      </c>
      <c r="G1352" s="235">
        <f>G1353</f>
        <v>1046350</v>
      </c>
      <c r="H1352" s="242">
        <v>430421070</v>
      </c>
      <c r="I1352" s="313" t="str">
        <f t="shared" si="139"/>
        <v>0430421070</v>
      </c>
      <c r="J1352" s="30" t="str">
        <f t="shared" si="140"/>
        <v>61805030430421070000</v>
      </c>
    </row>
    <row r="1353" spans="1:10" s="3" customFormat="1" ht="25.5">
      <c r="A1353" s="232" t="s">
        <v>108</v>
      </c>
      <c r="B1353" s="233" t="s">
        <v>12</v>
      </c>
      <c r="C1353" s="242" t="s">
        <v>8</v>
      </c>
      <c r="D1353" s="242" t="s">
        <v>53</v>
      </c>
      <c r="E1353" s="242" t="s">
        <v>910</v>
      </c>
      <c r="F1353" s="242" t="s">
        <v>116</v>
      </c>
      <c r="G1353" s="235">
        <f>G1354</f>
        <v>1046350</v>
      </c>
      <c r="H1353" s="242">
        <v>430421070</v>
      </c>
      <c r="I1353" s="313" t="str">
        <f t="shared" si="139"/>
        <v>0430421070</v>
      </c>
      <c r="J1353" s="30" t="str">
        <f t="shared" si="140"/>
        <v>61805030430421070240</v>
      </c>
    </row>
    <row r="1354" spans="1:10" s="4" customFormat="1" ht="25.5">
      <c r="A1354" s="236" t="s">
        <v>973</v>
      </c>
      <c r="B1354" s="233" t="s">
        <v>12</v>
      </c>
      <c r="C1354" s="242" t="s">
        <v>8</v>
      </c>
      <c r="D1354" s="242" t="s">
        <v>53</v>
      </c>
      <c r="E1354" s="242" t="s">
        <v>910</v>
      </c>
      <c r="F1354" s="242" t="s">
        <v>1043</v>
      </c>
      <c r="G1354" s="235">
        <f>VLOOKUP(J1354,'исх АС БЮДЖЕТ'!$A$10:$H$568,6,0)</f>
        <v>1046350</v>
      </c>
      <c r="H1354" s="242">
        <v>430421070</v>
      </c>
      <c r="I1354" s="313" t="str">
        <f t="shared" si="139"/>
        <v>0430421070</v>
      </c>
      <c r="J1354" s="30" t="str">
        <f t="shared" si="140"/>
        <v>61805030430421070244</v>
      </c>
    </row>
    <row r="1355" spans="1:10" s="3" customFormat="1" ht="38.25">
      <c r="A1355" s="236" t="s">
        <v>891</v>
      </c>
      <c r="B1355" s="241" t="s">
        <v>12</v>
      </c>
      <c r="C1355" s="242" t="s">
        <v>8</v>
      </c>
      <c r="D1355" s="242" t="s">
        <v>53</v>
      </c>
      <c r="E1355" s="234" t="s">
        <v>911</v>
      </c>
      <c r="F1355" s="242" t="s">
        <v>58</v>
      </c>
      <c r="G1355" s="243">
        <f>G1356</f>
        <v>6996870</v>
      </c>
      <c r="H1355" s="234">
        <v>430421080</v>
      </c>
      <c r="I1355" s="313" t="str">
        <f t="shared" si="139"/>
        <v>0430421080</v>
      </c>
      <c r="J1355" s="30" t="str">
        <f t="shared" si="140"/>
        <v>61805030430421080000</v>
      </c>
    </row>
    <row r="1356" spans="1:10" s="3" customFormat="1" ht="25.5">
      <c r="A1356" s="232" t="s">
        <v>108</v>
      </c>
      <c r="B1356" s="233" t="s">
        <v>12</v>
      </c>
      <c r="C1356" s="234" t="s">
        <v>8</v>
      </c>
      <c r="D1356" s="234" t="s">
        <v>53</v>
      </c>
      <c r="E1356" s="234" t="s">
        <v>911</v>
      </c>
      <c r="F1356" s="234" t="s">
        <v>116</v>
      </c>
      <c r="G1356" s="235">
        <f>G1357</f>
        <v>6996870</v>
      </c>
      <c r="H1356" s="234">
        <v>430421080</v>
      </c>
      <c r="I1356" s="313" t="str">
        <f t="shared" si="139"/>
        <v>0430421080</v>
      </c>
      <c r="J1356" s="30" t="str">
        <f t="shared" si="140"/>
        <v>61805030430421080240</v>
      </c>
    </row>
    <row r="1357" spans="1:10" s="94" customFormat="1" ht="25.5">
      <c r="A1357" s="236" t="s">
        <v>973</v>
      </c>
      <c r="B1357" s="233" t="s">
        <v>12</v>
      </c>
      <c r="C1357" s="234" t="s">
        <v>8</v>
      </c>
      <c r="D1357" s="234" t="s">
        <v>53</v>
      </c>
      <c r="E1357" s="234" t="s">
        <v>911</v>
      </c>
      <c r="F1357" s="234" t="s">
        <v>1043</v>
      </c>
      <c r="G1357" s="235">
        <f>VLOOKUP(J1357,'исх АС БЮДЖЕТ'!$A$10:$H$568,6,0)</f>
        <v>6996870</v>
      </c>
      <c r="H1357" s="234">
        <v>430421080</v>
      </c>
      <c r="I1357" s="313" t="str">
        <f t="shared" si="139"/>
        <v>0430421080</v>
      </c>
      <c r="J1357" s="30" t="str">
        <f t="shared" si="140"/>
        <v>61805030430421080244</v>
      </c>
    </row>
    <row r="1358" spans="1:10" s="3" customFormat="1">
      <c r="A1358" s="224" t="s">
        <v>499</v>
      </c>
      <c r="B1358" s="225" t="s">
        <v>12</v>
      </c>
      <c r="C1358" s="226" t="s">
        <v>50</v>
      </c>
      <c r="D1358" s="226" t="s">
        <v>51</v>
      </c>
      <c r="E1358" s="226" t="s">
        <v>196</v>
      </c>
      <c r="F1358" s="226" t="s">
        <v>58</v>
      </c>
      <c r="G1358" s="227">
        <f t="shared" ref="G1358:G1361" si="147">G1359</f>
        <v>1536000</v>
      </c>
      <c r="H1358" s="226">
        <v>0</v>
      </c>
      <c r="I1358" s="313" t="str">
        <f t="shared" si="139"/>
        <v>0000000000</v>
      </c>
      <c r="J1358" s="30" t="str">
        <f t="shared" si="140"/>
        <v>61808000000000000000</v>
      </c>
    </row>
    <row r="1359" spans="1:10" s="3" customFormat="1">
      <c r="A1359" s="228" t="s">
        <v>27</v>
      </c>
      <c r="B1359" s="229" t="s">
        <v>12</v>
      </c>
      <c r="C1359" s="230" t="s">
        <v>50</v>
      </c>
      <c r="D1359" s="230" t="s">
        <v>65</v>
      </c>
      <c r="E1359" s="230" t="s">
        <v>196</v>
      </c>
      <c r="F1359" s="230" t="s">
        <v>58</v>
      </c>
      <c r="G1359" s="231">
        <f t="shared" si="147"/>
        <v>1536000</v>
      </c>
      <c r="H1359" s="230">
        <v>0</v>
      </c>
      <c r="I1359" s="313" t="str">
        <f t="shared" si="139"/>
        <v>0000000000</v>
      </c>
      <c r="J1359" s="30" t="str">
        <f t="shared" si="140"/>
        <v>61808010000000000000</v>
      </c>
    </row>
    <row r="1360" spans="1:10" s="3" customFormat="1">
      <c r="A1360" s="232" t="s">
        <v>739</v>
      </c>
      <c r="B1360" s="233" t="s">
        <v>12</v>
      </c>
      <c r="C1360" s="234" t="s">
        <v>50</v>
      </c>
      <c r="D1360" s="234" t="s">
        <v>65</v>
      </c>
      <c r="E1360" s="234" t="s">
        <v>277</v>
      </c>
      <c r="F1360" s="234" t="s">
        <v>58</v>
      </c>
      <c r="G1360" s="235">
        <f t="shared" si="147"/>
        <v>1536000</v>
      </c>
      <c r="H1360" s="234">
        <v>700000000</v>
      </c>
      <c r="I1360" s="313" t="str">
        <f t="shared" si="139"/>
        <v>0700000000</v>
      </c>
      <c r="J1360" s="30" t="str">
        <f t="shared" si="140"/>
        <v>61808010700000000000</v>
      </c>
    </row>
    <row r="1361" spans="1:10" s="3" customFormat="1" ht="38.25">
      <c r="A1361" s="236" t="s">
        <v>194</v>
      </c>
      <c r="B1361" s="233" t="s">
        <v>12</v>
      </c>
      <c r="C1361" s="234" t="s">
        <v>50</v>
      </c>
      <c r="D1361" s="234" t="s">
        <v>65</v>
      </c>
      <c r="E1361" s="234" t="s">
        <v>278</v>
      </c>
      <c r="F1361" s="234" t="s">
        <v>58</v>
      </c>
      <c r="G1361" s="235">
        <f t="shared" si="147"/>
        <v>1536000</v>
      </c>
      <c r="H1361" s="234">
        <v>710000000</v>
      </c>
      <c r="I1361" s="313" t="str">
        <f t="shared" si="139"/>
        <v>0710000000</v>
      </c>
      <c r="J1361" s="30" t="str">
        <f t="shared" si="140"/>
        <v>61808010710000000000</v>
      </c>
    </row>
    <row r="1362" spans="1:10" s="3" customFormat="1" ht="51">
      <c r="A1362" s="252" t="s">
        <v>605</v>
      </c>
      <c r="B1362" s="241" t="s">
        <v>12</v>
      </c>
      <c r="C1362" s="242" t="s">
        <v>50</v>
      </c>
      <c r="D1362" s="242" t="s">
        <v>65</v>
      </c>
      <c r="E1362" s="242" t="s">
        <v>279</v>
      </c>
      <c r="F1362" s="242" t="s">
        <v>58</v>
      </c>
      <c r="G1362" s="243">
        <f>G1363+G1366</f>
        <v>1536000</v>
      </c>
      <c r="H1362" s="242">
        <v>710100000</v>
      </c>
      <c r="I1362" s="313" t="str">
        <f t="shared" si="139"/>
        <v>0710100000</v>
      </c>
      <c r="J1362" s="30" t="str">
        <f t="shared" si="140"/>
        <v>61808010710100000000</v>
      </c>
    </row>
    <row r="1363" spans="1:10" s="3" customFormat="1">
      <c r="A1363" s="232" t="s">
        <v>161</v>
      </c>
      <c r="B1363" s="233" t="s">
        <v>12</v>
      </c>
      <c r="C1363" s="234" t="s">
        <v>50</v>
      </c>
      <c r="D1363" s="234" t="s">
        <v>65</v>
      </c>
      <c r="E1363" s="234" t="s">
        <v>320</v>
      </c>
      <c r="F1363" s="234" t="s">
        <v>58</v>
      </c>
      <c r="G1363" s="235">
        <f>G1364</f>
        <v>975000</v>
      </c>
      <c r="H1363" s="234">
        <v>710120060</v>
      </c>
      <c r="I1363" s="313" t="str">
        <f t="shared" si="139"/>
        <v>0710120060</v>
      </c>
      <c r="J1363" s="30" t="str">
        <f t="shared" si="140"/>
        <v>61808010710120060000</v>
      </c>
    </row>
    <row r="1364" spans="1:10" s="3" customFormat="1" ht="25.5">
      <c r="A1364" s="232" t="s">
        <v>108</v>
      </c>
      <c r="B1364" s="233" t="s">
        <v>12</v>
      </c>
      <c r="C1364" s="234" t="s">
        <v>50</v>
      </c>
      <c r="D1364" s="234" t="s">
        <v>65</v>
      </c>
      <c r="E1364" s="234" t="s">
        <v>320</v>
      </c>
      <c r="F1364" s="234" t="s">
        <v>116</v>
      </c>
      <c r="G1364" s="235">
        <f>G1365</f>
        <v>975000</v>
      </c>
      <c r="H1364" s="234">
        <v>710120060</v>
      </c>
      <c r="I1364" s="313" t="str">
        <f t="shared" si="139"/>
        <v>0710120060</v>
      </c>
      <c r="J1364" s="30" t="str">
        <f t="shared" si="140"/>
        <v>61808010710120060240</v>
      </c>
    </row>
    <row r="1365" spans="1:10" s="4" customFormat="1" ht="25.5">
      <c r="A1365" s="236" t="s">
        <v>973</v>
      </c>
      <c r="B1365" s="233" t="s">
        <v>12</v>
      </c>
      <c r="C1365" s="234" t="s">
        <v>50</v>
      </c>
      <c r="D1365" s="234" t="s">
        <v>65</v>
      </c>
      <c r="E1365" s="234" t="s">
        <v>320</v>
      </c>
      <c r="F1365" s="234" t="s">
        <v>1043</v>
      </c>
      <c r="G1365" s="235">
        <f>VLOOKUP(J1365,'исх АС БЮДЖЕТ'!$A$10:$H$568,6,0)</f>
        <v>975000</v>
      </c>
      <c r="H1365" s="234">
        <v>710120060</v>
      </c>
      <c r="I1365" s="313" t="str">
        <f t="shared" si="139"/>
        <v>0710120060</v>
      </c>
      <c r="J1365" s="30" t="str">
        <f t="shared" si="140"/>
        <v>61808010710120060244</v>
      </c>
    </row>
    <row r="1366" spans="1:10" s="3" customFormat="1" ht="25.5">
      <c r="A1366" s="236" t="s">
        <v>892</v>
      </c>
      <c r="B1366" s="233" t="s">
        <v>12</v>
      </c>
      <c r="C1366" s="234" t="s">
        <v>50</v>
      </c>
      <c r="D1366" s="234" t="s">
        <v>65</v>
      </c>
      <c r="E1366" s="234" t="s">
        <v>500</v>
      </c>
      <c r="F1366" s="234" t="s">
        <v>58</v>
      </c>
      <c r="G1366" s="235">
        <f>G1367</f>
        <v>561000</v>
      </c>
      <c r="H1366" s="234">
        <v>710121130</v>
      </c>
      <c r="I1366" s="313" t="str">
        <f t="shared" si="139"/>
        <v>0710121130</v>
      </c>
      <c r="J1366" s="30" t="str">
        <f t="shared" si="140"/>
        <v>61808010710121130000</v>
      </c>
    </row>
    <row r="1367" spans="1:10" s="3" customFormat="1" ht="25.5">
      <c r="A1367" s="232" t="s">
        <v>108</v>
      </c>
      <c r="B1367" s="233" t="s">
        <v>12</v>
      </c>
      <c r="C1367" s="234" t="s">
        <v>50</v>
      </c>
      <c r="D1367" s="234" t="s">
        <v>65</v>
      </c>
      <c r="E1367" s="234" t="s">
        <v>500</v>
      </c>
      <c r="F1367" s="234" t="s">
        <v>116</v>
      </c>
      <c r="G1367" s="235">
        <f>G1368</f>
        <v>561000</v>
      </c>
      <c r="H1367" s="234">
        <v>710121130</v>
      </c>
      <c r="I1367" s="313" t="str">
        <f t="shared" si="139"/>
        <v>0710121130</v>
      </c>
      <c r="J1367" s="30" t="str">
        <f t="shared" si="140"/>
        <v>61808010710121130240</v>
      </c>
    </row>
    <row r="1368" spans="1:10" s="4" customFormat="1" ht="25.5">
      <c r="A1368" s="236" t="s">
        <v>973</v>
      </c>
      <c r="B1368" s="233" t="s">
        <v>12</v>
      </c>
      <c r="C1368" s="234" t="s">
        <v>50</v>
      </c>
      <c r="D1368" s="234" t="s">
        <v>65</v>
      </c>
      <c r="E1368" s="234" t="s">
        <v>500</v>
      </c>
      <c r="F1368" s="234" t="s">
        <v>1043</v>
      </c>
      <c r="G1368" s="235">
        <f>VLOOKUP(J1368,'исх АС БЮДЖЕТ'!$A$10:$H$568,6,0)</f>
        <v>561000</v>
      </c>
      <c r="H1368" s="234">
        <v>710121130</v>
      </c>
      <c r="I1368" s="313" t="str">
        <f t="shared" si="139"/>
        <v>0710121130</v>
      </c>
      <c r="J1368" s="30" t="str">
        <f t="shared" si="140"/>
        <v>61808010710121130244</v>
      </c>
    </row>
    <row r="1369" spans="1:10" s="3" customFormat="1">
      <c r="A1369" s="232"/>
      <c r="B1369" s="233"/>
      <c r="C1369" s="234"/>
      <c r="D1369" s="234"/>
      <c r="E1369" s="234"/>
      <c r="F1369" s="234"/>
      <c r="G1369" s="235"/>
      <c r="H1369" s="234"/>
      <c r="I1369" s="313" t="str">
        <f t="shared" si="139"/>
        <v>0000000000</v>
      </c>
      <c r="J1369" s="30" t="str">
        <f t="shared" si="140"/>
        <v>0000000000</v>
      </c>
    </row>
    <row r="1370" spans="1:10" s="3" customFormat="1">
      <c r="A1370" s="279" t="s">
        <v>17</v>
      </c>
      <c r="B1370" s="220" t="s">
        <v>18</v>
      </c>
      <c r="C1370" s="221" t="s">
        <v>51</v>
      </c>
      <c r="D1370" s="221" t="s">
        <v>51</v>
      </c>
      <c r="E1370" s="280" t="s">
        <v>196</v>
      </c>
      <c r="F1370" s="221" t="s">
        <v>58</v>
      </c>
      <c r="G1370" s="222">
        <f>G1371+G1414+G1428+G1452</f>
        <v>167764402.49000001</v>
      </c>
      <c r="H1370" s="280">
        <v>0</v>
      </c>
      <c r="I1370" s="313" t="str">
        <f t="shared" si="139"/>
        <v>0000000000</v>
      </c>
      <c r="J1370" s="30" t="str">
        <f t="shared" si="140"/>
        <v>61900000000000000000</v>
      </c>
    </row>
    <row r="1371" spans="1:10" s="3" customFormat="1">
      <c r="A1371" s="281" t="s">
        <v>64</v>
      </c>
      <c r="B1371" s="225" t="s">
        <v>18</v>
      </c>
      <c r="C1371" s="226" t="s">
        <v>65</v>
      </c>
      <c r="D1371" s="226" t="s">
        <v>51</v>
      </c>
      <c r="E1371" s="226" t="s">
        <v>196</v>
      </c>
      <c r="F1371" s="226" t="s">
        <v>58</v>
      </c>
      <c r="G1371" s="227">
        <f>G1372+G1399</f>
        <v>41687090.68</v>
      </c>
      <c r="H1371" s="226">
        <v>0</v>
      </c>
      <c r="I1371" s="313" t="str">
        <f t="shared" ref="I1371:I1435" si="148">TEXT(H1371,"0000000000")</f>
        <v>0000000000</v>
      </c>
      <c r="J1371" s="30" t="str">
        <f t="shared" ref="J1371:J1435" si="149">CONCATENATE(B1371,C1371,D1371,I1371,F1371)</f>
        <v>61901000000000000000</v>
      </c>
    </row>
    <row r="1372" spans="1:10" s="3" customFormat="1" ht="39">
      <c r="A1372" s="282" t="s">
        <v>31</v>
      </c>
      <c r="B1372" s="229" t="s">
        <v>18</v>
      </c>
      <c r="C1372" s="230" t="s">
        <v>65</v>
      </c>
      <c r="D1372" s="230" t="s">
        <v>37</v>
      </c>
      <c r="E1372" s="230" t="s">
        <v>196</v>
      </c>
      <c r="F1372" s="230" t="s">
        <v>58</v>
      </c>
      <c r="G1372" s="231">
        <f t="shared" ref="G1372:G1373" si="150">G1373</f>
        <v>41113148.700000003</v>
      </c>
      <c r="H1372" s="230">
        <v>0</v>
      </c>
      <c r="I1372" s="313" t="str">
        <f t="shared" si="148"/>
        <v>0000000000</v>
      </c>
      <c r="J1372" s="30" t="str">
        <f t="shared" si="149"/>
        <v>61901040000000000000</v>
      </c>
    </row>
    <row r="1373" spans="1:10" s="3" customFormat="1" ht="25.5">
      <c r="A1373" s="232" t="s">
        <v>151</v>
      </c>
      <c r="B1373" s="234" t="s">
        <v>18</v>
      </c>
      <c r="C1373" s="234" t="s">
        <v>65</v>
      </c>
      <c r="D1373" s="234" t="s">
        <v>37</v>
      </c>
      <c r="E1373" s="234" t="s">
        <v>553</v>
      </c>
      <c r="F1373" s="234" t="s">
        <v>58</v>
      </c>
      <c r="G1373" s="235">
        <f t="shared" si="150"/>
        <v>41113148.700000003</v>
      </c>
      <c r="H1373" s="234">
        <v>8200000000</v>
      </c>
      <c r="I1373" s="313" t="str">
        <f t="shared" si="148"/>
        <v>8200000000</v>
      </c>
      <c r="J1373" s="30" t="str">
        <f t="shared" si="149"/>
        <v>61901048200000000000</v>
      </c>
    </row>
    <row r="1374" spans="1:10" s="3" customFormat="1" ht="25.5">
      <c r="A1374" s="232" t="s">
        <v>152</v>
      </c>
      <c r="B1374" s="234" t="s">
        <v>18</v>
      </c>
      <c r="C1374" s="234" t="s">
        <v>65</v>
      </c>
      <c r="D1374" s="234" t="s">
        <v>37</v>
      </c>
      <c r="E1374" s="234" t="s">
        <v>554</v>
      </c>
      <c r="F1374" s="234" t="s">
        <v>58</v>
      </c>
      <c r="G1374" s="243">
        <f>G1396+G1389+G1385+G1375</f>
        <v>41113148.700000003</v>
      </c>
      <c r="H1374" s="234">
        <v>8210000000</v>
      </c>
      <c r="I1374" s="313" t="str">
        <f t="shared" si="148"/>
        <v>8210000000</v>
      </c>
      <c r="J1374" s="30" t="str">
        <f t="shared" si="149"/>
        <v>61901048210000000000</v>
      </c>
    </row>
    <row r="1375" spans="1:10" s="3" customFormat="1" ht="25.5">
      <c r="A1375" s="232" t="s">
        <v>114</v>
      </c>
      <c r="B1375" s="234" t="s">
        <v>18</v>
      </c>
      <c r="C1375" s="234" t="s">
        <v>65</v>
      </c>
      <c r="D1375" s="234" t="s">
        <v>37</v>
      </c>
      <c r="E1375" s="234" t="s">
        <v>555</v>
      </c>
      <c r="F1375" s="234" t="s">
        <v>58</v>
      </c>
      <c r="G1375" s="243">
        <f>G1376+G1379+G1381</f>
        <v>4545358.7</v>
      </c>
      <c r="H1375" s="234">
        <v>8210010010</v>
      </c>
      <c r="I1375" s="313" t="str">
        <f t="shared" si="148"/>
        <v>8210010010</v>
      </c>
      <c r="J1375" s="30" t="str">
        <f t="shared" si="149"/>
        <v>61901048210010010000</v>
      </c>
    </row>
    <row r="1376" spans="1:10" s="145" customFormat="1">
      <c r="A1376" s="237" t="s">
        <v>107</v>
      </c>
      <c r="B1376" s="242" t="s">
        <v>18</v>
      </c>
      <c r="C1376" s="242" t="s">
        <v>65</v>
      </c>
      <c r="D1376" s="242" t="s">
        <v>37</v>
      </c>
      <c r="E1376" s="234" t="s">
        <v>555</v>
      </c>
      <c r="F1376" s="242" t="s">
        <v>115</v>
      </c>
      <c r="G1376" s="243">
        <f>SUM(G1377:G1378)</f>
        <v>803310</v>
      </c>
      <c r="H1376" s="234">
        <v>8210010010</v>
      </c>
      <c r="I1376" s="313" t="str">
        <f t="shared" si="148"/>
        <v>8210010010</v>
      </c>
      <c r="J1376" s="30" t="str">
        <f t="shared" si="149"/>
        <v>61901048210010010120</v>
      </c>
    </row>
    <row r="1377" spans="1:10" s="4" customFormat="1" ht="25.5">
      <c r="A1377" s="236" t="s">
        <v>937</v>
      </c>
      <c r="B1377" s="242" t="s">
        <v>18</v>
      </c>
      <c r="C1377" s="242" t="s">
        <v>65</v>
      </c>
      <c r="D1377" s="242" t="s">
        <v>37</v>
      </c>
      <c r="E1377" s="234" t="s">
        <v>555</v>
      </c>
      <c r="F1377" s="234" t="s">
        <v>1059</v>
      </c>
      <c r="G1377" s="235">
        <f>VLOOKUP(J1377,'исх АС БЮДЖЕТ'!$A$10:$H$568,6,0)</f>
        <v>616980</v>
      </c>
      <c r="H1377" s="234">
        <v>8210010010</v>
      </c>
      <c r="I1377" s="313" t="str">
        <f t="shared" si="148"/>
        <v>8210010010</v>
      </c>
      <c r="J1377" s="30" t="str">
        <f t="shared" si="149"/>
        <v>61901048210010010122</v>
      </c>
    </row>
    <row r="1378" spans="1:10" s="4" customFormat="1" ht="38.25">
      <c r="A1378" s="236" t="s">
        <v>939</v>
      </c>
      <c r="B1378" s="242" t="s">
        <v>18</v>
      </c>
      <c r="C1378" s="242" t="s">
        <v>65</v>
      </c>
      <c r="D1378" s="242" t="s">
        <v>37</v>
      </c>
      <c r="E1378" s="234" t="s">
        <v>555</v>
      </c>
      <c r="F1378" s="234" t="s">
        <v>1060</v>
      </c>
      <c r="G1378" s="235">
        <f>VLOOKUP(J1378,'исх АС БЮДЖЕТ'!$A$10:$H$568,6,0)</f>
        <v>186330</v>
      </c>
      <c r="H1378" s="234">
        <v>8210010010</v>
      </c>
      <c r="I1378" s="313" t="str">
        <f t="shared" si="148"/>
        <v>8210010010</v>
      </c>
      <c r="J1378" s="30" t="str">
        <f t="shared" si="149"/>
        <v>61901048210010010129</v>
      </c>
    </row>
    <row r="1379" spans="1:10" s="3" customFormat="1" ht="25.5">
      <c r="A1379" s="232" t="s">
        <v>108</v>
      </c>
      <c r="B1379" s="234" t="s">
        <v>18</v>
      </c>
      <c r="C1379" s="234" t="s">
        <v>65</v>
      </c>
      <c r="D1379" s="234" t="s">
        <v>37</v>
      </c>
      <c r="E1379" s="234" t="s">
        <v>555</v>
      </c>
      <c r="F1379" s="234" t="s">
        <v>116</v>
      </c>
      <c r="G1379" s="243">
        <f>G1380</f>
        <v>3462048.7</v>
      </c>
      <c r="H1379" s="234">
        <v>8210010010</v>
      </c>
      <c r="I1379" s="313" t="str">
        <f t="shared" si="148"/>
        <v>8210010010</v>
      </c>
      <c r="J1379" s="30" t="str">
        <f t="shared" si="149"/>
        <v>61901048210010010240</v>
      </c>
    </row>
    <row r="1380" spans="1:10" s="4" customFormat="1" ht="25.5">
      <c r="A1380" s="236" t="s">
        <v>973</v>
      </c>
      <c r="B1380" s="234" t="s">
        <v>18</v>
      </c>
      <c r="C1380" s="234" t="s">
        <v>65</v>
      </c>
      <c r="D1380" s="234" t="s">
        <v>37</v>
      </c>
      <c r="E1380" s="234" t="s">
        <v>555</v>
      </c>
      <c r="F1380" s="234" t="s">
        <v>1043</v>
      </c>
      <c r="G1380" s="235">
        <f>VLOOKUP(J1380,'исх АС БЮДЖЕТ'!$A$10:$H$568,6,0)</f>
        <v>3462048.7</v>
      </c>
      <c r="H1380" s="234">
        <v>8210010010</v>
      </c>
      <c r="I1380" s="313" t="str">
        <f t="shared" si="148"/>
        <v>8210010010</v>
      </c>
      <c r="J1380" s="30" t="str">
        <f t="shared" si="149"/>
        <v>61901048210010010244</v>
      </c>
    </row>
    <row r="1381" spans="1:10" s="3" customFormat="1">
      <c r="A1381" s="232" t="s">
        <v>97</v>
      </c>
      <c r="B1381" s="242" t="s">
        <v>18</v>
      </c>
      <c r="C1381" s="242" t="s">
        <v>65</v>
      </c>
      <c r="D1381" s="242" t="s">
        <v>37</v>
      </c>
      <c r="E1381" s="234" t="s">
        <v>555</v>
      </c>
      <c r="F1381" s="242" t="s">
        <v>118</v>
      </c>
      <c r="G1381" s="243">
        <f>SUM(G1382:G1384)</f>
        <v>280000</v>
      </c>
      <c r="H1381" s="234">
        <v>8210010010</v>
      </c>
      <c r="I1381" s="313" t="str">
        <f t="shared" si="148"/>
        <v>8210010010</v>
      </c>
      <c r="J1381" s="30" t="str">
        <f t="shared" si="149"/>
        <v>61901048210010010850</v>
      </c>
    </row>
    <row r="1382" spans="1:10" s="4" customFormat="1">
      <c r="A1382" s="236" t="s">
        <v>1036</v>
      </c>
      <c r="B1382" s="242" t="s">
        <v>18</v>
      </c>
      <c r="C1382" s="242" t="s">
        <v>65</v>
      </c>
      <c r="D1382" s="242" t="s">
        <v>37</v>
      </c>
      <c r="E1382" s="234" t="s">
        <v>555</v>
      </c>
      <c r="F1382" s="234" t="s">
        <v>1061</v>
      </c>
      <c r="G1382" s="235">
        <f>VLOOKUP(J1382,'исх АС БЮДЖЕТ'!$A$10:$H$568,6,0)</f>
        <v>260000</v>
      </c>
      <c r="H1382" s="234">
        <v>8210010010</v>
      </c>
      <c r="I1382" s="313" t="str">
        <f t="shared" si="148"/>
        <v>8210010010</v>
      </c>
      <c r="J1382" s="30" t="str">
        <f t="shared" si="149"/>
        <v>61901048210010010851</v>
      </c>
    </row>
    <row r="1383" spans="1:10" s="4" customFormat="1">
      <c r="A1383" s="236" t="s">
        <v>1037</v>
      </c>
      <c r="B1383" s="242" t="s">
        <v>18</v>
      </c>
      <c r="C1383" s="242" t="s">
        <v>65</v>
      </c>
      <c r="D1383" s="242" t="s">
        <v>37</v>
      </c>
      <c r="E1383" s="234" t="s">
        <v>555</v>
      </c>
      <c r="F1383" s="234" t="s">
        <v>1062</v>
      </c>
      <c r="G1383" s="235">
        <f>VLOOKUP(J1383,'исх АС БЮДЖЕТ'!$A$10:$H$568,6,0)</f>
        <v>10198.17</v>
      </c>
      <c r="H1383" s="234">
        <v>8210010010</v>
      </c>
      <c r="I1383" s="313" t="str">
        <f t="shared" si="148"/>
        <v>8210010010</v>
      </c>
      <c r="J1383" s="30" t="str">
        <f t="shared" si="149"/>
        <v>61901048210010010852</v>
      </c>
    </row>
    <row r="1384" spans="1:10" s="4" customFormat="1">
      <c r="A1384" s="232" t="s">
        <v>1038</v>
      </c>
      <c r="B1384" s="242" t="s">
        <v>18</v>
      </c>
      <c r="C1384" s="242" t="s">
        <v>65</v>
      </c>
      <c r="D1384" s="242" t="s">
        <v>37</v>
      </c>
      <c r="E1384" s="234" t="s">
        <v>555</v>
      </c>
      <c r="F1384" s="234" t="s">
        <v>1066</v>
      </c>
      <c r="G1384" s="235">
        <f>VLOOKUP(J1384,'исх АС БЮДЖЕТ'!$A$10:$H$568,6,0)</f>
        <v>9801.83</v>
      </c>
      <c r="H1384" s="234">
        <v>8210010010</v>
      </c>
      <c r="I1384" s="313" t="str">
        <f t="shared" ref="I1384" si="151">TEXT(H1384,"0000000000")</f>
        <v>8210010010</v>
      </c>
      <c r="J1384" s="30" t="str">
        <f t="shared" si="149"/>
        <v>61901048210010010853</v>
      </c>
    </row>
    <row r="1385" spans="1:10" s="127" customFormat="1" ht="25.5">
      <c r="A1385" s="237" t="s">
        <v>504</v>
      </c>
      <c r="B1385" s="242" t="s">
        <v>18</v>
      </c>
      <c r="C1385" s="242" t="s">
        <v>65</v>
      </c>
      <c r="D1385" s="242" t="s">
        <v>37</v>
      </c>
      <c r="E1385" s="242" t="s">
        <v>556</v>
      </c>
      <c r="F1385" s="242" t="s">
        <v>58</v>
      </c>
      <c r="G1385" s="243">
        <f>G1386</f>
        <v>34981070</v>
      </c>
      <c r="H1385" s="242">
        <v>8210010020</v>
      </c>
      <c r="I1385" s="313" t="str">
        <f t="shared" si="148"/>
        <v>8210010020</v>
      </c>
      <c r="J1385" s="30" t="str">
        <f t="shared" si="149"/>
        <v>61901048210010020000</v>
      </c>
    </row>
    <row r="1386" spans="1:10" s="145" customFormat="1">
      <c r="A1386" s="237" t="s">
        <v>107</v>
      </c>
      <c r="B1386" s="242" t="s">
        <v>18</v>
      </c>
      <c r="C1386" s="242" t="s">
        <v>65</v>
      </c>
      <c r="D1386" s="242" t="s">
        <v>37</v>
      </c>
      <c r="E1386" s="242" t="s">
        <v>556</v>
      </c>
      <c r="F1386" s="242" t="s">
        <v>115</v>
      </c>
      <c r="G1386" s="243">
        <f>SUM(G1387:G1388)</f>
        <v>34981070</v>
      </c>
      <c r="H1386" s="242">
        <v>8210010020</v>
      </c>
      <c r="I1386" s="313" t="str">
        <f t="shared" si="148"/>
        <v>8210010020</v>
      </c>
      <c r="J1386" s="30" t="str">
        <f t="shared" si="149"/>
        <v>61901048210010020120</v>
      </c>
    </row>
    <row r="1387" spans="1:10" s="4" customFormat="1">
      <c r="A1387" s="236" t="s">
        <v>936</v>
      </c>
      <c r="B1387" s="242" t="s">
        <v>18</v>
      </c>
      <c r="C1387" s="242" t="s">
        <v>65</v>
      </c>
      <c r="D1387" s="242" t="s">
        <v>37</v>
      </c>
      <c r="E1387" s="242" t="s">
        <v>556</v>
      </c>
      <c r="F1387" s="234" t="s">
        <v>1063</v>
      </c>
      <c r="G1387" s="235">
        <f>VLOOKUP(J1387,'исх АС БЮДЖЕТ'!$A$10:$H$568,6,0)</f>
        <v>26867180</v>
      </c>
      <c r="H1387" s="242">
        <v>8210010020</v>
      </c>
      <c r="I1387" s="313" t="str">
        <f t="shared" si="148"/>
        <v>8210010020</v>
      </c>
      <c r="J1387" s="30" t="str">
        <f t="shared" si="149"/>
        <v>61901048210010020121</v>
      </c>
    </row>
    <row r="1388" spans="1:10" s="4" customFormat="1" ht="38.25">
      <c r="A1388" s="236" t="s">
        <v>939</v>
      </c>
      <c r="B1388" s="242" t="s">
        <v>18</v>
      </c>
      <c r="C1388" s="242" t="s">
        <v>65</v>
      </c>
      <c r="D1388" s="242" t="s">
        <v>37</v>
      </c>
      <c r="E1388" s="242" t="s">
        <v>556</v>
      </c>
      <c r="F1388" s="234" t="s">
        <v>1060</v>
      </c>
      <c r="G1388" s="235">
        <f>VLOOKUP(J1388,'исх АС БЮДЖЕТ'!$A$10:$H$568,6,0)</f>
        <v>8113890</v>
      </c>
      <c r="H1388" s="242">
        <v>8210010020</v>
      </c>
      <c r="I1388" s="313" t="str">
        <f t="shared" si="148"/>
        <v>8210010020</v>
      </c>
      <c r="J1388" s="30" t="str">
        <f t="shared" si="149"/>
        <v>61901048210010020129</v>
      </c>
    </row>
    <row r="1389" spans="1:10" s="127" customFormat="1" ht="38.25">
      <c r="A1389" s="267" t="s">
        <v>598</v>
      </c>
      <c r="B1389" s="242" t="s">
        <v>18</v>
      </c>
      <c r="C1389" s="242" t="s">
        <v>65</v>
      </c>
      <c r="D1389" s="242" t="s">
        <v>37</v>
      </c>
      <c r="E1389" s="242" t="s">
        <v>557</v>
      </c>
      <c r="F1389" s="242" t="s">
        <v>58</v>
      </c>
      <c r="G1389" s="243">
        <f>G1390+G1394</f>
        <v>1534980</v>
      </c>
      <c r="H1389" s="242">
        <v>8210076200</v>
      </c>
      <c r="I1389" s="313" t="str">
        <f t="shared" si="148"/>
        <v>8210076200</v>
      </c>
      <c r="J1389" s="30" t="str">
        <f t="shared" si="149"/>
        <v>61901048210076200000</v>
      </c>
    </row>
    <row r="1390" spans="1:10" s="145" customFormat="1">
      <c r="A1390" s="237" t="s">
        <v>107</v>
      </c>
      <c r="B1390" s="242" t="s">
        <v>18</v>
      </c>
      <c r="C1390" s="242" t="s">
        <v>65</v>
      </c>
      <c r="D1390" s="242" t="s">
        <v>37</v>
      </c>
      <c r="E1390" s="242" t="s">
        <v>557</v>
      </c>
      <c r="F1390" s="242" t="s">
        <v>115</v>
      </c>
      <c r="G1390" s="243">
        <f>SUM(G1391:G1393)</f>
        <v>1338680</v>
      </c>
      <c r="H1390" s="242">
        <v>8210076200</v>
      </c>
      <c r="I1390" s="313" t="str">
        <f t="shared" si="148"/>
        <v>8210076200</v>
      </c>
      <c r="J1390" s="30" t="str">
        <f t="shared" si="149"/>
        <v>61901048210076200120</v>
      </c>
    </row>
    <row r="1391" spans="1:10" s="145" customFormat="1">
      <c r="A1391" s="232" t="s">
        <v>936</v>
      </c>
      <c r="B1391" s="242" t="s">
        <v>18</v>
      </c>
      <c r="C1391" s="242" t="s">
        <v>65</v>
      </c>
      <c r="D1391" s="242" t="s">
        <v>37</v>
      </c>
      <c r="E1391" s="242" t="s">
        <v>557</v>
      </c>
      <c r="F1391" s="234" t="s">
        <v>1063</v>
      </c>
      <c r="G1391" s="235">
        <f>VLOOKUP(J1391,'исх АС БЮДЖЕТ'!$A$10:$H$568,6,0)</f>
        <v>977110</v>
      </c>
      <c r="H1391" s="242">
        <v>8210076200</v>
      </c>
      <c r="I1391" s="313" t="str">
        <f t="shared" si="148"/>
        <v>8210076200</v>
      </c>
      <c r="J1391" s="30" t="str">
        <f t="shared" si="149"/>
        <v>61901048210076200121</v>
      </c>
    </row>
    <row r="1392" spans="1:10" s="4" customFormat="1" ht="25.5">
      <c r="A1392" s="236" t="s">
        <v>937</v>
      </c>
      <c r="B1392" s="242" t="s">
        <v>18</v>
      </c>
      <c r="C1392" s="242" t="s">
        <v>65</v>
      </c>
      <c r="D1392" s="242" t="s">
        <v>37</v>
      </c>
      <c r="E1392" s="242" t="s">
        <v>557</v>
      </c>
      <c r="F1392" s="234" t="s">
        <v>1059</v>
      </c>
      <c r="G1392" s="235">
        <f>VLOOKUP(J1392,'исх АС БЮДЖЕТ'!$A$10:$H$568,6,0)</f>
        <v>51060</v>
      </c>
      <c r="H1392" s="242">
        <v>8210076200</v>
      </c>
      <c r="I1392" s="313" t="str">
        <f t="shared" si="148"/>
        <v>8210076200</v>
      </c>
      <c r="J1392" s="30" t="str">
        <f t="shared" si="149"/>
        <v>61901048210076200122</v>
      </c>
    </row>
    <row r="1393" spans="1:10" s="4" customFormat="1" ht="38.25">
      <c r="A1393" s="232" t="s">
        <v>939</v>
      </c>
      <c r="B1393" s="242" t="s">
        <v>18</v>
      </c>
      <c r="C1393" s="242" t="s">
        <v>65</v>
      </c>
      <c r="D1393" s="242" t="s">
        <v>37</v>
      </c>
      <c r="E1393" s="242" t="s">
        <v>557</v>
      </c>
      <c r="F1393" s="234" t="s">
        <v>1060</v>
      </c>
      <c r="G1393" s="235">
        <f>VLOOKUP(J1393,'исх АС БЮДЖЕТ'!$A$10:$H$568,6,0)</f>
        <v>310510</v>
      </c>
      <c r="H1393" s="242">
        <v>8210076200</v>
      </c>
      <c r="I1393" s="313" t="str">
        <f t="shared" si="148"/>
        <v>8210076200</v>
      </c>
      <c r="J1393" s="30" t="str">
        <f t="shared" si="149"/>
        <v>61901048210076200129</v>
      </c>
    </row>
    <row r="1394" spans="1:10" s="145" customFormat="1" ht="25.5">
      <c r="A1394" s="232" t="s">
        <v>108</v>
      </c>
      <c r="B1394" s="242" t="s">
        <v>18</v>
      </c>
      <c r="C1394" s="242" t="s">
        <v>65</v>
      </c>
      <c r="D1394" s="242" t="s">
        <v>37</v>
      </c>
      <c r="E1394" s="242" t="s">
        <v>557</v>
      </c>
      <c r="F1394" s="242" t="s">
        <v>116</v>
      </c>
      <c r="G1394" s="243">
        <f>G1395</f>
        <v>196300</v>
      </c>
      <c r="H1394" s="242">
        <v>8210076200</v>
      </c>
      <c r="I1394" s="313" t="str">
        <f t="shared" si="148"/>
        <v>8210076200</v>
      </c>
      <c r="J1394" s="30" t="str">
        <f t="shared" si="149"/>
        <v>61901048210076200240</v>
      </c>
    </row>
    <row r="1395" spans="1:10" s="4" customFormat="1" ht="25.5">
      <c r="A1395" s="236" t="s">
        <v>973</v>
      </c>
      <c r="B1395" s="242" t="s">
        <v>18</v>
      </c>
      <c r="C1395" s="242" t="s">
        <v>65</v>
      </c>
      <c r="D1395" s="242" t="s">
        <v>37</v>
      </c>
      <c r="E1395" s="242" t="s">
        <v>557</v>
      </c>
      <c r="F1395" s="242" t="s">
        <v>1043</v>
      </c>
      <c r="G1395" s="235">
        <f>VLOOKUP(J1395,'исх АС БЮДЖЕТ'!$A$10:$H$568,6,0)</f>
        <v>196300</v>
      </c>
      <c r="H1395" s="242">
        <v>8210076200</v>
      </c>
      <c r="I1395" s="313" t="str">
        <f t="shared" si="148"/>
        <v>8210076200</v>
      </c>
      <c r="J1395" s="30" t="str">
        <f t="shared" si="149"/>
        <v>61901048210076200244</v>
      </c>
    </row>
    <row r="1396" spans="1:10" s="127" customFormat="1" ht="38.25">
      <c r="A1396" s="237" t="s">
        <v>870</v>
      </c>
      <c r="B1396" s="242" t="s">
        <v>18</v>
      </c>
      <c r="C1396" s="242" t="s">
        <v>65</v>
      </c>
      <c r="D1396" s="242" t="s">
        <v>37</v>
      </c>
      <c r="E1396" s="242" t="s">
        <v>558</v>
      </c>
      <c r="F1396" s="242" t="s">
        <v>58</v>
      </c>
      <c r="G1396" s="243">
        <f>G1397</f>
        <v>51740</v>
      </c>
      <c r="H1396" s="242">
        <v>8210076360</v>
      </c>
      <c r="I1396" s="313" t="str">
        <f t="shared" si="148"/>
        <v>8210076360</v>
      </c>
      <c r="J1396" s="30" t="str">
        <f t="shared" si="149"/>
        <v>61901048210076360000</v>
      </c>
    </row>
    <row r="1397" spans="1:10" s="145" customFormat="1" ht="25.5">
      <c r="A1397" s="232" t="s">
        <v>108</v>
      </c>
      <c r="B1397" s="242" t="s">
        <v>18</v>
      </c>
      <c r="C1397" s="242" t="s">
        <v>65</v>
      </c>
      <c r="D1397" s="242" t="s">
        <v>37</v>
      </c>
      <c r="E1397" s="242" t="s">
        <v>558</v>
      </c>
      <c r="F1397" s="242" t="s">
        <v>116</v>
      </c>
      <c r="G1397" s="243">
        <f>G1398</f>
        <v>51740</v>
      </c>
      <c r="H1397" s="242">
        <v>8210076360</v>
      </c>
      <c r="I1397" s="313" t="str">
        <f t="shared" si="148"/>
        <v>8210076360</v>
      </c>
      <c r="J1397" s="30" t="str">
        <f t="shared" si="149"/>
        <v>61901048210076360240</v>
      </c>
    </row>
    <row r="1398" spans="1:10" s="4" customFormat="1" ht="25.5">
      <c r="A1398" s="236" t="s">
        <v>973</v>
      </c>
      <c r="B1398" s="242" t="s">
        <v>18</v>
      </c>
      <c r="C1398" s="242" t="s">
        <v>65</v>
      </c>
      <c r="D1398" s="242" t="s">
        <v>37</v>
      </c>
      <c r="E1398" s="242" t="s">
        <v>558</v>
      </c>
      <c r="F1398" s="242" t="s">
        <v>1043</v>
      </c>
      <c r="G1398" s="235">
        <f>VLOOKUP(J1398,'исх АС БЮДЖЕТ'!$A$10:$H$568,6,0)</f>
        <v>51740</v>
      </c>
      <c r="H1398" s="242">
        <v>8210076360</v>
      </c>
      <c r="I1398" s="313" t="str">
        <f t="shared" si="148"/>
        <v>8210076360</v>
      </c>
      <c r="J1398" s="30" t="str">
        <f t="shared" si="149"/>
        <v>61901048210076360244</v>
      </c>
    </row>
    <row r="1399" spans="1:10" s="3" customFormat="1">
      <c r="A1399" s="283" t="s">
        <v>38</v>
      </c>
      <c r="B1399" s="229" t="s">
        <v>18</v>
      </c>
      <c r="C1399" s="230" t="s">
        <v>65</v>
      </c>
      <c r="D1399" s="230" t="s">
        <v>84</v>
      </c>
      <c r="E1399" s="230" t="s">
        <v>196</v>
      </c>
      <c r="F1399" s="230" t="s">
        <v>58</v>
      </c>
      <c r="G1399" s="231">
        <f>G1400+G1409</f>
        <v>573941.98</v>
      </c>
      <c r="H1399" s="230">
        <v>0</v>
      </c>
      <c r="I1399" s="313" t="str">
        <f t="shared" si="148"/>
        <v>0000000000</v>
      </c>
      <c r="J1399" s="30" t="str">
        <f t="shared" si="149"/>
        <v>61901130000000000000</v>
      </c>
    </row>
    <row r="1400" spans="1:10" s="3" customFormat="1" ht="38.25">
      <c r="A1400" s="244" t="s">
        <v>745</v>
      </c>
      <c r="B1400" s="234" t="s">
        <v>18</v>
      </c>
      <c r="C1400" s="234" t="s">
        <v>65</v>
      </c>
      <c r="D1400" s="234" t="s">
        <v>84</v>
      </c>
      <c r="E1400" s="234" t="s">
        <v>280</v>
      </c>
      <c r="F1400" s="234" t="s">
        <v>58</v>
      </c>
      <c r="G1400" s="235">
        <f>G1401</f>
        <v>555070</v>
      </c>
      <c r="H1400" s="234">
        <v>1100000000</v>
      </c>
      <c r="I1400" s="313" t="str">
        <f t="shared" si="148"/>
        <v>1100000000</v>
      </c>
      <c r="J1400" s="30" t="str">
        <f t="shared" si="149"/>
        <v>61901131100000000000</v>
      </c>
    </row>
    <row r="1401" spans="1:10" s="3" customFormat="1" ht="38.25">
      <c r="A1401" s="244" t="s">
        <v>746</v>
      </c>
      <c r="B1401" s="234" t="s">
        <v>18</v>
      </c>
      <c r="C1401" s="234" t="s">
        <v>65</v>
      </c>
      <c r="D1401" s="234" t="s">
        <v>84</v>
      </c>
      <c r="E1401" s="234" t="s">
        <v>281</v>
      </c>
      <c r="F1401" s="234" t="s">
        <v>58</v>
      </c>
      <c r="G1401" s="235">
        <f>G1402</f>
        <v>555070</v>
      </c>
      <c r="H1401" s="234" t="s">
        <v>1185</v>
      </c>
      <c r="I1401" s="313" t="str">
        <f t="shared" si="148"/>
        <v>11Б0000000</v>
      </c>
      <c r="J1401" s="30" t="str">
        <f t="shared" si="149"/>
        <v>619011311Б0000000000</v>
      </c>
    </row>
    <row r="1402" spans="1:10" s="3" customFormat="1" ht="25.5">
      <c r="A1402" s="278" t="s">
        <v>282</v>
      </c>
      <c r="B1402" s="234" t="s">
        <v>18</v>
      </c>
      <c r="C1402" s="234" t="s">
        <v>65</v>
      </c>
      <c r="D1402" s="234" t="s">
        <v>84</v>
      </c>
      <c r="E1402" s="234" t="s">
        <v>283</v>
      </c>
      <c r="F1402" s="234" t="s">
        <v>58</v>
      </c>
      <c r="G1402" s="235">
        <f>G1403+G1406</f>
        <v>555070</v>
      </c>
      <c r="H1402" s="234" t="s">
        <v>1186</v>
      </c>
      <c r="I1402" s="313" t="str">
        <f t="shared" si="148"/>
        <v>11Б0100000</v>
      </c>
      <c r="J1402" s="30" t="str">
        <f t="shared" si="149"/>
        <v>619011311Б0100000000</v>
      </c>
    </row>
    <row r="1403" spans="1:10" s="3" customFormat="1" ht="25.5">
      <c r="A1403" s="262" t="s">
        <v>167</v>
      </c>
      <c r="B1403" s="234" t="s">
        <v>18</v>
      </c>
      <c r="C1403" s="234" t="s">
        <v>65</v>
      </c>
      <c r="D1403" s="234" t="s">
        <v>84</v>
      </c>
      <c r="E1403" s="234" t="s">
        <v>491</v>
      </c>
      <c r="F1403" s="234" t="s">
        <v>58</v>
      </c>
      <c r="G1403" s="235">
        <f>G1404</f>
        <v>472810</v>
      </c>
      <c r="H1403" s="234" t="s">
        <v>1226</v>
      </c>
      <c r="I1403" s="313" t="str">
        <f t="shared" si="148"/>
        <v>11Б0120840</v>
      </c>
      <c r="J1403" s="30" t="str">
        <f t="shared" si="149"/>
        <v>619011311Б0120840000</v>
      </c>
    </row>
    <row r="1404" spans="1:10" s="3" customFormat="1" ht="25.5">
      <c r="A1404" s="232" t="s">
        <v>108</v>
      </c>
      <c r="B1404" s="234" t="s">
        <v>18</v>
      </c>
      <c r="C1404" s="234" t="s">
        <v>65</v>
      </c>
      <c r="D1404" s="234" t="s">
        <v>84</v>
      </c>
      <c r="E1404" s="234" t="s">
        <v>491</v>
      </c>
      <c r="F1404" s="234" t="s">
        <v>116</v>
      </c>
      <c r="G1404" s="243">
        <f>G1405</f>
        <v>472810</v>
      </c>
      <c r="H1404" s="234" t="s">
        <v>1226</v>
      </c>
      <c r="I1404" s="313" t="str">
        <f t="shared" si="148"/>
        <v>11Б0120840</v>
      </c>
      <c r="J1404" s="30" t="str">
        <f t="shared" si="149"/>
        <v>619011311Б0120840240</v>
      </c>
    </row>
    <row r="1405" spans="1:10" s="4" customFormat="1" ht="25.5">
      <c r="A1405" s="236" t="s">
        <v>973</v>
      </c>
      <c r="B1405" s="234" t="s">
        <v>18</v>
      </c>
      <c r="C1405" s="234" t="s">
        <v>65</v>
      </c>
      <c r="D1405" s="234" t="s">
        <v>84</v>
      </c>
      <c r="E1405" s="234" t="s">
        <v>491</v>
      </c>
      <c r="F1405" s="234" t="s">
        <v>1043</v>
      </c>
      <c r="G1405" s="235">
        <f>VLOOKUP(J1405,'исх АС БЮДЖЕТ'!$A$10:$H$568,6,0)</f>
        <v>472810</v>
      </c>
      <c r="H1405" s="234" t="s">
        <v>1226</v>
      </c>
      <c r="I1405" s="313" t="str">
        <f t="shared" si="148"/>
        <v>11Б0120840</v>
      </c>
      <c r="J1405" s="30" t="str">
        <f t="shared" si="149"/>
        <v>619011311Б0120840244</v>
      </c>
    </row>
    <row r="1406" spans="1:10" s="3" customFormat="1" ht="25.5">
      <c r="A1406" s="232" t="s">
        <v>859</v>
      </c>
      <c r="B1406" s="234" t="s">
        <v>18</v>
      </c>
      <c r="C1406" s="242" t="s">
        <v>65</v>
      </c>
      <c r="D1406" s="242" t="s">
        <v>84</v>
      </c>
      <c r="E1406" s="274" t="s">
        <v>858</v>
      </c>
      <c r="F1406" s="234" t="s">
        <v>58</v>
      </c>
      <c r="G1406" s="235">
        <f>G1407</f>
        <v>82260</v>
      </c>
      <c r="H1406" s="274" t="s">
        <v>1189</v>
      </c>
      <c r="I1406" s="313" t="str">
        <f t="shared" si="148"/>
        <v>11Б0121120</v>
      </c>
      <c r="J1406" s="30" t="str">
        <f t="shared" si="149"/>
        <v>619011311Б0121120000</v>
      </c>
    </row>
    <row r="1407" spans="1:10" s="3" customFormat="1" ht="25.5">
      <c r="A1407" s="232" t="s">
        <v>108</v>
      </c>
      <c r="B1407" s="234" t="s">
        <v>18</v>
      </c>
      <c r="C1407" s="242" t="s">
        <v>65</v>
      </c>
      <c r="D1407" s="242" t="s">
        <v>84</v>
      </c>
      <c r="E1407" s="274" t="s">
        <v>858</v>
      </c>
      <c r="F1407" s="234" t="s">
        <v>116</v>
      </c>
      <c r="G1407" s="235">
        <f>G1408</f>
        <v>82260</v>
      </c>
      <c r="H1407" s="274" t="s">
        <v>1189</v>
      </c>
      <c r="I1407" s="313" t="str">
        <f t="shared" si="148"/>
        <v>11Б0121120</v>
      </c>
      <c r="J1407" s="30" t="str">
        <f t="shared" si="149"/>
        <v>619011311Б0121120240</v>
      </c>
    </row>
    <row r="1408" spans="1:10" s="4" customFormat="1" ht="25.5">
      <c r="A1408" s="236" t="s">
        <v>973</v>
      </c>
      <c r="B1408" s="234" t="s">
        <v>18</v>
      </c>
      <c r="C1408" s="242" t="s">
        <v>65</v>
      </c>
      <c r="D1408" s="242" t="s">
        <v>84</v>
      </c>
      <c r="E1408" s="274" t="s">
        <v>858</v>
      </c>
      <c r="F1408" s="234" t="s">
        <v>1043</v>
      </c>
      <c r="G1408" s="235">
        <f>VLOOKUP(J1408,'исх АС БЮДЖЕТ'!$A$10:$H$568,6,0)</f>
        <v>82260</v>
      </c>
      <c r="H1408" s="274" t="s">
        <v>1189</v>
      </c>
      <c r="I1408" s="313" t="str">
        <f t="shared" si="148"/>
        <v>11Б0121120</v>
      </c>
      <c r="J1408" s="30" t="str">
        <f t="shared" si="149"/>
        <v>619011311Б0121120244</v>
      </c>
    </row>
    <row r="1409" spans="1:10" s="4" customFormat="1" ht="25.5">
      <c r="A1409" s="232" t="s">
        <v>151</v>
      </c>
      <c r="B1409" s="241" t="s">
        <v>18</v>
      </c>
      <c r="C1409" s="242" t="s">
        <v>65</v>
      </c>
      <c r="D1409" s="242" t="s">
        <v>84</v>
      </c>
      <c r="E1409" s="234" t="s">
        <v>553</v>
      </c>
      <c r="F1409" s="242" t="s">
        <v>58</v>
      </c>
      <c r="G1409" s="243">
        <f t="shared" ref="G1409:G1412" si="152">G1410</f>
        <v>18871.98</v>
      </c>
      <c r="H1409" s="234">
        <v>8200000000</v>
      </c>
      <c r="I1409" s="313" t="str">
        <f t="shared" si="148"/>
        <v>8200000000</v>
      </c>
      <c r="J1409" s="30" t="str">
        <f t="shared" si="149"/>
        <v>61901138200000000000</v>
      </c>
    </row>
    <row r="1410" spans="1:10" s="4" customFormat="1" ht="25.5">
      <c r="A1410" s="232" t="s">
        <v>152</v>
      </c>
      <c r="B1410" s="241" t="s">
        <v>18</v>
      </c>
      <c r="C1410" s="242" t="s">
        <v>65</v>
      </c>
      <c r="D1410" s="242" t="s">
        <v>84</v>
      </c>
      <c r="E1410" s="234" t="s">
        <v>554</v>
      </c>
      <c r="F1410" s="242" t="s">
        <v>58</v>
      </c>
      <c r="G1410" s="243">
        <f>G1411</f>
        <v>18871.98</v>
      </c>
      <c r="H1410" s="234">
        <v>8210000000</v>
      </c>
      <c r="I1410" s="313" t="str">
        <f t="shared" si="148"/>
        <v>8210000000</v>
      </c>
      <c r="J1410" s="30" t="str">
        <f t="shared" si="149"/>
        <v>61901138210000000000</v>
      </c>
    </row>
    <row r="1411" spans="1:10" s="4" customFormat="1">
      <c r="A1411" s="237" t="s">
        <v>130</v>
      </c>
      <c r="B1411" s="241" t="s">
        <v>18</v>
      </c>
      <c r="C1411" s="242" t="s">
        <v>65</v>
      </c>
      <c r="D1411" s="242" t="s">
        <v>84</v>
      </c>
      <c r="E1411" s="242" t="s">
        <v>1171</v>
      </c>
      <c r="F1411" s="242" t="s">
        <v>58</v>
      </c>
      <c r="G1411" s="243">
        <f t="shared" si="152"/>
        <v>18871.98</v>
      </c>
      <c r="H1411" s="242">
        <v>8210020050</v>
      </c>
      <c r="I1411" s="313" t="str">
        <f t="shared" si="148"/>
        <v>8210020050</v>
      </c>
      <c r="J1411" s="30" t="str">
        <f t="shared" si="149"/>
        <v>61901138210020050000</v>
      </c>
    </row>
    <row r="1412" spans="1:10" s="4" customFormat="1">
      <c r="A1412" s="232" t="s">
        <v>96</v>
      </c>
      <c r="B1412" s="241" t="s">
        <v>18</v>
      </c>
      <c r="C1412" s="242" t="s">
        <v>65</v>
      </c>
      <c r="D1412" s="242" t="s">
        <v>84</v>
      </c>
      <c r="E1412" s="242" t="s">
        <v>510</v>
      </c>
      <c r="F1412" s="234" t="s">
        <v>131</v>
      </c>
      <c r="G1412" s="312">
        <f t="shared" si="152"/>
        <v>18871.98</v>
      </c>
      <c r="H1412" s="242">
        <v>8310020050</v>
      </c>
      <c r="I1412" s="313" t="str">
        <f t="shared" si="148"/>
        <v>8310020050</v>
      </c>
      <c r="J1412" s="30" t="str">
        <f t="shared" si="149"/>
        <v>61901138310020050830</v>
      </c>
    </row>
    <row r="1413" spans="1:10" s="4" customFormat="1" ht="25.5">
      <c r="A1413" s="232" t="s">
        <v>1044</v>
      </c>
      <c r="B1413" s="241" t="s">
        <v>18</v>
      </c>
      <c r="C1413" s="242" t="s">
        <v>65</v>
      </c>
      <c r="D1413" s="242" t="s">
        <v>84</v>
      </c>
      <c r="E1413" s="242" t="s">
        <v>1171</v>
      </c>
      <c r="F1413" s="234" t="s">
        <v>1045</v>
      </c>
      <c r="G1413" s="235">
        <f>VLOOKUP(J1413,'исх АС БЮДЖЕТ'!$A$10:$H$568,6,0)</f>
        <v>18871.98</v>
      </c>
      <c r="H1413" s="242">
        <v>8210020050</v>
      </c>
      <c r="I1413" s="313" t="str">
        <f t="shared" si="148"/>
        <v>8210020050</v>
      </c>
      <c r="J1413" s="30" t="str">
        <f t="shared" si="149"/>
        <v>61901138210020050831</v>
      </c>
    </row>
    <row r="1414" spans="1:10" s="3" customFormat="1">
      <c r="A1414" s="281" t="s">
        <v>35</v>
      </c>
      <c r="B1414" s="225" t="s">
        <v>18</v>
      </c>
      <c r="C1414" s="226" t="s">
        <v>37</v>
      </c>
      <c r="D1414" s="226" t="s">
        <v>51</v>
      </c>
      <c r="E1414" s="226" t="s">
        <v>196</v>
      </c>
      <c r="F1414" s="226" t="s">
        <v>58</v>
      </c>
      <c r="G1414" s="227">
        <f t="shared" ref="G1414:G1416" si="153">G1415</f>
        <v>104824570</v>
      </c>
      <c r="H1414" s="226">
        <v>0</v>
      </c>
      <c r="I1414" s="313" t="str">
        <f t="shared" si="148"/>
        <v>0000000000</v>
      </c>
      <c r="J1414" s="30" t="str">
        <f t="shared" si="149"/>
        <v>61904000000000000000</v>
      </c>
    </row>
    <row r="1415" spans="1:10" s="3" customFormat="1">
      <c r="A1415" s="282" t="s">
        <v>88</v>
      </c>
      <c r="B1415" s="229" t="s">
        <v>18</v>
      </c>
      <c r="C1415" s="230" t="s">
        <v>37</v>
      </c>
      <c r="D1415" s="230" t="s">
        <v>25</v>
      </c>
      <c r="E1415" s="230" t="s">
        <v>196</v>
      </c>
      <c r="F1415" s="230" t="s">
        <v>58</v>
      </c>
      <c r="G1415" s="231">
        <f>G1416</f>
        <v>104824570</v>
      </c>
      <c r="H1415" s="230">
        <v>0</v>
      </c>
      <c r="I1415" s="313" t="str">
        <f t="shared" si="148"/>
        <v>0000000000</v>
      </c>
      <c r="J1415" s="30" t="str">
        <f t="shared" si="149"/>
        <v>61904090000000000000</v>
      </c>
    </row>
    <row r="1416" spans="1:10" s="3" customFormat="1" ht="38.25">
      <c r="A1416" s="236" t="s">
        <v>722</v>
      </c>
      <c r="B1416" s="242" t="s">
        <v>18</v>
      </c>
      <c r="C1416" s="241" t="s">
        <v>37</v>
      </c>
      <c r="D1416" s="241" t="s">
        <v>25</v>
      </c>
      <c r="E1416" s="241" t="s">
        <v>300</v>
      </c>
      <c r="F1416" s="242" t="s">
        <v>58</v>
      </c>
      <c r="G1416" s="243">
        <f t="shared" si="153"/>
        <v>104824570</v>
      </c>
      <c r="H1416" s="241">
        <v>400000000</v>
      </c>
      <c r="I1416" s="313" t="str">
        <f t="shared" si="148"/>
        <v>0400000000</v>
      </c>
      <c r="J1416" s="30" t="str">
        <f t="shared" si="149"/>
        <v>61904090400000000000</v>
      </c>
    </row>
    <row r="1417" spans="1:10" s="3" customFormat="1" ht="38.25">
      <c r="A1417" s="252" t="s">
        <v>729</v>
      </c>
      <c r="B1417" s="242" t="s">
        <v>18</v>
      </c>
      <c r="C1417" s="241" t="s">
        <v>37</v>
      </c>
      <c r="D1417" s="241" t="s">
        <v>25</v>
      </c>
      <c r="E1417" s="241" t="s">
        <v>301</v>
      </c>
      <c r="F1417" s="241" t="s">
        <v>58</v>
      </c>
      <c r="G1417" s="243">
        <f>G1418</f>
        <v>104824570</v>
      </c>
      <c r="H1417" s="241">
        <v>420000000</v>
      </c>
      <c r="I1417" s="313" t="str">
        <f t="shared" si="148"/>
        <v>0420000000</v>
      </c>
      <c r="J1417" s="30" t="str">
        <f t="shared" si="149"/>
        <v>61904090420000000000</v>
      </c>
    </row>
    <row r="1418" spans="1:10" s="3" customFormat="1" ht="38.25">
      <c r="A1418" s="237" t="s">
        <v>644</v>
      </c>
      <c r="B1418" s="242" t="s">
        <v>18</v>
      </c>
      <c r="C1418" s="242" t="s">
        <v>37</v>
      </c>
      <c r="D1418" s="242" t="s">
        <v>25</v>
      </c>
      <c r="E1418" s="242" t="s">
        <v>302</v>
      </c>
      <c r="F1418" s="242" t="s">
        <v>58</v>
      </c>
      <c r="G1418" s="243">
        <f>G1425+G1419+G1422</f>
        <v>104824570</v>
      </c>
      <c r="H1418" s="242">
        <v>420200000</v>
      </c>
      <c r="I1418" s="313" t="str">
        <f t="shared" si="148"/>
        <v>0420200000</v>
      </c>
      <c r="J1418" s="30" t="str">
        <f t="shared" si="149"/>
        <v>61904090420200000000</v>
      </c>
    </row>
    <row r="1419" spans="1:10" s="3" customFormat="1" ht="25.5">
      <c r="A1419" s="253" t="s">
        <v>493</v>
      </c>
      <c r="B1419" s="242" t="s">
        <v>18</v>
      </c>
      <c r="C1419" s="242" t="s">
        <v>37</v>
      </c>
      <c r="D1419" s="242" t="s">
        <v>25</v>
      </c>
      <c r="E1419" s="242" t="s">
        <v>494</v>
      </c>
      <c r="F1419" s="242" t="s">
        <v>58</v>
      </c>
      <c r="G1419" s="243">
        <f>G1420</f>
        <v>10900210</v>
      </c>
      <c r="H1419" s="242">
        <v>420220820</v>
      </c>
      <c r="I1419" s="313" t="str">
        <f t="shared" si="148"/>
        <v>0420220820</v>
      </c>
      <c r="J1419" s="30" t="str">
        <f t="shared" si="149"/>
        <v>61904090420220820000</v>
      </c>
    </row>
    <row r="1420" spans="1:10" s="127" customFormat="1" ht="25.5">
      <c r="A1420" s="232" t="s">
        <v>108</v>
      </c>
      <c r="B1420" s="242" t="s">
        <v>18</v>
      </c>
      <c r="C1420" s="242" t="s">
        <v>37</v>
      </c>
      <c r="D1420" s="242" t="s">
        <v>25</v>
      </c>
      <c r="E1420" s="242" t="s">
        <v>494</v>
      </c>
      <c r="F1420" s="242" t="s">
        <v>116</v>
      </c>
      <c r="G1420" s="243">
        <f>G1421</f>
        <v>10900210</v>
      </c>
      <c r="H1420" s="242">
        <v>420220820</v>
      </c>
      <c r="I1420" s="313" t="str">
        <f t="shared" si="148"/>
        <v>0420220820</v>
      </c>
      <c r="J1420" s="30" t="str">
        <f t="shared" si="149"/>
        <v>61904090420220820240</v>
      </c>
    </row>
    <row r="1421" spans="1:10" s="4" customFormat="1" ht="25.5">
      <c r="A1421" s="236" t="s">
        <v>973</v>
      </c>
      <c r="B1421" s="242" t="s">
        <v>18</v>
      </c>
      <c r="C1421" s="242" t="s">
        <v>37</v>
      </c>
      <c r="D1421" s="242" t="s">
        <v>25</v>
      </c>
      <c r="E1421" s="242" t="s">
        <v>494</v>
      </c>
      <c r="F1421" s="242" t="s">
        <v>1043</v>
      </c>
      <c r="G1421" s="235">
        <f>VLOOKUP(J1421,'исх АС БЮДЖЕТ'!$A$10:$H$568,6,0)</f>
        <v>10900210</v>
      </c>
      <c r="H1421" s="242">
        <v>420220820</v>
      </c>
      <c r="I1421" s="313" t="str">
        <f t="shared" si="148"/>
        <v>0420220820</v>
      </c>
      <c r="J1421" s="30" t="str">
        <f t="shared" si="149"/>
        <v>61904090420220820244</v>
      </c>
    </row>
    <row r="1422" spans="1:10" s="127" customFormat="1" ht="76.5">
      <c r="A1422" s="232" t="s">
        <v>1180</v>
      </c>
      <c r="B1422" s="242" t="s">
        <v>18</v>
      </c>
      <c r="C1422" s="234" t="s">
        <v>37</v>
      </c>
      <c r="D1422" s="234" t="s">
        <v>25</v>
      </c>
      <c r="E1422" s="234" t="s">
        <v>834</v>
      </c>
      <c r="F1422" s="234" t="s">
        <v>58</v>
      </c>
      <c r="G1422" s="235">
        <f>G1423</f>
        <v>54306000</v>
      </c>
      <c r="H1422" s="234">
        <v>420221030</v>
      </c>
      <c r="I1422" s="313" t="str">
        <f t="shared" si="148"/>
        <v>0420221030</v>
      </c>
      <c r="J1422" s="30" t="str">
        <f t="shared" si="149"/>
        <v>61904090420221030000</v>
      </c>
    </row>
    <row r="1423" spans="1:10" s="127" customFormat="1" ht="25.5">
      <c r="A1423" s="232" t="s">
        <v>108</v>
      </c>
      <c r="B1423" s="242" t="s">
        <v>18</v>
      </c>
      <c r="C1423" s="234" t="s">
        <v>37</v>
      </c>
      <c r="D1423" s="234" t="s">
        <v>25</v>
      </c>
      <c r="E1423" s="234" t="s">
        <v>834</v>
      </c>
      <c r="F1423" s="234" t="s">
        <v>116</v>
      </c>
      <c r="G1423" s="235">
        <f>G1424</f>
        <v>54306000</v>
      </c>
      <c r="H1423" s="234">
        <v>420221030</v>
      </c>
      <c r="I1423" s="313" t="str">
        <f t="shared" si="148"/>
        <v>0420221030</v>
      </c>
      <c r="J1423" s="30" t="str">
        <f t="shared" si="149"/>
        <v>61904090420221030240</v>
      </c>
    </row>
    <row r="1424" spans="1:10" s="4" customFormat="1" ht="25.5">
      <c r="A1424" s="236" t="s">
        <v>973</v>
      </c>
      <c r="B1424" s="242" t="s">
        <v>18</v>
      </c>
      <c r="C1424" s="234" t="s">
        <v>37</v>
      </c>
      <c r="D1424" s="234" t="s">
        <v>25</v>
      </c>
      <c r="E1424" s="234" t="s">
        <v>834</v>
      </c>
      <c r="F1424" s="234" t="s">
        <v>1043</v>
      </c>
      <c r="G1424" s="235">
        <f>VLOOKUP(J1424,'исх АС БЮДЖЕТ'!$A$10:$H$568,6,0)</f>
        <v>54306000</v>
      </c>
      <c r="H1424" s="234">
        <v>420221030</v>
      </c>
      <c r="I1424" s="313" t="str">
        <f t="shared" si="148"/>
        <v>0420221030</v>
      </c>
      <c r="J1424" s="30" t="str">
        <f t="shared" si="149"/>
        <v>61904090420221030244</v>
      </c>
    </row>
    <row r="1425" spans="1:10" s="3" customFormat="1" ht="25.5">
      <c r="A1425" s="232" t="s">
        <v>902</v>
      </c>
      <c r="B1425" s="242" t="s">
        <v>18</v>
      </c>
      <c r="C1425" s="242" t="s">
        <v>37</v>
      </c>
      <c r="D1425" s="242" t="s">
        <v>25</v>
      </c>
      <c r="E1425" s="234" t="s">
        <v>909</v>
      </c>
      <c r="F1425" s="242" t="s">
        <v>58</v>
      </c>
      <c r="G1425" s="243">
        <f>G1426</f>
        <v>39618360</v>
      </c>
      <c r="H1425" s="234">
        <v>420221090</v>
      </c>
      <c r="I1425" s="313" t="str">
        <f t="shared" si="148"/>
        <v>0420221090</v>
      </c>
      <c r="J1425" s="30" t="str">
        <f t="shared" si="149"/>
        <v>61904090420221090000</v>
      </c>
    </row>
    <row r="1426" spans="1:10" s="3" customFormat="1" ht="25.5">
      <c r="A1426" s="232" t="s">
        <v>108</v>
      </c>
      <c r="B1426" s="242" t="s">
        <v>18</v>
      </c>
      <c r="C1426" s="242" t="s">
        <v>37</v>
      </c>
      <c r="D1426" s="242" t="s">
        <v>25</v>
      </c>
      <c r="E1426" s="234" t="s">
        <v>909</v>
      </c>
      <c r="F1426" s="242" t="s">
        <v>116</v>
      </c>
      <c r="G1426" s="243">
        <f>G1427</f>
        <v>39618360</v>
      </c>
      <c r="H1426" s="234">
        <v>420221090</v>
      </c>
      <c r="I1426" s="313" t="str">
        <f t="shared" si="148"/>
        <v>0420221090</v>
      </c>
      <c r="J1426" s="30" t="str">
        <f t="shared" si="149"/>
        <v>61904090420221090240</v>
      </c>
    </row>
    <row r="1427" spans="1:10" s="4" customFormat="1" ht="25.5">
      <c r="A1427" s="236" t="s">
        <v>973</v>
      </c>
      <c r="B1427" s="242" t="s">
        <v>18</v>
      </c>
      <c r="C1427" s="242" t="s">
        <v>37</v>
      </c>
      <c r="D1427" s="242" t="s">
        <v>25</v>
      </c>
      <c r="E1427" s="234" t="s">
        <v>909</v>
      </c>
      <c r="F1427" s="242" t="s">
        <v>1043</v>
      </c>
      <c r="G1427" s="235">
        <f>VLOOKUP(J1427,'исх АС БЮДЖЕТ'!$A$10:$H$568,6,0)</f>
        <v>39618360</v>
      </c>
      <c r="H1427" s="234">
        <v>420221090</v>
      </c>
      <c r="I1427" s="313" t="str">
        <f t="shared" si="148"/>
        <v>0420221090</v>
      </c>
      <c r="J1427" s="30" t="str">
        <f t="shared" si="149"/>
        <v>61904090420221090244</v>
      </c>
    </row>
    <row r="1428" spans="1:10" s="127" customFormat="1">
      <c r="A1428" s="281" t="s">
        <v>7</v>
      </c>
      <c r="B1428" s="225" t="s">
        <v>18</v>
      </c>
      <c r="C1428" s="226" t="s">
        <v>8</v>
      </c>
      <c r="D1428" s="226" t="s">
        <v>51</v>
      </c>
      <c r="E1428" s="226" t="s">
        <v>196</v>
      </c>
      <c r="F1428" s="226" t="s">
        <v>58</v>
      </c>
      <c r="G1428" s="227">
        <f>G1429+G1442</f>
        <v>19640241.809999999</v>
      </c>
      <c r="H1428" s="226">
        <v>0</v>
      </c>
      <c r="I1428" s="313" t="str">
        <f t="shared" si="148"/>
        <v>0000000000</v>
      </c>
      <c r="J1428" s="30" t="str">
        <f t="shared" si="149"/>
        <v>61905000000000000000</v>
      </c>
    </row>
    <row r="1429" spans="1:10" s="3" customFormat="1">
      <c r="A1429" s="282" t="s">
        <v>9</v>
      </c>
      <c r="B1429" s="229" t="s">
        <v>18</v>
      </c>
      <c r="C1429" s="230" t="s">
        <v>8</v>
      </c>
      <c r="D1429" s="230" t="s">
        <v>65</v>
      </c>
      <c r="E1429" s="230" t="s">
        <v>196</v>
      </c>
      <c r="F1429" s="230" t="s">
        <v>58</v>
      </c>
      <c r="G1429" s="231">
        <f>G1430+G1437</f>
        <v>3586381.81</v>
      </c>
      <c r="H1429" s="230">
        <v>0</v>
      </c>
      <c r="I1429" s="313" t="str">
        <f t="shared" si="148"/>
        <v>0000000000</v>
      </c>
      <c r="J1429" s="30" t="str">
        <f t="shared" si="149"/>
        <v>61905010000000000000</v>
      </c>
    </row>
    <row r="1430" spans="1:10" s="3" customFormat="1" ht="38.25">
      <c r="A1430" s="236" t="s">
        <v>722</v>
      </c>
      <c r="B1430" s="242" t="s">
        <v>18</v>
      </c>
      <c r="C1430" s="242" t="s">
        <v>8</v>
      </c>
      <c r="D1430" s="242" t="s">
        <v>65</v>
      </c>
      <c r="E1430" s="242" t="s">
        <v>300</v>
      </c>
      <c r="F1430" s="242" t="s">
        <v>58</v>
      </c>
      <c r="G1430" s="284">
        <f>G1431</f>
        <v>3447930</v>
      </c>
      <c r="H1430" s="242">
        <v>400000000</v>
      </c>
      <c r="I1430" s="313" t="str">
        <f t="shared" si="148"/>
        <v>0400000000</v>
      </c>
      <c r="J1430" s="30" t="str">
        <f t="shared" si="149"/>
        <v>61905010400000000000</v>
      </c>
    </row>
    <row r="1431" spans="1:10" s="127" customFormat="1" ht="25.5">
      <c r="A1431" s="278" t="s">
        <v>155</v>
      </c>
      <c r="B1431" s="242" t="s">
        <v>18</v>
      </c>
      <c r="C1431" s="242" t="s">
        <v>8</v>
      </c>
      <c r="D1431" s="242" t="s">
        <v>65</v>
      </c>
      <c r="E1431" s="242" t="s">
        <v>495</v>
      </c>
      <c r="F1431" s="242" t="s">
        <v>58</v>
      </c>
      <c r="G1431" s="243">
        <f>G1432</f>
        <v>3447930</v>
      </c>
      <c r="H1431" s="242">
        <v>410000000</v>
      </c>
      <c r="I1431" s="313" t="str">
        <f t="shared" si="148"/>
        <v>0410000000</v>
      </c>
      <c r="J1431" s="30" t="str">
        <f t="shared" si="149"/>
        <v>61905010410000000000</v>
      </c>
    </row>
    <row r="1432" spans="1:10" s="3" customFormat="1" ht="25.5">
      <c r="A1432" s="237" t="s">
        <v>522</v>
      </c>
      <c r="B1432" s="242" t="s">
        <v>18</v>
      </c>
      <c r="C1432" s="242" t="s">
        <v>8</v>
      </c>
      <c r="D1432" s="242" t="s">
        <v>65</v>
      </c>
      <c r="E1432" s="242" t="s">
        <v>497</v>
      </c>
      <c r="F1432" s="242" t="s">
        <v>58</v>
      </c>
      <c r="G1432" s="243">
        <f>G1433</f>
        <v>3447930</v>
      </c>
      <c r="H1432" s="242">
        <v>410100000</v>
      </c>
      <c r="I1432" s="313" t="str">
        <f t="shared" si="148"/>
        <v>0410100000</v>
      </c>
      <c r="J1432" s="30" t="str">
        <f t="shared" si="149"/>
        <v>61905010410100000000</v>
      </c>
    </row>
    <row r="1433" spans="1:10" s="3" customFormat="1">
      <c r="A1433" s="285" t="s">
        <v>148</v>
      </c>
      <c r="B1433" s="242" t="s">
        <v>18</v>
      </c>
      <c r="C1433" s="242" t="s">
        <v>8</v>
      </c>
      <c r="D1433" s="242" t="s">
        <v>65</v>
      </c>
      <c r="E1433" s="242" t="s">
        <v>498</v>
      </c>
      <c r="F1433" s="242" t="s">
        <v>58</v>
      </c>
      <c r="G1433" s="243">
        <f>G1434</f>
        <v>3447930</v>
      </c>
      <c r="H1433" s="242">
        <v>410120190</v>
      </c>
      <c r="I1433" s="313" t="str">
        <f t="shared" si="148"/>
        <v>0410120190</v>
      </c>
      <c r="J1433" s="30" t="str">
        <f t="shared" si="149"/>
        <v>61905010410120190000</v>
      </c>
    </row>
    <row r="1434" spans="1:10" s="3" customFormat="1" ht="25.5">
      <c r="A1434" s="232" t="s">
        <v>108</v>
      </c>
      <c r="B1434" s="242" t="s">
        <v>18</v>
      </c>
      <c r="C1434" s="242" t="s">
        <v>8</v>
      </c>
      <c r="D1434" s="242" t="s">
        <v>65</v>
      </c>
      <c r="E1434" s="242" t="s">
        <v>498</v>
      </c>
      <c r="F1434" s="242" t="s">
        <v>116</v>
      </c>
      <c r="G1434" s="243">
        <f>SUM(G1435:G1436)</f>
        <v>3447930</v>
      </c>
      <c r="H1434" s="242">
        <v>410120190</v>
      </c>
      <c r="I1434" s="313" t="str">
        <f t="shared" si="148"/>
        <v>0410120190</v>
      </c>
      <c r="J1434" s="30" t="str">
        <f t="shared" si="149"/>
        <v>61905010410120190240</v>
      </c>
    </row>
    <row r="1435" spans="1:10" s="3" customFormat="1" ht="25.5">
      <c r="A1435" s="236" t="s">
        <v>972</v>
      </c>
      <c r="B1435" s="242" t="s">
        <v>18</v>
      </c>
      <c r="C1435" s="242" t="s">
        <v>8</v>
      </c>
      <c r="D1435" s="242" t="s">
        <v>65</v>
      </c>
      <c r="E1435" s="242" t="s">
        <v>498</v>
      </c>
      <c r="F1435" s="234" t="s">
        <v>1070</v>
      </c>
      <c r="G1435" s="235">
        <f>VLOOKUP(J1435,'исх АС БЮДЖЕТ'!$A$10:$H$568,6,0)</f>
        <v>870000</v>
      </c>
      <c r="H1435" s="242">
        <v>410120190</v>
      </c>
      <c r="I1435" s="313" t="str">
        <f t="shared" si="148"/>
        <v>0410120190</v>
      </c>
      <c r="J1435" s="30" t="str">
        <f t="shared" si="149"/>
        <v>61905010410120190243</v>
      </c>
    </row>
    <row r="1436" spans="1:10" s="4" customFormat="1" ht="25.5">
      <c r="A1436" s="236" t="s">
        <v>973</v>
      </c>
      <c r="B1436" s="242" t="s">
        <v>18</v>
      </c>
      <c r="C1436" s="242" t="s">
        <v>8</v>
      </c>
      <c r="D1436" s="242" t="s">
        <v>65</v>
      </c>
      <c r="E1436" s="242" t="s">
        <v>498</v>
      </c>
      <c r="F1436" s="234" t="s">
        <v>1043</v>
      </c>
      <c r="G1436" s="235">
        <f>VLOOKUP(J1436,'исх АС БЮДЖЕТ'!$A$10:$H$568,6,0)</f>
        <v>2577930</v>
      </c>
      <c r="H1436" s="242">
        <v>410120190</v>
      </c>
      <c r="I1436" s="313" t="str">
        <f t="shared" ref="I1436:I1498" si="154">TEXT(H1436,"0000000000")</f>
        <v>0410120190</v>
      </c>
      <c r="J1436" s="30" t="str">
        <f t="shared" ref="J1436:J1498" si="155">CONCATENATE(B1436,C1436,D1436,I1436,F1436)</f>
        <v>61905010410120190244</v>
      </c>
    </row>
    <row r="1437" spans="1:10" s="4" customFormat="1" ht="25.5">
      <c r="A1437" s="232" t="s">
        <v>683</v>
      </c>
      <c r="B1437" s="233" t="s">
        <v>18</v>
      </c>
      <c r="C1437" s="234" t="s">
        <v>8</v>
      </c>
      <c r="D1437" s="234" t="s">
        <v>65</v>
      </c>
      <c r="E1437" s="234" t="s">
        <v>680</v>
      </c>
      <c r="F1437" s="234" t="s">
        <v>58</v>
      </c>
      <c r="G1437" s="235">
        <f t="shared" ref="G1437:G1440" si="156">G1438</f>
        <v>138451.81</v>
      </c>
      <c r="H1437" s="242"/>
      <c r="I1437" s="313"/>
      <c r="J1437" s="30"/>
    </row>
    <row r="1438" spans="1:10" s="4" customFormat="1" ht="38.25">
      <c r="A1438" s="232" t="s">
        <v>1120</v>
      </c>
      <c r="B1438" s="233" t="s">
        <v>18</v>
      </c>
      <c r="C1438" s="234" t="s">
        <v>8</v>
      </c>
      <c r="D1438" s="234" t="s">
        <v>65</v>
      </c>
      <c r="E1438" s="234" t="s">
        <v>1121</v>
      </c>
      <c r="F1438" s="234" t="s">
        <v>58</v>
      </c>
      <c r="G1438" s="235">
        <f t="shared" si="156"/>
        <v>138451.81</v>
      </c>
      <c r="H1438" s="242"/>
      <c r="I1438" s="313"/>
      <c r="J1438" s="30"/>
    </row>
    <row r="1439" spans="1:10" s="4" customFormat="1">
      <c r="A1439" s="232" t="s">
        <v>148</v>
      </c>
      <c r="B1439" s="233" t="s">
        <v>18</v>
      </c>
      <c r="C1439" s="234" t="s">
        <v>8</v>
      </c>
      <c r="D1439" s="234" t="s">
        <v>65</v>
      </c>
      <c r="E1439" s="234" t="s">
        <v>1122</v>
      </c>
      <c r="F1439" s="234" t="s">
        <v>58</v>
      </c>
      <c r="G1439" s="235">
        <f t="shared" si="156"/>
        <v>138451.81</v>
      </c>
      <c r="H1439" s="242"/>
      <c r="I1439" s="313"/>
      <c r="J1439" s="30"/>
    </row>
    <row r="1440" spans="1:10" s="4" customFormat="1" ht="25.5">
      <c r="A1440" s="232" t="s">
        <v>108</v>
      </c>
      <c r="B1440" s="233" t="s">
        <v>18</v>
      </c>
      <c r="C1440" s="234" t="s">
        <v>8</v>
      </c>
      <c r="D1440" s="234" t="s">
        <v>65</v>
      </c>
      <c r="E1440" s="234" t="s">
        <v>1122</v>
      </c>
      <c r="F1440" s="234" t="s">
        <v>116</v>
      </c>
      <c r="G1440" s="235">
        <f t="shared" si="156"/>
        <v>138451.81</v>
      </c>
      <c r="H1440" s="242"/>
      <c r="I1440" s="313"/>
      <c r="J1440" s="30"/>
    </row>
    <row r="1441" spans="1:10" s="4" customFormat="1" ht="25.5">
      <c r="A1441" s="236" t="s">
        <v>972</v>
      </c>
      <c r="B1441" s="233" t="s">
        <v>18</v>
      </c>
      <c r="C1441" s="234" t="s">
        <v>8</v>
      </c>
      <c r="D1441" s="234" t="s">
        <v>65</v>
      </c>
      <c r="E1441" s="234" t="s">
        <v>1122</v>
      </c>
      <c r="F1441" s="234" t="s">
        <v>1070</v>
      </c>
      <c r="G1441" s="235">
        <f>138451.81</f>
        <v>138451.81</v>
      </c>
      <c r="H1441" s="242"/>
      <c r="I1441" s="313"/>
      <c r="J1441" s="30"/>
    </row>
    <row r="1442" spans="1:10" s="3" customFormat="1">
      <c r="A1442" s="283" t="s">
        <v>1</v>
      </c>
      <c r="B1442" s="229" t="s">
        <v>18</v>
      </c>
      <c r="C1442" s="230" t="s">
        <v>8</v>
      </c>
      <c r="D1442" s="230" t="s">
        <v>53</v>
      </c>
      <c r="E1442" s="230" t="s">
        <v>196</v>
      </c>
      <c r="F1442" s="230" t="s">
        <v>58</v>
      </c>
      <c r="G1442" s="231">
        <f t="shared" ref="G1442:G1444" si="157">G1443</f>
        <v>16053860</v>
      </c>
      <c r="H1442" s="230">
        <v>0</v>
      </c>
      <c r="I1442" s="313" t="str">
        <f t="shared" si="154"/>
        <v>0000000000</v>
      </c>
      <c r="J1442" s="30" t="str">
        <f t="shared" si="155"/>
        <v>61905030000000000000</v>
      </c>
    </row>
    <row r="1443" spans="1:10" s="3" customFormat="1" ht="38.25">
      <c r="A1443" s="236" t="s">
        <v>722</v>
      </c>
      <c r="B1443" s="242" t="s">
        <v>18</v>
      </c>
      <c r="C1443" s="242" t="s">
        <v>8</v>
      </c>
      <c r="D1443" s="242" t="s">
        <v>53</v>
      </c>
      <c r="E1443" s="242" t="s">
        <v>300</v>
      </c>
      <c r="F1443" s="242" t="s">
        <v>58</v>
      </c>
      <c r="G1443" s="243">
        <f t="shared" si="157"/>
        <v>16053860</v>
      </c>
      <c r="H1443" s="242">
        <v>400000000</v>
      </c>
      <c r="I1443" s="313" t="str">
        <f t="shared" si="154"/>
        <v>0400000000</v>
      </c>
      <c r="J1443" s="30" t="str">
        <f t="shared" si="155"/>
        <v>61905030400000000000</v>
      </c>
    </row>
    <row r="1444" spans="1:10" s="3" customFormat="1">
      <c r="A1444" s="286" t="s">
        <v>142</v>
      </c>
      <c r="B1444" s="242" t="s">
        <v>18</v>
      </c>
      <c r="C1444" s="242" t="s">
        <v>8</v>
      </c>
      <c r="D1444" s="242" t="s">
        <v>53</v>
      </c>
      <c r="E1444" s="242" t="s">
        <v>453</v>
      </c>
      <c r="F1444" s="242" t="s">
        <v>58</v>
      </c>
      <c r="G1444" s="243">
        <f t="shared" si="157"/>
        <v>16053860</v>
      </c>
      <c r="H1444" s="242">
        <v>430000000</v>
      </c>
      <c r="I1444" s="313" t="str">
        <f t="shared" si="154"/>
        <v>0430000000</v>
      </c>
      <c r="J1444" s="30" t="str">
        <f t="shared" si="155"/>
        <v>61905030430000000000</v>
      </c>
    </row>
    <row r="1445" spans="1:10" s="3" customFormat="1">
      <c r="A1445" s="286" t="s">
        <v>454</v>
      </c>
      <c r="B1445" s="242" t="s">
        <v>18</v>
      </c>
      <c r="C1445" s="242" t="s">
        <v>8</v>
      </c>
      <c r="D1445" s="242" t="s">
        <v>53</v>
      </c>
      <c r="E1445" s="234" t="s">
        <v>645</v>
      </c>
      <c r="F1445" s="242" t="s">
        <v>58</v>
      </c>
      <c r="G1445" s="243">
        <f>G1446+G1449</f>
        <v>16053860</v>
      </c>
      <c r="H1445" s="234">
        <v>430400000</v>
      </c>
      <c r="I1445" s="313" t="str">
        <f t="shared" si="154"/>
        <v>0430400000</v>
      </c>
      <c r="J1445" s="30" t="str">
        <f t="shared" si="155"/>
        <v>61905030430400000000</v>
      </c>
    </row>
    <row r="1446" spans="1:10" s="3" customFormat="1">
      <c r="A1446" s="286" t="s">
        <v>158</v>
      </c>
      <c r="B1446" s="242" t="s">
        <v>18</v>
      </c>
      <c r="C1446" s="242" t="s">
        <v>8</v>
      </c>
      <c r="D1446" s="242" t="s">
        <v>53</v>
      </c>
      <c r="E1446" s="234" t="s">
        <v>646</v>
      </c>
      <c r="F1446" s="242" t="s">
        <v>58</v>
      </c>
      <c r="G1446" s="243">
        <f>G1447</f>
        <v>15007510</v>
      </c>
      <c r="H1446" s="234">
        <v>430420300</v>
      </c>
      <c r="I1446" s="313" t="str">
        <f t="shared" si="154"/>
        <v>0430420300</v>
      </c>
      <c r="J1446" s="30" t="str">
        <f t="shared" si="155"/>
        <v>61905030430420300000</v>
      </c>
    </row>
    <row r="1447" spans="1:10" s="3" customFormat="1" ht="25.5">
      <c r="A1447" s="232" t="s">
        <v>108</v>
      </c>
      <c r="B1447" s="242" t="s">
        <v>18</v>
      </c>
      <c r="C1447" s="242" t="s">
        <v>8</v>
      </c>
      <c r="D1447" s="242" t="s">
        <v>53</v>
      </c>
      <c r="E1447" s="234" t="s">
        <v>646</v>
      </c>
      <c r="F1447" s="242" t="s">
        <v>116</v>
      </c>
      <c r="G1447" s="235">
        <f>G1448</f>
        <v>15007510</v>
      </c>
      <c r="H1447" s="234">
        <v>430420300</v>
      </c>
      <c r="I1447" s="313" t="str">
        <f t="shared" si="154"/>
        <v>0430420300</v>
      </c>
      <c r="J1447" s="30" t="str">
        <f t="shared" si="155"/>
        <v>61905030430420300240</v>
      </c>
    </row>
    <row r="1448" spans="1:10" s="4" customFormat="1" ht="25.5">
      <c r="A1448" s="236" t="s">
        <v>973</v>
      </c>
      <c r="B1448" s="242" t="s">
        <v>18</v>
      </c>
      <c r="C1448" s="242" t="s">
        <v>8</v>
      </c>
      <c r="D1448" s="242" t="s">
        <v>53</v>
      </c>
      <c r="E1448" s="234" t="s">
        <v>646</v>
      </c>
      <c r="F1448" s="242" t="s">
        <v>1043</v>
      </c>
      <c r="G1448" s="235">
        <f>VLOOKUP(J1448,'исх АС БЮДЖЕТ'!$A$10:$H$568,6,0)</f>
        <v>15007510</v>
      </c>
      <c r="H1448" s="234">
        <v>430420300</v>
      </c>
      <c r="I1448" s="313" t="str">
        <f t="shared" si="154"/>
        <v>0430420300</v>
      </c>
      <c r="J1448" s="30" t="str">
        <f t="shared" si="155"/>
        <v>61905030430420300244</v>
      </c>
    </row>
    <row r="1449" spans="1:10" s="3" customFormat="1">
      <c r="A1449" s="236" t="s">
        <v>890</v>
      </c>
      <c r="B1449" s="242" t="s">
        <v>18</v>
      </c>
      <c r="C1449" s="242" t="s">
        <v>8</v>
      </c>
      <c r="D1449" s="242" t="s">
        <v>53</v>
      </c>
      <c r="E1449" s="242" t="s">
        <v>910</v>
      </c>
      <c r="F1449" s="242" t="s">
        <v>58</v>
      </c>
      <c r="G1449" s="243">
        <f>G1450</f>
        <v>1046350</v>
      </c>
      <c r="H1449" s="242">
        <v>430421070</v>
      </c>
      <c r="I1449" s="313" t="str">
        <f t="shared" si="154"/>
        <v>0430421070</v>
      </c>
      <c r="J1449" s="30" t="str">
        <f t="shared" si="155"/>
        <v>61905030430421070000</v>
      </c>
    </row>
    <row r="1450" spans="1:10" s="3" customFormat="1" ht="25.5">
      <c r="A1450" s="232" t="s">
        <v>108</v>
      </c>
      <c r="B1450" s="242" t="s">
        <v>18</v>
      </c>
      <c r="C1450" s="242" t="s">
        <v>8</v>
      </c>
      <c r="D1450" s="242" t="s">
        <v>53</v>
      </c>
      <c r="E1450" s="242" t="s">
        <v>910</v>
      </c>
      <c r="F1450" s="242" t="s">
        <v>116</v>
      </c>
      <c r="G1450" s="235">
        <f>G1451</f>
        <v>1046350</v>
      </c>
      <c r="H1450" s="242">
        <v>430421070</v>
      </c>
      <c r="I1450" s="313" t="str">
        <f t="shared" si="154"/>
        <v>0430421070</v>
      </c>
      <c r="J1450" s="30" t="str">
        <f t="shared" si="155"/>
        <v>61905030430421070240</v>
      </c>
    </row>
    <row r="1451" spans="1:10" s="4" customFormat="1" ht="25.5">
      <c r="A1451" s="236" t="s">
        <v>973</v>
      </c>
      <c r="B1451" s="242" t="s">
        <v>18</v>
      </c>
      <c r="C1451" s="242" t="s">
        <v>8</v>
      </c>
      <c r="D1451" s="242" t="s">
        <v>53</v>
      </c>
      <c r="E1451" s="242" t="s">
        <v>910</v>
      </c>
      <c r="F1451" s="242" t="s">
        <v>1043</v>
      </c>
      <c r="G1451" s="235">
        <f>VLOOKUP(J1451,'исх АС БЮДЖЕТ'!$A$10:$H$568,6,0)</f>
        <v>1046350</v>
      </c>
      <c r="H1451" s="242">
        <v>430421070</v>
      </c>
      <c r="I1451" s="313" t="str">
        <f t="shared" si="154"/>
        <v>0430421070</v>
      </c>
      <c r="J1451" s="30" t="str">
        <f t="shared" si="155"/>
        <v>61905030430421070244</v>
      </c>
    </row>
    <row r="1452" spans="1:10" s="3" customFormat="1">
      <c r="A1452" s="224" t="s">
        <v>83</v>
      </c>
      <c r="B1452" s="225" t="s">
        <v>18</v>
      </c>
      <c r="C1452" s="226" t="s">
        <v>50</v>
      </c>
      <c r="D1452" s="226" t="s">
        <v>51</v>
      </c>
      <c r="E1452" s="226" t="s">
        <v>196</v>
      </c>
      <c r="F1452" s="226" t="s">
        <v>58</v>
      </c>
      <c r="G1452" s="227">
        <f t="shared" ref="G1452:G1455" si="158">G1453</f>
        <v>1612500</v>
      </c>
      <c r="H1452" s="226">
        <v>0</v>
      </c>
      <c r="I1452" s="313" t="str">
        <f t="shared" si="154"/>
        <v>0000000000</v>
      </c>
      <c r="J1452" s="30" t="str">
        <f t="shared" si="155"/>
        <v>61908000000000000000</v>
      </c>
    </row>
    <row r="1453" spans="1:10" s="3" customFormat="1">
      <c r="A1453" s="283" t="s">
        <v>27</v>
      </c>
      <c r="B1453" s="229" t="s">
        <v>18</v>
      </c>
      <c r="C1453" s="230" t="s">
        <v>50</v>
      </c>
      <c r="D1453" s="230" t="s">
        <v>65</v>
      </c>
      <c r="E1453" s="230" t="s">
        <v>196</v>
      </c>
      <c r="F1453" s="230" t="s">
        <v>58</v>
      </c>
      <c r="G1453" s="231">
        <f t="shared" si="158"/>
        <v>1612500</v>
      </c>
      <c r="H1453" s="230">
        <v>0</v>
      </c>
      <c r="I1453" s="313" t="str">
        <f t="shared" si="154"/>
        <v>0000000000</v>
      </c>
      <c r="J1453" s="30" t="str">
        <f t="shared" si="155"/>
        <v>61908010000000000000</v>
      </c>
    </row>
    <row r="1454" spans="1:10" s="3" customFormat="1">
      <c r="A1454" s="232" t="s">
        <v>739</v>
      </c>
      <c r="B1454" s="234" t="s">
        <v>18</v>
      </c>
      <c r="C1454" s="234" t="s">
        <v>50</v>
      </c>
      <c r="D1454" s="234" t="s">
        <v>65</v>
      </c>
      <c r="E1454" s="234" t="s">
        <v>277</v>
      </c>
      <c r="F1454" s="234" t="s">
        <v>58</v>
      </c>
      <c r="G1454" s="235">
        <f t="shared" si="158"/>
        <v>1612500</v>
      </c>
      <c r="H1454" s="234">
        <v>700000000</v>
      </c>
      <c r="I1454" s="313" t="str">
        <f t="shared" si="154"/>
        <v>0700000000</v>
      </c>
      <c r="J1454" s="30" t="str">
        <f t="shared" si="155"/>
        <v>61908010700000000000</v>
      </c>
    </row>
    <row r="1455" spans="1:10" s="3" customFormat="1" ht="38.25">
      <c r="A1455" s="237" t="s">
        <v>559</v>
      </c>
      <c r="B1455" s="242" t="s">
        <v>18</v>
      </c>
      <c r="C1455" s="242" t="s">
        <v>50</v>
      </c>
      <c r="D1455" s="242" t="s">
        <v>65</v>
      </c>
      <c r="E1455" s="242" t="s">
        <v>278</v>
      </c>
      <c r="F1455" s="242" t="s">
        <v>58</v>
      </c>
      <c r="G1455" s="243">
        <f t="shared" si="158"/>
        <v>1612500</v>
      </c>
      <c r="H1455" s="242">
        <v>710000000</v>
      </c>
      <c r="I1455" s="313" t="str">
        <f t="shared" si="154"/>
        <v>0710000000</v>
      </c>
      <c r="J1455" s="30" t="str">
        <f t="shared" si="155"/>
        <v>61908010710000000000</v>
      </c>
    </row>
    <row r="1456" spans="1:10" s="3" customFormat="1" ht="51">
      <c r="A1456" s="278" t="s">
        <v>605</v>
      </c>
      <c r="B1456" s="242" t="s">
        <v>18</v>
      </c>
      <c r="C1456" s="242" t="s">
        <v>50</v>
      </c>
      <c r="D1456" s="242" t="s">
        <v>65</v>
      </c>
      <c r="E1456" s="242" t="s">
        <v>279</v>
      </c>
      <c r="F1456" s="242" t="s">
        <v>58</v>
      </c>
      <c r="G1456" s="243">
        <f>G1457+G1460</f>
        <v>1612500</v>
      </c>
      <c r="H1456" s="242">
        <v>710100000</v>
      </c>
      <c r="I1456" s="313" t="str">
        <f t="shared" si="154"/>
        <v>0710100000</v>
      </c>
      <c r="J1456" s="30" t="str">
        <f t="shared" si="155"/>
        <v>61908010710100000000</v>
      </c>
    </row>
    <row r="1457" spans="1:10" s="3" customFormat="1">
      <c r="A1457" s="237" t="s">
        <v>161</v>
      </c>
      <c r="B1457" s="242" t="s">
        <v>18</v>
      </c>
      <c r="C1457" s="242" t="s">
        <v>50</v>
      </c>
      <c r="D1457" s="242" t="s">
        <v>65</v>
      </c>
      <c r="E1457" s="242" t="s">
        <v>320</v>
      </c>
      <c r="F1457" s="242" t="s">
        <v>58</v>
      </c>
      <c r="G1457" s="243">
        <f>G1458</f>
        <v>975000</v>
      </c>
      <c r="H1457" s="242">
        <v>710120060</v>
      </c>
      <c r="I1457" s="313" t="str">
        <f t="shared" si="154"/>
        <v>0710120060</v>
      </c>
      <c r="J1457" s="30" t="str">
        <f t="shared" si="155"/>
        <v>61908010710120060000</v>
      </c>
    </row>
    <row r="1458" spans="1:10" s="3" customFormat="1" ht="25.5">
      <c r="A1458" s="232" t="s">
        <v>108</v>
      </c>
      <c r="B1458" s="242" t="s">
        <v>18</v>
      </c>
      <c r="C1458" s="242" t="s">
        <v>50</v>
      </c>
      <c r="D1458" s="242" t="s">
        <v>65</v>
      </c>
      <c r="E1458" s="242" t="s">
        <v>320</v>
      </c>
      <c r="F1458" s="242" t="s">
        <v>116</v>
      </c>
      <c r="G1458" s="235">
        <f>G1459</f>
        <v>975000</v>
      </c>
      <c r="H1458" s="242">
        <v>710120060</v>
      </c>
      <c r="I1458" s="313" t="str">
        <f t="shared" si="154"/>
        <v>0710120060</v>
      </c>
      <c r="J1458" s="30" t="str">
        <f t="shared" si="155"/>
        <v>61908010710120060240</v>
      </c>
    </row>
    <row r="1459" spans="1:10" s="4" customFormat="1" ht="25.5">
      <c r="A1459" s="236" t="s">
        <v>973</v>
      </c>
      <c r="B1459" s="242" t="s">
        <v>18</v>
      </c>
      <c r="C1459" s="242" t="s">
        <v>50</v>
      </c>
      <c r="D1459" s="242" t="s">
        <v>65</v>
      </c>
      <c r="E1459" s="242" t="s">
        <v>320</v>
      </c>
      <c r="F1459" s="242" t="s">
        <v>1043</v>
      </c>
      <c r="G1459" s="235">
        <f>VLOOKUP(J1459,'исх АС БЮДЖЕТ'!$A$10:$H$568,6,0)</f>
        <v>975000</v>
      </c>
      <c r="H1459" s="242">
        <v>710120060</v>
      </c>
      <c r="I1459" s="313" t="str">
        <f t="shared" si="154"/>
        <v>0710120060</v>
      </c>
      <c r="J1459" s="30" t="str">
        <f t="shared" si="155"/>
        <v>61908010710120060244</v>
      </c>
    </row>
    <row r="1460" spans="1:10" s="3" customFormat="1" ht="25.5">
      <c r="A1460" s="236" t="s">
        <v>892</v>
      </c>
      <c r="B1460" s="242" t="s">
        <v>18</v>
      </c>
      <c r="C1460" s="242" t="s">
        <v>50</v>
      </c>
      <c r="D1460" s="242" t="s">
        <v>65</v>
      </c>
      <c r="E1460" s="242" t="s">
        <v>500</v>
      </c>
      <c r="F1460" s="242" t="s">
        <v>58</v>
      </c>
      <c r="G1460" s="287">
        <f>G1461</f>
        <v>637500</v>
      </c>
      <c r="H1460" s="242">
        <v>710121130</v>
      </c>
      <c r="I1460" s="313" t="str">
        <f t="shared" si="154"/>
        <v>0710121130</v>
      </c>
      <c r="J1460" s="30" t="str">
        <f t="shared" si="155"/>
        <v>61908010710121130000</v>
      </c>
    </row>
    <row r="1461" spans="1:10" s="3" customFormat="1" ht="25.5">
      <c r="A1461" s="232" t="s">
        <v>108</v>
      </c>
      <c r="B1461" s="242" t="s">
        <v>18</v>
      </c>
      <c r="C1461" s="242" t="s">
        <v>50</v>
      </c>
      <c r="D1461" s="242" t="s">
        <v>65</v>
      </c>
      <c r="E1461" s="242" t="s">
        <v>500</v>
      </c>
      <c r="F1461" s="242" t="s">
        <v>116</v>
      </c>
      <c r="G1461" s="235">
        <f>G1462</f>
        <v>637500</v>
      </c>
      <c r="H1461" s="242">
        <v>710121130</v>
      </c>
      <c r="I1461" s="313" t="str">
        <f t="shared" si="154"/>
        <v>0710121130</v>
      </c>
      <c r="J1461" s="30" t="str">
        <f t="shared" si="155"/>
        <v>61908010710121130240</v>
      </c>
    </row>
    <row r="1462" spans="1:10" s="4" customFormat="1" ht="25.5">
      <c r="A1462" s="236" t="s">
        <v>973</v>
      </c>
      <c r="B1462" s="242" t="s">
        <v>18</v>
      </c>
      <c r="C1462" s="242" t="s">
        <v>50</v>
      </c>
      <c r="D1462" s="242" t="s">
        <v>65</v>
      </c>
      <c r="E1462" s="242" t="s">
        <v>500</v>
      </c>
      <c r="F1462" s="242" t="s">
        <v>1043</v>
      </c>
      <c r="G1462" s="235">
        <f>VLOOKUP(J1462,'исх АС БЮДЖЕТ'!$A$10:$H$568,6,0)</f>
        <v>637500</v>
      </c>
      <c r="H1462" s="242">
        <v>710121130</v>
      </c>
      <c r="I1462" s="313" t="str">
        <f t="shared" si="154"/>
        <v>0710121130</v>
      </c>
      <c r="J1462" s="30" t="str">
        <f t="shared" si="155"/>
        <v>61908010710121130244</v>
      </c>
    </row>
    <row r="1463" spans="1:10" s="3" customFormat="1">
      <c r="A1463" s="232"/>
      <c r="B1463" s="242"/>
      <c r="C1463" s="242"/>
      <c r="D1463" s="242"/>
      <c r="E1463" s="242"/>
      <c r="F1463" s="242"/>
      <c r="G1463" s="235"/>
      <c r="H1463" s="242"/>
      <c r="I1463" s="313" t="str">
        <f t="shared" si="154"/>
        <v>0000000000</v>
      </c>
      <c r="J1463" s="30" t="str">
        <f t="shared" si="155"/>
        <v>0000000000</v>
      </c>
    </row>
    <row r="1464" spans="1:10" s="3" customFormat="1">
      <c r="A1464" s="219" t="s">
        <v>19</v>
      </c>
      <c r="B1464" s="220" t="s">
        <v>20</v>
      </c>
      <c r="C1464" s="221" t="s">
        <v>51</v>
      </c>
      <c r="D1464" s="221" t="s">
        <v>51</v>
      </c>
      <c r="E1464" s="221" t="s">
        <v>196</v>
      </c>
      <c r="F1464" s="221" t="s">
        <v>58</v>
      </c>
      <c r="G1464" s="288">
        <f>G1465+G1486+G1559+G1684</f>
        <v>981757685.89999998</v>
      </c>
      <c r="H1464" s="221">
        <v>0</v>
      </c>
      <c r="I1464" s="313" t="str">
        <f t="shared" si="154"/>
        <v>0000000000</v>
      </c>
      <c r="J1464" s="30" t="str">
        <f t="shared" si="155"/>
        <v>62000000000000000000</v>
      </c>
    </row>
    <row r="1465" spans="1:10" s="3" customFormat="1">
      <c r="A1465" s="224" t="s">
        <v>64</v>
      </c>
      <c r="B1465" s="225" t="s">
        <v>20</v>
      </c>
      <c r="C1465" s="226" t="s">
        <v>65</v>
      </c>
      <c r="D1465" s="226" t="s">
        <v>51</v>
      </c>
      <c r="E1465" s="226" t="s">
        <v>196</v>
      </c>
      <c r="F1465" s="226" t="s">
        <v>58</v>
      </c>
      <c r="G1465" s="227">
        <f t="shared" ref="G1465:G1473" si="159">G1466</f>
        <v>5425206</v>
      </c>
      <c r="H1465" s="226">
        <v>0</v>
      </c>
      <c r="I1465" s="313" t="str">
        <f t="shared" si="154"/>
        <v>0000000000</v>
      </c>
      <c r="J1465" s="30" t="str">
        <f t="shared" si="155"/>
        <v>62001000000000000000</v>
      </c>
    </row>
    <row r="1466" spans="1:10" s="3" customFormat="1">
      <c r="A1466" s="228" t="s">
        <v>38</v>
      </c>
      <c r="B1466" s="229" t="s">
        <v>20</v>
      </c>
      <c r="C1466" s="230" t="s">
        <v>65</v>
      </c>
      <c r="D1466" s="230" t="s">
        <v>84</v>
      </c>
      <c r="E1466" s="230" t="s">
        <v>196</v>
      </c>
      <c r="F1466" s="230" t="s">
        <v>58</v>
      </c>
      <c r="G1466" s="231">
        <f>G1473+G1467</f>
        <v>5425206</v>
      </c>
      <c r="H1466" s="230">
        <v>0</v>
      </c>
      <c r="I1466" s="313" t="str">
        <f t="shared" si="154"/>
        <v>0000000000</v>
      </c>
      <c r="J1466" s="30" t="str">
        <f t="shared" si="155"/>
        <v>62001130000000000000</v>
      </c>
    </row>
    <row r="1467" spans="1:10" s="3" customFormat="1" ht="38.25">
      <c r="A1467" s="232" t="s">
        <v>745</v>
      </c>
      <c r="B1467" s="233" t="s">
        <v>20</v>
      </c>
      <c r="C1467" s="234" t="s">
        <v>65</v>
      </c>
      <c r="D1467" s="234" t="s">
        <v>84</v>
      </c>
      <c r="E1467" s="274" t="s">
        <v>280</v>
      </c>
      <c r="F1467" s="234" t="s">
        <v>58</v>
      </c>
      <c r="G1467" s="235">
        <f>G1468</f>
        <v>57230</v>
      </c>
      <c r="H1467" s="274">
        <v>1100000000</v>
      </c>
      <c r="I1467" s="313" t="str">
        <f t="shared" si="154"/>
        <v>1100000000</v>
      </c>
      <c r="J1467" s="30" t="str">
        <f t="shared" si="155"/>
        <v>62001131100000000000</v>
      </c>
    </row>
    <row r="1468" spans="1:10" s="3" customFormat="1" ht="38.25">
      <c r="A1468" s="232" t="s">
        <v>746</v>
      </c>
      <c r="B1468" s="233" t="s">
        <v>20</v>
      </c>
      <c r="C1468" s="234" t="s">
        <v>65</v>
      </c>
      <c r="D1468" s="234" t="s">
        <v>84</v>
      </c>
      <c r="E1468" s="274" t="s">
        <v>281</v>
      </c>
      <c r="F1468" s="234" t="s">
        <v>58</v>
      </c>
      <c r="G1468" s="235">
        <f>G1469</f>
        <v>57230</v>
      </c>
      <c r="H1468" s="274" t="s">
        <v>1185</v>
      </c>
      <c r="I1468" s="313" t="str">
        <f t="shared" si="154"/>
        <v>11Б0000000</v>
      </c>
      <c r="J1468" s="30" t="str">
        <f t="shared" si="155"/>
        <v>620011311Б0000000000</v>
      </c>
    </row>
    <row r="1469" spans="1:10" s="3" customFormat="1" ht="25.5">
      <c r="A1469" s="232" t="s">
        <v>282</v>
      </c>
      <c r="B1469" s="233" t="s">
        <v>20</v>
      </c>
      <c r="C1469" s="234" t="s">
        <v>65</v>
      </c>
      <c r="D1469" s="234" t="s">
        <v>84</v>
      </c>
      <c r="E1469" s="274" t="s">
        <v>283</v>
      </c>
      <c r="F1469" s="234" t="s">
        <v>58</v>
      </c>
      <c r="G1469" s="235">
        <f>G1470</f>
        <v>57230</v>
      </c>
      <c r="H1469" s="274" t="s">
        <v>1186</v>
      </c>
      <c r="I1469" s="313" t="str">
        <f t="shared" si="154"/>
        <v>11Б0100000</v>
      </c>
      <c r="J1469" s="30" t="str">
        <f t="shared" si="155"/>
        <v>620011311Б0100000000</v>
      </c>
    </row>
    <row r="1470" spans="1:10" s="3" customFormat="1" ht="25.5">
      <c r="A1470" s="232" t="s">
        <v>859</v>
      </c>
      <c r="B1470" s="233" t="s">
        <v>20</v>
      </c>
      <c r="C1470" s="234" t="s">
        <v>65</v>
      </c>
      <c r="D1470" s="234" t="s">
        <v>84</v>
      </c>
      <c r="E1470" s="274" t="s">
        <v>858</v>
      </c>
      <c r="F1470" s="234" t="s">
        <v>58</v>
      </c>
      <c r="G1470" s="235">
        <f>G1471</f>
        <v>57230</v>
      </c>
      <c r="H1470" s="274" t="s">
        <v>1189</v>
      </c>
      <c r="I1470" s="313" t="str">
        <f t="shared" si="154"/>
        <v>11Б0121120</v>
      </c>
      <c r="J1470" s="30" t="str">
        <f t="shared" si="155"/>
        <v>620011311Б0121120000</v>
      </c>
    </row>
    <row r="1471" spans="1:10" s="3" customFormat="1" ht="25.5">
      <c r="A1471" s="232" t="s">
        <v>108</v>
      </c>
      <c r="B1471" s="233" t="s">
        <v>20</v>
      </c>
      <c r="C1471" s="234" t="s">
        <v>65</v>
      </c>
      <c r="D1471" s="234" t="s">
        <v>84</v>
      </c>
      <c r="E1471" s="274" t="s">
        <v>858</v>
      </c>
      <c r="F1471" s="234" t="s">
        <v>116</v>
      </c>
      <c r="G1471" s="235">
        <f>G1472</f>
        <v>57230</v>
      </c>
      <c r="H1471" s="274" t="s">
        <v>1189</v>
      </c>
      <c r="I1471" s="313" t="str">
        <f t="shared" si="154"/>
        <v>11Б0121120</v>
      </c>
      <c r="J1471" s="30" t="str">
        <f t="shared" si="155"/>
        <v>620011311Б0121120240</v>
      </c>
    </row>
    <row r="1472" spans="1:10" s="3" customFormat="1" ht="25.5">
      <c r="A1472" s="232" t="s">
        <v>973</v>
      </c>
      <c r="B1472" s="233" t="s">
        <v>20</v>
      </c>
      <c r="C1472" s="234" t="s">
        <v>65</v>
      </c>
      <c r="D1472" s="234" t="s">
        <v>84</v>
      </c>
      <c r="E1472" s="274" t="s">
        <v>858</v>
      </c>
      <c r="F1472" s="234" t="s">
        <v>1043</v>
      </c>
      <c r="G1472" s="235">
        <f>VLOOKUP(J1472,'исх АС БЮДЖЕТ'!$A$10:$H$568,6,0)</f>
        <v>57230</v>
      </c>
      <c r="H1472" s="274" t="s">
        <v>1189</v>
      </c>
      <c r="I1472" s="313" t="str">
        <f t="shared" si="154"/>
        <v>11Б0121120</v>
      </c>
      <c r="J1472" s="30" t="str">
        <f t="shared" si="155"/>
        <v>620011311Б0121120244</v>
      </c>
    </row>
    <row r="1473" spans="1:10" s="3" customFormat="1" ht="25.5">
      <c r="A1473" s="232" t="s">
        <v>143</v>
      </c>
      <c r="B1473" s="234" t="s">
        <v>20</v>
      </c>
      <c r="C1473" s="234" t="s">
        <v>65</v>
      </c>
      <c r="D1473" s="234" t="s">
        <v>84</v>
      </c>
      <c r="E1473" s="234" t="s">
        <v>508</v>
      </c>
      <c r="F1473" s="234" t="s">
        <v>58</v>
      </c>
      <c r="G1473" s="235">
        <f t="shared" si="159"/>
        <v>5367976</v>
      </c>
      <c r="H1473" s="234">
        <v>8300000000</v>
      </c>
      <c r="I1473" s="313" t="str">
        <f t="shared" si="154"/>
        <v>8300000000</v>
      </c>
      <c r="J1473" s="30" t="str">
        <f t="shared" si="155"/>
        <v>62001138300000000000</v>
      </c>
    </row>
    <row r="1474" spans="1:10" s="3" customFormat="1" ht="25.5">
      <c r="A1474" s="232" t="s">
        <v>144</v>
      </c>
      <c r="B1474" s="234" t="s">
        <v>20</v>
      </c>
      <c r="C1474" s="234" t="s">
        <v>65</v>
      </c>
      <c r="D1474" s="234" t="s">
        <v>84</v>
      </c>
      <c r="E1474" s="234" t="s">
        <v>509</v>
      </c>
      <c r="F1474" s="234" t="s">
        <v>58</v>
      </c>
      <c r="G1474" s="235">
        <f>G1478+G1475+G1481</f>
        <v>5367976</v>
      </c>
      <c r="H1474" s="234">
        <v>8310000000</v>
      </c>
      <c r="I1474" s="313" t="str">
        <f t="shared" si="154"/>
        <v>8310000000</v>
      </c>
      <c r="J1474" s="30" t="str">
        <f t="shared" si="155"/>
        <v>62001138310000000000</v>
      </c>
    </row>
    <row r="1475" spans="1:10" s="3" customFormat="1" ht="25.5">
      <c r="A1475" s="232" t="s">
        <v>114</v>
      </c>
      <c r="B1475" s="234" t="s">
        <v>20</v>
      </c>
      <c r="C1475" s="234" t="s">
        <v>65</v>
      </c>
      <c r="D1475" s="234" t="s">
        <v>84</v>
      </c>
      <c r="E1475" s="234" t="s">
        <v>531</v>
      </c>
      <c r="F1475" s="234" t="s">
        <v>58</v>
      </c>
      <c r="G1475" s="235">
        <f>G1476</f>
        <v>1317500</v>
      </c>
      <c r="H1475" s="234">
        <v>8310010010</v>
      </c>
      <c r="I1475" s="313" t="str">
        <f t="shared" si="154"/>
        <v>8310010010</v>
      </c>
      <c r="J1475" s="30" t="str">
        <f t="shared" si="155"/>
        <v>62001138310010010000</v>
      </c>
    </row>
    <row r="1476" spans="1:10" s="3" customFormat="1" ht="25.5">
      <c r="A1476" s="232" t="s">
        <v>108</v>
      </c>
      <c r="B1476" s="234" t="s">
        <v>20</v>
      </c>
      <c r="C1476" s="234" t="s">
        <v>65</v>
      </c>
      <c r="D1476" s="234" t="s">
        <v>84</v>
      </c>
      <c r="E1476" s="234" t="s">
        <v>531</v>
      </c>
      <c r="F1476" s="234" t="s">
        <v>116</v>
      </c>
      <c r="G1476" s="235">
        <f>G1477</f>
        <v>1317500</v>
      </c>
      <c r="H1476" s="234">
        <v>8310010010</v>
      </c>
      <c r="I1476" s="313" t="str">
        <f t="shared" si="154"/>
        <v>8310010010</v>
      </c>
      <c r="J1476" s="30" t="str">
        <f t="shared" si="155"/>
        <v>62001138310010010240</v>
      </c>
    </row>
    <row r="1477" spans="1:10" s="4" customFormat="1" ht="25.5">
      <c r="A1477" s="232" t="s">
        <v>973</v>
      </c>
      <c r="B1477" s="234" t="s">
        <v>20</v>
      </c>
      <c r="C1477" s="234" t="s">
        <v>65</v>
      </c>
      <c r="D1477" s="234" t="s">
        <v>84</v>
      </c>
      <c r="E1477" s="234" t="s">
        <v>531</v>
      </c>
      <c r="F1477" s="234" t="s">
        <v>1043</v>
      </c>
      <c r="G1477" s="235">
        <f>VLOOKUP(J1477,'исх АС БЮДЖЕТ'!$A$10:$H$568,6,0)</f>
        <v>1317500</v>
      </c>
      <c r="H1477" s="234">
        <v>8310010010</v>
      </c>
      <c r="I1477" s="313" t="str">
        <f t="shared" si="154"/>
        <v>8310010010</v>
      </c>
      <c r="J1477" s="30" t="str">
        <f t="shared" si="155"/>
        <v>62001138310010010244</v>
      </c>
    </row>
    <row r="1478" spans="1:10" s="3" customFormat="1">
      <c r="A1478" s="232" t="s">
        <v>130</v>
      </c>
      <c r="B1478" s="234" t="s">
        <v>20</v>
      </c>
      <c r="C1478" s="234" t="s">
        <v>65</v>
      </c>
      <c r="D1478" s="234" t="s">
        <v>84</v>
      </c>
      <c r="E1478" s="234" t="s">
        <v>510</v>
      </c>
      <c r="F1478" s="234" t="s">
        <v>58</v>
      </c>
      <c r="G1478" s="235">
        <f>G1479</f>
        <v>850476</v>
      </c>
      <c r="H1478" s="234">
        <v>8310020050</v>
      </c>
      <c r="I1478" s="313" t="str">
        <f t="shared" si="154"/>
        <v>8310020050</v>
      </c>
      <c r="J1478" s="30" t="str">
        <f t="shared" si="155"/>
        <v>62001138310020050000</v>
      </c>
    </row>
    <row r="1479" spans="1:10" s="3" customFormat="1">
      <c r="A1479" s="232" t="s">
        <v>96</v>
      </c>
      <c r="B1479" s="234" t="s">
        <v>20</v>
      </c>
      <c r="C1479" s="234" t="s">
        <v>65</v>
      </c>
      <c r="D1479" s="234" t="s">
        <v>84</v>
      </c>
      <c r="E1479" s="234" t="s">
        <v>510</v>
      </c>
      <c r="F1479" s="234" t="s">
        <v>131</v>
      </c>
      <c r="G1479" s="235">
        <f>G1480</f>
        <v>850476</v>
      </c>
      <c r="H1479" s="234">
        <v>8310020050</v>
      </c>
      <c r="I1479" s="313" t="str">
        <f t="shared" si="154"/>
        <v>8310020050</v>
      </c>
      <c r="J1479" s="30" t="str">
        <f t="shared" si="155"/>
        <v>62001138310020050830</v>
      </c>
    </row>
    <row r="1480" spans="1:10" s="4" customFormat="1" ht="25.5">
      <c r="A1480" s="232" t="s">
        <v>1044</v>
      </c>
      <c r="B1480" s="234" t="s">
        <v>20</v>
      </c>
      <c r="C1480" s="234" t="s">
        <v>65</v>
      </c>
      <c r="D1480" s="234" t="s">
        <v>84</v>
      </c>
      <c r="E1480" s="234" t="s">
        <v>510</v>
      </c>
      <c r="F1480" s="234" t="s">
        <v>1045</v>
      </c>
      <c r="G1480" s="235">
        <f>VLOOKUP(J1480,'исх АС БЮДЖЕТ'!$A$10:$H$568,6,0)</f>
        <v>850476</v>
      </c>
      <c r="H1480" s="234">
        <v>8310020050</v>
      </c>
      <c r="I1480" s="313" t="str">
        <f t="shared" si="154"/>
        <v>8310020050</v>
      </c>
      <c r="J1480" s="30" t="str">
        <f t="shared" si="155"/>
        <v>62001138310020050831</v>
      </c>
    </row>
    <row r="1481" spans="1:10" s="4" customFormat="1">
      <c r="A1481" s="232" t="s">
        <v>1172</v>
      </c>
      <c r="B1481" s="234" t="s">
        <v>20</v>
      </c>
      <c r="C1481" s="234" t="s">
        <v>65</v>
      </c>
      <c r="D1481" s="234" t="s">
        <v>84</v>
      </c>
      <c r="E1481" s="234" t="s">
        <v>1173</v>
      </c>
      <c r="F1481" s="234" t="s">
        <v>58</v>
      </c>
      <c r="G1481" s="243">
        <f>G1482+G1484</f>
        <v>3200000</v>
      </c>
      <c r="H1481" s="234">
        <v>8310021040</v>
      </c>
      <c r="I1481" s="313" t="str">
        <f t="shared" si="154"/>
        <v>8310021040</v>
      </c>
      <c r="J1481" s="30" t="str">
        <f t="shared" si="155"/>
        <v>62001138310021040000</v>
      </c>
    </row>
    <row r="1482" spans="1:10" s="4" customFormat="1">
      <c r="A1482" s="232" t="s">
        <v>96</v>
      </c>
      <c r="B1482" s="234" t="s">
        <v>20</v>
      </c>
      <c r="C1482" s="234" t="s">
        <v>65</v>
      </c>
      <c r="D1482" s="234" t="s">
        <v>84</v>
      </c>
      <c r="E1482" s="234" t="s">
        <v>1173</v>
      </c>
      <c r="F1482" s="234" t="s">
        <v>131</v>
      </c>
      <c r="G1482" s="243">
        <f>G1483</f>
        <v>50000</v>
      </c>
      <c r="H1482" s="234">
        <v>8310021040</v>
      </c>
      <c r="I1482" s="313" t="str">
        <f t="shared" si="154"/>
        <v>8310021040</v>
      </c>
      <c r="J1482" s="30" t="str">
        <f t="shared" si="155"/>
        <v>62001138310021040830</v>
      </c>
    </row>
    <row r="1483" spans="1:10" s="4" customFormat="1" ht="25.5">
      <c r="A1483" s="232" t="s">
        <v>1044</v>
      </c>
      <c r="B1483" s="234" t="s">
        <v>20</v>
      </c>
      <c r="C1483" s="234" t="s">
        <v>65</v>
      </c>
      <c r="D1483" s="234" t="s">
        <v>84</v>
      </c>
      <c r="E1483" s="234" t="s">
        <v>1173</v>
      </c>
      <c r="F1483" s="234" t="s">
        <v>1045</v>
      </c>
      <c r="G1483" s="235">
        <f>VLOOKUP(J1483,'исх АС БЮДЖЕТ'!$A$10:$H$568,6,0)</f>
        <v>50000</v>
      </c>
      <c r="H1483" s="234">
        <v>8310021040</v>
      </c>
      <c r="I1483" s="313" t="str">
        <f t="shared" si="154"/>
        <v>8310021040</v>
      </c>
      <c r="J1483" s="30" t="str">
        <f t="shared" si="155"/>
        <v>62001138310021040831</v>
      </c>
    </row>
    <row r="1484" spans="1:10" s="4" customFormat="1">
      <c r="A1484" s="232" t="s">
        <v>97</v>
      </c>
      <c r="B1484" s="234" t="s">
        <v>20</v>
      </c>
      <c r="C1484" s="234" t="s">
        <v>65</v>
      </c>
      <c r="D1484" s="234" t="s">
        <v>84</v>
      </c>
      <c r="E1484" s="234" t="s">
        <v>1173</v>
      </c>
      <c r="F1484" s="234" t="s">
        <v>118</v>
      </c>
      <c r="G1484" s="243">
        <f>G1485</f>
        <v>3150000</v>
      </c>
      <c r="H1484" s="234">
        <v>8310021040</v>
      </c>
      <c r="I1484" s="313" t="str">
        <f t="shared" si="154"/>
        <v>8310021040</v>
      </c>
      <c r="J1484" s="30" t="str">
        <f t="shared" si="155"/>
        <v>62001138310021040850</v>
      </c>
    </row>
    <row r="1485" spans="1:10" s="4" customFormat="1">
      <c r="A1485" s="236" t="s">
        <v>1038</v>
      </c>
      <c r="B1485" s="234" t="s">
        <v>20</v>
      </c>
      <c r="C1485" s="234" t="s">
        <v>65</v>
      </c>
      <c r="D1485" s="234" t="s">
        <v>84</v>
      </c>
      <c r="E1485" s="234" t="s">
        <v>1173</v>
      </c>
      <c r="F1485" s="234" t="s">
        <v>1066</v>
      </c>
      <c r="G1485" s="235">
        <f>VLOOKUP(J1485,'исх АС БЮДЖЕТ'!$A$10:$H$568,6,0)</f>
        <v>3150000</v>
      </c>
      <c r="H1485" s="234">
        <v>8310021040</v>
      </c>
      <c r="I1485" s="313" t="str">
        <f t="shared" si="154"/>
        <v>8310021040</v>
      </c>
      <c r="J1485" s="30" t="str">
        <f t="shared" si="155"/>
        <v>62001138310021040853</v>
      </c>
    </row>
    <row r="1486" spans="1:10" s="3" customFormat="1">
      <c r="A1486" s="224" t="s">
        <v>35</v>
      </c>
      <c r="B1486" s="225" t="s">
        <v>20</v>
      </c>
      <c r="C1486" s="226" t="s">
        <v>37</v>
      </c>
      <c r="D1486" s="226" t="s">
        <v>51</v>
      </c>
      <c r="E1486" s="226" t="s">
        <v>196</v>
      </c>
      <c r="F1486" s="226" t="s">
        <v>58</v>
      </c>
      <c r="G1486" s="227">
        <f>G1487+G1495+G1508</f>
        <v>621816635.65999997</v>
      </c>
      <c r="H1486" s="226">
        <v>0</v>
      </c>
      <c r="I1486" s="313" t="str">
        <f t="shared" si="154"/>
        <v>0000000000</v>
      </c>
      <c r="J1486" s="30" t="str">
        <f t="shared" si="155"/>
        <v>62004000000000000000</v>
      </c>
    </row>
    <row r="1487" spans="1:10" s="3" customFormat="1">
      <c r="A1487" s="228" t="s">
        <v>76</v>
      </c>
      <c r="B1487" s="229" t="s">
        <v>20</v>
      </c>
      <c r="C1487" s="230" t="s">
        <v>37</v>
      </c>
      <c r="D1487" s="230" t="s">
        <v>71</v>
      </c>
      <c r="E1487" s="230" t="s">
        <v>196</v>
      </c>
      <c r="F1487" s="230" t="s">
        <v>58</v>
      </c>
      <c r="G1487" s="231">
        <f t="shared" ref="G1487:G1491" si="160">G1488</f>
        <v>12526360</v>
      </c>
      <c r="H1487" s="230">
        <v>0</v>
      </c>
      <c r="I1487" s="313" t="str">
        <f t="shared" si="154"/>
        <v>0000000000</v>
      </c>
      <c r="J1487" s="30" t="str">
        <f t="shared" si="155"/>
        <v>62004070000000000000</v>
      </c>
    </row>
    <row r="1488" spans="1:10" s="3" customFormat="1" ht="38.25">
      <c r="A1488" s="236" t="s">
        <v>722</v>
      </c>
      <c r="B1488" s="234" t="s">
        <v>20</v>
      </c>
      <c r="C1488" s="234" t="s">
        <v>37</v>
      </c>
      <c r="D1488" s="234" t="s">
        <v>71</v>
      </c>
      <c r="E1488" s="234" t="s">
        <v>300</v>
      </c>
      <c r="F1488" s="234" t="s">
        <v>58</v>
      </c>
      <c r="G1488" s="235">
        <f t="shared" si="160"/>
        <v>12526360</v>
      </c>
      <c r="H1488" s="234">
        <v>400000000</v>
      </c>
      <c r="I1488" s="313" t="str">
        <f t="shared" si="154"/>
        <v>0400000000</v>
      </c>
      <c r="J1488" s="30" t="str">
        <f t="shared" si="155"/>
        <v>62004070400000000000</v>
      </c>
    </row>
    <row r="1489" spans="1:10" s="3" customFormat="1">
      <c r="A1489" s="232" t="s">
        <v>142</v>
      </c>
      <c r="B1489" s="234" t="s">
        <v>20</v>
      </c>
      <c r="C1489" s="234" t="s">
        <v>37</v>
      </c>
      <c r="D1489" s="234" t="s">
        <v>71</v>
      </c>
      <c r="E1489" s="234" t="s">
        <v>453</v>
      </c>
      <c r="F1489" s="234" t="s">
        <v>58</v>
      </c>
      <c r="G1489" s="235">
        <f t="shared" si="160"/>
        <v>12526360</v>
      </c>
      <c r="H1489" s="234">
        <v>430000000</v>
      </c>
      <c r="I1489" s="313" t="str">
        <f t="shared" si="154"/>
        <v>0430000000</v>
      </c>
      <c r="J1489" s="30" t="str">
        <f t="shared" si="155"/>
        <v>62004070430000000000</v>
      </c>
    </row>
    <row r="1490" spans="1:10" s="3" customFormat="1" ht="25.5">
      <c r="A1490" s="232" t="s">
        <v>649</v>
      </c>
      <c r="B1490" s="234" t="s">
        <v>20</v>
      </c>
      <c r="C1490" s="234" t="s">
        <v>37</v>
      </c>
      <c r="D1490" s="234" t="s">
        <v>71</v>
      </c>
      <c r="E1490" s="234" t="s">
        <v>455</v>
      </c>
      <c r="F1490" s="234" t="s">
        <v>58</v>
      </c>
      <c r="G1490" s="235">
        <f>G1491</f>
        <v>12526360</v>
      </c>
      <c r="H1490" s="234">
        <v>430100000</v>
      </c>
      <c r="I1490" s="313" t="str">
        <f t="shared" si="154"/>
        <v>0430100000</v>
      </c>
      <c r="J1490" s="30" t="str">
        <f t="shared" si="155"/>
        <v>62004070430100000000</v>
      </c>
    </row>
    <row r="1491" spans="1:10" s="3" customFormat="1">
      <c r="A1491" s="232" t="s">
        <v>247</v>
      </c>
      <c r="B1491" s="234" t="s">
        <v>20</v>
      </c>
      <c r="C1491" s="234" t="s">
        <v>37</v>
      </c>
      <c r="D1491" s="234" t="s">
        <v>71</v>
      </c>
      <c r="E1491" s="234" t="s">
        <v>511</v>
      </c>
      <c r="F1491" s="234" t="s">
        <v>58</v>
      </c>
      <c r="G1491" s="235">
        <f t="shared" si="160"/>
        <v>12526360</v>
      </c>
      <c r="H1491" s="234">
        <v>430111010</v>
      </c>
      <c r="I1491" s="313" t="str">
        <f t="shared" si="154"/>
        <v>0430111010</v>
      </c>
      <c r="J1491" s="30" t="str">
        <f t="shared" si="155"/>
        <v>62004070430111010000</v>
      </c>
    </row>
    <row r="1492" spans="1:10" s="3" customFormat="1">
      <c r="A1492" s="244" t="s">
        <v>92</v>
      </c>
      <c r="B1492" s="234" t="s">
        <v>20</v>
      </c>
      <c r="C1492" s="234" t="s">
        <v>37</v>
      </c>
      <c r="D1492" s="234" t="s">
        <v>71</v>
      </c>
      <c r="E1492" s="234" t="s">
        <v>511</v>
      </c>
      <c r="F1492" s="234" t="s">
        <v>138</v>
      </c>
      <c r="G1492" s="235">
        <f>SUM(G1493:G1494)</f>
        <v>12526360</v>
      </c>
      <c r="H1492" s="234">
        <v>430111010</v>
      </c>
      <c r="I1492" s="313" t="str">
        <f t="shared" si="154"/>
        <v>0430111010</v>
      </c>
      <c r="J1492" s="30" t="str">
        <f t="shared" si="155"/>
        <v>62004070430111010610</v>
      </c>
    </row>
    <row r="1493" spans="1:10" s="4" customFormat="1" ht="38.25">
      <c r="A1493" s="244" t="s">
        <v>1015</v>
      </c>
      <c r="B1493" s="234" t="s">
        <v>20</v>
      </c>
      <c r="C1493" s="234" t="s">
        <v>37</v>
      </c>
      <c r="D1493" s="234" t="s">
        <v>71</v>
      </c>
      <c r="E1493" s="234" t="s">
        <v>511</v>
      </c>
      <c r="F1493" s="234" t="s">
        <v>67</v>
      </c>
      <c r="G1493" s="235">
        <f>VLOOKUP(J1493,'исх АС БЮДЖЕТ'!$A$10:$H$568,6,0)</f>
        <v>11976360</v>
      </c>
      <c r="H1493" s="234">
        <v>430111010</v>
      </c>
      <c r="I1493" s="313" t="str">
        <f t="shared" si="154"/>
        <v>0430111010</v>
      </c>
      <c r="J1493" s="30" t="str">
        <f t="shared" si="155"/>
        <v>62004070430111010611</v>
      </c>
    </row>
    <row r="1494" spans="1:10" s="4" customFormat="1">
      <c r="A1494" s="244" t="s">
        <v>1016</v>
      </c>
      <c r="B1494" s="234" t="s">
        <v>20</v>
      </c>
      <c r="C1494" s="234" t="s">
        <v>37</v>
      </c>
      <c r="D1494" s="234" t="s">
        <v>71</v>
      </c>
      <c r="E1494" s="234" t="s">
        <v>511</v>
      </c>
      <c r="F1494" s="234" t="s">
        <v>1046</v>
      </c>
      <c r="G1494" s="235">
        <f>VLOOKUP(J1494,'исх АС БЮДЖЕТ'!$A$10:$H$568,6,0)</f>
        <v>550000</v>
      </c>
      <c r="H1494" s="234">
        <v>430111010</v>
      </c>
      <c r="I1494" s="313" t="str">
        <f t="shared" si="154"/>
        <v>0430111010</v>
      </c>
      <c r="J1494" s="30" t="str">
        <f t="shared" si="155"/>
        <v>62004070430111010612</v>
      </c>
    </row>
    <row r="1495" spans="1:10" s="3" customFormat="1">
      <c r="A1495" s="228" t="s">
        <v>6</v>
      </c>
      <c r="B1495" s="229" t="s">
        <v>20</v>
      </c>
      <c r="C1495" s="230" t="s">
        <v>37</v>
      </c>
      <c r="D1495" s="230" t="s">
        <v>50</v>
      </c>
      <c r="E1495" s="230" t="s">
        <v>196</v>
      </c>
      <c r="F1495" s="230" t="s">
        <v>58</v>
      </c>
      <c r="G1495" s="231">
        <f>G1496</f>
        <v>129820221.33</v>
      </c>
      <c r="H1495" s="230">
        <v>0</v>
      </c>
      <c r="I1495" s="313" t="str">
        <f t="shared" si="154"/>
        <v>0000000000</v>
      </c>
      <c r="J1495" s="30" t="str">
        <f t="shared" si="155"/>
        <v>62004080000000000000</v>
      </c>
    </row>
    <row r="1496" spans="1:10" s="3" customFormat="1" ht="38.25">
      <c r="A1496" s="236" t="s">
        <v>722</v>
      </c>
      <c r="B1496" s="234" t="s">
        <v>20</v>
      </c>
      <c r="C1496" s="234" t="s">
        <v>37</v>
      </c>
      <c r="D1496" s="234" t="s">
        <v>50</v>
      </c>
      <c r="E1496" s="234" t="s">
        <v>300</v>
      </c>
      <c r="F1496" s="234" t="s">
        <v>58</v>
      </c>
      <c r="G1496" s="235">
        <f t="shared" ref="G1496:G1497" si="161">G1497</f>
        <v>129820221.33</v>
      </c>
      <c r="H1496" s="234">
        <v>400000000</v>
      </c>
      <c r="I1496" s="313" t="str">
        <f t="shared" si="154"/>
        <v>0400000000</v>
      </c>
      <c r="J1496" s="30" t="str">
        <f t="shared" si="155"/>
        <v>62004080400000000000</v>
      </c>
    </row>
    <row r="1497" spans="1:10" s="3" customFormat="1" ht="38.25">
      <c r="A1497" s="252" t="s">
        <v>729</v>
      </c>
      <c r="B1497" s="234" t="s">
        <v>20</v>
      </c>
      <c r="C1497" s="234" t="s">
        <v>37</v>
      </c>
      <c r="D1497" s="234" t="s">
        <v>50</v>
      </c>
      <c r="E1497" s="234" t="s">
        <v>301</v>
      </c>
      <c r="F1497" s="234" t="s">
        <v>58</v>
      </c>
      <c r="G1497" s="235">
        <f t="shared" si="161"/>
        <v>129820221.33</v>
      </c>
      <c r="H1497" s="234">
        <v>420000000</v>
      </c>
      <c r="I1497" s="313" t="str">
        <f t="shared" si="154"/>
        <v>0420000000</v>
      </c>
      <c r="J1497" s="30" t="str">
        <f t="shared" si="155"/>
        <v>62004080420000000000</v>
      </c>
    </row>
    <row r="1498" spans="1:10" s="3" customFormat="1" ht="38.25">
      <c r="A1498" s="248" t="s">
        <v>654</v>
      </c>
      <c r="B1498" s="234" t="s">
        <v>20</v>
      </c>
      <c r="C1498" s="234" t="s">
        <v>37</v>
      </c>
      <c r="D1498" s="234" t="s">
        <v>50</v>
      </c>
      <c r="E1498" s="234" t="s">
        <v>514</v>
      </c>
      <c r="F1498" s="234" t="s">
        <v>58</v>
      </c>
      <c r="G1498" s="235">
        <f>G1499+G1502+G1505</f>
        <v>129820221.33</v>
      </c>
      <c r="H1498" s="234">
        <v>420100000</v>
      </c>
      <c r="I1498" s="313" t="str">
        <f t="shared" si="154"/>
        <v>0420100000</v>
      </c>
      <c r="J1498" s="30" t="str">
        <f t="shared" si="155"/>
        <v>62004080420100000000</v>
      </c>
    </row>
    <row r="1499" spans="1:10" s="3" customFormat="1">
      <c r="A1499" s="248" t="s">
        <v>247</v>
      </c>
      <c r="B1499" s="234" t="s">
        <v>20</v>
      </c>
      <c r="C1499" s="234" t="s">
        <v>37</v>
      </c>
      <c r="D1499" s="234" t="s">
        <v>50</v>
      </c>
      <c r="E1499" s="234" t="s">
        <v>515</v>
      </c>
      <c r="F1499" s="234" t="s">
        <v>58</v>
      </c>
      <c r="G1499" s="235">
        <f>G1500</f>
        <v>4018800</v>
      </c>
      <c r="H1499" s="234">
        <v>420111010</v>
      </c>
      <c r="I1499" s="313" t="str">
        <f t="shared" ref="I1499:I1573" si="162">TEXT(H1499,"0000000000")</f>
        <v>0420111010</v>
      </c>
      <c r="J1499" s="30" t="str">
        <f t="shared" ref="J1499:J1573" si="163">CONCATENATE(B1499,C1499,D1499,I1499,F1499)</f>
        <v>62004080420111010000</v>
      </c>
    </row>
    <row r="1500" spans="1:10" s="3" customFormat="1">
      <c r="A1500" s="244" t="s">
        <v>92</v>
      </c>
      <c r="B1500" s="234" t="s">
        <v>20</v>
      </c>
      <c r="C1500" s="234" t="s">
        <v>37</v>
      </c>
      <c r="D1500" s="234" t="s">
        <v>50</v>
      </c>
      <c r="E1500" s="234" t="s">
        <v>515</v>
      </c>
      <c r="F1500" s="234" t="s">
        <v>138</v>
      </c>
      <c r="G1500" s="235">
        <f>G1501</f>
        <v>4018800</v>
      </c>
      <c r="H1500" s="234">
        <v>420111010</v>
      </c>
      <c r="I1500" s="313" t="str">
        <f t="shared" si="162"/>
        <v>0420111010</v>
      </c>
      <c r="J1500" s="30" t="str">
        <f t="shared" si="163"/>
        <v>62004080420111010610</v>
      </c>
    </row>
    <row r="1501" spans="1:10" s="4" customFormat="1" ht="38.25">
      <c r="A1501" s="244" t="s">
        <v>1015</v>
      </c>
      <c r="B1501" s="234" t="s">
        <v>20</v>
      </c>
      <c r="C1501" s="234" t="s">
        <v>37</v>
      </c>
      <c r="D1501" s="234" t="s">
        <v>50</v>
      </c>
      <c r="E1501" s="234" t="s">
        <v>515</v>
      </c>
      <c r="F1501" s="234" t="s">
        <v>67</v>
      </c>
      <c r="G1501" s="235">
        <f>VLOOKUP(J1501,'исх АС БЮДЖЕТ'!$A$10:$H$568,6,0)</f>
        <v>4018800</v>
      </c>
      <c r="H1501" s="234">
        <v>420111010</v>
      </c>
      <c r="I1501" s="313" t="str">
        <f t="shared" si="162"/>
        <v>0420111010</v>
      </c>
      <c r="J1501" s="30" t="str">
        <f t="shared" si="163"/>
        <v>62004080420111010611</v>
      </c>
    </row>
    <row r="1502" spans="1:10" s="3" customFormat="1">
      <c r="A1502" s="248" t="s">
        <v>768</v>
      </c>
      <c r="B1502" s="234" t="s">
        <v>20</v>
      </c>
      <c r="C1502" s="234" t="s">
        <v>37</v>
      </c>
      <c r="D1502" s="234" t="s">
        <v>50</v>
      </c>
      <c r="E1502" s="234" t="s">
        <v>516</v>
      </c>
      <c r="F1502" s="234" t="s">
        <v>58</v>
      </c>
      <c r="G1502" s="235">
        <f>G1503</f>
        <v>5575098</v>
      </c>
      <c r="H1502" s="234">
        <v>420160020</v>
      </c>
      <c r="I1502" s="313" t="str">
        <f t="shared" si="162"/>
        <v>0420160020</v>
      </c>
      <c r="J1502" s="30" t="str">
        <f t="shared" si="163"/>
        <v>62004080420160020000</v>
      </c>
    </row>
    <row r="1503" spans="1:10" s="3" customFormat="1" ht="38.25">
      <c r="A1503" s="237" t="s">
        <v>561</v>
      </c>
      <c r="B1503" s="234" t="s">
        <v>20</v>
      </c>
      <c r="C1503" s="234" t="s">
        <v>37</v>
      </c>
      <c r="D1503" s="234" t="s">
        <v>50</v>
      </c>
      <c r="E1503" s="234" t="s">
        <v>516</v>
      </c>
      <c r="F1503" s="234" t="s">
        <v>101</v>
      </c>
      <c r="G1503" s="235">
        <f>G1504</f>
        <v>5575098</v>
      </c>
      <c r="H1503" s="234">
        <v>420160020</v>
      </c>
      <c r="I1503" s="313" t="str">
        <f t="shared" si="162"/>
        <v>0420160020</v>
      </c>
      <c r="J1503" s="30" t="str">
        <f t="shared" si="163"/>
        <v>62004080420160020810</v>
      </c>
    </row>
    <row r="1504" spans="1:10" s="4" customFormat="1" ht="63.75">
      <c r="A1504" s="237" t="s">
        <v>1048</v>
      </c>
      <c r="B1504" s="234" t="s">
        <v>20</v>
      </c>
      <c r="C1504" s="234" t="s">
        <v>37</v>
      </c>
      <c r="D1504" s="234" t="s">
        <v>50</v>
      </c>
      <c r="E1504" s="234" t="s">
        <v>516</v>
      </c>
      <c r="F1504" s="234" t="s">
        <v>1051</v>
      </c>
      <c r="G1504" s="235">
        <f>VLOOKUP(J1504,'исх АС БЮДЖЕТ'!$A$10:$H$568,6,0)</f>
        <v>5575098</v>
      </c>
      <c r="H1504" s="234">
        <v>420160020</v>
      </c>
      <c r="I1504" s="313" t="str">
        <f t="shared" si="162"/>
        <v>0420160020</v>
      </c>
      <c r="J1504" s="30" t="str">
        <f t="shared" si="163"/>
        <v>62004080420160020812</v>
      </c>
    </row>
    <row r="1505" spans="1:10" s="4" customFormat="1" ht="76.5">
      <c r="A1505" s="365" t="s">
        <v>1504</v>
      </c>
      <c r="B1505" s="234" t="s">
        <v>20</v>
      </c>
      <c r="C1505" s="234" t="s">
        <v>37</v>
      </c>
      <c r="D1505" s="234" t="s">
        <v>50</v>
      </c>
      <c r="E1505" s="234" t="s">
        <v>1505</v>
      </c>
      <c r="F1505" s="234" t="s">
        <v>58</v>
      </c>
      <c r="G1505" s="235">
        <f t="shared" ref="G1505:G1506" si="164">G1506</f>
        <v>120226323.33</v>
      </c>
      <c r="H1505" s="234"/>
      <c r="I1505" s="313"/>
      <c r="J1505" s="30"/>
    </row>
    <row r="1506" spans="1:10" s="4" customFormat="1" ht="38.25">
      <c r="A1506" s="237" t="s">
        <v>561</v>
      </c>
      <c r="B1506" s="234" t="s">
        <v>20</v>
      </c>
      <c r="C1506" s="234" t="s">
        <v>37</v>
      </c>
      <c r="D1506" s="234" t="s">
        <v>50</v>
      </c>
      <c r="E1506" s="234" t="s">
        <v>1505</v>
      </c>
      <c r="F1506" s="234" t="s">
        <v>101</v>
      </c>
      <c r="G1506" s="235">
        <f t="shared" si="164"/>
        <v>120226323.33</v>
      </c>
      <c r="H1506" s="234"/>
      <c r="I1506" s="313"/>
      <c r="J1506" s="30"/>
    </row>
    <row r="1507" spans="1:10" s="4" customFormat="1" ht="63.75">
      <c r="A1507" s="237" t="s">
        <v>1048</v>
      </c>
      <c r="B1507" s="234" t="s">
        <v>20</v>
      </c>
      <c r="C1507" s="234" t="s">
        <v>37</v>
      </c>
      <c r="D1507" s="234" t="s">
        <v>50</v>
      </c>
      <c r="E1507" s="234" t="s">
        <v>1505</v>
      </c>
      <c r="F1507" s="234" t="s">
        <v>1051</v>
      </c>
      <c r="G1507" s="235">
        <f>120226323.33</f>
        <v>120226323.33</v>
      </c>
      <c r="H1507" s="234"/>
      <c r="I1507" s="313"/>
      <c r="J1507" s="30"/>
    </row>
    <row r="1508" spans="1:10" s="3" customFormat="1">
      <c r="A1508" s="228" t="s">
        <v>88</v>
      </c>
      <c r="B1508" s="229" t="s">
        <v>20</v>
      </c>
      <c r="C1508" s="230" t="s">
        <v>37</v>
      </c>
      <c r="D1508" s="230" t="s">
        <v>25</v>
      </c>
      <c r="E1508" s="230" t="s">
        <v>196</v>
      </c>
      <c r="F1508" s="230" t="s">
        <v>58</v>
      </c>
      <c r="G1508" s="231">
        <f>G1509+G1515+G1540</f>
        <v>479470054.32999998</v>
      </c>
      <c r="H1508" s="230">
        <v>0</v>
      </c>
      <c r="I1508" s="313" t="str">
        <f t="shared" si="162"/>
        <v>0000000000</v>
      </c>
      <c r="J1508" s="30" t="str">
        <f t="shared" si="163"/>
        <v>62004090000000000000</v>
      </c>
    </row>
    <row r="1509" spans="1:10" s="3" customFormat="1" ht="38.25">
      <c r="A1509" s="248" t="s">
        <v>725</v>
      </c>
      <c r="B1509" s="233" t="s">
        <v>20</v>
      </c>
      <c r="C1509" s="233" t="s">
        <v>37</v>
      </c>
      <c r="D1509" s="233" t="s">
        <v>25</v>
      </c>
      <c r="E1509" s="233" t="s">
        <v>296</v>
      </c>
      <c r="F1509" s="233" t="s">
        <v>58</v>
      </c>
      <c r="G1509" s="289">
        <f t="shared" ref="G1509:G1512" si="165">G1510</f>
        <v>5251460</v>
      </c>
      <c r="H1509" s="233">
        <v>200000000</v>
      </c>
      <c r="I1509" s="313" t="str">
        <f t="shared" si="162"/>
        <v>0200000000</v>
      </c>
      <c r="J1509" s="30" t="str">
        <f t="shared" si="163"/>
        <v>62004090200000000000</v>
      </c>
    </row>
    <row r="1510" spans="1:10" s="3" customFormat="1" ht="38.25">
      <c r="A1510" s="232" t="s">
        <v>726</v>
      </c>
      <c r="B1510" s="233" t="s">
        <v>20</v>
      </c>
      <c r="C1510" s="233" t="s">
        <v>37</v>
      </c>
      <c r="D1510" s="233" t="s">
        <v>25</v>
      </c>
      <c r="E1510" s="233" t="s">
        <v>297</v>
      </c>
      <c r="F1510" s="233" t="s">
        <v>58</v>
      </c>
      <c r="G1510" s="289">
        <f t="shared" si="165"/>
        <v>5251460</v>
      </c>
      <c r="H1510" s="233" t="s">
        <v>1192</v>
      </c>
      <c r="I1510" s="313" t="str">
        <f t="shared" si="162"/>
        <v>02Б0000000</v>
      </c>
      <c r="J1510" s="30" t="str">
        <f t="shared" si="163"/>
        <v>620040902Б0000000000</v>
      </c>
    </row>
    <row r="1511" spans="1:10" s="3" customFormat="1" ht="51">
      <c r="A1511" s="236" t="s">
        <v>620</v>
      </c>
      <c r="B1511" s="233" t="s">
        <v>20</v>
      </c>
      <c r="C1511" s="233" t="s">
        <v>37</v>
      </c>
      <c r="D1511" s="233" t="s">
        <v>25</v>
      </c>
      <c r="E1511" s="233" t="s">
        <v>512</v>
      </c>
      <c r="F1511" s="233" t="s">
        <v>58</v>
      </c>
      <c r="G1511" s="289">
        <f t="shared" si="165"/>
        <v>5251460</v>
      </c>
      <c r="H1511" s="233" t="s">
        <v>1227</v>
      </c>
      <c r="I1511" s="313" t="str">
        <f t="shared" si="162"/>
        <v>02Б0100000</v>
      </c>
      <c r="J1511" s="30" t="str">
        <f t="shared" si="163"/>
        <v>620040902Б0100000000</v>
      </c>
    </row>
    <row r="1512" spans="1:10" s="3" customFormat="1" ht="38.25">
      <c r="A1512" s="236" t="s">
        <v>893</v>
      </c>
      <c r="B1512" s="233" t="s">
        <v>20</v>
      </c>
      <c r="C1512" s="233" t="s">
        <v>37</v>
      </c>
      <c r="D1512" s="233" t="s">
        <v>25</v>
      </c>
      <c r="E1512" s="233" t="s">
        <v>517</v>
      </c>
      <c r="F1512" s="233" t="s">
        <v>58</v>
      </c>
      <c r="G1512" s="289">
        <f t="shared" si="165"/>
        <v>5251460</v>
      </c>
      <c r="H1512" s="233" t="s">
        <v>1228</v>
      </c>
      <c r="I1512" s="313" t="str">
        <f t="shared" si="162"/>
        <v>02Б0120560</v>
      </c>
      <c r="J1512" s="30" t="str">
        <f t="shared" si="163"/>
        <v>620040902Б0120560000</v>
      </c>
    </row>
    <row r="1513" spans="1:10" s="3" customFormat="1" ht="25.5">
      <c r="A1513" s="232" t="s">
        <v>108</v>
      </c>
      <c r="B1513" s="233" t="s">
        <v>20</v>
      </c>
      <c r="C1513" s="233" t="s">
        <v>37</v>
      </c>
      <c r="D1513" s="233" t="s">
        <v>25</v>
      </c>
      <c r="E1513" s="233" t="s">
        <v>517</v>
      </c>
      <c r="F1513" s="233" t="s">
        <v>116</v>
      </c>
      <c r="G1513" s="289">
        <f>G1514</f>
        <v>5251460</v>
      </c>
      <c r="H1513" s="233" t="s">
        <v>1228</v>
      </c>
      <c r="I1513" s="313" t="str">
        <f t="shared" si="162"/>
        <v>02Б0120560</v>
      </c>
      <c r="J1513" s="30" t="str">
        <f t="shared" si="163"/>
        <v>620040902Б0120560240</v>
      </c>
    </row>
    <row r="1514" spans="1:10" s="4" customFormat="1" ht="25.5">
      <c r="A1514" s="236" t="s">
        <v>973</v>
      </c>
      <c r="B1514" s="233" t="s">
        <v>20</v>
      </c>
      <c r="C1514" s="233" t="s">
        <v>37</v>
      </c>
      <c r="D1514" s="233" t="s">
        <v>25</v>
      </c>
      <c r="E1514" s="233" t="s">
        <v>517</v>
      </c>
      <c r="F1514" s="233" t="s">
        <v>1043</v>
      </c>
      <c r="G1514" s="235">
        <f>VLOOKUP(J1514,'исх АС БЮДЖЕТ'!$A$10:$H$568,6,0)</f>
        <v>5251460</v>
      </c>
      <c r="H1514" s="233" t="s">
        <v>1228</v>
      </c>
      <c r="I1514" s="313" t="str">
        <f t="shared" si="162"/>
        <v>02Б0120560</v>
      </c>
      <c r="J1514" s="30" t="str">
        <f t="shared" si="163"/>
        <v>620040902Б0120560244</v>
      </c>
    </row>
    <row r="1515" spans="1:10" s="3" customFormat="1" ht="38.25">
      <c r="A1515" s="236" t="s">
        <v>722</v>
      </c>
      <c r="B1515" s="234" t="s">
        <v>20</v>
      </c>
      <c r="C1515" s="234" t="s">
        <v>37</v>
      </c>
      <c r="D1515" s="234" t="s">
        <v>25</v>
      </c>
      <c r="E1515" s="234" t="s">
        <v>300</v>
      </c>
      <c r="F1515" s="233" t="s">
        <v>58</v>
      </c>
      <c r="G1515" s="289">
        <f>G1516</f>
        <v>471624258.06999999</v>
      </c>
      <c r="H1515" s="234">
        <v>400000000</v>
      </c>
      <c r="I1515" s="313" t="str">
        <f t="shared" si="162"/>
        <v>0400000000</v>
      </c>
      <c r="J1515" s="30" t="str">
        <f t="shared" si="163"/>
        <v>62004090400000000000</v>
      </c>
    </row>
    <row r="1516" spans="1:10" s="3" customFormat="1" ht="38.25">
      <c r="A1516" s="252" t="s">
        <v>729</v>
      </c>
      <c r="B1516" s="234" t="s">
        <v>20</v>
      </c>
      <c r="C1516" s="234" t="s">
        <v>37</v>
      </c>
      <c r="D1516" s="234" t="s">
        <v>25</v>
      </c>
      <c r="E1516" s="234" t="s">
        <v>301</v>
      </c>
      <c r="F1516" s="233" t="s">
        <v>58</v>
      </c>
      <c r="G1516" s="289">
        <f>G1517+G1536</f>
        <v>471624258.06999999</v>
      </c>
      <c r="H1516" s="234">
        <v>420000000</v>
      </c>
      <c r="I1516" s="313" t="str">
        <f t="shared" si="162"/>
        <v>0420000000</v>
      </c>
      <c r="J1516" s="30" t="str">
        <f t="shared" si="163"/>
        <v>62004090420000000000</v>
      </c>
    </row>
    <row r="1517" spans="1:10" s="3" customFormat="1" ht="38.25">
      <c r="A1517" s="232" t="s">
        <v>644</v>
      </c>
      <c r="B1517" s="234" t="s">
        <v>20</v>
      </c>
      <c r="C1517" s="234" t="s">
        <v>37</v>
      </c>
      <c r="D1517" s="234" t="s">
        <v>25</v>
      </c>
      <c r="E1517" s="234" t="s">
        <v>302</v>
      </c>
      <c r="F1517" s="233" t="s">
        <v>58</v>
      </c>
      <c r="G1517" s="289">
        <f>G1518+G1521+G1524+G1530+G1533+G1527</f>
        <v>417043598.06999999</v>
      </c>
      <c r="H1517" s="234">
        <v>420200000</v>
      </c>
      <c r="I1517" s="313" t="str">
        <f t="shared" si="162"/>
        <v>0420200000</v>
      </c>
      <c r="J1517" s="30" t="str">
        <f t="shared" si="163"/>
        <v>62004090420200000000</v>
      </c>
    </row>
    <row r="1518" spans="1:10" s="3" customFormat="1">
      <c r="A1518" s="232" t="s">
        <v>896</v>
      </c>
      <c r="B1518" s="234" t="s">
        <v>20</v>
      </c>
      <c r="C1518" s="234" t="s">
        <v>37</v>
      </c>
      <c r="D1518" s="234" t="s">
        <v>25</v>
      </c>
      <c r="E1518" s="234" t="s">
        <v>492</v>
      </c>
      <c r="F1518" s="233" t="s">
        <v>58</v>
      </c>
      <c r="G1518" s="289">
        <f>G1519</f>
        <v>36181838.359999999</v>
      </c>
      <c r="H1518" s="234">
        <v>420220130</v>
      </c>
      <c r="I1518" s="313" t="str">
        <f t="shared" si="162"/>
        <v>0420220130</v>
      </c>
      <c r="J1518" s="30" t="str">
        <f t="shared" si="163"/>
        <v>62004090420220130000</v>
      </c>
    </row>
    <row r="1519" spans="1:10" s="3" customFormat="1" ht="25.5">
      <c r="A1519" s="232" t="s">
        <v>108</v>
      </c>
      <c r="B1519" s="234" t="s">
        <v>20</v>
      </c>
      <c r="C1519" s="234" t="s">
        <v>37</v>
      </c>
      <c r="D1519" s="234" t="s">
        <v>25</v>
      </c>
      <c r="E1519" s="234" t="s">
        <v>492</v>
      </c>
      <c r="F1519" s="233" t="s">
        <v>116</v>
      </c>
      <c r="G1519" s="289">
        <f>G1520</f>
        <v>36181838.359999999</v>
      </c>
      <c r="H1519" s="234">
        <v>420220130</v>
      </c>
      <c r="I1519" s="313" t="str">
        <f t="shared" si="162"/>
        <v>0420220130</v>
      </c>
      <c r="J1519" s="30" t="str">
        <f t="shared" si="163"/>
        <v>62004090420220130240</v>
      </c>
    </row>
    <row r="1520" spans="1:10" s="4" customFormat="1" ht="25.5">
      <c r="A1520" s="236" t="s">
        <v>973</v>
      </c>
      <c r="B1520" s="234" t="s">
        <v>20</v>
      </c>
      <c r="C1520" s="234" t="s">
        <v>37</v>
      </c>
      <c r="D1520" s="234" t="s">
        <v>25</v>
      </c>
      <c r="E1520" s="234" t="s">
        <v>492</v>
      </c>
      <c r="F1520" s="233" t="s">
        <v>1043</v>
      </c>
      <c r="G1520" s="235">
        <f>VLOOKUP(J1520,'исх АС БЮДЖЕТ'!$A$10:$H$568,6,0)</f>
        <v>36181838.359999999</v>
      </c>
      <c r="H1520" s="234">
        <v>420220130</v>
      </c>
      <c r="I1520" s="313" t="str">
        <f t="shared" si="162"/>
        <v>0420220130</v>
      </c>
      <c r="J1520" s="30" t="str">
        <f t="shared" si="163"/>
        <v>62004090420220130244</v>
      </c>
    </row>
    <row r="1521" spans="1:10" s="3" customFormat="1" ht="63.75">
      <c r="A1521" s="232" t="s">
        <v>1181</v>
      </c>
      <c r="B1521" s="234" t="s">
        <v>20</v>
      </c>
      <c r="C1521" s="234" t="s">
        <v>37</v>
      </c>
      <c r="D1521" s="234" t="s">
        <v>25</v>
      </c>
      <c r="E1521" s="234" t="s">
        <v>518</v>
      </c>
      <c r="F1521" s="233" t="s">
        <v>58</v>
      </c>
      <c r="G1521" s="289">
        <f>G1522</f>
        <v>40000000</v>
      </c>
      <c r="H1521" s="234">
        <v>420220810</v>
      </c>
      <c r="I1521" s="313" t="str">
        <f t="shared" si="162"/>
        <v>0420220810</v>
      </c>
      <c r="J1521" s="30" t="str">
        <f t="shared" si="163"/>
        <v>62004090420220810000</v>
      </c>
    </row>
    <row r="1522" spans="1:10" s="3" customFormat="1" ht="25.5">
      <c r="A1522" s="232" t="s">
        <v>108</v>
      </c>
      <c r="B1522" s="234" t="s">
        <v>20</v>
      </c>
      <c r="C1522" s="234" t="s">
        <v>37</v>
      </c>
      <c r="D1522" s="234" t="s">
        <v>25</v>
      </c>
      <c r="E1522" s="234" t="s">
        <v>518</v>
      </c>
      <c r="F1522" s="233" t="s">
        <v>116</v>
      </c>
      <c r="G1522" s="289">
        <f>G1523</f>
        <v>40000000</v>
      </c>
      <c r="H1522" s="234">
        <v>420220810</v>
      </c>
      <c r="I1522" s="313" t="str">
        <f t="shared" si="162"/>
        <v>0420220810</v>
      </c>
      <c r="J1522" s="30" t="str">
        <f t="shared" si="163"/>
        <v>62004090420220810240</v>
      </c>
    </row>
    <row r="1523" spans="1:10" s="4" customFormat="1" ht="25.5">
      <c r="A1523" s="236" t="s">
        <v>973</v>
      </c>
      <c r="B1523" s="234" t="s">
        <v>20</v>
      </c>
      <c r="C1523" s="234" t="s">
        <v>37</v>
      </c>
      <c r="D1523" s="234" t="s">
        <v>25</v>
      </c>
      <c r="E1523" s="234" t="s">
        <v>518</v>
      </c>
      <c r="F1523" s="233" t="s">
        <v>1043</v>
      </c>
      <c r="G1523" s="235">
        <f>VLOOKUP(J1523,'исх АС БЮДЖЕТ'!$A$10:$H$568,6,0)</f>
        <v>40000000</v>
      </c>
      <c r="H1523" s="234">
        <v>420220810</v>
      </c>
      <c r="I1523" s="313" t="str">
        <f t="shared" si="162"/>
        <v>0420220810</v>
      </c>
      <c r="J1523" s="30" t="str">
        <f t="shared" si="163"/>
        <v>62004090420220810244</v>
      </c>
    </row>
    <row r="1524" spans="1:10" s="3" customFormat="1" ht="51">
      <c r="A1524" s="232" t="s">
        <v>912</v>
      </c>
      <c r="B1524" s="233" t="s">
        <v>20</v>
      </c>
      <c r="C1524" s="234" t="s">
        <v>37</v>
      </c>
      <c r="D1524" s="234" t="s">
        <v>25</v>
      </c>
      <c r="E1524" s="274" t="s">
        <v>521</v>
      </c>
      <c r="F1524" s="233" t="s">
        <v>58</v>
      </c>
      <c r="G1524" s="289">
        <f>G1525</f>
        <v>20119440</v>
      </c>
      <c r="H1524" s="274">
        <v>420260090</v>
      </c>
      <c r="I1524" s="313" t="str">
        <f t="shared" si="162"/>
        <v>0420260090</v>
      </c>
      <c r="J1524" s="30" t="str">
        <f t="shared" si="163"/>
        <v>62004090420260090000</v>
      </c>
    </row>
    <row r="1525" spans="1:10" s="3" customFormat="1" ht="38.25">
      <c r="A1525" s="237" t="s">
        <v>561</v>
      </c>
      <c r="B1525" s="233" t="s">
        <v>20</v>
      </c>
      <c r="C1525" s="234" t="s">
        <v>37</v>
      </c>
      <c r="D1525" s="234" t="s">
        <v>25</v>
      </c>
      <c r="E1525" s="274" t="s">
        <v>521</v>
      </c>
      <c r="F1525" s="233" t="s">
        <v>101</v>
      </c>
      <c r="G1525" s="289">
        <f>G1526</f>
        <v>20119440</v>
      </c>
      <c r="H1525" s="274">
        <v>420260090</v>
      </c>
      <c r="I1525" s="313" t="str">
        <f t="shared" si="162"/>
        <v>0420260090</v>
      </c>
      <c r="J1525" s="30" t="str">
        <f t="shared" si="163"/>
        <v>62004090420260090810</v>
      </c>
    </row>
    <row r="1526" spans="1:10" s="4" customFormat="1" ht="38.25">
      <c r="A1526" s="236" t="s">
        <v>1047</v>
      </c>
      <c r="B1526" s="233" t="s">
        <v>20</v>
      </c>
      <c r="C1526" s="234" t="s">
        <v>37</v>
      </c>
      <c r="D1526" s="234" t="s">
        <v>25</v>
      </c>
      <c r="E1526" s="274" t="s">
        <v>521</v>
      </c>
      <c r="F1526" s="233" t="s">
        <v>1050</v>
      </c>
      <c r="G1526" s="235">
        <f>VLOOKUP(J1526,'исх АС БЮДЖЕТ'!$A$10:$H$568,6,0)</f>
        <v>20119440</v>
      </c>
      <c r="H1526" s="274">
        <v>420260090</v>
      </c>
      <c r="I1526" s="313" t="str">
        <f t="shared" si="162"/>
        <v>0420260090</v>
      </c>
      <c r="J1526" s="30" t="str">
        <f t="shared" si="163"/>
        <v>62004090420260090811</v>
      </c>
    </row>
    <row r="1527" spans="1:10" s="4" customFormat="1" ht="25.5">
      <c r="A1527" s="237" t="s">
        <v>1506</v>
      </c>
      <c r="B1527" s="233" t="s">
        <v>20</v>
      </c>
      <c r="C1527" s="234" t="s">
        <v>37</v>
      </c>
      <c r="D1527" s="234" t="s">
        <v>25</v>
      </c>
      <c r="E1527" s="274" t="s">
        <v>1507</v>
      </c>
      <c r="F1527" s="233" t="s">
        <v>58</v>
      </c>
      <c r="G1527" s="243">
        <f>G1528</f>
        <v>300000000</v>
      </c>
      <c r="H1527" s="274"/>
      <c r="I1527" s="313"/>
      <c r="J1527" s="30"/>
    </row>
    <row r="1528" spans="1:10" s="4" customFormat="1" ht="25.5">
      <c r="A1528" s="232" t="s">
        <v>108</v>
      </c>
      <c r="B1528" s="233" t="s">
        <v>20</v>
      </c>
      <c r="C1528" s="234" t="s">
        <v>37</v>
      </c>
      <c r="D1528" s="234" t="s">
        <v>25</v>
      </c>
      <c r="E1528" s="274" t="s">
        <v>1507</v>
      </c>
      <c r="F1528" s="233" t="s">
        <v>116</v>
      </c>
      <c r="G1528" s="243">
        <f>G1529</f>
        <v>300000000</v>
      </c>
      <c r="H1528" s="274"/>
      <c r="I1528" s="313"/>
      <c r="J1528" s="30"/>
    </row>
    <row r="1529" spans="1:10" s="4" customFormat="1" ht="25.5">
      <c r="A1529" s="232" t="s">
        <v>973</v>
      </c>
      <c r="B1529" s="233" t="s">
        <v>20</v>
      </c>
      <c r="C1529" s="234" t="s">
        <v>37</v>
      </c>
      <c r="D1529" s="234" t="s">
        <v>25</v>
      </c>
      <c r="E1529" s="274" t="s">
        <v>1507</v>
      </c>
      <c r="F1529" s="233" t="s">
        <v>1043</v>
      </c>
      <c r="G1529" s="243">
        <f>300000000</f>
        <v>300000000</v>
      </c>
      <c r="H1529" s="274"/>
      <c r="I1529" s="313"/>
      <c r="J1529" s="30"/>
    </row>
    <row r="1530" spans="1:10" s="3" customFormat="1" ht="25.5">
      <c r="A1530" s="232" t="s">
        <v>913</v>
      </c>
      <c r="B1530" s="233" t="s">
        <v>20</v>
      </c>
      <c r="C1530" s="234" t="s">
        <v>37</v>
      </c>
      <c r="D1530" s="234" t="s">
        <v>25</v>
      </c>
      <c r="E1530" s="274" t="s">
        <v>691</v>
      </c>
      <c r="F1530" s="233" t="s">
        <v>58</v>
      </c>
      <c r="G1530" s="289">
        <f>G1531</f>
        <v>17460317.460000001</v>
      </c>
      <c r="H1530" s="274" t="s">
        <v>1229</v>
      </c>
      <c r="I1530" s="313" t="str">
        <f t="shared" si="162"/>
        <v>04202S6460</v>
      </c>
      <c r="J1530" s="30" t="str">
        <f t="shared" si="163"/>
        <v>620040904202S6460000</v>
      </c>
    </row>
    <row r="1531" spans="1:10" s="3" customFormat="1" ht="25.5">
      <c r="A1531" s="232" t="s">
        <v>108</v>
      </c>
      <c r="B1531" s="233" t="s">
        <v>20</v>
      </c>
      <c r="C1531" s="234" t="s">
        <v>37</v>
      </c>
      <c r="D1531" s="234" t="s">
        <v>25</v>
      </c>
      <c r="E1531" s="274" t="s">
        <v>691</v>
      </c>
      <c r="F1531" s="233" t="s">
        <v>116</v>
      </c>
      <c r="G1531" s="289">
        <f>G1532</f>
        <v>17460317.460000001</v>
      </c>
      <c r="H1531" s="274" t="s">
        <v>1229</v>
      </c>
      <c r="I1531" s="313" t="str">
        <f t="shared" si="162"/>
        <v>04202S6460</v>
      </c>
      <c r="J1531" s="30" t="str">
        <f t="shared" si="163"/>
        <v>620040904202S6460240</v>
      </c>
    </row>
    <row r="1532" spans="1:10" s="4" customFormat="1" ht="25.5">
      <c r="A1532" s="236" t="s">
        <v>973</v>
      </c>
      <c r="B1532" s="233" t="s">
        <v>20</v>
      </c>
      <c r="C1532" s="234" t="s">
        <v>37</v>
      </c>
      <c r="D1532" s="234" t="s">
        <v>25</v>
      </c>
      <c r="E1532" s="274" t="s">
        <v>691</v>
      </c>
      <c r="F1532" s="233" t="s">
        <v>1043</v>
      </c>
      <c r="G1532" s="235">
        <f>VLOOKUP(J1532,'исх АС БЮДЖЕТ'!$A$10:$H$568,6,0)</f>
        <v>17460317.460000001</v>
      </c>
      <c r="H1532" s="274" t="s">
        <v>1229</v>
      </c>
      <c r="I1532" s="313" t="str">
        <f t="shared" si="162"/>
        <v>04202S6460</v>
      </c>
      <c r="J1532" s="30" t="str">
        <f t="shared" si="163"/>
        <v>620040904202S6460244</v>
      </c>
    </row>
    <row r="1533" spans="1:10" s="3" customFormat="1" ht="38.25">
      <c r="A1533" s="232" t="s">
        <v>914</v>
      </c>
      <c r="B1533" s="233" t="s">
        <v>20</v>
      </c>
      <c r="C1533" s="234" t="s">
        <v>37</v>
      </c>
      <c r="D1533" s="234" t="s">
        <v>25</v>
      </c>
      <c r="E1533" s="274" t="s">
        <v>692</v>
      </c>
      <c r="F1533" s="233" t="s">
        <v>58</v>
      </c>
      <c r="G1533" s="289">
        <f>G1534</f>
        <v>3282002.25</v>
      </c>
      <c r="H1533" s="274" t="s">
        <v>1230</v>
      </c>
      <c r="I1533" s="313" t="str">
        <f t="shared" si="162"/>
        <v>04202S6470</v>
      </c>
      <c r="J1533" s="30" t="str">
        <f t="shared" si="163"/>
        <v>620040904202S6470000</v>
      </c>
    </row>
    <row r="1534" spans="1:10" s="3" customFormat="1" ht="25.5">
      <c r="A1534" s="232" t="s">
        <v>108</v>
      </c>
      <c r="B1534" s="233" t="s">
        <v>20</v>
      </c>
      <c r="C1534" s="234" t="s">
        <v>37</v>
      </c>
      <c r="D1534" s="234" t="s">
        <v>25</v>
      </c>
      <c r="E1534" s="274" t="s">
        <v>692</v>
      </c>
      <c r="F1534" s="233" t="s">
        <v>116</v>
      </c>
      <c r="G1534" s="289">
        <f>G1535</f>
        <v>3282002.25</v>
      </c>
      <c r="H1534" s="274" t="s">
        <v>1230</v>
      </c>
      <c r="I1534" s="313" t="str">
        <f t="shared" si="162"/>
        <v>04202S6470</v>
      </c>
      <c r="J1534" s="30" t="str">
        <f t="shared" si="163"/>
        <v>620040904202S6470240</v>
      </c>
    </row>
    <row r="1535" spans="1:10" s="4" customFormat="1" ht="25.5">
      <c r="A1535" s="236" t="s">
        <v>973</v>
      </c>
      <c r="B1535" s="233" t="s">
        <v>20</v>
      </c>
      <c r="C1535" s="234" t="s">
        <v>37</v>
      </c>
      <c r="D1535" s="234" t="s">
        <v>25</v>
      </c>
      <c r="E1535" s="274" t="s">
        <v>692</v>
      </c>
      <c r="F1535" s="233" t="s">
        <v>1043</v>
      </c>
      <c r="G1535" s="235">
        <f>VLOOKUP(J1535,'исх АС БЮДЖЕТ'!$A$10:$H$568,6,0)</f>
        <v>3282002.25</v>
      </c>
      <c r="H1535" s="274" t="s">
        <v>1230</v>
      </c>
      <c r="I1535" s="313" t="str">
        <f t="shared" si="162"/>
        <v>04202S6470</v>
      </c>
      <c r="J1535" s="30" t="str">
        <f t="shared" si="163"/>
        <v>620040904202S6470244</v>
      </c>
    </row>
    <row r="1536" spans="1:10" s="3" customFormat="1" ht="25.5">
      <c r="A1536" s="232" t="s">
        <v>653</v>
      </c>
      <c r="B1536" s="234" t="s">
        <v>20</v>
      </c>
      <c r="C1536" s="234" t="s">
        <v>37</v>
      </c>
      <c r="D1536" s="234" t="s">
        <v>25</v>
      </c>
      <c r="E1536" s="234" t="s">
        <v>650</v>
      </c>
      <c r="F1536" s="233" t="s">
        <v>58</v>
      </c>
      <c r="G1536" s="289">
        <f>G1537</f>
        <v>54580660</v>
      </c>
      <c r="H1536" s="234">
        <v>420300000</v>
      </c>
      <c r="I1536" s="313" t="str">
        <f t="shared" si="162"/>
        <v>0420300000</v>
      </c>
      <c r="J1536" s="30" t="str">
        <f t="shared" si="163"/>
        <v>62004090420300000000</v>
      </c>
    </row>
    <row r="1537" spans="1:10" s="3" customFormat="1" ht="25.5">
      <c r="A1537" s="232" t="s">
        <v>187</v>
      </c>
      <c r="B1537" s="234" t="s">
        <v>20</v>
      </c>
      <c r="C1537" s="234" t="s">
        <v>37</v>
      </c>
      <c r="D1537" s="234" t="s">
        <v>25</v>
      </c>
      <c r="E1537" s="234" t="s">
        <v>651</v>
      </c>
      <c r="F1537" s="233" t="s">
        <v>58</v>
      </c>
      <c r="G1537" s="289">
        <f>G1538</f>
        <v>54580660</v>
      </c>
      <c r="H1537" s="234">
        <v>420320570</v>
      </c>
      <c r="I1537" s="313" t="str">
        <f t="shared" si="162"/>
        <v>0420320570</v>
      </c>
      <c r="J1537" s="30" t="str">
        <f t="shared" si="163"/>
        <v>62004090420320570000</v>
      </c>
    </row>
    <row r="1538" spans="1:10" s="3" customFormat="1" ht="25.5">
      <c r="A1538" s="232" t="s">
        <v>108</v>
      </c>
      <c r="B1538" s="234" t="s">
        <v>20</v>
      </c>
      <c r="C1538" s="234" t="s">
        <v>37</v>
      </c>
      <c r="D1538" s="234" t="s">
        <v>25</v>
      </c>
      <c r="E1538" s="234" t="s">
        <v>651</v>
      </c>
      <c r="F1538" s="233" t="s">
        <v>116</v>
      </c>
      <c r="G1538" s="289">
        <f>G1539</f>
        <v>54580660</v>
      </c>
      <c r="H1538" s="234">
        <v>420320570</v>
      </c>
      <c r="I1538" s="313" t="str">
        <f t="shared" si="162"/>
        <v>0420320570</v>
      </c>
      <c r="J1538" s="30" t="str">
        <f t="shared" si="163"/>
        <v>62004090420320570240</v>
      </c>
    </row>
    <row r="1539" spans="1:10" s="4" customFormat="1" ht="25.5">
      <c r="A1539" s="236" t="s">
        <v>973</v>
      </c>
      <c r="B1539" s="234" t="s">
        <v>20</v>
      </c>
      <c r="C1539" s="234" t="s">
        <v>37</v>
      </c>
      <c r="D1539" s="234" t="s">
        <v>25</v>
      </c>
      <c r="E1539" s="234" t="s">
        <v>651</v>
      </c>
      <c r="F1539" s="233" t="s">
        <v>1043</v>
      </c>
      <c r="G1539" s="235">
        <f>VLOOKUP(J1539,'исх АС БЮДЖЕТ'!$A$10:$H$568,6,0)</f>
        <v>54580660</v>
      </c>
      <c r="H1539" s="234">
        <v>420320570</v>
      </c>
      <c r="I1539" s="313" t="str">
        <f t="shared" si="162"/>
        <v>0420320570</v>
      </c>
      <c r="J1539" s="30" t="str">
        <f t="shared" si="163"/>
        <v>62004090420320570244</v>
      </c>
    </row>
    <row r="1540" spans="1:10" s="4" customFormat="1" ht="25.5">
      <c r="A1540" s="232" t="s">
        <v>683</v>
      </c>
      <c r="B1540" s="234" t="s">
        <v>20</v>
      </c>
      <c r="C1540" s="234" t="s">
        <v>37</v>
      </c>
      <c r="D1540" s="234" t="s">
        <v>25</v>
      </c>
      <c r="E1540" s="234" t="s">
        <v>680</v>
      </c>
      <c r="F1540" s="233" t="s">
        <v>58</v>
      </c>
      <c r="G1540" s="289">
        <f>G1541</f>
        <v>2594336.2599999998</v>
      </c>
      <c r="H1540" s="234">
        <v>9800000000</v>
      </c>
      <c r="I1540" s="313" t="str">
        <f t="shared" si="162"/>
        <v>9800000000</v>
      </c>
      <c r="J1540" s="30" t="str">
        <f t="shared" si="163"/>
        <v>62004099800000000000</v>
      </c>
    </row>
    <row r="1541" spans="1:10" s="4" customFormat="1" ht="38.25">
      <c r="A1541" s="232" t="s">
        <v>1120</v>
      </c>
      <c r="B1541" s="234" t="s">
        <v>20</v>
      </c>
      <c r="C1541" s="234" t="s">
        <v>37</v>
      </c>
      <c r="D1541" s="234" t="s">
        <v>25</v>
      </c>
      <c r="E1541" s="234" t="s">
        <v>1121</v>
      </c>
      <c r="F1541" s="233" t="s">
        <v>58</v>
      </c>
      <c r="G1541" s="289">
        <f>G1547+G1542+G1553+G1556+G1550</f>
        <v>2594336.2599999998</v>
      </c>
      <c r="H1541" s="234">
        <v>9820000000</v>
      </c>
      <c r="I1541" s="313" t="str">
        <f t="shared" si="162"/>
        <v>9820000000</v>
      </c>
      <c r="J1541" s="30" t="str">
        <f t="shared" si="163"/>
        <v>62004099820000000000</v>
      </c>
    </row>
    <row r="1542" spans="1:10" s="4" customFormat="1">
      <c r="A1542" s="232" t="s">
        <v>896</v>
      </c>
      <c r="B1542" s="234" t="s">
        <v>20</v>
      </c>
      <c r="C1542" s="234" t="s">
        <v>37</v>
      </c>
      <c r="D1542" s="234" t="s">
        <v>25</v>
      </c>
      <c r="E1542" s="234" t="s">
        <v>1141</v>
      </c>
      <c r="F1542" s="233" t="s">
        <v>58</v>
      </c>
      <c r="G1542" s="289">
        <f>G1543+G1545</f>
        <v>748823.8</v>
      </c>
      <c r="H1542" s="234">
        <v>9820020130</v>
      </c>
      <c r="I1542" s="313" t="str">
        <f t="shared" si="162"/>
        <v>9820020130</v>
      </c>
      <c r="J1542" s="30" t="str">
        <f t="shared" si="163"/>
        <v>62004099820020130000</v>
      </c>
    </row>
    <row r="1543" spans="1:10" s="4" customFormat="1" ht="25.5">
      <c r="A1543" s="232" t="s">
        <v>108</v>
      </c>
      <c r="B1543" s="234" t="s">
        <v>20</v>
      </c>
      <c r="C1543" s="234" t="s">
        <v>37</v>
      </c>
      <c r="D1543" s="234" t="s">
        <v>25</v>
      </c>
      <c r="E1543" s="234" t="s">
        <v>1141</v>
      </c>
      <c r="F1543" s="233" t="s">
        <v>116</v>
      </c>
      <c r="G1543" s="289">
        <f>G1544</f>
        <v>195381</v>
      </c>
      <c r="H1543" s="234">
        <v>9820020130</v>
      </c>
      <c r="I1543" s="313" t="str">
        <f t="shared" si="162"/>
        <v>9820020130</v>
      </c>
      <c r="J1543" s="30" t="str">
        <f t="shared" si="163"/>
        <v>62004099820020130240</v>
      </c>
    </row>
    <row r="1544" spans="1:10" s="4" customFormat="1" ht="25.5">
      <c r="A1544" s="236" t="s">
        <v>973</v>
      </c>
      <c r="B1544" s="234" t="s">
        <v>20</v>
      </c>
      <c r="C1544" s="234" t="s">
        <v>37</v>
      </c>
      <c r="D1544" s="234" t="s">
        <v>25</v>
      </c>
      <c r="E1544" s="234" t="s">
        <v>1141</v>
      </c>
      <c r="F1544" s="233" t="s">
        <v>1043</v>
      </c>
      <c r="G1544" s="235">
        <f>VLOOKUP(J1544,'исх АС БЮДЖЕТ'!$A$10:$H$568,6,0)</f>
        <v>195381</v>
      </c>
      <c r="H1544" s="234">
        <v>9820020130</v>
      </c>
      <c r="I1544" s="313" t="str">
        <f t="shared" si="162"/>
        <v>9820020130</v>
      </c>
      <c r="J1544" s="30" t="str">
        <f t="shared" si="163"/>
        <v>62004099820020130244</v>
      </c>
    </row>
    <row r="1545" spans="1:10" s="4" customFormat="1">
      <c r="A1545" s="232" t="s">
        <v>21</v>
      </c>
      <c r="B1545" s="234" t="s">
        <v>20</v>
      </c>
      <c r="C1545" s="234" t="s">
        <v>37</v>
      </c>
      <c r="D1545" s="234" t="s">
        <v>25</v>
      </c>
      <c r="E1545" s="234" t="s">
        <v>1141</v>
      </c>
      <c r="F1545" s="233" t="s">
        <v>103</v>
      </c>
      <c r="G1545" s="289">
        <f>G1546</f>
        <v>553442.80000000005</v>
      </c>
      <c r="H1545" s="234">
        <v>9820020130</v>
      </c>
      <c r="I1545" s="313" t="str">
        <f t="shared" si="162"/>
        <v>9820020130</v>
      </c>
      <c r="J1545" s="30" t="str">
        <f t="shared" si="163"/>
        <v>62004099820020130410</v>
      </c>
    </row>
    <row r="1546" spans="1:10" s="4" customFormat="1" ht="25.5">
      <c r="A1546" s="236" t="s">
        <v>987</v>
      </c>
      <c r="B1546" s="234" t="s">
        <v>20</v>
      </c>
      <c r="C1546" s="234" t="s">
        <v>37</v>
      </c>
      <c r="D1546" s="234" t="s">
        <v>25</v>
      </c>
      <c r="E1546" s="234" t="s">
        <v>1141</v>
      </c>
      <c r="F1546" s="233" t="s">
        <v>1052</v>
      </c>
      <c r="G1546" s="235">
        <f>VLOOKUP(J1546,'исх АС БЮДЖЕТ'!$A$10:$H$568,6,0)</f>
        <v>553442.80000000005</v>
      </c>
      <c r="H1546" s="234">
        <v>9820020130</v>
      </c>
      <c r="I1546" s="313" t="str">
        <f t="shared" si="162"/>
        <v>9820020130</v>
      </c>
      <c r="J1546" s="30" t="str">
        <f t="shared" si="163"/>
        <v>62004099820020130414</v>
      </c>
    </row>
    <row r="1547" spans="1:10" s="4" customFormat="1" ht="38.25">
      <c r="A1547" s="232" t="s">
        <v>893</v>
      </c>
      <c r="B1547" s="234" t="s">
        <v>20</v>
      </c>
      <c r="C1547" s="234" t="s">
        <v>37</v>
      </c>
      <c r="D1547" s="234" t="s">
        <v>25</v>
      </c>
      <c r="E1547" s="234" t="s">
        <v>1142</v>
      </c>
      <c r="F1547" s="233" t="s">
        <v>58</v>
      </c>
      <c r="G1547" s="289">
        <f>G1548</f>
        <v>31388</v>
      </c>
      <c r="H1547" s="234">
        <v>9820020560</v>
      </c>
      <c r="I1547" s="313" t="str">
        <f t="shared" si="162"/>
        <v>9820020560</v>
      </c>
      <c r="J1547" s="30" t="str">
        <f t="shared" si="163"/>
        <v>62004099820020560000</v>
      </c>
    </row>
    <row r="1548" spans="1:10" s="4" customFormat="1" ht="25.5">
      <c r="A1548" s="232" t="s">
        <v>108</v>
      </c>
      <c r="B1548" s="234" t="s">
        <v>20</v>
      </c>
      <c r="C1548" s="234" t="s">
        <v>37</v>
      </c>
      <c r="D1548" s="234" t="s">
        <v>25</v>
      </c>
      <c r="E1548" s="234" t="s">
        <v>1142</v>
      </c>
      <c r="F1548" s="233" t="s">
        <v>116</v>
      </c>
      <c r="G1548" s="289">
        <f>G1549</f>
        <v>31388</v>
      </c>
      <c r="H1548" s="234">
        <v>9820020560</v>
      </c>
      <c r="I1548" s="313" t="str">
        <f t="shared" si="162"/>
        <v>9820020560</v>
      </c>
      <c r="J1548" s="30" t="str">
        <f t="shared" si="163"/>
        <v>62004099820020560240</v>
      </c>
    </row>
    <row r="1549" spans="1:10" s="4" customFormat="1" ht="25.5">
      <c r="A1549" s="236" t="s">
        <v>973</v>
      </c>
      <c r="B1549" s="234" t="s">
        <v>20</v>
      </c>
      <c r="C1549" s="234" t="s">
        <v>37</v>
      </c>
      <c r="D1549" s="234" t="s">
        <v>25</v>
      </c>
      <c r="E1549" s="234" t="s">
        <v>1142</v>
      </c>
      <c r="F1549" s="233" t="s">
        <v>1043</v>
      </c>
      <c r="G1549" s="235">
        <f>VLOOKUP(J1549,'исх АС БЮДЖЕТ'!$A$10:$H$568,6,0)</f>
        <v>31388</v>
      </c>
      <c r="H1549" s="234">
        <v>9820020560</v>
      </c>
      <c r="I1549" s="313" t="str">
        <f t="shared" si="162"/>
        <v>9820020560</v>
      </c>
      <c r="J1549" s="30" t="str">
        <f t="shared" si="163"/>
        <v>62004099820020560244</v>
      </c>
    </row>
    <row r="1550" spans="1:10" s="4" customFormat="1" ht="25.5">
      <c r="A1550" s="232" t="s">
        <v>187</v>
      </c>
      <c r="B1550" s="234" t="s">
        <v>20</v>
      </c>
      <c r="C1550" s="234" t="s">
        <v>37</v>
      </c>
      <c r="D1550" s="234" t="s">
        <v>25</v>
      </c>
      <c r="E1550" s="234" t="s">
        <v>1143</v>
      </c>
      <c r="F1550" s="233" t="s">
        <v>58</v>
      </c>
      <c r="G1550" s="289">
        <f>G1551</f>
        <v>586316.94999999995</v>
      </c>
      <c r="H1550" s="234">
        <v>9820020570</v>
      </c>
      <c r="I1550" s="313" t="str">
        <f t="shared" si="162"/>
        <v>9820020570</v>
      </c>
      <c r="J1550" s="30" t="str">
        <f t="shared" si="163"/>
        <v>62004099820020570000</v>
      </c>
    </row>
    <row r="1551" spans="1:10" s="4" customFormat="1" ht="25.5">
      <c r="A1551" s="232" t="s">
        <v>108</v>
      </c>
      <c r="B1551" s="234" t="s">
        <v>20</v>
      </c>
      <c r="C1551" s="234" t="s">
        <v>37</v>
      </c>
      <c r="D1551" s="234" t="s">
        <v>25</v>
      </c>
      <c r="E1551" s="234" t="s">
        <v>1143</v>
      </c>
      <c r="F1551" s="233" t="s">
        <v>116</v>
      </c>
      <c r="G1551" s="289">
        <f>G1552</f>
        <v>586316.94999999995</v>
      </c>
      <c r="H1551" s="234">
        <v>9820020570</v>
      </c>
      <c r="I1551" s="313" t="str">
        <f t="shared" si="162"/>
        <v>9820020570</v>
      </c>
      <c r="J1551" s="30" t="str">
        <f t="shared" si="163"/>
        <v>62004099820020570240</v>
      </c>
    </row>
    <row r="1552" spans="1:10" s="4" customFormat="1" ht="25.5">
      <c r="A1552" s="236" t="s">
        <v>973</v>
      </c>
      <c r="B1552" s="234" t="s">
        <v>20</v>
      </c>
      <c r="C1552" s="234" t="s">
        <v>37</v>
      </c>
      <c r="D1552" s="234" t="s">
        <v>25</v>
      </c>
      <c r="E1552" s="234" t="s">
        <v>1143</v>
      </c>
      <c r="F1552" s="233" t="s">
        <v>1043</v>
      </c>
      <c r="G1552" s="235">
        <f>VLOOKUP(J1552,'исх АС БЮДЖЕТ'!$A$10:$H$568,6,0)</f>
        <v>586316.94999999995</v>
      </c>
      <c r="H1552" s="234">
        <v>9820020570</v>
      </c>
      <c r="I1552" s="313" t="str">
        <f t="shared" si="162"/>
        <v>9820020570</v>
      </c>
      <c r="J1552" s="30" t="str">
        <f t="shared" si="163"/>
        <v>62004099820020570244</v>
      </c>
    </row>
    <row r="1553" spans="1:10" s="4" customFormat="1" ht="51">
      <c r="A1553" s="232" t="s">
        <v>912</v>
      </c>
      <c r="B1553" s="233" t="s">
        <v>20</v>
      </c>
      <c r="C1553" s="234" t="s">
        <v>37</v>
      </c>
      <c r="D1553" s="234" t="s">
        <v>25</v>
      </c>
      <c r="E1553" s="274" t="s">
        <v>1144</v>
      </c>
      <c r="F1553" s="233" t="s">
        <v>58</v>
      </c>
      <c r="G1553" s="289">
        <f>G1554</f>
        <v>992982.96</v>
      </c>
      <c r="H1553" s="274">
        <v>9820060090</v>
      </c>
      <c r="I1553" s="313" t="str">
        <f t="shared" si="162"/>
        <v>9820060090</v>
      </c>
      <c r="J1553" s="30" t="str">
        <f t="shared" si="163"/>
        <v>62004099820060090000</v>
      </c>
    </row>
    <row r="1554" spans="1:10" s="4" customFormat="1" ht="38.25">
      <c r="A1554" s="232" t="s">
        <v>561</v>
      </c>
      <c r="B1554" s="233" t="s">
        <v>20</v>
      </c>
      <c r="C1554" s="234" t="s">
        <v>37</v>
      </c>
      <c r="D1554" s="234" t="s">
        <v>25</v>
      </c>
      <c r="E1554" s="274" t="s">
        <v>1144</v>
      </c>
      <c r="F1554" s="233" t="s">
        <v>101</v>
      </c>
      <c r="G1554" s="289">
        <f>G1555</f>
        <v>992982.96</v>
      </c>
      <c r="H1554" s="274">
        <v>9820060090</v>
      </c>
      <c r="I1554" s="313" t="str">
        <f t="shared" si="162"/>
        <v>9820060090</v>
      </c>
      <c r="J1554" s="30" t="str">
        <f t="shared" si="163"/>
        <v>62004099820060090810</v>
      </c>
    </row>
    <row r="1555" spans="1:10" s="4" customFormat="1" ht="38.25">
      <c r="A1555" s="236" t="s">
        <v>1047</v>
      </c>
      <c r="B1555" s="233" t="s">
        <v>20</v>
      </c>
      <c r="C1555" s="234" t="s">
        <v>37</v>
      </c>
      <c r="D1555" s="234" t="s">
        <v>25</v>
      </c>
      <c r="E1555" s="274" t="s">
        <v>1144</v>
      </c>
      <c r="F1555" s="233" t="s">
        <v>1050</v>
      </c>
      <c r="G1555" s="235">
        <f>VLOOKUP(J1555,'исх АС БЮДЖЕТ'!$A$10:$H$568,6,0)</f>
        <v>992982.96</v>
      </c>
      <c r="H1555" s="274">
        <v>9820060090</v>
      </c>
      <c r="I1555" s="313" t="str">
        <f t="shared" si="162"/>
        <v>9820060090</v>
      </c>
      <c r="J1555" s="30" t="str">
        <f t="shared" si="163"/>
        <v>62004099820060090811</v>
      </c>
    </row>
    <row r="1556" spans="1:10" s="4" customFormat="1" ht="38.25">
      <c r="A1556" s="232" t="s">
        <v>914</v>
      </c>
      <c r="B1556" s="233" t="s">
        <v>20</v>
      </c>
      <c r="C1556" s="234" t="s">
        <v>37</v>
      </c>
      <c r="D1556" s="234" t="s">
        <v>25</v>
      </c>
      <c r="E1556" s="274" t="s">
        <v>1145</v>
      </c>
      <c r="F1556" s="233" t="s">
        <v>58</v>
      </c>
      <c r="G1556" s="289">
        <f>G1557</f>
        <v>234824.55</v>
      </c>
      <c r="H1556" s="274" t="s">
        <v>1231</v>
      </c>
      <c r="I1556" s="313" t="str">
        <f t="shared" si="162"/>
        <v>98200S6470</v>
      </c>
      <c r="J1556" s="30" t="str">
        <f t="shared" si="163"/>
        <v>620040998200S6470000</v>
      </c>
    </row>
    <row r="1557" spans="1:10" s="4" customFormat="1" ht="25.5">
      <c r="A1557" s="232" t="s">
        <v>108</v>
      </c>
      <c r="B1557" s="233" t="s">
        <v>20</v>
      </c>
      <c r="C1557" s="234" t="s">
        <v>37</v>
      </c>
      <c r="D1557" s="234" t="s">
        <v>25</v>
      </c>
      <c r="E1557" s="274" t="s">
        <v>1145</v>
      </c>
      <c r="F1557" s="233" t="s">
        <v>116</v>
      </c>
      <c r="G1557" s="289">
        <f>G1558</f>
        <v>234824.55</v>
      </c>
      <c r="H1557" s="274" t="s">
        <v>1231</v>
      </c>
      <c r="I1557" s="313" t="str">
        <f t="shared" si="162"/>
        <v>98200S6470</v>
      </c>
      <c r="J1557" s="30" t="str">
        <f t="shared" si="163"/>
        <v>620040998200S6470240</v>
      </c>
    </row>
    <row r="1558" spans="1:10" s="4" customFormat="1" ht="25.5">
      <c r="A1558" s="236" t="s">
        <v>973</v>
      </c>
      <c r="B1558" s="233" t="s">
        <v>20</v>
      </c>
      <c r="C1558" s="234" t="s">
        <v>37</v>
      </c>
      <c r="D1558" s="234" t="s">
        <v>25</v>
      </c>
      <c r="E1558" s="274" t="s">
        <v>1145</v>
      </c>
      <c r="F1558" s="233" t="s">
        <v>1043</v>
      </c>
      <c r="G1558" s="235">
        <f>VLOOKUP(J1558,'исх АС БЮДЖЕТ'!$A$10:$H$568,6,0)</f>
        <v>234824.55</v>
      </c>
      <c r="H1558" s="274" t="s">
        <v>1231</v>
      </c>
      <c r="I1558" s="313" t="str">
        <f t="shared" si="162"/>
        <v>98200S6470</v>
      </c>
      <c r="J1558" s="30" t="str">
        <f t="shared" si="163"/>
        <v>620040998200S6470244</v>
      </c>
    </row>
    <row r="1559" spans="1:10" s="3" customFormat="1">
      <c r="A1559" s="224" t="s">
        <v>7</v>
      </c>
      <c r="B1559" s="225" t="s">
        <v>20</v>
      </c>
      <c r="C1559" s="226" t="s">
        <v>8</v>
      </c>
      <c r="D1559" s="226" t="s">
        <v>51</v>
      </c>
      <c r="E1559" s="226" t="s">
        <v>196</v>
      </c>
      <c r="F1559" s="226" t="s">
        <v>58</v>
      </c>
      <c r="G1559" s="227">
        <f>G1560+G1586+G1593+G1654</f>
        <v>319816793.75999999</v>
      </c>
      <c r="H1559" s="226">
        <v>0</v>
      </c>
      <c r="I1559" s="313" t="str">
        <f t="shared" si="162"/>
        <v>0000000000</v>
      </c>
      <c r="J1559" s="30" t="str">
        <f t="shared" si="163"/>
        <v>62005000000000000000</v>
      </c>
    </row>
    <row r="1560" spans="1:10" s="3" customFormat="1">
      <c r="A1560" s="228" t="s">
        <v>9</v>
      </c>
      <c r="B1560" s="229" t="s">
        <v>20</v>
      </c>
      <c r="C1560" s="230" t="s">
        <v>8</v>
      </c>
      <c r="D1560" s="230" t="s">
        <v>65</v>
      </c>
      <c r="E1560" s="230" t="s">
        <v>196</v>
      </c>
      <c r="F1560" s="230" t="s">
        <v>58</v>
      </c>
      <c r="G1560" s="231">
        <f>G1561+G1572+G1567</f>
        <v>13727360.57</v>
      </c>
      <c r="H1560" s="230">
        <v>0</v>
      </c>
      <c r="I1560" s="313" t="str">
        <f t="shared" si="162"/>
        <v>0000000000</v>
      </c>
      <c r="J1560" s="30" t="str">
        <f t="shared" si="163"/>
        <v>62005010000000000000</v>
      </c>
    </row>
    <row r="1561" spans="1:10" s="3" customFormat="1" ht="38.25">
      <c r="A1561" s="236" t="s">
        <v>722</v>
      </c>
      <c r="B1561" s="233" t="s">
        <v>20</v>
      </c>
      <c r="C1561" s="234" t="s">
        <v>8</v>
      </c>
      <c r="D1561" s="234" t="s">
        <v>65</v>
      </c>
      <c r="E1561" s="274" t="s">
        <v>300</v>
      </c>
      <c r="F1561" s="234" t="s">
        <v>58</v>
      </c>
      <c r="G1561" s="289">
        <f t="shared" ref="G1561:G1565" si="166">G1562</f>
        <v>90000</v>
      </c>
      <c r="H1561" s="274">
        <v>400000000</v>
      </c>
      <c r="I1561" s="313" t="str">
        <f t="shared" si="162"/>
        <v>0400000000</v>
      </c>
      <c r="J1561" s="30" t="str">
        <f t="shared" si="163"/>
        <v>62005010400000000000</v>
      </c>
    </row>
    <row r="1562" spans="1:10" s="3" customFormat="1" ht="25.5">
      <c r="A1562" s="232" t="s">
        <v>155</v>
      </c>
      <c r="B1562" s="233" t="s">
        <v>20</v>
      </c>
      <c r="C1562" s="234" t="s">
        <v>8</v>
      </c>
      <c r="D1562" s="234" t="s">
        <v>65</v>
      </c>
      <c r="E1562" s="274" t="s">
        <v>495</v>
      </c>
      <c r="F1562" s="234" t="s">
        <v>58</v>
      </c>
      <c r="G1562" s="289">
        <f t="shared" si="166"/>
        <v>90000</v>
      </c>
      <c r="H1562" s="274">
        <v>410000000</v>
      </c>
      <c r="I1562" s="313" t="str">
        <f t="shared" si="162"/>
        <v>0410000000</v>
      </c>
      <c r="J1562" s="30" t="str">
        <f t="shared" si="163"/>
        <v>62005010410000000000</v>
      </c>
    </row>
    <row r="1563" spans="1:10" s="3" customFormat="1" ht="25.5">
      <c r="A1563" s="232" t="s">
        <v>522</v>
      </c>
      <c r="B1563" s="233" t="s">
        <v>20</v>
      </c>
      <c r="C1563" s="234" t="s">
        <v>8</v>
      </c>
      <c r="D1563" s="234" t="s">
        <v>65</v>
      </c>
      <c r="E1563" s="274" t="s">
        <v>497</v>
      </c>
      <c r="F1563" s="234" t="s">
        <v>58</v>
      </c>
      <c r="G1563" s="289">
        <f t="shared" si="166"/>
        <v>90000</v>
      </c>
      <c r="H1563" s="274">
        <v>410100000</v>
      </c>
      <c r="I1563" s="313" t="str">
        <f t="shared" si="162"/>
        <v>0410100000</v>
      </c>
      <c r="J1563" s="30" t="str">
        <f t="shared" si="163"/>
        <v>62005010410100000000</v>
      </c>
    </row>
    <row r="1564" spans="1:10" s="3" customFormat="1">
      <c r="A1564" s="232" t="s">
        <v>188</v>
      </c>
      <c r="B1564" s="233" t="s">
        <v>20</v>
      </c>
      <c r="C1564" s="234" t="s">
        <v>8</v>
      </c>
      <c r="D1564" s="234" t="s">
        <v>65</v>
      </c>
      <c r="E1564" s="274" t="s">
        <v>523</v>
      </c>
      <c r="F1564" s="234" t="s">
        <v>58</v>
      </c>
      <c r="G1564" s="289">
        <f t="shared" si="166"/>
        <v>90000</v>
      </c>
      <c r="H1564" s="274">
        <v>410120200</v>
      </c>
      <c r="I1564" s="313" t="str">
        <f t="shared" si="162"/>
        <v>0410120200</v>
      </c>
      <c r="J1564" s="30" t="str">
        <f t="shared" si="163"/>
        <v>62005010410120200000</v>
      </c>
    </row>
    <row r="1565" spans="1:10" s="3" customFormat="1" ht="25.5">
      <c r="A1565" s="232" t="s">
        <v>108</v>
      </c>
      <c r="B1565" s="234" t="s">
        <v>20</v>
      </c>
      <c r="C1565" s="234" t="s">
        <v>8</v>
      </c>
      <c r="D1565" s="234" t="s">
        <v>65</v>
      </c>
      <c r="E1565" s="274" t="s">
        <v>523</v>
      </c>
      <c r="F1565" s="234" t="s">
        <v>116</v>
      </c>
      <c r="G1565" s="289">
        <f t="shared" si="166"/>
        <v>90000</v>
      </c>
      <c r="H1565" s="274">
        <v>410120200</v>
      </c>
      <c r="I1565" s="313" t="str">
        <f t="shared" si="162"/>
        <v>0410120200</v>
      </c>
      <c r="J1565" s="30" t="str">
        <f t="shared" si="163"/>
        <v>62005010410120200240</v>
      </c>
    </row>
    <row r="1566" spans="1:10" s="4" customFormat="1" ht="25.5">
      <c r="A1566" s="236" t="s">
        <v>973</v>
      </c>
      <c r="B1566" s="234" t="s">
        <v>20</v>
      </c>
      <c r="C1566" s="234" t="s">
        <v>8</v>
      </c>
      <c r="D1566" s="234" t="s">
        <v>65</v>
      </c>
      <c r="E1566" s="274" t="s">
        <v>523</v>
      </c>
      <c r="F1566" s="234" t="s">
        <v>1043</v>
      </c>
      <c r="G1566" s="235">
        <f>VLOOKUP(J1566,'исх АС БЮДЖЕТ'!$A$10:$H$568,6,0)</f>
        <v>90000</v>
      </c>
      <c r="H1566" s="274">
        <v>410120200</v>
      </c>
      <c r="I1566" s="313" t="str">
        <f t="shared" si="162"/>
        <v>0410120200</v>
      </c>
      <c r="J1566" s="30" t="str">
        <f t="shared" si="163"/>
        <v>62005010410120200244</v>
      </c>
    </row>
    <row r="1567" spans="1:10" s="4" customFormat="1" ht="25.5">
      <c r="A1567" s="232" t="s">
        <v>143</v>
      </c>
      <c r="B1567" s="234" t="s">
        <v>20</v>
      </c>
      <c r="C1567" s="234" t="s">
        <v>8</v>
      </c>
      <c r="D1567" s="234" t="s">
        <v>65</v>
      </c>
      <c r="E1567" s="234" t="s">
        <v>508</v>
      </c>
      <c r="F1567" s="233" t="s">
        <v>58</v>
      </c>
      <c r="G1567" s="289">
        <f t="shared" ref="G1567:G1570" si="167">G1568</f>
        <v>3206441.29</v>
      </c>
      <c r="H1567" s="274"/>
      <c r="I1567" s="313"/>
      <c r="J1567" s="30"/>
    </row>
    <row r="1568" spans="1:10" s="4" customFormat="1">
      <c r="A1568" s="232" t="s">
        <v>175</v>
      </c>
      <c r="B1568" s="234" t="s">
        <v>20</v>
      </c>
      <c r="C1568" s="234" t="s">
        <v>8</v>
      </c>
      <c r="D1568" s="234" t="s">
        <v>65</v>
      </c>
      <c r="E1568" s="234" t="s">
        <v>1156</v>
      </c>
      <c r="F1568" s="233" t="s">
        <v>58</v>
      </c>
      <c r="G1568" s="289">
        <f t="shared" si="167"/>
        <v>3206441.29</v>
      </c>
      <c r="H1568" s="274"/>
      <c r="I1568" s="313"/>
      <c r="J1568" s="30"/>
    </row>
    <row r="1569" spans="1:10" s="4" customFormat="1">
      <c r="A1569" s="232" t="s">
        <v>188</v>
      </c>
      <c r="B1569" s="234" t="s">
        <v>20</v>
      </c>
      <c r="C1569" s="234" t="s">
        <v>8</v>
      </c>
      <c r="D1569" s="234" t="s">
        <v>65</v>
      </c>
      <c r="E1569" s="234" t="s">
        <v>1508</v>
      </c>
      <c r="F1569" s="233" t="s">
        <v>58</v>
      </c>
      <c r="G1569" s="289">
        <f t="shared" si="167"/>
        <v>3206441.29</v>
      </c>
      <c r="H1569" s="274"/>
      <c r="I1569" s="313"/>
      <c r="J1569" s="30"/>
    </row>
    <row r="1570" spans="1:10" s="4" customFormat="1">
      <c r="A1570" s="232" t="s">
        <v>21</v>
      </c>
      <c r="B1570" s="234" t="s">
        <v>20</v>
      </c>
      <c r="C1570" s="234" t="s">
        <v>8</v>
      </c>
      <c r="D1570" s="234" t="s">
        <v>65</v>
      </c>
      <c r="E1570" s="234" t="s">
        <v>1508</v>
      </c>
      <c r="F1570" s="233" t="s">
        <v>103</v>
      </c>
      <c r="G1570" s="289">
        <f t="shared" si="167"/>
        <v>3206441.29</v>
      </c>
      <c r="H1570" s="274"/>
      <c r="I1570" s="313"/>
      <c r="J1570" s="30"/>
    </row>
    <row r="1571" spans="1:10" s="4" customFormat="1" ht="25.5">
      <c r="A1571" s="232" t="s">
        <v>985</v>
      </c>
      <c r="B1571" s="234" t="s">
        <v>20</v>
      </c>
      <c r="C1571" s="234" t="s">
        <v>8</v>
      </c>
      <c r="D1571" s="234" t="s">
        <v>65</v>
      </c>
      <c r="E1571" s="234" t="s">
        <v>1508</v>
      </c>
      <c r="F1571" s="233" t="s">
        <v>1151</v>
      </c>
      <c r="G1571" s="289">
        <f>640531+2565910.29</f>
        <v>3206441.29</v>
      </c>
      <c r="H1571" s="274"/>
      <c r="I1571" s="313"/>
      <c r="J1571" s="30"/>
    </row>
    <row r="1572" spans="1:10" s="4" customFormat="1" ht="25.5">
      <c r="A1572" s="232" t="s">
        <v>683</v>
      </c>
      <c r="B1572" s="234" t="s">
        <v>20</v>
      </c>
      <c r="C1572" s="234" t="s">
        <v>8</v>
      </c>
      <c r="D1572" s="234" t="s">
        <v>65</v>
      </c>
      <c r="E1572" s="234" t="s">
        <v>680</v>
      </c>
      <c r="F1572" s="233" t="s">
        <v>58</v>
      </c>
      <c r="G1572" s="289">
        <f>G1573</f>
        <v>10430919.279999999</v>
      </c>
      <c r="H1572" s="234">
        <v>9800000000</v>
      </c>
      <c r="I1572" s="313" t="str">
        <f t="shared" si="162"/>
        <v>9800000000</v>
      </c>
      <c r="J1572" s="30" t="str">
        <f t="shared" si="163"/>
        <v>62005019800000000000</v>
      </c>
    </row>
    <row r="1573" spans="1:10" s="4" customFormat="1" ht="38.25">
      <c r="A1573" s="232" t="s">
        <v>1120</v>
      </c>
      <c r="B1573" s="234" t="s">
        <v>20</v>
      </c>
      <c r="C1573" s="234" t="s">
        <v>8</v>
      </c>
      <c r="D1573" s="234" t="s">
        <v>65</v>
      </c>
      <c r="E1573" s="234" t="s">
        <v>1121</v>
      </c>
      <c r="F1573" s="233" t="s">
        <v>58</v>
      </c>
      <c r="G1573" s="289">
        <f>G1583+G1574+G1577+G1580</f>
        <v>10430919.279999999</v>
      </c>
      <c r="H1573" s="234">
        <v>9820000000</v>
      </c>
      <c r="I1573" s="313" t="str">
        <f t="shared" si="162"/>
        <v>9820000000</v>
      </c>
      <c r="J1573" s="30" t="str">
        <f t="shared" si="163"/>
        <v>62005019820000000000</v>
      </c>
    </row>
    <row r="1574" spans="1:10" s="4" customFormat="1" ht="51">
      <c r="A1574" s="232" t="s">
        <v>1146</v>
      </c>
      <c r="B1574" s="233" t="s">
        <v>20</v>
      </c>
      <c r="C1574" s="234" t="s">
        <v>8</v>
      </c>
      <c r="D1574" s="234" t="s">
        <v>65</v>
      </c>
      <c r="E1574" s="274" t="s">
        <v>1147</v>
      </c>
      <c r="F1574" s="234" t="s">
        <v>58</v>
      </c>
      <c r="G1574" s="289">
        <f>G1575</f>
        <v>839021.26</v>
      </c>
      <c r="H1574" s="274">
        <v>9820021310</v>
      </c>
      <c r="I1574" s="313" t="str">
        <f t="shared" ref="I1574:I1642" si="168">TEXT(H1574,"0000000000")</f>
        <v>9820021310</v>
      </c>
      <c r="J1574" s="30" t="str">
        <f t="shared" ref="J1574:J1642" si="169">CONCATENATE(B1574,C1574,D1574,I1574,F1574)</f>
        <v>62005019820021310000</v>
      </c>
    </row>
    <row r="1575" spans="1:10" s="4" customFormat="1">
      <c r="A1575" s="232" t="s">
        <v>97</v>
      </c>
      <c r="B1575" s="233" t="s">
        <v>20</v>
      </c>
      <c r="C1575" s="234" t="s">
        <v>8</v>
      </c>
      <c r="D1575" s="234" t="s">
        <v>65</v>
      </c>
      <c r="E1575" s="274" t="s">
        <v>1147</v>
      </c>
      <c r="F1575" s="234" t="s">
        <v>118</v>
      </c>
      <c r="G1575" s="289">
        <f>G1576</f>
        <v>839021.26</v>
      </c>
      <c r="H1575" s="274">
        <v>9820021310</v>
      </c>
      <c r="I1575" s="313" t="str">
        <f t="shared" si="168"/>
        <v>9820021310</v>
      </c>
      <c r="J1575" s="30" t="str">
        <f t="shared" si="169"/>
        <v>62005019820021310850</v>
      </c>
    </row>
    <row r="1576" spans="1:10" s="4" customFormat="1">
      <c r="A1576" s="236" t="s">
        <v>1038</v>
      </c>
      <c r="B1576" s="233" t="s">
        <v>20</v>
      </c>
      <c r="C1576" s="234" t="s">
        <v>8</v>
      </c>
      <c r="D1576" s="234" t="s">
        <v>65</v>
      </c>
      <c r="E1576" s="274" t="s">
        <v>1147</v>
      </c>
      <c r="F1576" s="234" t="s">
        <v>1066</v>
      </c>
      <c r="G1576" s="235">
        <f>VLOOKUP(J1576,'исх АС БЮДЖЕТ'!$A$10:$H$568,6,0)</f>
        <v>839021.26</v>
      </c>
      <c r="H1576" s="274">
        <v>9820021310</v>
      </c>
      <c r="I1576" s="313" t="str">
        <f t="shared" si="168"/>
        <v>9820021310</v>
      </c>
      <c r="J1576" s="30" t="str">
        <f t="shared" si="169"/>
        <v>62005019820021310853</v>
      </c>
    </row>
    <row r="1577" spans="1:10" s="4" customFormat="1" ht="38.25">
      <c r="A1577" s="232" t="s">
        <v>1148</v>
      </c>
      <c r="B1577" s="233" t="s">
        <v>20</v>
      </c>
      <c r="C1577" s="234" t="s">
        <v>8</v>
      </c>
      <c r="D1577" s="234" t="s">
        <v>65</v>
      </c>
      <c r="E1577" s="274" t="s">
        <v>1149</v>
      </c>
      <c r="F1577" s="234" t="s">
        <v>58</v>
      </c>
      <c r="G1577" s="289">
        <f>G1578</f>
        <v>736298.02</v>
      </c>
      <c r="H1577" s="274">
        <v>9820021320</v>
      </c>
      <c r="I1577" s="313" t="str">
        <f t="shared" si="168"/>
        <v>9820021320</v>
      </c>
      <c r="J1577" s="30" t="str">
        <f t="shared" si="169"/>
        <v>62005019820021320000</v>
      </c>
    </row>
    <row r="1578" spans="1:10" s="4" customFormat="1">
      <c r="A1578" s="232" t="s">
        <v>97</v>
      </c>
      <c r="B1578" s="233" t="s">
        <v>20</v>
      </c>
      <c r="C1578" s="234" t="s">
        <v>8</v>
      </c>
      <c r="D1578" s="234" t="s">
        <v>65</v>
      </c>
      <c r="E1578" s="274" t="s">
        <v>1149</v>
      </c>
      <c r="F1578" s="234" t="s">
        <v>118</v>
      </c>
      <c r="G1578" s="289">
        <f>G1579</f>
        <v>736298.02</v>
      </c>
      <c r="H1578" s="274">
        <v>9820021320</v>
      </c>
      <c r="I1578" s="313" t="str">
        <f t="shared" si="168"/>
        <v>9820021320</v>
      </c>
      <c r="J1578" s="30" t="str">
        <f t="shared" si="169"/>
        <v>62005019820021320850</v>
      </c>
    </row>
    <row r="1579" spans="1:10" s="4" customFormat="1">
      <c r="A1579" s="236" t="s">
        <v>1038</v>
      </c>
      <c r="B1579" s="233" t="s">
        <v>20</v>
      </c>
      <c r="C1579" s="234" t="s">
        <v>8</v>
      </c>
      <c r="D1579" s="234" t="s">
        <v>65</v>
      </c>
      <c r="E1579" s="274" t="s">
        <v>1149</v>
      </c>
      <c r="F1579" s="234" t="s">
        <v>1066</v>
      </c>
      <c r="G1579" s="235">
        <f>VLOOKUP(J1579,'исх АС БЮДЖЕТ'!$A$10:$H$568,6,0)</f>
        <v>736298.02</v>
      </c>
      <c r="H1579" s="274">
        <v>9820021320</v>
      </c>
      <c r="I1579" s="313" t="str">
        <f t="shared" si="168"/>
        <v>9820021320</v>
      </c>
      <c r="J1579" s="30" t="str">
        <f t="shared" si="169"/>
        <v>62005019820021320853</v>
      </c>
    </row>
    <row r="1580" spans="1:10" s="4" customFormat="1" ht="38.25">
      <c r="A1580" s="232" t="s">
        <v>1177</v>
      </c>
      <c r="B1580" s="234" t="s">
        <v>20</v>
      </c>
      <c r="C1580" s="234" t="s">
        <v>8</v>
      </c>
      <c r="D1580" s="234" t="s">
        <v>65</v>
      </c>
      <c r="E1580" s="234" t="s">
        <v>1178</v>
      </c>
      <c r="F1580" s="234" t="s">
        <v>58</v>
      </c>
      <c r="G1580" s="235">
        <f t="shared" ref="G1580:G1581" si="170">G1581</f>
        <v>6641700</v>
      </c>
      <c r="H1580" s="234">
        <v>9820076910</v>
      </c>
      <c r="I1580" s="313" t="str">
        <f t="shared" si="168"/>
        <v>9820076910</v>
      </c>
      <c r="J1580" s="30" t="str">
        <f t="shared" si="169"/>
        <v>62005019820076910000</v>
      </c>
    </row>
    <row r="1581" spans="1:10" s="4" customFormat="1">
      <c r="A1581" s="232" t="s">
        <v>21</v>
      </c>
      <c r="B1581" s="234" t="s">
        <v>20</v>
      </c>
      <c r="C1581" s="234" t="s">
        <v>8</v>
      </c>
      <c r="D1581" s="234" t="s">
        <v>65</v>
      </c>
      <c r="E1581" s="234" t="s">
        <v>1178</v>
      </c>
      <c r="F1581" s="234" t="s">
        <v>103</v>
      </c>
      <c r="G1581" s="235">
        <f t="shared" si="170"/>
        <v>6641700</v>
      </c>
      <c r="H1581" s="234">
        <v>9820076910</v>
      </c>
      <c r="I1581" s="313" t="str">
        <f t="shared" si="168"/>
        <v>9820076910</v>
      </c>
      <c r="J1581" s="30" t="str">
        <f t="shared" si="169"/>
        <v>62005019820076910410</v>
      </c>
    </row>
    <row r="1582" spans="1:10" s="4" customFormat="1" ht="25.5">
      <c r="A1582" s="232" t="s">
        <v>985</v>
      </c>
      <c r="B1582" s="234" t="s">
        <v>20</v>
      </c>
      <c r="C1582" s="234" t="s">
        <v>8</v>
      </c>
      <c r="D1582" s="234" t="s">
        <v>65</v>
      </c>
      <c r="E1582" s="234" t="s">
        <v>1178</v>
      </c>
      <c r="F1582" s="234" t="s">
        <v>1151</v>
      </c>
      <c r="G1582" s="235">
        <f>VLOOKUP(J1582,'исх АС БЮДЖЕТ'!$A$10:$H$568,6,0)</f>
        <v>6641700</v>
      </c>
      <c r="H1582" s="234">
        <v>9820076910</v>
      </c>
      <c r="I1582" s="313" t="str">
        <f t="shared" si="168"/>
        <v>9820076910</v>
      </c>
      <c r="J1582" s="30" t="str">
        <f t="shared" si="169"/>
        <v>62005019820076910412</v>
      </c>
    </row>
    <row r="1583" spans="1:10" s="4" customFormat="1" ht="25.5">
      <c r="A1583" s="232" t="s">
        <v>160</v>
      </c>
      <c r="B1583" s="233" t="s">
        <v>20</v>
      </c>
      <c r="C1583" s="234" t="s">
        <v>8</v>
      </c>
      <c r="D1583" s="234" t="s">
        <v>65</v>
      </c>
      <c r="E1583" s="234" t="s">
        <v>1150</v>
      </c>
      <c r="F1583" s="234" t="s">
        <v>58</v>
      </c>
      <c r="G1583" s="235">
        <f>G1584</f>
        <v>2213900</v>
      </c>
      <c r="H1583" s="234" t="s">
        <v>1232</v>
      </c>
      <c r="I1583" s="313" t="str">
        <f t="shared" si="168"/>
        <v>98200S6910</v>
      </c>
      <c r="J1583" s="30" t="str">
        <f t="shared" si="169"/>
        <v>620050198200S6910000</v>
      </c>
    </row>
    <row r="1584" spans="1:10" s="4" customFormat="1">
      <c r="A1584" s="232" t="s">
        <v>21</v>
      </c>
      <c r="B1584" s="233" t="s">
        <v>20</v>
      </c>
      <c r="C1584" s="234" t="s">
        <v>8</v>
      </c>
      <c r="D1584" s="234" t="s">
        <v>65</v>
      </c>
      <c r="E1584" s="274" t="s">
        <v>1150</v>
      </c>
      <c r="F1584" s="234" t="s">
        <v>103</v>
      </c>
      <c r="G1584" s="235">
        <f>G1585</f>
        <v>2213900</v>
      </c>
      <c r="H1584" s="274" t="s">
        <v>1232</v>
      </c>
      <c r="I1584" s="313" t="str">
        <f t="shared" si="168"/>
        <v>98200S6910</v>
      </c>
      <c r="J1584" s="30" t="str">
        <f t="shared" si="169"/>
        <v>620050198200S6910410</v>
      </c>
    </row>
    <row r="1585" spans="1:10" s="4" customFormat="1" ht="25.5">
      <c r="A1585" s="232" t="s">
        <v>985</v>
      </c>
      <c r="B1585" s="233" t="s">
        <v>20</v>
      </c>
      <c r="C1585" s="234" t="s">
        <v>8</v>
      </c>
      <c r="D1585" s="234" t="s">
        <v>65</v>
      </c>
      <c r="E1585" s="274" t="s">
        <v>1150</v>
      </c>
      <c r="F1585" s="234" t="s">
        <v>1151</v>
      </c>
      <c r="G1585" s="235">
        <f>VLOOKUP(J1585,'исх АС БЮДЖЕТ'!$A$10:$H$568,6,0)</f>
        <v>2213900</v>
      </c>
      <c r="H1585" s="274" t="s">
        <v>1232</v>
      </c>
      <c r="I1585" s="313" t="str">
        <f t="shared" si="168"/>
        <v>98200S6910</v>
      </c>
      <c r="J1585" s="30" t="str">
        <f t="shared" si="169"/>
        <v>620050198200S6910412</v>
      </c>
    </row>
    <row r="1586" spans="1:10" s="3" customFormat="1">
      <c r="A1586" s="228" t="s">
        <v>10</v>
      </c>
      <c r="B1586" s="229">
        <v>620</v>
      </c>
      <c r="C1586" s="230" t="s">
        <v>8</v>
      </c>
      <c r="D1586" s="230" t="s">
        <v>66</v>
      </c>
      <c r="E1586" s="230" t="s">
        <v>196</v>
      </c>
      <c r="F1586" s="230" t="s">
        <v>58</v>
      </c>
      <c r="G1586" s="231">
        <f t="shared" ref="G1586:G1589" si="171">G1587</f>
        <v>20000</v>
      </c>
      <c r="H1586" s="230">
        <v>0</v>
      </c>
      <c r="I1586" s="313" t="str">
        <f t="shared" si="168"/>
        <v>0000000000</v>
      </c>
      <c r="J1586" s="30" t="str">
        <f t="shared" si="169"/>
        <v>62005020000000000000</v>
      </c>
    </row>
    <row r="1587" spans="1:10" s="3" customFormat="1" ht="38.25">
      <c r="A1587" s="236" t="s">
        <v>722</v>
      </c>
      <c r="B1587" s="246">
        <v>620</v>
      </c>
      <c r="C1587" s="234" t="s">
        <v>8</v>
      </c>
      <c r="D1587" s="234" t="s">
        <v>66</v>
      </c>
      <c r="E1587" s="274" t="s">
        <v>300</v>
      </c>
      <c r="F1587" s="234" t="s">
        <v>58</v>
      </c>
      <c r="G1587" s="289">
        <f t="shared" si="171"/>
        <v>20000</v>
      </c>
      <c r="H1587" s="274">
        <v>400000000</v>
      </c>
      <c r="I1587" s="313" t="str">
        <f t="shared" si="168"/>
        <v>0400000000</v>
      </c>
      <c r="J1587" s="30" t="str">
        <f t="shared" si="169"/>
        <v>62005020400000000000</v>
      </c>
    </row>
    <row r="1588" spans="1:10" s="3" customFormat="1" ht="25.5">
      <c r="A1588" s="232" t="s">
        <v>155</v>
      </c>
      <c r="B1588" s="246">
        <v>620</v>
      </c>
      <c r="C1588" s="234" t="s">
        <v>8</v>
      </c>
      <c r="D1588" s="234" t="s">
        <v>66</v>
      </c>
      <c r="E1588" s="274" t="s">
        <v>495</v>
      </c>
      <c r="F1588" s="234" t="s">
        <v>58</v>
      </c>
      <c r="G1588" s="289">
        <f t="shared" si="171"/>
        <v>20000</v>
      </c>
      <c r="H1588" s="274">
        <v>410000000</v>
      </c>
      <c r="I1588" s="313" t="str">
        <f t="shared" si="168"/>
        <v>0410000000</v>
      </c>
      <c r="J1588" s="30" t="str">
        <f t="shared" si="169"/>
        <v>62005020410000000000</v>
      </c>
    </row>
    <row r="1589" spans="1:10" s="3" customFormat="1" ht="25.5">
      <c r="A1589" s="232" t="s">
        <v>669</v>
      </c>
      <c r="B1589" s="246">
        <v>620</v>
      </c>
      <c r="C1589" s="234" t="s">
        <v>8</v>
      </c>
      <c r="D1589" s="234" t="s">
        <v>66</v>
      </c>
      <c r="E1589" s="274" t="s">
        <v>525</v>
      </c>
      <c r="F1589" s="234" t="s">
        <v>58</v>
      </c>
      <c r="G1589" s="289">
        <f t="shared" si="171"/>
        <v>20000</v>
      </c>
      <c r="H1589" s="274">
        <v>410200000</v>
      </c>
      <c r="I1589" s="313" t="str">
        <f t="shared" si="168"/>
        <v>0410200000</v>
      </c>
      <c r="J1589" s="30" t="str">
        <f t="shared" si="169"/>
        <v>62005020410200000000</v>
      </c>
    </row>
    <row r="1590" spans="1:10" s="3" customFormat="1">
      <c r="A1590" s="232" t="s">
        <v>671</v>
      </c>
      <c r="B1590" s="246">
        <v>620</v>
      </c>
      <c r="C1590" s="234" t="s">
        <v>8</v>
      </c>
      <c r="D1590" s="234" t="s">
        <v>66</v>
      </c>
      <c r="E1590" s="274" t="s">
        <v>526</v>
      </c>
      <c r="F1590" s="234" t="s">
        <v>58</v>
      </c>
      <c r="G1590" s="289">
        <f>G1591</f>
        <v>20000</v>
      </c>
      <c r="H1590" s="274">
        <v>410220220</v>
      </c>
      <c r="I1590" s="313" t="str">
        <f t="shared" si="168"/>
        <v>0410220220</v>
      </c>
      <c r="J1590" s="30" t="str">
        <f t="shared" si="169"/>
        <v>62005020410220220000</v>
      </c>
    </row>
    <row r="1591" spans="1:10" s="3" customFormat="1" ht="25.5">
      <c r="A1591" s="232" t="s">
        <v>108</v>
      </c>
      <c r="B1591" s="234" t="s">
        <v>20</v>
      </c>
      <c r="C1591" s="234" t="s">
        <v>8</v>
      </c>
      <c r="D1591" s="234" t="s">
        <v>66</v>
      </c>
      <c r="E1591" s="274" t="s">
        <v>526</v>
      </c>
      <c r="F1591" s="234" t="s">
        <v>116</v>
      </c>
      <c r="G1591" s="289">
        <f>G1592</f>
        <v>20000</v>
      </c>
      <c r="H1591" s="274">
        <v>410220220</v>
      </c>
      <c r="I1591" s="313" t="str">
        <f t="shared" si="168"/>
        <v>0410220220</v>
      </c>
      <c r="J1591" s="30" t="str">
        <f t="shared" si="169"/>
        <v>62005020410220220240</v>
      </c>
    </row>
    <row r="1592" spans="1:10" s="4" customFormat="1" ht="25.5">
      <c r="A1592" s="236" t="s">
        <v>973</v>
      </c>
      <c r="B1592" s="234" t="s">
        <v>20</v>
      </c>
      <c r="C1592" s="234" t="s">
        <v>8</v>
      </c>
      <c r="D1592" s="234" t="s">
        <v>66</v>
      </c>
      <c r="E1592" s="274" t="s">
        <v>526</v>
      </c>
      <c r="F1592" s="234" t="s">
        <v>1043</v>
      </c>
      <c r="G1592" s="235">
        <f>VLOOKUP(J1592,'исх АС БЮДЖЕТ'!$A$10:$H$568,6,0)</f>
        <v>20000</v>
      </c>
      <c r="H1592" s="274">
        <v>410220220</v>
      </c>
      <c r="I1592" s="313" t="str">
        <f t="shared" si="168"/>
        <v>0410220220</v>
      </c>
      <c r="J1592" s="30" t="str">
        <f t="shared" si="169"/>
        <v>62005020410220220244</v>
      </c>
    </row>
    <row r="1593" spans="1:10" s="3" customFormat="1">
      <c r="A1593" s="228" t="s">
        <v>1</v>
      </c>
      <c r="B1593" s="229" t="s">
        <v>20</v>
      </c>
      <c r="C1593" s="230" t="s">
        <v>8</v>
      </c>
      <c r="D1593" s="230" t="s">
        <v>53</v>
      </c>
      <c r="E1593" s="230" t="s">
        <v>196</v>
      </c>
      <c r="F1593" s="230" t="s">
        <v>58</v>
      </c>
      <c r="G1593" s="231">
        <f>G1594+G1627+G1638+G1633</f>
        <v>249304049.04000002</v>
      </c>
      <c r="H1593" s="230">
        <v>0</v>
      </c>
      <c r="I1593" s="313" t="str">
        <f t="shared" si="168"/>
        <v>0000000000</v>
      </c>
      <c r="J1593" s="30" t="str">
        <f t="shared" si="169"/>
        <v>62005030000000000000</v>
      </c>
    </row>
    <row r="1594" spans="1:10" s="3" customFormat="1" ht="38.25">
      <c r="A1594" s="236" t="s">
        <v>722</v>
      </c>
      <c r="B1594" s="234" t="s">
        <v>20</v>
      </c>
      <c r="C1594" s="234" t="s">
        <v>8</v>
      </c>
      <c r="D1594" s="234" t="s">
        <v>53</v>
      </c>
      <c r="E1594" s="234" t="s">
        <v>300</v>
      </c>
      <c r="F1594" s="234" t="s">
        <v>58</v>
      </c>
      <c r="G1594" s="289">
        <f>G1595</f>
        <v>241412874.98000002</v>
      </c>
      <c r="H1594" s="234">
        <v>400000000</v>
      </c>
      <c r="I1594" s="313" t="str">
        <f t="shared" si="168"/>
        <v>0400000000</v>
      </c>
      <c r="J1594" s="30" t="str">
        <f t="shared" si="169"/>
        <v>62005030400000000000</v>
      </c>
    </row>
    <row r="1595" spans="1:10" s="3" customFormat="1">
      <c r="A1595" s="232" t="s">
        <v>142</v>
      </c>
      <c r="B1595" s="234" t="s">
        <v>20</v>
      </c>
      <c r="C1595" s="234" t="s">
        <v>8</v>
      </c>
      <c r="D1595" s="234" t="s">
        <v>53</v>
      </c>
      <c r="E1595" s="234" t="s">
        <v>453</v>
      </c>
      <c r="F1595" s="234" t="s">
        <v>58</v>
      </c>
      <c r="G1595" s="289">
        <f>G1596+G1602+G1606</f>
        <v>241412874.98000002</v>
      </c>
      <c r="H1595" s="234">
        <v>430000000</v>
      </c>
      <c r="I1595" s="313" t="str">
        <f t="shared" si="168"/>
        <v>0430000000</v>
      </c>
      <c r="J1595" s="30" t="str">
        <f t="shared" si="169"/>
        <v>62005030430000000000</v>
      </c>
    </row>
    <row r="1596" spans="1:10" s="3" customFormat="1" ht="25.5">
      <c r="A1596" s="232" t="s">
        <v>718</v>
      </c>
      <c r="B1596" s="234" t="s">
        <v>20</v>
      </c>
      <c r="C1596" s="234" t="s">
        <v>8</v>
      </c>
      <c r="D1596" s="234" t="s">
        <v>53</v>
      </c>
      <c r="E1596" s="234" t="s">
        <v>655</v>
      </c>
      <c r="F1596" s="234" t="s">
        <v>58</v>
      </c>
      <c r="G1596" s="289">
        <f>G1597</f>
        <v>29081259.739999998</v>
      </c>
      <c r="H1596" s="234">
        <v>430200000</v>
      </c>
      <c r="I1596" s="313" t="str">
        <f t="shared" si="168"/>
        <v>0430200000</v>
      </c>
      <c r="J1596" s="30" t="str">
        <f t="shared" si="169"/>
        <v>62005030430200000000</v>
      </c>
    </row>
    <row r="1597" spans="1:10" s="3" customFormat="1" ht="25.5">
      <c r="A1597" s="232" t="s">
        <v>905</v>
      </c>
      <c r="B1597" s="234" t="s">
        <v>20</v>
      </c>
      <c r="C1597" s="234" t="s">
        <v>8</v>
      </c>
      <c r="D1597" s="234" t="s">
        <v>53</v>
      </c>
      <c r="E1597" s="234" t="s">
        <v>656</v>
      </c>
      <c r="F1597" s="234" t="s">
        <v>58</v>
      </c>
      <c r="G1597" s="289">
        <f>G1598+G1600</f>
        <v>29081259.739999998</v>
      </c>
      <c r="H1597" s="234">
        <v>430220290</v>
      </c>
      <c r="I1597" s="313" t="str">
        <f t="shared" si="168"/>
        <v>0430220290</v>
      </c>
      <c r="J1597" s="30" t="str">
        <f t="shared" si="169"/>
        <v>62005030430220290000</v>
      </c>
    </row>
    <row r="1598" spans="1:10" s="3" customFormat="1" ht="25.5">
      <c r="A1598" s="232" t="s">
        <v>108</v>
      </c>
      <c r="B1598" s="234" t="s">
        <v>20</v>
      </c>
      <c r="C1598" s="234" t="s">
        <v>8</v>
      </c>
      <c r="D1598" s="234" t="s">
        <v>53</v>
      </c>
      <c r="E1598" s="234" t="s">
        <v>656</v>
      </c>
      <c r="F1598" s="234" t="s">
        <v>116</v>
      </c>
      <c r="G1598" s="289">
        <f>G1599</f>
        <v>19081259.739999998</v>
      </c>
      <c r="H1598" s="234">
        <v>430220290</v>
      </c>
      <c r="I1598" s="313" t="str">
        <f t="shared" si="168"/>
        <v>0430220290</v>
      </c>
      <c r="J1598" s="30" t="str">
        <f t="shared" si="169"/>
        <v>62005030430220290240</v>
      </c>
    </row>
    <row r="1599" spans="1:10" s="4" customFormat="1" ht="25.5">
      <c r="A1599" s="236" t="s">
        <v>973</v>
      </c>
      <c r="B1599" s="234" t="s">
        <v>20</v>
      </c>
      <c r="C1599" s="234" t="s">
        <v>8</v>
      </c>
      <c r="D1599" s="234" t="s">
        <v>53</v>
      </c>
      <c r="E1599" s="234" t="s">
        <v>656</v>
      </c>
      <c r="F1599" s="234" t="s">
        <v>1043</v>
      </c>
      <c r="G1599" s="235">
        <f>VLOOKUP(J1599,'исх АС БЮДЖЕТ'!$A$10:$H$568,6,0)</f>
        <v>19081259.739999998</v>
      </c>
      <c r="H1599" s="234">
        <v>430220290</v>
      </c>
      <c r="I1599" s="313" t="str">
        <f t="shared" si="168"/>
        <v>0430220290</v>
      </c>
      <c r="J1599" s="30" t="str">
        <f t="shared" si="169"/>
        <v>62005030430220290244</v>
      </c>
    </row>
    <row r="1600" spans="1:10" s="3" customFormat="1">
      <c r="A1600" s="232" t="s">
        <v>190</v>
      </c>
      <c r="B1600" s="234" t="s">
        <v>20</v>
      </c>
      <c r="C1600" s="234" t="s">
        <v>8</v>
      </c>
      <c r="D1600" s="234" t="s">
        <v>53</v>
      </c>
      <c r="E1600" s="234" t="s">
        <v>656</v>
      </c>
      <c r="F1600" s="234" t="s">
        <v>103</v>
      </c>
      <c r="G1600" s="289">
        <f>G1601</f>
        <v>10000000</v>
      </c>
      <c r="H1600" s="234">
        <v>430220290</v>
      </c>
      <c r="I1600" s="313" t="str">
        <f t="shared" si="168"/>
        <v>0430220290</v>
      </c>
      <c r="J1600" s="30" t="str">
        <f t="shared" si="169"/>
        <v>62005030430220290410</v>
      </c>
    </row>
    <row r="1601" spans="1:10" s="4" customFormat="1" ht="25.5">
      <c r="A1601" s="236" t="s">
        <v>987</v>
      </c>
      <c r="B1601" s="234" t="s">
        <v>20</v>
      </c>
      <c r="C1601" s="234" t="s">
        <v>8</v>
      </c>
      <c r="D1601" s="234" t="s">
        <v>53</v>
      </c>
      <c r="E1601" s="234" t="s">
        <v>656</v>
      </c>
      <c r="F1601" s="234" t="s">
        <v>1052</v>
      </c>
      <c r="G1601" s="235">
        <f>VLOOKUP(J1601,'исх АС БЮДЖЕТ'!$A$10:$H$568,6,0)</f>
        <v>10000000</v>
      </c>
      <c r="H1601" s="234">
        <v>430220290</v>
      </c>
      <c r="I1601" s="313" t="str">
        <f t="shared" si="168"/>
        <v>0430220290</v>
      </c>
      <c r="J1601" s="30" t="str">
        <f t="shared" si="169"/>
        <v>62005030430220290414</v>
      </c>
    </row>
    <row r="1602" spans="1:10" s="3" customFormat="1" ht="25.5">
      <c r="A1602" s="232" t="s">
        <v>657</v>
      </c>
      <c r="B1602" s="234" t="s">
        <v>20</v>
      </c>
      <c r="C1602" s="234" t="s">
        <v>8</v>
      </c>
      <c r="D1602" s="234" t="s">
        <v>53</v>
      </c>
      <c r="E1602" s="234" t="s">
        <v>658</v>
      </c>
      <c r="F1602" s="234" t="s">
        <v>58</v>
      </c>
      <c r="G1602" s="289">
        <f t="shared" ref="G1602:G1603" si="172">G1603</f>
        <v>2284560</v>
      </c>
      <c r="H1602" s="234">
        <v>430300000</v>
      </c>
      <c r="I1602" s="313" t="str">
        <f t="shared" si="168"/>
        <v>0430300000</v>
      </c>
      <c r="J1602" s="30" t="str">
        <f t="shared" si="169"/>
        <v>62005030430300000000</v>
      </c>
    </row>
    <row r="1603" spans="1:10" s="3" customFormat="1" ht="25.5">
      <c r="A1603" s="232" t="s">
        <v>592</v>
      </c>
      <c r="B1603" s="234" t="s">
        <v>20</v>
      </c>
      <c r="C1603" s="234" t="s">
        <v>8</v>
      </c>
      <c r="D1603" s="234" t="s">
        <v>53</v>
      </c>
      <c r="E1603" s="234" t="s">
        <v>659</v>
      </c>
      <c r="F1603" s="234" t="s">
        <v>58</v>
      </c>
      <c r="G1603" s="289">
        <f t="shared" si="172"/>
        <v>2284560</v>
      </c>
      <c r="H1603" s="234">
        <v>430377150</v>
      </c>
      <c r="I1603" s="313" t="str">
        <f t="shared" si="168"/>
        <v>0430377150</v>
      </c>
      <c r="J1603" s="30" t="str">
        <f t="shared" si="169"/>
        <v>62005030430377150000</v>
      </c>
    </row>
    <row r="1604" spans="1:10" s="3" customFormat="1" ht="25.5">
      <c r="A1604" s="232" t="s">
        <v>108</v>
      </c>
      <c r="B1604" s="234" t="s">
        <v>20</v>
      </c>
      <c r="C1604" s="234" t="s">
        <v>8</v>
      </c>
      <c r="D1604" s="234" t="s">
        <v>53</v>
      </c>
      <c r="E1604" s="234" t="s">
        <v>659</v>
      </c>
      <c r="F1604" s="234" t="s">
        <v>116</v>
      </c>
      <c r="G1604" s="289">
        <f>G1605</f>
        <v>2284560</v>
      </c>
      <c r="H1604" s="234">
        <v>430377150</v>
      </c>
      <c r="I1604" s="313" t="str">
        <f t="shared" si="168"/>
        <v>0430377150</v>
      </c>
      <c r="J1604" s="30" t="str">
        <f t="shared" si="169"/>
        <v>62005030430377150240</v>
      </c>
    </row>
    <row r="1605" spans="1:10" s="4" customFormat="1" ht="25.5">
      <c r="A1605" s="236" t="s">
        <v>973</v>
      </c>
      <c r="B1605" s="234" t="s">
        <v>20</v>
      </c>
      <c r="C1605" s="234" t="s">
        <v>8</v>
      </c>
      <c r="D1605" s="234" t="s">
        <v>53</v>
      </c>
      <c r="E1605" s="234" t="s">
        <v>659</v>
      </c>
      <c r="F1605" s="234" t="s">
        <v>1043</v>
      </c>
      <c r="G1605" s="235">
        <f>VLOOKUP(J1605,'исх АС БЮДЖЕТ'!$A$10:$H$568,6,0)</f>
        <v>2284560</v>
      </c>
      <c r="H1605" s="234">
        <v>430377150</v>
      </c>
      <c r="I1605" s="313" t="str">
        <f t="shared" si="168"/>
        <v>0430377150</v>
      </c>
      <c r="J1605" s="30" t="str">
        <f t="shared" si="169"/>
        <v>62005030430377150244</v>
      </c>
    </row>
    <row r="1606" spans="1:10" s="3" customFormat="1">
      <c r="A1606" s="232" t="s">
        <v>527</v>
      </c>
      <c r="B1606" s="234" t="s">
        <v>20</v>
      </c>
      <c r="C1606" s="234" t="s">
        <v>8</v>
      </c>
      <c r="D1606" s="234" t="s">
        <v>53</v>
      </c>
      <c r="E1606" s="234" t="s">
        <v>645</v>
      </c>
      <c r="F1606" s="234" t="s">
        <v>58</v>
      </c>
      <c r="G1606" s="289">
        <f>G1607+G1610+G1613+G1618+G1621+G1624</f>
        <v>210047055.24000001</v>
      </c>
      <c r="H1606" s="234">
        <v>430400000</v>
      </c>
      <c r="I1606" s="313" t="str">
        <f t="shared" si="168"/>
        <v>0430400000</v>
      </c>
      <c r="J1606" s="30" t="str">
        <f t="shared" si="169"/>
        <v>62005030430400000000</v>
      </c>
    </row>
    <row r="1607" spans="1:10" s="3" customFormat="1">
      <c r="A1607" s="232" t="s">
        <v>247</v>
      </c>
      <c r="B1607" s="234" t="s">
        <v>20</v>
      </c>
      <c r="C1607" s="234" t="s">
        <v>8</v>
      </c>
      <c r="D1607" s="234" t="s">
        <v>53</v>
      </c>
      <c r="E1607" s="234" t="s">
        <v>660</v>
      </c>
      <c r="F1607" s="234" t="s">
        <v>58</v>
      </c>
      <c r="G1607" s="289">
        <f>G1608</f>
        <v>10982050</v>
      </c>
      <c r="H1607" s="234">
        <v>430411010</v>
      </c>
      <c r="I1607" s="313" t="str">
        <f t="shared" si="168"/>
        <v>0430411010</v>
      </c>
      <c r="J1607" s="30" t="str">
        <f t="shared" si="169"/>
        <v>62005030430411010000</v>
      </c>
    </row>
    <row r="1608" spans="1:10" s="3" customFormat="1">
      <c r="A1608" s="244" t="s">
        <v>92</v>
      </c>
      <c r="B1608" s="234" t="s">
        <v>20</v>
      </c>
      <c r="C1608" s="234" t="s">
        <v>8</v>
      </c>
      <c r="D1608" s="234" t="s">
        <v>53</v>
      </c>
      <c r="E1608" s="234" t="s">
        <v>660</v>
      </c>
      <c r="F1608" s="234" t="s">
        <v>138</v>
      </c>
      <c r="G1608" s="289">
        <f>G1609</f>
        <v>10982050</v>
      </c>
      <c r="H1608" s="234">
        <v>430411010</v>
      </c>
      <c r="I1608" s="313" t="str">
        <f t="shared" si="168"/>
        <v>0430411010</v>
      </c>
      <c r="J1608" s="30" t="str">
        <f t="shared" si="169"/>
        <v>62005030430411010610</v>
      </c>
    </row>
    <row r="1609" spans="1:10" s="4" customFormat="1" ht="38.25">
      <c r="A1609" s="236" t="s">
        <v>1015</v>
      </c>
      <c r="B1609" s="234" t="s">
        <v>20</v>
      </c>
      <c r="C1609" s="234" t="s">
        <v>8</v>
      </c>
      <c r="D1609" s="234" t="s">
        <v>53</v>
      </c>
      <c r="E1609" s="234" t="s">
        <v>660</v>
      </c>
      <c r="F1609" s="234" t="s">
        <v>67</v>
      </c>
      <c r="G1609" s="235">
        <f>VLOOKUP(J1609,'исх АС БЮДЖЕТ'!$A$10:$H$568,6,0)</f>
        <v>10982050</v>
      </c>
      <c r="H1609" s="234">
        <v>430411010</v>
      </c>
      <c r="I1609" s="313" t="str">
        <f t="shared" si="168"/>
        <v>0430411010</v>
      </c>
      <c r="J1609" s="30" t="str">
        <f t="shared" si="169"/>
        <v>62005030430411010611</v>
      </c>
    </row>
    <row r="1610" spans="1:10" s="3" customFormat="1">
      <c r="A1610" s="232" t="s">
        <v>897</v>
      </c>
      <c r="B1610" s="234" t="s">
        <v>20</v>
      </c>
      <c r="C1610" s="234" t="s">
        <v>8</v>
      </c>
      <c r="D1610" s="234" t="s">
        <v>53</v>
      </c>
      <c r="E1610" s="234" t="s">
        <v>661</v>
      </c>
      <c r="F1610" s="234" t="s">
        <v>58</v>
      </c>
      <c r="G1610" s="289">
        <f>G1611</f>
        <v>109804480</v>
      </c>
      <c r="H1610" s="234">
        <v>430420280</v>
      </c>
      <c r="I1610" s="313" t="str">
        <f t="shared" si="168"/>
        <v>0430420280</v>
      </c>
      <c r="J1610" s="30" t="str">
        <f t="shared" si="169"/>
        <v>62005030430420280000</v>
      </c>
    </row>
    <row r="1611" spans="1:10" s="3" customFormat="1" ht="25.5">
      <c r="A1611" s="232" t="s">
        <v>108</v>
      </c>
      <c r="B1611" s="234" t="s">
        <v>20</v>
      </c>
      <c r="C1611" s="234" t="s">
        <v>8</v>
      </c>
      <c r="D1611" s="234" t="s">
        <v>53</v>
      </c>
      <c r="E1611" s="234" t="s">
        <v>661</v>
      </c>
      <c r="F1611" s="234" t="s">
        <v>116</v>
      </c>
      <c r="G1611" s="289">
        <f>G1612</f>
        <v>109804480</v>
      </c>
      <c r="H1611" s="234">
        <v>430420280</v>
      </c>
      <c r="I1611" s="313" t="str">
        <f t="shared" si="168"/>
        <v>0430420280</v>
      </c>
      <c r="J1611" s="30" t="str">
        <f t="shared" si="169"/>
        <v>62005030430420280240</v>
      </c>
    </row>
    <row r="1612" spans="1:10" s="3" customFormat="1" ht="25.5">
      <c r="A1612" s="236" t="s">
        <v>973</v>
      </c>
      <c r="B1612" s="234" t="s">
        <v>20</v>
      </c>
      <c r="C1612" s="234" t="s">
        <v>8</v>
      </c>
      <c r="D1612" s="234" t="s">
        <v>53</v>
      </c>
      <c r="E1612" s="234" t="s">
        <v>661</v>
      </c>
      <c r="F1612" s="234" t="s">
        <v>1043</v>
      </c>
      <c r="G1612" s="235">
        <f>VLOOKUP(J1612,'исх АС БЮДЖЕТ'!$A$10:$H$568,6,0)</f>
        <v>109804480</v>
      </c>
      <c r="H1612" s="234">
        <v>430420280</v>
      </c>
      <c r="I1612" s="313" t="str">
        <f t="shared" si="168"/>
        <v>0430420280</v>
      </c>
      <c r="J1612" s="30" t="str">
        <f t="shared" si="169"/>
        <v>62005030430420280244</v>
      </c>
    </row>
    <row r="1613" spans="1:10" s="3" customFormat="1">
      <c r="A1613" s="232" t="s">
        <v>158</v>
      </c>
      <c r="B1613" s="234" t="s">
        <v>20</v>
      </c>
      <c r="C1613" s="234" t="s">
        <v>8</v>
      </c>
      <c r="D1613" s="234" t="s">
        <v>53</v>
      </c>
      <c r="E1613" s="234" t="s">
        <v>646</v>
      </c>
      <c r="F1613" s="234" t="s">
        <v>58</v>
      </c>
      <c r="G1613" s="289">
        <f>G1614+G1616</f>
        <v>21562670</v>
      </c>
      <c r="H1613" s="234">
        <v>430420300</v>
      </c>
      <c r="I1613" s="313" t="str">
        <f t="shared" si="168"/>
        <v>0430420300</v>
      </c>
      <c r="J1613" s="30" t="str">
        <f t="shared" si="169"/>
        <v>62005030430420300000</v>
      </c>
    </row>
    <row r="1614" spans="1:10" s="3" customFormat="1" ht="25.5">
      <c r="A1614" s="232" t="s">
        <v>108</v>
      </c>
      <c r="B1614" s="234" t="s">
        <v>20</v>
      </c>
      <c r="C1614" s="234" t="s">
        <v>8</v>
      </c>
      <c r="D1614" s="234" t="s">
        <v>53</v>
      </c>
      <c r="E1614" s="234" t="s">
        <v>646</v>
      </c>
      <c r="F1614" s="234" t="s">
        <v>116</v>
      </c>
      <c r="G1614" s="289">
        <f>G1615</f>
        <v>19955030</v>
      </c>
      <c r="H1614" s="234">
        <v>430420300</v>
      </c>
      <c r="I1614" s="313" t="str">
        <f t="shared" si="168"/>
        <v>0430420300</v>
      </c>
      <c r="J1614" s="30" t="str">
        <f t="shared" si="169"/>
        <v>62005030430420300240</v>
      </c>
    </row>
    <row r="1615" spans="1:10" s="4" customFormat="1" ht="25.5">
      <c r="A1615" s="236" t="s">
        <v>973</v>
      </c>
      <c r="B1615" s="234" t="s">
        <v>20</v>
      </c>
      <c r="C1615" s="234" t="s">
        <v>8</v>
      </c>
      <c r="D1615" s="234" t="s">
        <v>53</v>
      </c>
      <c r="E1615" s="234" t="s">
        <v>646</v>
      </c>
      <c r="F1615" s="234" t="s">
        <v>1043</v>
      </c>
      <c r="G1615" s="235">
        <f>VLOOKUP(J1615,'исх АС БЮДЖЕТ'!$A$10:$H$568,6,0)</f>
        <v>19955030</v>
      </c>
      <c r="H1615" s="234">
        <v>430420300</v>
      </c>
      <c r="I1615" s="313" t="str">
        <f t="shared" si="168"/>
        <v>0430420300</v>
      </c>
      <c r="J1615" s="30" t="str">
        <f t="shared" si="169"/>
        <v>62005030430420300244</v>
      </c>
    </row>
    <row r="1616" spans="1:10" s="3" customFormat="1">
      <c r="A1616" s="309" t="s">
        <v>21</v>
      </c>
      <c r="B1616" s="234" t="s">
        <v>20</v>
      </c>
      <c r="C1616" s="234" t="s">
        <v>8</v>
      </c>
      <c r="D1616" s="234" t="s">
        <v>53</v>
      </c>
      <c r="E1616" s="234" t="s">
        <v>646</v>
      </c>
      <c r="F1616" s="234" t="s">
        <v>103</v>
      </c>
      <c r="G1616" s="289">
        <f>G1617</f>
        <v>1607640</v>
      </c>
      <c r="H1616" s="234">
        <v>430420300</v>
      </c>
      <c r="I1616" s="313" t="str">
        <f t="shared" si="168"/>
        <v>0430420300</v>
      </c>
      <c r="J1616" s="30" t="str">
        <f t="shared" si="169"/>
        <v>62005030430420300410</v>
      </c>
    </row>
    <row r="1617" spans="1:10" s="4" customFormat="1" ht="25.5">
      <c r="A1617" s="236" t="s">
        <v>987</v>
      </c>
      <c r="B1617" s="234" t="s">
        <v>20</v>
      </c>
      <c r="C1617" s="234" t="s">
        <v>8</v>
      </c>
      <c r="D1617" s="234" t="s">
        <v>53</v>
      </c>
      <c r="E1617" s="234" t="s">
        <v>646</v>
      </c>
      <c r="F1617" s="234" t="s">
        <v>1052</v>
      </c>
      <c r="G1617" s="235">
        <f>VLOOKUP(J1617,'исх АС БЮДЖЕТ'!$A$10:$H$568,6,0)</f>
        <v>1607640</v>
      </c>
      <c r="H1617" s="234">
        <v>430420300</v>
      </c>
      <c r="I1617" s="313" t="str">
        <f t="shared" si="168"/>
        <v>0430420300</v>
      </c>
      <c r="J1617" s="30" t="str">
        <f t="shared" si="169"/>
        <v>62005030430420300414</v>
      </c>
    </row>
    <row r="1618" spans="1:10" s="3" customFormat="1">
      <c r="A1618" s="248" t="s">
        <v>159</v>
      </c>
      <c r="B1618" s="234" t="s">
        <v>20</v>
      </c>
      <c r="C1618" s="234" t="s">
        <v>8</v>
      </c>
      <c r="D1618" s="234" t="s">
        <v>53</v>
      </c>
      <c r="E1618" s="234" t="s">
        <v>647</v>
      </c>
      <c r="F1618" s="234" t="s">
        <v>58</v>
      </c>
      <c r="G1618" s="289">
        <f>G1619</f>
        <v>25550000</v>
      </c>
      <c r="H1618" s="234">
        <v>430420780</v>
      </c>
      <c r="I1618" s="313" t="str">
        <f t="shared" si="168"/>
        <v>0430420780</v>
      </c>
      <c r="J1618" s="30" t="str">
        <f t="shared" si="169"/>
        <v>62005030430420780000</v>
      </c>
    </row>
    <row r="1619" spans="1:10" s="3" customFormat="1" ht="25.5">
      <c r="A1619" s="232" t="s">
        <v>108</v>
      </c>
      <c r="B1619" s="234" t="s">
        <v>20</v>
      </c>
      <c r="C1619" s="234" t="s">
        <v>8</v>
      </c>
      <c r="D1619" s="234" t="s">
        <v>53</v>
      </c>
      <c r="E1619" s="234" t="s">
        <v>647</v>
      </c>
      <c r="F1619" s="234" t="s">
        <v>116</v>
      </c>
      <c r="G1619" s="289">
        <f>G1620</f>
        <v>25550000</v>
      </c>
      <c r="H1619" s="234">
        <v>430420780</v>
      </c>
      <c r="I1619" s="313" t="str">
        <f t="shared" si="168"/>
        <v>0430420780</v>
      </c>
      <c r="J1619" s="30" t="str">
        <f t="shared" si="169"/>
        <v>62005030430420780240</v>
      </c>
    </row>
    <row r="1620" spans="1:10" s="4" customFormat="1" ht="25.5">
      <c r="A1620" s="236" t="s">
        <v>973</v>
      </c>
      <c r="B1620" s="234" t="s">
        <v>20</v>
      </c>
      <c r="C1620" s="234" t="s">
        <v>8</v>
      </c>
      <c r="D1620" s="234" t="s">
        <v>53</v>
      </c>
      <c r="E1620" s="234" t="s">
        <v>647</v>
      </c>
      <c r="F1620" s="234" t="s">
        <v>1043</v>
      </c>
      <c r="G1620" s="235">
        <f>VLOOKUP(J1620,'исх АС БЮДЖЕТ'!$A$10:$H$568,6,0)</f>
        <v>25550000</v>
      </c>
      <c r="H1620" s="234">
        <v>430420780</v>
      </c>
      <c r="I1620" s="313" t="str">
        <f t="shared" si="168"/>
        <v>0430420780</v>
      </c>
      <c r="J1620" s="30" t="str">
        <f t="shared" si="169"/>
        <v>62005030430420780244</v>
      </c>
    </row>
    <row r="1621" spans="1:10" s="3" customFormat="1" ht="51">
      <c r="A1621" s="232" t="s">
        <v>591</v>
      </c>
      <c r="B1621" s="234" t="s">
        <v>20</v>
      </c>
      <c r="C1621" s="234" t="s">
        <v>8</v>
      </c>
      <c r="D1621" s="234" t="s">
        <v>53</v>
      </c>
      <c r="E1621" s="234" t="s">
        <v>662</v>
      </c>
      <c r="F1621" s="234" t="s">
        <v>58</v>
      </c>
      <c r="G1621" s="289">
        <f>G1622</f>
        <v>36909760</v>
      </c>
      <c r="H1621" s="234">
        <v>430420790</v>
      </c>
      <c r="I1621" s="313" t="str">
        <f t="shared" si="168"/>
        <v>0430420790</v>
      </c>
      <c r="J1621" s="30" t="str">
        <f t="shared" si="169"/>
        <v>62005030430420790000</v>
      </c>
    </row>
    <row r="1622" spans="1:10" s="3" customFormat="1" ht="25.5">
      <c r="A1622" s="232" t="s">
        <v>108</v>
      </c>
      <c r="B1622" s="234" t="s">
        <v>20</v>
      </c>
      <c r="C1622" s="234" t="s">
        <v>8</v>
      </c>
      <c r="D1622" s="234" t="s">
        <v>53</v>
      </c>
      <c r="E1622" s="234" t="s">
        <v>662</v>
      </c>
      <c r="F1622" s="234" t="s">
        <v>116</v>
      </c>
      <c r="G1622" s="289">
        <f>G1623</f>
        <v>36909760</v>
      </c>
      <c r="H1622" s="234">
        <v>430420790</v>
      </c>
      <c r="I1622" s="313" t="str">
        <f t="shared" si="168"/>
        <v>0430420790</v>
      </c>
      <c r="J1622" s="30" t="str">
        <f t="shared" si="169"/>
        <v>62005030430420790240</v>
      </c>
    </row>
    <row r="1623" spans="1:10" s="4" customFormat="1" ht="25.5">
      <c r="A1623" s="236" t="s">
        <v>973</v>
      </c>
      <c r="B1623" s="234" t="s">
        <v>20</v>
      </c>
      <c r="C1623" s="234" t="s">
        <v>8</v>
      </c>
      <c r="D1623" s="234" t="s">
        <v>53</v>
      </c>
      <c r="E1623" s="234" t="s">
        <v>662</v>
      </c>
      <c r="F1623" s="234" t="s">
        <v>1043</v>
      </c>
      <c r="G1623" s="235">
        <f>VLOOKUP(J1623,'исх АС БЮДЖЕТ'!$A$10:$H$568,6,0)</f>
        <v>36909760</v>
      </c>
      <c r="H1623" s="234">
        <v>430420790</v>
      </c>
      <c r="I1623" s="313" t="str">
        <f t="shared" si="168"/>
        <v>0430420790</v>
      </c>
      <c r="J1623" s="30" t="str">
        <f t="shared" si="169"/>
        <v>62005030430420790244</v>
      </c>
    </row>
    <row r="1624" spans="1:10" s="4" customFormat="1" ht="25.5">
      <c r="A1624" s="232" t="s">
        <v>1123</v>
      </c>
      <c r="B1624" s="234" t="s">
        <v>20</v>
      </c>
      <c r="C1624" s="234" t="s">
        <v>8</v>
      </c>
      <c r="D1624" s="234" t="s">
        <v>53</v>
      </c>
      <c r="E1624" s="234" t="s">
        <v>1124</v>
      </c>
      <c r="F1624" s="234" t="s">
        <v>58</v>
      </c>
      <c r="G1624" s="235">
        <f>G1625</f>
        <v>5238095.24</v>
      </c>
      <c r="H1624" s="234" t="s">
        <v>1233</v>
      </c>
      <c r="I1624" s="313" t="str">
        <f t="shared" si="168"/>
        <v>04304L5550</v>
      </c>
      <c r="J1624" s="30" t="str">
        <f t="shared" si="169"/>
        <v>620050304304L5550000</v>
      </c>
    </row>
    <row r="1625" spans="1:10" s="4" customFormat="1" ht="25.5">
      <c r="A1625" s="232" t="s">
        <v>108</v>
      </c>
      <c r="B1625" s="234" t="s">
        <v>20</v>
      </c>
      <c r="C1625" s="234" t="s">
        <v>8</v>
      </c>
      <c r="D1625" s="234" t="s">
        <v>53</v>
      </c>
      <c r="E1625" s="234" t="s">
        <v>1124</v>
      </c>
      <c r="F1625" s="234" t="s">
        <v>116</v>
      </c>
      <c r="G1625" s="235">
        <f>G1626</f>
        <v>5238095.24</v>
      </c>
      <c r="H1625" s="234" t="s">
        <v>1233</v>
      </c>
      <c r="I1625" s="313" t="str">
        <f t="shared" si="168"/>
        <v>04304L5550</v>
      </c>
      <c r="J1625" s="30" t="str">
        <f t="shared" si="169"/>
        <v>620050304304L5550240</v>
      </c>
    </row>
    <row r="1626" spans="1:10" s="4" customFormat="1" ht="25.5">
      <c r="A1626" s="236" t="s">
        <v>973</v>
      </c>
      <c r="B1626" s="234" t="s">
        <v>20</v>
      </c>
      <c r="C1626" s="234" t="s">
        <v>8</v>
      </c>
      <c r="D1626" s="234" t="s">
        <v>53</v>
      </c>
      <c r="E1626" s="234" t="s">
        <v>1124</v>
      </c>
      <c r="F1626" s="234" t="s">
        <v>1043</v>
      </c>
      <c r="G1626" s="235">
        <f>VLOOKUP(J1626,'исх АС БЮДЖЕТ'!$A$10:$H$568,6,0)</f>
        <v>5238095.24</v>
      </c>
      <c r="H1626" s="234" t="s">
        <v>1233</v>
      </c>
      <c r="I1626" s="313" t="str">
        <f t="shared" si="168"/>
        <v>04304L5550</v>
      </c>
      <c r="J1626" s="30" t="str">
        <f t="shared" si="169"/>
        <v>620050304304L5550244</v>
      </c>
    </row>
    <row r="1627" spans="1:10" s="3" customFormat="1" ht="25.5">
      <c r="A1627" s="232" t="s">
        <v>757</v>
      </c>
      <c r="B1627" s="242" t="s">
        <v>20</v>
      </c>
      <c r="C1627" s="242" t="s">
        <v>8</v>
      </c>
      <c r="D1627" s="242" t="s">
        <v>53</v>
      </c>
      <c r="E1627" s="242" t="s">
        <v>342</v>
      </c>
      <c r="F1627" s="242" t="s">
        <v>58</v>
      </c>
      <c r="G1627" s="284">
        <f t="shared" ref="G1627:G1630" si="173">G1628</f>
        <v>3761680</v>
      </c>
      <c r="H1627" s="242">
        <v>1700000000</v>
      </c>
      <c r="I1627" s="313" t="str">
        <f t="shared" si="168"/>
        <v>1700000000</v>
      </c>
      <c r="J1627" s="30" t="str">
        <f t="shared" si="169"/>
        <v>62005031700000000000</v>
      </c>
    </row>
    <row r="1628" spans="1:10" s="3" customFormat="1" ht="25.5">
      <c r="A1628" s="237" t="s">
        <v>758</v>
      </c>
      <c r="B1628" s="242" t="s">
        <v>20</v>
      </c>
      <c r="C1628" s="242" t="s">
        <v>8</v>
      </c>
      <c r="D1628" s="242" t="s">
        <v>53</v>
      </c>
      <c r="E1628" s="242" t="s">
        <v>343</v>
      </c>
      <c r="F1628" s="242" t="s">
        <v>58</v>
      </c>
      <c r="G1628" s="284">
        <f t="shared" si="173"/>
        <v>3761680</v>
      </c>
      <c r="H1628" s="242" t="s">
        <v>1207</v>
      </c>
      <c r="I1628" s="313" t="str">
        <f t="shared" si="168"/>
        <v>17Б0000000</v>
      </c>
      <c r="J1628" s="30" t="str">
        <f t="shared" si="169"/>
        <v>620050317Б0000000000</v>
      </c>
    </row>
    <row r="1629" spans="1:10" s="3" customFormat="1" ht="25.5">
      <c r="A1629" s="237" t="s">
        <v>528</v>
      </c>
      <c r="B1629" s="242" t="s">
        <v>20</v>
      </c>
      <c r="C1629" s="242" t="s">
        <v>8</v>
      </c>
      <c r="D1629" s="242" t="s">
        <v>53</v>
      </c>
      <c r="E1629" s="242" t="s">
        <v>529</v>
      </c>
      <c r="F1629" s="242" t="s">
        <v>58</v>
      </c>
      <c r="G1629" s="284">
        <f t="shared" si="173"/>
        <v>3761680</v>
      </c>
      <c r="H1629" s="242" t="s">
        <v>1234</v>
      </c>
      <c r="I1629" s="313" t="str">
        <f t="shared" si="168"/>
        <v>17Б0200000</v>
      </c>
      <c r="J1629" s="30" t="str">
        <f t="shared" si="169"/>
        <v>620050317Б0200000000</v>
      </c>
    </row>
    <row r="1630" spans="1:10" s="3" customFormat="1" ht="25.5">
      <c r="A1630" s="236" t="s">
        <v>174</v>
      </c>
      <c r="B1630" s="234" t="s">
        <v>20</v>
      </c>
      <c r="C1630" s="234" t="s">
        <v>8</v>
      </c>
      <c r="D1630" s="234" t="s">
        <v>53</v>
      </c>
      <c r="E1630" s="234" t="s">
        <v>530</v>
      </c>
      <c r="F1630" s="234" t="s">
        <v>58</v>
      </c>
      <c r="G1630" s="290">
        <f t="shared" si="173"/>
        <v>3761680</v>
      </c>
      <c r="H1630" s="234" t="s">
        <v>1235</v>
      </c>
      <c r="I1630" s="313" t="str">
        <f t="shared" si="168"/>
        <v>17Б0220490</v>
      </c>
      <c r="J1630" s="30" t="str">
        <f t="shared" si="169"/>
        <v>620050317Б0220490000</v>
      </c>
    </row>
    <row r="1631" spans="1:10" s="3" customFormat="1" ht="25.5">
      <c r="A1631" s="232" t="s">
        <v>108</v>
      </c>
      <c r="B1631" s="234" t="s">
        <v>20</v>
      </c>
      <c r="C1631" s="234" t="s">
        <v>8</v>
      </c>
      <c r="D1631" s="234" t="s">
        <v>53</v>
      </c>
      <c r="E1631" s="234" t="s">
        <v>530</v>
      </c>
      <c r="F1631" s="234" t="s">
        <v>116</v>
      </c>
      <c r="G1631" s="290">
        <f>G1632</f>
        <v>3761680</v>
      </c>
      <c r="H1631" s="234" t="s">
        <v>1235</v>
      </c>
      <c r="I1631" s="313" t="str">
        <f t="shared" si="168"/>
        <v>17Б0220490</v>
      </c>
      <c r="J1631" s="30" t="str">
        <f t="shared" si="169"/>
        <v>620050317Б0220490240</v>
      </c>
    </row>
    <row r="1632" spans="1:10" s="4" customFormat="1" ht="25.5">
      <c r="A1632" s="236" t="s">
        <v>973</v>
      </c>
      <c r="B1632" s="234" t="s">
        <v>20</v>
      </c>
      <c r="C1632" s="234" t="s">
        <v>8</v>
      </c>
      <c r="D1632" s="234" t="s">
        <v>53</v>
      </c>
      <c r="E1632" s="234" t="s">
        <v>530</v>
      </c>
      <c r="F1632" s="234" t="s">
        <v>1043</v>
      </c>
      <c r="G1632" s="235">
        <f>VLOOKUP(J1632,'исх АС БЮДЖЕТ'!$A$10:$H$568,6,0)</f>
        <v>3761680</v>
      </c>
      <c r="H1632" s="234" t="s">
        <v>1235</v>
      </c>
      <c r="I1632" s="313" t="str">
        <f t="shared" si="168"/>
        <v>17Б0220490</v>
      </c>
      <c r="J1632" s="30" t="str">
        <f t="shared" si="169"/>
        <v>620050317Б0220490244</v>
      </c>
    </row>
    <row r="1633" spans="1:10" s="4" customFormat="1" ht="25.5">
      <c r="A1633" s="232" t="s">
        <v>143</v>
      </c>
      <c r="B1633" s="234" t="s">
        <v>20</v>
      </c>
      <c r="C1633" s="234" t="s">
        <v>8</v>
      </c>
      <c r="D1633" s="234" t="s">
        <v>53</v>
      </c>
      <c r="E1633" s="234" t="s">
        <v>508</v>
      </c>
      <c r="F1633" s="234" t="s">
        <v>58</v>
      </c>
      <c r="G1633" s="311">
        <f t="shared" ref="G1633:G1636" si="174">G1634</f>
        <v>2467085</v>
      </c>
      <c r="H1633" s="234"/>
      <c r="I1633" s="313"/>
      <c r="J1633" s="30"/>
    </row>
    <row r="1634" spans="1:10" s="4" customFormat="1">
      <c r="A1634" s="232" t="s">
        <v>175</v>
      </c>
      <c r="B1634" s="234" t="s">
        <v>20</v>
      </c>
      <c r="C1634" s="234" t="s">
        <v>8</v>
      </c>
      <c r="D1634" s="234" t="s">
        <v>53</v>
      </c>
      <c r="E1634" s="234" t="s">
        <v>1156</v>
      </c>
      <c r="F1634" s="234" t="s">
        <v>58</v>
      </c>
      <c r="G1634" s="311">
        <f t="shared" si="174"/>
        <v>2467085</v>
      </c>
      <c r="H1634" s="234"/>
      <c r="I1634" s="313"/>
      <c r="J1634" s="30"/>
    </row>
    <row r="1635" spans="1:10" s="4" customFormat="1">
      <c r="A1635" s="248" t="s">
        <v>159</v>
      </c>
      <c r="B1635" s="234" t="s">
        <v>20</v>
      </c>
      <c r="C1635" s="234" t="s">
        <v>8</v>
      </c>
      <c r="D1635" s="234" t="s">
        <v>53</v>
      </c>
      <c r="E1635" s="234" t="s">
        <v>1509</v>
      </c>
      <c r="F1635" s="234" t="s">
        <v>58</v>
      </c>
      <c r="G1635" s="235">
        <f t="shared" si="174"/>
        <v>2467085</v>
      </c>
      <c r="H1635" s="234"/>
      <c r="I1635" s="313"/>
      <c r="J1635" s="30"/>
    </row>
    <row r="1636" spans="1:10" s="4" customFormat="1" ht="25.5">
      <c r="A1636" s="232" t="s">
        <v>108</v>
      </c>
      <c r="B1636" s="234" t="s">
        <v>20</v>
      </c>
      <c r="C1636" s="234" t="s">
        <v>8</v>
      </c>
      <c r="D1636" s="234" t="s">
        <v>53</v>
      </c>
      <c r="E1636" s="234" t="s">
        <v>1509</v>
      </c>
      <c r="F1636" s="234" t="s">
        <v>116</v>
      </c>
      <c r="G1636" s="235">
        <f t="shared" si="174"/>
        <v>2467085</v>
      </c>
      <c r="H1636" s="234"/>
      <c r="I1636" s="313"/>
      <c r="J1636" s="30"/>
    </row>
    <row r="1637" spans="1:10" s="4" customFormat="1" ht="26.25">
      <c r="A1637" s="293" t="s">
        <v>973</v>
      </c>
      <c r="B1637" s="234" t="s">
        <v>20</v>
      </c>
      <c r="C1637" s="234" t="s">
        <v>8</v>
      </c>
      <c r="D1637" s="234" t="s">
        <v>53</v>
      </c>
      <c r="E1637" s="234" t="s">
        <v>1509</v>
      </c>
      <c r="F1637" s="234" t="s">
        <v>1043</v>
      </c>
      <c r="G1637" s="235">
        <f>2467085</f>
        <v>2467085</v>
      </c>
      <c r="H1637" s="234"/>
      <c r="I1637" s="313"/>
      <c r="J1637" s="30"/>
    </row>
    <row r="1638" spans="1:10" s="4" customFormat="1" ht="25.5">
      <c r="A1638" s="232" t="s">
        <v>683</v>
      </c>
      <c r="B1638" s="234" t="s">
        <v>20</v>
      </c>
      <c r="C1638" s="234" t="s">
        <v>8</v>
      </c>
      <c r="D1638" s="234" t="s">
        <v>53</v>
      </c>
      <c r="E1638" s="234" t="s">
        <v>680</v>
      </c>
      <c r="F1638" s="233" t="s">
        <v>58</v>
      </c>
      <c r="G1638" s="289">
        <f>G1639</f>
        <v>1662409.06</v>
      </c>
      <c r="H1638" s="234">
        <v>9800000000</v>
      </c>
      <c r="I1638" s="313" t="str">
        <f t="shared" si="168"/>
        <v>9800000000</v>
      </c>
      <c r="J1638" s="30" t="str">
        <f t="shared" si="169"/>
        <v>62005039800000000000</v>
      </c>
    </row>
    <row r="1639" spans="1:10" s="4" customFormat="1" ht="38.25">
      <c r="A1639" s="232" t="s">
        <v>1120</v>
      </c>
      <c r="B1639" s="234" t="s">
        <v>20</v>
      </c>
      <c r="C1639" s="234" t="s">
        <v>8</v>
      </c>
      <c r="D1639" s="234" t="s">
        <v>53</v>
      </c>
      <c r="E1639" s="234" t="s">
        <v>1121</v>
      </c>
      <c r="F1639" s="233" t="s">
        <v>58</v>
      </c>
      <c r="G1639" s="289">
        <f>G1643+G1640+G1646+G1651</f>
        <v>1662409.06</v>
      </c>
      <c r="H1639" s="234">
        <v>9820000000</v>
      </c>
      <c r="I1639" s="313" t="str">
        <f t="shared" si="168"/>
        <v>9820000000</v>
      </c>
      <c r="J1639" s="30" t="str">
        <f t="shared" si="169"/>
        <v>62005039820000000000</v>
      </c>
    </row>
    <row r="1640" spans="1:10" s="4" customFormat="1">
      <c r="A1640" s="232" t="s">
        <v>897</v>
      </c>
      <c r="B1640" s="234" t="s">
        <v>20</v>
      </c>
      <c r="C1640" s="234" t="s">
        <v>8</v>
      </c>
      <c r="D1640" s="234" t="s">
        <v>53</v>
      </c>
      <c r="E1640" s="234" t="s">
        <v>1152</v>
      </c>
      <c r="F1640" s="234" t="s">
        <v>58</v>
      </c>
      <c r="G1640" s="289">
        <f>G1641</f>
        <v>145940.81</v>
      </c>
      <c r="H1640" s="234">
        <v>9820020280</v>
      </c>
      <c r="I1640" s="313" t="str">
        <f t="shared" si="168"/>
        <v>9820020280</v>
      </c>
      <c r="J1640" s="30" t="str">
        <f t="shared" si="169"/>
        <v>62005039820020280000</v>
      </c>
    </row>
    <row r="1641" spans="1:10" s="4" customFormat="1">
      <c r="A1641" s="232" t="s">
        <v>190</v>
      </c>
      <c r="B1641" s="234" t="s">
        <v>20</v>
      </c>
      <c r="C1641" s="234" t="s">
        <v>8</v>
      </c>
      <c r="D1641" s="234" t="s">
        <v>53</v>
      </c>
      <c r="E1641" s="234" t="s">
        <v>1152</v>
      </c>
      <c r="F1641" s="234" t="s">
        <v>103</v>
      </c>
      <c r="G1641" s="289">
        <f>G1642</f>
        <v>145940.81</v>
      </c>
      <c r="H1641" s="234">
        <v>9820020280</v>
      </c>
      <c r="I1641" s="313" t="str">
        <f t="shared" si="168"/>
        <v>9820020280</v>
      </c>
      <c r="J1641" s="30" t="str">
        <f t="shared" si="169"/>
        <v>62005039820020280410</v>
      </c>
    </row>
    <row r="1642" spans="1:10" s="4" customFormat="1" ht="25.5">
      <c r="A1642" s="236" t="s">
        <v>987</v>
      </c>
      <c r="B1642" s="234" t="s">
        <v>20</v>
      </c>
      <c r="C1642" s="234" t="s">
        <v>8</v>
      </c>
      <c r="D1642" s="234" t="s">
        <v>53</v>
      </c>
      <c r="E1642" s="234" t="s">
        <v>1152</v>
      </c>
      <c r="F1642" s="234" t="s">
        <v>1052</v>
      </c>
      <c r="G1642" s="235">
        <f>VLOOKUP(J1642,'исх АС БЮДЖЕТ'!$A$10:$H$568,6,0)</f>
        <v>145940.81</v>
      </c>
      <c r="H1642" s="234">
        <v>9820020280</v>
      </c>
      <c r="I1642" s="313" t="str">
        <f t="shared" si="168"/>
        <v>9820020280</v>
      </c>
      <c r="J1642" s="30" t="str">
        <f t="shared" si="169"/>
        <v>62005039820020280414</v>
      </c>
    </row>
    <row r="1643" spans="1:10" s="4" customFormat="1" ht="25.5">
      <c r="A1643" s="232" t="s">
        <v>905</v>
      </c>
      <c r="B1643" s="234" t="s">
        <v>20</v>
      </c>
      <c r="C1643" s="234" t="s">
        <v>8</v>
      </c>
      <c r="D1643" s="234" t="s">
        <v>53</v>
      </c>
      <c r="E1643" s="234" t="s">
        <v>1153</v>
      </c>
      <c r="F1643" s="234" t="s">
        <v>58</v>
      </c>
      <c r="G1643" s="289">
        <f>G1644</f>
        <v>190011.29</v>
      </c>
      <c r="H1643" s="234">
        <v>9820020290</v>
      </c>
      <c r="I1643" s="313" t="str">
        <f t="shared" ref="I1643:I1707" si="175">TEXT(H1643,"0000000000")</f>
        <v>9820020290</v>
      </c>
      <c r="J1643" s="30" t="str">
        <f t="shared" ref="J1643:J1707" si="176">CONCATENATE(B1643,C1643,D1643,I1643,F1643)</f>
        <v>62005039820020290000</v>
      </c>
    </row>
    <row r="1644" spans="1:10" s="4" customFormat="1" ht="25.5">
      <c r="A1644" s="232" t="s">
        <v>108</v>
      </c>
      <c r="B1644" s="234" t="s">
        <v>20</v>
      </c>
      <c r="C1644" s="234" t="s">
        <v>8</v>
      </c>
      <c r="D1644" s="234" t="s">
        <v>53</v>
      </c>
      <c r="E1644" s="234" t="s">
        <v>1153</v>
      </c>
      <c r="F1644" s="234" t="s">
        <v>116</v>
      </c>
      <c r="G1644" s="311">
        <f>G1645</f>
        <v>190011.29</v>
      </c>
      <c r="H1644" s="234">
        <v>9820020290</v>
      </c>
      <c r="I1644" s="313" t="str">
        <f t="shared" si="175"/>
        <v>9820020290</v>
      </c>
      <c r="J1644" s="30" t="str">
        <f t="shared" si="176"/>
        <v>62005039820020290240</v>
      </c>
    </row>
    <row r="1645" spans="1:10" s="4" customFormat="1" ht="25.5">
      <c r="A1645" s="236" t="s">
        <v>973</v>
      </c>
      <c r="B1645" s="234" t="s">
        <v>20</v>
      </c>
      <c r="C1645" s="234" t="s">
        <v>8</v>
      </c>
      <c r="D1645" s="234" t="s">
        <v>53</v>
      </c>
      <c r="E1645" s="234" t="s">
        <v>1153</v>
      </c>
      <c r="F1645" s="234" t="s">
        <v>1043</v>
      </c>
      <c r="G1645" s="235">
        <f>VLOOKUP(J1645,'исх АС БЮДЖЕТ'!$A$10:$H$568,6,0)</f>
        <v>190011.29</v>
      </c>
      <c r="H1645" s="234">
        <v>9820020290</v>
      </c>
      <c r="I1645" s="313" t="str">
        <f t="shared" si="175"/>
        <v>9820020290</v>
      </c>
      <c r="J1645" s="30" t="str">
        <f t="shared" si="176"/>
        <v>62005039820020290244</v>
      </c>
    </row>
    <row r="1646" spans="1:10" s="4" customFormat="1">
      <c r="A1646" s="232" t="s">
        <v>158</v>
      </c>
      <c r="B1646" s="234" t="s">
        <v>20</v>
      </c>
      <c r="C1646" s="234" t="s">
        <v>8</v>
      </c>
      <c r="D1646" s="234" t="s">
        <v>53</v>
      </c>
      <c r="E1646" s="234" t="s">
        <v>1154</v>
      </c>
      <c r="F1646" s="234" t="s">
        <v>58</v>
      </c>
      <c r="G1646" s="289">
        <f>G1647+G1649</f>
        <v>1187585.96</v>
      </c>
      <c r="H1646" s="234">
        <v>9820020300</v>
      </c>
      <c r="I1646" s="313" t="str">
        <f t="shared" si="175"/>
        <v>9820020300</v>
      </c>
      <c r="J1646" s="30" t="str">
        <f t="shared" si="176"/>
        <v>62005039820020300000</v>
      </c>
    </row>
    <row r="1647" spans="1:10" s="4" customFormat="1" ht="25.5">
      <c r="A1647" s="232" t="s">
        <v>108</v>
      </c>
      <c r="B1647" s="234" t="s">
        <v>20</v>
      </c>
      <c r="C1647" s="234" t="s">
        <v>8</v>
      </c>
      <c r="D1647" s="234" t="s">
        <v>53</v>
      </c>
      <c r="E1647" s="234" t="s">
        <v>1154</v>
      </c>
      <c r="F1647" s="234" t="s">
        <v>116</v>
      </c>
      <c r="G1647" s="289">
        <f>G1648</f>
        <v>543651.97</v>
      </c>
      <c r="H1647" s="234">
        <v>9820020300</v>
      </c>
      <c r="I1647" s="313" t="str">
        <f t="shared" si="175"/>
        <v>9820020300</v>
      </c>
      <c r="J1647" s="30" t="str">
        <f t="shared" si="176"/>
        <v>62005039820020300240</v>
      </c>
    </row>
    <row r="1648" spans="1:10" s="4" customFormat="1" ht="25.5">
      <c r="A1648" s="236" t="s">
        <v>973</v>
      </c>
      <c r="B1648" s="234" t="s">
        <v>20</v>
      </c>
      <c r="C1648" s="234" t="s">
        <v>8</v>
      </c>
      <c r="D1648" s="234" t="s">
        <v>53</v>
      </c>
      <c r="E1648" s="234" t="s">
        <v>1154</v>
      </c>
      <c r="F1648" s="234" t="s">
        <v>1043</v>
      </c>
      <c r="G1648" s="235">
        <f>VLOOKUP(J1648,'исх АС БЮДЖЕТ'!$A$10:$H$568,6,0)</f>
        <v>543651.97</v>
      </c>
      <c r="H1648" s="234">
        <v>9820020300</v>
      </c>
      <c r="I1648" s="313" t="str">
        <f t="shared" si="175"/>
        <v>9820020300</v>
      </c>
      <c r="J1648" s="30" t="str">
        <f t="shared" si="176"/>
        <v>62005039820020300244</v>
      </c>
    </row>
    <row r="1649" spans="1:10" s="4" customFormat="1">
      <c r="A1649" s="232" t="s">
        <v>190</v>
      </c>
      <c r="B1649" s="234" t="s">
        <v>20</v>
      </c>
      <c r="C1649" s="234" t="s">
        <v>8</v>
      </c>
      <c r="D1649" s="234" t="s">
        <v>53</v>
      </c>
      <c r="E1649" s="234" t="s">
        <v>1154</v>
      </c>
      <c r="F1649" s="234" t="s">
        <v>103</v>
      </c>
      <c r="G1649" s="289">
        <f>G1650</f>
        <v>643933.99</v>
      </c>
      <c r="H1649" s="234">
        <v>9820020300</v>
      </c>
      <c r="I1649" s="313" t="str">
        <f t="shared" si="175"/>
        <v>9820020300</v>
      </c>
      <c r="J1649" s="30" t="str">
        <f t="shared" si="176"/>
        <v>62005039820020300410</v>
      </c>
    </row>
    <row r="1650" spans="1:10" s="4" customFormat="1" ht="25.5">
      <c r="A1650" s="236" t="s">
        <v>987</v>
      </c>
      <c r="B1650" s="234" t="s">
        <v>20</v>
      </c>
      <c r="C1650" s="234" t="s">
        <v>8</v>
      </c>
      <c r="D1650" s="234" t="s">
        <v>53</v>
      </c>
      <c r="E1650" s="234" t="s">
        <v>1154</v>
      </c>
      <c r="F1650" s="234" t="s">
        <v>1052</v>
      </c>
      <c r="G1650" s="235">
        <f>VLOOKUP(J1650,'исх АС БЮДЖЕТ'!$A$10:$H$568,6,0)</f>
        <v>643933.99</v>
      </c>
      <c r="H1650" s="234">
        <v>9820020300</v>
      </c>
      <c r="I1650" s="313" t="str">
        <f t="shared" si="175"/>
        <v>9820020300</v>
      </c>
      <c r="J1650" s="30" t="str">
        <f t="shared" si="176"/>
        <v>62005039820020300414</v>
      </c>
    </row>
    <row r="1651" spans="1:10" s="4" customFormat="1">
      <c r="A1651" s="248" t="s">
        <v>159</v>
      </c>
      <c r="B1651" s="234" t="s">
        <v>20</v>
      </c>
      <c r="C1651" s="234" t="s">
        <v>8</v>
      </c>
      <c r="D1651" s="234" t="s">
        <v>53</v>
      </c>
      <c r="E1651" s="234" t="s">
        <v>1155</v>
      </c>
      <c r="F1651" s="234" t="s">
        <v>58</v>
      </c>
      <c r="G1651" s="289">
        <f>G1652</f>
        <v>138871</v>
      </c>
      <c r="H1651" s="234">
        <v>9820020780</v>
      </c>
      <c r="I1651" s="313" t="str">
        <f t="shared" si="175"/>
        <v>9820020780</v>
      </c>
      <c r="J1651" s="30" t="str">
        <f t="shared" si="176"/>
        <v>62005039820020780000</v>
      </c>
    </row>
    <row r="1652" spans="1:10" s="4" customFormat="1" ht="25.5">
      <c r="A1652" s="232" t="s">
        <v>108</v>
      </c>
      <c r="B1652" s="234" t="s">
        <v>20</v>
      </c>
      <c r="C1652" s="234" t="s">
        <v>8</v>
      </c>
      <c r="D1652" s="234" t="s">
        <v>53</v>
      </c>
      <c r="E1652" s="234" t="s">
        <v>1155</v>
      </c>
      <c r="F1652" s="234" t="s">
        <v>116</v>
      </c>
      <c r="G1652" s="289">
        <f>G1653</f>
        <v>138871</v>
      </c>
      <c r="H1652" s="234">
        <v>9820020780</v>
      </c>
      <c r="I1652" s="313" t="str">
        <f t="shared" si="175"/>
        <v>9820020780</v>
      </c>
      <c r="J1652" s="30" t="str">
        <f t="shared" si="176"/>
        <v>62005039820020780240</v>
      </c>
    </row>
    <row r="1653" spans="1:10" s="4" customFormat="1" ht="25.5">
      <c r="A1653" s="236" t="s">
        <v>973</v>
      </c>
      <c r="B1653" s="234" t="s">
        <v>20</v>
      </c>
      <c r="C1653" s="234" t="s">
        <v>8</v>
      </c>
      <c r="D1653" s="234" t="s">
        <v>53</v>
      </c>
      <c r="E1653" s="234" t="s">
        <v>1155</v>
      </c>
      <c r="F1653" s="234" t="s">
        <v>1043</v>
      </c>
      <c r="G1653" s="235">
        <f>VLOOKUP(J1653,'исх АС БЮДЖЕТ'!$A$10:$H$568,6,0)</f>
        <v>138871</v>
      </c>
      <c r="H1653" s="234">
        <v>9820020780</v>
      </c>
      <c r="I1653" s="313" t="str">
        <f t="shared" si="175"/>
        <v>9820020780</v>
      </c>
      <c r="J1653" s="30" t="str">
        <f t="shared" si="176"/>
        <v>62005039820020780244</v>
      </c>
    </row>
    <row r="1654" spans="1:10" s="3" customFormat="1">
      <c r="A1654" s="228" t="s">
        <v>3</v>
      </c>
      <c r="B1654" s="229" t="s">
        <v>20</v>
      </c>
      <c r="C1654" s="230" t="s">
        <v>8</v>
      </c>
      <c r="D1654" s="230" t="s">
        <v>8</v>
      </c>
      <c r="E1654" s="230" t="s">
        <v>196</v>
      </c>
      <c r="F1654" s="230" t="s">
        <v>58</v>
      </c>
      <c r="G1654" s="231">
        <f>G1655+G1661</f>
        <v>56765384.149999999</v>
      </c>
      <c r="H1654" s="230">
        <v>0</v>
      </c>
      <c r="I1654" s="313" t="str">
        <f t="shared" si="175"/>
        <v>0000000000</v>
      </c>
      <c r="J1654" s="30" t="str">
        <f t="shared" si="176"/>
        <v>62005050000000000000</v>
      </c>
    </row>
    <row r="1655" spans="1:10" s="3" customFormat="1" ht="25.5">
      <c r="A1655" s="232" t="s">
        <v>736</v>
      </c>
      <c r="B1655" s="233" t="s">
        <v>20</v>
      </c>
      <c r="C1655" s="234" t="s">
        <v>8</v>
      </c>
      <c r="D1655" s="234" t="s">
        <v>8</v>
      </c>
      <c r="E1655" s="274" t="s">
        <v>737</v>
      </c>
      <c r="F1655" s="234" t="s">
        <v>58</v>
      </c>
      <c r="G1655" s="235">
        <f>G1656</f>
        <v>1100000</v>
      </c>
      <c r="H1655" s="274">
        <v>1900000000</v>
      </c>
      <c r="I1655" s="313" t="str">
        <f t="shared" si="175"/>
        <v>1900000000</v>
      </c>
      <c r="J1655" s="30" t="str">
        <f t="shared" si="176"/>
        <v>62005051900000000000</v>
      </c>
    </row>
    <row r="1656" spans="1:10" s="3" customFormat="1" ht="25.5">
      <c r="A1656" s="232" t="s">
        <v>764</v>
      </c>
      <c r="B1656" s="233" t="s">
        <v>20</v>
      </c>
      <c r="C1656" s="234" t="s">
        <v>8</v>
      </c>
      <c r="D1656" s="234" t="s">
        <v>8</v>
      </c>
      <c r="E1656" s="274" t="s">
        <v>762</v>
      </c>
      <c r="F1656" s="234" t="s">
        <v>58</v>
      </c>
      <c r="G1656" s="235">
        <f>G1657</f>
        <v>1100000</v>
      </c>
      <c r="H1656" s="274" t="s">
        <v>1236</v>
      </c>
      <c r="I1656" s="313" t="str">
        <f t="shared" si="175"/>
        <v>19Б0000000</v>
      </c>
      <c r="J1656" s="30" t="str">
        <f t="shared" si="176"/>
        <v>620050519Б0000000000</v>
      </c>
    </row>
    <row r="1657" spans="1:10" s="3" customFormat="1" ht="38.25">
      <c r="A1657" s="232" t="s">
        <v>861</v>
      </c>
      <c r="B1657" s="233" t="s">
        <v>20</v>
      </c>
      <c r="C1657" s="234" t="s">
        <v>8</v>
      </c>
      <c r="D1657" s="234" t="s">
        <v>8</v>
      </c>
      <c r="E1657" s="274" t="s">
        <v>738</v>
      </c>
      <c r="F1657" s="234" t="s">
        <v>58</v>
      </c>
      <c r="G1657" s="235">
        <f t="shared" ref="G1657" si="177">G1658</f>
        <v>1100000</v>
      </c>
      <c r="H1657" s="274" t="s">
        <v>1237</v>
      </c>
      <c r="I1657" s="313" t="str">
        <f t="shared" si="175"/>
        <v>19Б0100000</v>
      </c>
      <c r="J1657" s="30" t="str">
        <f t="shared" si="176"/>
        <v>620050519Б0100000000</v>
      </c>
    </row>
    <row r="1658" spans="1:10" s="3" customFormat="1" ht="25.5">
      <c r="A1658" s="232" t="s">
        <v>160</v>
      </c>
      <c r="B1658" s="233" t="s">
        <v>20</v>
      </c>
      <c r="C1658" s="234" t="s">
        <v>8</v>
      </c>
      <c r="D1658" s="234" t="s">
        <v>8</v>
      </c>
      <c r="E1658" s="274" t="s">
        <v>763</v>
      </c>
      <c r="F1658" s="234" t="s">
        <v>58</v>
      </c>
      <c r="G1658" s="235">
        <f>G1659</f>
        <v>1100000</v>
      </c>
      <c r="H1658" s="274" t="s">
        <v>1238</v>
      </c>
      <c r="I1658" s="313" t="str">
        <f t="shared" si="175"/>
        <v>19Б0109602</v>
      </c>
      <c r="J1658" s="30" t="str">
        <f t="shared" si="176"/>
        <v>620050519Б0109602000</v>
      </c>
    </row>
    <row r="1659" spans="1:10" s="3" customFormat="1" ht="25.5">
      <c r="A1659" s="232" t="s">
        <v>108</v>
      </c>
      <c r="B1659" s="233" t="s">
        <v>20</v>
      </c>
      <c r="C1659" s="234" t="s">
        <v>8</v>
      </c>
      <c r="D1659" s="234" t="s">
        <v>8</v>
      </c>
      <c r="E1659" s="274" t="s">
        <v>763</v>
      </c>
      <c r="F1659" s="234" t="s">
        <v>116</v>
      </c>
      <c r="G1659" s="289">
        <f>G1660</f>
        <v>1100000</v>
      </c>
      <c r="H1659" s="274" t="s">
        <v>1238</v>
      </c>
      <c r="I1659" s="313" t="str">
        <f t="shared" si="175"/>
        <v>19Б0109602</v>
      </c>
      <c r="J1659" s="30" t="str">
        <f t="shared" si="176"/>
        <v>620050519Б0109602240</v>
      </c>
    </row>
    <row r="1660" spans="1:10" s="4" customFormat="1" ht="25.5">
      <c r="A1660" s="236" t="s">
        <v>973</v>
      </c>
      <c r="B1660" s="233" t="s">
        <v>20</v>
      </c>
      <c r="C1660" s="234" t="s">
        <v>8</v>
      </c>
      <c r="D1660" s="234" t="s">
        <v>8</v>
      </c>
      <c r="E1660" s="274" t="s">
        <v>763</v>
      </c>
      <c r="F1660" s="234" t="s">
        <v>1043</v>
      </c>
      <c r="G1660" s="235">
        <f>VLOOKUP(J1660,'исх АС БЮДЖЕТ'!$A$10:$H$568,6,0)</f>
        <v>1100000</v>
      </c>
      <c r="H1660" s="274" t="s">
        <v>1238</v>
      </c>
      <c r="I1660" s="313" t="str">
        <f t="shared" si="175"/>
        <v>19Б0109602</v>
      </c>
      <c r="J1660" s="30" t="str">
        <f t="shared" si="176"/>
        <v>620050519Б0109602244</v>
      </c>
    </row>
    <row r="1661" spans="1:10" s="3" customFormat="1" ht="25.5">
      <c r="A1661" s="232" t="s">
        <v>143</v>
      </c>
      <c r="B1661" s="234" t="s">
        <v>20</v>
      </c>
      <c r="C1661" s="234" t="s">
        <v>8</v>
      </c>
      <c r="D1661" s="234" t="s">
        <v>8</v>
      </c>
      <c r="E1661" s="234" t="s">
        <v>508</v>
      </c>
      <c r="F1661" s="234" t="s">
        <v>58</v>
      </c>
      <c r="G1661" s="290">
        <f>G1662+G1677</f>
        <v>55665384.149999999</v>
      </c>
      <c r="H1661" s="234">
        <v>8300000000</v>
      </c>
      <c r="I1661" s="313" t="str">
        <f t="shared" si="175"/>
        <v>8300000000</v>
      </c>
      <c r="J1661" s="30" t="str">
        <f t="shared" si="176"/>
        <v>62005058300000000000</v>
      </c>
    </row>
    <row r="1662" spans="1:10" s="3" customFormat="1" ht="25.5">
      <c r="A1662" s="232" t="s">
        <v>144</v>
      </c>
      <c r="B1662" s="234" t="s">
        <v>20</v>
      </c>
      <c r="C1662" s="234" t="s">
        <v>8</v>
      </c>
      <c r="D1662" s="234" t="s">
        <v>8</v>
      </c>
      <c r="E1662" s="234" t="s">
        <v>509</v>
      </c>
      <c r="F1662" s="234" t="s">
        <v>58</v>
      </c>
      <c r="G1662" s="290">
        <f>G1663+G1673</f>
        <v>55630699.049999997</v>
      </c>
      <c r="H1662" s="234">
        <v>8310000000</v>
      </c>
      <c r="I1662" s="313" t="str">
        <f t="shared" si="175"/>
        <v>8310000000</v>
      </c>
      <c r="J1662" s="30" t="str">
        <f t="shared" si="176"/>
        <v>62005058310000000000</v>
      </c>
    </row>
    <row r="1663" spans="1:10" s="3" customFormat="1" ht="25.5">
      <c r="A1663" s="232" t="s">
        <v>114</v>
      </c>
      <c r="B1663" s="234" t="s">
        <v>20</v>
      </c>
      <c r="C1663" s="234" t="s">
        <v>8</v>
      </c>
      <c r="D1663" s="234" t="s">
        <v>8</v>
      </c>
      <c r="E1663" s="234" t="s">
        <v>531</v>
      </c>
      <c r="F1663" s="234" t="s">
        <v>58</v>
      </c>
      <c r="G1663" s="290">
        <f>G1664+G1667+G1669</f>
        <v>7184415.0499999998</v>
      </c>
      <c r="H1663" s="234">
        <v>8310010010</v>
      </c>
      <c r="I1663" s="313" t="str">
        <f t="shared" si="175"/>
        <v>8310010010</v>
      </c>
      <c r="J1663" s="30" t="str">
        <f t="shared" si="176"/>
        <v>62005058310010010000</v>
      </c>
    </row>
    <row r="1664" spans="1:10" s="3" customFormat="1">
      <c r="A1664" s="236" t="s">
        <v>107</v>
      </c>
      <c r="B1664" s="234" t="s">
        <v>20</v>
      </c>
      <c r="C1664" s="234" t="s">
        <v>8</v>
      </c>
      <c r="D1664" s="234" t="s">
        <v>8</v>
      </c>
      <c r="E1664" s="234" t="s">
        <v>531</v>
      </c>
      <c r="F1664" s="234" t="s">
        <v>115</v>
      </c>
      <c r="G1664" s="235">
        <f>SUM(G1665:G1666)</f>
        <v>1409900</v>
      </c>
      <c r="H1664" s="234">
        <v>8310010010</v>
      </c>
      <c r="I1664" s="313" t="str">
        <f t="shared" si="175"/>
        <v>8310010010</v>
      </c>
      <c r="J1664" s="30" t="str">
        <f t="shared" si="176"/>
        <v>62005058310010010120</v>
      </c>
    </row>
    <row r="1665" spans="1:10" s="4" customFormat="1" ht="25.5">
      <c r="A1665" s="236" t="s">
        <v>937</v>
      </c>
      <c r="B1665" s="234" t="s">
        <v>20</v>
      </c>
      <c r="C1665" s="234" t="s">
        <v>8</v>
      </c>
      <c r="D1665" s="234" t="s">
        <v>8</v>
      </c>
      <c r="E1665" s="234" t="s">
        <v>531</v>
      </c>
      <c r="F1665" s="234" t="s">
        <v>1059</v>
      </c>
      <c r="G1665" s="235">
        <f>VLOOKUP(J1665,'исх АС БЮДЖЕТ'!$A$10:$H$568,6,0)</f>
        <v>1082900</v>
      </c>
      <c r="H1665" s="234">
        <v>8310010010</v>
      </c>
      <c r="I1665" s="313" t="str">
        <f t="shared" si="175"/>
        <v>8310010010</v>
      </c>
      <c r="J1665" s="30" t="str">
        <f t="shared" si="176"/>
        <v>62005058310010010122</v>
      </c>
    </row>
    <row r="1666" spans="1:10" s="4" customFormat="1" ht="38.25">
      <c r="A1666" s="236" t="s">
        <v>939</v>
      </c>
      <c r="B1666" s="234" t="s">
        <v>20</v>
      </c>
      <c r="C1666" s="234" t="s">
        <v>8</v>
      </c>
      <c r="D1666" s="234" t="s">
        <v>8</v>
      </c>
      <c r="E1666" s="234" t="s">
        <v>531</v>
      </c>
      <c r="F1666" s="234" t="s">
        <v>1060</v>
      </c>
      <c r="G1666" s="235">
        <f>VLOOKUP(J1666,'исх АС БЮДЖЕТ'!$A$10:$H$568,6,0)</f>
        <v>327000</v>
      </c>
      <c r="H1666" s="234">
        <v>8310010010</v>
      </c>
      <c r="I1666" s="313" t="str">
        <f t="shared" si="175"/>
        <v>8310010010</v>
      </c>
      <c r="J1666" s="30" t="str">
        <f t="shared" si="176"/>
        <v>62005058310010010129</v>
      </c>
    </row>
    <row r="1667" spans="1:10" s="3" customFormat="1" ht="25.5">
      <c r="A1667" s="232" t="s">
        <v>108</v>
      </c>
      <c r="B1667" s="234" t="s">
        <v>20</v>
      </c>
      <c r="C1667" s="234" t="s">
        <v>8</v>
      </c>
      <c r="D1667" s="234" t="s">
        <v>8</v>
      </c>
      <c r="E1667" s="234" t="s">
        <v>531</v>
      </c>
      <c r="F1667" s="234" t="s">
        <v>116</v>
      </c>
      <c r="G1667" s="235">
        <f>G1668</f>
        <v>5665515.0499999998</v>
      </c>
      <c r="H1667" s="234">
        <v>8310010010</v>
      </c>
      <c r="I1667" s="313" t="str">
        <f t="shared" si="175"/>
        <v>8310010010</v>
      </c>
      <c r="J1667" s="30" t="str">
        <f t="shared" si="176"/>
        <v>62005058310010010240</v>
      </c>
    </row>
    <row r="1668" spans="1:10" s="4" customFormat="1" ht="25.5">
      <c r="A1668" s="236" t="s">
        <v>973</v>
      </c>
      <c r="B1668" s="234" t="s">
        <v>20</v>
      </c>
      <c r="C1668" s="234" t="s">
        <v>8</v>
      </c>
      <c r="D1668" s="234" t="s">
        <v>8</v>
      </c>
      <c r="E1668" s="234" t="s">
        <v>531</v>
      </c>
      <c r="F1668" s="234" t="s">
        <v>1043</v>
      </c>
      <c r="G1668" s="235">
        <f>VLOOKUP(J1668,'исх АС БЮДЖЕТ'!$A$10:$H$568,6,0)</f>
        <v>5665515.0499999998</v>
      </c>
      <c r="H1668" s="234">
        <v>8310010010</v>
      </c>
      <c r="I1668" s="313" t="str">
        <f t="shared" si="175"/>
        <v>8310010010</v>
      </c>
      <c r="J1668" s="30" t="str">
        <f t="shared" si="176"/>
        <v>62005058310010010244</v>
      </c>
    </row>
    <row r="1669" spans="1:10" s="3" customFormat="1">
      <c r="A1669" s="232" t="s">
        <v>97</v>
      </c>
      <c r="B1669" s="234" t="s">
        <v>20</v>
      </c>
      <c r="C1669" s="234" t="s">
        <v>8</v>
      </c>
      <c r="D1669" s="234" t="s">
        <v>8</v>
      </c>
      <c r="E1669" s="234" t="s">
        <v>531</v>
      </c>
      <c r="F1669" s="234" t="s">
        <v>118</v>
      </c>
      <c r="G1669" s="235">
        <f>SUM(G1670:G1672)</f>
        <v>109000</v>
      </c>
      <c r="H1669" s="234">
        <v>8310010010</v>
      </c>
      <c r="I1669" s="313" t="str">
        <f t="shared" si="175"/>
        <v>8310010010</v>
      </c>
      <c r="J1669" s="30" t="str">
        <f t="shared" si="176"/>
        <v>62005058310010010850</v>
      </c>
    </row>
    <row r="1670" spans="1:10" s="4" customFormat="1">
      <c r="A1670" s="236" t="s">
        <v>1036</v>
      </c>
      <c r="B1670" s="234" t="s">
        <v>20</v>
      </c>
      <c r="C1670" s="234" t="s">
        <v>8</v>
      </c>
      <c r="D1670" s="234" t="s">
        <v>8</v>
      </c>
      <c r="E1670" s="234" t="s">
        <v>531</v>
      </c>
      <c r="F1670" s="234" t="s">
        <v>1061</v>
      </c>
      <c r="G1670" s="235">
        <f>VLOOKUP(J1670,'исх АС БЮДЖЕТ'!$A$10:$H$568,6,0)</f>
        <v>69000</v>
      </c>
      <c r="H1670" s="234">
        <v>8310010010</v>
      </c>
      <c r="I1670" s="313" t="str">
        <f t="shared" si="175"/>
        <v>8310010010</v>
      </c>
      <c r="J1670" s="30" t="str">
        <f t="shared" si="176"/>
        <v>62005058310010010851</v>
      </c>
    </row>
    <row r="1671" spans="1:10" s="4" customFormat="1">
      <c r="A1671" s="236" t="s">
        <v>1037</v>
      </c>
      <c r="B1671" s="234" t="s">
        <v>20</v>
      </c>
      <c r="C1671" s="234" t="s">
        <v>8</v>
      </c>
      <c r="D1671" s="234" t="s">
        <v>8</v>
      </c>
      <c r="E1671" s="234" t="s">
        <v>531</v>
      </c>
      <c r="F1671" s="234" t="s">
        <v>1062</v>
      </c>
      <c r="G1671" s="235">
        <f>VLOOKUP(J1671,'исх АС БЮДЖЕТ'!$A$10:$H$568,6,0)</f>
        <v>33999.699999999997</v>
      </c>
      <c r="H1671" s="234">
        <v>8310010010</v>
      </c>
      <c r="I1671" s="313" t="str">
        <f t="shared" si="175"/>
        <v>8310010010</v>
      </c>
      <c r="J1671" s="30" t="str">
        <f t="shared" si="176"/>
        <v>62005058310010010852</v>
      </c>
    </row>
    <row r="1672" spans="1:10" s="4" customFormat="1">
      <c r="A1672" s="232" t="s">
        <v>1038</v>
      </c>
      <c r="B1672" s="234" t="s">
        <v>20</v>
      </c>
      <c r="C1672" s="234" t="s">
        <v>8</v>
      </c>
      <c r="D1672" s="234" t="s">
        <v>8</v>
      </c>
      <c r="E1672" s="234" t="s">
        <v>531</v>
      </c>
      <c r="F1672" s="234" t="s">
        <v>1066</v>
      </c>
      <c r="G1672" s="235">
        <f>VLOOKUP(J1672,'исх АС БЮДЖЕТ'!$A$10:$H$568,6,0)</f>
        <v>6000.3</v>
      </c>
      <c r="H1672" s="234">
        <v>8310010010</v>
      </c>
      <c r="I1672" s="313" t="str">
        <f t="shared" ref="I1672" si="178">TEXT(H1672,"0000000000")</f>
        <v>8310010010</v>
      </c>
      <c r="J1672" s="30" t="str">
        <f t="shared" si="176"/>
        <v>62005058310010010853</v>
      </c>
    </row>
    <row r="1673" spans="1:10" s="3" customFormat="1" ht="25.5">
      <c r="A1673" s="232" t="s">
        <v>126</v>
      </c>
      <c r="B1673" s="234" t="s">
        <v>20</v>
      </c>
      <c r="C1673" s="234" t="s">
        <v>8</v>
      </c>
      <c r="D1673" s="234" t="s">
        <v>8</v>
      </c>
      <c r="E1673" s="234" t="s">
        <v>532</v>
      </c>
      <c r="F1673" s="234" t="s">
        <v>58</v>
      </c>
      <c r="G1673" s="235">
        <f>G1674</f>
        <v>48446284</v>
      </c>
      <c r="H1673" s="234">
        <v>8310010020</v>
      </c>
      <c r="I1673" s="313" t="str">
        <f t="shared" si="175"/>
        <v>8310010020</v>
      </c>
      <c r="J1673" s="30" t="str">
        <f t="shared" si="176"/>
        <v>62005058310010020000</v>
      </c>
    </row>
    <row r="1674" spans="1:10" s="3" customFormat="1">
      <c r="A1674" s="236" t="s">
        <v>107</v>
      </c>
      <c r="B1674" s="234" t="s">
        <v>20</v>
      </c>
      <c r="C1674" s="234" t="s">
        <v>8</v>
      </c>
      <c r="D1674" s="234" t="s">
        <v>8</v>
      </c>
      <c r="E1674" s="234" t="s">
        <v>532</v>
      </c>
      <c r="F1674" s="234" t="s">
        <v>115</v>
      </c>
      <c r="G1674" s="235">
        <f>SUM(G1675:G1676)</f>
        <v>48446284</v>
      </c>
      <c r="H1674" s="234">
        <v>8310010020</v>
      </c>
      <c r="I1674" s="313" t="str">
        <f t="shared" si="175"/>
        <v>8310010020</v>
      </c>
      <c r="J1674" s="30" t="str">
        <f t="shared" si="176"/>
        <v>62005058310010020120</v>
      </c>
    </row>
    <row r="1675" spans="1:10" s="4" customFormat="1">
      <c r="A1675" s="236" t="s">
        <v>936</v>
      </c>
      <c r="B1675" s="234" t="s">
        <v>20</v>
      </c>
      <c r="C1675" s="234" t="s">
        <v>8</v>
      </c>
      <c r="D1675" s="234" t="s">
        <v>8</v>
      </c>
      <c r="E1675" s="234" t="s">
        <v>532</v>
      </c>
      <c r="F1675" s="234" t="s">
        <v>1063</v>
      </c>
      <c r="G1675" s="235">
        <f>VLOOKUP(J1675,'исх АС БЮДЖЕТ'!$A$10:$H$568,6,0)</f>
        <v>37631920</v>
      </c>
      <c r="H1675" s="234">
        <v>8310010020</v>
      </c>
      <c r="I1675" s="313" t="str">
        <f t="shared" si="175"/>
        <v>8310010020</v>
      </c>
      <c r="J1675" s="30" t="str">
        <f t="shared" si="176"/>
        <v>62005058310010020121</v>
      </c>
    </row>
    <row r="1676" spans="1:10" s="4" customFormat="1" ht="38.25">
      <c r="A1676" s="236" t="s">
        <v>939</v>
      </c>
      <c r="B1676" s="234" t="s">
        <v>20</v>
      </c>
      <c r="C1676" s="234" t="s">
        <v>8</v>
      </c>
      <c r="D1676" s="234" t="s">
        <v>8</v>
      </c>
      <c r="E1676" s="234" t="s">
        <v>532</v>
      </c>
      <c r="F1676" s="234" t="s">
        <v>1060</v>
      </c>
      <c r="G1676" s="235">
        <f>VLOOKUP(J1676,'исх АС БЮДЖЕТ'!$A$10:$H$568,6,0)</f>
        <v>10814364</v>
      </c>
      <c r="H1676" s="234">
        <v>8310010020</v>
      </c>
      <c r="I1676" s="313" t="str">
        <f t="shared" si="175"/>
        <v>8310010020</v>
      </c>
      <c r="J1676" s="30" t="str">
        <f t="shared" si="176"/>
        <v>62005058310010020129</v>
      </c>
    </row>
    <row r="1677" spans="1:10" s="4" customFormat="1">
      <c r="A1677" s="232" t="s">
        <v>175</v>
      </c>
      <c r="B1677" s="234" t="s">
        <v>20</v>
      </c>
      <c r="C1677" s="234" t="s">
        <v>8</v>
      </c>
      <c r="D1677" s="234" t="s">
        <v>8</v>
      </c>
      <c r="E1677" s="234" t="s">
        <v>1156</v>
      </c>
      <c r="F1677" s="234" t="s">
        <v>58</v>
      </c>
      <c r="G1677" s="235">
        <f>G1678+G1681</f>
        <v>34685.1</v>
      </c>
      <c r="H1677" s="234">
        <v>8320000000</v>
      </c>
      <c r="I1677" s="313" t="str">
        <f t="shared" si="175"/>
        <v>8320000000</v>
      </c>
      <c r="J1677" s="30" t="str">
        <f t="shared" si="176"/>
        <v>62005058320000000000</v>
      </c>
    </row>
    <row r="1678" spans="1:10" s="4" customFormat="1" ht="38.25">
      <c r="A1678" s="232" t="s">
        <v>1157</v>
      </c>
      <c r="B1678" s="234" t="s">
        <v>20</v>
      </c>
      <c r="C1678" s="234" t="s">
        <v>8</v>
      </c>
      <c r="D1678" s="234" t="s">
        <v>8</v>
      </c>
      <c r="E1678" s="234" t="s">
        <v>1158</v>
      </c>
      <c r="F1678" s="234" t="s">
        <v>58</v>
      </c>
      <c r="G1678" s="235">
        <f>G1679</f>
        <v>19014.84</v>
      </c>
      <c r="H1678" s="234">
        <v>8320020950</v>
      </c>
      <c r="I1678" s="313" t="str">
        <f t="shared" si="175"/>
        <v>8320020950</v>
      </c>
      <c r="J1678" s="30" t="str">
        <f t="shared" si="176"/>
        <v>62005058320020950000</v>
      </c>
    </row>
    <row r="1679" spans="1:10" s="4" customFormat="1" ht="25.5">
      <c r="A1679" s="232" t="s">
        <v>108</v>
      </c>
      <c r="B1679" s="234" t="s">
        <v>20</v>
      </c>
      <c r="C1679" s="234" t="s">
        <v>8</v>
      </c>
      <c r="D1679" s="234" t="s">
        <v>8</v>
      </c>
      <c r="E1679" s="234" t="s">
        <v>1158</v>
      </c>
      <c r="F1679" s="234" t="s">
        <v>116</v>
      </c>
      <c r="G1679" s="235">
        <f>G1680</f>
        <v>19014.84</v>
      </c>
      <c r="H1679" s="234">
        <v>8320020950</v>
      </c>
      <c r="I1679" s="313" t="str">
        <f t="shared" si="175"/>
        <v>8320020950</v>
      </c>
      <c r="J1679" s="30" t="str">
        <f t="shared" si="176"/>
        <v>62005058320020950240</v>
      </c>
    </row>
    <row r="1680" spans="1:10" s="4" customFormat="1" ht="25.5">
      <c r="A1680" s="236" t="s">
        <v>973</v>
      </c>
      <c r="B1680" s="234" t="s">
        <v>20</v>
      </c>
      <c r="C1680" s="234" t="s">
        <v>8</v>
      </c>
      <c r="D1680" s="234" t="s">
        <v>8</v>
      </c>
      <c r="E1680" s="234" t="s">
        <v>1158</v>
      </c>
      <c r="F1680" s="234" t="s">
        <v>1043</v>
      </c>
      <c r="G1680" s="235">
        <f>VLOOKUP(J1680,'исх АС БЮДЖЕТ'!$A$10:$H$568,6,0)</f>
        <v>19014.84</v>
      </c>
      <c r="H1680" s="234">
        <v>8320020950</v>
      </c>
      <c r="I1680" s="313" t="str">
        <f t="shared" si="175"/>
        <v>8320020950</v>
      </c>
      <c r="J1680" s="30" t="str">
        <f t="shared" si="176"/>
        <v>62005058320020950244</v>
      </c>
    </row>
    <row r="1681" spans="1:10" s="4" customFormat="1" ht="63.75">
      <c r="A1681" s="232" t="s">
        <v>1159</v>
      </c>
      <c r="B1681" s="234" t="s">
        <v>20</v>
      </c>
      <c r="C1681" s="234" t="s">
        <v>8</v>
      </c>
      <c r="D1681" s="234" t="s">
        <v>8</v>
      </c>
      <c r="E1681" s="234" t="s">
        <v>1160</v>
      </c>
      <c r="F1681" s="234" t="s">
        <v>58</v>
      </c>
      <c r="G1681" s="311">
        <f>G1682</f>
        <v>15670.26</v>
      </c>
      <c r="H1681" s="234">
        <v>8320021120</v>
      </c>
      <c r="I1681" s="313" t="str">
        <f t="shared" si="175"/>
        <v>8320021120</v>
      </c>
      <c r="J1681" s="30" t="str">
        <f t="shared" si="176"/>
        <v>62005058320021120000</v>
      </c>
    </row>
    <row r="1682" spans="1:10" s="4" customFormat="1" ht="25.5">
      <c r="A1682" s="232" t="s">
        <v>108</v>
      </c>
      <c r="B1682" s="234" t="s">
        <v>20</v>
      </c>
      <c r="C1682" s="234" t="s">
        <v>8</v>
      </c>
      <c r="D1682" s="234" t="s">
        <v>8</v>
      </c>
      <c r="E1682" s="234" t="s">
        <v>1160</v>
      </c>
      <c r="F1682" s="234" t="s">
        <v>116</v>
      </c>
      <c r="G1682" s="311">
        <f>G1683</f>
        <v>15670.26</v>
      </c>
      <c r="H1682" s="234">
        <v>8320021120</v>
      </c>
      <c r="I1682" s="313" t="str">
        <f t="shared" si="175"/>
        <v>8320021120</v>
      </c>
      <c r="J1682" s="30" t="str">
        <f t="shared" si="176"/>
        <v>62005058320021120240</v>
      </c>
    </row>
    <row r="1683" spans="1:10" s="4" customFormat="1" ht="25.5">
      <c r="A1683" s="236" t="s">
        <v>973</v>
      </c>
      <c r="B1683" s="234" t="s">
        <v>20</v>
      </c>
      <c r="C1683" s="234" t="s">
        <v>8</v>
      </c>
      <c r="D1683" s="234" t="s">
        <v>8</v>
      </c>
      <c r="E1683" s="234" t="s">
        <v>1160</v>
      </c>
      <c r="F1683" s="234" t="s">
        <v>1043</v>
      </c>
      <c r="G1683" s="235">
        <f>VLOOKUP(J1683,'исх АС БЮДЖЕТ'!$A$10:$H$568,6,0)</f>
        <v>15670.26</v>
      </c>
      <c r="H1683" s="234">
        <v>8320021120</v>
      </c>
      <c r="I1683" s="313" t="str">
        <f t="shared" si="175"/>
        <v>8320021120</v>
      </c>
      <c r="J1683" s="30" t="str">
        <f t="shared" si="176"/>
        <v>62005058320021120244</v>
      </c>
    </row>
    <row r="1684" spans="1:10" s="3" customFormat="1">
      <c r="A1684" s="224" t="s">
        <v>49</v>
      </c>
      <c r="B1684" s="225" t="s">
        <v>20</v>
      </c>
      <c r="C1684" s="226" t="s">
        <v>14</v>
      </c>
      <c r="D1684" s="226" t="s">
        <v>51</v>
      </c>
      <c r="E1684" s="226" t="s">
        <v>196</v>
      </c>
      <c r="F1684" s="226" t="s">
        <v>58</v>
      </c>
      <c r="G1684" s="227">
        <f>G1685</f>
        <v>34699050.479999997</v>
      </c>
      <c r="H1684" s="226">
        <v>0</v>
      </c>
      <c r="I1684" s="313" t="str">
        <f t="shared" si="175"/>
        <v>0000000000</v>
      </c>
      <c r="J1684" s="30" t="str">
        <f t="shared" si="176"/>
        <v>62010000000000000000</v>
      </c>
    </row>
    <row r="1685" spans="1:10" s="3" customFormat="1">
      <c r="A1685" s="228" t="s">
        <v>63</v>
      </c>
      <c r="B1685" s="229" t="s">
        <v>20</v>
      </c>
      <c r="C1685" s="230">
        <v>10</v>
      </c>
      <c r="D1685" s="230" t="s">
        <v>53</v>
      </c>
      <c r="E1685" s="230" t="s">
        <v>196</v>
      </c>
      <c r="F1685" s="230" t="s">
        <v>58</v>
      </c>
      <c r="G1685" s="231">
        <f>G1686+G1696+G1702</f>
        <v>34699050.479999997</v>
      </c>
      <c r="H1685" s="230">
        <v>0</v>
      </c>
      <c r="I1685" s="313" t="str">
        <f t="shared" si="175"/>
        <v>0000000000</v>
      </c>
      <c r="J1685" s="30" t="str">
        <f t="shared" si="176"/>
        <v>62010030000000000000</v>
      </c>
    </row>
    <row r="1686" spans="1:10" s="3" customFormat="1">
      <c r="A1686" s="248" t="s">
        <v>727</v>
      </c>
      <c r="B1686" s="242" t="s">
        <v>20</v>
      </c>
      <c r="C1686" s="242">
        <v>10</v>
      </c>
      <c r="D1686" s="242" t="s">
        <v>53</v>
      </c>
      <c r="E1686" s="242" t="s">
        <v>327</v>
      </c>
      <c r="F1686" s="242" t="s">
        <v>58</v>
      </c>
      <c r="G1686" s="243">
        <f>G1687</f>
        <v>31519230</v>
      </c>
      <c r="H1686" s="242">
        <v>300000000</v>
      </c>
      <c r="I1686" s="313" t="str">
        <f t="shared" si="175"/>
        <v>0300000000</v>
      </c>
      <c r="J1686" s="30" t="str">
        <f t="shared" si="176"/>
        <v>62010030300000000000</v>
      </c>
    </row>
    <row r="1687" spans="1:10" s="3" customFormat="1" ht="38.25">
      <c r="A1687" s="248" t="s">
        <v>842</v>
      </c>
      <c r="B1687" s="242" t="s">
        <v>20</v>
      </c>
      <c r="C1687" s="242">
        <v>10</v>
      </c>
      <c r="D1687" s="242" t="s">
        <v>53</v>
      </c>
      <c r="E1687" s="242" t="s">
        <v>328</v>
      </c>
      <c r="F1687" s="242" t="s">
        <v>58</v>
      </c>
      <c r="G1687" s="243">
        <f>G1688+G1692</f>
        <v>31519230</v>
      </c>
      <c r="H1687" s="242">
        <v>320000000</v>
      </c>
      <c r="I1687" s="313" t="str">
        <f t="shared" si="175"/>
        <v>0320000000</v>
      </c>
      <c r="J1687" s="30" t="str">
        <f t="shared" si="176"/>
        <v>62010030320000000000</v>
      </c>
    </row>
    <row r="1688" spans="1:10" s="3" customFormat="1" ht="38.25">
      <c r="A1688" s="237" t="s">
        <v>638</v>
      </c>
      <c r="B1688" s="242" t="s">
        <v>20</v>
      </c>
      <c r="C1688" s="242">
        <v>10</v>
      </c>
      <c r="D1688" s="242" t="s">
        <v>53</v>
      </c>
      <c r="E1688" s="242" t="s">
        <v>634</v>
      </c>
      <c r="F1688" s="242" t="s">
        <v>58</v>
      </c>
      <c r="G1688" s="243">
        <f t="shared" ref="G1688:G1689" si="179">G1689</f>
        <v>2757000</v>
      </c>
      <c r="H1688" s="242">
        <v>320300000</v>
      </c>
      <c r="I1688" s="313" t="str">
        <f t="shared" si="175"/>
        <v>0320300000</v>
      </c>
      <c r="J1688" s="30" t="str">
        <f t="shared" si="176"/>
        <v>62010030320300000000</v>
      </c>
    </row>
    <row r="1689" spans="1:10" s="3" customFormat="1" ht="38.25">
      <c r="A1689" s="232" t="s">
        <v>533</v>
      </c>
      <c r="B1689" s="234" t="s">
        <v>20</v>
      </c>
      <c r="C1689" s="234">
        <v>10</v>
      </c>
      <c r="D1689" s="234" t="s">
        <v>53</v>
      </c>
      <c r="E1689" s="234" t="s">
        <v>639</v>
      </c>
      <c r="F1689" s="234" t="s">
        <v>58</v>
      </c>
      <c r="G1689" s="235">
        <f t="shared" si="179"/>
        <v>2757000</v>
      </c>
      <c r="H1689" s="234">
        <v>320380020</v>
      </c>
      <c r="I1689" s="313" t="str">
        <f t="shared" si="175"/>
        <v>0320380020</v>
      </c>
      <c r="J1689" s="30" t="str">
        <f t="shared" si="176"/>
        <v>62010030320380020000</v>
      </c>
    </row>
    <row r="1690" spans="1:10" s="3" customFormat="1" ht="38.25">
      <c r="A1690" s="232" t="s">
        <v>561</v>
      </c>
      <c r="B1690" s="234" t="s">
        <v>20</v>
      </c>
      <c r="C1690" s="234">
        <v>10</v>
      </c>
      <c r="D1690" s="234" t="s">
        <v>53</v>
      </c>
      <c r="E1690" s="234" t="s">
        <v>639</v>
      </c>
      <c r="F1690" s="234" t="s">
        <v>101</v>
      </c>
      <c r="G1690" s="235">
        <f>G1691</f>
        <v>2757000</v>
      </c>
      <c r="H1690" s="234">
        <v>320380020</v>
      </c>
      <c r="I1690" s="313" t="str">
        <f t="shared" si="175"/>
        <v>0320380020</v>
      </c>
      <c r="J1690" s="30" t="str">
        <f t="shared" si="176"/>
        <v>62010030320380020810</v>
      </c>
    </row>
    <row r="1691" spans="1:10" s="4" customFormat="1" ht="38.25">
      <c r="A1691" s="236" t="s">
        <v>1047</v>
      </c>
      <c r="B1691" s="234" t="s">
        <v>20</v>
      </c>
      <c r="C1691" s="234">
        <v>10</v>
      </c>
      <c r="D1691" s="234" t="s">
        <v>53</v>
      </c>
      <c r="E1691" s="234" t="s">
        <v>639</v>
      </c>
      <c r="F1691" s="234" t="s">
        <v>1050</v>
      </c>
      <c r="G1691" s="235">
        <f>VLOOKUP(J1691,'исх АС БЮДЖЕТ'!$A$10:$H$568,6,0)</f>
        <v>2757000</v>
      </c>
      <c r="H1691" s="234">
        <v>320380020</v>
      </c>
      <c r="I1691" s="313" t="str">
        <f t="shared" si="175"/>
        <v>0320380020</v>
      </c>
      <c r="J1691" s="30" t="str">
        <f t="shared" si="176"/>
        <v>62010030320380020811</v>
      </c>
    </row>
    <row r="1692" spans="1:10" s="3" customFormat="1" ht="38.25">
      <c r="A1692" s="237" t="s">
        <v>641</v>
      </c>
      <c r="B1692" s="242" t="s">
        <v>20</v>
      </c>
      <c r="C1692" s="242">
        <v>10</v>
      </c>
      <c r="D1692" s="242" t="s">
        <v>53</v>
      </c>
      <c r="E1692" s="242" t="s">
        <v>637</v>
      </c>
      <c r="F1692" s="242" t="s">
        <v>58</v>
      </c>
      <c r="G1692" s="243">
        <f t="shared" ref="G1692:G1693" si="180">G1693</f>
        <v>28762230</v>
      </c>
      <c r="H1692" s="242">
        <v>320400000</v>
      </c>
      <c r="I1692" s="313" t="str">
        <f t="shared" si="175"/>
        <v>0320400000</v>
      </c>
      <c r="J1692" s="30" t="str">
        <f t="shared" si="176"/>
        <v>62010030320400000000</v>
      </c>
    </row>
    <row r="1693" spans="1:10" s="3" customFormat="1" ht="38.25">
      <c r="A1693" s="232" t="s">
        <v>534</v>
      </c>
      <c r="B1693" s="234" t="s">
        <v>20</v>
      </c>
      <c r="C1693" s="234">
        <v>10</v>
      </c>
      <c r="D1693" s="234" t="s">
        <v>53</v>
      </c>
      <c r="E1693" s="234" t="s">
        <v>640</v>
      </c>
      <c r="F1693" s="234" t="s">
        <v>58</v>
      </c>
      <c r="G1693" s="235">
        <f t="shared" si="180"/>
        <v>28762230</v>
      </c>
      <c r="H1693" s="234">
        <v>320480220</v>
      </c>
      <c r="I1693" s="313" t="str">
        <f t="shared" si="175"/>
        <v>0320480220</v>
      </c>
      <c r="J1693" s="30" t="str">
        <f t="shared" si="176"/>
        <v>62010030320480220000</v>
      </c>
    </row>
    <row r="1694" spans="1:10" s="3" customFormat="1" ht="38.25">
      <c r="A1694" s="232" t="s">
        <v>561</v>
      </c>
      <c r="B1694" s="234" t="s">
        <v>20</v>
      </c>
      <c r="C1694" s="234">
        <v>10</v>
      </c>
      <c r="D1694" s="234" t="s">
        <v>53</v>
      </c>
      <c r="E1694" s="234" t="s">
        <v>640</v>
      </c>
      <c r="F1694" s="234" t="s">
        <v>101</v>
      </c>
      <c r="G1694" s="235">
        <f>G1695</f>
        <v>28762230</v>
      </c>
      <c r="H1694" s="234">
        <v>320480220</v>
      </c>
      <c r="I1694" s="313" t="str">
        <f t="shared" si="175"/>
        <v>0320480220</v>
      </c>
      <c r="J1694" s="30" t="str">
        <f t="shared" si="176"/>
        <v>62010030320480220810</v>
      </c>
    </row>
    <row r="1695" spans="1:10" s="4" customFormat="1" ht="63.75">
      <c r="A1695" s="236" t="s">
        <v>1048</v>
      </c>
      <c r="B1695" s="234" t="s">
        <v>20</v>
      </c>
      <c r="C1695" s="234">
        <v>10</v>
      </c>
      <c r="D1695" s="234" t="s">
        <v>53</v>
      </c>
      <c r="E1695" s="234" t="s">
        <v>640</v>
      </c>
      <c r="F1695" s="234" t="s">
        <v>1051</v>
      </c>
      <c r="G1695" s="235">
        <f>VLOOKUP(J1695,'исх АС БЮДЖЕТ'!$A$10:$H$568,6,0)</f>
        <v>28762230</v>
      </c>
      <c r="H1695" s="234">
        <v>320480220</v>
      </c>
      <c r="I1695" s="313" t="str">
        <f t="shared" si="175"/>
        <v>0320480220</v>
      </c>
      <c r="J1695" s="30" t="str">
        <f t="shared" si="176"/>
        <v>62010030320480220812</v>
      </c>
    </row>
    <row r="1696" spans="1:10" s="3" customFormat="1" ht="25.5">
      <c r="A1696" s="232" t="s">
        <v>733</v>
      </c>
      <c r="B1696" s="242" t="s">
        <v>20</v>
      </c>
      <c r="C1696" s="242" t="s">
        <v>14</v>
      </c>
      <c r="D1696" s="242" t="s">
        <v>53</v>
      </c>
      <c r="E1696" s="242" t="s">
        <v>524</v>
      </c>
      <c r="F1696" s="242" t="s">
        <v>58</v>
      </c>
      <c r="G1696" s="243">
        <f t="shared" ref="G1696" si="181">G1697</f>
        <v>3160700</v>
      </c>
      <c r="H1696" s="242">
        <v>600000000</v>
      </c>
      <c r="I1696" s="313" t="str">
        <f t="shared" si="175"/>
        <v>0600000000</v>
      </c>
      <c r="J1696" s="30" t="str">
        <f t="shared" si="176"/>
        <v>62010030600000000000</v>
      </c>
    </row>
    <row r="1697" spans="1:10" s="3" customFormat="1" ht="25.5">
      <c r="A1697" s="237" t="s">
        <v>735</v>
      </c>
      <c r="B1697" s="242" t="s">
        <v>20</v>
      </c>
      <c r="C1697" s="242" t="s">
        <v>14</v>
      </c>
      <c r="D1697" s="242" t="s">
        <v>53</v>
      </c>
      <c r="E1697" s="242" t="s">
        <v>734</v>
      </c>
      <c r="F1697" s="242" t="s">
        <v>58</v>
      </c>
      <c r="G1697" s="243">
        <f>G1698</f>
        <v>3160700</v>
      </c>
      <c r="H1697" s="242" t="s">
        <v>1239</v>
      </c>
      <c r="I1697" s="313" t="str">
        <f t="shared" si="175"/>
        <v>06Б0000000</v>
      </c>
      <c r="J1697" s="30" t="str">
        <f t="shared" si="176"/>
        <v>620100306Б0000000000</v>
      </c>
    </row>
    <row r="1698" spans="1:10" s="3" customFormat="1">
      <c r="A1698" s="237" t="s">
        <v>535</v>
      </c>
      <c r="B1698" s="242" t="s">
        <v>20</v>
      </c>
      <c r="C1698" s="242" t="s">
        <v>14</v>
      </c>
      <c r="D1698" s="242" t="s">
        <v>53</v>
      </c>
      <c r="E1698" s="242" t="s">
        <v>761</v>
      </c>
      <c r="F1698" s="242" t="s">
        <v>58</v>
      </c>
      <c r="G1698" s="243">
        <f>G1699</f>
        <v>3160700</v>
      </c>
      <c r="H1698" s="242" t="s">
        <v>1240</v>
      </c>
      <c r="I1698" s="313" t="str">
        <f t="shared" si="175"/>
        <v>06Б0100000</v>
      </c>
      <c r="J1698" s="30" t="str">
        <f t="shared" si="176"/>
        <v>620100306Б0100000000</v>
      </c>
    </row>
    <row r="1699" spans="1:10" s="3" customFormat="1" ht="38.25">
      <c r="A1699" s="232" t="s">
        <v>898</v>
      </c>
      <c r="B1699" s="242" t="s">
        <v>20</v>
      </c>
      <c r="C1699" s="242" t="s">
        <v>14</v>
      </c>
      <c r="D1699" s="242" t="s">
        <v>53</v>
      </c>
      <c r="E1699" s="242" t="s">
        <v>769</v>
      </c>
      <c r="F1699" s="242" t="s">
        <v>58</v>
      </c>
      <c r="G1699" s="243">
        <f>G1700</f>
        <v>3160700</v>
      </c>
      <c r="H1699" s="242" t="s">
        <v>1241</v>
      </c>
      <c r="I1699" s="313" t="str">
        <f t="shared" si="175"/>
        <v>06Б01L0200</v>
      </c>
      <c r="J1699" s="30" t="str">
        <f t="shared" si="176"/>
        <v>620100306Б01L0200000</v>
      </c>
    </row>
    <row r="1700" spans="1:10" s="3" customFormat="1" ht="25.5">
      <c r="A1700" s="244" t="s">
        <v>110</v>
      </c>
      <c r="B1700" s="242" t="s">
        <v>20</v>
      </c>
      <c r="C1700" s="242" t="s">
        <v>14</v>
      </c>
      <c r="D1700" s="242" t="s">
        <v>53</v>
      </c>
      <c r="E1700" s="242" t="s">
        <v>769</v>
      </c>
      <c r="F1700" s="242" t="s">
        <v>117</v>
      </c>
      <c r="G1700" s="243">
        <f>G1701</f>
        <v>3160700</v>
      </c>
      <c r="H1700" s="242" t="s">
        <v>1241</v>
      </c>
      <c r="I1700" s="313" t="str">
        <f t="shared" si="175"/>
        <v>06Б01L0200</v>
      </c>
      <c r="J1700" s="30" t="str">
        <f t="shared" si="176"/>
        <v>620100306Б01L0200320</v>
      </c>
    </row>
    <row r="1701" spans="1:10" s="4" customFormat="1">
      <c r="A1701" s="236" t="s">
        <v>980</v>
      </c>
      <c r="B1701" s="242" t="s">
        <v>20</v>
      </c>
      <c r="C1701" s="242" t="s">
        <v>14</v>
      </c>
      <c r="D1701" s="242" t="s">
        <v>53</v>
      </c>
      <c r="E1701" s="242" t="s">
        <v>769</v>
      </c>
      <c r="F1701" s="242" t="s">
        <v>1053</v>
      </c>
      <c r="G1701" s="235">
        <f>VLOOKUP(J1701,'исх АС БЮДЖЕТ'!$A$10:$H$568,6,0)</f>
        <v>3160700</v>
      </c>
      <c r="H1701" s="242" t="s">
        <v>1241</v>
      </c>
      <c r="I1701" s="313" t="str">
        <f t="shared" si="175"/>
        <v>06Б01L0200</v>
      </c>
      <c r="J1701" s="30" t="str">
        <f t="shared" si="176"/>
        <v>620100306Б01L0200322</v>
      </c>
    </row>
    <row r="1702" spans="1:10" s="4" customFormat="1" ht="25.5">
      <c r="A1702" s="232" t="s">
        <v>683</v>
      </c>
      <c r="B1702" s="234" t="s">
        <v>20</v>
      </c>
      <c r="C1702" s="234" t="s">
        <v>14</v>
      </c>
      <c r="D1702" s="234" t="s">
        <v>53</v>
      </c>
      <c r="E1702" s="234" t="s">
        <v>680</v>
      </c>
      <c r="F1702" s="233" t="s">
        <v>58</v>
      </c>
      <c r="G1702" s="289">
        <f>G1703</f>
        <v>19120.48</v>
      </c>
      <c r="H1702" s="234">
        <v>9800000000</v>
      </c>
      <c r="I1702" s="313" t="str">
        <f t="shared" si="175"/>
        <v>9800000000</v>
      </c>
      <c r="J1702" s="30" t="str">
        <f t="shared" si="176"/>
        <v>62010039800000000000</v>
      </c>
    </row>
    <row r="1703" spans="1:10" s="4" customFormat="1" ht="38.25">
      <c r="A1703" s="232" t="s">
        <v>1120</v>
      </c>
      <c r="B1703" s="234" t="s">
        <v>20</v>
      </c>
      <c r="C1703" s="234" t="s">
        <v>14</v>
      </c>
      <c r="D1703" s="234" t="s">
        <v>53</v>
      </c>
      <c r="E1703" s="234" t="s">
        <v>1121</v>
      </c>
      <c r="F1703" s="233" t="s">
        <v>58</v>
      </c>
      <c r="G1703" s="289">
        <f>G1704</f>
        <v>19120.48</v>
      </c>
      <c r="H1703" s="234">
        <v>9820000000</v>
      </c>
      <c r="I1703" s="313" t="str">
        <f t="shared" si="175"/>
        <v>9820000000</v>
      </c>
      <c r="J1703" s="30" t="str">
        <f t="shared" si="176"/>
        <v>62010039820000000000</v>
      </c>
    </row>
    <row r="1704" spans="1:10" s="4" customFormat="1" ht="38.25">
      <c r="A1704" s="232" t="s">
        <v>533</v>
      </c>
      <c r="B1704" s="234" t="s">
        <v>20</v>
      </c>
      <c r="C1704" s="234">
        <v>10</v>
      </c>
      <c r="D1704" s="234" t="s">
        <v>53</v>
      </c>
      <c r="E1704" s="234" t="s">
        <v>1161</v>
      </c>
      <c r="F1704" s="234" t="s">
        <v>58</v>
      </c>
      <c r="G1704" s="235">
        <f t="shared" ref="G1704" si="182">G1705</f>
        <v>19120.48</v>
      </c>
      <c r="H1704" s="234">
        <v>9820080020</v>
      </c>
      <c r="I1704" s="313" t="str">
        <f t="shared" si="175"/>
        <v>9820080020</v>
      </c>
      <c r="J1704" s="30" t="str">
        <f t="shared" si="176"/>
        <v>62010039820080020000</v>
      </c>
    </row>
    <row r="1705" spans="1:10" s="4" customFormat="1" ht="38.25">
      <c r="A1705" s="232" t="s">
        <v>561</v>
      </c>
      <c r="B1705" s="234" t="s">
        <v>20</v>
      </c>
      <c r="C1705" s="234">
        <v>10</v>
      </c>
      <c r="D1705" s="234" t="s">
        <v>53</v>
      </c>
      <c r="E1705" s="234" t="s">
        <v>1161</v>
      </c>
      <c r="F1705" s="234" t="s">
        <v>101</v>
      </c>
      <c r="G1705" s="235">
        <f>G1706</f>
        <v>19120.48</v>
      </c>
      <c r="H1705" s="234">
        <v>9820080020</v>
      </c>
      <c r="I1705" s="313" t="str">
        <f t="shared" si="175"/>
        <v>9820080020</v>
      </c>
      <c r="J1705" s="30" t="str">
        <f t="shared" si="176"/>
        <v>62010039820080020810</v>
      </c>
    </row>
    <row r="1706" spans="1:10" s="4" customFormat="1" ht="45.75" customHeight="1">
      <c r="A1706" s="236" t="s">
        <v>1047</v>
      </c>
      <c r="B1706" s="234" t="s">
        <v>20</v>
      </c>
      <c r="C1706" s="234">
        <v>10</v>
      </c>
      <c r="D1706" s="234" t="s">
        <v>53</v>
      </c>
      <c r="E1706" s="234" t="s">
        <v>1161</v>
      </c>
      <c r="F1706" s="234" t="s">
        <v>1050</v>
      </c>
      <c r="G1706" s="235">
        <f>VLOOKUP(J1706,'исх АС БЮДЖЕТ'!$A$10:$H$568,6,0)</f>
        <v>19120.48</v>
      </c>
      <c r="H1706" s="234">
        <v>9820080020</v>
      </c>
      <c r="I1706" s="313" t="str">
        <f t="shared" si="175"/>
        <v>9820080020</v>
      </c>
      <c r="J1706" s="30" t="str">
        <f t="shared" si="176"/>
        <v>62010039820080020811</v>
      </c>
    </row>
    <row r="1707" spans="1:10" s="3" customFormat="1">
      <c r="A1707" s="244"/>
      <c r="B1707" s="242"/>
      <c r="C1707" s="242"/>
      <c r="D1707" s="242"/>
      <c r="E1707" s="242"/>
      <c r="F1707" s="242"/>
      <c r="G1707" s="235"/>
      <c r="H1707" s="242"/>
      <c r="I1707" s="313" t="str">
        <f t="shared" si="175"/>
        <v>0000000000</v>
      </c>
      <c r="J1707" s="30" t="str">
        <f t="shared" si="176"/>
        <v>0000000000</v>
      </c>
    </row>
    <row r="1708" spans="1:10" s="3" customFormat="1">
      <c r="A1708" s="219" t="s">
        <v>15</v>
      </c>
      <c r="B1708" s="220" t="s">
        <v>16</v>
      </c>
      <c r="C1708" s="221" t="s">
        <v>51</v>
      </c>
      <c r="D1708" s="221" t="s">
        <v>51</v>
      </c>
      <c r="E1708" s="221" t="s">
        <v>196</v>
      </c>
      <c r="F1708" s="221" t="s">
        <v>58</v>
      </c>
      <c r="G1708" s="222">
        <f>G1709+G1745+G1789+G1815+G1767+G1837</f>
        <v>1348966777.02</v>
      </c>
      <c r="H1708" s="221">
        <v>0</v>
      </c>
      <c r="I1708" s="313" t="str">
        <f t="shared" ref="I1708:I1783" si="183">TEXT(H1708,"0000000000")</f>
        <v>0000000000</v>
      </c>
      <c r="J1708" s="30" t="str">
        <f t="shared" ref="J1708:J1741" si="184">CONCATENATE(B1708,C1708,D1708,I1708,F1708)</f>
        <v>62100000000000000000</v>
      </c>
    </row>
    <row r="1709" spans="1:10" s="3" customFormat="1">
      <c r="A1709" s="224" t="s">
        <v>64</v>
      </c>
      <c r="B1709" s="225" t="s">
        <v>16</v>
      </c>
      <c r="C1709" s="226" t="s">
        <v>65</v>
      </c>
      <c r="D1709" s="226" t="s">
        <v>51</v>
      </c>
      <c r="E1709" s="226" t="s">
        <v>196</v>
      </c>
      <c r="F1709" s="226" t="s">
        <v>58</v>
      </c>
      <c r="G1709" s="227">
        <f>G1710</f>
        <v>52102390</v>
      </c>
      <c r="H1709" s="226">
        <v>0</v>
      </c>
      <c r="I1709" s="313" t="str">
        <f t="shared" si="183"/>
        <v>0000000000</v>
      </c>
      <c r="J1709" s="30" t="str">
        <f t="shared" si="184"/>
        <v>62101000000000000000</v>
      </c>
    </row>
    <row r="1710" spans="1:10" s="3" customFormat="1">
      <c r="A1710" s="228" t="s">
        <v>38</v>
      </c>
      <c r="B1710" s="229" t="s">
        <v>16</v>
      </c>
      <c r="C1710" s="230" t="s">
        <v>65</v>
      </c>
      <c r="D1710" s="230" t="s">
        <v>84</v>
      </c>
      <c r="E1710" s="230" t="s">
        <v>196</v>
      </c>
      <c r="F1710" s="230" t="s">
        <v>58</v>
      </c>
      <c r="G1710" s="231">
        <f>G1711+G1717</f>
        <v>52102390</v>
      </c>
      <c r="H1710" s="230">
        <v>0</v>
      </c>
      <c r="I1710" s="313" t="str">
        <f t="shared" si="183"/>
        <v>0000000000</v>
      </c>
      <c r="J1710" s="30" t="str">
        <f t="shared" si="184"/>
        <v>62101130000000000000</v>
      </c>
    </row>
    <row r="1711" spans="1:10" s="3" customFormat="1" ht="38.25">
      <c r="A1711" s="237" t="s">
        <v>751</v>
      </c>
      <c r="B1711" s="233" t="s">
        <v>16</v>
      </c>
      <c r="C1711" s="234" t="s">
        <v>65</v>
      </c>
      <c r="D1711" s="234" t="s">
        <v>84</v>
      </c>
      <c r="E1711" s="234" t="s">
        <v>229</v>
      </c>
      <c r="F1711" s="234" t="s">
        <v>58</v>
      </c>
      <c r="G1711" s="235">
        <f t="shared" ref="G1711:G1714" si="185">G1712</f>
        <v>1000000</v>
      </c>
      <c r="H1711" s="234">
        <v>1400000000</v>
      </c>
      <c r="I1711" s="313" t="str">
        <f t="shared" si="183"/>
        <v>1400000000</v>
      </c>
      <c r="J1711" s="30" t="str">
        <f t="shared" si="184"/>
        <v>62101131400000000000</v>
      </c>
    </row>
    <row r="1712" spans="1:10" s="3" customFormat="1">
      <c r="A1712" s="232" t="s">
        <v>119</v>
      </c>
      <c r="B1712" s="233" t="s">
        <v>16</v>
      </c>
      <c r="C1712" s="234" t="s">
        <v>65</v>
      </c>
      <c r="D1712" s="234" t="s">
        <v>84</v>
      </c>
      <c r="E1712" s="234" t="s">
        <v>230</v>
      </c>
      <c r="F1712" s="234" t="s">
        <v>58</v>
      </c>
      <c r="G1712" s="235">
        <f t="shared" si="185"/>
        <v>1000000</v>
      </c>
      <c r="H1712" s="234">
        <v>1410000000</v>
      </c>
      <c r="I1712" s="313" t="str">
        <f t="shared" si="183"/>
        <v>1410000000</v>
      </c>
      <c r="J1712" s="30" t="str">
        <f t="shared" si="184"/>
        <v>62101131410000000000</v>
      </c>
    </row>
    <row r="1713" spans="1:10" s="3" customFormat="1" ht="38.25">
      <c r="A1713" s="232" t="s">
        <v>579</v>
      </c>
      <c r="B1713" s="233" t="s">
        <v>16</v>
      </c>
      <c r="C1713" s="234" t="s">
        <v>65</v>
      </c>
      <c r="D1713" s="234" t="s">
        <v>84</v>
      </c>
      <c r="E1713" s="234" t="s">
        <v>235</v>
      </c>
      <c r="F1713" s="234" t="s">
        <v>58</v>
      </c>
      <c r="G1713" s="235">
        <f t="shared" si="185"/>
        <v>1000000</v>
      </c>
      <c r="H1713" s="234">
        <v>1410200000</v>
      </c>
      <c r="I1713" s="313" t="str">
        <f t="shared" si="183"/>
        <v>1410200000</v>
      </c>
      <c r="J1713" s="30" t="str">
        <f t="shared" si="184"/>
        <v>62101131410200000000</v>
      </c>
    </row>
    <row r="1714" spans="1:10" s="3" customFormat="1" ht="25.5">
      <c r="A1714" s="232" t="s">
        <v>170</v>
      </c>
      <c r="B1714" s="233" t="s">
        <v>16</v>
      </c>
      <c r="C1714" s="234" t="s">
        <v>65</v>
      </c>
      <c r="D1714" s="234" t="s">
        <v>84</v>
      </c>
      <c r="E1714" s="234" t="s">
        <v>236</v>
      </c>
      <c r="F1714" s="234" t="s">
        <v>58</v>
      </c>
      <c r="G1714" s="235">
        <f t="shared" si="185"/>
        <v>1000000</v>
      </c>
      <c r="H1714" s="234">
        <v>1410220630</v>
      </c>
      <c r="I1714" s="313" t="str">
        <f t="shared" si="183"/>
        <v>1410220630</v>
      </c>
      <c r="J1714" s="30" t="str">
        <f t="shared" si="184"/>
        <v>62101131410220630000</v>
      </c>
    </row>
    <row r="1715" spans="1:10" s="3" customFormat="1" ht="25.5">
      <c r="A1715" s="232" t="s">
        <v>108</v>
      </c>
      <c r="B1715" s="233" t="s">
        <v>16</v>
      </c>
      <c r="C1715" s="234" t="s">
        <v>65</v>
      </c>
      <c r="D1715" s="234" t="s">
        <v>84</v>
      </c>
      <c r="E1715" s="234" t="s">
        <v>236</v>
      </c>
      <c r="F1715" s="234" t="s">
        <v>116</v>
      </c>
      <c r="G1715" s="235">
        <f>G1716</f>
        <v>1000000</v>
      </c>
      <c r="H1715" s="234">
        <v>1410220630</v>
      </c>
      <c r="I1715" s="313" t="str">
        <f t="shared" si="183"/>
        <v>1410220630</v>
      </c>
      <c r="J1715" s="30" t="str">
        <f t="shared" si="184"/>
        <v>62101131410220630240</v>
      </c>
    </row>
    <row r="1716" spans="1:10" s="4" customFormat="1" ht="25.5">
      <c r="A1716" s="236" t="s">
        <v>973</v>
      </c>
      <c r="B1716" s="233" t="s">
        <v>16</v>
      </c>
      <c r="C1716" s="234" t="s">
        <v>65</v>
      </c>
      <c r="D1716" s="234" t="s">
        <v>84</v>
      </c>
      <c r="E1716" s="234" t="s">
        <v>236</v>
      </c>
      <c r="F1716" s="234" t="s">
        <v>1043</v>
      </c>
      <c r="G1716" s="235">
        <f>VLOOKUP(J1716,'исх АС БЮДЖЕТ'!$A$10:$H$568,6,0)</f>
        <v>1000000</v>
      </c>
      <c r="H1716" s="234">
        <v>1410220630</v>
      </c>
      <c r="I1716" s="313" t="str">
        <f t="shared" si="183"/>
        <v>1410220630</v>
      </c>
      <c r="J1716" s="30" t="str">
        <f t="shared" si="184"/>
        <v>62101131410220630244</v>
      </c>
    </row>
    <row r="1717" spans="1:10" s="3" customFormat="1" ht="25.5">
      <c r="A1717" s="291" t="s">
        <v>195</v>
      </c>
      <c r="B1717" s="233" t="s">
        <v>16</v>
      </c>
      <c r="C1717" s="234" t="s">
        <v>65</v>
      </c>
      <c r="D1717" s="234" t="s">
        <v>84</v>
      </c>
      <c r="E1717" s="234" t="s">
        <v>572</v>
      </c>
      <c r="F1717" s="234" t="s">
        <v>58</v>
      </c>
      <c r="G1717" s="235">
        <f>G1718+G1735</f>
        <v>51102390</v>
      </c>
      <c r="H1717" s="234">
        <v>8400000000</v>
      </c>
      <c r="I1717" s="313" t="str">
        <f t="shared" si="183"/>
        <v>8400000000</v>
      </c>
      <c r="J1717" s="30" t="str">
        <f t="shared" si="184"/>
        <v>62101138400000000000</v>
      </c>
    </row>
    <row r="1718" spans="1:10" s="3" customFormat="1" ht="25.5">
      <c r="A1718" s="291" t="s">
        <v>580</v>
      </c>
      <c r="B1718" s="233" t="s">
        <v>16</v>
      </c>
      <c r="C1718" s="234" t="s">
        <v>65</v>
      </c>
      <c r="D1718" s="234" t="s">
        <v>84</v>
      </c>
      <c r="E1718" s="234" t="s">
        <v>573</v>
      </c>
      <c r="F1718" s="234" t="s">
        <v>58</v>
      </c>
      <c r="G1718" s="235">
        <f>G1719+G1728+G1732</f>
        <v>46922590</v>
      </c>
      <c r="H1718" s="234">
        <v>8410000000</v>
      </c>
      <c r="I1718" s="313" t="str">
        <f t="shared" si="183"/>
        <v>8410000000</v>
      </c>
      <c r="J1718" s="30" t="str">
        <f t="shared" si="184"/>
        <v>62101138410000000000</v>
      </c>
    </row>
    <row r="1719" spans="1:10" s="3" customFormat="1" ht="25.5">
      <c r="A1719" s="291" t="s">
        <v>114</v>
      </c>
      <c r="B1719" s="233" t="s">
        <v>16</v>
      </c>
      <c r="C1719" s="234" t="s">
        <v>65</v>
      </c>
      <c r="D1719" s="234" t="s">
        <v>84</v>
      </c>
      <c r="E1719" s="234" t="s">
        <v>574</v>
      </c>
      <c r="F1719" s="234" t="s">
        <v>58</v>
      </c>
      <c r="G1719" s="235">
        <f>G1720+G1723+G1725</f>
        <v>4080020</v>
      </c>
      <c r="H1719" s="234">
        <v>8410010010</v>
      </c>
      <c r="I1719" s="313" t="str">
        <f t="shared" si="183"/>
        <v>8410010010</v>
      </c>
      <c r="J1719" s="30" t="str">
        <f t="shared" si="184"/>
        <v>62101138410010010000</v>
      </c>
    </row>
    <row r="1720" spans="1:10" s="3" customFormat="1">
      <c r="A1720" s="244" t="s">
        <v>107</v>
      </c>
      <c r="B1720" s="233" t="s">
        <v>16</v>
      </c>
      <c r="C1720" s="234" t="s">
        <v>65</v>
      </c>
      <c r="D1720" s="234" t="s">
        <v>84</v>
      </c>
      <c r="E1720" s="234" t="s">
        <v>574</v>
      </c>
      <c r="F1720" s="234" t="s">
        <v>115</v>
      </c>
      <c r="G1720" s="235">
        <f>SUM(G1721:G1722)</f>
        <v>1003430</v>
      </c>
      <c r="H1720" s="234">
        <v>8410010010</v>
      </c>
      <c r="I1720" s="313" t="str">
        <f t="shared" si="183"/>
        <v>8410010010</v>
      </c>
      <c r="J1720" s="30" t="str">
        <f t="shared" si="184"/>
        <v>62101138410010010120</v>
      </c>
    </row>
    <row r="1721" spans="1:10" s="3" customFormat="1" ht="25.5">
      <c r="A1721" s="232" t="s">
        <v>937</v>
      </c>
      <c r="B1721" s="233" t="s">
        <v>16</v>
      </c>
      <c r="C1721" s="234" t="s">
        <v>65</v>
      </c>
      <c r="D1721" s="234" t="s">
        <v>84</v>
      </c>
      <c r="E1721" s="234" t="s">
        <v>574</v>
      </c>
      <c r="F1721" s="234" t="s">
        <v>1059</v>
      </c>
      <c r="G1721" s="235">
        <f>VLOOKUP(J1721,'исх АС БЮДЖЕТ'!$A$10:$H$568,6,0)</f>
        <v>772770</v>
      </c>
      <c r="H1721" s="234">
        <v>8410010010</v>
      </c>
      <c r="I1721" s="313" t="str">
        <f t="shared" si="183"/>
        <v>8410010010</v>
      </c>
      <c r="J1721" s="30" t="str">
        <f t="shared" si="184"/>
        <v>62101138410010010122</v>
      </c>
    </row>
    <row r="1722" spans="1:10" s="3" customFormat="1" ht="38.25">
      <c r="A1722" s="232" t="s">
        <v>939</v>
      </c>
      <c r="B1722" s="233" t="s">
        <v>16</v>
      </c>
      <c r="C1722" s="234" t="s">
        <v>65</v>
      </c>
      <c r="D1722" s="234" t="s">
        <v>84</v>
      </c>
      <c r="E1722" s="234" t="s">
        <v>574</v>
      </c>
      <c r="F1722" s="234" t="s">
        <v>1060</v>
      </c>
      <c r="G1722" s="235">
        <f>VLOOKUP(J1722,'исх АС БЮДЖЕТ'!$A$10:$H$568,6,0)</f>
        <v>230660</v>
      </c>
      <c r="H1722" s="234">
        <v>8410010010</v>
      </c>
      <c r="I1722" s="313" t="str">
        <f t="shared" si="183"/>
        <v>8410010010</v>
      </c>
      <c r="J1722" s="30" t="str">
        <f t="shared" si="184"/>
        <v>62101138410010010129</v>
      </c>
    </row>
    <row r="1723" spans="1:10" s="3" customFormat="1" ht="25.5">
      <c r="A1723" s="244" t="s">
        <v>108</v>
      </c>
      <c r="B1723" s="233" t="s">
        <v>16</v>
      </c>
      <c r="C1723" s="234" t="s">
        <v>65</v>
      </c>
      <c r="D1723" s="234" t="s">
        <v>84</v>
      </c>
      <c r="E1723" s="234" t="s">
        <v>574</v>
      </c>
      <c r="F1723" s="234" t="s">
        <v>116</v>
      </c>
      <c r="G1723" s="235">
        <f>G1724</f>
        <v>2829940</v>
      </c>
      <c r="H1723" s="234">
        <v>8410010010</v>
      </c>
      <c r="I1723" s="313" t="str">
        <f t="shared" si="183"/>
        <v>8410010010</v>
      </c>
      <c r="J1723" s="30" t="str">
        <f t="shared" si="184"/>
        <v>62101138410010010240</v>
      </c>
    </row>
    <row r="1724" spans="1:10" s="94" customFormat="1" ht="25.5">
      <c r="A1724" s="236" t="s">
        <v>973</v>
      </c>
      <c r="B1724" s="233" t="s">
        <v>16</v>
      </c>
      <c r="C1724" s="234" t="s">
        <v>65</v>
      </c>
      <c r="D1724" s="234" t="s">
        <v>84</v>
      </c>
      <c r="E1724" s="234" t="s">
        <v>574</v>
      </c>
      <c r="F1724" s="234" t="s">
        <v>1043</v>
      </c>
      <c r="G1724" s="235">
        <f>VLOOKUP(J1724,'исх АС БЮДЖЕТ'!$A$10:$H$568,6,0)</f>
        <v>2829940</v>
      </c>
      <c r="H1724" s="234">
        <v>8410010010</v>
      </c>
      <c r="I1724" s="313" t="str">
        <f t="shared" si="183"/>
        <v>8410010010</v>
      </c>
      <c r="J1724" s="30" t="str">
        <f t="shared" si="184"/>
        <v>62101138410010010244</v>
      </c>
    </row>
    <row r="1725" spans="1:10" s="3" customFormat="1">
      <c r="A1725" s="244" t="s">
        <v>97</v>
      </c>
      <c r="B1725" s="233" t="s">
        <v>16</v>
      </c>
      <c r="C1725" s="234" t="s">
        <v>65</v>
      </c>
      <c r="D1725" s="234" t="s">
        <v>84</v>
      </c>
      <c r="E1725" s="234" t="s">
        <v>574</v>
      </c>
      <c r="F1725" s="234" t="s">
        <v>118</v>
      </c>
      <c r="G1725" s="235">
        <f>SUM(G1726:G1727)</f>
        <v>246650</v>
      </c>
      <c r="H1725" s="234">
        <v>8410010010</v>
      </c>
      <c r="I1725" s="313" t="str">
        <f t="shared" si="183"/>
        <v>8410010010</v>
      </c>
      <c r="J1725" s="30" t="str">
        <f t="shared" si="184"/>
        <v>62101138410010010850</v>
      </c>
    </row>
    <row r="1726" spans="1:10" s="3" customFormat="1">
      <c r="A1726" s="232" t="s">
        <v>1036</v>
      </c>
      <c r="B1726" s="233" t="s">
        <v>16</v>
      </c>
      <c r="C1726" s="234" t="s">
        <v>65</v>
      </c>
      <c r="D1726" s="234" t="s">
        <v>84</v>
      </c>
      <c r="E1726" s="234" t="s">
        <v>574</v>
      </c>
      <c r="F1726" s="234" t="s">
        <v>1061</v>
      </c>
      <c r="G1726" s="235">
        <f>VLOOKUP(J1726,'исх АС БЮДЖЕТ'!$A$10:$H$568,6,0)</f>
        <v>226350</v>
      </c>
      <c r="H1726" s="234">
        <v>8410010010</v>
      </c>
      <c r="I1726" s="313" t="str">
        <f t="shared" si="183"/>
        <v>8410010010</v>
      </c>
      <c r="J1726" s="30" t="str">
        <f t="shared" si="184"/>
        <v>62101138410010010851</v>
      </c>
    </row>
    <row r="1727" spans="1:10" s="3" customFormat="1">
      <c r="A1727" s="232" t="s">
        <v>1037</v>
      </c>
      <c r="B1727" s="233" t="s">
        <v>16</v>
      </c>
      <c r="C1727" s="234" t="s">
        <v>65</v>
      </c>
      <c r="D1727" s="234" t="s">
        <v>84</v>
      </c>
      <c r="E1727" s="234" t="s">
        <v>574</v>
      </c>
      <c r="F1727" s="234" t="s">
        <v>1062</v>
      </c>
      <c r="G1727" s="235">
        <f>VLOOKUP(J1727,'исх АС БЮДЖЕТ'!$A$10:$H$568,6,0)</f>
        <v>20300</v>
      </c>
      <c r="H1727" s="234">
        <v>8410010010</v>
      </c>
      <c r="I1727" s="313" t="str">
        <f t="shared" si="183"/>
        <v>8410010010</v>
      </c>
      <c r="J1727" s="30" t="str">
        <f t="shared" si="184"/>
        <v>62101138410010010852</v>
      </c>
    </row>
    <row r="1728" spans="1:10" s="3" customFormat="1" ht="25.5">
      <c r="A1728" s="244" t="s">
        <v>126</v>
      </c>
      <c r="B1728" s="233" t="s">
        <v>16</v>
      </c>
      <c r="C1728" s="234" t="s">
        <v>65</v>
      </c>
      <c r="D1728" s="234" t="s">
        <v>84</v>
      </c>
      <c r="E1728" s="234" t="s">
        <v>575</v>
      </c>
      <c r="F1728" s="234" t="s">
        <v>58</v>
      </c>
      <c r="G1728" s="235">
        <f>G1729</f>
        <v>42822370</v>
      </c>
      <c r="H1728" s="234">
        <v>8410010020</v>
      </c>
      <c r="I1728" s="313" t="str">
        <f t="shared" si="183"/>
        <v>8410010020</v>
      </c>
      <c r="J1728" s="30" t="str">
        <f t="shared" si="184"/>
        <v>62101138410010020000</v>
      </c>
    </row>
    <row r="1729" spans="1:10" s="3" customFormat="1">
      <c r="A1729" s="244" t="s">
        <v>107</v>
      </c>
      <c r="B1729" s="233" t="s">
        <v>16</v>
      </c>
      <c r="C1729" s="234" t="s">
        <v>65</v>
      </c>
      <c r="D1729" s="234" t="s">
        <v>84</v>
      </c>
      <c r="E1729" s="234" t="s">
        <v>575</v>
      </c>
      <c r="F1729" s="234" t="s">
        <v>115</v>
      </c>
      <c r="G1729" s="235">
        <f>SUM(G1730:G1731)</f>
        <v>42822370</v>
      </c>
      <c r="H1729" s="234">
        <v>8410010020</v>
      </c>
      <c r="I1729" s="313" t="str">
        <f t="shared" si="183"/>
        <v>8410010020</v>
      </c>
      <c r="J1729" s="30" t="str">
        <f t="shared" si="184"/>
        <v>62101138410010020120</v>
      </c>
    </row>
    <row r="1730" spans="1:10" s="3" customFormat="1">
      <c r="A1730" s="232" t="s">
        <v>936</v>
      </c>
      <c r="B1730" s="233" t="s">
        <v>16</v>
      </c>
      <c r="C1730" s="234" t="s">
        <v>65</v>
      </c>
      <c r="D1730" s="234" t="s">
        <v>84</v>
      </c>
      <c r="E1730" s="234" t="s">
        <v>575</v>
      </c>
      <c r="F1730" s="234" t="s">
        <v>1063</v>
      </c>
      <c r="G1730" s="235">
        <f>VLOOKUP(J1730,'исх АС БЮДЖЕТ'!$A$10:$H$568,6,0)</f>
        <v>32896600</v>
      </c>
      <c r="H1730" s="234">
        <v>8410010020</v>
      </c>
      <c r="I1730" s="313" t="str">
        <f t="shared" si="183"/>
        <v>8410010020</v>
      </c>
      <c r="J1730" s="30" t="str">
        <f t="shared" si="184"/>
        <v>62101138410010020121</v>
      </c>
    </row>
    <row r="1731" spans="1:10" s="3" customFormat="1" ht="38.25">
      <c r="A1731" s="232" t="s">
        <v>939</v>
      </c>
      <c r="B1731" s="233" t="s">
        <v>16</v>
      </c>
      <c r="C1731" s="234" t="s">
        <v>65</v>
      </c>
      <c r="D1731" s="234" t="s">
        <v>84</v>
      </c>
      <c r="E1731" s="234" t="s">
        <v>575</v>
      </c>
      <c r="F1731" s="234" t="s">
        <v>1060</v>
      </c>
      <c r="G1731" s="235">
        <f>VLOOKUP(J1731,'исх АС БЮДЖЕТ'!$A$10:$H$568,6,0)</f>
        <v>9925770</v>
      </c>
      <c r="H1731" s="234">
        <v>8410010020</v>
      </c>
      <c r="I1731" s="313" t="str">
        <f t="shared" si="183"/>
        <v>8410010020</v>
      </c>
      <c r="J1731" s="30" t="str">
        <f t="shared" si="184"/>
        <v>62101138410010020129</v>
      </c>
    </row>
    <row r="1732" spans="1:10" s="3" customFormat="1" ht="25.5">
      <c r="A1732" s="291" t="s">
        <v>176</v>
      </c>
      <c r="B1732" s="233" t="s">
        <v>16</v>
      </c>
      <c r="C1732" s="234" t="s">
        <v>65</v>
      </c>
      <c r="D1732" s="234" t="s">
        <v>84</v>
      </c>
      <c r="E1732" s="234" t="s">
        <v>1170</v>
      </c>
      <c r="F1732" s="234" t="s">
        <v>58</v>
      </c>
      <c r="G1732" s="235">
        <f>G1733</f>
        <v>20200</v>
      </c>
      <c r="H1732" s="234">
        <v>8410020050</v>
      </c>
      <c r="I1732" s="313" t="str">
        <f t="shared" si="183"/>
        <v>8410020050</v>
      </c>
      <c r="J1732" s="30" t="str">
        <f t="shared" si="184"/>
        <v>62101138410020050000</v>
      </c>
    </row>
    <row r="1733" spans="1:10" s="3" customFormat="1">
      <c r="A1733" s="232" t="s">
        <v>96</v>
      </c>
      <c r="B1733" s="233" t="s">
        <v>16</v>
      </c>
      <c r="C1733" s="234" t="s">
        <v>65</v>
      </c>
      <c r="D1733" s="234" t="s">
        <v>84</v>
      </c>
      <c r="E1733" s="234" t="s">
        <v>1170</v>
      </c>
      <c r="F1733" s="234" t="s">
        <v>131</v>
      </c>
      <c r="G1733" s="312">
        <f>G1734</f>
        <v>20200</v>
      </c>
      <c r="H1733" s="234">
        <v>8410020050</v>
      </c>
      <c r="I1733" s="313" t="str">
        <f t="shared" si="183"/>
        <v>8410020050</v>
      </c>
      <c r="J1733" s="30" t="str">
        <f t="shared" si="184"/>
        <v>62101138410020050830</v>
      </c>
    </row>
    <row r="1734" spans="1:10" s="3" customFormat="1" ht="25.5">
      <c r="A1734" s="232" t="s">
        <v>1044</v>
      </c>
      <c r="B1734" s="233" t="s">
        <v>16</v>
      </c>
      <c r="C1734" s="234" t="s">
        <v>65</v>
      </c>
      <c r="D1734" s="234" t="s">
        <v>84</v>
      </c>
      <c r="E1734" s="234" t="s">
        <v>1170</v>
      </c>
      <c r="F1734" s="234" t="s">
        <v>1045</v>
      </c>
      <c r="G1734" s="235">
        <f>VLOOKUP(J1734,'исх АС БЮДЖЕТ'!$A$10:$H$568,6,0)</f>
        <v>20200</v>
      </c>
      <c r="H1734" s="234">
        <v>8410020050</v>
      </c>
      <c r="I1734" s="313" t="str">
        <f t="shared" si="183"/>
        <v>8410020050</v>
      </c>
      <c r="J1734" s="30" t="str">
        <f t="shared" si="184"/>
        <v>62101138410020050831</v>
      </c>
    </row>
    <row r="1735" spans="1:10" s="3" customFormat="1">
      <c r="A1735" s="291" t="s">
        <v>175</v>
      </c>
      <c r="B1735" s="233" t="s">
        <v>16</v>
      </c>
      <c r="C1735" s="234" t="s">
        <v>65</v>
      </c>
      <c r="D1735" s="234" t="s">
        <v>84</v>
      </c>
      <c r="E1735" s="234" t="s">
        <v>576</v>
      </c>
      <c r="F1735" s="234" t="s">
        <v>58</v>
      </c>
      <c r="G1735" s="235">
        <f>G1739+G1736+G1742</f>
        <v>4179800</v>
      </c>
      <c r="H1735" s="234">
        <v>8420000000</v>
      </c>
      <c r="I1735" s="313" t="str">
        <f t="shared" si="183"/>
        <v>8420000000</v>
      </c>
      <c r="J1735" s="30" t="str">
        <f t="shared" si="184"/>
        <v>62101138420000000000</v>
      </c>
    </row>
    <row r="1736" spans="1:10" s="3" customFormat="1" ht="25.5">
      <c r="A1736" s="291" t="s">
        <v>176</v>
      </c>
      <c r="B1736" s="233" t="s">
        <v>16</v>
      </c>
      <c r="C1736" s="234" t="s">
        <v>65</v>
      </c>
      <c r="D1736" s="234" t="s">
        <v>84</v>
      </c>
      <c r="E1736" s="234" t="s">
        <v>835</v>
      </c>
      <c r="F1736" s="234" t="s">
        <v>58</v>
      </c>
      <c r="G1736" s="235">
        <f>G1737</f>
        <v>579800</v>
      </c>
      <c r="H1736" s="234">
        <v>8420020740</v>
      </c>
      <c r="I1736" s="313" t="str">
        <f t="shared" si="183"/>
        <v>8420020740</v>
      </c>
      <c r="J1736" s="30" t="str">
        <f t="shared" si="184"/>
        <v>62101138420020740000</v>
      </c>
    </row>
    <row r="1737" spans="1:10" s="3" customFormat="1" ht="25.5">
      <c r="A1737" s="232" t="s">
        <v>108</v>
      </c>
      <c r="B1737" s="233" t="s">
        <v>16</v>
      </c>
      <c r="C1737" s="234" t="s">
        <v>65</v>
      </c>
      <c r="D1737" s="234" t="s">
        <v>84</v>
      </c>
      <c r="E1737" s="234" t="s">
        <v>835</v>
      </c>
      <c r="F1737" s="234" t="s">
        <v>116</v>
      </c>
      <c r="G1737" s="235">
        <f>G1738</f>
        <v>579800</v>
      </c>
      <c r="H1737" s="234">
        <v>8420020740</v>
      </c>
      <c r="I1737" s="313" t="str">
        <f t="shared" si="183"/>
        <v>8420020740</v>
      </c>
      <c r="J1737" s="30" t="str">
        <f t="shared" si="184"/>
        <v>62101138420020740240</v>
      </c>
    </row>
    <row r="1738" spans="1:10" s="4" customFormat="1" ht="25.5">
      <c r="A1738" s="236" t="s">
        <v>973</v>
      </c>
      <c r="B1738" s="233" t="s">
        <v>16</v>
      </c>
      <c r="C1738" s="234" t="s">
        <v>65</v>
      </c>
      <c r="D1738" s="234" t="s">
        <v>84</v>
      </c>
      <c r="E1738" s="234" t="s">
        <v>835</v>
      </c>
      <c r="F1738" s="234" t="s">
        <v>1043</v>
      </c>
      <c r="G1738" s="235">
        <f>VLOOKUP(J1738,'исх АС БЮДЖЕТ'!$A$10:$H$568,6,0)</f>
        <v>579800</v>
      </c>
      <c r="H1738" s="234">
        <v>8420020740</v>
      </c>
      <c r="I1738" s="313" t="str">
        <f t="shared" si="183"/>
        <v>8420020740</v>
      </c>
      <c r="J1738" s="30" t="str">
        <f t="shared" si="184"/>
        <v>62101138420020740244</v>
      </c>
    </row>
    <row r="1739" spans="1:10" s="3" customFormat="1" ht="25.5">
      <c r="A1739" s="244" t="s">
        <v>899</v>
      </c>
      <c r="B1739" s="233" t="s">
        <v>16</v>
      </c>
      <c r="C1739" s="234" t="s">
        <v>65</v>
      </c>
      <c r="D1739" s="234" t="s">
        <v>84</v>
      </c>
      <c r="E1739" s="234" t="s">
        <v>577</v>
      </c>
      <c r="F1739" s="234" t="s">
        <v>58</v>
      </c>
      <c r="G1739" s="235">
        <f t="shared" ref="G1739" si="186">G1740</f>
        <v>3500000</v>
      </c>
      <c r="H1739" s="234">
        <v>8420021100</v>
      </c>
      <c r="I1739" s="313" t="str">
        <f t="shared" si="183"/>
        <v>8420021100</v>
      </c>
      <c r="J1739" s="30" t="str">
        <f t="shared" si="184"/>
        <v>62101138420021100000</v>
      </c>
    </row>
    <row r="1740" spans="1:10" s="3" customFormat="1" ht="25.5">
      <c r="A1740" s="232" t="s">
        <v>108</v>
      </c>
      <c r="B1740" s="233" t="s">
        <v>16</v>
      </c>
      <c r="C1740" s="234" t="s">
        <v>65</v>
      </c>
      <c r="D1740" s="234" t="s">
        <v>84</v>
      </c>
      <c r="E1740" s="234" t="s">
        <v>577</v>
      </c>
      <c r="F1740" s="234" t="s">
        <v>116</v>
      </c>
      <c r="G1740" s="235">
        <f>G1741</f>
        <v>3500000</v>
      </c>
      <c r="H1740" s="234">
        <v>8420021100</v>
      </c>
      <c r="I1740" s="313" t="str">
        <f t="shared" si="183"/>
        <v>8420021100</v>
      </c>
      <c r="J1740" s="30" t="str">
        <f t="shared" si="184"/>
        <v>62101138420021100240</v>
      </c>
    </row>
    <row r="1741" spans="1:10" s="4" customFormat="1" ht="25.5">
      <c r="A1741" s="236" t="s">
        <v>973</v>
      </c>
      <c r="B1741" s="233" t="s">
        <v>16</v>
      </c>
      <c r="C1741" s="234" t="s">
        <v>65</v>
      </c>
      <c r="D1741" s="234" t="s">
        <v>84</v>
      </c>
      <c r="E1741" s="234" t="s">
        <v>577</v>
      </c>
      <c r="F1741" s="234" t="s">
        <v>1043</v>
      </c>
      <c r="G1741" s="235">
        <f>VLOOKUP(J1741,'исх АС БЮДЖЕТ'!$A$10:$H$568,6,0)</f>
        <v>3500000</v>
      </c>
      <c r="H1741" s="234">
        <v>8420021100</v>
      </c>
      <c r="I1741" s="313" t="str">
        <f t="shared" si="183"/>
        <v>8420021100</v>
      </c>
      <c r="J1741" s="30" t="str">
        <f t="shared" si="184"/>
        <v>62101138420021100244</v>
      </c>
    </row>
    <row r="1742" spans="1:10" s="4" customFormat="1" ht="63.75">
      <c r="A1742" s="244" t="s">
        <v>1511</v>
      </c>
      <c r="B1742" s="233" t="s">
        <v>16</v>
      </c>
      <c r="C1742" s="234" t="s">
        <v>65</v>
      </c>
      <c r="D1742" s="234" t="s">
        <v>84</v>
      </c>
      <c r="E1742" s="234" t="s">
        <v>1512</v>
      </c>
      <c r="F1742" s="234" t="s">
        <v>58</v>
      </c>
      <c r="G1742" s="235">
        <f t="shared" ref="G1742:G1743" si="187">G1743</f>
        <v>100000</v>
      </c>
      <c r="H1742" s="234"/>
      <c r="I1742" s="313"/>
      <c r="J1742" s="30"/>
    </row>
    <row r="1743" spans="1:10" s="4" customFormat="1" ht="25.5">
      <c r="A1743" s="244" t="s">
        <v>108</v>
      </c>
      <c r="B1743" s="233" t="s">
        <v>16</v>
      </c>
      <c r="C1743" s="234" t="s">
        <v>65</v>
      </c>
      <c r="D1743" s="234" t="s">
        <v>84</v>
      </c>
      <c r="E1743" s="234" t="s">
        <v>1512</v>
      </c>
      <c r="F1743" s="234" t="s">
        <v>116</v>
      </c>
      <c r="G1743" s="235">
        <f t="shared" si="187"/>
        <v>100000</v>
      </c>
      <c r="H1743" s="234"/>
      <c r="I1743" s="313"/>
      <c r="J1743" s="30"/>
    </row>
    <row r="1744" spans="1:10" s="4" customFormat="1" ht="25.5">
      <c r="A1744" s="244" t="s">
        <v>973</v>
      </c>
      <c r="B1744" s="233" t="s">
        <v>16</v>
      </c>
      <c r="C1744" s="234" t="s">
        <v>65</v>
      </c>
      <c r="D1744" s="234" t="s">
        <v>84</v>
      </c>
      <c r="E1744" s="234" t="s">
        <v>1512</v>
      </c>
      <c r="F1744" s="234" t="s">
        <v>1043</v>
      </c>
      <c r="G1744" s="235">
        <f>100000</f>
        <v>100000</v>
      </c>
      <c r="H1744" s="234"/>
      <c r="I1744" s="313"/>
      <c r="J1744" s="30"/>
    </row>
    <row r="1745" spans="1:10" s="3" customFormat="1">
      <c r="A1745" s="224" t="s">
        <v>35</v>
      </c>
      <c r="B1745" s="225" t="s">
        <v>16</v>
      </c>
      <c r="C1745" s="226" t="s">
        <v>37</v>
      </c>
      <c r="D1745" s="226" t="s">
        <v>51</v>
      </c>
      <c r="E1745" s="226" t="s">
        <v>196</v>
      </c>
      <c r="F1745" s="226" t="s">
        <v>58</v>
      </c>
      <c r="G1745" s="227">
        <f>G1746</f>
        <v>10099700</v>
      </c>
      <c r="H1745" s="226">
        <v>0</v>
      </c>
      <c r="I1745" s="313" t="str">
        <f t="shared" si="183"/>
        <v>0000000000</v>
      </c>
      <c r="J1745" s="30" t="str">
        <f t="shared" ref="J1745:J1767" si="188">CONCATENATE(B1745,C1745,D1745,I1745,F1745)</f>
        <v>62104000000000000000</v>
      </c>
    </row>
    <row r="1746" spans="1:10" s="3" customFormat="1">
      <c r="A1746" s="228" t="s">
        <v>73</v>
      </c>
      <c r="B1746" s="229" t="s">
        <v>16</v>
      </c>
      <c r="C1746" s="230" t="s">
        <v>37</v>
      </c>
      <c r="D1746" s="230" t="s">
        <v>40</v>
      </c>
      <c r="E1746" s="230" t="s">
        <v>196</v>
      </c>
      <c r="F1746" s="230" t="s">
        <v>58</v>
      </c>
      <c r="G1746" s="231">
        <f>G1747+G1757+G1762</f>
        <v>10099700</v>
      </c>
      <c r="H1746" s="230">
        <v>0</v>
      </c>
      <c r="I1746" s="313" t="str">
        <f t="shared" si="183"/>
        <v>0000000000</v>
      </c>
      <c r="J1746" s="30" t="str">
        <f t="shared" si="188"/>
        <v>62104120000000000000</v>
      </c>
    </row>
    <row r="1747" spans="1:10" s="3" customFormat="1" ht="25.5">
      <c r="A1747" s="232" t="s">
        <v>730</v>
      </c>
      <c r="B1747" s="233" t="s">
        <v>16</v>
      </c>
      <c r="C1747" s="233" t="s">
        <v>37</v>
      </c>
      <c r="D1747" s="233" t="s">
        <v>40</v>
      </c>
      <c r="E1747" s="233" t="s">
        <v>565</v>
      </c>
      <c r="F1747" s="233" t="s">
        <v>58</v>
      </c>
      <c r="G1747" s="289">
        <f>G1748</f>
        <v>6403000</v>
      </c>
      <c r="H1747" s="233">
        <v>500000000</v>
      </c>
      <c r="I1747" s="313" t="str">
        <f t="shared" si="183"/>
        <v>0500000000</v>
      </c>
      <c r="J1747" s="30" t="str">
        <f t="shared" si="188"/>
        <v>62104120500000000000</v>
      </c>
    </row>
    <row r="1748" spans="1:10" s="3" customFormat="1" ht="25.5">
      <c r="A1748" s="232" t="s">
        <v>732</v>
      </c>
      <c r="B1748" s="233" t="s">
        <v>16</v>
      </c>
      <c r="C1748" s="233" t="s">
        <v>37</v>
      </c>
      <c r="D1748" s="233" t="s">
        <v>40</v>
      </c>
      <c r="E1748" s="233" t="s">
        <v>731</v>
      </c>
      <c r="F1748" s="233" t="s">
        <v>58</v>
      </c>
      <c r="G1748" s="289">
        <f>G1749+G1753</f>
        <v>6403000</v>
      </c>
      <c r="H1748" s="233" t="s">
        <v>1242</v>
      </c>
      <c r="I1748" s="313" t="str">
        <f t="shared" si="183"/>
        <v>05Б0000000</v>
      </c>
      <c r="J1748" s="30" t="str">
        <f t="shared" si="188"/>
        <v>621041205Б0000000000</v>
      </c>
    </row>
    <row r="1749" spans="1:10" s="3" customFormat="1" ht="38.25">
      <c r="A1749" s="232" t="s">
        <v>566</v>
      </c>
      <c r="B1749" s="233" t="s">
        <v>16</v>
      </c>
      <c r="C1749" s="233" t="s">
        <v>37</v>
      </c>
      <c r="D1749" s="233" t="s">
        <v>40</v>
      </c>
      <c r="E1749" s="233" t="s">
        <v>836</v>
      </c>
      <c r="F1749" s="233" t="s">
        <v>58</v>
      </c>
      <c r="G1749" s="289">
        <f t="shared" ref="G1749:G1750" si="189">G1750</f>
        <v>403000</v>
      </c>
      <c r="H1749" s="233" t="s">
        <v>1243</v>
      </c>
      <c r="I1749" s="313" t="str">
        <f t="shared" si="183"/>
        <v>05Б0100000</v>
      </c>
      <c r="J1749" s="30" t="str">
        <f t="shared" si="188"/>
        <v>621041205Б0100000000</v>
      </c>
    </row>
    <row r="1750" spans="1:10" s="3" customFormat="1" ht="25.5">
      <c r="A1750" s="236" t="s">
        <v>915</v>
      </c>
      <c r="B1750" s="233" t="s">
        <v>16</v>
      </c>
      <c r="C1750" s="233" t="s">
        <v>37</v>
      </c>
      <c r="D1750" s="233" t="s">
        <v>40</v>
      </c>
      <c r="E1750" s="233" t="s">
        <v>837</v>
      </c>
      <c r="F1750" s="233" t="s">
        <v>58</v>
      </c>
      <c r="G1750" s="289">
        <f t="shared" si="189"/>
        <v>403000</v>
      </c>
      <c r="H1750" s="233" t="s">
        <v>1244</v>
      </c>
      <c r="I1750" s="313" t="str">
        <f t="shared" si="183"/>
        <v>05Б0120390</v>
      </c>
      <c r="J1750" s="30" t="str">
        <f t="shared" si="188"/>
        <v>621041205Б0120390000</v>
      </c>
    </row>
    <row r="1751" spans="1:10" s="3" customFormat="1" ht="25.5">
      <c r="A1751" s="232" t="s">
        <v>108</v>
      </c>
      <c r="B1751" s="233" t="s">
        <v>16</v>
      </c>
      <c r="C1751" s="233" t="s">
        <v>37</v>
      </c>
      <c r="D1751" s="233" t="s">
        <v>40</v>
      </c>
      <c r="E1751" s="233" t="s">
        <v>837</v>
      </c>
      <c r="F1751" s="233" t="s">
        <v>116</v>
      </c>
      <c r="G1751" s="289">
        <f>G1752</f>
        <v>403000</v>
      </c>
      <c r="H1751" s="233" t="s">
        <v>1244</v>
      </c>
      <c r="I1751" s="313" t="str">
        <f t="shared" si="183"/>
        <v>05Б0120390</v>
      </c>
      <c r="J1751" s="30" t="str">
        <f t="shared" si="188"/>
        <v>621041205Б0120390240</v>
      </c>
    </row>
    <row r="1752" spans="1:10" s="4" customFormat="1" ht="25.5">
      <c r="A1752" s="236" t="s">
        <v>973</v>
      </c>
      <c r="B1752" s="233" t="s">
        <v>16</v>
      </c>
      <c r="C1752" s="233" t="s">
        <v>37</v>
      </c>
      <c r="D1752" s="233" t="s">
        <v>40</v>
      </c>
      <c r="E1752" s="233" t="s">
        <v>837</v>
      </c>
      <c r="F1752" s="233" t="s">
        <v>1043</v>
      </c>
      <c r="G1752" s="235">
        <f>VLOOKUP(J1752,'исх АС БЮДЖЕТ'!$A$10:$H$568,6,0)</f>
        <v>403000</v>
      </c>
      <c r="H1752" s="233" t="s">
        <v>1244</v>
      </c>
      <c r="I1752" s="313" t="str">
        <f t="shared" si="183"/>
        <v>05Б0120390</v>
      </c>
      <c r="J1752" s="30" t="str">
        <f t="shared" si="188"/>
        <v>621041205Б0120390244</v>
      </c>
    </row>
    <row r="1753" spans="1:10" s="3" customFormat="1" ht="38.25">
      <c r="A1753" s="232" t="s">
        <v>867</v>
      </c>
      <c r="B1753" s="233" t="s">
        <v>16</v>
      </c>
      <c r="C1753" s="233" t="s">
        <v>37</v>
      </c>
      <c r="D1753" s="233" t="s">
        <v>40</v>
      </c>
      <c r="E1753" s="233" t="s">
        <v>838</v>
      </c>
      <c r="F1753" s="233" t="s">
        <v>58</v>
      </c>
      <c r="G1753" s="289">
        <f t="shared" ref="G1753:G1754" si="190">G1754</f>
        <v>6000000</v>
      </c>
      <c r="H1753" s="233" t="s">
        <v>1245</v>
      </c>
      <c r="I1753" s="313" t="str">
        <f t="shared" si="183"/>
        <v>05Б0200000</v>
      </c>
      <c r="J1753" s="30" t="str">
        <f t="shared" si="188"/>
        <v>621041205Б0200000000</v>
      </c>
    </row>
    <row r="1754" spans="1:10" s="3" customFormat="1">
      <c r="A1754" s="232" t="s">
        <v>900</v>
      </c>
      <c r="B1754" s="233" t="s">
        <v>16</v>
      </c>
      <c r="C1754" s="233" t="s">
        <v>37</v>
      </c>
      <c r="D1754" s="233" t="s">
        <v>40</v>
      </c>
      <c r="E1754" s="233" t="s">
        <v>916</v>
      </c>
      <c r="F1754" s="233" t="s">
        <v>58</v>
      </c>
      <c r="G1754" s="289">
        <f t="shared" si="190"/>
        <v>6000000</v>
      </c>
      <c r="H1754" s="233" t="s">
        <v>1246</v>
      </c>
      <c r="I1754" s="313" t="str">
        <f t="shared" si="183"/>
        <v>05Б0221190</v>
      </c>
      <c r="J1754" s="30" t="str">
        <f t="shared" si="188"/>
        <v>621041205Б0221190000</v>
      </c>
    </row>
    <row r="1755" spans="1:10" s="3" customFormat="1" ht="25.5">
      <c r="A1755" s="232" t="s">
        <v>108</v>
      </c>
      <c r="B1755" s="233" t="s">
        <v>16</v>
      </c>
      <c r="C1755" s="233" t="s">
        <v>37</v>
      </c>
      <c r="D1755" s="233" t="s">
        <v>40</v>
      </c>
      <c r="E1755" s="233" t="s">
        <v>916</v>
      </c>
      <c r="F1755" s="233" t="s">
        <v>116</v>
      </c>
      <c r="G1755" s="289">
        <f>G1756</f>
        <v>6000000</v>
      </c>
      <c r="H1755" s="233" t="s">
        <v>1246</v>
      </c>
      <c r="I1755" s="313" t="str">
        <f t="shared" si="183"/>
        <v>05Б0221190</v>
      </c>
      <c r="J1755" s="30" t="str">
        <f t="shared" si="188"/>
        <v>621041205Б0221190240</v>
      </c>
    </row>
    <row r="1756" spans="1:10" s="4" customFormat="1" ht="25.5">
      <c r="A1756" s="236" t="s">
        <v>973</v>
      </c>
      <c r="B1756" s="233" t="s">
        <v>16</v>
      </c>
      <c r="C1756" s="233" t="s">
        <v>37</v>
      </c>
      <c r="D1756" s="233" t="s">
        <v>40</v>
      </c>
      <c r="E1756" s="233" t="s">
        <v>916</v>
      </c>
      <c r="F1756" s="233" t="s">
        <v>1043</v>
      </c>
      <c r="G1756" s="235">
        <f>VLOOKUP(J1756,'исх АС БЮДЖЕТ'!$A$10:$H$568,6,0)</f>
        <v>6000000</v>
      </c>
      <c r="H1756" s="233" t="s">
        <v>1246</v>
      </c>
      <c r="I1756" s="313" t="str">
        <f t="shared" si="183"/>
        <v>05Б0221190</v>
      </c>
      <c r="J1756" s="30" t="str">
        <f t="shared" si="188"/>
        <v>621041205Б0221190244</v>
      </c>
    </row>
    <row r="1757" spans="1:10" s="3" customFormat="1" ht="25.5">
      <c r="A1757" s="291" t="s">
        <v>195</v>
      </c>
      <c r="B1757" s="233" t="s">
        <v>16</v>
      </c>
      <c r="C1757" s="233" t="s">
        <v>37</v>
      </c>
      <c r="D1757" s="233" t="s">
        <v>40</v>
      </c>
      <c r="E1757" s="234" t="s">
        <v>572</v>
      </c>
      <c r="F1757" s="234" t="s">
        <v>58</v>
      </c>
      <c r="G1757" s="235">
        <f t="shared" ref="G1757:G1759" si="191">G1758</f>
        <v>100000</v>
      </c>
      <c r="H1757" s="234">
        <v>8400000000</v>
      </c>
      <c r="I1757" s="313" t="str">
        <f t="shared" si="183"/>
        <v>8400000000</v>
      </c>
      <c r="J1757" s="30" t="str">
        <f t="shared" si="188"/>
        <v>62104128400000000000</v>
      </c>
    </row>
    <row r="1758" spans="1:10" s="3" customFormat="1">
      <c r="A1758" s="291" t="s">
        <v>175</v>
      </c>
      <c r="B1758" s="233" t="s">
        <v>16</v>
      </c>
      <c r="C1758" s="233" t="s">
        <v>37</v>
      </c>
      <c r="D1758" s="233" t="s">
        <v>40</v>
      </c>
      <c r="E1758" s="234" t="s">
        <v>576</v>
      </c>
      <c r="F1758" s="234" t="s">
        <v>58</v>
      </c>
      <c r="G1758" s="235">
        <f t="shared" si="191"/>
        <v>100000</v>
      </c>
      <c r="H1758" s="234">
        <v>8420000000</v>
      </c>
      <c r="I1758" s="313" t="str">
        <f t="shared" si="183"/>
        <v>8420000000</v>
      </c>
      <c r="J1758" s="30" t="str">
        <f t="shared" si="188"/>
        <v>62104128420000000000</v>
      </c>
    </row>
    <row r="1759" spans="1:10" s="3" customFormat="1" ht="25.5">
      <c r="A1759" s="291" t="s">
        <v>705</v>
      </c>
      <c r="B1759" s="233" t="s">
        <v>16</v>
      </c>
      <c r="C1759" s="233" t="s">
        <v>37</v>
      </c>
      <c r="D1759" s="233" t="s">
        <v>40</v>
      </c>
      <c r="E1759" s="234" t="s">
        <v>578</v>
      </c>
      <c r="F1759" s="234" t="s">
        <v>58</v>
      </c>
      <c r="G1759" s="235">
        <f t="shared" si="191"/>
        <v>100000</v>
      </c>
      <c r="H1759" s="234">
        <v>8420021210</v>
      </c>
      <c r="I1759" s="313" t="str">
        <f t="shared" si="183"/>
        <v>8420021210</v>
      </c>
      <c r="J1759" s="30" t="str">
        <f t="shared" si="188"/>
        <v>62104128420021210000</v>
      </c>
    </row>
    <row r="1760" spans="1:10" s="3" customFormat="1" ht="25.5">
      <c r="A1760" s="232" t="s">
        <v>108</v>
      </c>
      <c r="B1760" s="233" t="s">
        <v>16</v>
      </c>
      <c r="C1760" s="233" t="s">
        <v>37</v>
      </c>
      <c r="D1760" s="233" t="s">
        <v>40</v>
      </c>
      <c r="E1760" s="234" t="s">
        <v>578</v>
      </c>
      <c r="F1760" s="234" t="s">
        <v>116</v>
      </c>
      <c r="G1760" s="235">
        <f>G1761</f>
        <v>100000</v>
      </c>
      <c r="H1760" s="234">
        <v>8420021210</v>
      </c>
      <c r="I1760" s="313" t="str">
        <f t="shared" si="183"/>
        <v>8420021210</v>
      </c>
      <c r="J1760" s="30" t="str">
        <f t="shared" si="188"/>
        <v>62104128420021210240</v>
      </c>
    </row>
    <row r="1761" spans="1:10" s="4" customFormat="1" ht="25.5">
      <c r="A1761" s="236" t="s">
        <v>973</v>
      </c>
      <c r="B1761" s="233" t="s">
        <v>16</v>
      </c>
      <c r="C1761" s="233" t="s">
        <v>37</v>
      </c>
      <c r="D1761" s="233" t="s">
        <v>40</v>
      </c>
      <c r="E1761" s="234" t="s">
        <v>578</v>
      </c>
      <c r="F1761" s="234" t="s">
        <v>1043</v>
      </c>
      <c r="G1761" s="235">
        <f>VLOOKUP(J1761,'исх АС БЮДЖЕТ'!$A$10:$H$568,6,0)</f>
        <v>100000</v>
      </c>
      <c r="H1761" s="234">
        <v>8420021210</v>
      </c>
      <c r="I1761" s="313" t="str">
        <f t="shared" si="183"/>
        <v>8420021210</v>
      </c>
      <c r="J1761" s="30" t="str">
        <f t="shared" si="188"/>
        <v>62104128420021210244</v>
      </c>
    </row>
    <row r="1762" spans="1:10" s="4" customFormat="1" ht="25.5">
      <c r="A1762" s="232" t="s">
        <v>683</v>
      </c>
      <c r="B1762" s="233" t="s">
        <v>16</v>
      </c>
      <c r="C1762" s="233" t="s">
        <v>37</v>
      </c>
      <c r="D1762" s="233" t="s">
        <v>40</v>
      </c>
      <c r="E1762" s="234" t="s">
        <v>680</v>
      </c>
      <c r="F1762" s="233" t="s">
        <v>58</v>
      </c>
      <c r="G1762" s="289">
        <f>G1763</f>
        <v>3596700</v>
      </c>
      <c r="H1762" s="234">
        <v>9800000000</v>
      </c>
      <c r="I1762" s="313" t="str">
        <f t="shared" si="183"/>
        <v>9800000000</v>
      </c>
      <c r="J1762" s="30" t="str">
        <f t="shared" si="188"/>
        <v>62104129800000000000</v>
      </c>
    </row>
    <row r="1763" spans="1:10" s="4" customFormat="1" ht="38.25">
      <c r="A1763" s="232" t="s">
        <v>1120</v>
      </c>
      <c r="B1763" s="233" t="s">
        <v>16</v>
      </c>
      <c r="C1763" s="233" t="s">
        <v>37</v>
      </c>
      <c r="D1763" s="233" t="s">
        <v>40</v>
      </c>
      <c r="E1763" s="234" t="s">
        <v>1121</v>
      </c>
      <c r="F1763" s="233" t="s">
        <v>58</v>
      </c>
      <c r="G1763" s="289">
        <f>G1764</f>
        <v>3596700</v>
      </c>
      <c r="H1763" s="234">
        <v>9820000000</v>
      </c>
      <c r="I1763" s="313" t="str">
        <f t="shared" si="183"/>
        <v>9820000000</v>
      </c>
      <c r="J1763" s="30" t="str">
        <f t="shared" si="188"/>
        <v>62104129820000000000</v>
      </c>
    </row>
    <row r="1764" spans="1:10" s="4" customFormat="1" ht="25.5">
      <c r="A1764" s="232" t="s">
        <v>915</v>
      </c>
      <c r="B1764" s="233" t="s">
        <v>16</v>
      </c>
      <c r="C1764" s="233" t="s">
        <v>37</v>
      </c>
      <c r="D1764" s="233" t="s">
        <v>40</v>
      </c>
      <c r="E1764" s="233" t="s">
        <v>1131</v>
      </c>
      <c r="F1764" s="233" t="s">
        <v>58</v>
      </c>
      <c r="G1764" s="289">
        <f t="shared" ref="G1764" si="192">G1765</f>
        <v>3596700</v>
      </c>
      <c r="H1764" s="233">
        <v>9820020390</v>
      </c>
      <c r="I1764" s="313" t="str">
        <f t="shared" si="183"/>
        <v>9820020390</v>
      </c>
      <c r="J1764" s="30" t="str">
        <f t="shared" si="188"/>
        <v>62104129820020390000</v>
      </c>
    </row>
    <row r="1765" spans="1:10" s="4" customFormat="1" ht="25.5">
      <c r="A1765" s="232" t="s">
        <v>108</v>
      </c>
      <c r="B1765" s="233" t="s">
        <v>16</v>
      </c>
      <c r="C1765" s="233" t="s">
        <v>37</v>
      </c>
      <c r="D1765" s="233" t="s">
        <v>40</v>
      </c>
      <c r="E1765" s="233" t="s">
        <v>1131</v>
      </c>
      <c r="F1765" s="233" t="s">
        <v>116</v>
      </c>
      <c r="G1765" s="289">
        <f>G1766</f>
        <v>3596700</v>
      </c>
      <c r="H1765" s="233">
        <v>9820020390</v>
      </c>
      <c r="I1765" s="313" t="str">
        <f t="shared" si="183"/>
        <v>9820020390</v>
      </c>
      <c r="J1765" s="30" t="str">
        <f t="shared" si="188"/>
        <v>62104129820020390240</v>
      </c>
    </row>
    <row r="1766" spans="1:10" s="4" customFormat="1" ht="25.5">
      <c r="A1766" s="232" t="s">
        <v>973</v>
      </c>
      <c r="B1766" s="233" t="s">
        <v>16</v>
      </c>
      <c r="C1766" s="233" t="s">
        <v>37</v>
      </c>
      <c r="D1766" s="233" t="s">
        <v>40</v>
      </c>
      <c r="E1766" s="233" t="s">
        <v>1131</v>
      </c>
      <c r="F1766" s="234" t="s">
        <v>1043</v>
      </c>
      <c r="G1766" s="235">
        <f>VLOOKUP(J1766,'исх АС БЮДЖЕТ'!$A$10:$H$568,6,0)</f>
        <v>3596700</v>
      </c>
      <c r="H1766" s="233">
        <v>9820020390</v>
      </c>
      <c r="I1766" s="313" t="str">
        <f t="shared" si="183"/>
        <v>9820020390</v>
      </c>
      <c r="J1766" s="30" t="str">
        <f t="shared" si="188"/>
        <v>62104129820020390244</v>
      </c>
    </row>
    <row r="1767" spans="1:10" s="3" customFormat="1">
      <c r="A1767" s="224" t="s">
        <v>7</v>
      </c>
      <c r="B1767" s="225" t="s">
        <v>16</v>
      </c>
      <c r="C1767" s="226" t="s">
        <v>8</v>
      </c>
      <c r="D1767" s="226" t="s">
        <v>51</v>
      </c>
      <c r="E1767" s="226" t="s">
        <v>196</v>
      </c>
      <c r="F1767" s="226" t="s">
        <v>58</v>
      </c>
      <c r="G1767" s="227">
        <f>G1774+G1768</f>
        <v>380577978.88</v>
      </c>
      <c r="H1767" s="226">
        <v>0</v>
      </c>
      <c r="I1767" s="313" t="str">
        <f t="shared" si="183"/>
        <v>0000000000</v>
      </c>
      <c r="J1767" s="30" t="str">
        <f t="shared" si="188"/>
        <v>62105000000000000000</v>
      </c>
    </row>
    <row r="1768" spans="1:10" s="3" customFormat="1">
      <c r="A1768" s="228" t="s">
        <v>9</v>
      </c>
      <c r="B1768" s="229" t="s">
        <v>16</v>
      </c>
      <c r="C1768" s="230" t="s">
        <v>8</v>
      </c>
      <c r="D1768" s="230" t="s">
        <v>65</v>
      </c>
      <c r="E1768" s="230" t="s">
        <v>196</v>
      </c>
      <c r="F1768" s="230" t="s">
        <v>58</v>
      </c>
      <c r="G1768" s="231">
        <f>G1769</f>
        <v>1300000</v>
      </c>
      <c r="H1768" s="226"/>
      <c r="I1768" s="313"/>
      <c r="J1768" s="30"/>
    </row>
    <row r="1769" spans="1:10" s="3" customFormat="1" ht="25.5">
      <c r="A1769" s="244" t="s">
        <v>195</v>
      </c>
      <c r="B1769" s="233" t="s">
        <v>16</v>
      </c>
      <c r="C1769" s="234" t="s">
        <v>8</v>
      </c>
      <c r="D1769" s="234" t="s">
        <v>65</v>
      </c>
      <c r="E1769" s="234" t="s">
        <v>572</v>
      </c>
      <c r="F1769" s="234" t="s">
        <v>58</v>
      </c>
      <c r="G1769" s="235">
        <f>G1770</f>
        <v>1300000</v>
      </c>
      <c r="H1769" s="226"/>
      <c r="I1769" s="313"/>
      <c r="J1769" s="30"/>
    </row>
    <row r="1770" spans="1:10" s="3" customFormat="1">
      <c r="A1770" s="244" t="s">
        <v>175</v>
      </c>
      <c r="B1770" s="233" t="s">
        <v>16</v>
      </c>
      <c r="C1770" s="234" t="s">
        <v>8</v>
      </c>
      <c r="D1770" s="234" t="s">
        <v>65</v>
      </c>
      <c r="E1770" s="234" t="s">
        <v>576</v>
      </c>
      <c r="F1770" s="234" t="s">
        <v>58</v>
      </c>
      <c r="G1770" s="235">
        <f>G1771</f>
        <v>1300000</v>
      </c>
      <c r="H1770" s="226"/>
      <c r="I1770" s="313"/>
      <c r="J1770" s="30"/>
    </row>
    <row r="1771" spans="1:10" s="3" customFormat="1">
      <c r="A1771" s="244" t="s">
        <v>188</v>
      </c>
      <c r="B1771" s="233" t="s">
        <v>16</v>
      </c>
      <c r="C1771" s="234" t="s">
        <v>8</v>
      </c>
      <c r="D1771" s="234" t="s">
        <v>65</v>
      </c>
      <c r="E1771" s="234" t="s">
        <v>1510</v>
      </c>
      <c r="F1771" s="234" t="s">
        <v>58</v>
      </c>
      <c r="G1771" s="235">
        <f>G1772</f>
        <v>1300000</v>
      </c>
      <c r="H1771" s="226"/>
      <c r="I1771" s="313"/>
      <c r="J1771" s="30"/>
    </row>
    <row r="1772" spans="1:10" s="3" customFormat="1" ht="25.5">
      <c r="A1772" s="244" t="s">
        <v>108</v>
      </c>
      <c r="B1772" s="233" t="s">
        <v>16</v>
      </c>
      <c r="C1772" s="234" t="s">
        <v>8</v>
      </c>
      <c r="D1772" s="234" t="s">
        <v>65</v>
      </c>
      <c r="E1772" s="234" t="s">
        <v>1510</v>
      </c>
      <c r="F1772" s="234" t="s">
        <v>116</v>
      </c>
      <c r="G1772" s="235">
        <f>G1773</f>
        <v>1300000</v>
      </c>
      <c r="H1772" s="226"/>
      <c r="I1772" s="313"/>
      <c r="J1772" s="30"/>
    </row>
    <row r="1773" spans="1:10" s="3" customFormat="1" ht="25.5">
      <c r="A1773" s="236" t="s">
        <v>973</v>
      </c>
      <c r="B1773" s="233" t="s">
        <v>16</v>
      </c>
      <c r="C1773" s="234" t="s">
        <v>8</v>
      </c>
      <c r="D1773" s="234" t="s">
        <v>65</v>
      </c>
      <c r="E1773" s="234" t="s">
        <v>1510</v>
      </c>
      <c r="F1773" s="234" t="s">
        <v>1043</v>
      </c>
      <c r="G1773" s="235">
        <f>1300000</f>
        <v>1300000</v>
      </c>
      <c r="H1773" s="226"/>
      <c r="I1773" s="313"/>
      <c r="J1773" s="30"/>
    </row>
    <row r="1774" spans="1:10" s="3" customFormat="1">
      <c r="A1774" s="228" t="s">
        <v>1</v>
      </c>
      <c r="B1774" s="229" t="s">
        <v>16</v>
      </c>
      <c r="C1774" s="230" t="s">
        <v>8</v>
      </c>
      <c r="D1774" s="230" t="s">
        <v>53</v>
      </c>
      <c r="E1774" s="230" t="s">
        <v>196</v>
      </c>
      <c r="F1774" s="230" t="s">
        <v>58</v>
      </c>
      <c r="G1774" s="231">
        <f>G1775+G1784</f>
        <v>379277978.88</v>
      </c>
      <c r="H1774" s="230">
        <v>0</v>
      </c>
      <c r="I1774" s="313" t="str">
        <f t="shared" si="183"/>
        <v>0000000000</v>
      </c>
      <c r="J1774" s="30" t="str">
        <f>CONCATENATE(B1774,C1774,D1774,I1774,F1774)</f>
        <v>62105030000000000000</v>
      </c>
    </row>
    <row r="1775" spans="1:10" s="3" customFormat="1" ht="38.25">
      <c r="A1775" s="236" t="s">
        <v>722</v>
      </c>
      <c r="B1775" s="234" t="s">
        <v>16</v>
      </c>
      <c r="C1775" s="234" t="s">
        <v>8</v>
      </c>
      <c r="D1775" s="234" t="s">
        <v>53</v>
      </c>
      <c r="E1775" s="234" t="s">
        <v>300</v>
      </c>
      <c r="F1775" s="234" t="s">
        <v>58</v>
      </c>
      <c r="G1775" s="289">
        <f t="shared" ref="G1775:G1781" si="193">G1776</f>
        <v>187499680</v>
      </c>
      <c r="H1775" s="234">
        <v>400000000</v>
      </c>
      <c r="I1775" s="313" t="str">
        <f t="shared" si="183"/>
        <v>0400000000</v>
      </c>
      <c r="J1775" s="30" t="str">
        <f>CONCATENATE(B1775,C1775,D1775,I1775,F1775)</f>
        <v>62105030400000000000</v>
      </c>
    </row>
    <row r="1776" spans="1:10" s="3" customFormat="1">
      <c r="A1776" s="232" t="s">
        <v>142</v>
      </c>
      <c r="B1776" s="234" t="s">
        <v>16</v>
      </c>
      <c r="C1776" s="234" t="s">
        <v>8</v>
      </c>
      <c r="D1776" s="234" t="s">
        <v>53</v>
      </c>
      <c r="E1776" s="234" t="s">
        <v>453</v>
      </c>
      <c r="F1776" s="234" t="s">
        <v>58</v>
      </c>
      <c r="G1776" s="289">
        <f t="shared" si="193"/>
        <v>187499680</v>
      </c>
      <c r="H1776" s="234">
        <v>430000000</v>
      </c>
      <c r="I1776" s="313" t="str">
        <f t="shared" si="183"/>
        <v>0430000000</v>
      </c>
      <c r="J1776" s="30" t="str">
        <f>CONCATENATE(B1776,C1776,D1776,I1776,F1776)</f>
        <v>62105030430000000000</v>
      </c>
    </row>
    <row r="1777" spans="1:10" s="3" customFormat="1">
      <c r="A1777" s="252" t="s">
        <v>454</v>
      </c>
      <c r="B1777" s="241" t="s">
        <v>16</v>
      </c>
      <c r="C1777" s="242" t="s">
        <v>8</v>
      </c>
      <c r="D1777" s="242" t="s">
        <v>53</v>
      </c>
      <c r="E1777" s="234" t="s">
        <v>645</v>
      </c>
      <c r="F1777" s="242" t="s">
        <v>58</v>
      </c>
      <c r="G1777" s="243">
        <f>G1781+G1778</f>
        <v>187499680</v>
      </c>
      <c r="H1777" s="234">
        <v>430400000</v>
      </c>
      <c r="I1777" s="313" t="str">
        <f t="shared" si="183"/>
        <v>0430400000</v>
      </c>
      <c r="J1777" s="30" t="str">
        <f>CONCATENATE(B1777,C1777,D1777,I1777,F1777)</f>
        <v>62105030430400000000</v>
      </c>
    </row>
    <row r="1778" spans="1:10" s="3" customFormat="1">
      <c r="A1778" s="232" t="s">
        <v>158</v>
      </c>
      <c r="B1778" s="241" t="s">
        <v>16</v>
      </c>
      <c r="C1778" s="234" t="s">
        <v>8</v>
      </c>
      <c r="D1778" s="234" t="s">
        <v>53</v>
      </c>
      <c r="E1778" s="234" t="s">
        <v>646</v>
      </c>
      <c r="F1778" s="234" t="s">
        <v>58</v>
      </c>
      <c r="G1778" s="243">
        <f>G1779</f>
        <v>37499680</v>
      </c>
      <c r="H1778" s="234"/>
      <c r="I1778" s="313"/>
      <c r="J1778" s="30"/>
    </row>
    <row r="1779" spans="1:10" s="3" customFormat="1" ht="25.5">
      <c r="A1779" s="232" t="s">
        <v>108</v>
      </c>
      <c r="B1779" s="241" t="s">
        <v>16</v>
      </c>
      <c r="C1779" s="234" t="s">
        <v>8</v>
      </c>
      <c r="D1779" s="234" t="s">
        <v>53</v>
      </c>
      <c r="E1779" s="234" t="s">
        <v>646</v>
      </c>
      <c r="F1779" s="234" t="s">
        <v>116</v>
      </c>
      <c r="G1779" s="243">
        <f>G1780</f>
        <v>37499680</v>
      </c>
      <c r="H1779" s="234"/>
      <c r="I1779" s="313"/>
      <c r="J1779" s="30"/>
    </row>
    <row r="1780" spans="1:10" s="3" customFormat="1" ht="25.5">
      <c r="A1780" s="236" t="s">
        <v>973</v>
      </c>
      <c r="B1780" s="241" t="s">
        <v>16</v>
      </c>
      <c r="C1780" s="234" t="s">
        <v>8</v>
      </c>
      <c r="D1780" s="234" t="s">
        <v>53</v>
      </c>
      <c r="E1780" s="234" t="s">
        <v>646</v>
      </c>
      <c r="F1780" s="234" t="s">
        <v>1043</v>
      </c>
      <c r="G1780" s="243">
        <f>37499680</f>
        <v>37499680</v>
      </c>
      <c r="H1780" s="234"/>
      <c r="I1780" s="313"/>
      <c r="J1780" s="30"/>
    </row>
    <row r="1781" spans="1:10" s="3" customFormat="1" ht="51">
      <c r="A1781" s="236" t="s">
        <v>588</v>
      </c>
      <c r="B1781" s="241" t="s">
        <v>16</v>
      </c>
      <c r="C1781" s="242" t="s">
        <v>8</v>
      </c>
      <c r="D1781" s="242" t="s">
        <v>53</v>
      </c>
      <c r="E1781" s="242" t="s">
        <v>648</v>
      </c>
      <c r="F1781" s="242" t="s">
        <v>58</v>
      </c>
      <c r="G1781" s="243">
        <f t="shared" si="193"/>
        <v>150000000</v>
      </c>
      <c r="H1781" s="242">
        <v>430420800</v>
      </c>
      <c r="I1781" s="313" t="str">
        <f t="shared" si="183"/>
        <v>0430420800</v>
      </c>
      <c r="J1781" s="30" t="str">
        <f>CONCATENATE(B1781,C1781,D1781,I1781,F1781)</f>
        <v>62105030430420800000</v>
      </c>
    </row>
    <row r="1782" spans="1:10" s="3" customFormat="1" ht="25.5">
      <c r="A1782" s="232" t="s">
        <v>108</v>
      </c>
      <c r="B1782" s="241" t="s">
        <v>16</v>
      </c>
      <c r="C1782" s="242" t="s">
        <v>8</v>
      </c>
      <c r="D1782" s="242" t="s">
        <v>53</v>
      </c>
      <c r="E1782" s="242" t="s">
        <v>648</v>
      </c>
      <c r="F1782" s="242" t="s">
        <v>116</v>
      </c>
      <c r="G1782" s="243">
        <f>G1783</f>
        <v>150000000</v>
      </c>
      <c r="H1782" s="242">
        <v>430420800</v>
      </c>
      <c r="I1782" s="313" t="str">
        <f t="shared" si="183"/>
        <v>0430420800</v>
      </c>
      <c r="J1782" s="30" t="str">
        <f>CONCATENATE(B1782,C1782,D1782,I1782,F1782)</f>
        <v>62105030430420800240</v>
      </c>
    </row>
    <row r="1783" spans="1:10" s="4" customFormat="1" ht="25.5">
      <c r="A1783" s="236" t="s">
        <v>973</v>
      </c>
      <c r="B1783" s="241" t="s">
        <v>16</v>
      </c>
      <c r="C1783" s="242" t="s">
        <v>8</v>
      </c>
      <c r="D1783" s="242" t="s">
        <v>53</v>
      </c>
      <c r="E1783" s="242" t="s">
        <v>648</v>
      </c>
      <c r="F1783" s="242" t="s">
        <v>1043</v>
      </c>
      <c r="G1783" s="235">
        <f>VLOOKUP(J1783,'исх АС БЮДЖЕТ'!$A$10:$H$568,6,0)</f>
        <v>150000000</v>
      </c>
      <c r="H1783" s="242">
        <v>430420800</v>
      </c>
      <c r="I1783" s="313" t="str">
        <f t="shared" si="183"/>
        <v>0430420800</v>
      </c>
      <c r="J1783" s="30" t="str">
        <f>CONCATENATE(B1783,C1783,D1783,I1783,F1783)</f>
        <v>62105030430420800244</v>
      </c>
    </row>
    <row r="1784" spans="1:10" s="4" customFormat="1" ht="25.5">
      <c r="A1784" s="232" t="s">
        <v>683</v>
      </c>
      <c r="B1784" s="234" t="s">
        <v>16</v>
      </c>
      <c r="C1784" s="234" t="s">
        <v>8</v>
      </c>
      <c r="D1784" s="234" t="s">
        <v>53</v>
      </c>
      <c r="E1784" s="234" t="s">
        <v>680</v>
      </c>
      <c r="F1784" s="234" t="s">
        <v>58</v>
      </c>
      <c r="G1784" s="311">
        <f t="shared" ref="G1784:G1787" si="194">G1785</f>
        <v>191778298.88</v>
      </c>
      <c r="H1784" s="234">
        <v>9800000000</v>
      </c>
      <c r="I1784" s="313" t="str">
        <f t="shared" ref="I1784:I1847" si="195">TEXT(H1784,"0000000000")</f>
        <v>9800000000</v>
      </c>
      <c r="J1784" s="30" t="str">
        <f t="shared" ref="J1784:J1847" si="196">CONCATENATE(B1784,C1784,D1784,I1784,F1784)</f>
        <v>62105039800000000000</v>
      </c>
    </row>
    <row r="1785" spans="1:10" s="4" customFormat="1" ht="38.25">
      <c r="A1785" s="232" t="s">
        <v>1120</v>
      </c>
      <c r="B1785" s="234" t="s">
        <v>16</v>
      </c>
      <c r="C1785" s="234" t="s">
        <v>8</v>
      </c>
      <c r="D1785" s="234" t="s">
        <v>53</v>
      </c>
      <c r="E1785" s="234" t="s">
        <v>1121</v>
      </c>
      <c r="F1785" s="234" t="s">
        <v>58</v>
      </c>
      <c r="G1785" s="311">
        <f t="shared" si="194"/>
        <v>191778298.88</v>
      </c>
      <c r="H1785" s="234">
        <v>9820000000</v>
      </c>
      <c r="I1785" s="313" t="str">
        <f t="shared" si="195"/>
        <v>9820000000</v>
      </c>
      <c r="J1785" s="30" t="str">
        <f t="shared" si="196"/>
        <v>62105039820000000000</v>
      </c>
    </row>
    <row r="1786" spans="1:10" s="4" customFormat="1" ht="51">
      <c r="A1786" s="232" t="s">
        <v>588</v>
      </c>
      <c r="B1786" s="234" t="s">
        <v>16</v>
      </c>
      <c r="C1786" s="234" t="s">
        <v>8</v>
      </c>
      <c r="D1786" s="234" t="s">
        <v>53</v>
      </c>
      <c r="E1786" s="234" t="s">
        <v>1179</v>
      </c>
      <c r="F1786" s="234" t="s">
        <v>58</v>
      </c>
      <c r="G1786" s="235">
        <f t="shared" si="194"/>
        <v>191778298.88</v>
      </c>
      <c r="H1786" s="234">
        <v>9820020800</v>
      </c>
      <c r="I1786" s="313" t="str">
        <f t="shared" si="195"/>
        <v>9820020800</v>
      </c>
      <c r="J1786" s="30" t="str">
        <f t="shared" si="196"/>
        <v>62105039820020800000</v>
      </c>
    </row>
    <row r="1787" spans="1:10" s="4" customFormat="1">
      <c r="A1787" s="232" t="s">
        <v>21</v>
      </c>
      <c r="B1787" s="234" t="s">
        <v>16</v>
      </c>
      <c r="C1787" s="234" t="s">
        <v>8</v>
      </c>
      <c r="D1787" s="234" t="s">
        <v>53</v>
      </c>
      <c r="E1787" s="234" t="s">
        <v>1179</v>
      </c>
      <c r="F1787" s="234" t="s">
        <v>103</v>
      </c>
      <c r="G1787" s="235">
        <f t="shared" si="194"/>
        <v>191778298.88</v>
      </c>
      <c r="H1787" s="234">
        <v>9820020800</v>
      </c>
      <c r="I1787" s="313" t="str">
        <f t="shared" si="195"/>
        <v>9820020800</v>
      </c>
      <c r="J1787" s="30" t="str">
        <f t="shared" si="196"/>
        <v>62105039820020800410</v>
      </c>
    </row>
    <row r="1788" spans="1:10" s="4" customFormat="1" ht="25.5">
      <c r="A1788" s="236" t="s">
        <v>987</v>
      </c>
      <c r="B1788" s="234" t="s">
        <v>16</v>
      </c>
      <c r="C1788" s="234" t="s">
        <v>8</v>
      </c>
      <c r="D1788" s="234" t="s">
        <v>53</v>
      </c>
      <c r="E1788" s="234" t="s">
        <v>1179</v>
      </c>
      <c r="F1788" s="234" t="s">
        <v>1052</v>
      </c>
      <c r="G1788" s="235">
        <f>VLOOKUP(J1788,'исх АС БЮДЖЕТ'!$A$10:$H$568,6,0)</f>
        <v>191778298.88</v>
      </c>
      <c r="H1788" s="234">
        <v>9820020800</v>
      </c>
      <c r="I1788" s="313" t="str">
        <f t="shared" si="195"/>
        <v>9820020800</v>
      </c>
      <c r="J1788" s="30" t="str">
        <f t="shared" si="196"/>
        <v>62105039820020800414</v>
      </c>
    </row>
    <row r="1789" spans="1:10" s="3" customFormat="1">
      <c r="A1789" s="224" t="s">
        <v>70</v>
      </c>
      <c r="B1789" s="225" t="s">
        <v>16</v>
      </c>
      <c r="C1789" s="226" t="s">
        <v>71</v>
      </c>
      <c r="D1789" s="226" t="s">
        <v>51</v>
      </c>
      <c r="E1789" s="226" t="s">
        <v>196</v>
      </c>
      <c r="F1789" s="226" t="s">
        <v>58</v>
      </c>
      <c r="G1789" s="227">
        <f>G1790+G1797</f>
        <v>783313086.77999997</v>
      </c>
      <c r="H1789" s="226">
        <v>0</v>
      </c>
      <c r="I1789" s="313" t="str">
        <f t="shared" si="195"/>
        <v>0000000000</v>
      </c>
      <c r="J1789" s="30" t="str">
        <f t="shared" si="196"/>
        <v>62107000000000000000</v>
      </c>
    </row>
    <row r="1790" spans="1:10" s="3" customFormat="1">
      <c r="A1790" s="228" t="s">
        <v>72</v>
      </c>
      <c r="B1790" s="229" t="s">
        <v>16</v>
      </c>
      <c r="C1790" s="230" t="s">
        <v>71</v>
      </c>
      <c r="D1790" s="230" t="s">
        <v>65</v>
      </c>
      <c r="E1790" s="230" t="s">
        <v>196</v>
      </c>
      <c r="F1790" s="230" t="s">
        <v>58</v>
      </c>
      <c r="G1790" s="231">
        <f t="shared" ref="G1790:G1793" si="197">G1791</f>
        <v>600000</v>
      </c>
      <c r="H1790" s="230">
        <v>0</v>
      </c>
      <c r="I1790" s="313" t="str">
        <f t="shared" si="195"/>
        <v>0000000000</v>
      </c>
      <c r="J1790" s="30" t="str">
        <f t="shared" si="196"/>
        <v>62107010000000000000</v>
      </c>
    </row>
    <row r="1791" spans="1:10" s="3" customFormat="1">
      <c r="A1791" s="244" t="s">
        <v>723</v>
      </c>
      <c r="B1791" s="233" t="s">
        <v>16</v>
      </c>
      <c r="C1791" s="234" t="s">
        <v>71</v>
      </c>
      <c r="D1791" s="234" t="s">
        <v>65</v>
      </c>
      <c r="E1791" s="234" t="s">
        <v>331</v>
      </c>
      <c r="F1791" s="234" t="s">
        <v>58</v>
      </c>
      <c r="G1791" s="235">
        <f t="shared" si="197"/>
        <v>600000</v>
      </c>
      <c r="H1791" s="234">
        <v>100000000</v>
      </c>
      <c r="I1791" s="313" t="str">
        <f t="shared" si="195"/>
        <v>0100000000</v>
      </c>
      <c r="J1791" s="30" t="str">
        <f t="shared" si="196"/>
        <v>62107010100000000000</v>
      </c>
    </row>
    <row r="1792" spans="1:10" s="3" customFormat="1" ht="25.5">
      <c r="A1792" s="232" t="s">
        <v>724</v>
      </c>
      <c r="B1792" s="233" t="s">
        <v>16</v>
      </c>
      <c r="C1792" s="234" t="s">
        <v>71</v>
      </c>
      <c r="D1792" s="234" t="s">
        <v>65</v>
      </c>
      <c r="E1792" s="234" t="s">
        <v>562</v>
      </c>
      <c r="F1792" s="234" t="s">
        <v>58</v>
      </c>
      <c r="G1792" s="235">
        <f t="shared" si="197"/>
        <v>600000</v>
      </c>
      <c r="H1792" s="234">
        <v>120000000</v>
      </c>
      <c r="I1792" s="313" t="str">
        <f t="shared" si="195"/>
        <v>0120000000</v>
      </c>
      <c r="J1792" s="30" t="str">
        <f t="shared" si="196"/>
        <v>62107010120000000000</v>
      </c>
    </row>
    <row r="1793" spans="1:10" s="3" customFormat="1" ht="38.25">
      <c r="A1793" s="232" t="s">
        <v>612</v>
      </c>
      <c r="B1793" s="233" t="s">
        <v>16</v>
      </c>
      <c r="C1793" s="234" t="s">
        <v>71</v>
      </c>
      <c r="D1793" s="234" t="s">
        <v>65</v>
      </c>
      <c r="E1793" s="234" t="s">
        <v>563</v>
      </c>
      <c r="F1793" s="234" t="s">
        <v>58</v>
      </c>
      <c r="G1793" s="235">
        <f t="shared" si="197"/>
        <v>600000</v>
      </c>
      <c r="H1793" s="234">
        <v>120100000</v>
      </c>
      <c r="I1793" s="313" t="str">
        <f t="shared" si="195"/>
        <v>0120100000</v>
      </c>
      <c r="J1793" s="30" t="str">
        <f t="shared" si="196"/>
        <v>62107010120100000000</v>
      </c>
    </row>
    <row r="1794" spans="1:10" s="3" customFormat="1" ht="25.5">
      <c r="A1794" s="232" t="s">
        <v>154</v>
      </c>
      <c r="B1794" s="233" t="s">
        <v>16</v>
      </c>
      <c r="C1794" s="234" t="s">
        <v>71</v>
      </c>
      <c r="D1794" s="234" t="s">
        <v>65</v>
      </c>
      <c r="E1794" s="234" t="s">
        <v>564</v>
      </c>
      <c r="F1794" s="234" t="s">
        <v>58</v>
      </c>
      <c r="G1794" s="235">
        <f>G1795</f>
        <v>600000</v>
      </c>
      <c r="H1794" s="234">
        <v>120140010</v>
      </c>
      <c r="I1794" s="313" t="str">
        <f t="shared" si="195"/>
        <v>0120140010</v>
      </c>
      <c r="J1794" s="30" t="str">
        <f t="shared" si="196"/>
        <v>62107010120140010000</v>
      </c>
    </row>
    <row r="1795" spans="1:10" s="3" customFormat="1">
      <c r="A1795" s="232" t="s">
        <v>21</v>
      </c>
      <c r="B1795" s="233" t="s">
        <v>16</v>
      </c>
      <c r="C1795" s="234" t="s">
        <v>71</v>
      </c>
      <c r="D1795" s="234" t="s">
        <v>65</v>
      </c>
      <c r="E1795" s="234" t="s">
        <v>564</v>
      </c>
      <c r="F1795" s="234" t="s">
        <v>103</v>
      </c>
      <c r="G1795" s="235">
        <f>G1796</f>
        <v>600000</v>
      </c>
      <c r="H1795" s="234">
        <v>120140010</v>
      </c>
      <c r="I1795" s="313" t="str">
        <f t="shared" si="195"/>
        <v>0120140010</v>
      </c>
      <c r="J1795" s="30" t="str">
        <f t="shared" si="196"/>
        <v>62107010120140010410</v>
      </c>
    </row>
    <row r="1796" spans="1:10" s="4" customFormat="1" ht="25.5">
      <c r="A1796" s="236" t="s">
        <v>987</v>
      </c>
      <c r="B1796" s="233" t="s">
        <v>16</v>
      </c>
      <c r="C1796" s="234" t="s">
        <v>71</v>
      </c>
      <c r="D1796" s="234" t="s">
        <v>65</v>
      </c>
      <c r="E1796" s="234" t="s">
        <v>564</v>
      </c>
      <c r="F1796" s="234" t="s">
        <v>1052</v>
      </c>
      <c r="G1796" s="235">
        <f>VLOOKUP(J1796,'исх АС БЮДЖЕТ'!$A$10:$H$568,6,0)</f>
        <v>600000</v>
      </c>
      <c r="H1796" s="234">
        <v>120140010</v>
      </c>
      <c r="I1796" s="313" t="str">
        <f t="shared" si="195"/>
        <v>0120140010</v>
      </c>
      <c r="J1796" s="30" t="str">
        <f t="shared" si="196"/>
        <v>62107010120140010414</v>
      </c>
    </row>
    <row r="1797" spans="1:10" s="3" customFormat="1">
      <c r="A1797" s="228" t="s">
        <v>61</v>
      </c>
      <c r="B1797" s="229" t="s">
        <v>16</v>
      </c>
      <c r="C1797" s="230" t="s">
        <v>71</v>
      </c>
      <c r="D1797" s="230" t="s">
        <v>66</v>
      </c>
      <c r="E1797" s="230" t="s">
        <v>196</v>
      </c>
      <c r="F1797" s="230" t="s">
        <v>58</v>
      </c>
      <c r="G1797" s="231">
        <f>G1798+G1810</f>
        <v>782713086.77999997</v>
      </c>
      <c r="H1797" s="230">
        <v>0</v>
      </c>
      <c r="I1797" s="313" t="str">
        <f t="shared" si="195"/>
        <v>0000000000</v>
      </c>
      <c r="J1797" s="30" t="str">
        <f t="shared" si="196"/>
        <v>62107020000000000000</v>
      </c>
    </row>
    <row r="1798" spans="1:10" s="3" customFormat="1">
      <c r="A1798" s="244" t="s">
        <v>723</v>
      </c>
      <c r="B1798" s="233" t="s">
        <v>16</v>
      </c>
      <c r="C1798" s="234" t="s">
        <v>71</v>
      </c>
      <c r="D1798" s="234" t="s">
        <v>66</v>
      </c>
      <c r="E1798" s="234" t="s">
        <v>331</v>
      </c>
      <c r="F1798" s="234" t="s">
        <v>58</v>
      </c>
      <c r="G1798" s="235">
        <f t="shared" ref="G1798:G1799" si="198">G1799</f>
        <v>780905360</v>
      </c>
      <c r="H1798" s="234">
        <v>100000000</v>
      </c>
      <c r="I1798" s="313" t="str">
        <f t="shared" si="195"/>
        <v>0100000000</v>
      </c>
      <c r="J1798" s="30" t="str">
        <f t="shared" si="196"/>
        <v>62107020100000000000</v>
      </c>
    </row>
    <row r="1799" spans="1:10" s="3" customFormat="1" ht="25.5">
      <c r="A1799" s="232" t="s">
        <v>724</v>
      </c>
      <c r="B1799" s="233" t="s">
        <v>16</v>
      </c>
      <c r="C1799" s="234" t="s">
        <v>71</v>
      </c>
      <c r="D1799" s="234" t="s">
        <v>66</v>
      </c>
      <c r="E1799" s="234" t="s">
        <v>562</v>
      </c>
      <c r="F1799" s="234" t="s">
        <v>58</v>
      </c>
      <c r="G1799" s="235">
        <f t="shared" si="198"/>
        <v>780905360</v>
      </c>
      <c r="H1799" s="234">
        <v>120000000</v>
      </c>
      <c r="I1799" s="313" t="str">
        <f t="shared" si="195"/>
        <v>0120000000</v>
      </c>
      <c r="J1799" s="30" t="str">
        <f t="shared" si="196"/>
        <v>62107020120000000000</v>
      </c>
    </row>
    <row r="1800" spans="1:10" s="3" customFormat="1" ht="38.25">
      <c r="A1800" s="232" t="s">
        <v>612</v>
      </c>
      <c r="B1800" s="233" t="s">
        <v>16</v>
      </c>
      <c r="C1800" s="234" t="s">
        <v>71</v>
      </c>
      <c r="D1800" s="234" t="s">
        <v>66</v>
      </c>
      <c r="E1800" s="234" t="s">
        <v>563</v>
      </c>
      <c r="F1800" s="234" t="s">
        <v>58</v>
      </c>
      <c r="G1800" s="235">
        <f>G1801+G1804+G1807</f>
        <v>780905360</v>
      </c>
      <c r="H1800" s="234">
        <v>120100000</v>
      </c>
      <c r="I1800" s="313" t="str">
        <f t="shared" si="195"/>
        <v>0120100000</v>
      </c>
      <c r="J1800" s="30" t="str">
        <f t="shared" si="196"/>
        <v>62107020120100000000</v>
      </c>
    </row>
    <row r="1801" spans="1:10" s="3" customFormat="1" ht="25.5">
      <c r="A1801" s="232" t="s">
        <v>154</v>
      </c>
      <c r="B1801" s="233" t="s">
        <v>16</v>
      </c>
      <c r="C1801" s="234" t="s">
        <v>71</v>
      </c>
      <c r="D1801" s="234" t="s">
        <v>66</v>
      </c>
      <c r="E1801" s="234" t="s">
        <v>564</v>
      </c>
      <c r="F1801" s="234" t="s">
        <v>58</v>
      </c>
      <c r="G1801" s="235">
        <f>G1802</f>
        <v>150000</v>
      </c>
      <c r="H1801" s="234">
        <v>120140010</v>
      </c>
      <c r="I1801" s="313" t="str">
        <f t="shared" si="195"/>
        <v>0120140010</v>
      </c>
      <c r="J1801" s="30" t="str">
        <f t="shared" si="196"/>
        <v>62107020120140010000</v>
      </c>
    </row>
    <row r="1802" spans="1:10" s="3" customFormat="1">
      <c r="A1802" s="232" t="s">
        <v>21</v>
      </c>
      <c r="B1802" s="233" t="s">
        <v>16</v>
      </c>
      <c r="C1802" s="234" t="s">
        <v>71</v>
      </c>
      <c r="D1802" s="234" t="s">
        <v>66</v>
      </c>
      <c r="E1802" s="234" t="s">
        <v>564</v>
      </c>
      <c r="F1802" s="234" t="s">
        <v>103</v>
      </c>
      <c r="G1802" s="235">
        <f>G1803</f>
        <v>150000</v>
      </c>
      <c r="H1802" s="234">
        <v>120140010</v>
      </c>
      <c r="I1802" s="313" t="str">
        <f t="shared" si="195"/>
        <v>0120140010</v>
      </c>
      <c r="J1802" s="30" t="str">
        <f t="shared" si="196"/>
        <v>62107020120140010410</v>
      </c>
    </row>
    <row r="1803" spans="1:10" s="4" customFormat="1" ht="25.5">
      <c r="A1803" s="236" t="s">
        <v>987</v>
      </c>
      <c r="B1803" s="233" t="s">
        <v>16</v>
      </c>
      <c r="C1803" s="234" t="s">
        <v>71</v>
      </c>
      <c r="D1803" s="234" t="s">
        <v>66</v>
      </c>
      <c r="E1803" s="234" t="s">
        <v>564</v>
      </c>
      <c r="F1803" s="234" t="s">
        <v>1052</v>
      </c>
      <c r="G1803" s="235">
        <f>VLOOKUP(J1803,'исх АС БЮДЖЕТ'!$A$10:$H$568,6,0)</f>
        <v>150000</v>
      </c>
      <c r="H1803" s="234">
        <v>120140010</v>
      </c>
      <c r="I1803" s="313" t="str">
        <f t="shared" si="195"/>
        <v>0120140010</v>
      </c>
      <c r="J1803" s="30" t="str">
        <f t="shared" si="196"/>
        <v>62107020120140010414</v>
      </c>
    </row>
    <row r="1804" spans="1:10" s="3" customFormat="1" ht="38.25">
      <c r="A1804" s="232" t="s">
        <v>922</v>
      </c>
      <c r="B1804" s="233" t="s">
        <v>16</v>
      </c>
      <c r="C1804" s="234" t="s">
        <v>71</v>
      </c>
      <c r="D1804" s="234" t="s">
        <v>66</v>
      </c>
      <c r="E1804" s="234" t="s">
        <v>921</v>
      </c>
      <c r="F1804" s="234" t="s">
        <v>58</v>
      </c>
      <c r="G1804" s="235">
        <f>G1805</f>
        <v>14430380</v>
      </c>
      <c r="H1804" s="234" t="s">
        <v>1247</v>
      </c>
      <c r="I1804" s="313" t="str">
        <f t="shared" si="195"/>
        <v>01201L5201</v>
      </c>
      <c r="J1804" s="30" t="str">
        <f t="shared" si="196"/>
        <v>621070201201L5201000</v>
      </c>
    </row>
    <row r="1805" spans="1:10" s="3" customFormat="1">
      <c r="A1805" s="232" t="s">
        <v>21</v>
      </c>
      <c r="B1805" s="233" t="s">
        <v>16</v>
      </c>
      <c r="C1805" s="234" t="s">
        <v>71</v>
      </c>
      <c r="D1805" s="234" t="s">
        <v>66</v>
      </c>
      <c r="E1805" s="234" t="s">
        <v>921</v>
      </c>
      <c r="F1805" s="234" t="s">
        <v>103</v>
      </c>
      <c r="G1805" s="235">
        <f>G1806</f>
        <v>14430380</v>
      </c>
      <c r="H1805" s="234" t="s">
        <v>1247</v>
      </c>
      <c r="I1805" s="313" t="str">
        <f t="shared" si="195"/>
        <v>01201L5201</v>
      </c>
      <c r="J1805" s="30" t="str">
        <f t="shared" si="196"/>
        <v>621070201201L5201410</v>
      </c>
    </row>
    <row r="1806" spans="1:10" s="4" customFormat="1" ht="25.5">
      <c r="A1806" s="236" t="s">
        <v>987</v>
      </c>
      <c r="B1806" s="233" t="s">
        <v>16</v>
      </c>
      <c r="C1806" s="234" t="s">
        <v>71</v>
      </c>
      <c r="D1806" s="234" t="s">
        <v>66</v>
      </c>
      <c r="E1806" s="234" t="s">
        <v>921</v>
      </c>
      <c r="F1806" s="234" t="s">
        <v>1052</v>
      </c>
      <c r="G1806" s="235">
        <f>VLOOKUP(J1806,'исх АС БЮДЖЕТ'!$A$10:$H$568,6,0)</f>
        <v>14430380</v>
      </c>
      <c r="H1806" s="234" t="s">
        <v>1247</v>
      </c>
      <c r="I1806" s="313" t="str">
        <f t="shared" si="195"/>
        <v>01201L5201</v>
      </c>
      <c r="J1806" s="30" t="str">
        <f t="shared" si="196"/>
        <v>621070201201L5201414</v>
      </c>
    </row>
    <row r="1807" spans="1:10" s="3" customFormat="1" ht="25.5">
      <c r="A1807" s="232" t="s">
        <v>924</v>
      </c>
      <c r="B1807" s="233" t="s">
        <v>16</v>
      </c>
      <c r="C1807" s="234" t="s">
        <v>71</v>
      </c>
      <c r="D1807" s="234" t="s">
        <v>66</v>
      </c>
      <c r="E1807" s="234" t="s">
        <v>923</v>
      </c>
      <c r="F1807" s="234" t="s">
        <v>58</v>
      </c>
      <c r="G1807" s="235">
        <f>G1808</f>
        <v>766324980</v>
      </c>
      <c r="H1807" s="234" t="s">
        <v>1248</v>
      </c>
      <c r="I1807" s="313" t="str">
        <f t="shared" si="195"/>
        <v>01201R5200</v>
      </c>
      <c r="J1807" s="30" t="str">
        <f t="shared" si="196"/>
        <v>621070201201R5200000</v>
      </c>
    </row>
    <row r="1808" spans="1:10" s="3" customFormat="1">
      <c r="A1808" s="232" t="s">
        <v>21</v>
      </c>
      <c r="B1808" s="233" t="s">
        <v>16</v>
      </c>
      <c r="C1808" s="234" t="s">
        <v>71</v>
      </c>
      <c r="D1808" s="234" t="s">
        <v>66</v>
      </c>
      <c r="E1808" s="234" t="s">
        <v>923</v>
      </c>
      <c r="F1808" s="234" t="s">
        <v>103</v>
      </c>
      <c r="G1808" s="235">
        <f>G1809</f>
        <v>766324980</v>
      </c>
      <c r="H1808" s="234" t="s">
        <v>1248</v>
      </c>
      <c r="I1808" s="313" t="str">
        <f t="shared" si="195"/>
        <v>01201R5200</v>
      </c>
      <c r="J1808" s="30" t="str">
        <f t="shared" si="196"/>
        <v>621070201201R5200410</v>
      </c>
    </row>
    <row r="1809" spans="1:10" s="4" customFormat="1" ht="25.5">
      <c r="A1809" s="236" t="s">
        <v>987</v>
      </c>
      <c r="B1809" s="233" t="s">
        <v>16</v>
      </c>
      <c r="C1809" s="234" t="s">
        <v>71</v>
      </c>
      <c r="D1809" s="234" t="s">
        <v>66</v>
      </c>
      <c r="E1809" s="234" t="s">
        <v>923</v>
      </c>
      <c r="F1809" s="234" t="s">
        <v>1052</v>
      </c>
      <c r="G1809" s="235">
        <f>VLOOKUP(J1809,'исх АС БЮДЖЕТ'!$A$10:$H$568,6,0)</f>
        <v>766324980</v>
      </c>
      <c r="H1809" s="234" t="s">
        <v>1248</v>
      </c>
      <c r="I1809" s="313" t="str">
        <f t="shared" si="195"/>
        <v>01201R5200</v>
      </c>
      <c r="J1809" s="30" t="str">
        <f t="shared" si="196"/>
        <v>621070201201R5200414</v>
      </c>
    </row>
    <row r="1810" spans="1:10" s="4" customFormat="1" ht="25.5">
      <c r="A1810" s="232" t="s">
        <v>683</v>
      </c>
      <c r="B1810" s="233" t="s">
        <v>16</v>
      </c>
      <c r="C1810" s="233" t="s">
        <v>71</v>
      </c>
      <c r="D1810" s="233" t="s">
        <v>66</v>
      </c>
      <c r="E1810" s="234" t="s">
        <v>680</v>
      </c>
      <c r="F1810" s="233" t="s">
        <v>58</v>
      </c>
      <c r="G1810" s="235">
        <f>G1811</f>
        <v>1807726.78</v>
      </c>
      <c r="H1810" s="234">
        <v>9800000000</v>
      </c>
      <c r="I1810" s="313" t="str">
        <f t="shared" si="195"/>
        <v>9800000000</v>
      </c>
      <c r="J1810" s="30" t="str">
        <f t="shared" si="196"/>
        <v>62107029800000000000</v>
      </c>
    </row>
    <row r="1811" spans="1:10" s="4" customFormat="1" ht="38.25">
      <c r="A1811" s="232" t="s">
        <v>1120</v>
      </c>
      <c r="B1811" s="233" t="s">
        <v>16</v>
      </c>
      <c r="C1811" s="233" t="s">
        <v>71</v>
      </c>
      <c r="D1811" s="233" t="s">
        <v>66</v>
      </c>
      <c r="E1811" s="234" t="s">
        <v>1121</v>
      </c>
      <c r="F1811" s="233" t="s">
        <v>58</v>
      </c>
      <c r="G1811" s="235">
        <f>G1812</f>
        <v>1807726.78</v>
      </c>
      <c r="H1811" s="234">
        <v>9820000000</v>
      </c>
      <c r="I1811" s="313" t="str">
        <f t="shared" si="195"/>
        <v>9820000000</v>
      </c>
      <c r="J1811" s="30" t="str">
        <f t="shared" si="196"/>
        <v>62107029820000000000</v>
      </c>
    </row>
    <row r="1812" spans="1:10" s="4" customFormat="1" ht="63.75">
      <c r="A1812" s="232" t="s">
        <v>1125</v>
      </c>
      <c r="B1812" s="233" t="s">
        <v>16</v>
      </c>
      <c r="C1812" s="234" t="s">
        <v>71</v>
      </c>
      <c r="D1812" s="234" t="s">
        <v>66</v>
      </c>
      <c r="E1812" s="234" t="s">
        <v>1126</v>
      </c>
      <c r="F1812" s="234" t="s">
        <v>58</v>
      </c>
      <c r="G1812" s="235">
        <f>G1813</f>
        <v>1807726.78</v>
      </c>
      <c r="H1812" s="234" t="s">
        <v>1249</v>
      </c>
      <c r="I1812" s="313" t="str">
        <f t="shared" si="195"/>
        <v>98200L1122</v>
      </c>
      <c r="J1812" s="30" t="str">
        <f t="shared" si="196"/>
        <v>621070298200L1122000</v>
      </c>
    </row>
    <row r="1813" spans="1:10" s="4" customFormat="1">
      <c r="A1813" s="232" t="s">
        <v>21</v>
      </c>
      <c r="B1813" s="233" t="s">
        <v>16</v>
      </c>
      <c r="C1813" s="234" t="s">
        <v>71</v>
      </c>
      <c r="D1813" s="234" t="s">
        <v>66</v>
      </c>
      <c r="E1813" s="234" t="s">
        <v>1126</v>
      </c>
      <c r="F1813" s="234" t="s">
        <v>103</v>
      </c>
      <c r="G1813" s="235">
        <f>G1814</f>
        <v>1807726.78</v>
      </c>
      <c r="H1813" s="234" t="s">
        <v>1249</v>
      </c>
      <c r="I1813" s="313" t="str">
        <f t="shared" si="195"/>
        <v>98200L1122</v>
      </c>
      <c r="J1813" s="30" t="str">
        <f t="shared" si="196"/>
        <v>621070298200L1122410</v>
      </c>
    </row>
    <row r="1814" spans="1:10" s="4" customFormat="1" ht="25.5">
      <c r="A1814" s="236" t="s">
        <v>987</v>
      </c>
      <c r="B1814" s="233" t="s">
        <v>16</v>
      </c>
      <c r="C1814" s="234" t="s">
        <v>71</v>
      </c>
      <c r="D1814" s="234" t="s">
        <v>66</v>
      </c>
      <c r="E1814" s="234" t="s">
        <v>1126</v>
      </c>
      <c r="F1814" s="234" t="s">
        <v>1052</v>
      </c>
      <c r="G1814" s="235">
        <f>VLOOKUP(J1814,'исх АС БЮДЖЕТ'!$A$10:$H$568,6,0)</f>
        <v>1807726.78</v>
      </c>
      <c r="H1814" s="234" t="s">
        <v>1249</v>
      </c>
      <c r="I1814" s="313" t="str">
        <f t="shared" si="195"/>
        <v>98200L1122</v>
      </c>
      <c r="J1814" s="30" t="str">
        <f t="shared" si="196"/>
        <v>621070298200L1122414</v>
      </c>
    </row>
    <row r="1815" spans="1:10" s="3" customFormat="1">
      <c r="A1815" s="224" t="s">
        <v>83</v>
      </c>
      <c r="B1815" s="225" t="s">
        <v>16</v>
      </c>
      <c r="C1815" s="226" t="s">
        <v>50</v>
      </c>
      <c r="D1815" s="226" t="s">
        <v>51</v>
      </c>
      <c r="E1815" s="226" t="s">
        <v>196</v>
      </c>
      <c r="F1815" s="226" t="s">
        <v>58</v>
      </c>
      <c r="G1815" s="227">
        <f t="shared" ref="G1815" si="199">G1816</f>
        <v>105474355.84</v>
      </c>
      <c r="H1815" s="226">
        <v>0</v>
      </c>
      <c r="I1815" s="313" t="str">
        <f t="shared" si="195"/>
        <v>0000000000</v>
      </c>
      <c r="J1815" s="30" t="str">
        <f t="shared" si="196"/>
        <v>62108000000000000000</v>
      </c>
    </row>
    <row r="1816" spans="1:10" s="3" customFormat="1">
      <c r="A1816" s="228" t="s">
        <v>27</v>
      </c>
      <c r="B1816" s="229" t="s">
        <v>16</v>
      </c>
      <c r="C1816" s="230" t="s">
        <v>50</v>
      </c>
      <c r="D1816" s="230" t="s">
        <v>65</v>
      </c>
      <c r="E1816" s="230" t="s">
        <v>196</v>
      </c>
      <c r="F1816" s="230" t="s">
        <v>58</v>
      </c>
      <c r="G1816" s="231">
        <f>G1817+G1832</f>
        <v>105474355.84</v>
      </c>
      <c r="H1816" s="230">
        <v>0</v>
      </c>
      <c r="I1816" s="313" t="str">
        <f t="shared" si="195"/>
        <v>0000000000</v>
      </c>
      <c r="J1816" s="30" t="str">
        <f t="shared" si="196"/>
        <v>62108010000000000000</v>
      </c>
    </row>
    <row r="1817" spans="1:10" s="3" customFormat="1">
      <c r="A1817" s="232" t="s">
        <v>739</v>
      </c>
      <c r="B1817" s="233" t="s">
        <v>16</v>
      </c>
      <c r="C1817" s="234" t="s">
        <v>50</v>
      </c>
      <c r="D1817" s="234" t="s">
        <v>65</v>
      </c>
      <c r="E1817" s="242" t="s">
        <v>277</v>
      </c>
      <c r="F1817" s="234" t="s">
        <v>58</v>
      </c>
      <c r="G1817" s="235">
        <f>G1818+G1823</f>
        <v>104109876.59</v>
      </c>
      <c r="H1817" s="242">
        <v>700000000</v>
      </c>
      <c r="I1817" s="313" t="str">
        <f t="shared" si="195"/>
        <v>0700000000</v>
      </c>
      <c r="J1817" s="30" t="str">
        <f t="shared" si="196"/>
        <v>62108010700000000000</v>
      </c>
    </row>
    <row r="1818" spans="1:10" s="3" customFormat="1" ht="38.25">
      <c r="A1818" s="232" t="s">
        <v>194</v>
      </c>
      <c r="B1818" s="233" t="s">
        <v>16</v>
      </c>
      <c r="C1818" s="234" t="s">
        <v>50</v>
      </c>
      <c r="D1818" s="234" t="s">
        <v>65</v>
      </c>
      <c r="E1818" s="242" t="s">
        <v>278</v>
      </c>
      <c r="F1818" s="234" t="s">
        <v>58</v>
      </c>
      <c r="G1818" s="235">
        <f t="shared" ref="G1818:G1820" si="200">G1819</f>
        <v>800000</v>
      </c>
      <c r="H1818" s="242">
        <v>710000000</v>
      </c>
      <c r="I1818" s="313" t="str">
        <f t="shared" si="195"/>
        <v>0710000000</v>
      </c>
      <c r="J1818" s="30" t="str">
        <f t="shared" si="196"/>
        <v>62108010710000000000</v>
      </c>
    </row>
    <row r="1819" spans="1:10" s="3" customFormat="1" ht="51">
      <c r="A1819" s="232" t="s">
        <v>605</v>
      </c>
      <c r="B1819" s="233" t="s">
        <v>16</v>
      </c>
      <c r="C1819" s="234" t="s">
        <v>50</v>
      </c>
      <c r="D1819" s="234" t="s">
        <v>65</v>
      </c>
      <c r="E1819" s="242" t="s">
        <v>279</v>
      </c>
      <c r="F1819" s="234" t="s">
        <v>58</v>
      </c>
      <c r="G1819" s="235">
        <f t="shared" si="200"/>
        <v>800000</v>
      </c>
      <c r="H1819" s="242">
        <v>710100000</v>
      </c>
      <c r="I1819" s="313" t="str">
        <f t="shared" si="195"/>
        <v>0710100000</v>
      </c>
      <c r="J1819" s="30" t="str">
        <f t="shared" si="196"/>
        <v>62108010710100000000</v>
      </c>
    </row>
    <row r="1820" spans="1:10" s="3" customFormat="1">
      <c r="A1820" s="232" t="s">
        <v>161</v>
      </c>
      <c r="B1820" s="233" t="s">
        <v>16</v>
      </c>
      <c r="C1820" s="234" t="s">
        <v>50</v>
      </c>
      <c r="D1820" s="234" t="s">
        <v>65</v>
      </c>
      <c r="E1820" s="242" t="s">
        <v>320</v>
      </c>
      <c r="F1820" s="234" t="s">
        <v>58</v>
      </c>
      <c r="G1820" s="235">
        <f t="shared" si="200"/>
        <v>800000</v>
      </c>
      <c r="H1820" s="242">
        <v>710120060</v>
      </c>
      <c r="I1820" s="313" t="str">
        <f t="shared" si="195"/>
        <v>0710120060</v>
      </c>
      <c r="J1820" s="30" t="str">
        <f t="shared" si="196"/>
        <v>62108010710120060000</v>
      </c>
    </row>
    <row r="1821" spans="1:10" s="3" customFormat="1" ht="25.5">
      <c r="A1821" s="236" t="s">
        <v>108</v>
      </c>
      <c r="B1821" s="233" t="s">
        <v>16</v>
      </c>
      <c r="C1821" s="234" t="s">
        <v>50</v>
      </c>
      <c r="D1821" s="234" t="s">
        <v>65</v>
      </c>
      <c r="E1821" s="242" t="s">
        <v>320</v>
      </c>
      <c r="F1821" s="234" t="s">
        <v>116</v>
      </c>
      <c r="G1821" s="235">
        <f>G1822</f>
        <v>800000</v>
      </c>
      <c r="H1821" s="242">
        <v>710120060</v>
      </c>
      <c r="I1821" s="313" t="str">
        <f t="shared" si="195"/>
        <v>0710120060</v>
      </c>
      <c r="J1821" s="30" t="str">
        <f t="shared" si="196"/>
        <v>62108010710120060240</v>
      </c>
    </row>
    <row r="1822" spans="1:10" s="4" customFormat="1" ht="25.5">
      <c r="A1822" s="236" t="s">
        <v>973</v>
      </c>
      <c r="B1822" s="233" t="s">
        <v>16</v>
      </c>
      <c r="C1822" s="234" t="s">
        <v>50</v>
      </c>
      <c r="D1822" s="234" t="s">
        <v>65</v>
      </c>
      <c r="E1822" s="242" t="s">
        <v>320</v>
      </c>
      <c r="F1822" s="234" t="s">
        <v>1043</v>
      </c>
      <c r="G1822" s="235">
        <f>VLOOKUP(J1822,'исх АС БЮДЖЕТ'!$A$10:$H$568,6,0)</f>
        <v>800000</v>
      </c>
      <c r="H1822" s="242">
        <v>710120060</v>
      </c>
      <c r="I1822" s="313" t="str">
        <f t="shared" si="195"/>
        <v>0710120060</v>
      </c>
      <c r="J1822" s="30" t="str">
        <f t="shared" si="196"/>
        <v>62108010710120060244</v>
      </c>
    </row>
    <row r="1823" spans="1:10" s="3" customFormat="1">
      <c r="A1823" s="236" t="s">
        <v>140</v>
      </c>
      <c r="B1823" s="233" t="s">
        <v>16</v>
      </c>
      <c r="C1823" s="234" t="s">
        <v>50</v>
      </c>
      <c r="D1823" s="234" t="s">
        <v>65</v>
      </c>
      <c r="E1823" s="242" t="s">
        <v>372</v>
      </c>
      <c r="F1823" s="234" t="s">
        <v>58</v>
      </c>
      <c r="G1823" s="235">
        <f>G1824+G1828</f>
        <v>103309876.59</v>
      </c>
      <c r="H1823" s="242">
        <v>720000000</v>
      </c>
      <c r="I1823" s="313" t="str">
        <f t="shared" si="195"/>
        <v>0720000000</v>
      </c>
      <c r="J1823" s="30" t="str">
        <f t="shared" si="196"/>
        <v>62108010720000000000</v>
      </c>
    </row>
    <row r="1824" spans="1:10" s="3" customFormat="1" ht="25.5">
      <c r="A1824" s="232" t="s">
        <v>857</v>
      </c>
      <c r="B1824" s="233" t="s">
        <v>16</v>
      </c>
      <c r="C1824" s="234" t="s">
        <v>50</v>
      </c>
      <c r="D1824" s="234" t="s">
        <v>65</v>
      </c>
      <c r="E1824" s="242" t="s">
        <v>839</v>
      </c>
      <c r="F1824" s="234" t="s">
        <v>58</v>
      </c>
      <c r="G1824" s="235">
        <f>G1825</f>
        <v>100000000</v>
      </c>
      <c r="H1824" s="242">
        <v>721300000</v>
      </c>
      <c r="I1824" s="313" t="str">
        <f t="shared" si="195"/>
        <v>0721300000</v>
      </c>
      <c r="J1824" s="30" t="str">
        <f t="shared" si="196"/>
        <v>62108010721300000000</v>
      </c>
    </row>
    <row r="1825" spans="1:10" s="3" customFormat="1" ht="51">
      <c r="A1825" s="244" t="s">
        <v>840</v>
      </c>
      <c r="B1825" s="233" t="s">
        <v>16</v>
      </c>
      <c r="C1825" s="234" t="s">
        <v>50</v>
      </c>
      <c r="D1825" s="234" t="s">
        <v>65</v>
      </c>
      <c r="E1825" s="242" t="s">
        <v>841</v>
      </c>
      <c r="F1825" s="234" t="s">
        <v>58</v>
      </c>
      <c r="G1825" s="235">
        <f>G1826</f>
        <v>100000000</v>
      </c>
      <c r="H1825" s="242">
        <v>721340020</v>
      </c>
      <c r="I1825" s="313" t="str">
        <f t="shared" si="195"/>
        <v>0721340020</v>
      </c>
      <c r="J1825" s="30" t="str">
        <f t="shared" si="196"/>
        <v>62108010721340020000</v>
      </c>
    </row>
    <row r="1826" spans="1:10" s="3" customFormat="1">
      <c r="A1826" s="232" t="s">
        <v>21</v>
      </c>
      <c r="B1826" s="233" t="s">
        <v>16</v>
      </c>
      <c r="C1826" s="234" t="s">
        <v>50</v>
      </c>
      <c r="D1826" s="234" t="s">
        <v>65</v>
      </c>
      <c r="E1826" s="234" t="s">
        <v>841</v>
      </c>
      <c r="F1826" s="234" t="s">
        <v>103</v>
      </c>
      <c r="G1826" s="235">
        <f>G1827</f>
        <v>100000000</v>
      </c>
      <c r="H1826" s="234">
        <v>721340020</v>
      </c>
      <c r="I1826" s="313" t="str">
        <f t="shared" si="195"/>
        <v>0721340020</v>
      </c>
      <c r="J1826" s="30" t="str">
        <f t="shared" si="196"/>
        <v>62108010721340020410</v>
      </c>
    </row>
    <row r="1827" spans="1:10" s="4" customFormat="1" ht="25.5">
      <c r="A1827" s="236" t="s">
        <v>987</v>
      </c>
      <c r="B1827" s="233" t="s">
        <v>16</v>
      </c>
      <c r="C1827" s="234" t="s">
        <v>50</v>
      </c>
      <c r="D1827" s="234" t="s">
        <v>65</v>
      </c>
      <c r="E1827" s="234" t="s">
        <v>841</v>
      </c>
      <c r="F1827" s="234" t="s">
        <v>1052</v>
      </c>
      <c r="G1827" s="235">
        <f>VLOOKUP(J1827,'исх АС БЮДЖЕТ'!$A$10:$H$568,6,0)</f>
        <v>100000000</v>
      </c>
      <c r="H1827" s="234">
        <v>721340020</v>
      </c>
      <c r="I1827" s="313" t="str">
        <f t="shared" si="195"/>
        <v>0721340020</v>
      </c>
      <c r="J1827" s="30" t="str">
        <f t="shared" si="196"/>
        <v>62108010721340020414</v>
      </c>
    </row>
    <row r="1828" spans="1:10" s="4" customFormat="1" ht="25.5">
      <c r="A1828" s="232" t="s">
        <v>1127</v>
      </c>
      <c r="B1828" s="233" t="s">
        <v>16</v>
      </c>
      <c r="C1828" s="233" t="s">
        <v>50</v>
      </c>
      <c r="D1828" s="233" t="s">
        <v>65</v>
      </c>
      <c r="E1828" s="234" t="s">
        <v>1128</v>
      </c>
      <c r="F1828" s="234" t="s">
        <v>58</v>
      </c>
      <c r="G1828" s="235">
        <f>G1829</f>
        <v>3309876.59</v>
      </c>
      <c r="H1828" s="234">
        <v>721400000</v>
      </c>
      <c r="I1828" s="313" t="str">
        <f t="shared" si="195"/>
        <v>0721400000</v>
      </c>
      <c r="J1828" s="30" t="str">
        <f t="shared" si="196"/>
        <v>62108010721400000000</v>
      </c>
    </row>
    <row r="1829" spans="1:10" s="4" customFormat="1" ht="25.5">
      <c r="A1829" s="232" t="s">
        <v>154</v>
      </c>
      <c r="B1829" s="233" t="s">
        <v>16</v>
      </c>
      <c r="C1829" s="233" t="s">
        <v>50</v>
      </c>
      <c r="D1829" s="233" t="s">
        <v>65</v>
      </c>
      <c r="E1829" s="234" t="s">
        <v>1129</v>
      </c>
      <c r="F1829" s="234" t="s">
        <v>58</v>
      </c>
      <c r="G1829" s="235">
        <f>G1830</f>
        <v>3309876.59</v>
      </c>
      <c r="H1829" s="234">
        <v>721440010</v>
      </c>
      <c r="I1829" s="313" t="str">
        <f t="shared" si="195"/>
        <v>0721440010</v>
      </c>
      <c r="J1829" s="30" t="str">
        <f t="shared" si="196"/>
        <v>62108010721440010000</v>
      </c>
    </row>
    <row r="1830" spans="1:10" s="4" customFormat="1">
      <c r="A1830" s="232" t="s">
        <v>21</v>
      </c>
      <c r="B1830" s="233" t="s">
        <v>16</v>
      </c>
      <c r="C1830" s="234" t="s">
        <v>50</v>
      </c>
      <c r="D1830" s="234" t="s">
        <v>65</v>
      </c>
      <c r="E1830" s="234" t="s">
        <v>1129</v>
      </c>
      <c r="F1830" s="234" t="s">
        <v>103</v>
      </c>
      <c r="G1830" s="235">
        <f>G1831</f>
        <v>3309876.59</v>
      </c>
      <c r="H1830" s="234">
        <v>721440010</v>
      </c>
      <c r="I1830" s="313" t="str">
        <f t="shared" si="195"/>
        <v>0721440010</v>
      </c>
      <c r="J1830" s="30" t="str">
        <f t="shared" si="196"/>
        <v>62108010721440010410</v>
      </c>
    </row>
    <row r="1831" spans="1:10" s="4" customFormat="1" ht="25.5">
      <c r="A1831" s="236" t="s">
        <v>987</v>
      </c>
      <c r="B1831" s="233" t="s">
        <v>16</v>
      </c>
      <c r="C1831" s="234" t="s">
        <v>50</v>
      </c>
      <c r="D1831" s="234" t="s">
        <v>65</v>
      </c>
      <c r="E1831" s="234" t="s">
        <v>1129</v>
      </c>
      <c r="F1831" s="234" t="s">
        <v>1052</v>
      </c>
      <c r="G1831" s="235">
        <f>VLOOKUP(J1831,'исх АС БЮДЖЕТ'!$A$10:$H$568,6,0)</f>
        <v>3309876.59</v>
      </c>
      <c r="H1831" s="234">
        <v>721440010</v>
      </c>
      <c r="I1831" s="313" t="str">
        <f t="shared" si="195"/>
        <v>0721440010</v>
      </c>
      <c r="J1831" s="30" t="str">
        <f t="shared" si="196"/>
        <v>62108010721440010414</v>
      </c>
    </row>
    <row r="1832" spans="1:10" s="4" customFormat="1" ht="25.5">
      <c r="A1832" s="232" t="s">
        <v>683</v>
      </c>
      <c r="B1832" s="233" t="s">
        <v>16</v>
      </c>
      <c r="C1832" s="233" t="s">
        <v>50</v>
      </c>
      <c r="D1832" s="233" t="s">
        <v>65</v>
      </c>
      <c r="E1832" s="234" t="s">
        <v>680</v>
      </c>
      <c r="F1832" s="233" t="s">
        <v>58</v>
      </c>
      <c r="G1832" s="235">
        <f>G1833</f>
        <v>1364479.25</v>
      </c>
      <c r="H1832" s="234">
        <v>9800000000</v>
      </c>
      <c r="I1832" s="313" t="str">
        <f t="shared" si="195"/>
        <v>9800000000</v>
      </c>
      <c r="J1832" s="30" t="str">
        <f t="shared" si="196"/>
        <v>62108019800000000000</v>
      </c>
    </row>
    <row r="1833" spans="1:10" s="4" customFormat="1" ht="38.25">
      <c r="A1833" s="232" t="s">
        <v>1120</v>
      </c>
      <c r="B1833" s="233" t="s">
        <v>16</v>
      </c>
      <c r="C1833" s="233" t="s">
        <v>50</v>
      </c>
      <c r="D1833" s="233" t="s">
        <v>65</v>
      </c>
      <c r="E1833" s="234" t="s">
        <v>1121</v>
      </c>
      <c r="F1833" s="233" t="s">
        <v>58</v>
      </c>
      <c r="G1833" s="235">
        <f>G1834</f>
        <v>1364479.25</v>
      </c>
      <c r="H1833" s="234">
        <v>9820000000</v>
      </c>
      <c r="I1833" s="313" t="str">
        <f t="shared" si="195"/>
        <v>9820000000</v>
      </c>
      <c r="J1833" s="30" t="str">
        <f t="shared" si="196"/>
        <v>62108019820000000000</v>
      </c>
    </row>
    <row r="1834" spans="1:10" s="4" customFormat="1" ht="25.5">
      <c r="A1834" s="232" t="s">
        <v>154</v>
      </c>
      <c r="B1834" s="233" t="s">
        <v>16</v>
      </c>
      <c r="C1834" s="234" t="s">
        <v>50</v>
      </c>
      <c r="D1834" s="234" t="s">
        <v>65</v>
      </c>
      <c r="E1834" s="234" t="s">
        <v>1130</v>
      </c>
      <c r="F1834" s="234" t="s">
        <v>58</v>
      </c>
      <c r="G1834" s="235">
        <f>G1835</f>
        <v>1364479.25</v>
      </c>
      <c r="H1834" s="234">
        <v>9820040010</v>
      </c>
      <c r="I1834" s="313" t="str">
        <f t="shared" si="195"/>
        <v>9820040010</v>
      </c>
      <c r="J1834" s="30" t="str">
        <f t="shared" si="196"/>
        <v>62108019820040010000</v>
      </c>
    </row>
    <row r="1835" spans="1:10" s="4" customFormat="1">
      <c r="A1835" s="232" t="s">
        <v>21</v>
      </c>
      <c r="B1835" s="233" t="s">
        <v>16</v>
      </c>
      <c r="C1835" s="234" t="s">
        <v>50</v>
      </c>
      <c r="D1835" s="234" t="s">
        <v>65</v>
      </c>
      <c r="E1835" s="234" t="s">
        <v>1130</v>
      </c>
      <c r="F1835" s="234" t="s">
        <v>103</v>
      </c>
      <c r="G1835" s="235">
        <f>G1836</f>
        <v>1364479.25</v>
      </c>
      <c r="H1835" s="234">
        <v>9820040010</v>
      </c>
      <c r="I1835" s="313" t="str">
        <f t="shared" si="195"/>
        <v>9820040010</v>
      </c>
      <c r="J1835" s="30" t="str">
        <f t="shared" si="196"/>
        <v>62108019820040010410</v>
      </c>
    </row>
    <row r="1836" spans="1:10" s="4" customFormat="1" ht="25.5">
      <c r="A1836" s="236" t="s">
        <v>987</v>
      </c>
      <c r="B1836" s="233" t="s">
        <v>16</v>
      </c>
      <c r="C1836" s="234" t="s">
        <v>50</v>
      </c>
      <c r="D1836" s="234" t="s">
        <v>65</v>
      </c>
      <c r="E1836" s="234" t="s">
        <v>1130</v>
      </c>
      <c r="F1836" s="234" t="s">
        <v>1052</v>
      </c>
      <c r="G1836" s="235">
        <f>VLOOKUP(J1836,'исх АС БЮДЖЕТ'!$A$10:$H$568,6,0)</f>
        <v>1364479.25</v>
      </c>
      <c r="H1836" s="234">
        <v>9820040010</v>
      </c>
      <c r="I1836" s="313" t="str">
        <f t="shared" si="195"/>
        <v>9820040010</v>
      </c>
      <c r="J1836" s="30" t="str">
        <f t="shared" si="196"/>
        <v>62108019820040010414</v>
      </c>
    </row>
    <row r="1837" spans="1:10" s="4" customFormat="1">
      <c r="A1837" s="224" t="s">
        <v>39</v>
      </c>
      <c r="B1837" s="225" t="s">
        <v>16</v>
      </c>
      <c r="C1837" s="226" t="s">
        <v>78</v>
      </c>
      <c r="D1837" s="226" t="s">
        <v>51</v>
      </c>
      <c r="E1837" s="226" t="s">
        <v>196</v>
      </c>
      <c r="F1837" s="226" t="s">
        <v>58</v>
      </c>
      <c r="G1837" s="227">
        <f>G1838</f>
        <v>17399265.52</v>
      </c>
      <c r="H1837" s="226">
        <v>0</v>
      </c>
      <c r="I1837" s="313" t="str">
        <f t="shared" si="195"/>
        <v>0000000000</v>
      </c>
      <c r="J1837" s="30" t="str">
        <f t="shared" si="196"/>
        <v>62111000000000000000</v>
      </c>
    </row>
    <row r="1838" spans="1:10" s="4" customFormat="1">
      <c r="A1838" s="228" t="s">
        <v>80</v>
      </c>
      <c r="B1838" s="229" t="s">
        <v>16</v>
      </c>
      <c r="C1838" s="230" t="s">
        <v>78</v>
      </c>
      <c r="D1838" s="230" t="s">
        <v>66</v>
      </c>
      <c r="E1838" s="230" t="s">
        <v>196</v>
      </c>
      <c r="F1838" s="230" t="s">
        <v>58</v>
      </c>
      <c r="G1838" s="231">
        <f>G1839</f>
        <v>17399265.52</v>
      </c>
      <c r="H1838" s="230">
        <v>0</v>
      </c>
      <c r="I1838" s="313" t="str">
        <f t="shared" si="195"/>
        <v>0000000000</v>
      </c>
      <c r="J1838" s="30" t="str">
        <f t="shared" si="196"/>
        <v>62111020000000000000</v>
      </c>
    </row>
    <row r="1839" spans="1:10" s="4" customFormat="1" ht="25.5">
      <c r="A1839" s="232" t="s">
        <v>683</v>
      </c>
      <c r="B1839" s="233" t="s">
        <v>16</v>
      </c>
      <c r="C1839" s="234" t="s">
        <v>78</v>
      </c>
      <c r="D1839" s="234" t="s">
        <v>66</v>
      </c>
      <c r="E1839" s="234" t="s">
        <v>680</v>
      </c>
      <c r="F1839" s="234" t="s">
        <v>58</v>
      </c>
      <c r="G1839" s="235">
        <f t="shared" ref="G1839" si="201">G1840</f>
        <v>17399265.52</v>
      </c>
      <c r="H1839" s="234">
        <v>9800000000</v>
      </c>
      <c r="I1839" s="313" t="str">
        <f t="shared" si="195"/>
        <v>9800000000</v>
      </c>
      <c r="J1839" s="30" t="str">
        <f t="shared" si="196"/>
        <v>62111029800000000000</v>
      </c>
    </row>
    <row r="1840" spans="1:10" s="4" customFormat="1" ht="38.25">
      <c r="A1840" s="232" t="s">
        <v>1120</v>
      </c>
      <c r="B1840" s="233" t="s">
        <v>16</v>
      </c>
      <c r="C1840" s="234" t="s">
        <v>78</v>
      </c>
      <c r="D1840" s="234" t="s">
        <v>66</v>
      </c>
      <c r="E1840" s="234" t="s">
        <v>1121</v>
      </c>
      <c r="F1840" s="234" t="s">
        <v>58</v>
      </c>
      <c r="G1840" s="235">
        <f>G1841</f>
        <v>17399265.52</v>
      </c>
      <c r="H1840" s="234">
        <v>9820000000</v>
      </c>
      <c r="I1840" s="313" t="str">
        <f t="shared" si="195"/>
        <v>9820000000</v>
      </c>
      <c r="J1840" s="30" t="str">
        <f t="shared" si="196"/>
        <v>62111029820000000000</v>
      </c>
    </row>
    <row r="1841" spans="1:10" s="4" customFormat="1" ht="25.5">
      <c r="A1841" s="232" t="s">
        <v>154</v>
      </c>
      <c r="B1841" s="233" t="s">
        <v>16</v>
      </c>
      <c r="C1841" s="234" t="s">
        <v>78</v>
      </c>
      <c r="D1841" s="234" t="s">
        <v>66</v>
      </c>
      <c r="E1841" s="234" t="s">
        <v>1130</v>
      </c>
      <c r="F1841" s="234" t="s">
        <v>58</v>
      </c>
      <c r="G1841" s="235">
        <f>G1842</f>
        <v>17399265.52</v>
      </c>
      <c r="H1841" s="234">
        <v>9820040010</v>
      </c>
      <c r="I1841" s="313" t="str">
        <f t="shared" si="195"/>
        <v>9820040010</v>
      </c>
      <c r="J1841" s="30" t="str">
        <f t="shared" si="196"/>
        <v>62111029820040010000</v>
      </c>
    </row>
    <row r="1842" spans="1:10" s="4" customFormat="1">
      <c r="A1842" s="232" t="s">
        <v>21</v>
      </c>
      <c r="B1842" s="233" t="s">
        <v>16</v>
      </c>
      <c r="C1842" s="234" t="s">
        <v>78</v>
      </c>
      <c r="D1842" s="234" t="s">
        <v>66</v>
      </c>
      <c r="E1842" s="234" t="s">
        <v>1130</v>
      </c>
      <c r="F1842" s="234" t="s">
        <v>103</v>
      </c>
      <c r="G1842" s="235">
        <f>G1843</f>
        <v>17399265.52</v>
      </c>
      <c r="H1842" s="234">
        <v>9820040010</v>
      </c>
      <c r="I1842" s="313" t="str">
        <f t="shared" si="195"/>
        <v>9820040010</v>
      </c>
      <c r="J1842" s="30" t="str">
        <f t="shared" si="196"/>
        <v>62111029820040010410</v>
      </c>
    </row>
    <row r="1843" spans="1:10" s="4" customFormat="1" ht="25.5">
      <c r="A1843" s="236" t="s">
        <v>987</v>
      </c>
      <c r="B1843" s="233" t="s">
        <v>16</v>
      </c>
      <c r="C1843" s="234" t="s">
        <v>78</v>
      </c>
      <c r="D1843" s="234" t="s">
        <v>66</v>
      </c>
      <c r="E1843" s="234" t="s">
        <v>1130</v>
      </c>
      <c r="F1843" s="234" t="s">
        <v>1052</v>
      </c>
      <c r="G1843" s="235">
        <f>VLOOKUP(J1843,'исх АС БЮДЖЕТ'!$A$10:$H$568,6,0)</f>
        <v>17399265.52</v>
      </c>
      <c r="H1843" s="234">
        <v>9820040010</v>
      </c>
      <c r="I1843" s="313" t="str">
        <f t="shared" si="195"/>
        <v>9820040010</v>
      </c>
      <c r="J1843" s="30" t="str">
        <f t="shared" si="196"/>
        <v>62111029820040010414</v>
      </c>
    </row>
    <row r="1844" spans="1:10" s="71" customFormat="1">
      <c r="A1844" s="238"/>
      <c r="B1844" s="239"/>
      <c r="C1844" s="240"/>
      <c r="D1844" s="240"/>
      <c r="E1844" s="240"/>
      <c r="F1844" s="240"/>
      <c r="G1844" s="235"/>
      <c r="H1844" s="240"/>
      <c r="I1844" s="313" t="str">
        <f t="shared" si="195"/>
        <v>0000000000</v>
      </c>
      <c r="J1844" s="30" t="str">
        <f t="shared" si="196"/>
        <v>0000000000</v>
      </c>
    </row>
    <row r="1845" spans="1:10" s="3" customFormat="1" ht="25.5">
      <c r="A1845" s="219" t="s">
        <v>180</v>
      </c>
      <c r="B1845" s="220" t="s">
        <v>536</v>
      </c>
      <c r="C1845" s="221" t="s">
        <v>51</v>
      </c>
      <c r="D1845" s="221" t="s">
        <v>51</v>
      </c>
      <c r="E1845" s="221" t="s">
        <v>196</v>
      </c>
      <c r="F1845" s="221" t="s">
        <v>58</v>
      </c>
      <c r="G1845" s="222">
        <f t="shared" ref="G1845:G1846" si="202">G1846</f>
        <v>72707770</v>
      </c>
      <c r="H1845" s="221">
        <v>0</v>
      </c>
      <c r="I1845" s="313" t="str">
        <f t="shared" si="195"/>
        <v>0000000000</v>
      </c>
      <c r="J1845" s="30" t="str">
        <f t="shared" si="196"/>
        <v>62400000000000000000</v>
      </c>
    </row>
    <row r="1846" spans="1:10" s="3" customFormat="1">
      <c r="A1846" s="224" t="s">
        <v>13</v>
      </c>
      <c r="B1846" s="225" t="s">
        <v>536</v>
      </c>
      <c r="C1846" s="226" t="s">
        <v>53</v>
      </c>
      <c r="D1846" s="226" t="s">
        <v>51</v>
      </c>
      <c r="E1846" s="226" t="s">
        <v>196</v>
      </c>
      <c r="F1846" s="226" t="s">
        <v>58</v>
      </c>
      <c r="G1846" s="227">
        <f t="shared" si="202"/>
        <v>72707770</v>
      </c>
      <c r="H1846" s="226">
        <v>0</v>
      </c>
      <c r="I1846" s="313" t="str">
        <f t="shared" si="195"/>
        <v>0000000000</v>
      </c>
      <c r="J1846" s="30" t="str">
        <f t="shared" si="196"/>
        <v>62403000000000000000</v>
      </c>
    </row>
    <row r="1847" spans="1:10" s="3" customFormat="1" ht="25.5">
      <c r="A1847" s="228" t="s">
        <v>537</v>
      </c>
      <c r="B1847" s="229" t="s">
        <v>536</v>
      </c>
      <c r="C1847" s="230" t="s">
        <v>53</v>
      </c>
      <c r="D1847" s="230" t="s">
        <v>25</v>
      </c>
      <c r="E1847" s="230" t="s">
        <v>196</v>
      </c>
      <c r="F1847" s="230" t="s">
        <v>58</v>
      </c>
      <c r="G1847" s="231">
        <f>G1848+G1854+G1903</f>
        <v>72707770</v>
      </c>
      <c r="H1847" s="230">
        <v>0</v>
      </c>
      <c r="I1847" s="313" t="str">
        <f t="shared" si="195"/>
        <v>0000000000</v>
      </c>
      <c r="J1847" s="30" t="str">
        <f t="shared" si="196"/>
        <v>62403090000000000000</v>
      </c>
    </row>
    <row r="1848" spans="1:10" s="3" customFormat="1" ht="25.5">
      <c r="A1848" s="263" t="s">
        <v>752</v>
      </c>
      <c r="B1848" s="233" t="s">
        <v>536</v>
      </c>
      <c r="C1848" s="234" t="s">
        <v>53</v>
      </c>
      <c r="D1848" s="234" t="s">
        <v>25</v>
      </c>
      <c r="E1848" s="234" t="s">
        <v>249</v>
      </c>
      <c r="F1848" s="234" t="s">
        <v>58</v>
      </c>
      <c r="G1848" s="235">
        <f>G1849</f>
        <v>25500</v>
      </c>
      <c r="H1848" s="234">
        <v>1500000000</v>
      </c>
      <c r="I1848" s="313" t="str">
        <f t="shared" ref="I1848:I1912" si="203">TEXT(H1848,"0000000000")</f>
        <v>1500000000</v>
      </c>
      <c r="J1848" s="30" t="str">
        <f t="shared" ref="J1848:J1912" si="204">CONCATENATE(B1848,C1848,D1848,I1848,F1848)</f>
        <v>62403091500000000000</v>
      </c>
    </row>
    <row r="1849" spans="1:10" s="153" customFormat="1">
      <c r="A1849" s="232" t="s">
        <v>755</v>
      </c>
      <c r="B1849" s="233" t="s">
        <v>536</v>
      </c>
      <c r="C1849" s="234" t="s">
        <v>53</v>
      </c>
      <c r="D1849" s="234" t="s">
        <v>25</v>
      </c>
      <c r="E1849" s="234" t="s">
        <v>256</v>
      </c>
      <c r="F1849" s="234" t="s">
        <v>58</v>
      </c>
      <c r="G1849" s="235">
        <f t="shared" ref="G1849:G1850" si="205">G1850</f>
        <v>25500</v>
      </c>
      <c r="H1849" s="234">
        <v>1530000000</v>
      </c>
      <c r="I1849" s="313" t="str">
        <f t="shared" si="203"/>
        <v>1530000000</v>
      </c>
      <c r="J1849" s="30" t="str">
        <f t="shared" si="204"/>
        <v>62403091530000000000</v>
      </c>
    </row>
    <row r="1850" spans="1:10" s="3" customFormat="1" ht="25.5">
      <c r="A1850" s="263" t="s">
        <v>617</v>
      </c>
      <c r="B1850" s="233" t="s">
        <v>536</v>
      </c>
      <c r="C1850" s="234" t="s">
        <v>53</v>
      </c>
      <c r="D1850" s="234" t="s">
        <v>25</v>
      </c>
      <c r="E1850" s="234" t="s">
        <v>541</v>
      </c>
      <c r="F1850" s="234" t="s">
        <v>58</v>
      </c>
      <c r="G1850" s="235">
        <f t="shared" si="205"/>
        <v>25500</v>
      </c>
      <c r="H1850" s="234">
        <v>1530200000</v>
      </c>
      <c r="I1850" s="313" t="str">
        <f t="shared" si="203"/>
        <v>1530200000</v>
      </c>
      <c r="J1850" s="30" t="str">
        <f t="shared" si="204"/>
        <v>62403091530200000000</v>
      </c>
    </row>
    <row r="1851" spans="1:10" s="3" customFormat="1" ht="25.5">
      <c r="A1851" s="263" t="s">
        <v>901</v>
      </c>
      <c r="B1851" s="233" t="s">
        <v>536</v>
      </c>
      <c r="C1851" s="234" t="s">
        <v>53</v>
      </c>
      <c r="D1851" s="234" t="s">
        <v>25</v>
      </c>
      <c r="E1851" s="234" t="s">
        <v>917</v>
      </c>
      <c r="F1851" s="234" t="s">
        <v>58</v>
      </c>
      <c r="G1851" s="235">
        <f>G1852</f>
        <v>25500</v>
      </c>
      <c r="H1851" s="234">
        <v>1530221290</v>
      </c>
      <c r="I1851" s="313" t="str">
        <f t="shared" si="203"/>
        <v>1530221290</v>
      </c>
      <c r="J1851" s="30" t="str">
        <f t="shared" si="204"/>
        <v>62403091530221290000</v>
      </c>
    </row>
    <row r="1852" spans="1:10" s="3" customFormat="1" ht="25.5">
      <c r="A1852" s="263" t="s">
        <v>108</v>
      </c>
      <c r="B1852" s="233" t="s">
        <v>536</v>
      </c>
      <c r="C1852" s="234" t="s">
        <v>53</v>
      </c>
      <c r="D1852" s="234" t="s">
        <v>25</v>
      </c>
      <c r="E1852" s="234" t="s">
        <v>917</v>
      </c>
      <c r="F1852" s="234" t="s">
        <v>116</v>
      </c>
      <c r="G1852" s="235">
        <f>G1853</f>
        <v>25500</v>
      </c>
      <c r="H1852" s="234">
        <v>1530221290</v>
      </c>
      <c r="I1852" s="313" t="str">
        <f t="shared" si="203"/>
        <v>1530221290</v>
      </c>
      <c r="J1852" s="30" t="str">
        <f t="shared" si="204"/>
        <v>62403091530221290240</v>
      </c>
    </row>
    <row r="1853" spans="1:10" s="94" customFormat="1" ht="25.5">
      <c r="A1853" s="236" t="s">
        <v>973</v>
      </c>
      <c r="B1853" s="233" t="s">
        <v>536</v>
      </c>
      <c r="C1853" s="234" t="s">
        <v>53</v>
      </c>
      <c r="D1853" s="234" t="s">
        <v>25</v>
      </c>
      <c r="E1853" s="234" t="s">
        <v>917</v>
      </c>
      <c r="F1853" s="234" t="s">
        <v>1043</v>
      </c>
      <c r="G1853" s="235">
        <f>VLOOKUP(J1853,'исх АС БЮДЖЕТ'!$A$10:$H$568,6,0)</f>
        <v>25500</v>
      </c>
      <c r="H1853" s="234">
        <v>1530221290</v>
      </c>
      <c r="I1853" s="313" t="str">
        <f t="shared" si="203"/>
        <v>1530221290</v>
      </c>
      <c r="J1853" s="30" t="str">
        <f t="shared" si="204"/>
        <v>62403091530221290244</v>
      </c>
    </row>
    <row r="1854" spans="1:10" s="3" customFormat="1" ht="51">
      <c r="A1854" s="232" t="s">
        <v>756</v>
      </c>
      <c r="B1854" s="233" t="s">
        <v>536</v>
      </c>
      <c r="C1854" s="234" t="s">
        <v>53</v>
      </c>
      <c r="D1854" s="234" t="s">
        <v>25</v>
      </c>
      <c r="E1854" s="234" t="s">
        <v>339</v>
      </c>
      <c r="F1854" s="234" t="s">
        <v>58</v>
      </c>
      <c r="G1854" s="235">
        <f>G1855+G1874+G1879</f>
        <v>57332780</v>
      </c>
      <c r="H1854" s="234">
        <v>1600000000</v>
      </c>
      <c r="I1854" s="313" t="str">
        <f t="shared" si="203"/>
        <v>1600000000</v>
      </c>
      <c r="J1854" s="30" t="str">
        <f t="shared" si="204"/>
        <v>62403091600000000000</v>
      </c>
    </row>
    <row r="1855" spans="1:10" s="153" customFormat="1" ht="25.5">
      <c r="A1855" s="232" t="s">
        <v>135</v>
      </c>
      <c r="B1855" s="233" t="s">
        <v>536</v>
      </c>
      <c r="C1855" s="234" t="s">
        <v>53</v>
      </c>
      <c r="D1855" s="234" t="s">
        <v>25</v>
      </c>
      <c r="E1855" s="234" t="s">
        <v>542</v>
      </c>
      <c r="F1855" s="234" t="s">
        <v>58</v>
      </c>
      <c r="G1855" s="235">
        <f>G1856+G1860+G1870</f>
        <v>28743790</v>
      </c>
      <c r="H1855" s="234">
        <v>1610000000</v>
      </c>
      <c r="I1855" s="313" t="str">
        <f t="shared" si="203"/>
        <v>1610000000</v>
      </c>
      <c r="J1855" s="30" t="str">
        <f t="shared" si="204"/>
        <v>62403091610000000000</v>
      </c>
    </row>
    <row r="1856" spans="1:10" s="3" customFormat="1" ht="38.25">
      <c r="A1856" s="232" t="s">
        <v>627</v>
      </c>
      <c r="B1856" s="233" t="s">
        <v>536</v>
      </c>
      <c r="C1856" s="234" t="s">
        <v>53</v>
      </c>
      <c r="D1856" s="234" t="s">
        <v>25</v>
      </c>
      <c r="E1856" s="234" t="s">
        <v>543</v>
      </c>
      <c r="F1856" s="234" t="s">
        <v>58</v>
      </c>
      <c r="G1856" s="235">
        <f t="shared" ref="G1856" si="206">G1857</f>
        <v>100000</v>
      </c>
      <c r="H1856" s="234">
        <v>1610100000</v>
      </c>
      <c r="I1856" s="313" t="str">
        <f t="shared" si="203"/>
        <v>1610100000</v>
      </c>
      <c r="J1856" s="30" t="str">
        <f t="shared" si="204"/>
        <v>62403091610100000000</v>
      </c>
    </row>
    <row r="1857" spans="1:10" s="3" customFormat="1" ht="38.25">
      <c r="A1857" s="263" t="s">
        <v>625</v>
      </c>
      <c r="B1857" s="233" t="s">
        <v>536</v>
      </c>
      <c r="C1857" s="234" t="s">
        <v>53</v>
      </c>
      <c r="D1857" s="234" t="s">
        <v>25</v>
      </c>
      <c r="E1857" s="234" t="s">
        <v>544</v>
      </c>
      <c r="F1857" s="234" t="s">
        <v>58</v>
      </c>
      <c r="G1857" s="235">
        <f>G1858</f>
        <v>100000</v>
      </c>
      <c r="H1857" s="234">
        <v>1610120120</v>
      </c>
      <c r="I1857" s="313" t="str">
        <f t="shared" si="203"/>
        <v>1610120120</v>
      </c>
      <c r="J1857" s="30" t="str">
        <f t="shared" si="204"/>
        <v>62403091610120120000</v>
      </c>
    </row>
    <row r="1858" spans="1:10" s="3" customFormat="1" ht="25.5">
      <c r="A1858" s="232" t="s">
        <v>108</v>
      </c>
      <c r="B1858" s="233" t="s">
        <v>536</v>
      </c>
      <c r="C1858" s="234" t="s">
        <v>53</v>
      </c>
      <c r="D1858" s="234" t="s">
        <v>25</v>
      </c>
      <c r="E1858" s="234" t="s">
        <v>544</v>
      </c>
      <c r="F1858" s="234" t="s">
        <v>116</v>
      </c>
      <c r="G1858" s="235">
        <f>G1859</f>
        <v>100000</v>
      </c>
      <c r="H1858" s="234">
        <v>1610120120</v>
      </c>
      <c r="I1858" s="313" t="str">
        <f t="shared" si="203"/>
        <v>1610120120</v>
      </c>
      <c r="J1858" s="30" t="str">
        <f t="shared" si="204"/>
        <v>62403091610120120240</v>
      </c>
    </row>
    <row r="1859" spans="1:10" s="4" customFormat="1" ht="25.5">
      <c r="A1859" s="236" t="s">
        <v>973</v>
      </c>
      <c r="B1859" s="233" t="s">
        <v>536</v>
      </c>
      <c r="C1859" s="234" t="s">
        <v>53</v>
      </c>
      <c r="D1859" s="234" t="s">
        <v>25</v>
      </c>
      <c r="E1859" s="234" t="s">
        <v>544</v>
      </c>
      <c r="F1859" s="234" t="s">
        <v>1043</v>
      </c>
      <c r="G1859" s="235">
        <f>VLOOKUP(J1859,'исх АС БЮДЖЕТ'!$A$10:$H$568,6,0)</f>
        <v>100000</v>
      </c>
      <c r="H1859" s="234">
        <v>1610120120</v>
      </c>
      <c r="I1859" s="313" t="str">
        <f t="shared" si="203"/>
        <v>1610120120</v>
      </c>
      <c r="J1859" s="30" t="str">
        <f t="shared" si="204"/>
        <v>62403091610120120244</v>
      </c>
    </row>
    <row r="1860" spans="1:10" s="3" customFormat="1" ht="25.5">
      <c r="A1860" s="263" t="s">
        <v>862</v>
      </c>
      <c r="B1860" s="233" t="s">
        <v>536</v>
      </c>
      <c r="C1860" s="234" t="s">
        <v>53</v>
      </c>
      <c r="D1860" s="234" t="s">
        <v>25</v>
      </c>
      <c r="E1860" s="234" t="s">
        <v>545</v>
      </c>
      <c r="F1860" s="234" t="s">
        <v>58</v>
      </c>
      <c r="G1860" s="235">
        <f>G1861</f>
        <v>28213790</v>
      </c>
      <c r="H1860" s="234">
        <v>1610200000</v>
      </c>
      <c r="I1860" s="313" t="str">
        <f t="shared" si="203"/>
        <v>1610200000</v>
      </c>
      <c r="J1860" s="30" t="str">
        <f t="shared" si="204"/>
        <v>62403091610200000000</v>
      </c>
    </row>
    <row r="1861" spans="1:10" s="3" customFormat="1">
      <c r="A1861" s="263" t="s">
        <v>247</v>
      </c>
      <c r="B1861" s="233" t="s">
        <v>536</v>
      </c>
      <c r="C1861" s="234" t="s">
        <v>53</v>
      </c>
      <c r="D1861" s="234" t="s">
        <v>25</v>
      </c>
      <c r="E1861" s="234" t="s">
        <v>819</v>
      </c>
      <c r="F1861" s="234" t="s">
        <v>58</v>
      </c>
      <c r="G1861" s="235">
        <f>G1862+G1865+G1867</f>
        <v>28213790</v>
      </c>
      <c r="H1861" s="234">
        <v>1610211010</v>
      </c>
      <c r="I1861" s="313" t="str">
        <f t="shared" si="203"/>
        <v>1610211010</v>
      </c>
      <c r="J1861" s="30" t="str">
        <f t="shared" si="204"/>
        <v>62403091610211010000</v>
      </c>
    </row>
    <row r="1862" spans="1:10" s="3" customFormat="1">
      <c r="A1862" s="232" t="s">
        <v>106</v>
      </c>
      <c r="B1862" s="233" t="s">
        <v>536</v>
      </c>
      <c r="C1862" s="234" t="s">
        <v>53</v>
      </c>
      <c r="D1862" s="234" t="s">
        <v>25</v>
      </c>
      <c r="E1862" s="234" t="s">
        <v>819</v>
      </c>
      <c r="F1862" s="234" t="s">
        <v>121</v>
      </c>
      <c r="G1862" s="235">
        <f>SUM(G1863:G1864)</f>
        <v>23050520</v>
      </c>
      <c r="H1862" s="234">
        <v>1610211010</v>
      </c>
      <c r="I1862" s="313" t="str">
        <f t="shared" si="203"/>
        <v>1610211010</v>
      </c>
      <c r="J1862" s="30" t="str">
        <f t="shared" si="204"/>
        <v>62403091610211010110</v>
      </c>
    </row>
    <row r="1863" spans="1:10" s="4" customFormat="1">
      <c r="A1863" s="236" t="s">
        <v>932</v>
      </c>
      <c r="B1863" s="233" t="s">
        <v>536</v>
      </c>
      <c r="C1863" s="234" t="s">
        <v>53</v>
      </c>
      <c r="D1863" s="234" t="s">
        <v>25</v>
      </c>
      <c r="E1863" s="234" t="s">
        <v>819</v>
      </c>
      <c r="F1863" s="234" t="s">
        <v>1056</v>
      </c>
      <c r="G1863" s="235">
        <f>VLOOKUP(J1863,'исх АС БЮДЖЕТ'!$A$10:$H$568,6,0)</f>
        <v>17703930</v>
      </c>
      <c r="H1863" s="234">
        <v>1610211010</v>
      </c>
      <c r="I1863" s="313" t="str">
        <f t="shared" si="203"/>
        <v>1610211010</v>
      </c>
      <c r="J1863" s="30" t="str">
        <f t="shared" si="204"/>
        <v>62403091610211010111</v>
      </c>
    </row>
    <row r="1864" spans="1:10" s="4" customFormat="1" ht="25.5">
      <c r="A1864" s="236" t="s">
        <v>935</v>
      </c>
      <c r="B1864" s="233" t="s">
        <v>536</v>
      </c>
      <c r="C1864" s="234" t="s">
        <v>53</v>
      </c>
      <c r="D1864" s="234" t="s">
        <v>25</v>
      </c>
      <c r="E1864" s="234" t="s">
        <v>819</v>
      </c>
      <c r="F1864" s="234" t="s">
        <v>1057</v>
      </c>
      <c r="G1864" s="235">
        <f>VLOOKUP(J1864,'исх АС БЮДЖЕТ'!$A$10:$H$568,6,0)</f>
        <v>5346590</v>
      </c>
      <c r="H1864" s="234">
        <v>1610211010</v>
      </c>
      <c r="I1864" s="313" t="str">
        <f t="shared" si="203"/>
        <v>1610211010</v>
      </c>
      <c r="J1864" s="30" t="str">
        <f t="shared" si="204"/>
        <v>62403091610211010119</v>
      </c>
    </row>
    <row r="1865" spans="1:10" s="3" customFormat="1" ht="25.5">
      <c r="A1865" s="263" t="s">
        <v>108</v>
      </c>
      <c r="B1865" s="233" t="s">
        <v>536</v>
      </c>
      <c r="C1865" s="234" t="s">
        <v>53</v>
      </c>
      <c r="D1865" s="234" t="s">
        <v>25</v>
      </c>
      <c r="E1865" s="234" t="s">
        <v>819</v>
      </c>
      <c r="F1865" s="234" t="s">
        <v>116</v>
      </c>
      <c r="G1865" s="235">
        <f>G1866</f>
        <v>4044270</v>
      </c>
      <c r="H1865" s="234">
        <v>1610211010</v>
      </c>
      <c r="I1865" s="313" t="str">
        <f t="shared" si="203"/>
        <v>1610211010</v>
      </c>
      <c r="J1865" s="30" t="str">
        <f t="shared" si="204"/>
        <v>62403091610211010240</v>
      </c>
    </row>
    <row r="1866" spans="1:10" s="4" customFormat="1" ht="25.5">
      <c r="A1866" s="236" t="s">
        <v>973</v>
      </c>
      <c r="B1866" s="233" t="s">
        <v>536</v>
      </c>
      <c r="C1866" s="234" t="s">
        <v>53</v>
      </c>
      <c r="D1866" s="234" t="s">
        <v>25</v>
      </c>
      <c r="E1866" s="234" t="s">
        <v>819</v>
      </c>
      <c r="F1866" s="234" t="s">
        <v>1043</v>
      </c>
      <c r="G1866" s="235">
        <f>VLOOKUP(J1866,'исх АС БЮДЖЕТ'!$A$10:$H$568,6,0)</f>
        <v>4044270</v>
      </c>
      <c r="H1866" s="234">
        <v>1610211010</v>
      </c>
      <c r="I1866" s="313" t="str">
        <f t="shared" si="203"/>
        <v>1610211010</v>
      </c>
      <c r="J1866" s="30" t="str">
        <f t="shared" si="204"/>
        <v>62403091610211010244</v>
      </c>
    </row>
    <row r="1867" spans="1:10" s="3" customFormat="1">
      <c r="A1867" s="263" t="s">
        <v>97</v>
      </c>
      <c r="B1867" s="233" t="s">
        <v>536</v>
      </c>
      <c r="C1867" s="234" t="s">
        <v>53</v>
      </c>
      <c r="D1867" s="234" t="s">
        <v>25</v>
      </c>
      <c r="E1867" s="234" t="s">
        <v>819</v>
      </c>
      <c r="F1867" s="234" t="s">
        <v>118</v>
      </c>
      <c r="G1867" s="235">
        <f>SUM(G1868:G1869)</f>
        <v>1119000</v>
      </c>
      <c r="H1867" s="234">
        <v>1610211010</v>
      </c>
      <c r="I1867" s="313" t="str">
        <f t="shared" si="203"/>
        <v>1610211010</v>
      </c>
      <c r="J1867" s="30" t="str">
        <f t="shared" si="204"/>
        <v>62403091610211010850</v>
      </c>
    </row>
    <row r="1868" spans="1:10" s="4" customFormat="1">
      <c r="A1868" s="236" t="s">
        <v>1036</v>
      </c>
      <c r="B1868" s="233" t="s">
        <v>536</v>
      </c>
      <c r="C1868" s="234" t="s">
        <v>53</v>
      </c>
      <c r="D1868" s="234" t="s">
        <v>25</v>
      </c>
      <c r="E1868" s="234" t="s">
        <v>819</v>
      </c>
      <c r="F1868" s="234" t="s">
        <v>1061</v>
      </c>
      <c r="G1868" s="235">
        <f>VLOOKUP(J1868,'исх АС БЮДЖЕТ'!$A$10:$H$568,6,0)</f>
        <v>1080000</v>
      </c>
      <c r="H1868" s="234">
        <v>1610211010</v>
      </c>
      <c r="I1868" s="313" t="str">
        <f t="shared" si="203"/>
        <v>1610211010</v>
      </c>
      <c r="J1868" s="30" t="str">
        <f t="shared" si="204"/>
        <v>62403091610211010851</v>
      </c>
    </row>
    <row r="1869" spans="1:10" s="94" customFormat="1">
      <c r="A1869" s="236" t="s">
        <v>1037</v>
      </c>
      <c r="B1869" s="233" t="s">
        <v>536</v>
      </c>
      <c r="C1869" s="234" t="s">
        <v>53</v>
      </c>
      <c r="D1869" s="234" t="s">
        <v>25</v>
      </c>
      <c r="E1869" s="234" t="s">
        <v>819</v>
      </c>
      <c r="F1869" s="234" t="s">
        <v>1062</v>
      </c>
      <c r="G1869" s="235">
        <f>VLOOKUP(J1869,'исх АС БЮДЖЕТ'!$A$10:$H$568,6,0)</f>
        <v>39000</v>
      </c>
      <c r="H1869" s="234">
        <v>1610211010</v>
      </c>
      <c r="I1869" s="313" t="str">
        <f t="shared" si="203"/>
        <v>1610211010</v>
      </c>
      <c r="J1869" s="30" t="str">
        <f t="shared" si="204"/>
        <v>62403091610211010852</v>
      </c>
    </row>
    <row r="1870" spans="1:10" s="3" customFormat="1" ht="25.5">
      <c r="A1870" s="263" t="s">
        <v>617</v>
      </c>
      <c r="B1870" s="233" t="s">
        <v>536</v>
      </c>
      <c r="C1870" s="234" t="s">
        <v>53</v>
      </c>
      <c r="D1870" s="234" t="s">
        <v>25</v>
      </c>
      <c r="E1870" s="234" t="s">
        <v>626</v>
      </c>
      <c r="F1870" s="234" t="s">
        <v>58</v>
      </c>
      <c r="G1870" s="235">
        <f t="shared" ref="G1870" si="207">G1871</f>
        <v>430000</v>
      </c>
      <c r="H1870" s="234">
        <v>1610300000</v>
      </c>
      <c r="I1870" s="313" t="str">
        <f t="shared" si="203"/>
        <v>1610300000</v>
      </c>
      <c r="J1870" s="30" t="str">
        <f t="shared" si="204"/>
        <v>62403091610300000000</v>
      </c>
    </row>
    <row r="1871" spans="1:10" s="3" customFormat="1" ht="38.25">
      <c r="A1871" s="232" t="s">
        <v>172</v>
      </c>
      <c r="B1871" s="233" t="s">
        <v>536</v>
      </c>
      <c r="C1871" s="234" t="s">
        <v>53</v>
      </c>
      <c r="D1871" s="234" t="s">
        <v>25</v>
      </c>
      <c r="E1871" s="234" t="s">
        <v>820</v>
      </c>
      <c r="F1871" s="234" t="s">
        <v>58</v>
      </c>
      <c r="G1871" s="235">
        <f>G1872</f>
        <v>430000</v>
      </c>
      <c r="H1871" s="234">
        <v>1610320120</v>
      </c>
      <c r="I1871" s="313" t="str">
        <f t="shared" si="203"/>
        <v>1610320120</v>
      </c>
      <c r="J1871" s="30" t="str">
        <f t="shared" si="204"/>
        <v>62403091610320120000</v>
      </c>
    </row>
    <row r="1872" spans="1:10" s="3" customFormat="1" ht="25.5">
      <c r="A1872" s="263" t="s">
        <v>108</v>
      </c>
      <c r="B1872" s="233" t="s">
        <v>536</v>
      </c>
      <c r="C1872" s="234" t="s">
        <v>53</v>
      </c>
      <c r="D1872" s="234" t="s">
        <v>25</v>
      </c>
      <c r="E1872" s="234" t="s">
        <v>820</v>
      </c>
      <c r="F1872" s="234" t="s">
        <v>116</v>
      </c>
      <c r="G1872" s="235">
        <f>G1873</f>
        <v>430000</v>
      </c>
      <c r="H1872" s="234">
        <v>1610320120</v>
      </c>
      <c r="I1872" s="313" t="str">
        <f t="shared" si="203"/>
        <v>1610320120</v>
      </c>
      <c r="J1872" s="30" t="str">
        <f t="shared" si="204"/>
        <v>62403091610320120240</v>
      </c>
    </row>
    <row r="1873" spans="1:10" s="4" customFormat="1" ht="25.5">
      <c r="A1873" s="236" t="s">
        <v>973</v>
      </c>
      <c r="B1873" s="233" t="s">
        <v>536</v>
      </c>
      <c r="C1873" s="234" t="s">
        <v>53</v>
      </c>
      <c r="D1873" s="234" t="s">
        <v>25</v>
      </c>
      <c r="E1873" s="234" t="s">
        <v>820</v>
      </c>
      <c r="F1873" s="234" t="s">
        <v>1043</v>
      </c>
      <c r="G1873" s="235">
        <f>VLOOKUP(J1873,'исх АС БЮДЖЕТ'!$A$10:$H$568,6,0)</f>
        <v>430000</v>
      </c>
      <c r="H1873" s="234">
        <v>1610320120</v>
      </c>
      <c r="I1873" s="313" t="str">
        <f t="shared" si="203"/>
        <v>1610320120</v>
      </c>
      <c r="J1873" s="30" t="str">
        <f t="shared" si="204"/>
        <v>62403091610320120244</v>
      </c>
    </row>
    <row r="1874" spans="1:10" s="153" customFormat="1" ht="25.5">
      <c r="A1874" s="232" t="s">
        <v>136</v>
      </c>
      <c r="B1874" s="233" t="s">
        <v>536</v>
      </c>
      <c r="C1874" s="234" t="s">
        <v>53</v>
      </c>
      <c r="D1874" s="234" t="s">
        <v>25</v>
      </c>
      <c r="E1874" s="234" t="s">
        <v>340</v>
      </c>
      <c r="F1874" s="234" t="s">
        <v>58</v>
      </c>
      <c r="G1874" s="235">
        <f t="shared" ref="G1874:G1875" si="208">G1875</f>
        <v>1712740</v>
      </c>
      <c r="H1874" s="234">
        <v>1620000000</v>
      </c>
      <c r="I1874" s="313" t="str">
        <f t="shared" si="203"/>
        <v>1620000000</v>
      </c>
      <c r="J1874" s="30" t="str">
        <f t="shared" si="204"/>
        <v>62403091620000000000</v>
      </c>
    </row>
    <row r="1875" spans="1:10" s="3" customFormat="1">
      <c r="A1875" s="263" t="s">
        <v>863</v>
      </c>
      <c r="B1875" s="233" t="s">
        <v>536</v>
      </c>
      <c r="C1875" s="234" t="s">
        <v>53</v>
      </c>
      <c r="D1875" s="234" t="s">
        <v>25</v>
      </c>
      <c r="E1875" s="234" t="s">
        <v>341</v>
      </c>
      <c r="F1875" s="234" t="s">
        <v>58</v>
      </c>
      <c r="G1875" s="235">
        <f t="shared" si="208"/>
        <v>1712740</v>
      </c>
      <c r="H1875" s="234">
        <v>1620100000</v>
      </c>
      <c r="I1875" s="313" t="str">
        <f t="shared" si="203"/>
        <v>1620100000</v>
      </c>
      <c r="J1875" s="30" t="str">
        <f t="shared" si="204"/>
        <v>62403091620100000000</v>
      </c>
    </row>
    <row r="1876" spans="1:10" s="3" customFormat="1">
      <c r="A1876" s="263" t="s">
        <v>137</v>
      </c>
      <c r="B1876" s="233" t="s">
        <v>536</v>
      </c>
      <c r="C1876" s="234" t="s">
        <v>53</v>
      </c>
      <c r="D1876" s="234" t="s">
        <v>25</v>
      </c>
      <c r="E1876" s="234" t="s">
        <v>546</v>
      </c>
      <c r="F1876" s="234" t="s">
        <v>58</v>
      </c>
      <c r="G1876" s="235">
        <f>G1877</f>
        <v>1712740</v>
      </c>
      <c r="H1876" s="234">
        <v>1620120540</v>
      </c>
      <c r="I1876" s="313" t="str">
        <f t="shared" si="203"/>
        <v>1620120540</v>
      </c>
      <c r="J1876" s="30" t="str">
        <f t="shared" si="204"/>
        <v>62403091620120540000</v>
      </c>
    </row>
    <row r="1877" spans="1:10" s="3" customFormat="1" ht="25.5">
      <c r="A1877" s="232" t="s">
        <v>108</v>
      </c>
      <c r="B1877" s="233" t="s">
        <v>536</v>
      </c>
      <c r="C1877" s="234" t="s">
        <v>53</v>
      </c>
      <c r="D1877" s="234" t="s">
        <v>25</v>
      </c>
      <c r="E1877" s="234" t="s">
        <v>546</v>
      </c>
      <c r="F1877" s="234" t="s">
        <v>116</v>
      </c>
      <c r="G1877" s="235">
        <f>G1878</f>
        <v>1712740</v>
      </c>
      <c r="H1877" s="234">
        <v>1620120540</v>
      </c>
      <c r="I1877" s="313" t="str">
        <f t="shared" si="203"/>
        <v>1620120540</v>
      </c>
      <c r="J1877" s="30" t="str">
        <f t="shared" si="204"/>
        <v>62403091620120540240</v>
      </c>
    </row>
    <row r="1878" spans="1:10" s="4" customFormat="1" ht="25.5">
      <c r="A1878" s="236" t="s">
        <v>973</v>
      </c>
      <c r="B1878" s="233" t="s">
        <v>536</v>
      </c>
      <c r="C1878" s="234" t="s">
        <v>53</v>
      </c>
      <c r="D1878" s="234" t="s">
        <v>25</v>
      </c>
      <c r="E1878" s="234" t="s">
        <v>546</v>
      </c>
      <c r="F1878" s="234" t="s">
        <v>1043</v>
      </c>
      <c r="G1878" s="235">
        <f>VLOOKUP(J1878,'исх АС БЮДЖЕТ'!$A$10:$H$568,6,0)</f>
        <v>1712740</v>
      </c>
      <c r="H1878" s="234">
        <v>1620120540</v>
      </c>
      <c r="I1878" s="313" t="str">
        <f t="shared" si="203"/>
        <v>1620120540</v>
      </c>
      <c r="J1878" s="30" t="str">
        <f t="shared" si="204"/>
        <v>62403091620120540244</v>
      </c>
    </row>
    <row r="1879" spans="1:10" s="3" customFormat="1" ht="25.5">
      <c r="A1879" s="232" t="s">
        <v>822</v>
      </c>
      <c r="B1879" s="233" t="s">
        <v>536</v>
      </c>
      <c r="C1879" s="234" t="s">
        <v>53</v>
      </c>
      <c r="D1879" s="234" t="s">
        <v>25</v>
      </c>
      <c r="E1879" s="234" t="s">
        <v>821</v>
      </c>
      <c r="F1879" s="234" t="s">
        <v>58</v>
      </c>
      <c r="G1879" s="235">
        <f>G1880+G1891+G1895+G1899</f>
        <v>26876250</v>
      </c>
      <c r="H1879" s="234">
        <v>1630000000</v>
      </c>
      <c r="I1879" s="313" t="str">
        <f t="shared" si="203"/>
        <v>1630000000</v>
      </c>
      <c r="J1879" s="30" t="str">
        <f t="shared" si="204"/>
        <v>62403091630000000000</v>
      </c>
    </row>
    <row r="1880" spans="1:10" s="3" customFormat="1" ht="38.25">
      <c r="A1880" s="232" t="s">
        <v>864</v>
      </c>
      <c r="B1880" s="233" t="s">
        <v>536</v>
      </c>
      <c r="C1880" s="234" t="s">
        <v>53</v>
      </c>
      <c r="D1880" s="234" t="s">
        <v>25</v>
      </c>
      <c r="E1880" s="234" t="s">
        <v>823</v>
      </c>
      <c r="F1880" s="234" t="s">
        <v>58</v>
      </c>
      <c r="G1880" s="235">
        <f>G1881</f>
        <v>18692580</v>
      </c>
      <c r="H1880" s="234">
        <v>1630100000</v>
      </c>
      <c r="I1880" s="313" t="str">
        <f t="shared" si="203"/>
        <v>1630100000</v>
      </c>
      <c r="J1880" s="30" t="str">
        <f t="shared" si="204"/>
        <v>62403091630100000000</v>
      </c>
    </row>
    <row r="1881" spans="1:10" s="3" customFormat="1">
      <c r="A1881" s="263" t="s">
        <v>247</v>
      </c>
      <c r="B1881" s="233" t="s">
        <v>536</v>
      </c>
      <c r="C1881" s="234" t="s">
        <v>53</v>
      </c>
      <c r="D1881" s="234" t="s">
        <v>25</v>
      </c>
      <c r="E1881" s="234" t="s">
        <v>824</v>
      </c>
      <c r="F1881" s="234" t="s">
        <v>58</v>
      </c>
      <c r="G1881" s="235">
        <f>G1882+G1885+G1887</f>
        <v>18692580</v>
      </c>
      <c r="H1881" s="234">
        <v>1630111010</v>
      </c>
      <c r="I1881" s="313" t="str">
        <f t="shared" si="203"/>
        <v>1630111010</v>
      </c>
      <c r="J1881" s="30" t="str">
        <f t="shared" si="204"/>
        <v>62403091630111010000</v>
      </c>
    </row>
    <row r="1882" spans="1:10" s="3" customFormat="1">
      <c r="A1882" s="263" t="s">
        <v>106</v>
      </c>
      <c r="B1882" s="233" t="s">
        <v>536</v>
      </c>
      <c r="C1882" s="234" t="s">
        <v>53</v>
      </c>
      <c r="D1882" s="234" t="s">
        <v>25</v>
      </c>
      <c r="E1882" s="234" t="s">
        <v>824</v>
      </c>
      <c r="F1882" s="234" t="s">
        <v>121</v>
      </c>
      <c r="G1882" s="235">
        <f>SUM(G1883:G1884)</f>
        <v>16997420</v>
      </c>
      <c r="H1882" s="234">
        <v>1630111010</v>
      </c>
      <c r="I1882" s="313" t="str">
        <f t="shared" si="203"/>
        <v>1630111010</v>
      </c>
      <c r="J1882" s="30" t="str">
        <f t="shared" si="204"/>
        <v>62403091630111010110</v>
      </c>
    </row>
    <row r="1883" spans="1:10" s="4" customFormat="1">
      <c r="A1883" s="236" t="s">
        <v>932</v>
      </c>
      <c r="B1883" s="233" t="s">
        <v>536</v>
      </c>
      <c r="C1883" s="234" t="s">
        <v>53</v>
      </c>
      <c r="D1883" s="234" t="s">
        <v>25</v>
      </c>
      <c r="E1883" s="234" t="s">
        <v>824</v>
      </c>
      <c r="F1883" s="234" t="s">
        <v>1056</v>
      </c>
      <c r="G1883" s="235">
        <f>VLOOKUP(J1883,'исх АС БЮДЖЕТ'!$A$10:$H$568,6,0)</f>
        <v>13054850</v>
      </c>
      <c r="H1883" s="234">
        <v>1630111010</v>
      </c>
      <c r="I1883" s="313" t="str">
        <f t="shared" si="203"/>
        <v>1630111010</v>
      </c>
      <c r="J1883" s="30" t="str">
        <f t="shared" si="204"/>
        <v>62403091630111010111</v>
      </c>
    </row>
    <row r="1884" spans="1:10" s="4" customFormat="1" ht="25.5">
      <c r="A1884" s="236" t="s">
        <v>935</v>
      </c>
      <c r="B1884" s="233" t="s">
        <v>536</v>
      </c>
      <c r="C1884" s="234" t="s">
        <v>53</v>
      </c>
      <c r="D1884" s="234" t="s">
        <v>25</v>
      </c>
      <c r="E1884" s="234" t="s">
        <v>824</v>
      </c>
      <c r="F1884" s="234" t="s">
        <v>1057</v>
      </c>
      <c r="G1884" s="235">
        <f>VLOOKUP(J1884,'исх АС БЮДЖЕТ'!$A$10:$H$568,6,0)</f>
        <v>3942570</v>
      </c>
      <c r="H1884" s="234">
        <v>1630111010</v>
      </c>
      <c r="I1884" s="313" t="str">
        <f t="shared" si="203"/>
        <v>1630111010</v>
      </c>
      <c r="J1884" s="30" t="str">
        <f t="shared" si="204"/>
        <v>62403091630111010119</v>
      </c>
    </row>
    <row r="1885" spans="1:10" s="3" customFormat="1" ht="25.5">
      <c r="A1885" s="232" t="s">
        <v>108</v>
      </c>
      <c r="B1885" s="233" t="s">
        <v>536</v>
      </c>
      <c r="C1885" s="234" t="s">
        <v>53</v>
      </c>
      <c r="D1885" s="234" t="s">
        <v>25</v>
      </c>
      <c r="E1885" s="234" t="s">
        <v>824</v>
      </c>
      <c r="F1885" s="234" t="s">
        <v>116</v>
      </c>
      <c r="G1885" s="235">
        <f>G1886</f>
        <v>1338160</v>
      </c>
      <c r="H1885" s="234">
        <v>1630111010</v>
      </c>
      <c r="I1885" s="313" t="str">
        <f t="shared" si="203"/>
        <v>1630111010</v>
      </c>
      <c r="J1885" s="30" t="str">
        <f t="shared" si="204"/>
        <v>62403091630111010240</v>
      </c>
    </row>
    <row r="1886" spans="1:10" s="4" customFormat="1" ht="25.5">
      <c r="A1886" s="236" t="s">
        <v>973</v>
      </c>
      <c r="B1886" s="233" t="s">
        <v>536</v>
      </c>
      <c r="C1886" s="234" t="s">
        <v>53</v>
      </c>
      <c r="D1886" s="234" t="s">
        <v>25</v>
      </c>
      <c r="E1886" s="234" t="s">
        <v>824</v>
      </c>
      <c r="F1886" s="234" t="s">
        <v>1043</v>
      </c>
      <c r="G1886" s="235">
        <f>VLOOKUP(J1886,'исх АС БЮДЖЕТ'!$A$10:$H$568,6,0)</f>
        <v>1338160</v>
      </c>
      <c r="H1886" s="234">
        <v>1630111010</v>
      </c>
      <c r="I1886" s="313" t="str">
        <f t="shared" si="203"/>
        <v>1630111010</v>
      </c>
      <c r="J1886" s="30" t="str">
        <f t="shared" si="204"/>
        <v>62403091630111010244</v>
      </c>
    </row>
    <row r="1887" spans="1:10" s="3" customFormat="1">
      <c r="A1887" s="263" t="s">
        <v>97</v>
      </c>
      <c r="B1887" s="233" t="s">
        <v>536</v>
      </c>
      <c r="C1887" s="234" t="s">
        <v>53</v>
      </c>
      <c r="D1887" s="234" t="s">
        <v>25</v>
      </c>
      <c r="E1887" s="234" t="s">
        <v>824</v>
      </c>
      <c r="F1887" s="234" t="s">
        <v>118</v>
      </c>
      <c r="G1887" s="235">
        <f>SUM(G1888:G1890)</f>
        <v>357000</v>
      </c>
      <c r="H1887" s="234">
        <v>1630111010</v>
      </c>
      <c r="I1887" s="313" t="str">
        <f t="shared" si="203"/>
        <v>1630111010</v>
      </c>
      <c r="J1887" s="30" t="str">
        <f t="shared" si="204"/>
        <v>62403091630111010850</v>
      </c>
    </row>
    <row r="1888" spans="1:10" s="4" customFormat="1">
      <c r="A1888" s="236" t="s">
        <v>1036</v>
      </c>
      <c r="B1888" s="233" t="s">
        <v>536</v>
      </c>
      <c r="C1888" s="234" t="s">
        <v>53</v>
      </c>
      <c r="D1888" s="234" t="s">
        <v>25</v>
      </c>
      <c r="E1888" s="234" t="s">
        <v>824</v>
      </c>
      <c r="F1888" s="234" t="s">
        <v>1061</v>
      </c>
      <c r="G1888" s="235">
        <f>VLOOKUP(J1888,'исх АС БЮДЖЕТ'!$A$10:$H$568,6,0)</f>
        <v>350000</v>
      </c>
      <c r="H1888" s="234">
        <v>1630111010</v>
      </c>
      <c r="I1888" s="313" t="str">
        <f t="shared" si="203"/>
        <v>1630111010</v>
      </c>
      <c r="J1888" s="30" t="str">
        <f t="shared" si="204"/>
        <v>62403091630111010851</v>
      </c>
    </row>
    <row r="1889" spans="1:10" s="4" customFormat="1">
      <c r="A1889" s="236" t="s">
        <v>1037</v>
      </c>
      <c r="B1889" s="233" t="s">
        <v>536</v>
      </c>
      <c r="C1889" s="234" t="s">
        <v>53</v>
      </c>
      <c r="D1889" s="234" t="s">
        <v>25</v>
      </c>
      <c r="E1889" s="234" t="s">
        <v>824</v>
      </c>
      <c r="F1889" s="234" t="s">
        <v>1062</v>
      </c>
      <c r="G1889" s="235">
        <f>VLOOKUP(J1889,'исх АС БЮДЖЕТ'!$A$10:$H$568,6,0)</f>
        <v>3100.12</v>
      </c>
      <c r="H1889" s="234">
        <v>1630111010</v>
      </c>
      <c r="I1889" s="313" t="str">
        <f t="shared" si="203"/>
        <v>1630111010</v>
      </c>
      <c r="J1889" s="30" t="str">
        <f t="shared" si="204"/>
        <v>62403091630111010852</v>
      </c>
    </row>
    <row r="1890" spans="1:10" s="4" customFormat="1">
      <c r="A1890" s="232" t="s">
        <v>1038</v>
      </c>
      <c r="B1890" s="233" t="s">
        <v>536</v>
      </c>
      <c r="C1890" s="234" t="s">
        <v>53</v>
      </c>
      <c r="D1890" s="234" t="s">
        <v>25</v>
      </c>
      <c r="E1890" s="234" t="s">
        <v>824</v>
      </c>
      <c r="F1890" s="234" t="s">
        <v>1066</v>
      </c>
      <c r="G1890" s="235">
        <f>VLOOKUP(J1890,'исх АС БЮДЖЕТ'!$A$10:$H$568,6,0)</f>
        <v>3899.88</v>
      </c>
      <c r="H1890" s="234">
        <v>1630111010</v>
      </c>
      <c r="I1890" s="313" t="str">
        <f t="shared" ref="I1890" si="209">TEXT(H1890,"0000000000")</f>
        <v>1630111010</v>
      </c>
      <c r="J1890" s="30" t="str">
        <f t="shared" si="204"/>
        <v>62403091630111010853</v>
      </c>
    </row>
    <row r="1891" spans="1:10" s="3" customFormat="1" ht="51">
      <c r="A1891" s="263" t="s">
        <v>670</v>
      </c>
      <c r="B1891" s="233" t="s">
        <v>536</v>
      </c>
      <c r="C1891" s="234" t="s">
        <v>53</v>
      </c>
      <c r="D1891" s="234" t="s">
        <v>25</v>
      </c>
      <c r="E1891" s="234" t="s">
        <v>825</v>
      </c>
      <c r="F1891" s="234" t="s">
        <v>58</v>
      </c>
      <c r="G1891" s="235">
        <f>G1892</f>
        <v>2553670</v>
      </c>
      <c r="H1891" s="234">
        <v>1630200000</v>
      </c>
      <c r="I1891" s="313" t="str">
        <f t="shared" si="203"/>
        <v>1630200000</v>
      </c>
      <c r="J1891" s="30" t="str">
        <f t="shared" si="204"/>
        <v>62403091630200000000</v>
      </c>
    </row>
    <row r="1892" spans="1:10" s="3" customFormat="1" ht="38.25">
      <c r="A1892" s="263" t="s">
        <v>173</v>
      </c>
      <c r="B1892" s="233" t="s">
        <v>536</v>
      </c>
      <c r="C1892" s="234" t="s">
        <v>53</v>
      </c>
      <c r="D1892" s="234" t="s">
        <v>25</v>
      </c>
      <c r="E1892" s="234" t="s">
        <v>826</v>
      </c>
      <c r="F1892" s="234" t="s">
        <v>58</v>
      </c>
      <c r="G1892" s="235">
        <f>G1893</f>
        <v>2553670</v>
      </c>
      <c r="H1892" s="234">
        <v>1630220690</v>
      </c>
      <c r="I1892" s="313" t="str">
        <f t="shared" si="203"/>
        <v>1630220690</v>
      </c>
      <c r="J1892" s="30" t="str">
        <f t="shared" si="204"/>
        <v>62403091630220690000</v>
      </c>
    </row>
    <row r="1893" spans="1:10" s="3" customFormat="1" ht="25.5">
      <c r="A1893" s="232" t="s">
        <v>108</v>
      </c>
      <c r="B1893" s="233" t="s">
        <v>536</v>
      </c>
      <c r="C1893" s="234" t="s">
        <v>53</v>
      </c>
      <c r="D1893" s="234" t="s">
        <v>25</v>
      </c>
      <c r="E1893" s="234" t="s">
        <v>826</v>
      </c>
      <c r="F1893" s="234" t="s">
        <v>116</v>
      </c>
      <c r="G1893" s="235">
        <f>G1894</f>
        <v>2553670</v>
      </c>
      <c r="H1893" s="234">
        <v>1630220690</v>
      </c>
      <c r="I1893" s="313" t="str">
        <f t="shared" si="203"/>
        <v>1630220690</v>
      </c>
      <c r="J1893" s="30" t="str">
        <f t="shared" si="204"/>
        <v>62403091630220690240</v>
      </c>
    </row>
    <row r="1894" spans="1:10" s="4" customFormat="1" ht="25.5">
      <c r="A1894" s="236" t="s">
        <v>973</v>
      </c>
      <c r="B1894" s="233" t="s">
        <v>536</v>
      </c>
      <c r="C1894" s="234" t="s">
        <v>53</v>
      </c>
      <c r="D1894" s="234" t="s">
        <v>25</v>
      </c>
      <c r="E1894" s="234" t="s">
        <v>826</v>
      </c>
      <c r="F1894" s="234" t="s">
        <v>1043</v>
      </c>
      <c r="G1894" s="235">
        <f>VLOOKUP(J1894,'исх АС БЮДЖЕТ'!$A$10:$H$568,6,0)</f>
        <v>2553670</v>
      </c>
      <c r="H1894" s="234">
        <v>1630220690</v>
      </c>
      <c r="I1894" s="313" t="str">
        <f t="shared" si="203"/>
        <v>1630220690</v>
      </c>
      <c r="J1894" s="30" t="str">
        <f t="shared" si="204"/>
        <v>62403091630220690244</v>
      </c>
    </row>
    <row r="1895" spans="1:10" s="3" customFormat="1" ht="25.5">
      <c r="A1895" s="263" t="s">
        <v>865</v>
      </c>
      <c r="B1895" s="233" t="s">
        <v>536</v>
      </c>
      <c r="C1895" s="234" t="s">
        <v>53</v>
      </c>
      <c r="D1895" s="234" t="s">
        <v>25</v>
      </c>
      <c r="E1895" s="234" t="s">
        <v>827</v>
      </c>
      <c r="F1895" s="234" t="s">
        <v>58</v>
      </c>
      <c r="G1895" s="235">
        <f>G1896</f>
        <v>2700000</v>
      </c>
      <c r="H1895" s="234">
        <v>1630300000</v>
      </c>
      <c r="I1895" s="313" t="str">
        <f t="shared" si="203"/>
        <v>1630300000</v>
      </c>
      <c r="J1895" s="30" t="str">
        <f t="shared" si="204"/>
        <v>62403091630300000000</v>
      </c>
    </row>
    <row r="1896" spans="1:10" s="3" customFormat="1" ht="25.5">
      <c r="A1896" s="263" t="s">
        <v>122</v>
      </c>
      <c r="B1896" s="233" t="s">
        <v>536</v>
      </c>
      <c r="C1896" s="234" t="s">
        <v>53</v>
      </c>
      <c r="D1896" s="234" t="s">
        <v>25</v>
      </c>
      <c r="E1896" s="234" t="s">
        <v>828</v>
      </c>
      <c r="F1896" s="234" t="s">
        <v>58</v>
      </c>
      <c r="G1896" s="235">
        <f>G1897</f>
        <v>2700000</v>
      </c>
      <c r="H1896" s="234">
        <v>1630320350</v>
      </c>
      <c r="I1896" s="313" t="str">
        <f t="shared" si="203"/>
        <v>1630320350</v>
      </c>
      <c r="J1896" s="30" t="str">
        <f t="shared" si="204"/>
        <v>62403091630320350000</v>
      </c>
    </row>
    <row r="1897" spans="1:10" s="3" customFormat="1" ht="25.5">
      <c r="A1897" s="263" t="s">
        <v>108</v>
      </c>
      <c r="B1897" s="233" t="s">
        <v>536</v>
      </c>
      <c r="C1897" s="234" t="s">
        <v>53</v>
      </c>
      <c r="D1897" s="234" t="s">
        <v>25</v>
      </c>
      <c r="E1897" s="234" t="s">
        <v>828</v>
      </c>
      <c r="F1897" s="234" t="s">
        <v>116</v>
      </c>
      <c r="G1897" s="235">
        <f>G1898</f>
        <v>2700000</v>
      </c>
      <c r="H1897" s="234">
        <v>1630320350</v>
      </c>
      <c r="I1897" s="313" t="str">
        <f t="shared" si="203"/>
        <v>1630320350</v>
      </c>
      <c r="J1897" s="30" t="str">
        <f t="shared" si="204"/>
        <v>62403091630320350240</v>
      </c>
    </row>
    <row r="1898" spans="1:10" s="4" customFormat="1" ht="25.5">
      <c r="A1898" s="236" t="s">
        <v>973</v>
      </c>
      <c r="B1898" s="233" t="s">
        <v>536</v>
      </c>
      <c r="C1898" s="234" t="s">
        <v>53</v>
      </c>
      <c r="D1898" s="234" t="s">
        <v>25</v>
      </c>
      <c r="E1898" s="234" t="s">
        <v>828</v>
      </c>
      <c r="F1898" s="234" t="s">
        <v>1043</v>
      </c>
      <c r="G1898" s="235">
        <f>VLOOKUP(J1898,'исх АС БЮДЖЕТ'!$A$10:$H$568,6,0)</f>
        <v>2700000</v>
      </c>
      <c r="H1898" s="234">
        <v>1630320350</v>
      </c>
      <c r="I1898" s="313" t="str">
        <f t="shared" si="203"/>
        <v>1630320350</v>
      </c>
      <c r="J1898" s="30" t="str">
        <f t="shared" si="204"/>
        <v>62403091630320350244</v>
      </c>
    </row>
    <row r="1899" spans="1:10" s="3" customFormat="1" ht="51">
      <c r="A1899" s="263" t="s">
        <v>866</v>
      </c>
      <c r="B1899" s="233" t="s">
        <v>536</v>
      </c>
      <c r="C1899" s="234" t="s">
        <v>53</v>
      </c>
      <c r="D1899" s="234" t="s">
        <v>25</v>
      </c>
      <c r="E1899" s="234" t="s">
        <v>829</v>
      </c>
      <c r="F1899" s="234" t="s">
        <v>58</v>
      </c>
      <c r="G1899" s="235">
        <f>G1900</f>
        <v>2930000</v>
      </c>
      <c r="H1899" s="234">
        <v>1630400000</v>
      </c>
      <c r="I1899" s="313" t="str">
        <f t="shared" si="203"/>
        <v>1630400000</v>
      </c>
      <c r="J1899" s="30" t="str">
        <f t="shared" si="204"/>
        <v>62403091630400000000</v>
      </c>
    </row>
    <row r="1900" spans="1:10" s="3" customFormat="1" ht="25.5">
      <c r="A1900" s="263" t="s">
        <v>122</v>
      </c>
      <c r="B1900" s="233" t="s">
        <v>536</v>
      </c>
      <c r="C1900" s="234" t="s">
        <v>53</v>
      </c>
      <c r="D1900" s="234" t="s">
        <v>25</v>
      </c>
      <c r="E1900" s="234" t="s">
        <v>830</v>
      </c>
      <c r="F1900" s="234" t="s">
        <v>58</v>
      </c>
      <c r="G1900" s="235">
        <f>G1901</f>
        <v>2930000</v>
      </c>
      <c r="H1900" s="234">
        <v>1630420350</v>
      </c>
      <c r="I1900" s="313" t="str">
        <f t="shared" si="203"/>
        <v>1630420350</v>
      </c>
      <c r="J1900" s="30" t="str">
        <f t="shared" si="204"/>
        <v>62403091630420350000</v>
      </c>
    </row>
    <row r="1901" spans="1:10" s="3" customFormat="1" ht="25.5">
      <c r="A1901" s="263" t="s">
        <v>108</v>
      </c>
      <c r="B1901" s="233" t="s">
        <v>536</v>
      </c>
      <c r="C1901" s="234" t="s">
        <v>53</v>
      </c>
      <c r="D1901" s="234" t="s">
        <v>25</v>
      </c>
      <c r="E1901" s="234" t="s">
        <v>830</v>
      </c>
      <c r="F1901" s="234" t="s">
        <v>116</v>
      </c>
      <c r="G1901" s="235">
        <f>G1902</f>
        <v>2930000</v>
      </c>
      <c r="H1901" s="234">
        <v>1630420350</v>
      </c>
      <c r="I1901" s="313" t="str">
        <f t="shared" si="203"/>
        <v>1630420350</v>
      </c>
      <c r="J1901" s="30" t="str">
        <f t="shared" si="204"/>
        <v>62403091630420350240</v>
      </c>
    </row>
    <row r="1902" spans="1:10" s="4" customFormat="1" ht="25.5">
      <c r="A1902" s="236" t="s">
        <v>973</v>
      </c>
      <c r="B1902" s="233" t="s">
        <v>536</v>
      </c>
      <c r="C1902" s="234" t="s">
        <v>53</v>
      </c>
      <c r="D1902" s="234" t="s">
        <v>25</v>
      </c>
      <c r="E1902" s="234" t="s">
        <v>830</v>
      </c>
      <c r="F1902" s="234" t="s">
        <v>1043</v>
      </c>
      <c r="G1902" s="235">
        <f>VLOOKUP(J1902,'исх АС БЮДЖЕТ'!$A$10:$H$568,6,0)</f>
        <v>2930000</v>
      </c>
      <c r="H1902" s="234">
        <v>1630420350</v>
      </c>
      <c r="I1902" s="313" t="str">
        <f t="shared" si="203"/>
        <v>1630420350</v>
      </c>
      <c r="J1902" s="30" t="str">
        <f t="shared" si="204"/>
        <v>62403091630420350244</v>
      </c>
    </row>
    <row r="1903" spans="1:10" s="3" customFormat="1" ht="25.5">
      <c r="A1903" s="262" t="s">
        <v>185</v>
      </c>
      <c r="B1903" s="233" t="s">
        <v>536</v>
      </c>
      <c r="C1903" s="234" t="s">
        <v>53</v>
      </c>
      <c r="D1903" s="234" t="s">
        <v>25</v>
      </c>
      <c r="E1903" s="234" t="s">
        <v>547</v>
      </c>
      <c r="F1903" s="234" t="s">
        <v>58</v>
      </c>
      <c r="G1903" s="235">
        <f>G1904</f>
        <v>15349490</v>
      </c>
      <c r="H1903" s="234">
        <v>8500000000</v>
      </c>
      <c r="I1903" s="313" t="str">
        <f t="shared" si="203"/>
        <v>8500000000</v>
      </c>
      <c r="J1903" s="30" t="str">
        <f t="shared" si="204"/>
        <v>62403098500000000000</v>
      </c>
    </row>
    <row r="1904" spans="1:10" s="153" customFormat="1" ht="38.25">
      <c r="A1904" s="232" t="s">
        <v>548</v>
      </c>
      <c r="B1904" s="233" t="s">
        <v>536</v>
      </c>
      <c r="C1904" s="234" t="s">
        <v>53</v>
      </c>
      <c r="D1904" s="234" t="s">
        <v>25</v>
      </c>
      <c r="E1904" s="234" t="s">
        <v>549</v>
      </c>
      <c r="F1904" s="234" t="s">
        <v>58</v>
      </c>
      <c r="G1904" s="235">
        <f>G1905+G1915</f>
        <v>15349490</v>
      </c>
      <c r="H1904" s="234">
        <v>8510000000</v>
      </c>
      <c r="I1904" s="313" t="str">
        <f t="shared" si="203"/>
        <v>8510000000</v>
      </c>
      <c r="J1904" s="30" t="str">
        <f t="shared" si="204"/>
        <v>62403098510000000000</v>
      </c>
    </row>
    <row r="1905" spans="1:10" s="3" customFormat="1" ht="25.5">
      <c r="A1905" s="263" t="s">
        <v>114</v>
      </c>
      <c r="B1905" s="233" t="s">
        <v>536</v>
      </c>
      <c r="C1905" s="234" t="s">
        <v>53</v>
      </c>
      <c r="D1905" s="234" t="s">
        <v>25</v>
      </c>
      <c r="E1905" s="234" t="s">
        <v>550</v>
      </c>
      <c r="F1905" s="234" t="s">
        <v>58</v>
      </c>
      <c r="G1905" s="235">
        <f>G1906+G1909+G1911</f>
        <v>1772940</v>
      </c>
      <c r="H1905" s="234">
        <v>8510010010</v>
      </c>
      <c r="I1905" s="313" t="str">
        <f t="shared" si="203"/>
        <v>8510010010</v>
      </c>
      <c r="J1905" s="30" t="str">
        <f t="shared" si="204"/>
        <v>62403098510010010000</v>
      </c>
    </row>
    <row r="1906" spans="1:10" s="3" customFormat="1">
      <c r="A1906" s="232" t="s">
        <v>107</v>
      </c>
      <c r="B1906" s="233" t="s">
        <v>536</v>
      </c>
      <c r="C1906" s="234" t="s">
        <v>53</v>
      </c>
      <c r="D1906" s="234" t="s">
        <v>25</v>
      </c>
      <c r="E1906" s="234" t="s">
        <v>550</v>
      </c>
      <c r="F1906" s="234" t="s">
        <v>115</v>
      </c>
      <c r="G1906" s="235">
        <f>SUM(G1907:G1908)</f>
        <v>387250</v>
      </c>
      <c r="H1906" s="234">
        <v>8510010010</v>
      </c>
      <c r="I1906" s="313" t="str">
        <f t="shared" si="203"/>
        <v>8510010010</v>
      </c>
      <c r="J1906" s="30" t="str">
        <f t="shared" si="204"/>
        <v>62403098510010010120</v>
      </c>
    </row>
    <row r="1907" spans="1:10" s="3" customFormat="1" ht="25.5">
      <c r="A1907" s="232" t="s">
        <v>937</v>
      </c>
      <c r="B1907" s="233" t="s">
        <v>536</v>
      </c>
      <c r="C1907" s="234" t="s">
        <v>53</v>
      </c>
      <c r="D1907" s="234" t="s">
        <v>25</v>
      </c>
      <c r="E1907" s="234" t="s">
        <v>550</v>
      </c>
      <c r="F1907" s="234" t="s">
        <v>1059</v>
      </c>
      <c r="G1907" s="235">
        <f>VLOOKUP(J1907,'исх АС БЮДЖЕТ'!$A$10:$H$568,6,0)</f>
        <v>303080</v>
      </c>
      <c r="H1907" s="234">
        <v>8510010010</v>
      </c>
      <c r="I1907" s="313" t="str">
        <f t="shared" si="203"/>
        <v>8510010010</v>
      </c>
      <c r="J1907" s="30" t="str">
        <f t="shared" si="204"/>
        <v>62403098510010010122</v>
      </c>
    </row>
    <row r="1908" spans="1:10" s="3" customFormat="1" ht="38.25">
      <c r="A1908" s="232" t="s">
        <v>939</v>
      </c>
      <c r="B1908" s="233" t="s">
        <v>536</v>
      </c>
      <c r="C1908" s="234" t="s">
        <v>53</v>
      </c>
      <c r="D1908" s="234" t="s">
        <v>25</v>
      </c>
      <c r="E1908" s="234" t="s">
        <v>550</v>
      </c>
      <c r="F1908" s="234" t="s">
        <v>1060</v>
      </c>
      <c r="G1908" s="235">
        <f>VLOOKUP(J1908,'исх АС БЮДЖЕТ'!$A$10:$H$568,6,0)</f>
        <v>84170</v>
      </c>
      <c r="H1908" s="234">
        <v>8510010010</v>
      </c>
      <c r="I1908" s="313" t="str">
        <f t="shared" si="203"/>
        <v>8510010010</v>
      </c>
      <c r="J1908" s="30" t="str">
        <f t="shared" si="204"/>
        <v>62403098510010010129</v>
      </c>
    </row>
    <row r="1909" spans="1:10" s="3" customFormat="1" ht="25.5">
      <c r="A1909" s="232" t="s">
        <v>108</v>
      </c>
      <c r="B1909" s="233" t="s">
        <v>536</v>
      </c>
      <c r="C1909" s="234" t="s">
        <v>53</v>
      </c>
      <c r="D1909" s="234" t="s">
        <v>25</v>
      </c>
      <c r="E1909" s="234" t="s">
        <v>550</v>
      </c>
      <c r="F1909" s="234" t="s">
        <v>116</v>
      </c>
      <c r="G1909" s="235">
        <f>G1910</f>
        <v>1183980</v>
      </c>
      <c r="H1909" s="234">
        <v>8510010010</v>
      </c>
      <c r="I1909" s="313" t="str">
        <f t="shared" si="203"/>
        <v>8510010010</v>
      </c>
      <c r="J1909" s="30" t="str">
        <f t="shared" si="204"/>
        <v>62403098510010010240</v>
      </c>
    </row>
    <row r="1910" spans="1:10" s="3" customFormat="1" ht="25.5">
      <c r="A1910" s="236" t="s">
        <v>973</v>
      </c>
      <c r="B1910" s="233" t="s">
        <v>536</v>
      </c>
      <c r="C1910" s="234" t="s">
        <v>53</v>
      </c>
      <c r="D1910" s="234" t="s">
        <v>25</v>
      </c>
      <c r="E1910" s="234" t="s">
        <v>550</v>
      </c>
      <c r="F1910" s="234" t="s">
        <v>1043</v>
      </c>
      <c r="G1910" s="235">
        <f>VLOOKUP(J1910,'исх АС БЮДЖЕТ'!$A$10:$H$568,6,0)</f>
        <v>1183980</v>
      </c>
      <c r="H1910" s="234">
        <v>8510010010</v>
      </c>
      <c r="I1910" s="313" t="str">
        <f t="shared" si="203"/>
        <v>8510010010</v>
      </c>
      <c r="J1910" s="30" t="str">
        <f t="shared" si="204"/>
        <v>62403098510010010244</v>
      </c>
    </row>
    <row r="1911" spans="1:10" s="3" customFormat="1">
      <c r="A1911" s="232" t="s">
        <v>97</v>
      </c>
      <c r="B1911" s="233" t="s">
        <v>536</v>
      </c>
      <c r="C1911" s="234" t="s">
        <v>53</v>
      </c>
      <c r="D1911" s="234" t="s">
        <v>25</v>
      </c>
      <c r="E1911" s="234" t="s">
        <v>550</v>
      </c>
      <c r="F1911" s="234" t="s">
        <v>118</v>
      </c>
      <c r="G1911" s="235">
        <f>SUM(G1912:G1914)</f>
        <v>201710</v>
      </c>
      <c r="H1911" s="234">
        <v>8510010010</v>
      </c>
      <c r="I1911" s="313" t="str">
        <f t="shared" si="203"/>
        <v>8510010010</v>
      </c>
      <c r="J1911" s="30" t="str">
        <f t="shared" si="204"/>
        <v>62403098510010010850</v>
      </c>
    </row>
    <row r="1912" spans="1:10" s="3" customFormat="1">
      <c r="A1912" s="232" t="s">
        <v>1036</v>
      </c>
      <c r="B1912" s="233" t="s">
        <v>536</v>
      </c>
      <c r="C1912" s="234" t="s">
        <v>53</v>
      </c>
      <c r="D1912" s="234" t="s">
        <v>25</v>
      </c>
      <c r="E1912" s="234" t="s">
        <v>550</v>
      </c>
      <c r="F1912" s="234" t="s">
        <v>1061</v>
      </c>
      <c r="G1912" s="235">
        <f>VLOOKUP(J1912,'исх АС БЮДЖЕТ'!$A$10:$H$568,6,0)</f>
        <v>172710</v>
      </c>
      <c r="H1912" s="234">
        <v>8510010010</v>
      </c>
      <c r="I1912" s="313" t="str">
        <f t="shared" si="203"/>
        <v>8510010010</v>
      </c>
      <c r="J1912" s="30" t="str">
        <f t="shared" si="204"/>
        <v>62403098510010010851</v>
      </c>
    </row>
    <row r="1913" spans="1:10" s="3" customFormat="1">
      <c r="A1913" s="232" t="s">
        <v>1037</v>
      </c>
      <c r="B1913" s="233" t="s">
        <v>536</v>
      </c>
      <c r="C1913" s="234" t="s">
        <v>53</v>
      </c>
      <c r="D1913" s="234" t="s">
        <v>25</v>
      </c>
      <c r="E1913" s="234" t="s">
        <v>550</v>
      </c>
      <c r="F1913" s="234" t="s">
        <v>1062</v>
      </c>
      <c r="G1913" s="235">
        <f>VLOOKUP(J1913,'исх АС БЮДЖЕТ'!$A$10:$H$568,6,0)</f>
        <v>1000</v>
      </c>
      <c r="H1913" s="234">
        <v>8510010010</v>
      </c>
      <c r="I1913" s="313" t="str">
        <f t="shared" ref="I1913:I1936" si="210">TEXT(H1913,"0000000000")</f>
        <v>8510010010</v>
      </c>
      <c r="J1913" s="30" t="str">
        <f t="shared" ref="J1913:J1936" si="211">CONCATENATE(B1913,C1913,D1913,I1913,F1913)</f>
        <v>62403098510010010852</v>
      </c>
    </row>
    <row r="1914" spans="1:10" s="3" customFormat="1">
      <c r="A1914" s="232" t="s">
        <v>1038</v>
      </c>
      <c r="B1914" s="233" t="s">
        <v>536</v>
      </c>
      <c r="C1914" s="234" t="s">
        <v>53</v>
      </c>
      <c r="D1914" s="234" t="s">
        <v>25</v>
      </c>
      <c r="E1914" s="234" t="s">
        <v>550</v>
      </c>
      <c r="F1914" s="234" t="s">
        <v>1066</v>
      </c>
      <c r="G1914" s="235">
        <f>VLOOKUP(J1914,'исх АС БЮДЖЕТ'!$A$10:$H$568,6,0)</f>
        <v>28000</v>
      </c>
      <c r="H1914" s="234">
        <v>8510010010</v>
      </c>
      <c r="I1914" s="313" t="str">
        <f t="shared" ref="I1914" si="212">TEXT(H1914,"0000000000")</f>
        <v>8510010010</v>
      </c>
      <c r="J1914" s="30" t="str">
        <f t="shared" si="211"/>
        <v>62403098510010010853</v>
      </c>
    </row>
    <row r="1915" spans="1:10" s="3" customFormat="1" ht="25.5">
      <c r="A1915" s="263" t="s">
        <v>126</v>
      </c>
      <c r="B1915" s="233" t="s">
        <v>536</v>
      </c>
      <c r="C1915" s="234" t="s">
        <v>53</v>
      </c>
      <c r="D1915" s="234" t="s">
        <v>25</v>
      </c>
      <c r="E1915" s="234" t="s">
        <v>551</v>
      </c>
      <c r="F1915" s="234" t="s">
        <v>58</v>
      </c>
      <c r="G1915" s="235">
        <f>G1916</f>
        <v>13576550</v>
      </c>
      <c r="H1915" s="234">
        <v>8510010020</v>
      </c>
      <c r="I1915" s="313" t="str">
        <f t="shared" si="210"/>
        <v>8510010020</v>
      </c>
      <c r="J1915" s="30" t="str">
        <f t="shared" si="211"/>
        <v>62403098510010020000</v>
      </c>
    </row>
    <row r="1916" spans="1:10" s="3" customFormat="1">
      <c r="A1916" s="232" t="s">
        <v>107</v>
      </c>
      <c r="B1916" s="233" t="s">
        <v>536</v>
      </c>
      <c r="C1916" s="234" t="s">
        <v>53</v>
      </c>
      <c r="D1916" s="234" t="s">
        <v>25</v>
      </c>
      <c r="E1916" s="234" t="s">
        <v>551</v>
      </c>
      <c r="F1916" s="234" t="s">
        <v>115</v>
      </c>
      <c r="G1916" s="235">
        <f>SUM(G1917:G1918)</f>
        <v>13576550</v>
      </c>
      <c r="H1916" s="234">
        <v>8510010020</v>
      </c>
      <c r="I1916" s="313" t="str">
        <f t="shared" si="210"/>
        <v>8510010020</v>
      </c>
      <c r="J1916" s="30" t="str">
        <f t="shared" si="211"/>
        <v>62403098510010020120</v>
      </c>
    </row>
    <row r="1917" spans="1:10" s="94" customFormat="1">
      <c r="A1917" s="236" t="s">
        <v>936</v>
      </c>
      <c r="B1917" s="233" t="s">
        <v>536</v>
      </c>
      <c r="C1917" s="234" t="s">
        <v>53</v>
      </c>
      <c r="D1917" s="234" t="s">
        <v>25</v>
      </c>
      <c r="E1917" s="234" t="s">
        <v>551</v>
      </c>
      <c r="F1917" s="234" t="s">
        <v>1063</v>
      </c>
      <c r="G1917" s="235">
        <f>VLOOKUP(J1917,'исх АС БЮДЖЕТ'!$A$10:$H$568,6,0)</f>
        <v>10427460</v>
      </c>
      <c r="H1917" s="234">
        <v>8510010020</v>
      </c>
      <c r="I1917" s="313" t="str">
        <f t="shared" si="210"/>
        <v>8510010020</v>
      </c>
      <c r="J1917" s="30" t="str">
        <f t="shared" si="211"/>
        <v>62403098510010020121</v>
      </c>
    </row>
    <row r="1918" spans="1:10" s="94" customFormat="1" ht="38.25">
      <c r="A1918" s="236" t="s">
        <v>939</v>
      </c>
      <c r="B1918" s="233" t="s">
        <v>536</v>
      </c>
      <c r="C1918" s="234" t="s">
        <v>53</v>
      </c>
      <c r="D1918" s="234" t="s">
        <v>25</v>
      </c>
      <c r="E1918" s="234" t="s">
        <v>551</v>
      </c>
      <c r="F1918" s="234" t="s">
        <v>1060</v>
      </c>
      <c r="G1918" s="235">
        <f>VLOOKUP(J1918,'исх АС БЮДЖЕТ'!$A$10:$H$568,6,0)</f>
        <v>3149090</v>
      </c>
      <c r="H1918" s="234">
        <v>8510010020</v>
      </c>
      <c r="I1918" s="313" t="str">
        <f t="shared" si="210"/>
        <v>8510010020</v>
      </c>
      <c r="J1918" s="30" t="str">
        <f t="shared" si="211"/>
        <v>62403098510010020129</v>
      </c>
    </row>
    <row r="1919" spans="1:10" s="71" customFormat="1">
      <c r="A1919" s="238"/>
      <c r="B1919" s="239"/>
      <c r="C1919" s="240"/>
      <c r="D1919" s="240"/>
      <c r="E1919" s="240"/>
      <c r="F1919" s="240"/>
      <c r="G1919" s="235"/>
      <c r="H1919" s="240"/>
      <c r="I1919" s="313" t="str">
        <f t="shared" si="210"/>
        <v>0000000000</v>
      </c>
      <c r="J1919" s="30" t="str">
        <f t="shared" si="211"/>
        <v>0000000000</v>
      </c>
    </row>
    <row r="1920" spans="1:10" s="3" customFormat="1">
      <c r="A1920" s="219" t="s">
        <v>127</v>
      </c>
      <c r="B1920" s="220" t="s">
        <v>707</v>
      </c>
      <c r="C1920" s="221" t="s">
        <v>51</v>
      </c>
      <c r="D1920" s="221" t="s">
        <v>51</v>
      </c>
      <c r="E1920" s="221" t="s">
        <v>196</v>
      </c>
      <c r="F1920" s="221" t="s">
        <v>58</v>
      </c>
      <c r="G1920" s="222">
        <f t="shared" ref="G1920:G1923" si="213">G1921</f>
        <v>13430300</v>
      </c>
      <c r="H1920" s="221">
        <v>0</v>
      </c>
      <c r="I1920" s="313" t="str">
        <f t="shared" si="210"/>
        <v>0000000000</v>
      </c>
      <c r="J1920" s="30" t="str">
        <f t="shared" si="211"/>
        <v>64300000000000000000</v>
      </c>
    </row>
    <row r="1921" spans="1:10" s="3" customFormat="1">
      <c r="A1921" s="224" t="s">
        <v>64</v>
      </c>
      <c r="B1921" s="225" t="s">
        <v>707</v>
      </c>
      <c r="C1921" s="226" t="s">
        <v>65</v>
      </c>
      <c r="D1921" s="226" t="s">
        <v>51</v>
      </c>
      <c r="E1921" s="226" t="s">
        <v>196</v>
      </c>
      <c r="F1921" s="226" t="s">
        <v>58</v>
      </c>
      <c r="G1921" s="227">
        <f t="shared" si="213"/>
        <v>13430300</v>
      </c>
      <c r="H1921" s="226">
        <v>0</v>
      </c>
      <c r="I1921" s="313" t="str">
        <f t="shared" si="210"/>
        <v>0000000000</v>
      </c>
      <c r="J1921" s="30" t="str">
        <f t="shared" si="211"/>
        <v>64301000000000000000</v>
      </c>
    </row>
    <row r="1922" spans="1:10" s="3" customFormat="1" ht="25.5">
      <c r="A1922" s="228" t="s">
        <v>32</v>
      </c>
      <c r="B1922" s="229" t="s">
        <v>707</v>
      </c>
      <c r="C1922" s="230" t="s">
        <v>65</v>
      </c>
      <c r="D1922" s="230" t="s">
        <v>2</v>
      </c>
      <c r="E1922" s="230" t="s">
        <v>196</v>
      </c>
      <c r="F1922" s="230" t="s">
        <v>58</v>
      </c>
      <c r="G1922" s="231">
        <f t="shared" si="213"/>
        <v>13430300</v>
      </c>
      <c r="H1922" s="230">
        <v>0</v>
      </c>
      <c r="I1922" s="313" t="str">
        <f t="shared" si="210"/>
        <v>0000000000</v>
      </c>
      <c r="J1922" s="30" t="str">
        <f t="shared" si="211"/>
        <v>64301060000000000000</v>
      </c>
    </row>
    <row r="1923" spans="1:10" s="3" customFormat="1" ht="26.25">
      <c r="A1923" s="292" t="s">
        <v>712</v>
      </c>
      <c r="B1923" s="233" t="s">
        <v>707</v>
      </c>
      <c r="C1923" s="234" t="s">
        <v>65</v>
      </c>
      <c r="D1923" s="234" t="s">
        <v>2</v>
      </c>
      <c r="E1923" s="234" t="s">
        <v>710</v>
      </c>
      <c r="F1923" s="234" t="s">
        <v>58</v>
      </c>
      <c r="G1923" s="235">
        <f t="shared" si="213"/>
        <v>13430300</v>
      </c>
      <c r="H1923" s="234">
        <v>8600000000</v>
      </c>
      <c r="I1923" s="313" t="str">
        <f t="shared" si="210"/>
        <v>8600000000</v>
      </c>
      <c r="J1923" s="30" t="str">
        <f t="shared" si="211"/>
        <v>64301068600000000000</v>
      </c>
    </row>
    <row r="1924" spans="1:10" s="3" customFormat="1" ht="26.25">
      <c r="A1924" s="292" t="s">
        <v>711</v>
      </c>
      <c r="B1924" s="233" t="s">
        <v>707</v>
      </c>
      <c r="C1924" s="234" t="s">
        <v>65</v>
      </c>
      <c r="D1924" s="234" t="s">
        <v>2</v>
      </c>
      <c r="E1924" s="234" t="s">
        <v>708</v>
      </c>
      <c r="F1924" s="234" t="s">
        <v>58</v>
      </c>
      <c r="G1924" s="235">
        <f>G1925+G1933</f>
        <v>13430300</v>
      </c>
      <c r="H1924" s="234">
        <v>8610000000</v>
      </c>
      <c r="I1924" s="313" t="str">
        <f t="shared" si="210"/>
        <v>8610000000</v>
      </c>
      <c r="J1924" s="30" t="str">
        <f t="shared" si="211"/>
        <v>64301068610000000000</v>
      </c>
    </row>
    <row r="1925" spans="1:10" s="3" customFormat="1" ht="25.5">
      <c r="A1925" s="232" t="s">
        <v>114</v>
      </c>
      <c r="B1925" s="233" t="s">
        <v>707</v>
      </c>
      <c r="C1925" s="234" t="s">
        <v>65</v>
      </c>
      <c r="D1925" s="234" t="s">
        <v>2</v>
      </c>
      <c r="E1925" s="234" t="s">
        <v>709</v>
      </c>
      <c r="F1925" s="234" t="s">
        <v>58</v>
      </c>
      <c r="G1925" s="235">
        <f>G1926+G1929+G1931</f>
        <v>2962510</v>
      </c>
      <c r="H1925" s="234">
        <v>8610010010</v>
      </c>
      <c r="I1925" s="313" t="str">
        <f t="shared" si="210"/>
        <v>8610010010</v>
      </c>
      <c r="J1925" s="30" t="str">
        <f t="shared" si="211"/>
        <v>64301068610010010000</v>
      </c>
    </row>
    <row r="1926" spans="1:10" s="3" customFormat="1">
      <c r="A1926" s="236" t="s">
        <v>107</v>
      </c>
      <c r="B1926" s="233" t="s">
        <v>707</v>
      </c>
      <c r="C1926" s="234" t="s">
        <v>65</v>
      </c>
      <c r="D1926" s="234" t="s">
        <v>2</v>
      </c>
      <c r="E1926" s="234" t="s">
        <v>709</v>
      </c>
      <c r="F1926" s="234" t="s">
        <v>115</v>
      </c>
      <c r="G1926" s="235">
        <f>SUM(G1927:G1928)</f>
        <v>446530</v>
      </c>
      <c r="H1926" s="234">
        <v>8610010010</v>
      </c>
      <c r="I1926" s="313" t="str">
        <f t="shared" si="210"/>
        <v>8610010010</v>
      </c>
      <c r="J1926" s="30" t="str">
        <f t="shared" si="211"/>
        <v>64301068610010010120</v>
      </c>
    </row>
    <row r="1927" spans="1:10" s="4" customFormat="1" ht="25.5">
      <c r="A1927" s="236" t="s">
        <v>937</v>
      </c>
      <c r="B1927" s="233" t="s">
        <v>707</v>
      </c>
      <c r="C1927" s="234" t="s">
        <v>65</v>
      </c>
      <c r="D1927" s="234" t="s">
        <v>2</v>
      </c>
      <c r="E1927" s="234" t="s">
        <v>709</v>
      </c>
      <c r="F1927" s="234" t="s">
        <v>1059</v>
      </c>
      <c r="G1927" s="235">
        <f>VLOOKUP(J1927,'исх АС БЮДЖЕТ'!$A$10:$H$568,6,0)</f>
        <v>376500</v>
      </c>
      <c r="H1927" s="234">
        <v>8610010010</v>
      </c>
      <c r="I1927" s="313" t="str">
        <f t="shared" si="210"/>
        <v>8610010010</v>
      </c>
      <c r="J1927" s="30" t="str">
        <f t="shared" si="211"/>
        <v>64301068610010010122</v>
      </c>
    </row>
    <row r="1928" spans="1:10" s="4" customFormat="1" ht="38.25">
      <c r="A1928" s="236" t="s">
        <v>939</v>
      </c>
      <c r="B1928" s="233" t="s">
        <v>707</v>
      </c>
      <c r="C1928" s="234" t="s">
        <v>65</v>
      </c>
      <c r="D1928" s="234" t="s">
        <v>2</v>
      </c>
      <c r="E1928" s="234" t="s">
        <v>709</v>
      </c>
      <c r="F1928" s="234" t="s">
        <v>1060</v>
      </c>
      <c r="G1928" s="235">
        <f>VLOOKUP(J1928,'исх АС БЮДЖЕТ'!$A$10:$H$568,6,0)</f>
        <v>70030</v>
      </c>
      <c r="H1928" s="234">
        <v>8610010010</v>
      </c>
      <c r="I1928" s="313" t="str">
        <f t="shared" si="210"/>
        <v>8610010010</v>
      </c>
      <c r="J1928" s="30" t="str">
        <f t="shared" si="211"/>
        <v>64301068610010010129</v>
      </c>
    </row>
    <row r="1929" spans="1:10" s="3" customFormat="1" ht="25.5">
      <c r="A1929" s="232" t="s">
        <v>108</v>
      </c>
      <c r="B1929" s="233" t="s">
        <v>707</v>
      </c>
      <c r="C1929" s="234" t="s">
        <v>65</v>
      </c>
      <c r="D1929" s="234" t="s">
        <v>2</v>
      </c>
      <c r="E1929" s="234" t="s">
        <v>709</v>
      </c>
      <c r="F1929" s="234" t="s">
        <v>116</v>
      </c>
      <c r="G1929" s="235">
        <f>G1930</f>
        <v>2496980</v>
      </c>
      <c r="H1929" s="234">
        <v>8610010010</v>
      </c>
      <c r="I1929" s="313" t="str">
        <f t="shared" si="210"/>
        <v>8610010010</v>
      </c>
      <c r="J1929" s="30" t="str">
        <f t="shared" si="211"/>
        <v>64301068610010010240</v>
      </c>
    </row>
    <row r="1930" spans="1:10" s="94" customFormat="1" ht="25.5">
      <c r="A1930" s="236" t="s">
        <v>973</v>
      </c>
      <c r="B1930" s="233" t="s">
        <v>707</v>
      </c>
      <c r="C1930" s="234" t="s">
        <v>65</v>
      </c>
      <c r="D1930" s="234" t="s">
        <v>2</v>
      </c>
      <c r="E1930" s="234" t="s">
        <v>709</v>
      </c>
      <c r="F1930" s="234" t="s">
        <v>1043</v>
      </c>
      <c r="G1930" s="235">
        <f>VLOOKUP(J1930,'исх АС БЮДЖЕТ'!$A$10:$H$568,6,0)</f>
        <v>2496980</v>
      </c>
      <c r="H1930" s="234">
        <v>8610010010</v>
      </c>
      <c r="I1930" s="313" t="str">
        <f t="shared" si="210"/>
        <v>8610010010</v>
      </c>
      <c r="J1930" s="30" t="str">
        <f t="shared" si="211"/>
        <v>64301068610010010244</v>
      </c>
    </row>
    <row r="1931" spans="1:10" s="3" customFormat="1">
      <c r="A1931" s="232" t="s">
        <v>97</v>
      </c>
      <c r="B1931" s="233" t="s">
        <v>707</v>
      </c>
      <c r="C1931" s="234" t="s">
        <v>65</v>
      </c>
      <c r="D1931" s="234" t="s">
        <v>2</v>
      </c>
      <c r="E1931" s="234" t="s">
        <v>709</v>
      </c>
      <c r="F1931" s="234" t="s">
        <v>118</v>
      </c>
      <c r="G1931" s="235">
        <f>G1932</f>
        <v>19000</v>
      </c>
      <c r="H1931" s="234">
        <v>8610010010</v>
      </c>
      <c r="I1931" s="313" t="str">
        <f t="shared" si="210"/>
        <v>8610010010</v>
      </c>
      <c r="J1931" s="30" t="str">
        <f t="shared" si="211"/>
        <v>64301068610010010850</v>
      </c>
    </row>
    <row r="1932" spans="1:10" s="4" customFormat="1">
      <c r="A1932" s="236" t="s">
        <v>1038</v>
      </c>
      <c r="B1932" s="233" t="s">
        <v>707</v>
      </c>
      <c r="C1932" s="234" t="s">
        <v>65</v>
      </c>
      <c r="D1932" s="234" t="s">
        <v>2</v>
      </c>
      <c r="E1932" s="234" t="s">
        <v>709</v>
      </c>
      <c r="F1932" s="234" t="s">
        <v>1066</v>
      </c>
      <c r="G1932" s="235">
        <f>VLOOKUP(J1932,'исх АС БЮДЖЕТ'!$A$10:$H$568,6,0)</f>
        <v>19000</v>
      </c>
      <c r="H1932" s="234">
        <v>8610010010</v>
      </c>
      <c r="I1932" s="313" t="str">
        <f t="shared" si="210"/>
        <v>8610010010</v>
      </c>
      <c r="J1932" s="30" t="str">
        <f t="shared" si="211"/>
        <v>64301068610010010853</v>
      </c>
    </row>
    <row r="1933" spans="1:10" s="3" customFormat="1" ht="25.5">
      <c r="A1933" s="232" t="s">
        <v>126</v>
      </c>
      <c r="B1933" s="233" t="s">
        <v>707</v>
      </c>
      <c r="C1933" s="234" t="s">
        <v>65</v>
      </c>
      <c r="D1933" s="234" t="s">
        <v>2</v>
      </c>
      <c r="E1933" s="234" t="s">
        <v>713</v>
      </c>
      <c r="F1933" s="234" t="s">
        <v>58</v>
      </c>
      <c r="G1933" s="235">
        <f>G1934</f>
        <v>10467790</v>
      </c>
      <c r="H1933" s="234">
        <v>8610010020</v>
      </c>
      <c r="I1933" s="313" t="str">
        <f t="shared" si="210"/>
        <v>8610010020</v>
      </c>
      <c r="J1933" s="30" t="str">
        <f t="shared" si="211"/>
        <v>64301068610010020000</v>
      </c>
    </row>
    <row r="1934" spans="1:10" s="3" customFormat="1">
      <c r="A1934" s="232" t="s">
        <v>107</v>
      </c>
      <c r="B1934" s="233" t="s">
        <v>707</v>
      </c>
      <c r="C1934" s="234" t="s">
        <v>65</v>
      </c>
      <c r="D1934" s="234" t="s">
        <v>2</v>
      </c>
      <c r="E1934" s="234" t="s">
        <v>713</v>
      </c>
      <c r="F1934" s="234" t="s">
        <v>115</v>
      </c>
      <c r="G1934" s="235">
        <f>SUM(G1935:G1936)</f>
        <v>10467790</v>
      </c>
      <c r="H1934" s="234">
        <v>8610010020</v>
      </c>
      <c r="I1934" s="313" t="str">
        <f t="shared" si="210"/>
        <v>8610010020</v>
      </c>
      <c r="J1934" s="30" t="str">
        <f t="shared" si="211"/>
        <v>64301068610010020120</v>
      </c>
    </row>
    <row r="1935" spans="1:10" s="3" customFormat="1">
      <c r="A1935" s="232" t="s">
        <v>936</v>
      </c>
      <c r="B1935" s="233" t="s">
        <v>707</v>
      </c>
      <c r="C1935" s="234" t="s">
        <v>65</v>
      </c>
      <c r="D1935" s="234" t="s">
        <v>2</v>
      </c>
      <c r="E1935" s="234" t="s">
        <v>713</v>
      </c>
      <c r="F1935" s="234" t="s">
        <v>1063</v>
      </c>
      <c r="G1935" s="235">
        <f>VLOOKUP(J1935,'исх АС БЮДЖЕТ'!$A$10:$H$568,6,0)</f>
        <v>8039780</v>
      </c>
      <c r="H1935" s="234">
        <v>8610010020</v>
      </c>
      <c r="I1935" s="313" t="str">
        <f t="shared" si="210"/>
        <v>8610010020</v>
      </c>
      <c r="J1935" s="30" t="str">
        <f t="shared" si="211"/>
        <v>64301068610010020121</v>
      </c>
    </row>
    <row r="1936" spans="1:10" s="3" customFormat="1" ht="38.25">
      <c r="A1936" s="232" t="s">
        <v>939</v>
      </c>
      <c r="B1936" s="233" t="s">
        <v>707</v>
      </c>
      <c r="C1936" s="234" t="s">
        <v>65</v>
      </c>
      <c r="D1936" s="234" t="s">
        <v>2</v>
      </c>
      <c r="E1936" s="234" t="s">
        <v>713</v>
      </c>
      <c r="F1936" s="234" t="s">
        <v>1060</v>
      </c>
      <c r="G1936" s="235">
        <f>VLOOKUP(J1936,'исх АС БЮДЖЕТ'!$A$10:$H$568,6,0)</f>
        <v>2428010</v>
      </c>
      <c r="H1936" s="234">
        <v>8610010020</v>
      </c>
      <c r="I1936" s="313" t="str">
        <f t="shared" si="210"/>
        <v>8610010020</v>
      </c>
      <c r="J1936" s="30" t="str">
        <f t="shared" si="211"/>
        <v>64301068610010020129</v>
      </c>
    </row>
    <row r="1937" spans="1:10" s="3" customFormat="1">
      <c r="A1937" s="232"/>
      <c r="B1937" s="233"/>
      <c r="C1937" s="234"/>
      <c r="D1937" s="234"/>
      <c r="E1937" s="234"/>
      <c r="F1937" s="234"/>
      <c r="G1937" s="235"/>
      <c r="H1937" s="234"/>
      <c r="I1937" s="223"/>
      <c r="J1937" s="30"/>
    </row>
    <row r="1938" spans="1:10" s="3" customFormat="1">
      <c r="A1938" s="293"/>
      <c r="B1938" s="233"/>
      <c r="C1938" s="234"/>
      <c r="D1938" s="234"/>
      <c r="E1938" s="234"/>
      <c r="F1938" s="234"/>
      <c r="G1938" s="235"/>
      <c r="H1938" s="234"/>
      <c r="I1938" s="223"/>
      <c r="J1938" s="30"/>
    </row>
    <row r="1939" spans="1:10" s="4" customFormat="1">
      <c r="A1939" s="279" t="s">
        <v>41</v>
      </c>
      <c r="B1939" s="294"/>
      <c r="C1939" s="221"/>
      <c r="D1939" s="221"/>
      <c r="E1939" s="221"/>
      <c r="F1939" s="221"/>
      <c r="G1939" s="222">
        <f>G10+G67+G285+G362+G411+G453+G680+G879+G1102+G1185+G1282+G1370+G1464+G1708+G1845+G1920</f>
        <v>9446451130.4799995</v>
      </c>
      <c r="H1939" s="221"/>
      <c r="I1939" s="223"/>
      <c r="J1939" s="83"/>
    </row>
    <row r="1940" spans="1:10">
      <c r="I1940" s="173"/>
    </row>
    <row r="1941" spans="1:10">
      <c r="I1941" s="173"/>
    </row>
    <row r="1942" spans="1:10">
      <c r="I1942" s="173"/>
    </row>
    <row r="1943" spans="1:10">
      <c r="E1943" s="65"/>
      <c r="F1943" s="65"/>
      <c r="G1943" s="52">
        <f>'исх АС БЮДЖЕТ'!F569</f>
        <v>9446451130.4800014</v>
      </c>
      <c r="H1943" s="65"/>
      <c r="I1943" s="174"/>
    </row>
    <row r="1944" spans="1:10">
      <c r="E1944" s="65"/>
      <c r="F1944" s="65"/>
      <c r="G1944" s="52">
        <f>G1939-G1943</f>
        <v>0</v>
      </c>
      <c r="H1944" s="65"/>
      <c r="I1944" s="174"/>
    </row>
    <row r="1945" spans="1:10">
      <c r="E1945" s="65"/>
      <c r="F1945" s="65"/>
      <c r="G1945" s="52"/>
      <c r="H1945" s="65"/>
      <c r="I1945" s="174"/>
    </row>
    <row r="1946" spans="1:10">
      <c r="E1946" s="65"/>
      <c r="F1946" s="65"/>
      <c r="G1946" s="52"/>
      <c r="H1946" s="65"/>
      <c r="I1946" s="174"/>
    </row>
    <row r="1947" spans="1:10">
      <c r="E1947" s="65"/>
      <c r="F1947" s="65"/>
      <c r="G1947" s="52"/>
      <c r="H1947" s="65"/>
      <c r="I1947" s="174"/>
    </row>
    <row r="1948" spans="1:10">
      <c r="E1948" s="65"/>
      <c r="F1948" s="65"/>
      <c r="G1948" s="52"/>
      <c r="H1948" s="65"/>
      <c r="I1948" s="174"/>
    </row>
    <row r="1949" spans="1:10">
      <c r="E1949" s="65"/>
      <c r="F1949" s="65"/>
      <c r="G1949" s="52"/>
      <c r="H1949" s="65"/>
      <c r="I1949" s="174"/>
    </row>
    <row r="1950" spans="1:10">
      <c r="G1950" s="49"/>
      <c r="I1950" s="175"/>
    </row>
    <row r="1951" spans="1:10">
      <c r="I1951" s="173"/>
    </row>
  </sheetData>
  <mergeCells count="7">
    <mergeCell ref="A1:G1"/>
    <mergeCell ref="A2:G2"/>
    <mergeCell ref="A4:G4"/>
    <mergeCell ref="A5:G5"/>
    <mergeCell ref="A7:A8"/>
    <mergeCell ref="B7:F7"/>
    <mergeCell ref="G7:G8"/>
  </mergeCells>
  <pageMargins left="0.59055118110236227" right="0.15748031496062992" top="0.51181102362204722" bottom="0.56000000000000005" header="0.19685039370078741" footer="0.15748031496062992"/>
  <pageSetup paperSize="9" scale="84" fitToHeight="2" orientation="portrait" r:id="rId1"/>
  <headerFooter differentFirst="1" alignWithMargins="0">
    <oddHeader>&amp;C&amp;"Times New Roman,обычный"&amp;10&amp;P</oddHeader>
  </headerFooter>
  <rowBreaks count="1" manualBreakCount="1">
    <brk id="840" max="6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99FF"/>
  </sheetPr>
  <dimension ref="A1:D27"/>
  <sheetViews>
    <sheetView view="pageBreakPreview" topLeftCell="A7" zoomScale="75" zoomScaleNormal="75" zoomScaleSheetLayoutView="75" workbookViewId="0">
      <selection activeCell="A8" sqref="A8:C18"/>
    </sheetView>
  </sheetViews>
  <sheetFormatPr defaultColWidth="8.7265625" defaultRowHeight="15"/>
  <cols>
    <col min="1" max="1" width="34.6328125" style="366" customWidth="1"/>
    <col min="2" max="2" width="14.36328125" style="366" customWidth="1"/>
    <col min="3" max="3" width="21.1796875" style="366" customWidth="1"/>
    <col min="4" max="4" width="13.1796875" style="366" customWidth="1"/>
    <col min="5" max="16384" width="8.7265625" style="366"/>
  </cols>
  <sheetData>
    <row r="1" spans="1:4" ht="15.75">
      <c r="A1" s="381" t="s">
        <v>1097</v>
      </c>
      <c r="B1" s="381"/>
      <c r="C1" s="381"/>
      <c r="D1" s="381"/>
    </row>
    <row r="2" spans="1:4" ht="15.75" customHeight="1">
      <c r="A2" s="381" t="s">
        <v>1098</v>
      </c>
      <c r="B2" s="381"/>
      <c r="C2" s="381"/>
      <c r="D2" s="381"/>
    </row>
    <row r="3" spans="1:4" ht="15.75">
      <c r="A3" s="382"/>
      <c r="B3" s="382"/>
      <c r="C3" s="295"/>
      <c r="D3" s="295"/>
    </row>
    <row r="4" spans="1:4" ht="15.75">
      <c r="A4" s="359"/>
      <c r="B4" s="359"/>
      <c r="C4" s="295"/>
      <c r="D4" s="296" t="s">
        <v>1091</v>
      </c>
    </row>
    <row r="5" spans="1:4" ht="15" customHeight="1">
      <c r="A5" s="383" t="s">
        <v>1082</v>
      </c>
      <c r="B5" s="383" t="s">
        <v>1099</v>
      </c>
      <c r="C5" s="383" t="s">
        <v>1100</v>
      </c>
      <c r="D5" s="383" t="s">
        <v>1101</v>
      </c>
    </row>
    <row r="6" spans="1:4" ht="87.75" customHeight="1">
      <c r="A6" s="384"/>
      <c r="B6" s="384"/>
      <c r="C6" s="384"/>
      <c r="D6" s="384"/>
    </row>
    <row r="7" spans="1:4" ht="15.75">
      <c r="A7" s="297">
        <v>1</v>
      </c>
      <c r="B7" s="297">
        <v>2</v>
      </c>
      <c r="C7" s="297">
        <v>3</v>
      </c>
      <c r="D7" s="298">
        <v>4</v>
      </c>
    </row>
    <row r="8" spans="1:4" ht="15.75">
      <c r="A8" s="299" t="s">
        <v>1102</v>
      </c>
      <c r="B8" s="360"/>
      <c r="C8" s="360"/>
      <c r="D8" s="300">
        <v>8810612351.0100002</v>
      </c>
    </row>
    <row r="9" spans="1:4" ht="15.75">
      <c r="A9" s="299" t="s">
        <v>1103</v>
      </c>
      <c r="B9" s="360"/>
      <c r="C9" s="360"/>
      <c r="D9" s="301">
        <v>9446451130.4799995</v>
      </c>
    </row>
    <row r="10" spans="1:4" ht="15.75">
      <c r="A10" s="299" t="s">
        <v>1104</v>
      </c>
      <c r="B10" s="360"/>
      <c r="C10" s="360"/>
      <c r="D10" s="301">
        <f>D8-D9</f>
        <v>-635838779.46999931</v>
      </c>
    </row>
    <row r="11" spans="1:4" ht="31.5">
      <c r="A11" s="299" t="s">
        <v>1105</v>
      </c>
      <c r="B11" s="360"/>
      <c r="C11" s="360"/>
      <c r="D11" s="301">
        <f>D12+D13+D14+D15</f>
        <v>337106140</v>
      </c>
    </row>
    <row r="12" spans="1:4" ht="47.25">
      <c r="A12" s="299" t="s">
        <v>1106</v>
      </c>
      <c r="B12" s="360">
        <v>604</v>
      </c>
      <c r="C12" s="302" t="s">
        <v>1107</v>
      </c>
      <c r="D12" s="303">
        <v>1943059140</v>
      </c>
    </row>
    <row r="13" spans="1:4" ht="63">
      <c r="A13" s="299" t="s">
        <v>1108</v>
      </c>
      <c r="B13" s="360">
        <v>604</v>
      </c>
      <c r="C13" s="302" t="s">
        <v>1109</v>
      </c>
      <c r="D13" s="303">
        <v>1605953000</v>
      </c>
    </row>
    <row r="14" spans="1:4" ht="47.25">
      <c r="A14" s="299" t="s">
        <v>1110</v>
      </c>
      <c r="B14" s="360">
        <v>604</v>
      </c>
      <c r="C14" s="302" t="s">
        <v>1111</v>
      </c>
      <c r="D14" s="303">
        <v>-1605953000</v>
      </c>
    </row>
    <row r="15" spans="1:4" ht="47.25">
      <c r="A15" s="299" t="s">
        <v>1112</v>
      </c>
      <c r="B15" s="360">
        <v>604</v>
      </c>
      <c r="C15" s="302" t="s">
        <v>1113</v>
      </c>
      <c r="D15" s="303">
        <v>-1605953000</v>
      </c>
    </row>
    <row r="16" spans="1:4" ht="31.5">
      <c r="A16" s="299" t="s">
        <v>1513</v>
      </c>
      <c r="B16" s="360">
        <v>604</v>
      </c>
      <c r="C16" s="302" t="s">
        <v>1514</v>
      </c>
      <c r="D16" s="303">
        <f>D18+D17</f>
        <v>298732639.46999931</v>
      </c>
    </row>
    <row r="17" spans="1:4" ht="31.5">
      <c r="A17" s="299" t="s">
        <v>1114</v>
      </c>
      <c r="B17" s="360">
        <v>604</v>
      </c>
      <c r="C17" s="360" t="s">
        <v>1115</v>
      </c>
      <c r="D17" s="304">
        <f>-(D8+D12+D13)</f>
        <v>-12359624491.01</v>
      </c>
    </row>
    <row r="18" spans="1:4" ht="38.450000000000003" customHeight="1">
      <c r="A18" s="299" t="s">
        <v>1116</v>
      </c>
      <c r="B18" s="360">
        <v>604</v>
      </c>
      <c r="C18" s="360" t="s">
        <v>1117</v>
      </c>
      <c r="D18" s="303">
        <f>D9-D14-D15</f>
        <v>12658357130.48</v>
      </c>
    </row>
    <row r="19" spans="1:4" ht="15.75">
      <c r="A19" s="299"/>
      <c r="B19" s="360"/>
      <c r="C19" s="360"/>
      <c r="D19" s="303"/>
    </row>
    <row r="20" spans="1:4" ht="15.75">
      <c r="A20" s="305" t="s">
        <v>1118</v>
      </c>
      <c r="B20" s="306"/>
      <c r="C20" s="306"/>
      <c r="D20" s="307">
        <v>0</v>
      </c>
    </row>
    <row r="23" spans="1:4" ht="15.75">
      <c r="D23" s="304"/>
    </row>
    <row r="25" spans="1:4">
      <c r="D25" s="367">
        <f>D15+D23</f>
        <v>-1605953000</v>
      </c>
    </row>
    <row r="26" spans="1:4">
      <c r="D26" s="367">
        <f>[1]ИСТОЧНИКИ!B10</f>
        <v>0</v>
      </c>
    </row>
    <row r="27" spans="1:4">
      <c r="D27" s="367">
        <f>D25-D26</f>
        <v>-1605953000</v>
      </c>
    </row>
  </sheetData>
  <mergeCells count="7">
    <mergeCell ref="A1:D1"/>
    <mergeCell ref="A2:D2"/>
    <mergeCell ref="A3:B3"/>
    <mergeCell ref="A5:A6"/>
    <mergeCell ref="B5:B6"/>
    <mergeCell ref="C5:C6"/>
    <mergeCell ref="D5:D6"/>
  </mergeCells>
  <pageMargins left="0.73" right="0.23622047244094491" top="0.35433070866141736" bottom="0.74803149606299213" header="0.31496062992125984" footer="0.31496062992125984"/>
  <pageSetup paperSize="9" scale="8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C000"/>
  </sheetPr>
  <dimension ref="A1:B139"/>
  <sheetViews>
    <sheetView topLeftCell="A103" workbookViewId="0">
      <selection activeCell="A8" sqref="A8:A9"/>
    </sheetView>
  </sheetViews>
  <sheetFormatPr defaultRowHeight="18"/>
  <cols>
    <col min="1" max="1" width="9.26953125" style="90"/>
    <col min="2" max="2" width="54.7265625" style="90" customWidth="1"/>
  </cols>
  <sheetData>
    <row r="1" spans="1:2" ht="18.75" thickBot="1">
      <c r="A1" s="85" t="s">
        <v>700</v>
      </c>
      <c r="B1" s="86" t="s">
        <v>930</v>
      </c>
    </row>
    <row r="2" spans="1:2" ht="38.25">
      <c r="A2" s="87">
        <v>100</v>
      </c>
      <c r="B2" s="12" t="s">
        <v>931</v>
      </c>
    </row>
    <row r="3" spans="1:2">
      <c r="A3" s="87">
        <v>110</v>
      </c>
      <c r="B3" s="12" t="s">
        <v>106</v>
      </c>
    </row>
    <row r="4" spans="1:2">
      <c r="A4" s="87">
        <v>111</v>
      </c>
      <c r="B4" s="12" t="s">
        <v>932</v>
      </c>
    </row>
    <row r="5" spans="1:2">
      <c r="A5" s="87">
        <v>112</v>
      </c>
      <c r="B5" s="12" t="s">
        <v>933</v>
      </c>
    </row>
    <row r="6" spans="1:2" ht="25.5">
      <c r="A6" s="87">
        <v>113</v>
      </c>
      <c r="B6" s="12" t="s">
        <v>934</v>
      </c>
    </row>
    <row r="7" spans="1:2" ht="25.5">
      <c r="A7" s="87">
        <v>119</v>
      </c>
      <c r="B7" s="12" t="s">
        <v>935</v>
      </c>
    </row>
    <row r="8" spans="1:2">
      <c r="A8" s="87">
        <v>120</v>
      </c>
      <c r="B8" s="12" t="s">
        <v>107</v>
      </c>
    </row>
    <row r="9" spans="1:2">
      <c r="A9" s="87">
        <v>121</v>
      </c>
      <c r="B9" s="12" t="s">
        <v>936</v>
      </c>
    </row>
    <row r="10" spans="1:2" ht="25.5">
      <c r="A10" s="87">
        <v>122</v>
      </c>
      <c r="B10" s="12" t="s">
        <v>937</v>
      </c>
    </row>
    <row r="11" spans="1:2" ht="25.5">
      <c r="A11" s="87">
        <v>123</v>
      </c>
      <c r="B11" s="12" t="s">
        <v>938</v>
      </c>
    </row>
    <row r="12" spans="1:2" ht="25.5">
      <c r="A12" s="87">
        <v>129</v>
      </c>
      <c r="B12" s="12" t="s">
        <v>939</v>
      </c>
    </row>
    <row r="13" spans="1:2" ht="25.5">
      <c r="A13" s="87">
        <v>130</v>
      </c>
      <c r="B13" s="12" t="s">
        <v>940</v>
      </c>
    </row>
    <row r="14" spans="1:2">
      <c r="A14" s="87">
        <v>131</v>
      </c>
      <c r="B14" s="12" t="s">
        <v>941</v>
      </c>
    </row>
    <row r="15" spans="1:2" ht="25.5">
      <c r="A15" s="87">
        <v>133</v>
      </c>
      <c r="B15" s="12" t="s">
        <v>942</v>
      </c>
    </row>
    <row r="16" spans="1:2">
      <c r="A16" s="87">
        <v>134</v>
      </c>
      <c r="B16" s="12" t="s">
        <v>943</v>
      </c>
    </row>
    <row r="17" spans="1:2" ht="25.5">
      <c r="A17" s="87">
        <v>139</v>
      </c>
      <c r="B17" s="12" t="s">
        <v>944</v>
      </c>
    </row>
    <row r="18" spans="1:2">
      <c r="A18" s="87">
        <v>140</v>
      </c>
      <c r="B18" s="12" t="s">
        <v>945</v>
      </c>
    </row>
    <row r="19" spans="1:2">
      <c r="A19" s="87">
        <v>141</v>
      </c>
      <c r="B19" s="12" t="s">
        <v>946</v>
      </c>
    </row>
    <row r="20" spans="1:2">
      <c r="A20" s="87">
        <v>142</v>
      </c>
      <c r="B20" s="12" t="s">
        <v>947</v>
      </c>
    </row>
    <row r="21" spans="1:2" ht="25.5">
      <c r="A21" s="87">
        <v>149</v>
      </c>
      <c r="B21" s="12" t="s">
        <v>948</v>
      </c>
    </row>
    <row r="22" spans="1:2">
      <c r="A22" s="87">
        <v>200</v>
      </c>
      <c r="B22" s="12" t="s">
        <v>949</v>
      </c>
    </row>
    <row r="23" spans="1:2" ht="25.5">
      <c r="A23" s="87">
        <v>210</v>
      </c>
      <c r="B23" s="12" t="s">
        <v>950</v>
      </c>
    </row>
    <row r="24" spans="1:2" ht="38.25">
      <c r="A24" s="87">
        <v>211</v>
      </c>
      <c r="B24" s="12" t="s">
        <v>951</v>
      </c>
    </row>
    <row r="25" spans="1:2" ht="38.25">
      <c r="A25" s="87">
        <v>212</v>
      </c>
      <c r="B25" s="12" t="s">
        <v>952</v>
      </c>
    </row>
    <row r="26" spans="1:2" ht="25.5">
      <c r="A26" s="87">
        <v>213</v>
      </c>
      <c r="B26" s="12" t="s">
        <v>953</v>
      </c>
    </row>
    <row r="27" spans="1:2" ht="38.25">
      <c r="A27" s="87">
        <v>214</v>
      </c>
      <c r="B27" s="12" t="s">
        <v>954</v>
      </c>
    </row>
    <row r="28" spans="1:2" ht="38.25">
      <c r="A28" s="87">
        <v>215</v>
      </c>
      <c r="B28" s="12" t="s">
        <v>955</v>
      </c>
    </row>
    <row r="29" spans="1:2" ht="38.25">
      <c r="A29" s="87">
        <v>216</v>
      </c>
      <c r="B29" s="12" t="s">
        <v>956</v>
      </c>
    </row>
    <row r="30" spans="1:2" ht="38.25">
      <c r="A30" s="87">
        <v>217</v>
      </c>
      <c r="B30" s="12" t="s">
        <v>957</v>
      </c>
    </row>
    <row r="31" spans="1:2" ht="38.25">
      <c r="A31" s="87">
        <v>218</v>
      </c>
      <c r="B31" s="12" t="s">
        <v>958</v>
      </c>
    </row>
    <row r="32" spans="1:2" ht="25.5">
      <c r="A32" s="87">
        <v>219</v>
      </c>
      <c r="B32" s="12" t="s">
        <v>959</v>
      </c>
    </row>
    <row r="33" spans="1:2" ht="38.25">
      <c r="A33" s="87">
        <v>220</v>
      </c>
      <c r="B33" s="12" t="s">
        <v>960</v>
      </c>
    </row>
    <row r="34" spans="1:2" ht="25.5">
      <c r="A34" s="87">
        <v>221</v>
      </c>
      <c r="B34" s="12" t="s">
        <v>961</v>
      </c>
    </row>
    <row r="35" spans="1:2" ht="25.5">
      <c r="A35" s="87">
        <v>222</v>
      </c>
      <c r="B35" s="12" t="s">
        <v>962</v>
      </c>
    </row>
    <row r="36" spans="1:2">
      <c r="A36" s="87">
        <v>223</v>
      </c>
      <c r="B36" s="12" t="s">
        <v>963</v>
      </c>
    </row>
    <row r="37" spans="1:2">
      <c r="A37" s="87">
        <v>224</v>
      </c>
      <c r="B37" s="12" t="s">
        <v>964</v>
      </c>
    </row>
    <row r="38" spans="1:2">
      <c r="A38" s="87">
        <v>225</v>
      </c>
      <c r="B38" s="12" t="s">
        <v>965</v>
      </c>
    </row>
    <row r="39" spans="1:2">
      <c r="A39" s="87">
        <v>226</v>
      </c>
      <c r="B39" s="12" t="s">
        <v>966</v>
      </c>
    </row>
    <row r="40" spans="1:2">
      <c r="A40" s="87">
        <v>230</v>
      </c>
      <c r="B40" s="12" t="s">
        <v>967</v>
      </c>
    </row>
    <row r="41" spans="1:2" ht="25.5">
      <c r="A41" s="87">
        <v>231</v>
      </c>
      <c r="B41" s="12" t="s">
        <v>968</v>
      </c>
    </row>
    <row r="42" spans="1:2" ht="25.5">
      <c r="A42" s="87">
        <v>232</v>
      </c>
      <c r="B42" s="12" t="s">
        <v>969</v>
      </c>
    </row>
    <row r="43" spans="1:2">
      <c r="A43" s="87">
        <v>240</v>
      </c>
      <c r="B43" s="12" t="s">
        <v>108</v>
      </c>
    </row>
    <row r="44" spans="1:2">
      <c r="A44" s="87">
        <v>241</v>
      </c>
      <c r="B44" s="12" t="s">
        <v>970</v>
      </c>
    </row>
    <row r="45" spans="1:2">
      <c r="A45" s="87">
        <v>242</v>
      </c>
      <c r="B45" s="12" t="s">
        <v>971</v>
      </c>
    </row>
    <row r="46" spans="1:2" ht="25.5">
      <c r="A46" s="87">
        <v>243</v>
      </c>
      <c r="B46" s="12" t="s">
        <v>972</v>
      </c>
    </row>
    <row r="47" spans="1:2">
      <c r="A47" s="87">
        <v>244</v>
      </c>
      <c r="B47" s="12" t="s">
        <v>973</v>
      </c>
    </row>
    <row r="48" spans="1:2" ht="25.5">
      <c r="A48" s="87">
        <v>245</v>
      </c>
      <c r="B48" s="12" t="s">
        <v>974</v>
      </c>
    </row>
    <row r="49" spans="1:2">
      <c r="A49" s="87">
        <v>300</v>
      </c>
      <c r="B49" s="12" t="s">
        <v>975</v>
      </c>
    </row>
    <row r="50" spans="1:2">
      <c r="A50" s="87">
        <v>310</v>
      </c>
      <c r="B50" s="12" t="s">
        <v>109</v>
      </c>
    </row>
    <row r="51" spans="1:2">
      <c r="A51" s="87">
        <v>311</v>
      </c>
      <c r="B51" s="12" t="s">
        <v>976</v>
      </c>
    </row>
    <row r="52" spans="1:2">
      <c r="A52" s="87">
        <v>312</v>
      </c>
      <c r="B52" s="12" t="s">
        <v>977</v>
      </c>
    </row>
    <row r="53" spans="1:2">
      <c r="A53" s="87">
        <v>313</v>
      </c>
      <c r="B53" s="12" t="s">
        <v>978</v>
      </c>
    </row>
    <row r="54" spans="1:2">
      <c r="A54" s="87">
        <v>320</v>
      </c>
      <c r="B54" s="12" t="s">
        <v>110</v>
      </c>
    </row>
    <row r="55" spans="1:2" ht="25.5">
      <c r="A55" s="87">
        <v>321</v>
      </c>
      <c r="B55" s="12" t="s">
        <v>979</v>
      </c>
    </row>
    <row r="56" spans="1:2">
      <c r="A56" s="87">
        <v>322</v>
      </c>
      <c r="B56" s="12" t="s">
        <v>980</v>
      </c>
    </row>
    <row r="57" spans="1:2">
      <c r="A57" s="87">
        <v>323</v>
      </c>
      <c r="B57" s="12" t="s">
        <v>981</v>
      </c>
    </row>
    <row r="58" spans="1:2">
      <c r="A58" s="87">
        <v>330</v>
      </c>
      <c r="B58" s="12" t="s">
        <v>982</v>
      </c>
    </row>
    <row r="59" spans="1:2">
      <c r="A59" s="87">
        <v>340</v>
      </c>
      <c r="B59" s="12" t="s">
        <v>89</v>
      </c>
    </row>
    <row r="60" spans="1:2">
      <c r="A60" s="87">
        <v>350</v>
      </c>
      <c r="B60" s="12" t="s">
        <v>90</v>
      </c>
    </row>
    <row r="61" spans="1:2">
      <c r="A61" s="87">
        <v>360</v>
      </c>
      <c r="B61" s="12" t="s">
        <v>91</v>
      </c>
    </row>
    <row r="62" spans="1:2">
      <c r="A62" s="87">
        <v>400</v>
      </c>
      <c r="B62" s="12" t="s">
        <v>983</v>
      </c>
    </row>
    <row r="63" spans="1:2">
      <c r="A63" s="87">
        <v>410</v>
      </c>
      <c r="B63" s="12" t="s">
        <v>21</v>
      </c>
    </row>
    <row r="64" spans="1:2" ht="25.5">
      <c r="A64" s="87">
        <v>411</v>
      </c>
      <c r="B64" s="12" t="s">
        <v>984</v>
      </c>
    </row>
    <row r="65" spans="1:2" ht="25.5">
      <c r="A65" s="87">
        <v>412</v>
      </c>
      <c r="B65" s="12" t="s">
        <v>985</v>
      </c>
    </row>
    <row r="66" spans="1:2" ht="25.5">
      <c r="A66" s="87">
        <v>413</v>
      </c>
      <c r="B66" s="12" t="s">
        <v>986</v>
      </c>
    </row>
    <row r="67" spans="1:2" ht="25.5">
      <c r="A67" s="87">
        <v>414</v>
      </c>
      <c r="B67" s="12" t="s">
        <v>987</v>
      </c>
    </row>
    <row r="68" spans="1:2">
      <c r="A68" s="87">
        <v>415</v>
      </c>
      <c r="B68" s="12" t="s">
        <v>988</v>
      </c>
    </row>
    <row r="69" spans="1:2" ht="25.5">
      <c r="A69" s="87">
        <v>416</v>
      </c>
      <c r="B69" s="12" t="s">
        <v>989</v>
      </c>
    </row>
    <row r="70" spans="1:2" ht="25.5">
      <c r="A70" s="87">
        <v>417</v>
      </c>
      <c r="B70" s="12" t="s">
        <v>990</v>
      </c>
    </row>
    <row r="71" spans="1:2">
      <c r="A71" s="87">
        <v>450</v>
      </c>
      <c r="B71" s="12" t="s">
        <v>991</v>
      </c>
    </row>
    <row r="72" spans="1:2">
      <c r="A72" s="87">
        <v>451</v>
      </c>
      <c r="B72" s="12" t="s">
        <v>992</v>
      </c>
    </row>
    <row r="73" spans="1:2" ht="25.5">
      <c r="A73" s="87">
        <v>452</v>
      </c>
      <c r="B73" s="12" t="s">
        <v>993</v>
      </c>
    </row>
    <row r="74" spans="1:2" ht="25.5">
      <c r="A74" s="87">
        <v>453</v>
      </c>
      <c r="B74" s="12" t="s">
        <v>994</v>
      </c>
    </row>
    <row r="75" spans="1:2" ht="51">
      <c r="A75" s="87">
        <v>460</v>
      </c>
      <c r="B75" s="12" t="s">
        <v>869</v>
      </c>
    </row>
    <row r="76" spans="1:2" ht="25.5">
      <c r="A76" s="87">
        <v>461</v>
      </c>
      <c r="B76" s="12" t="s">
        <v>995</v>
      </c>
    </row>
    <row r="77" spans="1:2" ht="25.5">
      <c r="A77" s="87">
        <v>462</v>
      </c>
      <c r="B77" s="12" t="s">
        <v>996</v>
      </c>
    </row>
    <row r="78" spans="1:2" ht="25.5">
      <c r="A78" s="87">
        <v>463</v>
      </c>
      <c r="B78" s="12" t="s">
        <v>997</v>
      </c>
    </row>
    <row r="79" spans="1:2" ht="25.5">
      <c r="A79" s="87">
        <v>464</v>
      </c>
      <c r="B79" s="12" t="s">
        <v>998</v>
      </c>
    </row>
    <row r="80" spans="1:2" ht="25.5">
      <c r="A80" s="87">
        <v>465</v>
      </c>
      <c r="B80" s="12" t="s">
        <v>999</v>
      </c>
    </row>
    <row r="81" spans="1:2" ht="38.25">
      <c r="A81" s="87">
        <v>466</v>
      </c>
      <c r="B81" s="12" t="s">
        <v>1000</v>
      </c>
    </row>
    <row r="82" spans="1:2">
      <c r="A82" s="87">
        <v>500</v>
      </c>
      <c r="B82" s="12" t="s">
        <v>1001</v>
      </c>
    </row>
    <row r="83" spans="1:2">
      <c r="A83" s="87">
        <v>510</v>
      </c>
      <c r="B83" s="12" t="s">
        <v>1002</v>
      </c>
    </row>
    <row r="84" spans="1:2">
      <c r="A84" s="87">
        <v>511</v>
      </c>
      <c r="B84" s="12" t="s">
        <v>1003</v>
      </c>
    </row>
    <row r="85" spans="1:2">
      <c r="A85" s="87">
        <v>512</v>
      </c>
      <c r="B85" s="12" t="s">
        <v>1004</v>
      </c>
    </row>
    <row r="86" spans="1:2">
      <c r="A86" s="87">
        <v>520</v>
      </c>
      <c r="B86" s="12" t="s">
        <v>1005</v>
      </c>
    </row>
    <row r="87" spans="1:2" ht="25.5">
      <c r="A87" s="87">
        <v>521</v>
      </c>
      <c r="B87" s="12" t="s">
        <v>1006</v>
      </c>
    </row>
    <row r="88" spans="1:2" ht="25.5">
      <c r="A88" s="87">
        <v>522</v>
      </c>
      <c r="B88" s="12" t="s">
        <v>1007</v>
      </c>
    </row>
    <row r="89" spans="1:2">
      <c r="A89" s="87">
        <v>530</v>
      </c>
      <c r="B89" s="12" t="s">
        <v>1008</v>
      </c>
    </row>
    <row r="90" spans="1:2">
      <c r="A90" s="87">
        <v>540</v>
      </c>
      <c r="B90" s="12" t="s">
        <v>1009</v>
      </c>
    </row>
    <row r="91" spans="1:2">
      <c r="A91" s="87">
        <v>550</v>
      </c>
      <c r="B91" s="12" t="s">
        <v>1010</v>
      </c>
    </row>
    <row r="92" spans="1:2">
      <c r="A92" s="87">
        <v>560</v>
      </c>
      <c r="B92" s="12" t="s">
        <v>1011</v>
      </c>
    </row>
    <row r="93" spans="1:2">
      <c r="A93" s="87">
        <v>570</v>
      </c>
      <c r="B93" s="12" t="s">
        <v>1012</v>
      </c>
    </row>
    <row r="94" spans="1:2" ht="25.5">
      <c r="A94" s="87">
        <v>580</v>
      </c>
      <c r="B94" s="12" t="s">
        <v>1013</v>
      </c>
    </row>
    <row r="95" spans="1:2" ht="25.5">
      <c r="A95" s="87">
        <v>600</v>
      </c>
      <c r="B95" s="12" t="s">
        <v>1014</v>
      </c>
    </row>
    <row r="96" spans="1:2">
      <c r="A96" s="87">
        <v>610</v>
      </c>
      <c r="B96" s="12" t="s">
        <v>92</v>
      </c>
    </row>
    <row r="97" spans="1:2" ht="25.5">
      <c r="A97" s="87">
        <v>611</v>
      </c>
      <c r="B97" s="12" t="s">
        <v>1015</v>
      </c>
    </row>
    <row r="98" spans="1:2">
      <c r="A98" s="87">
        <v>612</v>
      </c>
      <c r="B98" s="12" t="s">
        <v>1016</v>
      </c>
    </row>
    <row r="99" spans="1:2">
      <c r="A99" s="87">
        <v>613</v>
      </c>
      <c r="B99" s="12" t="s">
        <v>1017</v>
      </c>
    </row>
    <row r="100" spans="1:2">
      <c r="A100" s="87">
        <v>620</v>
      </c>
      <c r="B100" s="12" t="s">
        <v>93</v>
      </c>
    </row>
    <row r="101" spans="1:2" ht="25.5">
      <c r="A101" s="87">
        <v>621</v>
      </c>
      <c r="B101" s="12" t="s">
        <v>1018</v>
      </c>
    </row>
    <row r="102" spans="1:2">
      <c r="A102" s="87">
        <v>622</v>
      </c>
      <c r="B102" s="12" t="s">
        <v>1019</v>
      </c>
    </row>
    <row r="103" spans="1:2">
      <c r="A103" s="87">
        <v>623</v>
      </c>
      <c r="B103" s="12" t="s">
        <v>1020</v>
      </c>
    </row>
    <row r="104" spans="1:2" ht="25.5">
      <c r="A104" s="87">
        <v>630</v>
      </c>
      <c r="B104" s="12" t="s">
        <v>111</v>
      </c>
    </row>
    <row r="105" spans="1:2" ht="25.5">
      <c r="A105" s="88">
        <v>631</v>
      </c>
      <c r="B105" s="12" t="s">
        <v>1047</v>
      </c>
    </row>
    <row r="106" spans="1:2" ht="51">
      <c r="A106" s="88">
        <v>632</v>
      </c>
      <c r="B106" s="12" t="s">
        <v>1048</v>
      </c>
    </row>
    <row r="107" spans="1:2" ht="51">
      <c r="A107" s="88">
        <v>633</v>
      </c>
      <c r="B107" s="12" t="s">
        <v>1049</v>
      </c>
    </row>
    <row r="108" spans="1:2">
      <c r="A108" s="87">
        <v>700</v>
      </c>
      <c r="B108" s="12" t="s">
        <v>1021</v>
      </c>
    </row>
    <row r="109" spans="1:2">
      <c r="A109" s="87">
        <v>710</v>
      </c>
      <c r="B109" s="12" t="s">
        <v>1022</v>
      </c>
    </row>
    <row r="110" spans="1:2">
      <c r="A110" s="87">
        <v>720</v>
      </c>
      <c r="B110" s="12" t="s">
        <v>1023</v>
      </c>
    </row>
    <row r="111" spans="1:2">
      <c r="A111" s="87">
        <v>730</v>
      </c>
      <c r="B111" s="12" t="s">
        <v>94</v>
      </c>
    </row>
    <row r="112" spans="1:2">
      <c r="A112" s="87">
        <v>800</v>
      </c>
      <c r="B112" s="12" t="s">
        <v>1024</v>
      </c>
    </row>
    <row r="113" spans="1:2" ht="25.5">
      <c r="A113" s="87">
        <v>810</v>
      </c>
      <c r="B113" s="12" t="s">
        <v>561</v>
      </c>
    </row>
    <row r="114" spans="1:2" ht="25.5">
      <c r="A114" s="88">
        <v>811</v>
      </c>
      <c r="B114" s="12" t="s">
        <v>1047</v>
      </c>
    </row>
    <row r="115" spans="1:2" ht="51">
      <c r="A115" s="88">
        <v>812</v>
      </c>
      <c r="B115" s="12" t="s">
        <v>1048</v>
      </c>
    </row>
    <row r="116" spans="1:2" ht="51">
      <c r="A116" s="88">
        <v>813</v>
      </c>
      <c r="B116" s="12" t="s">
        <v>1049</v>
      </c>
    </row>
    <row r="117" spans="1:2">
      <c r="A117" s="87">
        <v>820</v>
      </c>
      <c r="B117" s="12" t="s">
        <v>1025</v>
      </c>
    </row>
    <row r="118" spans="1:2" ht="25.5">
      <c r="A118" s="87">
        <v>821</v>
      </c>
      <c r="B118" s="12" t="s">
        <v>1026</v>
      </c>
    </row>
    <row r="119" spans="1:2" ht="25.5">
      <c r="A119" s="87">
        <v>822</v>
      </c>
      <c r="B119" s="12" t="s">
        <v>1027</v>
      </c>
    </row>
    <row r="120" spans="1:2" ht="25.5">
      <c r="A120" s="87">
        <v>823</v>
      </c>
      <c r="B120" s="12" t="s">
        <v>1028</v>
      </c>
    </row>
    <row r="121" spans="1:2">
      <c r="A121" s="87">
        <v>824</v>
      </c>
      <c r="B121" s="12" t="s">
        <v>1029</v>
      </c>
    </row>
    <row r="122" spans="1:2" ht="25.5">
      <c r="A122" s="87">
        <v>825</v>
      </c>
      <c r="B122" s="12" t="s">
        <v>1030</v>
      </c>
    </row>
    <row r="123" spans="1:2">
      <c r="A123" s="87">
        <v>830</v>
      </c>
      <c r="B123" s="12" t="s">
        <v>96</v>
      </c>
    </row>
    <row r="124" spans="1:2" ht="25.5">
      <c r="A124" s="87">
        <v>831</v>
      </c>
      <c r="B124" s="114" t="s">
        <v>1044</v>
      </c>
    </row>
    <row r="125" spans="1:2" ht="63.75">
      <c r="A125" s="87">
        <v>832</v>
      </c>
      <c r="B125" s="12" t="s">
        <v>1031</v>
      </c>
    </row>
    <row r="126" spans="1:2" ht="25.5">
      <c r="A126" s="87">
        <v>840</v>
      </c>
      <c r="B126" s="12" t="s">
        <v>1032</v>
      </c>
    </row>
    <row r="127" spans="1:2">
      <c r="A127" s="87">
        <v>841</v>
      </c>
      <c r="B127" s="12" t="s">
        <v>1033</v>
      </c>
    </row>
    <row r="128" spans="1:2">
      <c r="A128" s="87">
        <v>842</v>
      </c>
      <c r="B128" s="12" t="s">
        <v>1034</v>
      </c>
    </row>
    <row r="129" spans="1:2">
      <c r="A129" s="87">
        <v>843</v>
      </c>
      <c r="B129" s="12" t="s">
        <v>1035</v>
      </c>
    </row>
    <row r="130" spans="1:2">
      <c r="A130" s="87">
        <v>850</v>
      </c>
      <c r="B130" s="12" t="s">
        <v>97</v>
      </c>
    </row>
    <row r="131" spans="1:2">
      <c r="A131" s="87">
        <v>851</v>
      </c>
      <c r="B131" s="12" t="s">
        <v>1036</v>
      </c>
    </row>
    <row r="132" spans="1:2">
      <c r="A132" s="87">
        <v>852</v>
      </c>
      <c r="B132" s="12" t="s">
        <v>1037</v>
      </c>
    </row>
    <row r="133" spans="1:2">
      <c r="A133" s="87">
        <v>853</v>
      </c>
      <c r="B133" s="12" t="s">
        <v>1038</v>
      </c>
    </row>
    <row r="134" spans="1:2">
      <c r="A134" s="87">
        <v>860</v>
      </c>
      <c r="B134" s="12" t="s">
        <v>1039</v>
      </c>
    </row>
    <row r="135" spans="1:2">
      <c r="A135" s="87">
        <v>861</v>
      </c>
      <c r="B135" s="12" t="s">
        <v>1040</v>
      </c>
    </row>
    <row r="136" spans="1:2">
      <c r="A136" s="87">
        <v>862</v>
      </c>
      <c r="B136" s="12" t="s">
        <v>1041</v>
      </c>
    </row>
    <row r="137" spans="1:2" ht="25.5">
      <c r="A137" s="87">
        <v>863</v>
      </c>
      <c r="B137" s="12" t="s">
        <v>1042</v>
      </c>
    </row>
    <row r="138" spans="1:2">
      <c r="A138" s="87">
        <v>870</v>
      </c>
      <c r="B138" s="12" t="s">
        <v>98</v>
      </c>
    </row>
    <row r="139" spans="1:2" ht="18.75" thickBot="1">
      <c r="A139" s="89">
        <v>880</v>
      </c>
      <c r="B139" s="12" t="s">
        <v>99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92D050"/>
  </sheetPr>
  <dimension ref="A1:I14"/>
  <sheetViews>
    <sheetView workbookViewId="0">
      <selection activeCell="A8" sqref="A8:A9"/>
    </sheetView>
  </sheetViews>
  <sheetFormatPr defaultRowHeight="18"/>
  <cols>
    <col min="1" max="1" width="40.36328125" customWidth="1"/>
    <col min="2" max="2" width="2.7265625" bestFit="1" customWidth="1"/>
    <col min="3" max="4" width="2.08984375" bestFit="1" customWidth="1"/>
    <col min="5" max="5" width="8.54296875" bestFit="1" customWidth="1"/>
    <col min="6" max="6" width="4.6328125" customWidth="1"/>
    <col min="7" max="9" width="6.1796875" bestFit="1" customWidth="1"/>
  </cols>
  <sheetData>
    <row r="1" spans="1:9" ht="25.5">
      <c r="A1" s="11" t="s">
        <v>114</v>
      </c>
      <c r="B1" s="25"/>
      <c r="C1" s="26"/>
      <c r="D1" s="26"/>
      <c r="E1" s="26"/>
      <c r="F1" s="26" t="s">
        <v>58</v>
      </c>
      <c r="G1" s="27"/>
      <c r="H1" s="27"/>
      <c r="I1" s="27"/>
    </row>
    <row r="2" spans="1:9">
      <c r="A2" s="11" t="s">
        <v>362</v>
      </c>
      <c r="B2" s="25"/>
      <c r="C2" s="26"/>
      <c r="D2" s="26"/>
      <c r="E2" s="26"/>
      <c r="F2" s="26" t="s">
        <v>115</v>
      </c>
      <c r="G2" s="27"/>
      <c r="H2" s="27"/>
      <c r="I2" s="27"/>
    </row>
    <row r="3" spans="1:9" ht="25.5">
      <c r="A3" s="12" t="s">
        <v>937</v>
      </c>
      <c r="B3" s="25"/>
      <c r="C3" s="26"/>
      <c r="D3" s="26"/>
      <c r="E3" s="26"/>
      <c r="F3" s="26" t="s">
        <v>1059</v>
      </c>
      <c r="G3" s="27"/>
      <c r="H3" s="27"/>
      <c r="I3" s="27"/>
    </row>
    <row r="4" spans="1:9" ht="38.25">
      <c r="A4" s="12" t="s">
        <v>939</v>
      </c>
      <c r="B4" s="25"/>
      <c r="C4" s="26"/>
      <c r="D4" s="26"/>
      <c r="E4" s="26"/>
      <c r="F4" s="26" t="s">
        <v>1060</v>
      </c>
      <c r="G4" s="27"/>
      <c r="H4" s="27"/>
      <c r="I4" s="27"/>
    </row>
    <row r="5" spans="1:9" ht="25.5">
      <c r="A5" s="11" t="s">
        <v>108</v>
      </c>
      <c r="B5" s="25"/>
      <c r="C5" s="26"/>
      <c r="D5" s="26"/>
      <c r="E5" s="26"/>
      <c r="F5" s="26" t="s">
        <v>116</v>
      </c>
      <c r="G5" s="27"/>
      <c r="H5" s="27"/>
      <c r="I5" s="27"/>
    </row>
    <row r="6" spans="1:9" ht="25.5">
      <c r="A6" s="12" t="s">
        <v>973</v>
      </c>
      <c r="B6" s="25"/>
      <c r="C6" s="26"/>
      <c r="D6" s="26"/>
      <c r="E6" s="26"/>
      <c r="F6" s="26" t="s">
        <v>1043</v>
      </c>
      <c r="G6" s="27"/>
      <c r="H6" s="27"/>
      <c r="I6" s="27"/>
    </row>
    <row r="7" spans="1:9">
      <c r="A7" s="11" t="s">
        <v>97</v>
      </c>
      <c r="B7" s="25"/>
      <c r="C7" s="26"/>
      <c r="D7" s="26"/>
      <c r="E7" s="26"/>
      <c r="F7" s="26" t="s">
        <v>118</v>
      </c>
      <c r="G7" s="27"/>
      <c r="H7" s="27"/>
      <c r="I7" s="27"/>
    </row>
    <row r="8" spans="1:9">
      <c r="A8" s="12" t="s">
        <v>1036</v>
      </c>
      <c r="B8" s="25"/>
      <c r="C8" s="26"/>
      <c r="D8" s="26"/>
      <c r="E8" s="26"/>
      <c r="F8" s="26" t="s">
        <v>1061</v>
      </c>
      <c r="G8" s="27"/>
      <c r="H8" s="27"/>
      <c r="I8" s="27"/>
    </row>
    <row r="9" spans="1:9">
      <c r="A9" s="12" t="s">
        <v>1037</v>
      </c>
      <c r="B9" s="25"/>
      <c r="C9" s="26"/>
      <c r="D9" s="26"/>
      <c r="E9" s="26"/>
      <c r="F9" s="26" t="s">
        <v>1062</v>
      </c>
      <c r="G9" s="27"/>
      <c r="H9" s="27"/>
      <c r="I9" s="27"/>
    </row>
    <row r="10" spans="1:9">
      <c r="A10" s="12" t="s">
        <v>1038</v>
      </c>
      <c r="B10" s="25"/>
      <c r="C10" s="26"/>
      <c r="D10" s="26"/>
      <c r="E10" s="26"/>
      <c r="F10" s="26" t="s">
        <v>1066</v>
      </c>
      <c r="G10" s="27"/>
      <c r="H10" s="27"/>
      <c r="I10" s="27"/>
    </row>
    <row r="11" spans="1:9" ht="25.5">
      <c r="A11" s="11" t="s">
        <v>126</v>
      </c>
      <c r="B11" s="25"/>
      <c r="C11" s="26"/>
      <c r="D11" s="26"/>
      <c r="E11" s="26"/>
      <c r="F11" s="26" t="s">
        <v>58</v>
      </c>
      <c r="G11" s="27"/>
      <c r="H11" s="27"/>
      <c r="I11" s="27"/>
    </row>
    <row r="12" spans="1:9">
      <c r="A12" s="11" t="s">
        <v>362</v>
      </c>
      <c r="B12" s="25"/>
      <c r="C12" s="26"/>
      <c r="D12" s="26"/>
      <c r="E12" s="26"/>
      <c r="F12" s="26" t="s">
        <v>115</v>
      </c>
      <c r="G12" s="27"/>
      <c r="H12" s="27"/>
      <c r="I12" s="27"/>
    </row>
    <row r="13" spans="1:9">
      <c r="A13" s="12" t="s">
        <v>936</v>
      </c>
      <c r="B13" s="25"/>
      <c r="C13" s="26"/>
      <c r="D13" s="26"/>
      <c r="E13" s="26"/>
      <c r="F13" s="26" t="s">
        <v>1063</v>
      </c>
      <c r="G13" s="27"/>
      <c r="H13" s="27"/>
      <c r="I13" s="27"/>
    </row>
    <row r="14" spans="1:9" ht="38.25">
      <c r="A14" s="12" t="s">
        <v>939</v>
      </c>
      <c r="B14" s="25"/>
      <c r="C14" s="26"/>
      <c r="D14" s="26"/>
      <c r="E14" s="26"/>
      <c r="F14" s="26" t="s">
        <v>1060</v>
      </c>
      <c r="G14" s="27"/>
      <c r="H14" s="27"/>
      <c r="I14" s="27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16</vt:i4>
      </vt:variant>
    </vt:vector>
  </HeadingPairs>
  <TitlesOfParts>
    <vt:vector size="29" baseType="lpstr">
      <vt:lpstr>БА в тыс. руб.</vt:lpstr>
      <vt:lpstr>БА в рублях</vt:lpstr>
      <vt:lpstr>БА в рублях (ред)</vt:lpstr>
      <vt:lpstr>БА в рублях (ред) (2)</vt:lpstr>
      <vt:lpstr>прил 1 БА в рублях (ред) (3)</vt:lpstr>
      <vt:lpstr>прил 1 БА по расх (2017)</vt:lpstr>
      <vt:lpstr>БА по источн (2017)</vt:lpstr>
      <vt:lpstr>КВР</vt:lpstr>
      <vt:lpstr>аппарат</vt:lpstr>
      <vt:lpstr>прил 2 БА по расх (2018-2019)</vt:lpstr>
      <vt:lpstr>БА источники (2018-2019</vt:lpstr>
      <vt:lpstr>исх АС БЮДЖЕТ</vt:lpstr>
      <vt:lpstr>Лист1</vt:lpstr>
      <vt:lpstr>'БА в рублях'!Заголовки_для_печати</vt:lpstr>
      <vt:lpstr>'БА в рублях (ред)'!Заголовки_для_печати</vt:lpstr>
      <vt:lpstr>'БА в рублях (ред) (2)'!Заголовки_для_печати</vt:lpstr>
      <vt:lpstr>'БА в тыс. руб.'!Заголовки_для_печати</vt:lpstr>
      <vt:lpstr>'прил 1 БА в рублях (ред) (3)'!Заголовки_для_печати</vt:lpstr>
      <vt:lpstr>'прил 1 БА по расх (2017)'!Заголовки_для_печати</vt:lpstr>
      <vt:lpstr>'прил 2 БА по расх (2018-2019)'!Заголовки_для_печати</vt:lpstr>
      <vt:lpstr>'БА в рублях'!Область_печати</vt:lpstr>
      <vt:lpstr>'БА в рублях (ред)'!Область_печати</vt:lpstr>
      <vt:lpstr>'БА в рублях (ред) (2)'!Область_печати</vt:lpstr>
      <vt:lpstr>'БА в тыс. руб.'!Область_печати</vt:lpstr>
      <vt:lpstr>'БА источники (2018-2019'!Область_печати</vt:lpstr>
      <vt:lpstr>'БА по источн (2017)'!Область_печати</vt:lpstr>
      <vt:lpstr>'прил 1 БА в рублях (ред) (3)'!Область_печати</vt:lpstr>
      <vt:lpstr>'прил 1 БА по расх (2017)'!Область_печати</vt:lpstr>
      <vt:lpstr>'прил 2 БА по расх (2018-2019)'!Область_печати</vt:lpstr>
    </vt:vector>
  </TitlesOfParts>
  <Company>KFB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StMarEI</dc:creator>
  <cp:lastModifiedBy>Y.Gomzina</cp:lastModifiedBy>
  <cp:lastPrinted>2017-05-18T15:17:05Z</cp:lastPrinted>
  <dcterms:created xsi:type="dcterms:W3CDTF">2005-12-19T12:13:47Z</dcterms:created>
  <dcterms:modified xsi:type="dcterms:W3CDTF">2017-05-19T13:51:00Z</dcterms:modified>
</cp:coreProperties>
</file>